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主页" sheetId="1" state="visible" r:id="rId3"/>
    <sheet name="使用说明" sheetId="2" state="visible" r:id="rId4"/>
    <sheet name="基础资料" sheetId="3" state="visible" r:id="rId5"/>
    <sheet name="电梯资料" sheetId="4" state="visible" r:id="rId6"/>
    <sheet name="维保合同" sheetId="5" state="visible" r:id="rId7"/>
    <sheet name="应收登记" sheetId="6" state="visible" r:id="rId8"/>
    <sheet name="收款登记" sheetId="7" state="visible" r:id="rId9"/>
    <sheet name="应收对账" sheetId="8" state="visible" r:id="rId10"/>
    <sheet name="到期与提醒" sheetId="9" state="visible" r:id="rId11"/>
    <sheet name="月度汇总" sheetId="10" state="visible" r:id="rId12"/>
    <sheet name="核对表" sheetId="11" state="visible" r:id="rId13"/>
    <sheet name="_自动清单" sheetId="12" state="hidden" r:id="rId14"/>
  </sheets>
  <definedNames>
    <definedName function="false" hidden="false" localSheetId="7" name="_xlnm.Print_Titles" vbProcedure="false">应收对账!$4:$4</definedName>
    <definedName function="false" hidden="true" localSheetId="7" name="_xlnm._FilterDatabase" vbProcedure="false">应收对账!$A$4:$X$304</definedName>
    <definedName function="false" hidden="false" localSheetId="5" name="_xlnm.Print_Titles" vbProcedure="false">应收登记!$4:$4</definedName>
    <definedName function="false" hidden="true" localSheetId="5" name="_xlnm._FilterDatabase" vbProcedure="false">应收登记!$A$4:$T$1504</definedName>
    <definedName function="false" hidden="false" localSheetId="6" name="_xlnm.Print_Titles" vbProcedure="false">收款登记!$4:$4</definedName>
    <definedName function="false" hidden="true" localSheetId="6" name="_xlnm._FilterDatabase" vbProcedure="false">收款登记!$A$4:$O$2004</definedName>
    <definedName function="false" hidden="false" localSheetId="3" name="_xlnm.Print_Titles" vbProcedure="false">电梯资料!$4:$4</definedName>
    <definedName function="false" hidden="true" localSheetId="3" name="_xlnm._FilterDatabase" vbProcedure="false">电梯资料!$A$4:$AE$604</definedName>
    <definedName function="false" hidden="false" localSheetId="4" name="_xlnm.Print_Titles" vbProcedure="false">维保合同!$4:$4</definedName>
    <definedName function="false" hidden="true" localSheetId="4" name="_xlnm._FilterDatabase" vbProcedure="false">维保合同!$A$4:$X$304</definedName>
    <definedName function="false" hidden="false" name="合同单位" vbProcedure="false">维保合同!$C$5:$C$304</definedName>
    <definedName function="false" hidden="false" name="合同台量" vbProcedure="false">维保合同!$K$5:$K$304</definedName>
    <definedName function="false" hidden="false" name="合同提醒天" vbProcedure="false">基础资料!$G$3</definedName>
    <definedName function="false" hidden="false" name="合同片区" vbProcedure="false">维保合同!$B$5:$B$304</definedName>
    <definedName function="false" hidden="false" name="合同状态" vbProcedure="false">维保合同!$G$5:$G$304</definedName>
    <definedName function="false" hidden="false" name="合同状态表" vbProcedure="false">基础资料!$I$5:$I$34</definedName>
    <definedName function="false" hidden="false" name="合同键" vbProcedure="false">维保合同!$E$5:$E$304</definedName>
    <definedName function="false" hidden="false" name="合同项目" vbProcedure="false">维保合同!$D$5:$D$304</definedName>
    <definedName function="false" hidden="false" name="对账欠款" vbProcedure="false">应收对账!$T$5:$T$304</definedName>
    <definedName function="false" hidden="false" name="对账键" vbProcedure="false">应收对账!$Y$5:$Y$304</definedName>
    <definedName function="false" hidden="false" name="年检提醒天" vbProcedure="false">基础资料!$K$3</definedName>
    <definedName function="false" hidden="false" name="应收净额" vbProcedure="false">应收登记!$W$5:$W$1504</definedName>
    <definedName function="false" hidden="false" name="应收单号" vbProcedure="false">应收登记!$B$5:$B$1504</definedName>
    <definedName function="false" hidden="false" name="应收年度" vbProcedure="false">应收登记!$R$5:$R$1504</definedName>
    <definedName function="false" hidden="false" name="应收开票年度" vbProcedure="false">应收登记!$U$5:$U$1504</definedName>
    <definedName function="false" hidden="false" name="应收开票日" vbProcedure="false">应收登记!$L$5:$L$1504</definedName>
    <definedName function="false" hidden="false" name="应收开票额" vbProcedure="false">应收登记!$N$5:$N$1504</definedName>
    <definedName function="false" hidden="false" name="应收日期" vbProcedure="false">应收登记!$C$5:$C$1504</definedName>
    <definedName function="false" hidden="false" name="应收未收" vbProcedure="false">应收登记!$Q$5:$Q$1504</definedName>
    <definedName function="false" hidden="false" name="应收款别" vbProcedure="false">应收登记!$H$5:$H$1504</definedName>
    <definedName function="false" hidden="false" name="应收类别" vbProcedure="false">应收登记!$G$5:$G$1504</definedName>
    <definedName function="false" hidden="false" name="应收行号" vbProcedure="false">应收登记!$Y$5:$Y$1504</definedName>
    <definedName function="false" hidden="false" name="应收金额" vbProcedure="false">应收登记!$K$5:$K$1504</definedName>
    <definedName function="false" hidden="false" name="应收键" vbProcedure="false">应收登记!$D$5:$D$1504</definedName>
    <definedName function="false" hidden="false" name="收款关联" vbProcedure="false">收款登记!$L$5:$L$2004</definedName>
    <definedName function="false" hidden="false" name="收款单号" vbProcedure="false">收款登记!$B$5:$B$2004</definedName>
    <definedName function="false" hidden="false" name="收款年度" vbProcedure="false">收款登记!$M$5:$M$2004</definedName>
    <definedName function="false" hidden="false" name="收款归类" vbProcedure="false">收款登记!$I$5:$I$2004</definedName>
    <definedName function="false" hidden="false" name="收款方式" vbProcedure="false">收款登记!$J$5:$J$2004</definedName>
    <definedName function="false" hidden="false" name="收款方式表" vbProcedure="false">基础资料!$S$5:$S$34</definedName>
    <definedName function="false" hidden="false" name="收款日期" vbProcedure="false">收款登记!$C$5:$C$2004</definedName>
    <definedName function="false" hidden="false" name="收款款别" vbProcedure="false">收款登记!$K$5:$K$2004</definedName>
    <definedName function="false" hidden="false" name="收款票据" vbProcedure="false">收款登记!$H$5:$H$2004</definedName>
    <definedName function="false" hidden="false" name="收款金额" vbProcedure="false">收款登记!$G$5:$G$2004</definedName>
    <definedName function="false" hidden="false" name="收款键" vbProcedure="false">收款登记!$D$5:$D$2004</definedName>
    <definedName function="false" hidden="false" name="收费周期表" vbProcedure="false">基础资料!$K$5:$K$34</definedName>
    <definedName function="false" hidden="false" name="梯型表" vbProcedure="false">基础资料!$C$5:$C$34</definedName>
    <definedName function="false" hidden="false" name="片区表" vbProcedure="false">基础资料!$A$5:$A$34</definedName>
    <definedName function="false" hidden="false" name="电梯单位" vbProcedure="false">电梯资料!$C$5:$C$604</definedName>
    <definedName function="false" hidden="false" name="电梯台量" vbProcedure="false">电梯资料!$P$5:$P$604</definedName>
    <definedName function="false" hidden="false" name="电梯片区" vbProcedure="false">电梯资料!$B$5:$B$604</definedName>
    <definedName function="false" hidden="false" name="电梯状态" vbProcedure="false">电梯资料!$Y$5:$Y$604</definedName>
    <definedName function="false" hidden="false" name="电梯键" vbProcedure="false">电梯资料!$E$5:$E$604</definedName>
    <definedName function="false" hidden="false" name="票据归类表" vbProcedure="false">基础资料!$Q$5:$Q$34</definedName>
    <definedName function="false" hidden="false" name="票据类型表" vbProcedure="false">基础资料!$P$5:$P$34</definedName>
    <definedName function="false" hidden="false" name="管理年度" vbProcedure="false">基础资料!$B$3</definedName>
    <definedName function="false" hidden="false" name="维保性质表" vbProcedure="false">基础资料!$E$5:$E$34</definedName>
    <definedName function="false" hidden="false" name="维保状态表" vbProcedure="false">基础资料!$G$5:$G$34</definedName>
    <definedName function="false" hidden="false" name="账龄预警天" vbProcedure="false">基础资料!$O$3</definedName>
    <definedName function="false" hidden="false" name="费用款别" vbProcedure="false">基础资料!$N$5:$N$34</definedName>
    <definedName function="false" hidden="false" name="费用类别表" vbProcedure="false">基础资料!$M$5:$M$34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<sst xmlns="http://schemas.openxmlformats.org/spreadsheetml/2006/main" count="1134" uniqueCount="640">
  <si>
    <r>
      <rPr>
        <b val="true"/>
        <sz val="15"/>
        <color rgb="FFFFFFFF"/>
        <rFont val="WenQuanYi Zen Hei"/>
        <family val="2"/>
      </rPr>
      <t xml:space="preserve">电 梯 维 保 管 理 系 统 </t>
    </r>
    <r>
      <rPr>
        <b val="true"/>
        <sz val="15"/>
        <color rgb="FFFFFFFF"/>
        <rFont val="微软雅黑"/>
        <family val="0"/>
        <charset val="1"/>
      </rPr>
      <t xml:space="preserve">· </t>
    </r>
    <r>
      <rPr>
        <b val="true"/>
        <sz val="15"/>
        <color rgb="FFFFFFFF"/>
        <rFont val="WenQuanYi Zen Hei"/>
        <family val="2"/>
      </rPr>
      <t xml:space="preserve">主 页</t>
    </r>
  </si>
  <si>
    <t xml:space="preserve">★ 蓝底格子是可以点进去的表名。所有数字都是自动算的，只在《基础资料》《电梯资料》《维保合同》《应收登记》《收款登记》这五张表的淡黄格里填东西。</t>
  </si>
  <si>
    <r>
      <rPr>
        <b val="true"/>
        <sz val="10"/>
        <color rgb="FFFFFFFF"/>
        <rFont val="WenQuanYi Zen Hei"/>
        <family val="2"/>
      </rPr>
      <t xml:space="preserve"> ① 本年概览（年度＝《基础资料》</t>
    </r>
    <r>
      <rPr>
        <b val="true"/>
        <sz val="10"/>
        <color rgb="FFFFFFFF"/>
        <rFont val="微软雅黑"/>
        <family val="0"/>
        <charset val="1"/>
      </rPr>
      <t xml:space="preserve">B3</t>
    </r>
    <r>
      <rPr>
        <b val="true"/>
        <sz val="10"/>
        <color rgb="FFFFFFFF"/>
        <rFont val="WenQuanYi Zen Hei"/>
        <family val="2"/>
      </rPr>
      <t xml:space="preserve">，改那一格整套表换年）</t>
    </r>
  </si>
  <si>
    <t xml:space="preserve">管理年度</t>
  </si>
  <si>
    <t xml:space="preserve">在册台量</t>
  </si>
  <si>
    <t xml:space="preserve">在保项目数</t>
  </si>
  <si>
    <t xml:space="preserve">合同没回来的份数</t>
  </si>
  <si>
    <t xml:space="preserve">本年应收</t>
  </si>
  <si>
    <t xml:space="preserve">本年已收</t>
  </si>
  <si>
    <t xml:space="preserve">本年回款率</t>
  </si>
  <si>
    <r>
      <rPr>
        <b val="true"/>
        <sz val="10"/>
        <color rgb="FF1F4E79"/>
        <rFont val="WenQuanYi Zen Hei"/>
        <family val="2"/>
      </rPr>
      <t xml:space="preserve">欠款余额</t>
    </r>
    <r>
      <rPr>
        <b val="true"/>
        <sz val="10"/>
        <color rgb="FF1F4E79"/>
        <rFont val="微软雅黑"/>
        <family val="0"/>
        <charset val="1"/>
      </rPr>
      <t xml:space="preserve">(</t>
    </r>
    <r>
      <rPr>
        <b val="true"/>
        <sz val="10"/>
        <color rgb="FF1F4E79"/>
        <rFont val="WenQuanYi Zen Hei"/>
        <family val="2"/>
      </rPr>
      <t xml:space="preserve">累计</t>
    </r>
    <r>
      <rPr>
        <b val="true"/>
        <sz val="10"/>
        <color rgb="FF1F4E79"/>
        <rFont val="微软雅黑"/>
        <family val="0"/>
        <charset val="1"/>
      </rPr>
      <t xml:space="preserve">)</t>
    </r>
  </si>
  <si>
    <t xml:space="preserve">已开票应收（票开了钱没到）</t>
  </si>
  <si>
    <t xml:space="preserve">未开票应收（票还没开）</t>
  </si>
  <si>
    <r>
      <rPr>
        <b val="true"/>
        <sz val="10"/>
        <color rgb="FF1F4E79"/>
        <rFont val="WenQuanYi Zen Hei"/>
        <family val="2"/>
      </rPr>
      <t xml:space="preserve">本年现金</t>
    </r>
    <r>
      <rPr>
        <b val="true"/>
        <sz val="10"/>
        <color rgb="FF1F4E79"/>
        <rFont val="微软雅黑"/>
        <family val="0"/>
        <charset val="1"/>
      </rPr>
      <t xml:space="preserve">/</t>
    </r>
    <r>
      <rPr>
        <b val="true"/>
        <sz val="10"/>
        <color rgb="FF1F4E79"/>
        <rFont val="WenQuanYi Zen Hei"/>
        <family val="2"/>
      </rPr>
      <t xml:space="preserve">无票收款</t>
    </r>
  </si>
  <si>
    <t xml:space="preserve">全表核对</t>
  </si>
  <si>
    <t xml:space="preserve"> ② 提醒速览（详细清单点《到期与提醒》）</t>
  </si>
  <si>
    <r>
      <rPr>
        <b val="true"/>
        <sz val="10"/>
        <color rgb="FF1F4E79"/>
        <rFont val="WenQuanYi Zen Hei"/>
        <family val="2"/>
      </rPr>
      <t xml:space="preserve">合同到期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没回签</t>
    </r>
  </si>
  <si>
    <r>
      <rPr>
        <b val="true"/>
        <sz val="10"/>
        <color rgb="FF1F4E79"/>
        <rFont val="WenQuanYi Zen Hei"/>
        <family val="2"/>
      </rPr>
      <t xml:space="preserve">年检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校验到期</t>
    </r>
  </si>
  <si>
    <t xml:space="preserve">免保到期该转收费</t>
  </si>
  <si>
    <t xml:space="preserve">还有欠款的项目</t>
  </si>
  <si>
    <t xml:space="preserve"> ③ 各表导航（点表名直接跳过去）</t>
  </si>
  <si>
    <t xml:space="preserve">表 名</t>
  </si>
  <si>
    <r>
      <rPr>
        <b val="true"/>
        <sz val="10"/>
        <color rgb="FFFFFFFF"/>
        <rFont val="WenQuanYi Zen Hei"/>
        <family val="2"/>
      </rPr>
      <t xml:space="preserve">填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看</t>
    </r>
  </si>
  <si>
    <t xml:space="preserve">这张表是干什么的</t>
  </si>
  <si>
    <t xml:space="preserve">使用说明</t>
  </si>
  <si>
    <t xml:space="preserve">看</t>
  </si>
  <si>
    <t xml:space="preserve">怎么用、怎么跨年、坑在哪，先看这个</t>
  </si>
  <si>
    <t xml:space="preserve">基础资料</t>
  </si>
  <si>
    <t xml:space="preserve">填</t>
  </si>
  <si>
    <t xml:space="preserve">片区、梯型、维保状态、费用类别、票据类型…所有下拉都在这里改</t>
  </si>
  <si>
    <t xml:space="preserve">电梯资料</t>
  </si>
  <si>
    <t xml:space="preserve">一台梯子一行：注册代码、年检日期、维保状态、免保到期</t>
  </si>
  <si>
    <t xml:space="preserve">维保合同</t>
  </si>
  <si>
    <t xml:space="preserve">一个项目一行：合同起止、年费、合同状态（没回来也先建行）</t>
  </si>
  <si>
    <t xml:space="preserve">应收登记</t>
  </si>
  <si>
    <r>
      <rPr>
        <sz val="10"/>
        <rFont val="WenQuanYi Zen Hei"/>
        <family val="2"/>
      </rPr>
      <t xml:space="preserve">该收多少钱，一笔一行（合同款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合同外款都在这）</t>
    </r>
  </si>
  <si>
    <t xml:space="preserve">收款登记</t>
  </si>
  <si>
    <t xml:space="preserve">钱几时到、开的什么票，一笔一行</t>
  </si>
  <si>
    <t xml:space="preserve">应收对账</t>
  </si>
  <si>
    <r>
      <rPr>
        <sz val="10"/>
        <rFont val="WenQuanYi Zen Hei"/>
        <family val="2"/>
      </rPr>
      <t xml:space="preserve">★ 每个项目欠多少：上年结转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本年应收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已收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已开票应收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未开票应收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欠款</t>
    </r>
  </si>
  <si>
    <t xml:space="preserve">到期与提醒</t>
  </si>
  <si>
    <t xml:space="preserve">该催的合同、该约的年检、该转收费的免保、该要的钱</t>
  </si>
  <si>
    <t xml:space="preserve">月度汇总</t>
  </si>
  <si>
    <r>
      <rPr>
        <sz val="10"/>
        <rFont val="WenQuanYi Zen Hei"/>
        <family val="2"/>
      </rPr>
      <t xml:space="preserve">按月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费用类别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片区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票据类型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收款方式 五个口径</t>
    </r>
  </si>
  <si>
    <t xml:space="preserve">核对表</t>
  </si>
  <si>
    <t xml:space="preserve">这份表还平不平，一眼看出来</t>
  </si>
  <si>
    <r>
      <rPr>
        <b val="true"/>
        <sz val="15"/>
        <color rgb="FFFFFFFF"/>
        <rFont val="WenQuanYi Zen Hei"/>
        <family val="2"/>
      </rPr>
      <t xml:space="preserve">使 用 说 明 </t>
    </r>
    <r>
      <rPr>
        <b val="true"/>
        <sz val="15"/>
        <color rgb="FFFFFFFF"/>
        <rFont val="微软雅黑"/>
        <family val="0"/>
        <charset val="1"/>
      </rPr>
      <t xml:space="preserve">· </t>
    </r>
    <r>
      <rPr>
        <b val="true"/>
        <sz val="15"/>
        <color rgb="FFFFFFFF"/>
        <rFont val="WenQuanYi Zen Hei"/>
        <family val="2"/>
      </rPr>
      <t xml:space="preserve">花十分钟看完，后面省很多事</t>
    </r>
  </si>
  <si>
    <r>
      <rPr>
        <sz val="9"/>
        <color rgb="FF8B5E00"/>
        <rFont val="WenQuanYi Zen Hei"/>
        <family val="2"/>
      </rPr>
      <t xml:space="preserve">★ 按 </t>
    </r>
    <r>
      <rPr>
        <sz val="9"/>
        <color rgb="FF8B5E00"/>
        <rFont val="微软雅黑"/>
        <family val="0"/>
        <charset val="1"/>
      </rPr>
      <t xml:space="preserve">F11 </t>
    </r>
    <r>
      <rPr>
        <sz val="9"/>
        <color rgb="FF8B5E00"/>
        <rFont val="WenQuanYi Zen Hei"/>
        <family val="2"/>
      </rPr>
      <t xml:space="preserve">或点左下角表名切换。这张表只是说明，不影响任何计算。</t>
    </r>
  </si>
  <si>
    <t xml:space="preserve">一、这套表是怎么搭的</t>
  </si>
  <si>
    <r>
      <rPr>
        <sz val="10"/>
        <rFont val="WenQuanYi Zen Hei"/>
        <family val="2"/>
      </rPr>
      <t xml:space="preserve">原来那两张表（电梯资料 </t>
    </r>
    <r>
      <rPr>
        <sz val="10"/>
        <rFont val="微软雅黑"/>
        <family val="0"/>
        <charset val="1"/>
      </rPr>
      <t xml:space="preserve">+ </t>
    </r>
    <r>
      <rPr>
        <sz val="10"/>
        <rFont val="WenQuanYi Zen Hei"/>
        <family val="2"/>
      </rPr>
      <t xml:space="preserve">合同应收款）最大的毛病是：合同、开票、收款全挤在一行。一个客户分三次收、有的开发票有的开收据，一行根本写不下；合同没回来更没地方挂。</t>
    </r>
  </si>
  <si>
    <r>
      <rPr>
        <sz val="10"/>
        <rFont val="WenQuanYi Zen Hei"/>
        <family val="2"/>
      </rPr>
      <t xml:space="preserve">这一版拆成「三张流水 </t>
    </r>
    <r>
      <rPr>
        <sz val="10"/>
        <rFont val="微软雅黑"/>
        <family val="0"/>
        <charset val="1"/>
      </rPr>
      <t xml:space="preserve">+ </t>
    </r>
    <r>
      <rPr>
        <sz val="10"/>
        <rFont val="WenQuanYi Zen Hei"/>
        <family val="2"/>
      </rPr>
      <t xml:space="preserve">一张对账」：</t>
    </r>
  </si>
  <si>
    <t xml:space="preserve">　　《维保合同》—— 一个「客户项目」一行，记合同起止、年费、合同状态。台量多也不怕，一行管一个项目。</t>
  </si>
  <si>
    <t xml:space="preserve">　　《应收登记》—— 该收人家多少钱，一笔一行。维保费、维修费、配件费、报检费…都往这里记。</t>
  </si>
  <si>
    <t xml:space="preserve">　　《收款登记》—— 钱几时到、开的什么票、怎么付的，一笔一行。</t>
  </si>
  <si>
    <r>
      <rPr>
        <sz val="10"/>
        <rFont val="WenQuanYi Zen Hei"/>
        <family val="2"/>
      </rPr>
      <t xml:space="preserve">　　《应收对账》—— 全自动。每个项目的：上年结转 → 本年应收 → 已开票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未开票 → 已收（发票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收据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现金三路）→ 最后欠多少、拖了多少天。</t>
    </r>
  </si>
  <si>
    <r>
      <rPr>
        <sz val="10"/>
        <rFont val="WenQuanYi Zen Hei"/>
        <family val="2"/>
      </rPr>
      <t xml:space="preserve">串起这四张表的是一把钥匙：</t>
    </r>
    <r>
      <rPr>
        <sz val="10"/>
        <rFont val="微软雅黑"/>
        <family val="0"/>
        <charset val="1"/>
      </rPr>
      <t xml:space="preserve">E </t>
    </r>
    <r>
      <rPr>
        <sz val="10"/>
        <rFont val="WenQuanYi Zen Hei"/>
        <family val="2"/>
      </rPr>
      <t xml:space="preserve">列「客户项目」＝ 使用单位 ＋ </t>
    </r>
    <r>
      <rPr>
        <sz val="10"/>
        <rFont val="微软雅黑"/>
        <family val="0"/>
        <charset val="1"/>
      </rPr>
      <t xml:space="preserve">" </t>
    </r>
    <r>
      <rPr>
        <sz val="10"/>
        <rFont val="WenQuanYi Zen Hei"/>
        <family val="2"/>
      </rPr>
      <t xml:space="preserve">｜ </t>
    </r>
    <r>
      <rPr>
        <sz val="10"/>
        <rFont val="微软雅黑"/>
        <family val="0"/>
        <charset val="1"/>
      </rPr>
      <t xml:space="preserve">" </t>
    </r>
    <r>
      <rPr>
        <sz val="10"/>
        <rFont val="WenQuanYi Zen Hei"/>
        <family val="2"/>
      </rPr>
      <t xml:space="preserve">＋ 项目名称。同一个单位有几个小区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几栋楼，就按项目分开建行，各算各的账。</t>
    </r>
  </si>
  <si>
    <t xml:space="preserve">二、第一次用，照这个顺序填</t>
  </si>
  <si>
    <r>
      <rPr>
        <sz val="10"/>
        <rFont val="WenQuanYi Zen Hei"/>
        <family val="2"/>
      </rPr>
      <t xml:space="preserve">① 《基础资料》：把片区、梯型、维保性质、维保状态、合同状态、收费周期、费用类别、票据类型、收款方式这几张小清单改成你们自己的说法；再把第 </t>
    </r>
    <r>
      <rPr>
        <sz val="10"/>
        <rFont val="微软雅黑"/>
        <family val="0"/>
        <charset val="1"/>
      </rPr>
      <t xml:space="preserve">3 </t>
    </r>
    <r>
      <rPr>
        <sz val="10"/>
        <rFont val="WenQuanYi Zen Hei"/>
        <family val="2"/>
      </rPr>
      <t xml:space="preserve">行四个参数定一下（管理年度、合同提前提醒天数、年检提前提醒天数、欠款账龄预警天数）。</t>
    </r>
  </si>
  <si>
    <r>
      <rPr>
        <sz val="10"/>
        <rFont val="WenQuanYi Zen Hei"/>
        <family val="2"/>
      </rPr>
      <t xml:space="preserve">② 《电梯资料》：一台梯子一行。使用单位、项目名称必须填（这两列拼出钥匙）；台量一般填 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。维保状态选了「安装免保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技术免保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质保期内」的，一定要填「免保到期日」。</t>
    </r>
  </si>
  <si>
    <t xml:space="preserve">③ 《维保合同》：一个项目一行。合同没回来也先建行 —— 合同编号先空着，合同状态选「已签未回」或「未签」。</t>
  </si>
  <si>
    <t xml:space="preserve">④ 《应收登记》《收款登记》：往下记流水就行，不用分年度、不用分表。</t>
  </si>
  <si>
    <r>
      <rPr>
        <sz val="10"/>
        <rFont val="WenQuanYi Zen Hei"/>
        <family val="2"/>
      </rPr>
      <t xml:space="preserve">⑤ 填完去《核对表》扫一眼，</t>
    </r>
    <r>
      <rPr>
        <sz val="10"/>
        <rFont val="微软雅黑"/>
        <family val="0"/>
        <charset val="1"/>
      </rPr>
      <t xml:space="preserve">F </t>
    </r>
    <r>
      <rPr>
        <sz val="10"/>
        <rFont val="WenQuanYi Zen Hei"/>
        <family val="2"/>
      </rPr>
      <t xml:space="preserve">列全是「✔ 平」就对了。</t>
    </r>
  </si>
  <si>
    <t xml:space="preserve">三、合同没及时回来，只记得住单位名称 —— 怎么办</t>
  </si>
  <si>
    <r>
      <rPr>
        <sz val="10"/>
        <rFont val="WenQuanYi Zen Hei"/>
        <family val="2"/>
      </rPr>
      <t xml:space="preserve">《维保合同》里照样建行：</t>
    </r>
    <r>
      <rPr>
        <sz val="10"/>
        <rFont val="微软雅黑"/>
        <family val="0"/>
        <charset val="1"/>
      </rPr>
      <t xml:space="preserve">C </t>
    </r>
    <r>
      <rPr>
        <sz val="10"/>
        <rFont val="WenQuanYi Zen Hei"/>
        <family val="2"/>
      </rPr>
      <t xml:space="preserve">列使用单位、</t>
    </r>
    <r>
      <rPr>
        <sz val="10"/>
        <rFont val="微软雅黑"/>
        <family val="0"/>
        <charset val="1"/>
      </rPr>
      <t xml:space="preserve">D </t>
    </r>
    <r>
      <rPr>
        <sz val="10"/>
        <rFont val="WenQuanYi Zen Hei"/>
        <family val="2"/>
      </rPr>
      <t xml:space="preserve">列项目名称先填上，</t>
    </r>
    <r>
      <rPr>
        <sz val="10"/>
        <rFont val="微软雅黑"/>
        <family val="0"/>
        <charset val="1"/>
      </rPr>
      <t xml:space="preserve">F </t>
    </r>
    <r>
      <rPr>
        <sz val="10"/>
        <rFont val="WenQuanYi Zen Hei"/>
        <family val="2"/>
      </rPr>
      <t xml:space="preserve">列合同编号空着，</t>
    </r>
    <r>
      <rPr>
        <sz val="10"/>
        <rFont val="微软雅黑"/>
        <family val="0"/>
        <charset val="1"/>
      </rPr>
      <t xml:space="preserve">G </t>
    </r>
    <r>
      <rPr>
        <sz val="10"/>
        <rFont val="WenQuanYi Zen Hei"/>
        <family val="2"/>
      </rPr>
      <t xml:space="preserve">列合同状态选「已签未回」「未签」或「续签中」。</t>
    </r>
  </si>
  <si>
    <r>
      <rPr>
        <sz val="10"/>
        <rFont val="WenQuanYi Zen Hei"/>
        <family val="2"/>
      </rPr>
      <t xml:space="preserve">这样做之后：</t>
    </r>
    <r>
      <rPr>
        <sz val="10"/>
        <rFont val="微软雅黑"/>
        <family val="0"/>
        <charset val="1"/>
      </rPr>
      <t xml:space="preserve">R </t>
    </r>
    <r>
      <rPr>
        <sz val="10"/>
        <rFont val="WenQuanYi Zen Hei"/>
        <family val="2"/>
      </rPr>
      <t xml:space="preserve">列会一直挂着「▲合同未回（已签未回）」；《到期与提醒》① 里单独列一块，专门给你催合同用；《应收对账》</t>
    </r>
    <r>
      <rPr>
        <sz val="10"/>
        <rFont val="微软雅黑"/>
        <family val="0"/>
        <charset val="1"/>
      </rPr>
      <t xml:space="preserve">V </t>
    </r>
    <r>
      <rPr>
        <sz val="10"/>
        <rFont val="WenQuanYi Zen Hei"/>
        <family val="2"/>
      </rPr>
      <t xml:space="preserve">列那个项目后面也会跟一句「▲合同未回」。合同回来了，把编号补上、状态改成「已签已回」，提示自己就没了。</t>
    </r>
  </si>
  <si>
    <t xml:space="preserve">重点是：合同没回来不影响挂应收、不影响收款、不影响对账。该收的钱一分不少地记着。</t>
  </si>
  <si>
    <t xml:space="preserve">四、合同款和合同外的款：分开登记，合并收款</t>
  </si>
  <si>
    <r>
      <rPr>
        <sz val="10"/>
        <rFont val="WenQuanYi Zen Hei"/>
        <family val="2"/>
      </rPr>
      <t xml:space="preserve">登记的时候分开 —— 《应收登记》</t>
    </r>
    <r>
      <rPr>
        <sz val="10"/>
        <rFont val="微软雅黑"/>
        <family val="0"/>
        <charset val="1"/>
      </rPr>
      <t xml:space="preserve">G </t>
    </r>
    <r>
      <rPr>
        <sz val="10"/>
        <rFont val="WenQuanYi Zen Hei"/>
        <family val="2"/>
      </rPr>
      <t xml:space="preserve">列选「费用类别」，右边 </t>
    </r>
    <r>
      <rPr>
        <sz val="10"/>
        <rFont val="微软雅黑"/>
        <family val="0"/>
        <charset val="1"/>
      </rPr>
      <t xml:space="preserve">H </t>
    </r>
    <r>
      <rPr>
        <sz val="10"/>
        <rFont val="WenQuanYi Zen Hei"/>
        <family val="2"/>
      </rPr>
      <t xml:space="preserve">列自动判成「合同款」还是「合同外款」：维保费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合同维保费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补收</t>
    </r>
    <r>
      <rPr>
        <sz val="10"/>
        <rFont val="微软雅黑"/>
        <family val="0"/>
        <charset val="1"/>
      </rPr>
      <t xml:space="preserve">) </t>
    </r>
    <r>
      <rPr>
        <sz val="10"/>
        <rFont val="WenQuanYi Zen Hei"/>
        <family val="2"/>
      </rPr>
      <t xml:space="preserve">算合同款；维修费、配件费、报检费、年检费、限速器校验费、载重试验费、改造费、急修…算合同外款。这个对应关系在《基础资料》</t>
    </r>
    <r>
      <rPr>
        <sz val="10"/>
        <rFont val="微软雅黑"/>
        <family val="0"/>
        <charset val="1"/>
      </rPr>
      <t xml:space="preserve">M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N </t>
    </r>
    <r>
      <rPr>
        <sz val="10"/>
        <rFont val="WenQuanYi Zen Hei"/>
        <family val="2"/>
      </rPr>
      <t xml:space="preserve">两列，想改就在那儿改。</t>
    </r>
  </si>
  <si>
    <r>
      <rPr>
        <sz val="10"/>
        <rFont val="WenQuanYi Zen Hei"/>
        <family val="2"/>
      </rPr>
      <t xml:space="preserve">收款的时候合并 —— 客户一笔钱把维保费和维修费一起付了，《收款登记》就记一行：</t>
    </r>
    <r>
      <rPr>
        <sz val="10"/>
        <rFont val="微软雅黑"/>
        <family val="0"/>
        <charset val="1"/>
      </rPr>
      <t xml:space="preserve">K </t>
    </r>
    <r>
      <rPr>
        <sz val="10"/>
        <rFont val="WenQuanYi Zen Hei"/>
        <family val="2"/>
      </rPr>
      <t xml:space="preserve">列「款别」选「合并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不细分</t>
    </r>
    <r>
      <rPr>
        <sz val="10"/>
        <rFont val="微软雅黑"/>
        <family val="0"/>
        <charset val="1"/>
      </rPr>
      <t xml:space="preserve">)</t>
    </r>
    <r>
      <rPr>
        <sz val="10"/>
        <rFont val="WenQuanYi Zen Hei"/>
        <family val="2"/>
      </rPr>
      <t xml:space="preserve">」，</t>
    </r>
    <r>
      <rPr>
        <sz val="10"/>
        <rFont val="微软雅黑"/>
        <family val="0"/>
        <charset val="1"/>
      </rPr>
      <t xml:space="preserve">L </t>
    </r>
    <r>
      <rPr>
        <sz val="10"/>
        <rFont val="WenQuanYi Zen Hei"/>
        <family val="2"/>
      </rPr>
      <t xml:space="preserve">列关联单号留空。系统会按「先挂先冲」自动去冲这个项目最早那几笔没收完的应收。</t>
    </r>
  </si>
  <si>
    <r>
      <rPr>
        <sz val="10"/>
        <rFont val="WenQuanYi Zen Hei"/>
        <family val="2"/>
      </rPr>
      <t xml:space="preserve">如果客户特意交代「这笔是付去年那张维修费的」，就在 </t>
    </r>
    <r>
      <rPr>
        <sz val="10"/>
        <rFont val="微软雅黑"/>
        <family val="0"/>
        <charset val="1"/>
      </rPr>
      <t xml:space="preserve">L </t>
    </r>
    <r>
      <rPr>
        <sz val="10"/>
        <rFont val="WenQuanYi Zen Hei"/>
        <family val="2"/>
      </rPr>
      <t xml:space="preserve">列把那张应收单号选上 —— 指定的优先冲，剩下的再按先挂先冲走。</t>
    </r>
  </si>
  <si>
    <r>
      <rPr>
        <sz val="10"/>
        <rFont val="WenQuanYi Zen Hei"/>
        <family val="2"/>
      </rPr>
      <t xml:space="preserve">最后在《应收对账》里，本年应收会自动拆成 </t>
    </r>
    <r>
      <rPr>
        <sz val="10"/>
        <rFont val="微软雅黑"/>
        <family val="0"/>
        <charset val="1"/>
      </rPr>
      <t xml:space="preserve">J</t>
    </r>
    <r>
      <rPr>
        <sz val="10"/>
        <rFont val="WenQuanYi Zen Hei"/>
        <family val="2"/>
      </rPr>
      <t xml:space="preserve">「其中：合同款」和 </t>
    </r>
    <r>
      <rPr>
        <sz val="10"/>
        <rFont val="微软雅黑"/>
        <family val="0"/>
        <charset val="1"/>
      </rPr>
      <t xml:space="preserve">K</t>
    </r>
    <r>
      <rPr>
        <sz val="10"/>
        <rFont val="WenQuanYi Zen Hei"/>
        <family val="2"/>
      </rPr>
      <t xml:space="preserve">「其中：合同外款」两列，合起来一分不差。</t>
    </r>
  </si>
  <si>
    <t xml:space="preserve">五、合同到期提醒</t>
  </si>
  <si>
    <r>
      <rPr>
        <sz val="10"/>
        <rFont val="WenQuanYi Zen Hei"/>
        <family val="2"/>
      </rPr>
      <t xml:space="preserve">《维保合同》</t>
    </r>
    <r>
      <rPr>
        <sz val="10"/>
        <rFont val="微软雅黑"/>
        <family val="0"/>
        <charset val="1"/>
      </rPr>
      <t xml:space="preserve">Q </t>
    </r>
    <r>
      <rPr>
        <sz val="10"/>
        <rFont val="WenQuanYi Zen Hei"/>
        <family val="2"/>
      </rPr>
      <t xml:space="preserve">列自动算：合同止期到了没有、还剩几天。提前多少天开始提醒，在《基础资料》</t>
    </r>
    <r>
      <rPr>
        <sz val="10"/>
        <rFont val="微软雅黑"/>
        <family val="0"/>
        <charset val="1"/>
      </rPr>
      <t xml:space="preserve">G3 </t>
    </r>
    <r>
      <rPr>
        <sz val="10"/>
        <rFont val="WenQuanYi Zen Hei"/>
        <family val="2"/>
      </rPr>
      <t xml:space="preserve">改（默认 </t>
    </r>
    <r>
      <rPr>
        <sz val="10"/>
        <rFont val="微软雅黑"/>
        <family val="0"/>
        <charset val="1"/>
      </rPr>
      <t xml:space="preserve">60 </t>
    </r>
    <r>
      <rPr>
        <sz val="10"/>
        <rFont val="WenQuanYi Zen Hei"/>
        <family val="2"/>
      </rPr>
      <t xml:space="preserve">天）。已经过期的会显示「已到期 </t>
    </r>
    <r>
      <rPr>
        <sz val="10"/>
        <rFont val="微软雅黑"/>
        <family val="0"/>
        <charset val="1"/>
      </rPr>
      <t xml:space="preserve">XX </t>
    </r>
    <r>
      <rPr>
        <sz val="10"/>
        <rFont val="WenQuanYi Zen Hei"/>
        <family val="2"/>
      </rPr>
      <t xml:space="preserve">天」，红字。</t>
    </r>
  </si>
  <si>
    <t xml:space="preserve">《到期与提醒》① 把「快到期」和「没回签」的合同压成一张连续清单，直接照着打电话就行。</t>
  </si>
  <si>
    <t xml:space="preserve">六、开票应收、未开票应收、现金收款、最后欠款</t>
  </si>
  <si>
    <r>
      <rPr>
        <sz val="10"/>
        <rFont val="WenQuanYi Zen Hei"/>
        <family val="2"/>
      </rPr>
      <t xml:space="preserve">这四个数在《应收对账》里分别是 </t>
    </r>
    <r>
      <rPr>
        <sz val="10"/>
        <rFont val="微软雅黑"/>
        <family val="0"/>
        <charset val="1"/>
      </rPr>
      <t xml:space="preserve">R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S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Q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T </t>
    </r>
    <r>
      <rPr>
        <sz val="10"/>
        <rFont val="WenQuanYi Zen Hei"/>
        <family val="2"/>
      </rPr>
      <t xml:space="preserve">四列：</t>
    </r>
  </si>
  <si>
    <r>
      <rPr>
        <sz val="10"/>
        <rFont val="WenQuanYi Zen Hei"/>
        <family val="2"/>
      </rPr>
      <t xml:space="preserve">　　</t>
    </r>
    <r>
      <rPr>
        <sz val="10"/>
        <rFont val="微软雅黑"/>
        <family val="0"/>
        <charset val="1"/>
      </rPr>
      <t xml:space="preserve">T </t>
    </r>
    <r>
      <rPr>
        <sz val="10"/>
        <rFont val="WenQuanYi Zen Hei"/>
        <family val="2"/>
      </rPr>
      <t xml:space="preserve">欠款余额 ＝ 这个项目从头到尾「应收合计 － 收款合计」，跨多少年都算进去，这是最终口径。</t>
    </r>
  </si>
  <si>
    <r>
      <rPr>
        <sz val="10"/>
        <rFont val="WenQuanYi Zen Hei"/>
        <family val="2"/>
      </rPr>
      <t xml:space="preserve">　　</t>
    </r>
    <r>
      <rPr>
        <sz val="10"/>
        <rFont val="微软雅黑"/>
        <family val="0"/>
        <charset val="1"/>
      </rPr>
      <t xml:space="preserve">R </t>
    </r>
    <r>
      <rPr>
        <sz val="10"/>
        <rFont val="WenQuanYi Zen Hei"/>
        <family val="2"/>
      </rPr>
      <t xml:space="preserve">已开票应收 ＝ 票已经开出去了、钱还没到的那部分（累计开票额 － 累计收款，最多不超过 </t>
    </r>
    <r>
      <rPr>
        <sz val="10"/>
        <rFont val="微软雅黑"/>
        <family val="0"/>
        <charset val="1"/>
      </rPr>
      <t xml:space="preserve">T</t>
    </r>
    <r>
      <rPr>
        <sz val="10"/>
        <rFont val="WenQuanYi Zen Hei"/>
        <family val="2"/>
      </rPr>
      <t xml:space="preserve">）。这部分最好催，客户赖不掉。</t>
    </r>
  </si>
  <si>
    <r>
      <rPr>
        <sz val="10"/>
        <rFont val="WenQuanYi Zen Hei"/>
        <family val="2"/>
      </rPr>
      <t xml:space="preserve">　　</t>
    </r>
    <r>
      <rPr>
        <sz val="10"/>
        <rFont val="微软雅黑"/>
        <family val="0"/>
        <charset val="1"/>
      </rPr>
      <t xml:space="preserve">S </t>
    </r>
    <r>
      <rPr>
        <sz val="10"/>
        <rFont val="WenQuanYi Zen Hei"/>
        <family val="2"/>
      </rPr>
      <t xml:space="preserve">未开票应收 ＝ </t>
    </r>
    <r>
      <rPr>
        <sz val="10"/>
        <rFont val="微软雅黑"/>
        <family val="0"/>
        <charset val="1"/>
      </rPr>
      <t xml:space="preserve">T </t>
    </r>
    <r>
      <rPr>
        <sz val="10"/>
        <rFont val="WenQuanYi Zen Hei"/>
        <family val="2"/>
      </rPr>
      <t xml:space="preserve">－ </t>
    </r>
    <r>
      <rPr>
        <sz val="10"/>
        <rFont val="微软雅黑"/>
        <family val="0"/>
        <charset val="1"/>
      </rPr>
      <t xml:space="preserve">R</t>
    </r>
    <r>
      <rPr>
        <sz val="10"/>
        <rFont val="WenQuanYi Zen Hei"/>
        <family val="2"/>
      </rPr>
      <t xml:space="preserve">，票都还没开的那部分。要么是客户没要票，要么是还没走开票流程。</t>
    </r>
  </si>
  <si>
    <r>
      <rPr>
        <sz val="10"/>
        <rFont val="WenQuanYi Zen Hei"/>
        <family val="2"/>
      </rPr>
      <t xml:space="preserve">　　</t>
    </r>
    <r>
      <rPr>
        <sz val="10"/>
        <rFont val="微软雅黑"/>
        <family val="0"/>
        <charset val="1"/>
      </rPr>
      <t xml:space="preserve">Q </t>
    </r>
    <r>
      <rPr>
        <sz val="10"/>
        <rFont val="WenQuanYi Zen Hei"/>
        <family val="2"/>
      </rPr>
      <t xml:space="preserve">现金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无票收款 ＝ 本年收进来的、没开任何票的那部分（票据类型选「无票」的）。</t>
    </r>
  </si>
  <si>
    <r>
      <rPr>
        <sz val="10"/>
        <rFont val="WenQuanYi Zen Hei"/>
        <family val="2"/>
      </rPr>
      <t xml:space="preserve">《核对表》第 </t>
    </r>
    <r>
      <rPr>
        <sz val="10"/>
        <rFont val="微软雅黑"/>
        <family val="0"/>
        <charset val="1"/>
      </rPr>
      <t xml:space="preserve">6 </t>
    </r>
    <r>
      <rPr>
        <sz val="10"/>
        <rFont val="WenQuanYi Zen Hei"/>
        <family val="2"/>
      </rPr>
      <t xml:space="preserve">条专门盯这个：</t>
    </r>
    <r>
      <rPr>
        <sz val="10"/>
        <rFont val="微软雅黑"/>
        <family val="0"/>
        <charset val="1"/>
      </rPr>
      <t xml:space="preserve">R </t>
    </r>
    <r>
      <rPr>
        <sz val="10"/>
        <rFont val="WenQuanYi Zen Hei"/>
        <family val="2"/>
      </rPr>
      <t xml:space="preserve">＋ </t>
    </r>
    <r>
      <rPr>
        <sz val="10"/>
        <rFont val="微软雅黑"/>
        <family val="0"/>
        <charset val="1"/>
      </rPr>
      <t xml:space="preserve">S </t>
    </r>
    <r>
      <rPr>
        <sz val="10"/>
        <rFont val="WenQuanYi Zen Hei"/>
        <family val="2"/>
      </rPr>
      <t xml:space="preserve">必须等于 </t>
    </r>
    <r>
      <rPr>
        <sz val="10"/>
        <rFont val="微软雅黑"/>
        <family val="0"/>
        <charset val="1"/>
      </rPr>
      <t xml:space="preserve">T</t>
    </r>
    <r>
      <rPr>
        <sz val="10"/>
        <rFont val="WenQuanYi Zen Hei"/>
        <family val="2"/>
      </rPr>
      <t xml:space="preserve">，错不了。</t>
    </r>
  </si>
  <si>
    <t xml:space="preserve">七、收款乱：有的开发票、有的开收据、有的现金没票</t>
  </si>
  <si>
    <r>
      <rPr>
        <sz val="10"/>
        <rFont val="WenQuanYi Zen Hei"/>
        <family val="2"/>
      </rPr>
      <t xml:space="preserve">《收款登记》</t>
    </r>
    <r>
      <rPr>
        <sz val="10"/>
        <rFont val="微软雅黑"/>
        <family val="0"/>
        <charset val="1"/>
      </rPr>
      <t xml:space="preserve">H </t>
    </r>
    <r>
      <rPr>
        <sz val="10"/>
        <rFont val="WenQuanYi Zen Hei"/>
        <family val="2"/>
      </rPr>
      <t xml:space="preserve">列「票据类型」按实际开的选：增值税专用发票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增值税普通发票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电子发票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收据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无票。</t>
    </r>
    <r>
      <rPr>
        <sz val="10"/>
        <rFont val="微软雅黑"/>
        <family val="0"/>
        <charset val="1"/>
      </rPr>
      <t xml:space="preserve">I </t>
    </r>
    <r>
      <rPr>
        <sz val="10"/>
        <rFont val="WenQuanYi Zen Hei"/>
        <family val="2"/>
      </rPr>
      <t xml:space="preserve">列会自动归成三路：前三种 → 「发票」；收据 → 「收据」；无票 → 「现金无票」。</t>
    </r>
  </si>
  <si>
    <r>
      <rPr>
        <sz val="10"/>
        <rFont val="WenQuanYi Zen Hei"/>
        <family val="2"/>
      </rPr>
      <t xml:space="preserve">《应收对账》</t>
    </r>
    <r>
      <rPr>
        <sz val="10"/>
        <rFont val="微软雅黑"/>
        <family val="0"/>
        <charset val="1"/>
      </rPr>
      <t xml:space="preserve">O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P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Q </t>
    </r>
    <r>
      <rPr>
        <sz val="10"/>
        <rFont val="WenQuanYi Zen Hei"/>
        <family val="2"/>
      </rPr>
      <t xml:space="preserve">三列就是这三路各收了多少，加起来等于 </t>
    </r>
    <r>
      <rPr>
        <sz val="10"/>
        <rFont val="微软雅黑"/>
        <family val="0"/>
        <charset val="1"/>
      </rPr>
      <t xml:space="preserve">N </t>
    </r>
    <r>
      <rPr>
        <sz val="10"/>
        <rFont val="WenQuanYi Zen Hei"/>
        <family val="2"/>
      </rPr>
      <t xml:space="preserve">列本年已收（《核对表》第 </t>
    </r>
    <r>
      <rPr>
        <sz val="10"/>
        <rFont val="微软雅黑"/>
        <family val="0"/>
        <charset val="1"/>
      </rPr>
      <t xml:space="preserve">8 </t>
    </r>
    <r>
      <rPr>
        <sz val="10"/>
        <rFont val="WenQuanYi Zen Hei"/>
        <family val="2"/>
      </rPr>
      <t xml:space="preserve">条在盯）。《月度汇总》④ 还能看到五种票分别收了多少、各占几成。</t>
    </r>
  </si>
  <si>
    <r>
      <rPr>
        <sz val="10"/>
        <rFont val="WenQuanYi Zen Hei"/>
        <family val="2"/>
      </rPr>
      <t xml:space="preserve">另外 </t>
    </r>
    <r>
      <rPr>
        <sz val="10"/>
        <rFont val="微软雅黑"/>
        <family val="0"/>
        <charset val="1"/>
      </rPr>
      <t xml:space="preserve">J </t>
    </r>
    <r>
      <rPr>
        <sz val="10"/>
        <rFont val="WenQuanYi Zen Hei"/>
        <family val="2"/>
      </rPr>
      <t xml:space="preserve">列「收款方式」记的是钱怎么进来的（银行转账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现金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微信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支付宝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承兑汇票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抵扣冲账），跟开什么票是两回事，别混。</t>
    </r>
  </si>
  <si>
    <r>
      <rPr>
        <b val="true"/>
        <sz val="11"/>
        <color rgb="FF1F4E79"/>
        <rFont val="WenQuanYi Zen Hei"/>
        <family val="2"/>
      </rPr>
      <t xml:space="preserve">八、</t>
    </r>
    <r>
      <rPr>
        <b val="true"/>
        <sz val="11"/>
        <color rgb="FF1F4E79"/>
        <rFont val="微软雅黑"/>
        <family val="0"/>
        <charset val="1"/>
      </rPr>
      <t xml:space="preserve">26 </t>
    </r>
    <r>
      <rPr>
        <b val="true"/>
        <sz val="11"/>
        <color rgb="FF1F4E79"/>
        <rFont val="WenQuanYi Zen Hei"/>
        <family val="2"/>
      </rPr>
      <t xml:space="preserve">年的应收款怎么接到 </t>
    </r>
    <r>
      <rPr>
        <b val="true"/>
        <sz val="11"/>
        <color rgb="FF1F4E79"/>
        <rFont val="微软雅黑"/>
        <family val="0"/>
        <charset val="1"/>
      </rPr>
      <t xml:space="preserve">27 </t>
    </r>
    <r>
      <rPr>
        <b val="true"/>
        <sz val="11"/>
        <color rgb="FF1F4E79"/>
        <rFont val="WenQuanYi Zen Hei"/>
        <family val="2"/>
      </rPr>
      <t xml:space="preserve">年 —— 这表能连续用很多年</t>
    </r>
  </si>
  <si>
    <t xml:space="preserve">《应收登记》《收款登记》两张流水不分年度，一直往下记就行，过年不用新建表、不用搬数。</t>
  </si>
  <si>
    <r>
      <rPr>
        <sz val="10"/>
        <rFont val="WenQuanYi Zen Hei"/>
        <family val="2"/>
      </rPr>
      <t xml:space="preserve">到了 </t>
    </r>
    <r>
      <rPr>
        <sz val="10"/>
        <rFont val="微软雅黑"/>
        <family val="0"/>
        <charset val="1"/>
      </rPr>
      <t xml:space="preserve">27 </t>
    </r>
    <r>
      <rPr>
        <sz val="10"/>
        <rFont val="WenQuanYi Zen Hei"/>
        <family val="2"/>
      </rPr>
      <t xml:space="preserve">年，只做一个动作：把《基础资料》</t>
    </r>
    <r>
      <rPr>
        <sz val="10"/>
        <rFont val="微软雅黑"/>
        <family val="0"/>
        <charset val="1"/>
      </rPr>
      <t xml:space="preserve">B3 </t>
    </r>
    <r>
      <rPr>
        <sz val="10"/>
        <rFont val="WenQuanYi Zen Hei"/>
        <family val="2"/>
      </rPr>
      <t xml:space="preserve">的「管理年度」从 </t>
    </r>
    <r>
      <rPr>
        <sz val="10"/>
        <rFont val="微软雅黑"/>
        <family val="0"/>
        <charset val="1"/>
      </rPr>
      <t xml:space="preserve">2026 </t>
    </r>
    <r>
      <rPr>
        <sz val="10"/>
        <rFont val="WenQuanYi Zen Hei"/>
        <family val="2"/>
      </rPr>
      <t xml:space="preserve">改成 </t>
    </r>
    <r>
      <rPr>
        <sz val="10"/>
        <rFont val="微软雅黑"/>
        <family val="0"/>
        <charset val="1"/>
      </rPr>
      <t xml:space="preserve">2027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</si>
  <si>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然后《应收对账》</t>
    </r>
    <r>
      <rPr>
        <sz val="10"/>
        <rFont val="微软雅黑"/>
        <family val="0"/>
        <charset val="1"/>
      </rPr>
      <t xml:space="preserve">H </t>
    </r>
    <r>
      <rPr>
        <sz val="10"/>
        <rFont val="WenQuanYi Zen Hei"/>
        <family val="2"/>
      </rPr>
      <t xml:space="preserve">列「上年结转欠款」会自动算成「</t>
    </r>
    <r>
      <rPr>
        <sz val="10"/>
        <rFont val="微软雅黑"/>
        <family val="0"/>
        <charset val="1"/>
      </rPr>
      <t xml:space="preserve">2027 </t>
    </r>
    <r>
      <rPr>
        <sz val="10"/>
        <rFont val="WenQuanYi Zen Hei"/>
        <family val="2"/>
      </rPr>
      <t xml:space="preserve">年以前的应收 － </t>
    </r>
    <r>
      <rPr>
        <sz val="10"/>
        <rFont val="微软雅黑"/>
        <family val="0"/>
        <charset val="1"/>
      </rPr>
      <t xml:space="preserve">2027 </t>
    </r>
    <r>
      <rPr>
        <sz val="10"/>
        <rFont val="WenQuanYi Zen Hei"/>
        <family val="2"/>
      </rPr>
      <t xml:space="preserve">年以前的收款」，也就是 </t>
    </r>
    <r>
      <rPr>
        <sz val="10"/>
        <rFont val="微软雅黑"/>
        <family val="0"/>
        <charset val="1"/>
      </rPr>
      <t xml:space="preserve">26 </t>
    </r>
    <r>
      <rPr>
        <sz val="10"/>
        <rFont val="WenQuanYi Zen Hei"/>
        <family val="2"/>
      </rPr>
      <t xml:space="preserve">年（以及更早）没收完的钱，自动变成 </t>
    </r>
    <r>
      <rPr>
        <sz val="10"/>
        <rFont val="微软雅黑"/>
        <family val="0"/>
        <charset val="1"/>
      </rPr>
      <t xml:space="preserve">27 </t>
    </r>
    <r>
      <rPr>
        <sz val="10"/>
        <rFont val="WenQuanYi Zen Hei"/>
        <family val="2"/>
      </rPr>
      <t xml:space="preserve">年的期初。</t>
    </r>
    <r>
      <rPr>
        <sz val="10"/>
        <rFont val="微软雅黑"/>
        <family val="0"/>
        <charset val="1"/>
      </rPr>
      <t xml:space="preserve">I </t>
    </r>
    <r>
      <rPr>
        <sz val="10"/>
        <rFont val="WenQuanYi Zen Hei"/>
        <family val="2"/>
      </rPr>
      <t xml:space="preserve">列本年应收、</t>
    </r>
    <r>
      <rPr>
        <sz val="10"/>
        <rFont val="微软雅黑"/>
        <family val="0"/>
        <charset val="1"/>
      </rPr>
      <t xml:space="preserve">N </t>
    </r>
    <r>
      <rPr>
        <sz val="10"/>
        <rFont val="WenQuanYi Zen Hei"/>
        <family val="2"/>
      </rPr>
      <t xml:space="preserve">列本年已收自动只看 </t>
    </r>
    <r>
      <rPr>
        <sz val="10"/>
        <rFont val="微软雅黑"/>
        <family val="0"/>
        <charset val="1"/>
      </rPr>
      <t xml:space="preserve">2027 </t>
    </r>
    <r>
      <rPr>
        <sz val="10"/>
        <rFont val="WenQuanYi Zen Hei"/>
        <family val="2"/>
      </rPr>
      <t xml:space="preserve">年的。</t>
    </r>
    <r>
      <rPr>
        <sz val="10"/>
        <rFont val="微软雅黑"/>
        <family val="0"/>
        <charset val="1"/>
      </rPr>
      <t xml:space="preserve">T </t>
    </r>
    <r>
      <rPr>
        <sz val="10"/>
        <rFont val="WenQuanYi Zen Hei"/>
        <family val="2"/>
      </rPr>
      <t xml:space="preserve">列欠款余额本来就是全累计，跨几年都准。</t>
    </r>
  </si>
  <si>
    <r>
      <rPr>
        <sz val="10"/>
        <rFont val="WenQuanYi Zen Hei"/>
        <family val="2"/>
      </rPr>
      <t xml:space="preserve">《核对表》第 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、第 </t>
    </r>
    <r>
      <rPr>
        <sz val="10"/>
        <rFont val="微软雅黑"/>
        <family val="0"/>
        <charset val="1"/>
      </rPr>
      <t xml:space="preserve">5 </t>
    </r>
    <r>
      <rPr>
        <sz val="10"/>
        <rFont val="WenQuanYi Zen Hei"/>
        <family val="2"/>
      </rPr>
      <t xml:space="preserve">条就是专门验这个衔接的，改完年度去看一眼是不是还「✔ 平」。</t>
    </r>
  </si>
  <si>
    <r>
      <rPr>
        <sz val="10"/>
        <rFont val="WenQuanYi Zen Hei"/>
        <family val="2"/>
      </rPr>
      <t xml:space="preserve">想回头看 </t>
    </r>
    <r>
      <rPr>
        <sz val="10"/>
        <rFont val="微软雅黑"/>
        <family val="0"/>
        <charset val="1"/>
      </rPr>
      <t xml:space="preserve">26 </t>
    </r>
    <r>
      <rPr>
        <sz val="10"/>
        <rFont val="WenQuanYi Zen Hei"/>
        <family val="2"/>
      </rPr>
      <t xml:space="preserve">年的账？把管理年度改回 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，整套表立刻变回 </t>
    </r>
    <r>
      <rPr>
        <sz val="10"/>
        <rFont val="微软雅黑"/>
        <family val="0"/>
        <charset val="1"/>
      </rPr>
      <t xml:space="preserve">26 </t>
    </r>
    <r>
      <rPr>
        <sz val="10"/>
        <rFont val="WenQuanYi Zen Hei"/>
        <family val="2"/>
      </rPr>
      <t xml:space="preserve">年口径，看完再改回来，数据一个字都不会变。</t>
    </r>
  </si>
  <si>
    <t xml:space="preserve">九、维保状态：安装免保、技术免保怎么记</t>
  </si>
  <si>
    <r>
      <rPr>
        <sz val="10"/>
        <rFont val="WenQuanYi Zen Hei"/>
        <family val="2"/>
      </rPr>
      <t xml:space="preserve">《电梯资料》</t>
    </r>
    <r>
      <rPr>
        <sz val="10"/>
        <rFont val="微软雅黑"/>
        <family val="0"/>
        <charset val="1"/>
      </rPr>
      <t xml:space="preserve">Y </t>
    </r>
    <r>
      <rPr>
        <sz val="10"/>
        <rFont val="WenQuanYi Zen Hei"/>
        <family val="2"/>
      </rPr>
      <t xml:space="preserve">列选：正常维保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安装免保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技术免保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质保期内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暂停维保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已解约。选了前三种里的免保类型，</t>
    </r>
    <r>
      <rPr>
        <sz val="10"/>
        <rFont val="微软雅黑"/>
        <family val="0"/>
        <charset val="1"/>
      </rPr>
      <t xml:space="preserve">Z </t>
    </r>
    <r>
      <rPr>
        <sz val="10"/>
        <rFont val="WenQuanYi Zen Hei"/>
        <family val="2"/>
      </rPr>
      <t xml:space="preserve">列「免保到期日」必须填 —— 不填 </t>
    </r>
    <r>
      <rPr>
        <sz val="10"/>
        <rFont val="微软雅黑"/>
        <family val="0"/>
        <charset val="1"/>
      </rPr>
      <t xml:space="preserve">AE </t>
    </r>
    <r>
      <rPr>
        <sz val="10"/>
        <rFont val="WenQuanYi Zen Hei"/>
        <family val="2"/>
      </rPr>
      <t xml:space="preserve">列会报「★免保到期日没填」。</t>
    </r>
  </si>
  <si>
    <r>
      <rPr>
        <sz val="10"/>
        <rFont val="WenQuanYi Zen Hei"/>
        <family val="2"/>
      </rPr>
      <t xml:space="preserve">免保到期前后，</t>
    </r>
    <r>
      <rPr>
        <sz val="10"/>
        <rFont val="微软雅黑"/>
        <family val="0"/>
        <charset val="1"/>
      </rPr>
      <t xml:space="preserve">AC </t>
    </r>
    <r>
      <rPr>
        <sz val="10"/>
        <rFont val="WenQuanYi Zen Hei"/>
        <family val="2"/>
      </rPr>
      <t xml:space="preserve">列会提示「免保还剩 </t>
    </r>
    <r>
      <rPr>
        <sz val="10"/>
        <rFont val="微软雅黑"/>
        <family val="0"/>
        <charset val="1"/>
      </rPr>
      <t xml:space="preserve">XX </t>
    </r>
    <r>
      <rPr>
        <sz val="10"/>
        <rFont val="WenQuanYi Zen Hei"/>
        <family val="2"/>
      </rPr>
      <t xml:space="preserve">天」→「▲免保已到期 该转收费了」，《到期与提醒》③ 也单列一块，免得免保期过了还在白干。</t>
    </r>
  </si>
  <si>
    <r>
      <rPr>
        <sz val="10"/>
        <rFont val="WenQuanYi Zen Hei"/>
        <family val="2"/>
      </rPr>
      <t xml:space="preserve">《维保合同》</t>
    </r>
    <r>
      <rPr>
        <sz val="10"/>
        <rFont val="微软雅黑"/>
        <family val="0"/>
        <charset val="1"/>
      </rPr>
      <t xml:space="preserve">O </t>
    </r>
    <r>
      <rPr>
        <sz val="10"/>
        <rFont val="WenQuanYi Zen Hei"/>
        <family val="2"/>
      </rPr>
      <t xml:space="preserve">列「免保台量」、</t>
    </r>
    <r>
      <rPr>
        <sz val="10"/>
        <rFont val="微软雅黑"/>
        <family val="0"/>
        <charset val="1"/>
      </rPr>
      <t xml:space="preserve">P </t>
    </r>
    <r>
      <rPr>
        <sz val="10"/>
        <rFont val="WenQuanYi Zen Hei"/>
        <family val="2"/>
      </rPr>
      <t xml:space="preserve">列「收费台量」会自动按电梯的维保状态算出来，一眼看出这个项目实际该按几台收钱。</t>
    </r>
  </si>
  <si>
    <t xml:space="preserve">十、年检、限速器校验、载重试验提醒</t>
  </si>
  <si>
    <r>
      <rPr>
        <sz val="10"/>
        <rFont val="WenQuanYi Zen Hei"/>
        <family val="2"/>
      </rPr>
      <t xml:space="preserve">《电梯资料》</t>
    </r>
    <r>
      <rPr>
        <sz val="10"/>
        <rFont val="微软雅黑"/>
        <family val="0"/>
        <charset val="1"/>
      </rPr>
      <t xml:space="preserve">T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U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V </t>
    </r>
    <r>
      <rPr>
        <sz val="10"/>
        <rFont val="WenQuanYi Zen Hei"/>
        <family val="2"/>
      </rPr>
      <t xml:space="preserve">三列填下次到期日。</t>
    </r>
    <r>
      <rPr>
        <sz val="10"/>
        <rFont val="微软雅黑"/>
        <family val="0"/>
        <charset val="1"/>
      </rPr>
      <t xml:space="preserve">AA </t>
    </r>
    <r>
      <rPr>
        <sz val="10"/>
        <rFont val="WenQuanYi Zen Hei"/>
        <family val="2"/>
      </rPr>
      <t xml:space="preserve">列盯年检，</t>
    </r>
    <r>
      <rPr>
        <sz val="10"/>
        <rFont val="微软雅黑"/>
        <family val="0"/>
        <charset val="1"/>
      </rPr>
      <t xml:space="preserve">AB </t>
    </r>
    <r>
      <rPr>
        <sz val="10"/>
        <rFont val="WenQuanYi Zen Hei"/>
        <family val="2"/>
      </rPr>
      <t xml:space="preserve">列盯限速器校验和载重试验（取两者里较早的那个）。提前多少天提醒在《基础资料》</t>
    </r>
    <r>
      <rPr>
        <sz val="10"/>
        <rFont val="微软雅黑"/>
        <family val="0"/>
        <charset val="1"/>
      </rPr>
      <t xml:space="preserve">K3 </t>
    </r>
    <r>
      <rPr>
        <sz val="10"/>
        <rFont val="WenQuanYi Zen Hei"/>
        <family val="2"/>
      </rPr>
      <t xml:space="preserve">改（默认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天）。</t>
    </r>
  </si>
  <si>
    <t xml:space="preserve">《到期与提醒》② 把所有该约检的梯子压成一张清单，「剩余天数」是红色负数就是已经过期了。</t>
  </si>
  <si>
    <t xml:space="preserve">十一、日常动作清单</t>
  </si>
  <si>
    <t xml:space="preserve">每天：有维修、有换件、有报检 —— 《应收登记》加一行；有钱到账 —— 《收款登记》加一行。</t>
  </si>
  <si>
    <t xml:space="preserve">每周：打开《到期与提醒》，① 催合同、② 约年检、③ 转收费、④ 催款，四块顺着做一遍。</t>
  </si>
  <si>
    <t xml:space="preserve">每月：看《月度汇总》①，本月应收多少、收回来多少、累计还欠多少；看《应收对账》，按欠款余额从大到小排一排（用筛选）。</t>
  </si>
  <si>
    <r>
      <rPr>
        <sz val="10"/>
        <rFont val="WenQuanYi Zen Hei"/>
        <family val="2"/>
      </rPr>
      <t xml:space="preserve">每年：《基础资料》</t>
    </r>
    <r>
      <rPr>
        <sz val="10"/>
        <rFont val="微软雅黑"/>
        <family val="0"/>
        <charset val="1"/>
      </rPr>
      <t xml:space="preserve">B3 </t>
    </r>
    <r>
      <rPr>
        <sz val="10"/>
        <rFont val="WenQuanYi Zen Hei"/>
        <family val="2"/>
      </rPr>
      <t xml:space="preserve">改年度；《维保合同》里到期的续签、改合同起止和年费。</t>
    </r>
  </si>
  <si>
    <t xml:space="preserve">十二、几个容易踩的坑</t>
  </si>
  <si>
    <r>
      <rPr>
        <sz val="10"/>
        <rFont val="WenQuanYi Zen Hei"/>
        <family val="2"/>
      </rPr>
      <t xml:space="preserve">① 淡黄格＝手工填，浅灰格＝公式自动算。往灰格里打字会把公式覆盖掉，那一行就废了。不小心覆盖了，按 </t>
    </r>
    <r>
      <rPr>
        <sz val="10"/>
        <rFont val="微软雅黑"/>
        <family val="0"/>
        <charset val="1"/>
      </rPr>
      <t xml:space="preserve">Ctrl+Z </t>
    </r>
    <r>
      <rPr>
        <sz val="10"/>
        <rFont val="WenQuanYi Zen Hei"/>
        <family val="2"/>
      </rPr>
      <t xml:space="preserve">撤销，或者从上下相邻行往下拉一下把公式补回来。</t>
    </r>
  </si>
  <si>
    <t xml:space="preserve">② 「客户项目」一定要从下拉里选，别手打。手打多一个空格、少一个字，就对不上号了，核对列会报「★《维保合同》里没这个项目」。</t>
  </si>
  <si>
    <r>
      <rPr>
        <sz val="10"/>
        <rFont val="WenQuanYi Zen Hei"/>
        <family val="2"/>
      </rPr>
      <t xml:space="preserve">③ 《维保合同》里一个「客户项目」只能建一行，建重了 </t>
    </r>
    <r>
      <rPr>
        <sz val="10"/>
        <rFont val="微软雅黑"/>
        <family val="0"/>
        <charset val="1"/>
      </rPr>
      <t xml:space="preserve">X </t>
    </r>
    <r>
      <rPr>
        <sz val="10"/>
        <rFont val="WenQuanYi Zen Hei"/>
        <family val="2"/>
      </rPr>
      <t xml:space="preserve">列报「★键重复」，对账数会翻倍。</t>
    </r>
  </si>
  <si>
    <t xml:space="preserve">④ 金额全部按含税价填，跟开票金额、到账金额一致就行，这套表不单独拆税。</t>
  </si>
  <si>
    <r>
      <rPr>
        <sz val="10"/>
        <rFont val="WenQuanYi Zen Hei"/>
        <family val="2"/>
      </rPr>
      <t xml:space="preserve">⑤ 关联应收单号是选填的，不填不影响对账总数，只影响《应收登记》</t>
    </r>
    <r>
      <rPr>
        <sz val="10"/>
        <rFont val="微软雅黑"/>
        <family val="0"/>
        <charset val="1"/>
      </rPr>
      <t xml:space="preserve">P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Q </t>
    </r>
    <r>
      <rPr>
        <sz val="10"/>
        <rFont val="WenQuanYi Zen Hei"/>
        <family val="2"/>
      </rPr>
      <t xml:space="preserve">两列那一行显示得准不准。</t>
    </r>
  </si>
  <si>
    <r>
      <rPr>
        <sz val="10"/>
        <rFont val="WenQuanYi Zen Hei"/>
        <family val="2"/>
      </rPr>
      <t xml:space="preserve">⑥ 改完数据数字没变，按 </t>
    </r>
    <r>
      <rPr>
        <sz val="10"/>
        <rFont val="微软雅黑"/>
        <family val="0"/>
        <charset val="1"/>
      </rPr>
      <t xml:space="preserve">Ctrl</t>
    </r>
    <r>
      <rPr>
        <sz val="10"/>
        <rFont val="WenQuanYi Zen Hei"/>
        <family val="2"/>
      </rPr>
      <t xml:space="preserve">＋</t>
    </r>
    <r>
      <rPr>
        <sz val="10"/>
        <rFont val="微软雅黑"/>
        <family val="0"/>
        <charset val="1"/>
      </rPr>
      <t xml:space="preserve">Alt</t>
    </r>
    <r>
      <rPr>
        <sz val="10"/>
        <rFont val="WenQuanYi Zen Hei"/>
        <family val="2"/>
      </rPr>
      <t xml:space="preserve">＋</t>
    </r>
    <r>
      <rPr>
        <sz val="10"/>
        <rFont val="微软雅黑"/>
        <family val="0"/>
        <charset val="1"/>
      </rPr>
      <t xml:space="preserve">F9 </t>
    </r>
    <r>
      <rPr>
        <sz val="10"/>
        <rFont val="WenQuanYi Zen Hei"/>
        <family val="2"/>
      </rPr>
      <t xml:space="preserve">强制重算一次。</t>
    </r>
  </si>
  <si>
    <r>
      <rPr>
        <sz val="10"/>
        <rFont val="WenQuanYi Zen Hei"/>
        <family val="2"/>
      </rPr>
      <t xml:space="preserve">⑦ 行不够了：选中最后一行整行，往下拖填充柄，公式和下拉都会跟着复制。《电梯资料》留了 </t>
    </r>
    <r>
      <rPr>
        <sz val="10"/>
        <rFont val="微软雅黑"/>
        <family val="0"/>
        <charset val="1"/>
      </rPr>
      <t xml:space="preserve">600 </t>
    </r>
    <r>
      <rPr>
        <sz val="10"/>
        <rFont val="WenQuanYi Zen Hei"/>
        <family val="2"/>
      </rPr>
      <t xml:space="preserve">行、《维保合同》《应收对账》</t>
    </r>
    <r>
      <rPr>
        <sz val="10"/>
        <rFont val="微软雅黑"/>
        <family val="0"/>
        <charset val="1"/>
      </rPr>
      <t xml:space="preserve">300 </t>
    </r>
    <r>
      <rPr>
        <sz val="10"/>
        <rFont val="WenQuanYi Zen Hei"/>
        <family val="2"/>
      </rPr>
      <t xml:space="preserve">行、《应收登记》</t>
    </r>
    <r>
      <rPr>
        <sz val="10"/>
        <rFont val="微软雅黑"/>
        <family val="0"/>
        <charset val="1"/>
      </rPr>
      <t xml:space="preserve">1500 </t>
    </r>
    <r>
      <rPr>
        <sz val="10"/>
        <rFont val="WenQuanYi Zen Hei"/>
        <family val="2"/>
      </rPr>
      <t xml:space="preserve">行、《收款登记》</t>
    </r>
    <r>
      <rPr>
        <sz val="10"/>
        <rFont val="微软雅黑"/>
        <family val="0"/>
        <charset val="1"/>
      </rPr>
      <t xml:space="preserve">2000 </t>
    </r>
    <r>
      <rPr>
        <sz val="10"/>
        <rFont val="WenQuanYi Zen Hei"/>
        <family val="2"/>
      </rPr>
      <t xml:space="preserve">行，一般够用好几年。</t>
    </r>
  </si>
  <si>
    <r>
      <rPr>
        <b val="true"/>
        <sz val="15"/>
        <color rgb="FFFFFFFF"/>
        <rFont val="WenQuanYi Zen Hei"/>
        <family val="2"/>
      </rPr>
      <t xml:space="preserve">基 础 资 料 </t>
    </r>
    <r>
      <rPr>
        <b val="true"/>
        <sz val="15"/>
        <color rgb="FFFFFFFF"/>
        <rFont val="微软雅黑"/>
        <family val="0"/>
        <charset val="1"/>
      </rPr>
      <t xml:space="preserve">· </t>
    </r>
    <r>
      <rPr>
        <b val="true"/>
        <sz val="15"/>
        <color rgb="FFFFFFFF"/>
        <rFont val="WenQuanYi Zen Hei"/>
        <family val="2"/>
      </rPr>
      <t xml:space="preserve">清单和参数都在这里维护</t>
    </r>
  </si>
  <si>
    <t xml:space="preserve">★ 淡黄＝要你填，浅灰＝公式自动算。这一页改了，后面所有表的下拉和提醒跟着变。
★ 「费用类别」右边那列「款别」决定这笔钱算合同款还是合同外款；「票据类型」右边那列「收款归类」决定收款算发票、收据还是现金无票 —— 这两列别乱改。</t>
  </si>
  <si>
    <t xml:space="preserve">报表按这个年度算「本年」，上年欠款自动结转成期初。换年只改这一格。</t>
  </si>
  <si>
    <r>
      <rPr>
        <b val="true"/>
        <sz val="10"/>
        <color rgb="FF1F4E79"/>
        <rFont val="WenQuanYi Zen Hei"/>
        <family val="2"/>
      </rPr>
      <t xml:space="preserve">合同到期提前提醒</t>
    </r>
    <r>
      <rPr>
        <b val="true"/>
        <sz val="10"/>
        <color rgb="FF1F4E79"/>
        <rFont val="微软雅黑"/>
        <family val="0"/>
        <charset val="1"/>
      </rPr>
      <t xml:space="preserve">(</t>
    </r>
    <r>
      <rPr>
        <b val="true"/>
        <sz val="10"/>
        <color rgb="FF1F4E79"/>
        <rFont val="WenQuanYi Zen Hei"/>
        <family val="2"/>
      </rPr>
      <t xml:space="preserve">天</t>
    </r>
    <r>
      <rPr>
        <b val="true"/>
        <sz val="10"/>
        <color rgb="FF1F4E79"/>
        <rFont val="微软雅黑"/>
        <family val="0"/>
        <charset val="1"/>
      </rPr>
      <t xml:space="preserve">)</t>
    </r>
  </si>
  <si>
    <t xml:space="preserve">合同止期在这个天数内就进提醒。</t>
  </si>
  <si>
    <r>
      <rPr>
        <b val="true"/>
        <sz val="10"/>
        <color rgb="FF1F4E79"/>
        <rFont val="WenQuanYi Zen Hei"/>
        <family val="2"/>
      </rPr>
      <t xml:space="preserve">年检</t>
    </r>
    <r>
      <rPr>
        <b val="true"/>
        <sz val="10"/>
        <color rgb="FF1F4E79"/>
        <rFont val="微软雅黑"/>
        <family val="0"/>
        <charset val="1"/>
      </rPr>
      <t xml:space="preserve">/</t>
    </r>
    <r>
      <rPr>
        <b val="true"/>
        <sz val="10"/>
        <color rgb="FF1F4E79"/>
        <rFont val="WenQuanYi Zen Hei"/>
        <family val="2"/>
      </rPr>
      <t xml:space="preserve">校验提前提醒</t>
    </r>
    <r>
      <rPr>
        <b val="true"/>
        <sz val="10"/>
        <color rgb="FF1F4E79"/>
        <rFont val="微软雅黑"/>
        <family val="0"/>
        <charset val="1"/>
      </rPr>
      <t xml:space="preserve">(</t>
    </r>
    <r>
      <rPr>
        <b val="true"/>
        <sz val="10"/>
        <color rgb="FF1F4E79"/>
        <rFont val="WenQuanYi Zen Hei"/>
        <family val="2"/>
      </rPr>
      <t xml:space="preserve">天</t>
    </r>
    <r>
      <rPr>
        <b val="true"/>
        <sz val="10"/>
        <color rgb="FF1F4E79"/>
        <rFont val="微软雅黑"/>
        <family val="0"/>
        <charset val="1"/>
      </rPr>
      <t xml:space="preserve">)</t>
    </r>
  </si>
  <si>
    <t xml:space="preserve">年检、限速器、载重试验到期前多少天提醒。</t>
  </si>
  <si>
    <r>
      <rPr>
        <b val="true"/>
        <sz val="10"/>
        <color rgb="FF1F4E79"/>
        <rFont val="WenQuanYi Zen Hei"/>
        <family val="2"/>
      </rPr>
      <t xml:space="preserve">欠款账龄预警</t>
    </r>
    <r>
      <rPr>
        <b val="true"/>
        <sz val="10"/>
        <color rgb="FF1F4E79"/>
        <rFont val="微软雅黑"/>
        <family val="0"/>
        <charset val="1"/>
      </rPr>
      <t xml:space="preserve">(</t>
    </r>
    <r>
      <rPr>
        <b val="true"/>
        <sz val="10"/>
        <color rgb="FF1F4E79"/>
        <rFont val="WenQuanYi Zen Hei"/>
        <family val="2"/>
      </rPr>
      <t xml:space="preserve">天</t>
    </r>
    <r>
      <rPr>
        <b val="true"/>
        <sz val="10"/>
        <color rgb="FF1F4E79"/>
        <rFont val="微软雅黑"/>
        <family val="0"/>
        <charset val="1"/>
      </rPr>
      <t xml:space="preserve">)</t>
    </r>
  </si>
  <si>
    <t xml:space="preserve">最早一笔没收清的应收拖过这个天数就报警。</t>
  </si>
  <si>
    <r>
      <rPr>
        <b val="true"/>
        <sz val="10"/>
        <color rgb="FFFFFFFF"/>
        <rFont val="WenQuanYi Zen Hei"/>
        <family val="2"/>
      </rPr>
      <t xml:space="preserve">片区 </t>
    </r>
    <r>
      <rPr>
        <b val="true"/>
        <sz val="10"/>
        <color rgb="FFFFFFFF"/>
        <rFont val="微软雅黑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站点</t>
    </r>
  </si>
  <si>
    <t xml:space="preserve">梯型</t>
  </si>
  <si>
    <t xml:space="preserve">维保性质</t>
  </si>
  <si>
    <t xml:space="preserve">维保状态</t>
  </si>
  <si>
    <t xml:space="preserve">合同状态</t>
  </si>
  <si>
    <t xml:space="preserve">收费周期</t>
  </si>
  <si>
    <t xml:space="preserve">费用类别</t>
  </si>
  <si>
    <t xml:space="preserve">款别 ★</t>
  </si>
  <si>
    <t xml:space="preserve">票据类型</t>
  </si>
  <si>
    <t xml:space="preserve">收款归类 ★</t>
  </si>
  <si>
    <t xml:space="preserve">收款方式</t>
  </si>
  <si>
    <t xml:space="preserve">漯河许昌</t>
  </si>
  <si>
    <t xml:space="preserve">客梯</t>
  </si>
  <si>
    <t xml:space="preserve">全包</t>
  </si>
  <si>
    <t xml:space="preserve">正常维保</t>
  </si>
  <si>
    <t xml:space="preserve">已签已回</t>
  </si>
  <si>
    <t xml:space="preserve">一次性</t>
  </si>
  <si>
    <t xml:space="preserve">维保费</t>
  </si>
  <si>
    <t xml:space="preserve">合同款</t>
  </si>
  <si>
    <t xml:space="preserve">增值税专用发票</t>
  </si>
  <si>
    <t xml:space="preserve">发票</t>
  </si>
  <si>
    <t xml:space="preserve">银行转账</t>
  </si>
  <si>
    <t xml:space="preserve">开封商丘周口</t>
  </si>
  <si>
    <t xml:space="preserve">货梯</t>
  </si>
  <si>
    <t xml:space="preserve">半包</t>
  </si>
  <si>
    <t xml:space="preserve">安装免保</t>
  </si>
  <si>
    <t xml:space="preserve">已签未回</t>
  </si>
  <si>
    <t xml:space="preserve">半年一次</t>
  </si>
  <si>
    <r>
      <rPr>
        <sz val="10"/>
        <rFont val="WenQuanYi Zen Hei"/>
        <family val="2"/>
      </rPr>
      <t xml:space="preserve">合同维保费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补收</t>
    </r>
    <r>
      <rPr>
        <sz val="10"/>
        <rFont val="微软雅黑"/>
        <family val="0"/>
        <charset val="1"/>
      </rPr>
      <t xml:space="preserve">)</t>
    </r>
  </si>
  <si>
    <t xml:space="preserve">增值税普通发票</t>
  </si>
  <si>
    <t xml:space="preserve">现金</t>
  </si>
  <si>
    <t xml:space="preserve">鹤壁新乡</t>
  </si>
  <si>
    <r>
      <rPr>
        <sz val="10"/>
        <rFont val="WenQuanYi Zen Hei"/>
        <family val="2"/>
      </rPr>
      <t xml:space="preserve">客梯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无机房</t>
    </r>
    <r>
      <rPr>
        <sz val="10"/>
        <rFont val="微软雅黑"/>
        <family val="0"/>
        <charset val="1"/>
      </rPr>
      <t xml:space="preserve">)</t>
    </r>
  </si>
  <si>
    <t xml:space="preserve">清包</t>
  </si>
  <si>
    <t xml:space="preserve">技术免保</t>
  </si>
  <si>
    <t xml:space="preserve">未签</t>
  </si>
  <si>
    <t xml:space="preserve">季度一次</t>
  </si>
  <si>
    <t xml:space="preserve">维修费</t>
  </si>
  <si>
    <t xml:space="preserve">合同外款</t>
  </si>
  <si>
    <t xml:space="preserve">电子发票</t>
  </si>
  <si>
    <t xml:space="preserve">微信</t>
  </si>
  <si>
    <t xml:space="preserve">信阳驻马店</t>
  </si>
  <si>
    <t xml:space="preserve">医梯</t>
  </si>
  <si>
    <t xml:space="preserve">大包</t>
  </si>
  <si>
    <t xml:space="preserve">质保期内</t>
  </si>
  <si>
    <t xml:space="preserve">续签中</t>
  </si>
  <si>
    <t xml:space="preserve">月度</t>
  </si>
  <si>
    <t xml:space="preserve">配件费</t>
  </si>
  <si>
    <t xml:space="preserve">收据</t>
  </si>
  <si>
    <t xml:space="preserve">支付宝</t>
  </si>
  <si>
    <t xml:space="preserve">平顶山郑州</t>
  </si>
  <si>
    <t xml:space="preserve">扶梯</t>
  </si>
  <si>
    <t xml:space="preserve">只保养</t>
  </si>
  <si>
    <t xml:space="preserve">暂停维保</t>
  </si>
  <si>
    <t xml:space="preserve">已终止</t>
  </si>
  <si>
    <t xml:space="preserve">按次</t>
  </si>
  <si>
    <t xml:space="preserve">报检费</t>
  </si>
  <si>
    <t xml:space="preserve">无票</t>
  </si>
  <si>
    <t xml:space="preserve">现金无票</t>
  </si>
  <si>
    <t xml:space="preserve">承兑汇票</t>
  </si>
  <si>
    <t xml:space="preserve">洛阳三门峡</t>
  </si>
  <si>
    <t xml:space="preserve">杂物梯</t>
  </si>
  <si>
    <t xml:space="preserve">已解约</t>
  </si>
  <si>
    <t xml:space="preserve">年检费</t>
  </si>
  <si>
    <r>
      <rPr>
        <sz val="10"/>
        <rFont val="WenQuanYi Zen Hei"/>
        <family val="2"/>
      </rPr>
      <t xml:space="preserve">抵扣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冲账</t>
    </r>
  </si>
  <si>
    <t xml:space="preserve">南阳</t>
  </si>
  <si>
    <t xml:space="preserve">观光梯</t>
  </si>
  <si>
    <t xml:space="preserve">限速器校验费</t>
  </si>
  <si>
    <t xml:space="preserve">安阳濮阳</t>
  </si>
  <si>
    <t xml:space="preserve">汽车梯</t>
  </si>
  <si>
    <t xml:space="preserve">载重试验费</t>
  </si>
  <si>
    <t xml:space="preserve">焦作济源</t>
  </si>
  <si>
    <t xml:space="preserve">第三方检测费</t>
  </si>
  <si>
    <t xml:space="preserve">改造费</t>
  </si>
  <si>
    <r>
      <rPr>
        <sz val="10"/>
        <rFont val="WenQuanYi Zen Hei"/>
        <family val="2"/>
      </rPr>
      <t xml:space="preserve">急修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困人救援</t>
    </r>
  </si>
  <si>
    <t xml:space="preserve">其他</t>
  </si>
  <si>
    <r>
      <rPr>
        <b val="true"/>
        <sz val="15"/>
        <color rgb="FFFFFFFF"/>
        <rFont val="WenQuanYi Zen Hei"/>
        <family val="2"/>
      </rPr>
      <t xml:space="preserve">电 梯 资 料 </t>
    </r>
    <r>
      <rPr>
        <b val="true"/>
        <sz val="15"/>
        <color rgb="FFFFFFFF"/>
        <rFont val="微软雅黑"/>
        <family val="0"/>
        <charset val="1"/>
      </rPr>
      <t xml:space="preserve">· </t>
    </r>
    <r>
      <rPr>
        <b val="true"/>
        <sz val="15"/>
        <color rgb="FFFFFFFF"/>
        <rFont val="WenQuanYi Zen Hei"/>
        <family val="2"/>
      </rPr>
      <t xml:space="preserve">一台梯子一行</t>
    </r>
  </si>
  <si>
    <r>
      <rPr>
        <sz val="9"/>
        <color rgb="FF8B5E00"/>
        <rFont val="WenQuanYi Zen Hei"/>
        <family val="2"/>
      </rPr>
      <t xml:space="preserve">★ 淡黄＝手工填，浅灰＝公式自动算，别往灰格里打字。
★ </t>
    </r>
    <r>
      <rPr>
        <sz val="9"/>
        <color rgb="FF8B5E00"/>
        <rFont val="微软雅黑"/>
        <family val="0"/>
        <charset val="1"/>
      </rPr>
      <t xml:space="preserve">E </t>
    </r>
    <r>
      <rPr>
        <sz val="9"/>
        <color rgb="FF8B5E00"/>
        <rFont val="WenQuanYi Zen Hei"/>
        <family val="2"/>
      </rPr>
      <t xml:space="preserve">列「客户项目」＝使用单位＋项目名称，是全表通用的那把钥匙，后面《维保合同》《应收登记》《收款登记》都按它对上号；同一个单位有几个项目，就按项目分开写。
★ 「维保状态」选 安装免保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技术免保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质保期内 的，一定要填「免保到期日」，到期前后会在《到期与提醒》里跳出来提示转收费。</t>
    </r>
  </si>
  <si>
    <t xml:space="preserve">合计 →</t>
  </si>
  <si>
    <t xml:space="preserve">序号</t>
  </si>
  <si>
    <t xml:space="preserve">片区 ★</t>
  </si>
  <si>
    <t xml:space="preserve">使用单位 ★</t>
  </si>
  <si>
    <t xml:space="preserve">项目名称 ★</t>
  </si>
  <si>
    <r>
      <rPr>
        <b val="true"/>
        <sz val="10"/>
        <color rgb="FFFFFFFF"/>
        <rFont val="WenQuanYi Zen Hei"/>
        <family val="2"/>
      </rPr>
      <t xml:space="preserve">客户项目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自动键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</si>
  <si>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型号</t>
  </si>
  <si>
    <t xml:space="preserve">设备注册代码</t>
  </si>
  <si>
    <t xml:space="preserve">救援标识牌编号</t>
  </si>
  <si>
    <t xml:space="preserve">生产厂家</t>
  </si>
  <si>
    <t xml:space="preserve">梯型 ★</t>
  </si>
  <si>
    <t xml:space="preserve">层</t>
  </si>
  <si>
    <t xml:space="preserve">站</t>
  </si>
  <si>
    <t xml:space="preserve">门</t>
  </si>
  <si>
    <t xml:space="preserve">载重</t>
  </si>
  <si>
    <t xml:space="preserve">速度</t>
  </si>
  <si>
    <t xml:space="preserve">台量 ★</t>
  </si>
  <si>
    <t xml:space="preserve">设备编号</t>
  </si>
  <si>
    <t xml:space="preserve">使用编号</t>
  </si>
  <si>
    <t xml:space="preserve">制造日期</t>
  </si>
  <si>
    <t xml:space="preserve">下次年检日期</t>
  </si>
  <si>
    <r>
      <rPr>
        <b val="true"/>
        <sz val="10"/>
        <color rgb="FFFFFFFF"/>
        <rFont val="WenQuanYi Zen Hei"/>
        <family val="2"/>
      </rPr>
      <t xml:space="preserve">限速器校验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下次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</si>
  <si>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载重试验</t>
    </r>
    <r>
      <rPr>
        <b val="true"/>
        <sz val="10"/>
        <color rgb="FFFFFFFF"/>
        <rFont val="微软雅黑"/>
        <family val="0"/>
        <charset val="1"/>
      </rPr>
      <t xml:space="preserve">125%(</t>
    </r>
    <r>
      <rPr>
        <b val="true"/>
        <sz val="10"/>
        <color rgb="FFFFFFFF"/>
        <rFont val="WenQuanYi Zen Hei"/>
        <family val="2"/>
      </rPr>
      <t xml:space="preserve">下次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</si>
  <si>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维保人员</t>
  </si>
  <si>
    <t xml:space="preserve">维保性质 ★</t>
  </si>
  <si>
    <t xml:space="preserve">维保状态 ★</t>
  </si>
  <si>
    <t xml:space="preserve">免保到期日</t>
  </si>
  <si>
    <t xml:space="preserve">年检提醒</t>
  </si>
  <si>
    <t xml:space="preserve">校验提醒</t>
  </si>
  <si>
    <t xml:space="preserve">状态提醒</t>
  </si>
  <si>
    <r>
      <rPr>
        <b val="true"/>
        <sz val="10"/>
        <color rgb="FFFFFFFF"/>
        <rFont val="WenQuanYi Zen Hei"/>
        <family val="2"/>
      </rPr>
      <t xml:space="preserve">注意事项 </t>
    </r>
    <r>
      <rPr>
        <b val="true"/>
        <sz val="10"/>
        <color rgb="FFFFFFFF"/>
        <rFont val="微软雅黑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备注</t>
    </r>
  </si>
  <si>
    <t xml:space="preserve">核对</t>
  </si>
  <si>
    <t xml:space="preserve">河南中意联机电工程有限公司</t>
  </si>
  <si>
    <t xml:space="preserve">滨江苑一期</t>
  </si>
  <si>
    <t xml:space="preserve">KLWG</t>
  </si>
  <si>
    <t xml:space="preserve">3110420105201911Z156</t>
  </si>
  <si>
    <t xml:space="preserve">110645</t>
  </si>
  <si>
    <t xml:space="preserve">康力电梯</t>
  </si>
  <si>
    <t xml:space="preserve">800kg</t>
  </si>
  <si>
    <t xml:space="preserve">1.0m/s</t>
  </si>
  <si>
    <t xml:space="preserve">10045590-0010</t>
  </si>
  <si>
    <r>
      <rPr>
        <sz val="10"/>
        <rFont val="微软雅黑"/>
        <family val="0"/>
        <charset val="1"/>
      </rPr>
      <t xml:space="preserve">1#</t>
    </r>
    <r>
      <rPr>
        <sz val="10"/>
        <rFont val="WenQuanYi Zen Hei"/>
        <family val="2"/>
      </rPr>
      <t xml:space="preserve">客</t>
    </r>
  </si>
  <si>
    <t xml:space="preserve">张建国</t>
  </si>
  <si>
    <t xml:space="preserve">河南明海定慧商业管理有限公司</t>
  </si>
  <si>
    <t xml:space="preserve">六渡桥</t>
  </si>
  <si>
    <t xml:space="preserve">FSLK</t>
  </si>
  <si>
    <t xml:space="preserve">31104201034017070035</t>
  </si>
  <si>
    <t xml:space="preserve">010824</t>
  </si>
  <si>
    <t xml:space="preserve">浙江梅轮电梯公司</t>
  </si>
  <si>
    <t xml:space="preserve">1.5m/s</t>
  </si>
  <si>
    <t xml:space="preserve">17ML-2601</t>
  </si>
  <si>
    <r>
      <rPr>
        <sz val="10"/>
        <rFont val="微软雅黑"/>
        <family val="0"/>
        <charset val="1"/>
      </rPr>
      <t xml:space="preserve">L1#</t>
    </r>
    <r>
      <rPr>
        <sz val="10"/>
        <rFont val="WenQuanYi Zen Hei"/>
        <family val="2"/>
      </rPr>
      <t xml:space="preserve">客</t>
    </r>
  </si>
  <si>
    <t xml:space="preserve">李伟</t>
  </si>
  <si>
    <t xml:space="preserve">年检已过期，赶紧约检</t>
  </si>
  <si>
    <t xml:space="preserve">河南华茂医院有限公司</t>
  </si>
  <si>
    <t xml:space="preserve">圣爱医院</t>
  </si>
  <si>
    <t xml:space="preserve">EBJ30</t>
  </si>
  <si>
    <t xml:space="preserve">311042010020111X814</t>
  </si>
  <si>
    <t xml:space="preserve">102957</t>
  </si>
  <si>
    <t xml:space="preserve">怡达快速电梯</t>
  </si>
  <si>
    <t xml:space="preserve">1600kg</t>
  </si>
  <si>
    <t xml:space="preserve">H070058.1</t>
  </si>
  <si>
    <r>
      <rPr>
        <sz val="10"/>
        <rFont val="WenQuanYi Zen Hei"/>
        <family val="2"/>
      </rPr>
      <t xml:space="preserve">医梯</t>
    </r>
    <r>
      <rPr>
        <sz val="10"/>
        <rFont val="微软雅黑"/>
        <family val="0"/>
        <charset val="1"/>
      </rPr>
      <t xml:space="preserve">1#</t>
    </r>
  </si>
  <si>
    <t xml:space="preserve">王强</t>
  </si>
  <si>
    <t xml:space="preserve">311042010021811X815</t>
  </si>
  <si>
    <t xml:space="preserve">102953</t>
  </si>
  <si>
    <t xml:space="preserve">H070058.2</t>
  </si>
  <si>
    <r>
      <rPr>
        <sz val="10"/>
        <rFont val="WenQuanYi Zen Hei"/>
        <family val="2"/>
      </rPr>
      <t xml:space="preserve">医梯</t>
    </r>
    <r>
      <rPr>
        <sz val="10"/>
        <rFont val="微软雅黑"/>
        <family val="0"/>
        <charset val="1"/>
      </rPr>
      <t xml:space="preserve">2#</t>
    </r>
  </si>
  <si>
    <t xml:space="preserve">河南长江人民艺术剧院有限责任公司</t>
  </si>
  <si>
    <r>
      <rPr>
        <sz val="10"/>
        <rFont val="WenQuanYi Zen Hei"/>
        <family val="2"/>
      </rPr>
      <t xml:space="preserve">长江人艺</t>
    </r>
    <r>
      <rPr>
        <sz val="10"/>
        <rFont val="微软雅黑"/>
        <family val="0"/>
        <charset val="1"/>
      </rPr>
      <t xml:space="preserve">D8</t>
    </r>
    <r>
      <rPr>
        <sz val="10"/>
        <rFont val="WenQuanYi Zen Hei"/>
        <family val="2"/>
      </rPr>
      <t xml:space="preserve">小剧场</t>
    </r>
  </si>
  <si>
    <t xml:space="preserve">MEGA-P</t>
  </si>
  <si>
    <t xml:space="preserve">3110420062025120001</t>
  </si>
  <si>
    <t xml:space="preserve">住富电梯科技有限公司</t>
  </si>
  <si>
    <t xml:space="preserve">1500kg</t>
  </si>
  <si>
    <t xml:space="preserve">F09193</t>
  </si>
  <si>
    <r>
      <rPr>
        <sz val="10"/>
        <rFont val="微软雅黑"/>
        <family val="0"/>
        <charset val="1"/>
      </rPr>
      <t xml:space="preserve">3#</t>
    </r>
    <r>
      <rPr>
        <sz val="10"/>
        <rFont val="WenQuanYi Zen Hei"/>
        <family val="2"/>
      </rPr>
      <t xml:space="preserve">客</t>
    </r>
  </si>
  <si>
    <t xml:space="preserve">赵明</t>
  </si>
  <si>
    <t xml:space="preserve">新装整机免保一年</t>
  </si>
  <si>
    <r>
      <rPr>
        <sz val="10"/>
        <rFont val="WenQuanYi Zen Hei"/>
        <family val="2"/>
      </rPr>
      <t xml:space="preserve">大东门华北村</t>
    </r>
    <r>
      <rPr>
        <sz val="10"/>
        <rFont val="微软雅黑"/>
        <family val="0"/>
        <charset val="1"/>
      </rPr>
      <t xml:space="preserve">63</t>
    </r>
    <r>
      <rPr>
        <sz val="10"/>
        <rFont val="WenQuanYi Zen Hei"/>
        <family val="2"/>
      </rPr>
      <t xml:space="preserve">号</t>
    </r>
  </si>
  <si>
    <t xml:space="preserve">MEGA-MRL</t>
  </si>
  <si>
    <t xml:space="preserve">3110420062022100030</t>
  </si>
  <si>
    <t xml:space="preserve">住友富士</t>
  </si>
  <si>
    <t xml:space="preserve">1000kg</t>
  </si>
  <si>
    <t xml:space="preserve">908133</t>
  </si>
  <si>
    <t xml:space="preserve">3110421062022100031</t>
  </si>
  <si>
    <t xml:space="preserve">908134</t>
  </si>
  <si>
    <r>
      <rPr>
        <sz val="10"/>
        <rFont val="微软雅黑"/>
        <family val="0"/>
        <charset val="1"/>
      </rPr>
      <t xml:space="preserve">2#</t>
    </r>
    <r>
      <rPr>
        <sz val="10"/>
        <rFont val="WenQuanYi Zen Hei"/>
        <family val="2"/>
      </rPr>
      <t xml:space="preserve">客</t>
    </r>
  </si>
  <si>
    <t xml:space="preserve">金禧永航集团有限公司</t>
  </si>
  <si>
    <r>
      <rPr>
        <sz val="10"/>
        <rFont val="WenQuanYi Zen Hei"/>
        <family val="2"/>
      </rPr>
      <t xml:space="preserve">金禧西北路</t>
    </r>
    <r>
      <rPr>
        <sz val="10"/>
        <rFont val="微软雅黑"/>
        <family val="0"/>
        <charset val="1"/>
      </rPr>
      <t xml:space="preserve">291</t>
    </r>
    <r>
      <rPr>
        <sz val="10"/>
        <rFont val="WenQuanYi Zen Hei"/>
        <family val="2"/>
      </rPr>
      <t xml:space="preserve">号</t>
    </r>
  </si>
  <si>
    <t xml:space="preserve">MTP</t>
  </si>
  <si>
    <t xml:space="preserve">3110420062019090001</t>
  </si>
  <si>
    <t xml:space="preserve">095986</t>
  </si>
  <si>
    <t xml:space="preserve">曼隆蒂森克虏伯电梯</t>
  </si>
  <si>
    <t xml:space="preserve">1.75m/s</t>
  </si>
  <si>
    <t xml:space="preserve">M19NJ1136</t>
  </si>
  <si>
    <t xml:space="preserve">1#</t>
  </si>
  <si>
    <t xml:space="preserve">陈磊</t>
  </si>
  <si>
    <t xml:space="preserve">河南南远电缆科技有限公司</t>
  </si>
  <si>
    <t xml:space="preserve">南远电缆</t>
  </si>
  <si>
    <t xml:space="preserve">LTHX2000/0.5-VF</t>
  </si>
  <si>
    <t xml:space="preserve">3120401002018051055</t>
  </si>
  <si>
    <t xml:space="preserve">099118</t>
  </si>
  <si>
    <t xml:space="preserve">菱王电梯股份有限公司</t>
  </si>
  <si>
    <t xml:space="preserve">2000kg</t>
  </si>
  <si>
    <t xml:space="preserve">0.5m/s</t>
  </si>
  <si>
    <t xml:space="preserve">17H002199</t>
  </si>
  <si>
    <r>
      <rPr>
        <sz val="10"/>
        <rFont val="微软雅黑"/>
        <family val="0"/>
        <charset val="1"/>
      </rPr>
      <t xml:space="preserve">1#</t>
    </r>
    <r>
      <rPr>
        <sz val="10"/>
        <rFont val="WenQuanYi Zen Hei"/>
        <family val="2"/>
      </rPr>
      <t xml:space="preserve">货梯</t>
    </r>
  </si>
  <si>
    <t xml:space="preserve">刘洋</t>
  </si>
  <si>
    <t xml:space="preserve">CHOI-III</t>
  </si>
  <si>
    <t xml:space="preserve">3110420012022107422</t>
  </si>
  <si>
    <t xml:space="preserve">沈阳远大智能工业集团</t>
  </si>
  <si>
    <t xml:space="preserve">BLTSY22K/20366</t>
  </si>
  <si>
    <r>
      <rPr>
        <sz val="10"/>
        <rFont val="微软雅黑"/>
        <family val="0"/>
        <charset val="1"/>
      </rPr>
      <t xml:space="preserve">L1#</t>
    </r>
    <r>
      <rPr>
        <sz val="10"/>
        <rFont val="WenQuanYi Zen Hei"/>
        <family val="2"/>
      </rPr>
      <t xml:space="preserve">客梯</t>
    </r>
  </si>
  <si>
    <r>
      <rPr>
        <sz val="10"/>
        <rFont val="WenQuanYi Zen Hei"/>
        <family val="2"/>
      </rPr>
      <t xml:space="preserve">厂家质量问题，技术免保到 </t>
    </r>
    <r>
      <rPr>
        <sz val="10"/>
        <rFont val="微软雅黑"/>
        <family val="0"/>
        <charset val="1"/>
      </rPr>
      <t xml:space="preserve">10 </t>
    </r>
    <r>
      <rPr>
        <sz val="10"/>
        <rFont val="WenQuanYi Zen Hei"/>
        <family val="2"/>
      </rPr>
      <t xml:space="preserve">月底</t>
    </r>
  </si>
  <si>
    <t xml:space="preserve">黄冈市黄陂区鑫捷惠超市（个体工商户）</t>
  </si>
  <si>
    <t xml:space="preserve">项陂雅迪</t>
  </si>
  <si>
    <t xml:space="preserve">F2000D05S-C0</t>
  </si>
  <si>
    <t xml:space="preserve">3013420116203060001</t>
  </si>
  <si>
    <t xml:space="preserve">092260</t>
  </si>
  <si>
    <t xml:space="preserve">江南嘉捷电梯</t>
  </si>
  <si>
    <t xml:space="preserve">12J50060</t>
  </si>
  <si>
    <r>
      <rPr>
        <sz val="10"/>
        <rFont val="微软雅黑"/>
        <family val="0"/>
        <charset val="1"/>
      </rPr>
      <t xml:space="preserve">1#</t>
    </r>
    <r>
      <rPr>
        <sz val="10"/>
        <rFont val="WenQuanYi Zen Hei"/>
        <family val="2"/>
      </rPr>
      <t xml:space="preserve">货</t>
    </r>
  </si>
  <si>
    <t xml:space="preserve">超市歇业，电梯停用</t>
  </si>
  <si>
    <t xml:space="preserve">河南尊品益定意食品有限公司</t>
  </si>
  <si>
    <t xml:space="preserve">意康意厂房</t>
  </si>
  <si>
    <t xml:space="preserve">LTHX</t>
  </si>
  <si>
    <t xml:space="preserve">3120420100209073047</t>
  </si>
  <si>
    <t xml:space="preserve">108416</t>
  </si>
  <si>
    <t xml:space="preserve">18H001296</t>
  </si>
  <si>
    <t xml:space="preserve">3120420102019073048</t>
  </si>
  <si>
    <t xml:space="preserve">108417</t>
  </si>
  <si>
    <t xml:space="preserve">18H001297</t>
  </si>
  <si>
    <r>
      <rPr>
        <sz val="10"/>
        <rFont val="微软雅黑"/>
        <family val="0"/>
        <charset val="1"/>
      </rPr>
      <t xml:space="preserve">2#</t>
    </r>
    <r>
      <rPr>
        <sz val="10"/>
        <rFont val="WenQuanYi Zen Hei"/>
        <family val="2"/>
      </rPr>
      <t xml:space="preserve">货</t>
    </r>
  </si>
  <si>
    <t xml:space="preserve">3120201002019073049</t>
  </si>
  <si>
    <t xml:space="preserve">108418</t>
  </si>
  <si>
    <t xml:space="preserve">18H001298</t>
  </si>
  <si>
    <r>
      <rPr>
        <sz val="10"/>
        <rFont val="微软雅黑"/>
        <family val="0"/>
        <charset val="1"/>
      </rPr>
      <t xml:space="preserve">3#</t>
    </r>
    <r>
      <rPr>
        <sz val="10"/>
        <rFont val="WenQuanYi Zen Hei"/>
        <family val="2"/>
      </rPr>
      <t xml:space="preserve">货</t>
    </r>
  </si>
  <si>
    <t xml:space="preserve">3120401002019073050</t>
  </si>
  <si>
    <t xml:space="preserve">108419</t>
  </si>
  <si>
    <t xml:space="preserve">18H001299</t>
  </si>
  <si>
    <r>
      <rPr>
        <sz val="10"/>
        <rFont val="微软雅黑"/>
        <family val="0"/>
        <charset val="1"/>
      </rPr>
      <t xml:space="preserve">4#</t>
    </r>
    <r>
      <rPr>
        <sz val="10"/>
        <rFont val="WenQuanYi Zen Hei"/>
        <family val="2"/>
      </rPr>
      <t xml:space="preserve">货</t>
    </r>
  </si>
  <si>
    <t xml:space="preserve">LTK</t>
  </si>
  <si>
    <t xml:space="preserve">311042010201907Z115</t>
  </si>
  <si>
    <t xml:space="preserve">108415</t>
  </si>
  <si>
    <t xml:space="preserve">1050kg</t>
  </si>
  <si>
    <t xml:space="preserve">18K001875</t>
  </si>
  <si>
    <t xml:space="preserve">整机质保未满</t>
  </si>
  <si>
    <t xml:space="preserve">河南光谷义神新材料孵化器有限公司</t>
  </si>
  <si>
    <t xml:space="preserve">永和云居</t>
  </si>
  <si>
    <t xml:space="preserve">MAX-E1050-C01.75</t>
  </si>
  <si>
    <t xml:space="preserve">3110420119200010020</t>
  </si>
  <si>
    <r>
      <rPr>
        <sz val="10"/>
        <rFont val="WenQuanYi Zen Hei"/>
        <family val="2"/>
      </rPr>
      <t xml:space="preserve">梯</t>
    </r>
    <r>
      <rPr>
        <sz val="10"/>
        <rFont val="微软雅黑"/>
        <family val="0"/>
        <charset val="1"/>
      </rPr>
      <t xml:space="preserve">11</t>
    </r>
    <r>
      <rPr>
        <sz val="10"/>
        <rFont val="WenQuanYi Zen Hei"/>
        <family val="2"/>
      </rPr>
      <t xml:space="preserve">豫</t>
    </r>
    <r>
      <rPr>
        <sz val="10"/>
        <rFont val="微软雅黑"/>
        <family val="0"/>
        <charset val="1"/>
      </rPr>
      <t xml:space="preserve">A28527</t>
    </r>
    <r>
      <rPr>
        <sz val="10"/>
        <rFont val="WenQuanYi Zen Hei"/>
        <family val="2"/>
      </rPr>
      <t xml:space="preserve">（</t>
    </r>
    <r>
      <rPr>
        <sz val="10"/>
        <rFont val="微软雅黑"/>
        <family val="0"/>
        <charset val="1"/>
      </rPr>
      <t xml:space="preserve">20</t>
    </r>
    <r>
      <rPr>
        <sz val="10"/>
        <rFont val="WenQuanYi Zen Hei"/>
        <family val="2"/>
      </rPr>
      <t xml:space="preserve">）</t>
    </r>
  </si>
  <si>
    <t xml:space="preserve">广州广日</t>
  </si>
  <si>
    <t xml:space="preserve">19278033001</t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</si>
  <si>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号楼</t>
    </r>
    <r>
      <rPr>
        <sz val="10"/>
        <rFont val="微软雅黑"/>
        <family val="0"/>
        <charset val="1"/>
      </rPr>
      <t xml:space="preserve">1#</t>
    </r>
    <r>
      <rPr>
        <sz val="10"/>
        <rFont val="WenQuanYi Zen Hei"/>
        <family val="2"/>
      </rPr>
      <t xml:space="preserve">梯</t>
    </r>
  </si>
  <si>
    <t xml:space="preserve">3110420119202010441</t>
  </si>
  <si>
    <r>
      <rPr>
        <sz val="10"/>
        <rFont val="WenQuanYi Zen Hei"/>
        <family val="2"/>
      </rPr>
      <t xml:space="preserve">梯</t>
    </r>
    <r>
      <rPr>
        <sz val="10"/>
        <rFont val="微软雅黑"/>
        <family val="0"/>
        <charset val="1"/>
      </rPr>
      <t xml:space="preserve">11</t>
    </r>
    <r>
      <rPr>
        <sz val="10"/>
        <rFont val="WenQuanYi Zen Hei"/>
        <family val="2"/>
      </rPr>
      <t xml:space="preserve">豫</t>
    </r>
    <r>
      <rPr>
        <sz val="10"/>
        <rFont val="微软雅黑"/>
        <family val="0"/>
        <charset val="1"/>
      </rPr>
      <t xml:space="preserve">A28228</t>
    </r>
    <r>
      <rPr>
        <sz val="10"/>
        <rFont val="WenQuanYi Zen Hei"/>
        <family val="2"/>
      </rPr>
      <t xml:space="preserve">（</t>
    </r>
    <r>
      <rPr>
        <sz val="10"/>
        <rFont val="微软雅黑"/>
        <family val="0"/>
        <charset val="1"/>
      </rPr>
      <t xml:space="preserve">20</t>
    </r>
    <r>
      <rPr>
        <sz val="10"/>
        <rFont val="WenQuanYi Zen Hei"/>
        <family val="2"/>
      </rPr>
      <t xml:space="preserve">）</t>
    </r>
  </si>
  <si>
    <t xml:space="preserve">19278033002</t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</si>
  <si>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号楼</t>
    </r>
    <r>
      <rPr>
        <sz val="10"/>
        <rFont val="微软雅黑"/>
        <family val="0"/>
        <charset val="1"/>
      </rPr>
      <t xml:space="preserve">2#</t>
    </r>
    <r>
      <rPr>
        <sz val="10"/>
        <rFont val="WenQuanYi Zen Hei"/>
        <family val="2"/>
      </rPr>
      <t xml:space="preserve">梯</t>
    </r>
  </si>
  <si>
    <t xml:space="preserve">3110420119202000042</t>
  </si>
  <si>
    <r>
      <rPr>
        <sz val="10"/>
        <rFont val="WenQuanYi Zen Hei"/>
        <family val="2"/>
      </rPr>
      <t xml:space="preserve">梯</t>
    </r>
    <r>
      <rPr>
        <sz val="10"/>
        <rFont val="微软雅黑"/>
        <family val="0"/>
        <charset val="1"/>
      </rPr>
      <t xml:space="preserve">11</t>
    </r>
    <r>
      <rPr>
        <sz val="10"/>
        <rFont val="WenQuanYi Zen Hei"/>
        <family val="2"/>
      </rPr>
      <t xml:space="preserve">豫</t>
    </r>
    <r>
      <rPr>
        <sz val="10"/>
        <rFont val="微软雅黑"/>
        <family val="0"/>
        <charset val="1"/>
      </rPr>
      <t xml:space="preserve">A28929</t>
    </r>
    <r>
      <rPr>
        <sz val="10"/>
        <rFont val="WenQuanYi Zen Hei"/>
        <family val="2"/>
      </rPr>
      <t xml:space="preserve">（</t>
    </r>
    <r>
      <rPr>
        <sz val="10"/>
        <rFont val="微软雅黑"/>
        <family val="0"/>
        <charset val="1"/>
      </rPr>
      <t xml:space="preserve">20</t>
    </r>
    <r>
      <rPr>
        <sz val="10"/>
        <rFont val="WenQuanYi Zen Hei"/>
        <family val="2"/>
      </rPr>
      <t xml:space="preserve">）</t>
    </r>
  </si>
  <si>
    <t xml:space="preserve">19278033003</t>
  </si>
  <si>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号楼</t>
    </r>
    <r>
      <rPr>
        <sz val="10"/>
        <rFont val="微软雅黑"/>
        <family val="0"/>
        <charset val="1"/>
      </rPr>
      <t xml:space="preserve">1#</t>
    </r>
    <r>
      <rPr>
        <sz val="10"/>
        <rFont val="WenQuanYi Zen Hei"/>
        <family val="2"/>
      </rPr>
      <t xml:space="preserve">梯</t>
    </r>
  </si>
  <si>
    <t xml:space="preserve">3110420119202500043</t>
  </si>
  <si>
    <r>
      <rPr>
        <sz val="10"/>
        <rFont val="WenQuanYi Zen Hei"/>
        <family val="2"/>
      </rPr>
      <t xml:space="preserve">梯</t>
    </r>
    <r>
      <rPr>
        <sz val="10"/>
        <rFont val="微软雅黑"/>
        <family val="0"/>
        <charset val="1"/>
      </rPr>
      <t xml:space="preserve">11</t>
    </r>
    <r>
      <rPr>
        <sz val="10"/>
        <rFont val="WenQuanYi Zen Hei"/>
        <family val="2"/>
      </rPr>
      <t xml:space="preserve">豫</t>
    </r>
    <r>
      <rPr>
        <sz val="10"/>
        <rFont val="微软雅黑"/>
        <family val="0"/>
        <charset val="1"/>
      </rPr>
      <t xml:space="preserve">A27930</t>
    </r>
    <r>
      <rPr>
        <sz val="10"/>
        <rFont val="WenQuanYi Zen Hei"/>
        <family val="2"/>
      </rPr>
      <t xml:space="preserve">（</t>
    </r>
    <r>
      <rPr>
        <sz val="10"/>
        <rFont val="微软雅黑"/>
        <family val="0"/>
        <charset val="1"/>
      </rPr>
      <t xml:space="preserve">20</t>
    </r>
    <r>
      <rPr>
        <sz val="10"/>
        <rFont val="WenQuanYi Zen Hei"/>
        <family val="2"/>
      </rPr>
      <t xml:space="preserve">）</t>
    </r>
  </si>
  <si>
    <t xml:space="preserve">19278033004</t>
  </si>
  <si>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号楼</t>
    </r>
    <r>
      <rPr>
        <sz val="10"/>
        <rFont val="微软雅黑"/>
        <family val="0"/>
        <charset val="1"/>
      </rPr>
      <t xml:space="preserve">1#</t>
    </r>
    <r>
      <rPr>
        <sz val="10"/>
        <rFont val="WenQuanYi Zen Hei"/>
        <family val="2"/>
      </rPr>
      <t xml:space="preserve">梯</t>
    </r>
  </si>
  <si>
    <t xml:space="preserve">3110420119202710044</t>
  </si>
  <si>
    <r>
      <rPr>
        <sz val="10"/>
        <rFont val="WenQuanYi Zen Hei"/>
        <family val="2"/>
      </rPr>
      <t xml:space="preserve">梯</t>
    </r>
    <r>
      <rPr>
        <sz val="10"/>
        <rFont val="微软雅黑"/>
        <family val="0"/>
        <charset val="1"/>
      </rPr>
      <t xml:space="preserve">11</t>
    </r>
    <r>
      <rPr>
        <sz val="10"/>
        <rFont val="WenQuanYi Zen Hei"/>
        <family val="2"/>
      </rPr>
      <t xml:space="preserve">豫</t>
    </r>
    <r>
      <rPr>
        <sz val="10"/>
        <rFont val="微软雅黑"/>
        <family val="0"/>
        <charset val="1"/>
      </rPr>
      <t xml:space="preserve">A23931</t>
    </r>
    <r>
      <rPr>
        <sz val="10"/>
        <rFont val="WenQuanYi Zen Hei"/>
        <family val="2"/>
      </rPr>
      <t xml:space="preserve">（</t>
    </r>
    <r>
      <rPr>
        <sz val="10"/>
        <rFont val="微软雅黑"/>
        <family val="0"/>
        <charset val="1"/>
      </rPr>
      <t xml:space="preserve">20</t>
    </r>
    <r>
      <rPr>
        <sz val="10"/>
        <rFont val="WenQuanYi Zen Hei"/>
        <family val="2"/>
      </rPr>
      <t xml:space="preserve">）</t>
    </r>
  </si>
  <si>
    <t xml:space="preserve">19278033005</t>
  </si>
  <si>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号楼</t>
    </r>
    <r>
      <rPr>
        <sz val="10"/>
        <rFont val="微软雅黑"/>
        <family val="0"/>
        <charset val="1"/>
      </rPr>
      <t xml:space="preserve">2#</t>
    </r>
    <r>
      <rPr>
        <sz val="10"/>
        <rFont val="WenQuanYi Zen Hei"/>
        <family val="2"/>
      </rPr>
      <t xml:space="preserve">梯</t>
    </r>
  </si>
  <si>
    <t xml:space="preserve">3110420719290010045</t>
  </si>
  <si>
    <r>
      <rPr>
        <sz val="10"/>
        <rFont val="WenQuanYi Zen Hei"/>
        <family val="2"/>
      </rPr>
      <t xml:space="preserve">梯</t>
    </r>
    <r>
      <rPr>
        <sz val="10"/>
        <rFont val="微软雅黑"/>
        <family val="0"/>
        <charset val="1"/>
      </rPr>
      <t xml:space="preserve">11</t>
    </r>
    <r>
      <rPr>
        <sz val="10"/>
        <rFont val="WenQuanYi Zen Hei"/>
        <family val="2"/>
      </rPr>
      <t xml:space="preserve">豫</t>
    </r>
    <r>
      <rPr>
        <sz val="10"/>
        <rFont val="微软雅黑"/>
        <family val="0"/>
        <charset val="1"/>
      </rPr>
      <t xml:space="preserve">A28432</t>
    </r>
    <r>
      <rPr>
        <sz val="10"/>
        <rFont val="WenQuanYi Zen Hei"/>
        <family val="2"/>
      </rPr>
      <t xml:space="preserve">（</t>
    </r>
    <r>
      <rPr>
        <sz val="10"/>
        <rFont val="微软雅黑"/>
        <family val="0"/>
        <charset val="1"/>
      </rPr>
      <t xml:space="preserve">20</t>
    </r>
    <r>
      <rPr>
        <sz val="10"/>
        <rFont val="WenQuanYi Zen Hei"/>
        <family val="2"/>
      </rPr>
      <t xml:space="preserve">）</t>
    </r>
  </si>
  <si>
    <t xml:space="preserve">19278033006</t>
  </si>
  <si>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号楼</t>
    </r>
    <r>
      <rPr>
        <sz val="10"/>
        <rFont val="微软雅黑"/>
        <family val="0"/>
        <charset val="1"/>
      </rPr>
      <t xml:space="preserve">2#</t>
    </r>
    <r>
      <rPr>
        <sz val="10"/>
        <rFont val="WenQuanYi Zen Hei"/>
        <family val="2"/>
      </rPr>
      <t xml:space="preserve">梯</t>
    </r>
  </si>
  <si>
    <r>
      <rPr>
        <sz val="10"/>
        <rFont val="WenQuanYi Zen Hei"/>
        <family val="2"/>
      </rPr>
      <t xml:space="preserve">厂家技术免保，</t>
    </r>
    <r>
      <rPr>
        <sz val="10"/>
        <rFont val="微软雅黑"/>
        <family val="0"/>
        <charset val="1"/>
      </rPr>
      <t xml:space="preserve">9 </t>
    </r>
    <r>
      <rPr>
        <sz val="10"/>
        <rFont val="WenQuanYi Zen Hei"/>
        <family val="2"/>
      </rPr>
      <t xml:space="preserve">月底到期转收费</t>
    </r>
  </si>
  <si>
    <r>
      <rPr>
        <b val="true"/>
        <sz val="15"/>
        <color rgb="FFFFFFFF"/>
        <rFont val="WenQuanYi Zen Hei"/>
        <family val="2"/>
      </rPr>
      <t xml:space="preserve">维 保 合 同 </t>
    </r>
    <r>
      <rPr>
        <b val="true"/>
        <sz val="15"/>
        <color rgb="FFFFFFFF"/>
        <rFont val="微软雅黑"/>
        <family val="0"/>
        <charset val="1"/>
      </rPr>
      <t xml:space="preserve">· </t>
    </r>
    <r>
      <rPr>
        <b val="true"/>
        <sz val="15"/>
        <color rgb="FFFFFFFF"/>
        <rFont val="WenQuanYi Zen Hei"/>
        <family val="2"/>
      </rPr>
      <t xml:space="preserve">一个项目一行，合同没回来照样先建行</t>
    </r>
  </si>
  <si>
    <r>
      <rPr>
        <sz val="9"/>
        <color rgb="FF8B5E00"/>
        <rFont val="WenQuanYi Zen Hei"/>
        <family val="2"/>
      </rPr>
      <t xml:space="preserve">★ 一个「客户项目」只能建一行，重复了 </t>
    </r>
    <r>
      <rPr>
        <sz val="9"/>
        <color rgb="FF8B5E00"/>
        <rFont val="微软雅黑"/>
        <family val="0"/>
        <charset val="1"/>
      </rPr>
      <t xml:space="preserve">X </t>
    </r>
    <r>
      <rPr>
        <sz val="9"/>
        <color rgb="FF8B5E00"/>
        <rFont val="WenQuanYi Zen Hei"/>
        <family val="2"/>
      </rPr>
      <t xml:space="preserve">列会报「★键重复」。
★ 合同没及时回来：</t>
    </r>
    <r>
      <rPr>
        <sz val="9"/>
        <color rgb="FF8B5E00"/>
        <rFont val="微软雅黑"/>
        <family val="0"/>
        <charset val="1"/>
      </rPr>
      <t xml:space="preserve">F </t>
    </r>
    <r>
      <rPr>
        <sz val="9"/>
        <color rgb="FF8B5E00"/>
        <rFont val="WenQuanYi Zen Hei"/>
        <family val="2"/>
      </rPr>
      <t xml:space="preserve">列合同编号先空着，</t>
    </r>
    <r>
      <rPr>
        <sz val="9"/>
        <color rgb="FF8B5E00"/>
        <rFont val="微软雅黑"/>
        <family val="0"/>
        <charset val="1"/>
      </rPr>
      <t xml:space="preserve">G </t>
    </r>
    <r>
      <rPr>
        <sz val="9"/>
        <color rgb="FF8B5E00"/>
        <rFont val="WenQuanYi Zen Hei"/>
        <family val="2"/>
      </rPr>
      <t xml:space="preserve">列选「已签未回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未签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续签中」，照样可以到《应收登记》挂应收；</t>
    </r>
    <r>
      <rPr>
        <sz val="9"/>
        <color rgb="FF8B5E00"/>
        <rFont val="微软雅黑"/>
        <family val="0"/>
        <charset val="1"/>
      </rPr>
      <t xml:space="preserve">R </t>
    </r>
    <r>
      <rPr>
        <sz val="9"/>
        <color rgb="FF8B5E00"/>
        <rFont val="WenQuanYi Zen Hei"/>
        <family val="2"/>
      </rPr>
      <t xml:space="preserve">列会一直提醒「▲合同未回」，《到期与提醒》里也单列一块，方便催合同。
★ </t>
    </r>
    <r>
      <rPr>
        <sz val="9"/>
        <color rgb="FF8B5E00"/>
        <rFont val="微软雅黑"/>
        <family val="0"/>
        <charset val="1"/>
      </rPr>
      <t xml:space="preserve">T/U/V </t>
    </r>
    <r>
      <rPr>
        <sz val="9"/>
        <color rgb="FF8B5E00"/>
        <rFont val="WenQuanYi Zen Hei"/>
        <family val="2"/>
      </rPr>
      <t xml:space="preserve">三列是自动汇总，明细看《应收登记》《收款登记》，对账看《应收对账》。</t>
    </r>
  </si>
  <si>
    <r>
      <rPr>
        <b val="true"/>
        <sz val="10"/>
        <color rgb="FFFFFFFF"/>
        <rFont val="WenQuanYi Zen Hei"/>
        <family val="2"/>
      </rPr>
      <t xml:space="preserve">片区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自动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</si>
  <si>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合同编号</t>
  </si>
  <si>
    <t xml:space="preserve">合同状态 ★</t>
  </si>
  <si>
    <t xml:space="preserve">合同起 ★</t>
  </si>
  <si>
    <t xml:space="preserve">合同止 ★</t>
  </si>
  <si>
    <t xml:space="preserve">合同台量 ★</t>
  </si>
  <si>
    <r>
      <rPr>
        <b val="true"/>
        <sz val="10"/>
        <color rgb="FFFFFFFF"/>
        <rFont val="WenQuanYi Zen Hei"/>
        <family val="2"/>
      </rPr>
      <t xml:space="preserve">在册台量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自动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</si>
  <si>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合同年费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含税</t>
    </r>
    <r>
      <rPr>
        <b val="true"/>
        <sz val="10"/>
        <color rgb="FFFFFFFF"/>
        <rFont val="微软雅黑"/>
        <family val="0"/>
        <charset val="1"/>
      </rPr>
      <t xml:space="preserve">) ★</t>
    </r>
  </si>
  <si>
    <t xml:space="preserve">收费周期 ★</t>
  </si>
  <si>
    <r>
      <rPr>
        <b val="true"/>
        <sz val="10"/>
        <color rgb="FFFFFFFF"/>
        <rFont val="WenQuanYi Zen Hei"/>
        <family val="2"/>
      </rPr>
      <t xml:space="preserve">免保台量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自动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</si>
  <si>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收费台量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自动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</si>
  <si>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到期提醒</t>
  </si>
  <si>
    <t xml:space="preserve">合同回签提醒</t>
  </si>
  <si>
    <t xml:space="preserve">台量核对</t>
  </si>
  <si>
    <r>
      <rPr>
        <b val="true"/>
        <sz val="10"/>
        <color rgb="FFFFFFFF"/>
        <rFont val="WenQuanYi Zen Hei"/>
        <family val="2"/>
      </rPr>
      <t xml:space="preserve">欠款余额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累计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</si>
  <si>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备注</t>
  </si>
  <si>
    <t xml:space="preserve">WB2026-001</t>
  </si>
  <si>
    <t xml:space="preserve">WB2026-002</t>
  </si>
  <si>
    <t xml:space="preserve">合同寄出两个月没回，已催三次</t>
  </si>
  <si>
    <t xml:space="preserve">WB2025-018</t>
  </si>
  <si>
    <t xml:space="preserve">合同已到期，续签资料在走流程</t>
  </si>
  <si>
    <t xml:space="preserve">新装转保，合同一直没签，先挂账</t>
  </si>
  <si>
    <t xml:space="preserve">WB2026-005</t>
  </si>
  <si>
    <t xml:space="preserve">WB2025-033</t>
  </si>
  <si>
    <r>
      <rPr>
        <sz val="10"/>
        <rFont val="微软雅黑"/>
        <family val="0"/>
        <charset val="1"/>
      </rPr>
      <t xml:space="preserve">9 </t>
    </r>
    <r>
      <rPr>
        <sz val="10"/>
        <rFont val="WenQuanYi Zen Hei"/>
        <family val="2"/>
      </rPr>
      <t xml:space="preserve">月底到期，续签合同在对条款</t>
    </r>
  </si>
  <si>
    <t xml:space="preserve">WB2026-007</t>
  </si>
  <si>
    <t xml:space="preserve">WB2026-008</t>
  </si>
  <si>
    <t xml:space="preserve">超市停用期间只做保养</t>
  </si>
  <si>
    <t xml:space="preserve">WB2026-009</t>
  </si>
  <si>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台货梯 </t>
    </r>
    <r>
      <rPr>
        <sz val="10"/>
        <rFont val="微软雅黑"/>
        <family val="0"/>
        <charset val="1"/>
      </rPr>
      <t xml:space="preserve">1 </t>
    </r>
    <r>
      <rPr>
        <sz val="10"/>
        <rFont val="WenQuanYi Zen Hei"/>
        <family val="2"/>
      </rPr>
      <t xml:space="preserve">台客梯</t>
    </r>
  </si>
  <si>
    <t xml:space="preserve">WB2026-010</t>
  </si>
  <si>
    <t xml:space="preserve">物业换了人，合同一直没回</t>
  </si>
  <si>
    <r>
      <rPr>
        <b val="true"/>
        <sz val="15"/>
        <color rgb="FFFFFFFF"/>
        <rFont val="WenQuanYi Zen Hei"/>
        <family val="2"/>
      </rPr>
      <t xml:space="preserve">应 收 登 记 </t>
    </r>
    <r>
      <rPr>
        <b val="true"/>
        <sz val="15"/>
        <color rgb="FFFFFFFF"/>
        <rFont val="微软雅黑"/>
        <family val="0"/>
        <charset val="1"/>
      </rPr>
      <t xml:space="preserve">· </t>
    </r>
    <r>
      <rPr>
        <b val="true"/>
        <sz val="15"/>
        <color rgb="FFFFFFFF"/>
        <rFont val="WenQuanYi Zen Hei"/>
        <family val="2"/>
      </rPr>
      <t xml:space="preserve">该收人家多少钱，一笔一行</t>
    </r>
  </si>
  <si>
    <r>
      <rPr>
        <sz val="9"/>
        <color rgb="FF8B5E00"/>
        <rFont val="WenQuanYi Zen Hei"/>
        <family val="2"/>
      </rPr>
      <t xml:space="preserve">★ 合同款、合同外款都记在这一张表里：</t>
    </r>
    <r>
      <rPr>
        <sz val="9"/>
        <color rgb="FF8B5E00"/>
        <rFont val="微软雅黑"/>
        <family val="0"/>
        <charset val="1"/>
      </rPr>
      <t xml:space="preserve">G </t>
    </r>
    <r>
      <rPr>
        <sz val="9"/>
        <color rgb="FF8B5E00"/>
        <rFont val="WenQuanYi Zen Hei"/>
        <family val="2"/>
      </rPr>
      <t xml:space="preserve">列选「费用类别」，</t>
    </r>
    <r>
      <rPr>
        <sz val="9"/>
        <color rgb="FF8B5E00"/>
        <rFont val="微软雅黑"/>
        <family val="0"/>
        <charset val="1"/>
      </rPr>
      <t xml:space="preserve">H </t>
    </r>
    <r>
      <rPr>
        <sz val="9"/>
        <color rgb="FF8B5E00"/>
        <rFont val="WenQuanYi Zen Hei"/>
        <family val="2"/>
      </rPr>
      <t xml:space="preserve">列会自动判成「合同款」还是「合同外款」，不用分两张表记，最后在《应收对账》里自动拆开给你看。
★ 合同没回来一样能挂：</t>
    </r>
    <r>
      <rPr>
        <sz val="9"/>
        <color rgb="FF8B5E00"/>
        <rFont val="微软雅黑"/>
        <family val="0"/>
        <charset val="1"/>
      </rPr>
      <t xml:space="preserve">D </t>
    </r>
    <r>
      <rPr>
        <sz val="9"/>
        <color rgb="FF8B5E00"/>
        <rFont val="WenQuanYi Zen Hei"/>
        <family val="2"/>
      </rPr>
      <t xml:space="preserve">列只要在《维保合同》里建过行就能选到（哪怕合同状态是「未签」）。
★ 开票和收款是两码事：这里填的是「开没开票、开了多少」；钱几时到、开的是发票还是收据，记到《收款登记》。
★ </t>
    </r>
    <r>
      <rPr>
        <sz val="9"/>
        <color rgb="FF8B5E00"/>
        <rFont val="微软雅黑"/>
        <family val="0"/>
        <charset val="1"/>
      </rPr>
      <t xml:space="preserve">P/Q </t>
    </r>
    <r>
      <rPr>
        <sz val="9"/>
        <color rgb="FF8B5E00"/>
        <rFont val="WenQuanYi Zen Hei"/>
        <family val="2"/>
      </rPr>
      <t xml:space="preserve">两列是自动核销出来的：收款里指定了单号的先冲那一张，没指定的按「先挂先冲」往下顺，所以每张单都看得出还差多少。</t>
    </r>
  </si>
  <si>
    <r>
      <rPr>
        <b val="true"/>
        <sz val="10"/>
        <color rgb="FFFFFFFF"/>
        <rFont val="WenQuanYi Zen Hei"/>
        <family val="2"/>
      </rPr>
      <t xml:space="preserve">应收单号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自动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</si>
  <si>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登记日期 ★</t>
  </si>
  <si>
    <t xml:space="preserve">客户项目 ★</t>
  </si>
  <si>
    <r>
      <rPr>
        <b val="true"/>
        <sz val="10"/>
        <color rgb="FFFFFFFF"/>
        <rFont val="WenQuanYi Zen Hei"/>
        <family val="2"/>
      </rPr>
      <t xml:space="preserve">使用单位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自动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</si>
  <si>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项目名称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自动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</si>
  <si>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费用类别 ★</t>
  </si>
  <si>
    <r>
      <rPr>
        <b val="true"/>
        <sz val="10"/>
        <color rgb="FFFFFFFF"/>
        <rFont val="WenQuanYi Zen Hei"/>
        <family val="2"/>
      </rPr>
      <t xml:space="preserve">款别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自动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</si>
  <si>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计费期间起</t>
  </si>
  <si>
    <t xml:space="preserve">计费期间止</t>
  </si>
  <si>
    <r>
      <rPr>
        <b val="true"/>
        <sz val="10"/>
        <color rgb="FFFFFFFF"/>
        <rFont val="WenQuanYi Zen Hei"/>
        <family val="2"/>
      </rPr>
      <t xml:space="preserve">应收金额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含税</t>
    </r>
    <r>
      <rPr>
        <b val="true"/>
        <sz val="10"/>
        <color rgb="FFFFFFFF"/>
        <rFont val="微软雅黑"/>
        <family val="0"/>
        <charset val="1"/>
      </rPr>
      <t xml:space="preserve">) ★</t>
    </r>
  </si>
  <si>
    <t xml:space="preserve">开票日期</t>
  </si>
  <si>
    <t xml:space="preserve">发票号</t>
  </si>
  <si>
    <t xml:space="preserve">开票金额</t>
  </si>
  <si>
    <t xml:space="preserve">开票状态</t>
  </si>
  <si>
    <r>
      <rPr>
        <b val="true"/>
        <sz val="10"/>
        <color rgb="FFFFFFFF"/>
        <rFont val="WenQuanYi Zen Hei"/>
        <family val="2"/>
      </rPr>
      <t xml:space="preserve">已收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自动核销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</si>
  <si>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未收余额</t>
  </si>
  <si>
    <r>
      <rPr>
        <b val="true"/>
        <sz val="10"/>
        <color rgb="FFFFFFFF"/>
        <rFont val="WenQuanYi Zen Hei"/>
        <family val="2"/>
      </rPr>
      <t xml:space="preserve">年度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自动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</si>
  <si>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开票年度</t>
  </si>
  <si>
    <t xml:space="preserve">指定冲销额</t>
  </si>
  <si>
    <t xml:space="preserve">净应收</t>
  </si>
  <si>
    <t xml:space="preserve">同项目累计净应收</t>
  </si>
  <si>
    <t xml:space="preserve">行号</t>
  </si>
  <si>
    <t xml:space="preserve">河南华茂医院有限公司 ｜ 圣爱医院</t>
  </si>
  <si>
    <t xml:space="preserve">02510001</t>
  </si>
  <si>
    <t xml:space="preserve">上年合同款</t>
  </si>
  <si>
    <r>
      <rPr>
        <sz val="10"/>
        <rFont val="WenQuanYi Zen Hei"/>
        <family val="2"/>
      </rPr>
      <t xml:space="preserve">金禧永航集团有限公司 ｜ 金禧西北路</t>
    </r>
    <r>
      <rPr>
        <sz val="10"/>
        <rFont val="微软雅黑"/>
        <family val="0"/>
        <charset val="1"/>
      </rPr>
      <t xml:space="preserve">291</t>
    </r>
    <r>
      <rPr>
        <sz val="10"/>
        <rFont val="WenQuanYi Zen Hei"/>
        <family val="2"/>
      </rPr>
      <t xml:space="preserve">号</t>
    </r>
  </si>
  <si>
    <t xml:space="preserve">02510066</t>
  </si>
  <si>
    <t xml:space="preserve">跨年半年期</t>
  </si>
  <si>
    <t xml:space="preserve">河南南远电缆科技有限公司 ｜ 南远电缆</t>
  </si>
  <si>
    <t xml:space="preserve">换门机板，上年没开票</t>
  </si>
  <si>
    <t xml:space="preserve">河南光谷义神新材料孵化器有限公司 ｜ 永和云居</t>
  </si>
  <si>
    <t xml:space="preserve">主板维修，上年挂账</t>
  </si>
  <si>
    <t xml:space="preserve">河南中意联机电工程有限公司 ｜ 滨江苑一期</t>
  </si>
  <si>
    <t xml:space="preserve">02601011</t>
  </si>
  <si>
    <t xml:space="preserve">上半年</t>
  </si>
  <si>
    <t xml:space="preserve">下半年，还没开票</t>
  </si>
  <si>
    <t xml:space="preserve">河南明海定慧商业管理有限公司 ｜ 六渡桥</t>
  </si>
  <si>
    <t xml:space="preserve">02603022</t>
  </si>
  <si>
    <t xml:space="preserve">02606033</t>
  </si>
  <si>
    <t xml:space="preserve">02601044</t>
  </si>
  <si>
    <t xml:space="preserve">02607200</t>
  </si>
  <si>
    <t xml:space="preserve">合同到期先按原价挂，票已开钱没到</t>
  </si>
  <si>
    <t xml:space="preserve">02604055</t>
  </si>
  <si>
    <t xml:space="preserve">夜间困人</t>
  </si>
  <si>
    <r>
      <rPr>
        <sz val="10"/>
        <rFont val="WenQuanYi Zen Hei"/>
        <family val="2"/>
      </rPr>
      <t xml:space="preserve">河南长江人民艺术剧院有限责任公司 ｜ 长江人艺</t>
    </r>
    <r>
      <rPr>
        <sz val="10"/>
        <rFont val="微软雅黑"/>
        <family val="0"/>
        <charset val="1"/>
      </rPr>
      <t xml:space="preserve">D8</t>
    </r>
    <r>
      <rPr>
        <sz val="10"/>
        <rFont val="WenQuanYi Zen Hei"/>
        <family val="2"/>
      </rPr>
      <t xml:space="preserve">小剧场</t>
    </r>
  </si>
  <si>
    <t xml:space="preserve">合同未签，先挂账</t>
  </si>
  <si>
    <r>
      <rPr>
        <sz val="10"/>
        <rFont val="WenQuanYi Zen Hei"/>
        <family val="2"/>
      </rPr>
      <t xml:space="preserve">河南长江人民艺术剧院有限责任公司 ｜ 大东门华北村</t>
    </r>
    <r>
      <rPr>
        <sz val="10"/>
        <rFont val="微软雅黑"/>
        <family val="0"/>
        <charset val="1"/>
      </rPr>
      <t xml:space="preserve">63</t>
    </r>
    <r>
      <rPr>
        <sz val="10"/>
        <rFont val="WenQuanYi Zen Hei"/>
        <family val="2"/>
      </rPr>
      <t xml:space="preserve">号</t>
    </r>
  </si>
  <si>
    <t xml:space="preserve">02601077</t>
  </si>
  <si>
    <t xml:space="preserve">02604088</t>
  </si>
  <si>
    <t xml:space="preserve">02607099</t>
  </si>
  <si>
    <t xml:space="preserve">02605100</t>
  </si>
  <si>
    <t xml:space="preserve">更换门滑块</t>
  </si>
  <si>
    <t xml:space="preserve">02604111</t>
  </si>
  <si>
    <t xml:space="preserve">下半期</t>
  </si>
  <si>
    <t xml:space="preserve">代缴年检费，客户一直没给</t>
  </si>
  <si>
    <t xml:space="preserve">02601122</t>
  </si>
  <si>
    <t xml:space="preserve">全年一次开票</t>
  </si>
  <si>
    <t xml:space="preserve">货梯抱闸</t>
  </si>
  <si>
    <t xml:space="preserve">黄冈市黄陂区鑫捷惠超市（个体工商户） ｜ 项陂雅迪</t>
  </si>
  <si>
    <t xml:space="preserve">02602133</t>
  </si>
  <si>
    <t xml:space="preserve">河南尊品益定意食品有限公司 ｜ 意康意厂房</t>
  </si>
  <si>
    <t xml:space="preserve">02601144</t>
  </si>
  <si>
    <t xml:space="preserve">02604155</t>
  </si>
  <si>
    <t xml:space="preserve">02607166</t>
  </si>
  <si>
    <r>
      <rPr>
        <sz val="10"/>
        <rFont val="微软雅黑"/>
        <family val="0"/>
        <charset val="1"/>
      </rPr>
      <t xml:space="preserve">5 </t>
    </r>
    <r>
      <rPr>
        <sz val="10"/>
        <rFont val="WenQuanYi Zen Hei"/>
        <family val="2"/>
      </rPr>
      <t xml:space="preserve">台限速器送检</t>
    </r>
  </si>
  <si>
    <t xml:space="preserve">02601177</t>
  </si>
  <si>
    <t xml:space="preserve">合同没回，暂时不开票</t>
  </si>
  <si>
    <t xml:space="preserve">02603188</t>
  </si>
  <si>
    <r>
      <rPr>
        <sz val="10"/>
        <rFont val="微软雅黑"/>
        <family val="0"/>
        <charset val="1"/>
      </rPr>
      <t xml:space="preserve">6 </t>
    </r>
    <r>
      <rPr>
        <sz val="10"/>
        <rFont val="WenQuanYi Zen Hei"/>
        <family val="2"/>
      </rPr>
      <t xml:space="preserve">台报检</t>
    </r>
  </si>
  <si>
    <r>
      <rPr>
        <sz val="10"/>
        <rFont val="微软雅黑"/>
        <family val="0"/>
        <charset val="1"/>
      </rPr>
      <t xml:space="preserve">2# </t>
    </r>
    <r>
      <rPr>
        <sz val="10"/>
        <rFont val="WenQuanYi Zen Hei"/>
        <family val="2"/>
      </rPr>
      <t xml:space="preserve">梯轿厢装修</t>
    </r>
  </si>
  <si>
    <r>
      <rPr>
        <b val="true"/>
        <sz val="15"/>
        <color rgb="FFFFFFFF"/>
        <rFont val="WenQuanYi Zen Hei"/>
        <family val="2"/>
      </rPr>
      <t xml:space="preserve">收 款 登 记 </t>
    </r>
    <r>
      <rPr>
        <b val="true"/>
        <sz val="15"/>
        <color rgb="FFFFFFFF"/>
        <rFont val="微软雅黑"/>
        <family val="0"/>
        <charset val="1"/>
      </rPr>
      <t xml:space="preserve">· </t>
    </r>
    <r>
      <rPr>
        <b val="true"/>
        <sz val="15"/>
        <color rgb="FFFFFFFF"/>
        <rFont val="WenQuanYi Zen Hei"/>
        <family val="2"/>
      </rPr>
      <t xml:space="preserve">钱几时到、开的什么票，一笔一行</t>
    </r>
  </si>
  <si>
    <r>
      <rPr>
        <sz val="9"/>
        <color rgb="FF8B5E00"/>
        <rFont val="WenQuanYi Zen Hei"/>
        <family val="2"/>
      </rPr>
      <t xml:space="preserve">★ 收款乱就乱在「有的开发票、有的开收据、有的干脆现金没票」：</t>
    </r>
    <r>
      <rPr>
        <sz val="9"/>
        <color rgb="FF8B5E00"/>
        <rFont val="微软雅黑"/>
        <family val="0"/>
        <charset val="1"/>
      </rPr>
      <t xml:space="preserve">H </t>
    </r>
    <r>
      <rPr>
        <sz val="9"/>
        <color rgb="FF8B5E00"/>
        <rFont val="WenQuanYi Zen Hei"/>
        <family val="2"/>
      </rPr>
      <t xml:space="preserve">列选票据类型，</t>
    </r>
    <r>
      <rPr>
        <sz val="9"/>
        <color rgb="FF8B5E00"/>
        <rFont val="微软雅黑"/>
        <family val="0"/>
        <charset val="1"/>
      </rPr>
      <t xml:space="preserve">I </t>
    </r>
    <r>
      <rPr>
        <sz val="9"/>
        <color rgb="FF8B5E00"/>
        <rFont val="WenQuanYi Zen Hei"/>
        <family val="2"/>
      </rPr>
      <t xml:space="preserve">列自动归成 发票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收据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现金无票 三路，《应收对账》里分三列给你看。
★ 合同款和合同外款可以合并收：</t>
    </r>
    <r>
      <rPr>
        <sz val="9"/>
        <color rgb="FF8B5E00"/>
        <rFont val="微软雅黑"/>
        <family val="0"/>
        <charset val="1"/>
      </rPr>
      <t xml:space="preserve">K </t>
    </r>
    <r>
      <rPr>
        <sz val="9"/>
        <color rgb="FF8B5E00"/>
        <rFont val="WenQuanYi Zen Hei"/>
        <family val="2"/>
      </rPr>
      <t xml:space="preserve">列选「合并</t>
    </r>
    <r>
      <rPr>
        <sz val="9"/>
        <color rgb="FF8B5E00"/>
        <rFont val="微软雅黑"/>
        <family val="0"/>
        <charset val="1"/>
      </rPr>
      <t xml:space="preserve">(</t>
    </r>
    <r>
      <rPr>
        <sz val="9"/>
        <color rgb="FF8B5E00"/>
        <rFont val="WenQuanYi Zen Hei"/>
        <family val="2"/>
      </rPr>
      <t xml:space="preserve">不细分</t>
    </r>
    <r>
      <rPr>
        <sz val="9"/>
        <color rgb="FF8B5E00"/>
        <rFont val="微软雅黑"/>
        <family val="0"/>
        <charset val="1"/>
      </rPr>
      <t xml:space="preserve">)</t>
    </r>
    <r>
      <rPr>
        <sz val="9"/>
        <color rgb="FF8B5E00"/>
        <rFont val="WenQuanYi Zen Hei"/>
        <family val="2"/>
      </rPr>
      <t xml:space="preserve">」，</t>
    </r>
    <r>
      <rPr>
        <sz val="9"/>
        <color rgb="FF8B5E00"/>
        <rFont val="微软雅黑"/>
        <family val="0"/>
        <charset val="1"/>
      </rPr>
      <t xml:space="preserve">L </t>
    </r>
    <r>
      <rPr>
        <sz val="9"/>
        <color rgb="FF8B5E00"/>
        <rFont val="WenQuanYi Zen Hei"/>
        <family val="2"/>
      </rPr>
      <t xml:space="preserve">列不用填，系统按「先挂先冲」自动去冲最早那几笔应收。
★ 想指定冲哪一张应收单（比如客户特意说这笔是付去年的维修费），就在 </t>
    </r>
    <r>
      <rPr>
        <sz val="9"/>
        <color rgb="FF8B5E00"/>
        <rFont val="微软雅黑"/>
        <family val="0"/>
        <charset val="1"/>
      </rPr>
      <t xml:space="preserve">L </t>
    </r>
    <r>
      <rPr>
        <sz val="9"/>
        <color rgb="FF8B5E00"/>
        <rFont val="WenQuanYi Zen Hei"/>
        <family val="2"/>
      </rPr>
      <t xml:space="preserve">列把那张应收单号选上，冲销优先按你指定的来。
★ 这张表不分年度、一直往下记，过年不用新建表。</t>
    </r>
  </si>
  <si>
    <r>
      <rPr>
        <b val="true"/>
        <sz val="10"/>
        <color rgb="FFFFFFFF"/>
        <rFont val="WenQuanYi Zen Hei"/>
        <family val="2"/>
      </rPr>
      <t xml:space="preserve">收款单号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自动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</si>
  <si>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收款日期 ★</t>
  </si>
  <si>
    <t xml:space="preserve">收款金额 ★</t>
  </si>
  <si>
    <t xml:space="preserve">票据类型 ★</t>
  </si>
  <si>
    <r>
      <rPr>
        <b val="true"/>
        <sz val="10"/>
        <color rgb="FFFFFFFF"/>
        <rFont val="WenQuanYi Zen Hei"/>
        <family val="2"/>
      </rPr>
      <t xml:space="preserve">票据归类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自动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</si>
  <si>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收款方式 ★</t>
  </si>
  <si>
    <r>
      <rPr>
        <b val="true"/>
        <sz val="10"/>
        <color rgb="FFFFFFFF"/>
        <rFont val="WenQuanYi Zen Hei"/>
        <family val="2"/>
      </rPr>
      <t xml:space="preserve">关联应收单号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选填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</si>
  <si>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YS202507-0001</t>
  </si>
  <si>
    <t xml:space="preserve">上年维保费结清</t>
  </si>
  <si>
    <t xml:space="preserve">YS202510-0002</t>
  </si>
  <si>
    <t xml:space="preserve">先付一部分</t>
  </si>
  <si>
    <t xml:space="preserve">YS202601-0005</t>
  </si>
  <si>
    <t xml:space="preserve">YS202603-0007</t>
  </si>
  <si>
    <t xml:space="preserve">YS202606-0008</t>
  </si>
  <si>
    <t xml:space="preserve">YS202601-0010</t>
  </si>
  <si>
    <t xml:space="preserve">YS202604-0012</t>
  </si>
  <si>
    <t xml:space="preserve">困人急修现收</t>
  </si>
  <si>
    <t xml:space="preserve">YS202601-0014</t>
  </si>
  <si>
    <r>
      <rPr>
        <sz val="10"/>
        <rFont val="WenQuanYi Zen Hei"/>
        <family val="2"/>
      </rPr>
      <t xml:space="preserve">合并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不细分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</si>
  <si>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二季度维保费 </t>
    </r>
    <r>
      <rPr>
        <sz val="10"/>
        <rFont val="微软雅黑"/>
        <family val="0"/>
        <charset val="1"/>
      </rPr>
      <t xml:space="preserve">+ </t>
    </r>
    <r>
      <rPr>
        <sz val="10"/>
        <rFont val="WenQuanYi Zen Hei"/>
        <family val="2"/>
      </rPr>
      <t xml:space="preserve">门滑块一起付</t>
    </r>
  </si>
  <si>
    <t xml:space="preserve">YS202607-0016</t>
  </si>
  <si>
    <t xml:space="preserve">把上年尾款补上</t>
  </si>
  <si>
    <t xml:space="preserve">YS202604-0018</t>
  </si>
  <si>
    <t xml:space="preserve">先付半年</t>
  </si>
  <si>
    <t xml:space="preserve">YS202511-0003</t>
  </si>
  <si>
    <t xml:space="preserve">上年配件费现金结清，没开票</t>
  </si>
  <si>
    <t xml:space="preserve">YS202602-0022</t>
  </si>
  <si>
    <t xml:space="preserve">一次性付清</t>
  </si>
  <si>
    <t xml:space="preserve">YS202601-0023</t>
  </si>
  <si>
    <t xml:space="preserve">YS202604-0024</t>
  </si>
  <si>
    <t xml:space="preserve">YS202607-0025</t>
  </si>
  <si>
    <r>
      <rPr>
        <sz val="10"/>
        <rFont val="WenQuanYi Zen Hei"/>
        <family val="2"/>
      </rPr>
      <t xml:space="preserve">上年维修费 </t>
    </r>
    <r>
      <rPr>
        <sz val="10"/>
        <rFont val="微软雅黑"/>
        <family val="0"/>
        <charset val="1"/>
      </rPr>
      <t xml:space="preserve">+ </t>
    </r>
    <r>
      <rPr>
        <sz val="10"/>
        <rFont val="WenQuanYi Zen Hei"/>
        <family val="2"/>
      </rPr>
      <t xml:space="preserve">部分维保费</t>
    </r>
  </si>
  <si>
    <t xml:space="preserve">上半年维保费余款</t>
  </si>
  <si>
    <t xml:space="preserve">YS202603-0029</t>
  </si>
  <si>
    <t xml:space="preserve">报检费结清，开的收据</t>
  </si>
  <si>
    <r>
      <rPr>
        <b val="true"/>
        <sz val="15"/>
        <color rgb="FFFFFFFF"/>
        <rFont val="WenQuanYi Zen Hei"/>
        <family val="2"/>
      </rPr>
      <t xml:space="preserve">应 收 对 账 </t>
    </r>
    <r>
      <rPr>
        <b val="true"/>
        <sz val="15"/>
        <color rgb="FFFFFFFF"/>
        <rFont val="微软雅黑"/>
        <family val="0"/>
        <charset val="1"/>
      </rPr>
      <t xml:space="preserve">· </t>
    </r>
    <r>
      <rPr>
        <b val="true"/>
        <sz val="15"/>
        <color rgb="FFFFFFFF"/>
        <rFont val="WenQuanYi Zen Hei"/>
        <family val="2"/>
      </rPr>
      <t xml:space="preserve">每个项目到底还欠多少，看这一张</t>
    </r>
  </si>
  <si>
    <r>
      <rPr>
        <sz val="9"/>
        <color rgb="FF8B5E00"/>
        <rFont val="WenQuanYi Zen Hei"/>
        <family val="2"/>
      </rPr>
      <t xml:space="preserve">★ 这一张全是公式，不用填，只有 </t>
    </r>
    <r>
      <rPr>
        <sz val="9"/>
        <color rgb="FF8B5E00"/>
        <rFont val="微软雅黑"/>
        <family val="0"/>
        <charset val="1"/>
      </rPr>
      <t xml:space="preserve">W </t>
    </r>
    <r>
      <rPr>
        <sz val="9"/>
        <color rgb="FF8B5E00"/>
        <rFont val="WenQuanYi Zen Hei"/>
        <family val="2"/>
      </rPr>
      <t xml:space="preserve">列备注可以写。行跟《维保合同》一一对应。
★ 跨年就靠 </t>
    </r>
    <r>
      <rPr>
        <sz val="9"/>
        <color rgb="FF8B5E00"/>
        <rFont val="微软雅黑"/>
        <family val="0"/>
        <charset val="1"/>
      </rPr>
      <t xml:space="preserve">H </t>
    </r>
    <r>
      <rPr>
        <sz val="9"/>
        <color rgb="FF8B5E00"/>
        <rFont val="WenQuanYi Zen Hei"/>
        <family val="2"/>
      </rPr>
      <t xml:space="preserve">列：上年及以前「应收 − 收款」的差额自动变成本年期初，所以 </t>
    </r>
    <r>
      <rPr>
        <sz val="9"/>
        <color rgb="FF8B5E00"/>
        <rFont val="微软雅黑"/>
        <family val="0"/>
        <charset val="1"/>
      </rPr>
      <t xml:space="preserve">26 </t>
    </r>
    <r>
      <rPr>
        <sz val="9"/>
        <color rgb="FF8B5E00"/>
        <rFont val="WenQuanYi Zen Hei"/>
        <family val="2"/>
      </rPr>
      <t xml:space="preserve">年的欠款会自己接到 </t>
    </r>
    <r>
      <rPr>
        <sz val="9"/>
        <color rgb="FF8B5E00"/>
        <rFont val="微软雅黑"/>
        <family val="0"/>
        <charset val="1"/>
      </rPr>
      <t xml:space="preserve">27 </t>
    </r>
    <r>
      <rPr>
        <sz val="9"/>
        <color rgb="FF8B5E00"/>
        <rFont val="WenQuanYi Zen Hei"/>
        <family val="2"/>
      </rPr>
      <t xml:space="preserve">年去；过年只要把《基础资料》</t>
    </r>
    <r>
      <rPr>
        <sz val="9"/>
        <color rgb="FF8B5E00"/>
        <rFont val="微软雅黑"/>
        <family val="0"/>
        <charset val="1"/>
      </rPr>
      <t xml:space="preserve">B3 </t>
    </r>
    <r>
      <rPr>
        <sz val="9"/>
        <color rgb="FF8B5E00"/>
        <rFont val="WenQuanYi Zen Hei"/>
        <family val="2"/>
      </rPr>
      <t xml:space="preserve">的「管理年度」改成 </t>
    </r>
    <r>
      <rPr>
        <sz val="9"/>
        <color rgb="FF8B5E00"/>
        <rFont val="微软雅黑"/>
        <family val="0"/>
        <charset val="1"/>
      </rPr>
      <t xml:space="preserve">2027</t>
    </r>
    <r>
      <rPr>
        <sz val="9"/>
        <color rgb="FF8B5E00"/>
        <rFont val="WenQuanYi Zen Hei"/>
        <family val="2"/>
      </rPr>
      <t xml:space="preserve">，整张表就是 </t>
    </r>
    <r>
      <rPr>
        <sz val="9"/>
        <color rgb="FF8B5E00"/>
        <rFont val="微软雅黑"/>
        <family val="0"/>
        <charset val="1"/>
      </rPr>
      <t xml:space="preserve">27 </t>
    </r>
    <r>
      <rPr>
        <sz val="9"/>
        <color rgb="FF8B5E00"/>
        <rFont val="WenQuanYi Zen Hei"/>
        <family val="2"/>
      </rPr>
      <t xml:space="preserve">年的口径了，流水一行都不用搬。
★ 欠款拆两半：</t>
    </r>
    <r>
      <rPr>
        <sz val="9"/>
        <color rgb="FF8B5E00"/>
        <rFont val="微软雅黑"/>
        <family val="0"/>
        <charset val="1"/>
      </rPr>
      <t xml:space="preserve">R</t>
    </r>
    <r>
      <rPr>
        <sz val="9"/>
        <color rgb="FF8B5E00"/>
        <rFont val="WenQuanYi Zen Hei"/>
        <family val="2"/>
      </rPr>
      <t xml:space="preserve">「已开票应收」＝票开了钱没到；</t>
    </r>
    <r>
      <rPr>
        <sz val="9"/>
        <color rgb="FF8B5E00"/>
        <rFont val="微软雅黑"/>
        <family val="0"/>
        <charset val="1"/>
      </rPr>
      <t xml:space="preserve">S</t>
    </r>
    <r>
      <rPr>
        <sz val="9"/>
        <color rgb="FF8B5E00"/>
        <rFont val="WenQuanYi Zen Hei"/>
        <family val="2"/>
      </rPr>
      <t xml:space="preserve">「未开票应收」＝票还没开的那部分。</t>
    </r>
    <r>
      <rPr>
        <sz val="9"/>
        <color rgb="FF8B5E00"/>
        <rFont val="微软雅黑"/>
        <family val="0"/>
        <charset val="1"/>
      </rPr>
      <t xml:space="preserve">R</t>
    </r>
    <r>
      <rPr>
        <sz val="9"/>
        <color rgb="FF8B5E00"/>
        <rFont val="WenQuanYi Zen Hei"/>
        <family val="2"/>
      </rPr>
      <t xml:space="preserve">＋</t>
    </r>
    <r>
      <rPr>
        <sz val="9"/>
        <color rgb="FF8B5E00"/>
        <rFont val="微软雅黑"/>
        <family val="0"/>
        <charset val="1"/>
      </rPr>
      <t xml:space="preserve">S</t>
    </r>
    <r>
      <rPr>
        <sz val="9"/>
        <color rgb="FF8B5E00"/>
        <rFont val="WenQuanYi Zen Hei"/>
        <family val="2"/>
      </rPr>
      <t xml:space="preserve">＝</t>
    </r>
    <r>
      <rPr>
        <sz val="9"/>
        <color rgb="FF8B5E00"/>
        <rFont val="微软雅黑"/>
        <family val="0"/>
        <charset val="1"/>
      </rPr>
      <t xml:space="preserve">T </t>
    </r>
    <r>
      <rPr>
        <sz val="9"/>
        <color rgb="FF8B5E00"/>
        <rFont val="WenQuanYi Zen Hei"/>
        <family val="2"/>
      </rPr>
      <t xml:space="preserve">欠款余额。
★ </t>
    </r>
    <r>
      <rPr>
        <sz val="9"/>
        <color rgb="FF8B5E00"/>
        <rFont val="微软雅黑"/>
        <family val="0"/>
        <charset val="1"/>
      </rPr>
      <t xml:space="preserve">N </t>
    </r>
    <r>
      <rPr>
        <sz val="9"/>
        <color rgb="FF8B5E00"/>
        <rFont val="WenQuanYi Zen Hei"/>
        <family val="2"/>
      </rPr>
      <t xml:space="preserve">列本年已收再按票据拆成 </t>
    </r>
    <r>
      <rPr>
        <sz val="9"/>
        <color rgb="FF8B5E00"/>
        <rFont val="微软雅黑"/>
        <family val="0"/>
        <charset val="1"/>
      </rPr>
      <t xml:space="preserve">O </t>
    </r>
    <r>
      <rPr>
        <sz val="9"/>
        <color rgb="FF8B5E00"/>
        <rFont val="WenQuanYi Zen Hei"/>
        <family val="2"/>
      </rPr>
      <t xml:space="preserve">发票 </t>
    </r>
    <r>
      <rPr>
        <sz val="9"/>
        <color rgb="FF8B5E00"/>
        <rFont val="微软雅黑"/>
        <family val="0"/>
        <charset val="1"/>
      </rPr>
      <t xml:space="preserve">/ P </t>
    </r>
    <r>
      <rPr>
        <sz val="9"/>
        <color rgb="FF8B5E00"/>
        <rFont val="WenQuanYi Zen Hei"/>
        <family val="2"/>
      </rPr>
      <t xml:space="preserve">收据 </t>
    </r>
    <r>
      <rPr>
        <sz val="9"/>
        <color rgb="FF8B5E00"/>
        <rFont val="微软雅黑"/>
        <family val="0"/>
        <charset val="1"/>
      </rPr>
      <t xml:space="preserve">/ Q </t>
    </r>
    <r>
      <rPr>
        <sz val="9"/>
        <color rgb="FF8B5E00"/>
        <rFont val="WenQuanYi Zen Hei"/>
        <family val="2"/>
      </rPr>
      <t xml:space="preserve">现金无票 三路，跟实际收款方式对得上。</t>
    </r>
  </si>
  <si>
    <t xml:space="preserve">使用单位</t>
  </si>
  <si>
    <t xml:space="preserve">项目名称</t>
  </si>
  <si>
    <t xml:space="preserve">合同到期</t>
  </si>
  <si>
    <t xml:space="preserve">上年结转欠款</t>
  </si>
  <si>
    <t xml:space="preserve">本年应收合计</t>
  </si>
  <si>
    <t xml:space="preserve">其中：合同款</t>
  </si>
  <si>
    <t xml:space="preserve">其中：合同外款</t>
  </si>
  <si>
    <t xml:space="preserve">本年已开票</t>
  </si>
  <si>
    <t xml:space="preserve">本年未开票</t>
  </si>
  <si>
    <t xml:space="preserve">本年已收合计</t>
  </si>
  <si>
    <t xml:space="preserve">发票收款</t>
  </si>
  <si>
    <t xml:space="preserve">收据收款</t>
  </si>
  <si>
    <r>
      <rPr>
        <b val="true"/>
        <sz val="10"/>
        <color rgb="FFFFFFFF"/>
        <rFont val="WenQuanYi Zen Hei"/>
        <family val="2"/>
      </rPr>
      <t xml:space="preserve">现金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无票收款</t>
    </r>
  </si>
  <si>
    <t xml:space="preserve">已开票应收</t>
  </si>
  <si>
    <t xml:space="preserve">未开票应收</t>
  </si>
  <si>
    <t xml:space="preserve">欠款余额</t>
  </si>
  <si>
    <r>
      <rPr>
        <b val="true"/>
        <sz val="10"/>
        <color rgb="FFFFFFFF"/>
        <rFont val="WenQuanYi Zen Hei"/>
        <family val="2"/>
      </rPr>
      <t xml:space="preserve">账龄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天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</si>
  <si>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提醒</t>
  </si>
  <si>
    <t xml:space="preserve">客户项目键</t>
  </si>
  <si>
    <t xml:space="preserve">以后年度净额</t>
  </si>
  <si>
    <t xml:space="preserve">最早未清日期</t>
  </si>
  <si>
    <r>
      <rPr>
        <b val="true"/>
        <sz val="15"/>
        <color rgb="FFFFFFFF"/>
        <rFont val="WenQuanYi Zen Hei"/>
        <family val="2"/>
      </rPr>
      <t xml:space="preserve">到 期 与 提 醒 </t>
    </r>
    <r>
      <rPr>
        <b val="true"/>
        <sz val="15"/>
        <color rgb="FFFFFFFF"/>
        <rFont val="微软雅黑"/>
        <family val="0"/>
        <charset val="1"/>
      </rPr>
      <t xml:space="preserve">· </t>
    </r>
    <r>
      <rPr>
        <b val="true"/>
        <sz val="15"/>
        <color rgb="FFFFFFFF"/>
        <rFont val="WenQuanYi Zen Hei"/>
        <family val="2"/>
      </rPr>
      <t xml:space="preserve">该催的合同、该约的年检、该转收费的免保、该要的钱</t>
    </r>
  </si>
  <si>
    <r>
      <rPr>
        <sz val="9"/>
        <color rgb="FF8B5E00"/>
        <rFont val="WenQuanYi Zen Hei"/>
        <family val="2"/>
      </rPr>
      <t xml:space="preserve">★ 整张表都是自动生成的，不用填。四块分别是：合同到期</t>
    </r>
    <r>
      <rPr>
        <sz val="9"/>
        <color rgb="FF8B5E00"/>
        <rFont val="微软雅黑"/>
        <family val="0"/>
        <charset val="1"/>
      </rPr>
      <t xml:space="preserve">/</t>
    </r>
    <r>
      <rPr>
        <sz val="9"/>
        <color rgb="FF8B5E00"/>
        <rFont val="WenQuanYi Zen Hei"/>
        <family val="2"/>
      </rPr>
      <t xml:space="preserve">没回签、电梯年检与校验到期、免保快到期该转收费、欠款账龄预警。
★ 「剩余天数」是负的（红字）就是已经过期了。提前多少天开始提醒，在《基础资料》第 </t>
    </r>
    <r>
      <rPr>
        <sz val="9"/>
        <color rgb="FF8B5E00"/>
        <rFont val="微软雅黑"/>
        <family val="0"/>
        <charset val="1"/>
      </rPr>
      <t xml:space="preserve">3 </t>
    </r>
    <r>
      <rPr>
        <sz val="9"/>
        <color rgb="FF8B5E00"/>
        <rFont val="WenQuanYi Zen Hei"/>
        <family val="2"/>
      </rPr>
      <t xml:space="preserve">行三个参数里改。
★ 每块最多显示的条数写在小标题上，超了会提示；真要全量看，回各自的明细表用筛选。</t>
    </r>
  </si>
  <si>
    <t xml:space="preserve">片区</t>
  </si>
  <si>
    <t xml:space="preserve">合同起</t>
  </si>
  <si>
    <t xml:space="preserve">合同止</t>
  </si>
  <si>
    <t xml:space="preserve">剩余天数</t>
  </si>
  <si>
    <t xml:space="preserve">合同年费</t>
  </si>
  <si>
    <t xml:space="preserve">下次年检</t>
  </si>
  <si>
    <t xml:space="preserve">限速器校验</t>
  </si>
  <si>
    <r>
      <rPr>
        <b val="true"/>
        <sz val="10"/>
        <color rgb="FFFFFFFF"/>
        <rFont val="WenQuanYi Zen Hei"/>
        <family val="2"/>
      </rPr>
      <t xml:space="preserve">载重试验</t>
    </r>
    <r>
      <rPr>
        <b val="true"/>
        <sz val="10"/>
        <color rgb="FFFFFFFF"/>
        <rFont val="微软雅黑"/>
        <family val="0"/>
        <charset val="1"/>
      </rPr>
      <t xml:space="preserve">125%</t>
    </r>
  </si>
  <si>
    <t xml:space="preserve">最早到期</t>
  </si>
  <si>
    <t xml:space="preserve">注意事项</t>
  </si>
  <si>
    <t xml:space="preserve">本块合计 →</t>
  </si>
  <si>
    <r>
      <rPr>
        <b val="true"/>
        <sz val="15"/>
        <color rgb="FFFFFFFF"/>
        <rFont val="WenQuanYi Zen Hei"/>
        <family val="2"/>
      </rPr>
      <t xml:space="preserve">月 度 汇 总 </t>
    </r>
    <r>
      <rPr>
        <b val="true"/>
        <sz val="15"/>
        <color rgb="FFFFFFFF"/>
        <rFont val="微软雅黑"/>
        <family val="0"/>
        <charset val="1"/>
      </rPr>
      <t xml:space="preserve">· </t>
    </r>
    <r>
      <rPr>
        <b val="true"/>
        <sz val="15"/>
        <color rgb="FFFFFFFF"/>
        <rFont val="WenQuanYi Zen Hei"/>
        <family val="2"/>
      </rPr>
      <t xml:space="preserve">本年度的应收、开票、收款，按月 </t>
    </r>
    <r>
      <rPr>
        <b val="true"/>
        <sz val="15"/>
        <color rgb="FFFFFFFF"/>
        <rFont val="微软雅黑"/>
        <family val="0"/>
        <charset val="1"/>
      </rPr>
      <t xml:space="preserve">/ </t>
    </r>
    <r>
      <rPr>
        <b val="true"/>
        <sz val="15"/>
        <color rgb="FFFFFFFF"/>
        <rFont val="WenQuanYi Zen Hei"/>
        <family val="2"/>
      </rPr>
      <t xml:space="preserve">类别 </t>
    </r>
    <r>
      <rPr>
        <b val="true"/>
        <sz val="15"/>
        <color rgb="FFFFFFFF"/>
        <rFont val="微软雅黑"/>
        <family val="0"/>
        <charset val="1"/>
      </rPr>
      <t xml:space="preserve">/ </t>
    </r>
    <r>
      <rPr>
        <b val="true"/>
        <sz val="15"/>
        <color rgb="FFFFFFFF"/>
        <rFont val="WenQuanYi Zen Hei"/>
        <family val="2"/>
      </rPr>
      <t xml:space="preserve">片区 </t>
    </r>
    <r>
      <rPr>
        <b val="true"/>
        <sz val="15"/>
        <color rgb="FFFFFFFF"/>
        <rFont val="微软雅黑"/>
        <family val="0"/>
        <charset val="1"/>
      </rPr>
      <t xml:space="preserve">/ </t>
    </r>
    <r>
      <rPr>
        <b val="true"/>
        <sz val="15"/>
        <color rgb="FFFFFFFF"/>
        <rFont val="WenQuanYi Zen Hei"/>
        <family val="2"/>
      </rPr>
      <t xml:space="preserve">票据 </t>
    </r>
    <r>
      <rPr>
        <b val="true"/>
        <sz val="15"/>
        <color rgb="FFFFFFFF"/>
        <rFont val="微软雅黑"/>
        <family val="0"/>
        <charset val="1"/>
      </rPr>
      <t xml:space="preserve">/ </t>
    </r>
    <r>
      <rPr>
        <b val="true"/>
        <sz val="15"/>
        <color rgb="FFFFFFFF"/>
        <rFont val="WenQuanYi Zen Hei"/>
        <family val="2"/>
      </rPr>
      <t xml:space="preserve">方式 五个口径</t>
    </r>
  </si>
  <si>
    <r>
      <rPr>
        <sz val="9"/>
        <color rgb="FF8B5E00"/>
        <rFont val="WenQuanYi Zen Hei"/>
        <family val="2"/>
      </rPr>
      <t xml:space="preserve">★ 「本年度」＝《基础资料》</t>
    </r>
    <r>
      <rPr>
        <sz val="9"/>
        <color rgb="FF8B5E00"/>
        <rFont val="微软雅黑"/>
        <family val="0"/>
        <charset val="1"/>
      </rPr>
      <t xml:space="preserve">B3 </t>
    </r>
    <r>
      <rPr>
        <sz val="9"/>
        <color rgb="FF8B5E00"/>
        <rFont val="WenQuanYi Zen Hei"/>
        <family val="2"/>
      </rPr>
      <t xml:space="preserve">的管理年度。改那一格，整张表跟着换年。
★ 全是公式，不用填。①按月 ②按费用类别 ③按片区 ④按票据类型 ⑤按收款方式，②③④⑤ 的行是跟着《基础资料》的清单走的，那边加一行这里就多一行。
★ ① 最后一列「累计欠款余额」＝上年结转 ＋ 当年累计应收 － 当年累计收款，跟《应收对账》的欠款合计对得上。</t>
    </r>
  </si>
  <si>
    <r>
      <rPr>
        <b val="true"/>
        <sz val="11"/>
        <color rgb="FF1F4E79"/>
        <rFont val="WenQuanYi Zen Hei"/>
        <family val="2"/>
      </rPr>
      <t xml:space="preserve">① 按月：应收 </t>
    </r>
    <r>
      <rPr>
        <b val="true"/>
        <sz val="11"/>
        <color rgb="FF1F4E79"/>
        <rFont val="微软雅黑"/>
        <family val="0"/>
        <charset val="1"/>
      </rPr>
      <t xml:space="preserve">/ </t>
    </r>
    <r>
      <rPr>
        <b val="true"/>
        <sz val="11"/>
        <color rgb="FF1F4E79"/>
        <rFont val="WenQuanYi Zen Hei"/>
        <family val="2"/>
      </rPr>
      <t xml:space="preserve">开票 </t>
    </r>
    <r>
      <rPr>
        <b val="true"/>
        <sz val="11"/>
        <color rgb="FF1F4E79"/>
        <rFont val="微软雅黑"/>
        <family val="0"/>
        <charset val="1"/>
      </rPr>
      <t xml:space="preserve">/ </t>
    </r>
    <r>
      <rPr>
        <b val="true"/>
        <sz val="11"/>
        <color rgb="FF1F4E79"/>
        <rFont val="WenQuanYi Zen Hei"/>
        <family val="2"/>
      </rPr>
      <t xml:space="preserve">收款</t>
    </r>
  </si>
  <si>
    <t xml:space="preserve">月份</t>
  </si>
  <si>
    <t xml:space="preserve">应收合计</t>
  </si>
  <si>
    <t xml:space="preserve">收款合计</t>
  </si>
  <si>
    <t xml:space="preserve">当月应收－收款</t>
  </si>
  <si>
    <t xml:space="preserve">累计欠款余额</t>
  </si>
  <si>
    <t xml:space="preserve">全年合计</t>
  </si>
  <si>
    <r>
      <rPr>
        <b val="true"/>
        <sz val="11"/>
        <color rgb="FF1F4E79"/>
        <rFont val="WenQuanYi Zen Hei"/>
        <family val="2"/>
      </rPr>
      <t xml:space="preserve">② 按费用类别：合同款 </t>
    </r>
    <r>
      <rPr>
        <b val="true"/>
        <sz val="11"/>
        <color rgb="FF1F4E79"/>
        <rFont val="微软雅黑"/>
        <family val="0"/>
        <charset val="1"/>
      </rPr>
      <t xml:space="preserve">/ </t>
    </r>
    <r>
      <rPr>
        <b val="true"/>
        <sz val="11"/>
        <color rgb="FF1F4E79"/>
        <rFont val="WenQuanYi Zen Hei"/>
        <family val="2"/>
      </rPr>
      <t xml:space="preserve">合同外款 各多少，开了多少票</t>
    </r>
  </si>
  <si>
    <t xml:space="preserve">款别</t>
  </si>
  <si>
    <t xml:space="preserve">占比</t>
  </si>
  <si>
    <t xml:space="preserve">不在清单里的（没选下拉直接手打的）</t>
  </si>
  <si>
    <t xml:space="preserve">合计</t>
  </si>
  <si>
    <t xml:space="preserve">③ 按片区：哪个片区台量多、收得回来多少</t>
  </si>
  <si>
    <t xml:space="preserve">项目数</t>
  </si>
  <si>
    <t xml:space="preserve">合同年费合计</t>
  </si>
  <si>
    <t xml:space="preserve">没分片区的（电梯资料里还没填片区）</t>
  </si>
  <si>
    <r>
      <rPr>
        <b val="true"/>
        <sz val="11"/>
        <color rgb="FF1F4E79"/>
        <rFont val="WenQuanYi Zen Hei"/>
        <family val="2"/>
      </rPr>
      <t xml:space="preserve">④ 按票据类型收款：专票 </t>
    </r>
    <r>
      <rPr>
        <b val="true"/>
        <sz val="11"/>
        <color rgb="FF1F4E79"/>
        <rFont val="微软雅黑"/>
        <family val="0"/>
        <charset val="1"/>
      </rPr>
      <t xml:space="preserve">/ </t>
    </r>
    <r>
      <rPr>
        <b val="true"/>
        <sz val="11"/>
        <color rgb="FF1F4E79"/>
        <rFont val="WenQuanYi Zen Hei"/>
        <family val="2"/>
      </rPr>
      <t xml:space="preserve">普票 </t>
    </r>
    <r>
      <rPr>
        <b val="true"/>
        <sz val="11"/>
        <color rgb="FF1F4E79"/>
        <rFont val="微软雅黑"/>
        <family val="0"/>
        <charset val="1"/>
      </rPr>
      <t xml:space="preserve">/ </t>
    </r>
    <r>
      <rPr>
        <b val="true"/>
        <sz val="11"/>
        <color rgb="FF1F4E79"/>
        <rFont val="WenQuanYi Zen Hei"/>
        <family val="2"/>
      </rPr>
      <t xml:space="preserve">电子票 </t>
    </r>
    <r>
      <rPr>
        <b val="true"/>
        <sz val="11"/>
        <color rgb="FF1F4E79"/>
        <rFont val="微软雅黑"/>
        <family val="0"/>
        <charset val="1"/>
      </rPr>
      <t xml:space="preserve">/ </t>
    </r>
    <r>
      <rPr>
        <b val="true"/>
        <sz val="11"/>
        <color rgb="FF1F4E79"/>
        <rFont val="WenQuanYi Zen Hei"/>
        <family val="2"/>
      </rPr>
      <t xml:space="preserve">收据 </t>
    </r>
    <r>
      <rPr>
        <b val="true"/>
        <sz val="11"/>
        <color rgb="FF1F4E79"/>
        <rFont val="微软雅黑"/>
        <family val="0"/>
        <charset val="1"/>
      </rPr>
      <t xml:space="preserve">/ </t>
    </r>
    <r>
      <rPr>
        <b val="true"/>
        <sz val="11"/>
        <color rgb="FF1F4E79"/>
        <rFont val="WenQuanYi Zen Hei"/>
        <family val="2"/>
      </rPr>
      <t xml:space="preserve">无票</t>
    </r>
  </si>
  <si>
    <t xml:space="preserve">归类</t>
  </si>
  <si>
    <t xml:space="preserve">本年收款</t>
  </si>
  <si>
    <t xml:space="preserve">不在清单里的</t>
  </si>
  <si>
    <t xml:space="preserve">⑤ 按收款方式：钱是怎么进来的</t>
  </si>
  <si>
    <r>
      <rPr>
        <b val="true"/>
        <sz val="15"/>
        <color rgb="FFFFFFFF"/>
        <rFont val="WenQuanYi Zen Hei"/>
        <family val="2"/>
      </rPr>
      <t xml:space="preserve">核 对 表 </t>
    </r>
    <r>
      <rPr>
        <b val="true"/>
        <sz val="15"/>
        <color rgb="FFFFFFFF"/>
        <rFont val="微软雅黑"/>
        <family val="0"/>
        <charset val="1"/>
      </rPr>
      <t xml:space="preserve">· </t>
    </r>
    <r>
      <rPr>
        <b val="true"/>
        <sz val="15"/>
        <color rgb="FFFFFFFF"/>
        <rFont val="WenQuanYi Zen Hei"/>
        <family val="2"/>
      </rPr>
      <t xml:space="preserve">一眼看出这份表还平不平</t>
    </r>
  </si>
  <si>
    <r>
      <rPr>
        <sz val="9"/>
        <color rgb="FF8B5E00"/>
        <rFont val="微软雅黑"/>
        <family val="0"/>
        <charset val="1"/>
      </rPr>
      <t xml:space="preserve">★ F </t>
    </r>
    <r>
      <rPr>
        <sz val="9"/>
        <color rgb="FF8B5E00"/>
        <rFont val="WenQuanYi Zen Hei"/>
        <family val="2"/>
      </rPr>
      <t xml:space="preserve">列全是「✔ 平」就说明数据是自洽的；出现「★ 差」就点开 </t>
    </r>
    <r>
      <rPr>
        <sz val="9"/>
        <color rgb="FF8B5E00"/>
        <rFont val="微软雅黑"/>
        <family val="0"/>
        <charset val="1"/>
      </rPr>
      <t xml:space="preserve">B </t>
    </r>
    <r>
      <rPr>
        <sz val="9"/>
        <color rgb="FF8B5E00"/>
        <rFont val="WenQuanYi Zen Hei"/>
        <family val="2"/>
      </rPr>
      <t xml:space="preserve">列写的那两张表去对。
★ 这张表不用填，改完数据按 </t>
    </r>
    <r>
      <rPr>
        <sz val="9"/>
        <color rgb="FF8B5E00"/>
        <rFont val="微软雅黑"/>
        <family val="0"/>
        <charset val="1"/>
      </rPr>
      <t xml:space="preserve">Ctrl+Alt+F9 </t>
    </r>
    <r>
      <rPr>
        <sz val="9"/>
        <color rgb="FF8B5E00"/>
        <rFont val="WenQuanYi Zen Hei"/>
        <family val="2"/>
      </rPr>
      <t xml:space="preserve">重算一次再看。</t>
    </r>
  </si>
  <si>
    <t xml:space="preserve">核 对 项</t>
  </si>
  <si>
    <t xml:space="preserve">口径一</t>
  </si>
  <si>
    <t xml:space="preserve">口径二</t>
  </si>
  <si>
    <t xml:space="preserve">差额</t>
  </si>
  <si>
    <t xml:space="preserve">结论</t>
  </si>
  <si>
    <t xml:space="preserve">这一条是在防什么</t>
  </si>
  <si>
    <t xml:space="preserve">本年应收：《应收对账》合计 ＝《应收登记》本年度合计</t>
  </si>
  <si>
    <t xml:space="preserve">对账表是按项目汇的，登记表是按笔记的，两头必须一样多。不等就是有应收挂到了《维保合同》里没有的项目上。</t>
  </si>
  <si>
    <t xml:space="preserve">本年已收：《应收对账》合计 ＝《收款登记》本年度合计</t>
  </si>
  <si>
    <t xml:space="preserve">同上，收款这一路。</t>
  </si>
  <si>
    <t xml:space="preserve">上年结转欠款 ＝ 上年及以前「应收 － 收款」</t>
  </si>
  <si>
    <t xml:space="preserve">★ 这一条就是「跨年衔接」：上年没收完的钱自动变成本年期初，不用手工搬数。</t>
  </si>
  <si>
    <t xml:space="preserve">欠款余额 ＝ 全部「应收 － 收款」（不分年度）</t>
  </si>
  <si>
    <t xml:space="preserve">最终还欠多少，以这一条为准。</t>
  </si>
  <si>
    <t xml:space="preserve">期初 ＋ 本年应收 － 本年已收 ＋ 以后年度 ＝ 欠款余额</t>
  </si>
  <si>
    <t xml:space="preserve">三年口径串起来，串不上说明有哪一行的年度判错了。</t>
  </si>
  <si>
    <t xml:space="preserve">已开票应收 ＋ 未开票应收 ＝ 还欠的钱</t>
  </si>
  <si>
    <r>
      <rPr>
        <sz val="9"/>
        <color rgb="FF8B5E00"/>
        <rFont val="WenQuanYi Zen Hei"/>
        <family val="2"/>
      </rPr>
      <t xml:space="preserve">★ 欠款拆两半：票开了钱没到 </t>
    </r>
    <r>
      <rPr>
        <sz val="9"/>
        <color rgb="FF8B5E00"/>
        <rFont val="微软雅黑"/>
        <family val="0"/>
        <charset val="1"/>
      </rPr>
      <t xml:space="preserve">/ </t>
    </r>
    <r>
      <rPr>
        <sz val="9"/>
        <color rgb="FF8B5E00"/>
        <rFont val="WenQuanYi Zen Hei"/>
        <family val="2"/>
      </rPr>
      <t xml:space="preserve">票还没开。两半加起来得等于欠款（多收的不算在里面）。</t>
    </r>
  </si>
  <si>
    <t xml:space="preserve">合同款 ＋ 合同外款 ＝ 本年应收</t>
  </si>
  <si>
    <t xml:space="preserve">★ 合同内外分开登记、合并收款，这一条保证分开之后没漏没重。</t>
  </si>
  <si>
    <t xml:space="preserve">发票收款 ＋ 收据收款 ＋ 现金无票 ＝ 本年已收</t>
  </si>
  <si>
    <t xml:space="preserve">★ 收款乱不乱，就看这一条：三路加起来必须等于总收款。</t>
  </si>
  <si>
    <t xml:space="preserve">逐单核销：《应收登记》未收余额合计 ＝ 各项目欠款合计</t>
  </si>
  <si>
    <r>
      <rPr>
        <sz val="9"/>
        <color rgb="FF8B5E00"/>
        <rFont val="WenQuanYi Zen Hei"/>
        <family val="2"/>
      </rPr>
      <t xml:space="preserve">按单核销（指定冲销 </t>
    </r>
    <r>
      <rPr>
        <sz val="9"/>
        <color rgb="FF8B5E00"/>
        <rFont val="微软雅黑"/>
        <family val="0"/>
        <charset val="1"/>
      </rPr>
      <t xml:space="preserve">+ </t>
    </r>
    <r>
      <rPr>
        <sz val="9"/>
        <color rgb="FF8B5E00"/>
        <rFont val="WenQuanYi Zen Hei"/>
        <family val="2"/>
      </rPr>
      <t xml:space="preserve">先挂先冲）的结果，跟按项目汇总的结果要一致。</t>
    </r>
  </si>
  <si>
    <t xml:space="preserve">《应收对账》有没有不平的行</t>
  </si>
  <si>
    <t xml:space="preserve">有★就点进去看那一行。</t>
  </si>
  <si>
    <t xml:space="preserve">《应收登记》有没有要改的行</t>
  </si>
  <si>
    <t xml:space="preserve">没选客户项目、金额空着、开票大于应收，都会报。</t>
  </si>
  <si>
    <t xml:space="preserve">《收款登记》有没有要改的行</t>
  </si>
  <si>
    <t xml:space="preserve">关联单号填错、指定冲销超额，都会报。</t>
  </si>
  <si>
    <t xml:space="preserve">《电梯资料》有没有要改的行</t>
  </si>
  <si>
    <t xml:space="preserve">免保没填到期日、台量没填、还没建合同行，都会报。</t>
  </si>
  <si>
    <t xml:space="preserve">《维保合同》有没有要改的行</t>
  </si>
  <si>
    <t xml:space="preserve">一个项目建了两行、合同起止反了，都会报。</t>
  </si>
  <si>
    <r>
      <rPr>
        <sz val="10"/>
        <rFont val="WenQuanYi Zen Hei"/>
        <family val="2"/>
      </rPr>
      <t xml:space="preserve">《月度汇总》</t>
    </r>
    <r>
      <rPr>
        <sz val="10"/>
        <rFont val="微软雅黑"/>
        <family val="0"/>
        <charset val="1"/>
      </rPr>
      <t xml:space="preserve">12 </t>
    </r>
    <r>
      <rPr>
        <sz val="10"/>
        <rFont val="WenQuanYi Zen Hei"/>
        <family val="2"/>
      </rPr>
      <t xml:space="preserve">个月应收合计 ＝ 本年应收</t>
    </r>
  </si>
  <si>
    <t xml:space="preserve">按日期切的月，跟按年度汇的总数要对上。</t>
  </si>
  <si>
    <r>
      <rPr>
        <sz val="10"/>
        <rFont val="WenQuanYi Zen Hei"/>
        <family val="2"/>
      </rPr>
      <t xml:space="preserve">《月度汇总》</t>
    </r>
    <r>
      <rPr>
        <sz val="10"/>
        <rFont val="微软雅黑"/>
        <family val="0"/>
        <charset val="1"/>
      </rPr>
      <t xml:space="preserve">12 </t>
    </r>
    <r>
      <rPr>
        <sz val="10"/>
        <rFont val="WenQuanYi Zen Hei"/>
        <family val="2"/>
      </rPr>
      <t xml:space="preserve">个月收款合计 ＝ 本年已收</t>
    </r>
  </si>
  <si>
    <t xml:space="preserve">同上。</t>
  </si>
  <si>
    <t xml:space="preserve">《月度汇总》按费用类别合计 ＝ 本年应收</t>
  </si>
  <si>
    <t xml:space="preserve">有人不走下拉直接手打费用类别，会掉进「不在清单里的」那一行，总数照样平。</t>
  </si>
  <si>
    <t xml:space="preserve">《月度汇总》按票据类型合计 ＝ 本年已收</t>
  </si>
  <si>
    <t xml:space="preserve">《月度汇总》按收款方式合计 ＝ 本年已收</t>
  </si>
  <si>
    <r>
      <rPr>
        <sz val="10"/>
        <rFont val="WenQuanYi Zen Hei"/>
        <family val="2"/>
      </rPr>
      <t xml:space="preserve">《月度汇总》</t>
    </r>
    <r>
      <rPr>
        <sz val="10"/>
        <rFont val="微软雅黑"/>
        <family val="0"/>
        <charset val="1"/>
      </rPr>
      <t xml:space="preserve">12 </t>
    </r>
    <r>
      <rPr>
        <sz val="10"/>
        <rFont val="WenQuanYi Zen Hei"/>
        <family val="2"/>
      </rPr>
      <t xml:space="preserve">月累计欠款 ＝ 欠款余额 － 以后年度</t>
    </r>
  </si>
  <si>
    <t xml:space="preserve">月份表的滚存跟对账表的余额要合得上。</t>
  </si>
  <si>
    <t xml:space="preserve">《维保合同》本年应收合计 ＝《应收对账》本年应收合计</t>
  </si>
  <si>
    <t xml:space="preserve">合同表和对账表是两套公式算出来的，互相印证。</t>
  </si>
  <si>
    <t xml:space="preserve">《维保合同》欠款合计 ＝《应收对账》欠款合计</t>
  </si>
  <si>
    <t xml:space="preserve">《月度汇总》按片区欠款合计 ＝《维保合同》欠款合计</t>
  </si>
  <si>
    <t xml:space="preserve">片区没填的会掉到「没分片区的」那一行，总数照样平。</t>
  </si>
  <si>
    <t xml:space="preserve">电梯台量：《电梯资料》合计 ＝《维保合同》在册台量合计</t>
  </si>
  <si>
    <r>
      <rPr>
        <sz val="9"/>
        <color rgb="FF8B5E00"/>
        <rFont val="WenQuanYi Zen Hei"/>
        <family val="2"/>
      </rPr>
      <t xml:space="preserve">不等 ＝ 有电梯的「客户项目」在《维保合同》里没有对应行，去《电梯资料》</t>
    </r>
    <r>
      <rPr>
        <sz val="9"/>
        <color rgb="FF8B5E00"/>
        <rFont val="微软雅黑"/>
        <family val="0"/>
        <charset val="1"/>
      </rPr>
      <t xml:space="preserve">AE </t>
    </r>
    <r>
      <rPr>
        <sz val="9"/>
        <color rgb="FF8B5E00"/>
        <rFont val="WenQuanYi Zen Hei"/>
        <family val="2"/>
      </rPr>
      <t xml:space="preserve">列找「★还没建合同行」。</t>
    </r>
  </si>
  <si>
    <t xml:space="preserve">《到期与提醒》① 合同提醒 的条数有没有超出显示上限</t>
  </si>
  <si>
    <t xml:space="preserve">超了就去源表用筛选看全量，或者把提醒天数调小一点。</t>
  </si>
  <si>
    <r>
      <rPr>
        <sz val="10"/>
        <rFont val="WenQuanYi Zen Hei"/>
        <family val="2"/>
      </rPr>
      <t xml:space="preserve">《到期与提醒》② 年检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校验提醒 的条数有没有超出显示上限</t>
    </r>
  </si>
  <si>
    <t xml:space="preserve">《到期与提醒》③ 免保到期提醒 的条数有没有超出显示上限</t>
  </si>
  <si>
    <t xml:space="preserve">《到期与提醒》④ 欠款账龄预警 的条数有没有超出显示上限</t>
  </si>
  <si>
    <t xml:space="preserve">这是自动生成的辅助表，专门给《到期与提醒》把散在各表里的提醒行压成连续清单用的，不用管它，也别删。</t>
  </si>
  <si>
    <t xml:space="preserve">合同提醒标记</t>
  </si>
  <si>
    <t xml:space="preserve">累计</t>
  </si>
  <si>
    <t xml:space="preserve">年检校验标记</t>
  </si>
  <si>
    <t xml:space="preserve">免保标记</t>
  </si>
  <si>
    <t xml:space="preserve">欠款标记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</si>
</sst>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[RED]\-#,##0;\-"/>
    <numFmt numFmtId="166" formatCode="#,##0.00;[RED]\-#,##0.00;\-"/>
    <numFmt numFmtId="167" formatCode="0.0%"/>
    <numFmt numFmtId="168" formatCode="0"/>
    <numFmt numFmtId="169" formatCode="yyyy\-mm\-dd"/>
    <numFmt numFmtId="170" formatCode="yyyy\-mm\-dd;;;@"/>
    <numFmt numFmtId="171" formatCode="0\天;[RED]\-0\天;\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WenQuanYi Zen Hei"/>
      <family val="2"/>
    </font>
    <font>
      <b val="true"/>
      <sz val="15"/>
      <color rgb="FFFFFFFF"/>
      <name val="微软雅黑"/>
      <family val="0"/>
      <charset val="1"/>
    </font>
    <font>
      <sz val="9"/>
      <color rgb="FF8B5E0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微软雅黑"/>
      <family val="0"/>
      <charset val="1"/>
    </font>
    <font>
      <b val="true"/>
      <sz val="10"/>
      <color rgb="FF1F4E79"/>
      <name val="WenQuanYi Zen Hei"/>
      <family val="2"/>
    </font>
    <font>
      <b val="true"/>
      <sz val="14"/>
      <color rgb="FF1F4E79"/>
      <name val="微软雅黑"/>
      <family val="0"/>
      <charset val="1"/>
    </font>
    <font>
      <b val="true"/>
      <sz val="10"/>
      <color rgb="FFC00000"/>
      <name val="微软雅黑"/>
      <family val="0"/>
      <charset val="1"/>
    </font>
    <font>
      <b val="true"/>
      <sz val="10"/>
      <color rgb="FF1F4E79"/>
      <name val="微软雅黑"/>
      <family val="0"/>
      <charset val="1"/>
    </font>
    <font>
      <u val="single"/>
      <sz val="10"/>
      <color rgb="FF0563C1"/>
      <name val="WenQuanYi Zen Hei"/>
      <family val="2"/>
    </font>
    <font>
      <sz val="10"/>
      <name val="WenQuanYi Zen Hei"/>
      <family val="2"/>
    </font>
    <font>
      <sz val="10"/>
      <name val="微软雅黑"/>
      <family val="0"/>
      <charset val="1"/>
    </font>
    <font>
      <sz val="9"/>
      <color rgb="FF8B5E00"/>
      <name val="微软雅黑"/>
      <family val="0"/>
      <charset val="1"/>
    </font>
    <font>
      <b val="true"/>
      <sz val="11"/>
      <color rgb="FF1F4E79"/>
      <name val="WenQuanYi Zen Hei"/>
      <family val="2"/>
    </font>
    <font>
      <b val="true"/>
      <sz val="11"/>
      <color rgb="FF1F4E79"/>
      <name val="微软雅黑"/>
      <family val="0"/>
      <charset val="1"/>
    </font>
    <font>
      <sz val="10"/>
      <color rgb="FF7F7F7F"/>
      <name val="微软雅黑"/>
      <family val="0"/>
      <charset val="1"/>
    </font>
    <font>
      <sz val="10"/>
      <color rgb="FF7F7F7F"/>
      <name val="WenQuanYi Zen Hei"/>
      <family val="2"/>
    </font>
    <font>
      <b val="true"/>
      <sz val="10"/>
      <color rgb="FFC00000"/>
      <name val="WenQuanYi Zen Hei"/>
      <family val="2"/>
    </font>
    <font>
      <b val="true"/>
      <sz val="14"/>
      <color rgb="FF1F4E79"/>
      <name val="WenQuanYi Zen Hei"/>
      <family val="2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FFBEA"/>
      </patternFill>
    </fill>
    <fill>
      <patternFill patternType="solid">
        <fgColor rgb="FFFCE4E4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F2F2F2"/>
        <bgColor rgb="FFFFFBEA"/>
      </patternFill>
    </fill>
    <fill>
      <patternFill patternType="solid">
        <fgColor rgb="FF2E75B6"/>
        <bgColor rgb="FF0563C1"/>
      </patternFill>
    </fill>
    <fill>
      <patternFill patternType="solid">
        <fgColor rgb="FFFFFBEA"/>
        <bgColor rgb="FFFFFFFF"/>
      </patternFill>
    </fill>
    <fill>
      <patternFill patternType="solid">
        <fgColor rgb="FFE2EFDA"/>
        <bgColor rgb="FFDDEBF7"/>
      </patternFill>
    </fill>
    <fill>
      <patternFill patternType="solid">
        <fgColor rgb="FFED7D31"/>
        <bgColor rgb="FFFF8080"/>
      </patternFill>
    </fill>
    <fill>
      <patternFill patternType="solid">
        <fgColor rgb="FF70AD47"/>
        <bgColor rgb="FF99CC00"/>
      </patternFill>
    </fill>
    <fill>
      <patternFill patternType="solid">
        <fgColor rgb="FF7030A0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1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1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BE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D7D31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5E00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BEA"/>
      <rgbColor rgb="FF99CCFF"/>
      <rgbColor rgb="FFFF99CC"/>
      <rgbColor rgb="FFCC99FF"/>
      <rgbColor rgb="FFFCE4E4"/>
      <rgbColor rgb="FF2E75B6"/>
      <rgbColor rgb="FF33CCCC"/>
      <rgbColor rgb="FF99CC00"/>
      <rgbColor rgb="FFFFCC00"/>
      <rgbColor rgb="FFFF9900"/>
      <rgbColor rgb="FFED7D31"/>
      <rgbColor rgb="FF666699"/>
      <rgbColor rgb="FF7F7F7F"/>
      <rgbColor rgb="FF003366"/>
      <rgbColor rgb="FF70AD47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true"/>
  </sheetPr>
  <dimension ref="A1:H29"/>
  <sheetViews>
    <sheetView tabSelected="1"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7" min="6" style="0" width="18"/>
    <col collapsed="false" customWidth="true" hidden="false" outlineLevel="0" max="8" min="8" style="0" width="2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24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4" t="s">
        <v>3</v>
      </c>
      <c r="B5" s="4"/>
      <c r="C5" s="4" t="s">
        <v>4</v>
      </c>
      <c r="D5" s="4"/>
      <c r="E5" s="4" t="s">
        <v>5</v>
      </c>
      <c r="F5" s="4"/>
      <c r="G5" s="4" t="s">
        <v>6</v>
      </c>
      <c r="H5" s="4"/>
    </row>
    <row r="6" customFormat="false" ht="24" hidden="false" customHeight="true" outlineLevel="0" collapsed="false">
      <c r="A6" s="5" t="str">
        <f aca="false">管理年度&amp;" 年"</f>
        <v>2026 年</v>
      </c>
      <c r="B6" s="5"/>
      <c r="C6" s="6" t="n">
        <f aca="false">电梯资料!$P$3</f>
        <v>22</v>
      </c>
      <c r="D6" s="6"/>
      <c r="E6" s="6" t="n">
        <f aca="false">COUNTIF(合同键,"?*")</f>
        <v>10</v>
      </c>
      <c r="F6" s="6"/>
      <c r="G6" s="7" t="n">
        <f aca="false">COUNTIF(维保合同!$R$5:$R$304,"▲*")</f>
        <v>4</v>
      </c>
      <c r="H6" s="7"/>
    </row>
    <row r="8" customFormat="false" ht="15" hidden="false" customHeight="true" outlineLevel="0" collapsed="false">
      <c r="A8" s="4" t="s">
        <v>7</v>
      </c>
      <c r="B8" s="4"/>
      <c r="C8" s="4" t="s">
        <v>8</v>
      </c>
      <c r="D8" s="4"/>
      <c r="E8" s="4" t="s">
        <v>9</v>
      </c>
      <c r="F8" s="4"/>
      <c r="G8" s="4" t="s">
        <v>10</v>
      </c>
      <c r="H8" s="4"/>
    </row>
    <row r="9" customFormat="false" ht="24" hidden="false" customHeight="true" outlineLevel="0" collapsed="false">
      <c r="A9" s="8" t="n">
        <f aca="false">应收对账!$I$3</f>
        <v>99900</v>
      </c>
      <c r="B9" s="8"/>
      <c r="C9" s="8" t="n">
        <f aca="false">应收对账!$N$3</f>
        <v>61250</v>
      </c>
      <c r="D9" s="8"/>
      <c r="E9" s="9" t="n">
        <f aca="false">IFERROR(应收对账!$N$3/(应收对账!$H$3+应收对账!$I$3),"")</f>
        <v>0.57837582625118</v>
      </c>
      <c r="F9" s="9"/>
      <c r="G9" s="10" t="n">
        <f aca="false">应收对账!$T$3</f>
        <v>44650</v>
      </c>
      <c r="H9" s="10"/>
    </row>
    <row r="11" customFormat="false" ht="15" hidden="false" customHeight="true" outlineLevel="0" collapsed="false">
      <c r="A11" s="4" t="s">
        <v>11</v>
      </c>
      <c r="B11" s="4"/>
      <c r="C11" s="4" t="s">
        <v>12</v>
      </c>
      <c r="D11" s="4"/>
      <c r="E11" s="4" t="s">
        <v>13</v>
      </c>
      <c r="F11" s="4"/>
      <c r="G11" s="4" t="s">
        <v>14</v>
      </c>
      <c r="H11" s="4"/>
    </row>
    <row r="12" customFormat="false" ht="24" hidden="false" customHeight="true" outlineLevel="0" collapsed="false">
      <c r="A12" s="8" t="n">
        <f aca="false">应收对账!$R$3</f>
        <v>7200</v>
      </c>
      <c r="B12" s="8"/>
      <c r="C12" s="8" t="n">
        <f aca="false">应收对账!$S$3</f>
        <v>37450</v>
      </c>
      <c r="D12" s="8"/>
      <c r="E12" s="8" t="n">
        <f aca="false">应收对账!$Q$3</f>
        <v>1800</v>
      </c>
      <c r="F12" s="8"/>
      <c r="G12" s="5" t="str">
        <f aca="false">核对表!$F$33</f>
        <v>✔ 全平</v>
      </c>
      <c r="H12" s="5"/>
    </row>
    <row r="14" customFormat="false" ht="21.75" hidden="false" customHeight="true" outlineLevel="0" collapsed="false">
      <c r="A14" s="11" t="s">
        <v>15</v>
      </c>
      <c r="B14" s="11"/>
      <c r="C14" s="11"/>
      <c r="D14" s="11"/>
      <c r="E14" s="11"/>
      <c r="F14" s="11"/>
      <c r="G14" s="11"/>
      <c r="H14" s="11"/>
    </row>
    <row r="15" customFormat="false" ht="15" hidden="false" customHeight="true" outlineLevel="0" collapsed="false">
      <c r="A15" s="4" t="s">
        <v>16</v>
      </c>
      <c r="B15" s="4"/>
      <c r="C15" s="4" t="s">
        <v>17</v>
      </c>
      <c r="D15" s="4"/>
      <c r="E15" s="4" t="s">
        <v>18</v>
      </c>
      <c r="F15" s="4"/>
      <c r="G15" s="4" t="s">
        <v>19</v>
      </c>
      <c r="H15" s="4"/>
    </row>
    <row r="16" customFormat="false" ht="24" hidden="false" customHeight="true" outlineLevel="0" collapsed="false">
      <c r="A16" s="12" t="str">
        <f aca="false">_自动清单!$B$304&amp;" 条"</f>
        <v>5 条</v>
      </c>
      <c r="B16" s="12"/>
      <c r="C16" s="12" t="str">
        <f aca="false">_自动清单!$E$604&amp;" 台"</f>
        <v>5 台</v>
      </c>
      <c r="D16" s="12"/>
      <c r="E16" s="12" t="str">
        <f aca="false">_自动清单!$H$604&amp;" 台"</f>
        <v>4 台</v>
      </c>
      <c r="F16" s="12"/>
      <c r="G16" s="12" t="str">
        <f aca="false">_自动清单!$K$304&amp;" 个"</f>
        <v>8 个</v>
      </c>
      <c r="H16" s="12"/>
    </row>
    <row r="18" customFormat="false" ht="21.75" hidden="false" customHeight="true" outlineLevel="0" collapsed="false">
      <c r="A18" s="3" t="s">
        <v>20</v>
      </c>
      <c r="B18" s="3"/>
      <c r="C18" s="3"/>
      <c r="D18" s="3"/>
      <c r="E18" s="3"/>
      <c r="F18" s="3"/>
      <c r="G18" s="3"/>
      <c r="H18" s="3"/>
    </row>
    <row r="19" customFormat="false" ht="24" hidden="false" customHeight="true" outlineLevel="0" collapsed="false">
      <c r="A19" s="13" t="s">
        <v>21</v>
      </c>
      <c r="B19" s="13" t="s">
        <v>22</v>
      </c>
      <c r="C19" s="13" t="s">
        <v>23</v>
      </c>
      <c r="D19" s="13"/>
      <c r="E19" s="13"/>
      <c r="F19" s="13"/>
      <c r="G19" s="13"/>
      <c r="H19" s="13"/>
    </row>
    <row r="20" customFormat="false" ht="19.5" hidden="false" customHeight="true" outlineLevel="0" collapsed="false">
      <c r="A20" s="14" t="s">
        <v>24</v>
      </c>
      <c r="B20" s="15" t="s">
        <v>25</v>
      </c>
      <c r="C20" s="16" t="s">
        <v>26</v>
      </c>
      <c r="D20" s="16"/>
      <c r="E20" s="16"/>
      <c r="F20" s="16"/>
      <c r="G20" s="16"/>
      <c r="H20" s="16"/>
    </row>
    <row r="21" customFormat="false" ht="19.5" hidden="false" customHeight="true" outlineLevel="0" collapsed="false">
      <c r="A21" s="14" t="s">
        <v>27</v>
      </c>
      <c r="B21" s="15" t="s">
        <v>28</v>
      </c>
      <c r="C21" s="16" t="s">
        <v>29</v>
      </c>
      <c r="D21" s="16"/>
      <c r="E21" s="16"/>
      <c r="F21" s="16"/>
      <c r="G21" s="16"/>
      <c r="H21" s="16"/>
    </row>
    <row r="22" customFormat="false" ht="19.5" hidden="false" customHeight="true" outlineLevel="0" collapsed="false">
      <c r="A22" s="14" t="s">
        <v>30</v>
      </c>
      <c r="B22" s="15" t="s">
        <v>28</v>
      </c>
      <c r="C22" s="16" t="s">
        <v>31</v>
      </c>
      <c r="D22" s="16"/>
      <c r="E22" s="16"/>
      <c r="F22" s="16"/>
      <c r="G22" s="16"/>
      <c r="H22" s="16"/>
    </row>
    <row r="23" customFormat="false" ht="19.5" hidden="false" customHeight="true" outlineLevel="0" collapsed="false">
      <c r="A23" s="14" t="s">
        <v>32</v>
      </c>
      <c r="B23" s="15" t="s">
        <v>28</v>
      </c>
      <c r="C23" s="16" t="s">
        <v>33</v>
      </c>
      <c r="D23" s="16"/>
      <c r="E23" s="16"/>
      <c r="F23" s="16"/>
      <c r="G23" s="16"/>
      <c r="H23" s="16"/>
    </row>
    <row r="24" customFormat="false" ht="19.5" hidden="false" customHeight="true" outlineLevel="0" collapsed="false">
      <c r="A24" s="14" t="s">
        <v>34</v>
      </c>
      <c r="B24" s="15" t="s">
        <v>28</v>
      </c>
      <c r="C24" s="16" t="s">
        <v>35</v>
      </c>
      <c r="D24" s="16"/>
      <c r="E24" s="16"/>
      <c r="F24" s="16"/>
      <c r="G24" s="16"/>
      <c r="H24" s="16"/>
    </row>
    <row r="25" customFormat="false" ht="19.5" hidden="false" customHeight="true" outlineLevel="0" collapsed="false">
      <c r="A25" s="14" t="s">
        <v>36</v>
      </c>
      <c r="B25" s="15" t="s">
        <v>28</v>
      </c>
      <c r="C25" s="16" t="s">
        <v>37</v>
      </c>
      <c r="D25" s="16"/>
      <c r="E25" s="16"/>
      <c r="F25" s="16"/>
      <c r="G25" s="16"/>
      <c r="H25" s="16"/>
    </row>
    <row r="26" customFormat="false" ht="19.5" hidden="false" customHeight="true" outlineLevel="0" collapsed="false">
      <c r="A26" s="14" t="s">
        <v>38</v>
      </c>
      <c r="B26" s="15" t="s">
        <v>25</v>
      </c>
      <c r="C26" s="16" t="s">
        <v>39</v>
      </c>
      <c r="D26" s="16"/>
      <c r="E26" s="16"/>
      <c r="F26" s="16"/>
      <c r="G26" s="16"/>
      <c r="H26" s="16"/>
    </row>
    <row r="27" customFormat="false" ht="19.5" hidden="false" customHeight="true" outlineLevel="0" collapsed="false">
      <c r="A27" s="14" t="s">
        <v>40</v>
      </c>
      <c r="B27" s="15" t="s">
        <v>25</v>
      </c>
      <c r="C27" s="16" t="s">
        <v>41</v>
      </c>
      <c r="D27" s="16"/>
      <c r="E27" s="16"/>
      <c r="F27" s="16"/>
      <c r="G27" s="16"/>
      <c r="H27" s="16"/>
    </row>
    <row r="28" customFormat="false" ht="19.5" hidden="false" customHeight="true" outlineLevel="0" collapsed="false">
      <c r="A28" s="14" t="s">
        <v>42</v>
      </c>
      <c r="B28" s="15" t="s">
        <v>25</v>
      </c>
      <c r="C28" s="16" t="s">
        <v>43</v>
      </c>
      <c r="D28" s="16"/>
      <c r="E28" s="16"/>
      <c r="F28" s="16"/>
      <c r="G28" s="16"/>
      <c r="H28" s="16"/>
    </row>
    <row r="29" customFormat="false" ht="19.5" hidden="false" customHeight="true" outlineLevel="0" collapsed="false">
      <c r="A29" s="14" t="s">
        <v>44</v>
      </c>
      <c r="B29" s="15" t="s">
        <v>25</v>
      </c>
      <c r="C29" s="16" t="s">
        <v>45</v>
      </c>
      <c r="D29" s="16"/>
      <c r="E29" s="16"/>
      <c r="F29" s="16"/>
      <c r="G29" s="16"/>
      <c r="H29" s="16"/>
    </row>
  </sheetData>
  <mergeCells count="48">
    <mergeCell ref="A1:H1"/>
    <mergeCell ref="A2:H2"/>
    <mergeCell ref="A4:H4"/>
    <mergeCell ref="A5:B5"/>
    <mergeCell ref="C5:D5"/>
    <mergeCell ref="E5:F5"/>
    <mergeCell ref="G5:H5"/>
    <mergeCell ref="A6:B6"/>
    <mergeCell ref="C6:D6"/>
    <mergeCell ref="E6:F6"/>
    <mergeCell ref="G6:H6"/>
    <mergeCell ref="A8:B8"/>
    <mergeCell ref="C8:D8"/>
    <mergeCell ref="E8:F8"/>
    <mergeCell ref="G8:H8"/>
    <mergeCell ref="A9:B9"/>
    <mergeCell ref="C9:D9"/>
    <mergeCell ref="E9:F9"/>
    <mergeCell ref="G9:H9"/>
    <mergeCell ref="A11:B11"/>
    <mergeCell ref="C11:D11"/>
    <mergeCell ref="E11:F11"/>
    <mergeCell ref="G11:H11"/>
    <mergeCell ref="A12:B12"/>
    <mergeCell ref="C12:D12"/>
    <mergeCell ref="E12:F12"/>
    <mergeCell ref="G12:H12"/>
    <mergeCell ref="A14:H14"/>
    <mergeCell ref="A15:B15"/>
    <mergeCell ref="C15:D15"/>
    <mergeCell ref="E15:F15"/>
    <mergeCell ref="G15:H15"/>
    <mergeCell ref="A16:B16"/>
    <mergeCell ref="C16:D16"/>
    <mergeCell ref="E16:F16"/>
    <mergeCell ref="G16:H16"/>
    <mergeCell ref="A18:H18"/>
    <mergeCell ref="C19:H19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</mergeCells>
  <hyperlinks>
    <hyperlink ref="A20" location="'使用说明'!A1" display="使用说明"/>
    <hyperlink ref="A21" location="'基础资料'!A1" display="基础资料"/>
    <hyperlink ref="A22" location="'电梯资料'!A1" display="电梯资料"/>
    <hyperlink ref="A23" location="'维保合同'!A1" display="维保合同"/>
    <hyperlink ref="A24" location="'应收登记'!A1" display="应收登记"/>
    <hyperlink ref="A25" location="'收款登记'!A1" display="收款登记"/>
    <hyperlink ref="A26" location="'应收对账'!A1" display="应收对账"/>
    <hyperlink ref="A27" location="'到期与提醒'!A1" display="到期与提醒"/>
    <hyperlink ref="A28" location="'月度汇总'!A1" display="月度汇总"/>
    <hyperlink ref="A29" location="'核对表'!A1" display="核对表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H66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8"/>
  </cols>
  <sheetData>
    <row r="1" customFormat="false" ht="30" hidden="false" customHeight="true" outlineLevel="0" collapsed="false">
      <c r="A1" s="1" t="s">
        <v>46</v>
      </c>
      <c r="B1" s="1"/>
      <c r="C1" s="1"/>
      <c r="D1" s="1"/>
      <c r="E1" s="1"/>
      <c r="F1" s="1"/>
      <c r="G1" s="1"/>
      <c r="H1" s="1"/>
    </row>
    <row r="2" customFormat="false" ht="24" hidden="false" customHeight="true" outlineLevel="0" collapsed="false">
      <c r="A2" s="2" t="s">
        <v>47</v>
      </c>
      <c r="B2" s="2"/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A4" s="17" t="s">
        <v>48</v>
      </c>
      <c r="B4" s="17"/>
      <c r="C4" s="17"/>
      <c r="D4" s="17"/>
      <c r="E4" s="17"/>
      <c r="F4" s="17"/>
      <c r="G4" s="17"/>
      <c r="H4" s="17"/>
    </row>
    <row r="5" customFormat="false" ht="33.75" hidden="false" customHeight="true" outlineLevel="0" collapsed="false">
      <c r="A5" s="18" t="s">
        <v>49</v>
      </c>
      <c r="B5" s="18"/>
      <c r="C5" s="18"/>
      <c r="D5" s="18"/>
      <c r="E5" s="18"/>
      <c r="F5" s="18"/>
      <c r="G5" s="18"/>
      <c r="H5" s="18"/>
    </row>
    <row r="6" customFormat="false" ht="18" hidden="false" customHeight="true" outlineLevel="0" collapsed="false">
      <c r="A6" s="18" t="s">
        <v>50</v>
      </c>
      <c r="B6" s="18"/>
      <c r="C6" s="18"/>
      <c r="D6" s="18"/>
      <c r="E6" s="18"/>
      <c r="F6" s="18"/>
      <c r="G6" s="18"/>
      <c r="H6" s="18"/>
    </row>
    <row r="7" customFormat="false" ht="18" hidden="false" customHeight="true" outlineLevel="0" collapsed="false">
      <c r="A7" s="18" t="s">
        <v>51</v>
      </c>
      <c r="B7" s="18"/>
      <c r="C7" s="18"/>
      <c r="D7" s="18"/>
      <c r="E7" s="18"/>
      <c r="F7" s="18"/>
      <c r="G7" s="18"/>
      <c r="H7" s="18"/>
    </row>
    <row r="8" customFormat="false" ht="18" hidden="false" customHeight="true" outlineLevel="0" collapsed="false">
      <c r="A8" s="18" t="s">
        <v>52</v>
      </c>
      <c r="B8" s="18"/>
      <c r="C8" s="18"/>
      <c r="D8" s="18"/>
      <c r="E8" s="18"/>
      <c r="F8" s="18"/>
      <c r="G8" s="18"/>
      <c r="H8" s="18"/>
    </row>
    <row r="9" customFormat="false" ht="18" hidden="false" customHeight="true" outlineLevel="0" collapsed="false">
      <c r="A9" s="18" t="s">
        <v>53</v>
      </c>
      <c r="B9" s="18"/>
      <c r="C9" s="18"/>
      <c r="D9" s="18"/>
      <c r="E9" s="18"/>
      <c r="F9" s="18"/>
      <c r="G9" s="18"/>
      <c r="H9" s="18"/>
    </row>
    <row r="10" customFormat="false" ht="33.75" hidden="false" customHeight="true" outlineLevel="0" collapsed="false">
      <c r="A10" s="18" t="s">
        <v>54</v>
      </c>
      <c r="B10" s="18"/>
      <c r="C10" s="18"/>
      <c r="D10" s="18"/>
      <c r="E10" s="18"/>
      <c r="F10" s="18"/>
      <c r="G10" s="18"/>
      <c r="H10" s="18"/>
    </row>
    <row r="11" customFormat="false" ht="33.75" hidden="false" customHeight="true" outlineLevel="0" collapsed="false">
      <c r="A11" s="18" t="s">
        <v>55</v>
      </c>
      <c r="B11" s="18"/>
      <c r="C11" s="18"/>
      <c r="D11" s="18"/>
      <c r="E11" s="18"/>
      <c r="F11" s="18"/>
      <c r="G11" s="18"/>
      <c r="H11" s="18"/>
    </row>
    <row r="12" customFormat="false" ht="24" hidden="false" customHeight="true" outlineLevel="0" collapsed="false">
      <c r="A12" s="17" t="s">
        <v>56</v>
      </c>
      <c r="B12" s="17"/>
      <c r="C12" s="17"/>
      <c r="D12" s="17"/>
      <c r="E12" s="17"/>
      <c r="F12" s="17"/>
      <c r="G12" s="17"/>
      <c r="H12" s="17"/>
    </row>
    <row r="13" customFormat="false" ht="33.75" hidden="false" customHeight="true" outlineLevel="0" collapsed="false">
      <c r="A13" s="18" t="s">
        <v>57</v>
      </c>
      <c r="B13" s="18"/>
      <c r="C13" s="18"/>
      <c r="D13" s="18"/>
      <c r="E13" s="18"/>
      <c r="F13" s="18"/>
      <c r="G13" s="18"/>
      <c r="H13" s="18"/>
    </row>
    <row r="14" customFormat="false" ht="33.75" hidden="false" customHeight="true" outlineLevel="0" collapsed="false">
      <c r="A14" s="18" t="s">
        <v>58</v>
      </c>
      <c r="B14" s="18"/>
      <c r="C14" s="18"/>
      <c r="D14" s="18"/>
      <c r="E14" s="18"/>
      <c r="F14" s="18"/>
      <c r="G14" s="18"/>
      <c r="H14" s="18"/>
    </row>
    <row r="15" customFormat="false" ht="18" hidden="false" customHeight="true" outlineLevel="0" collapsed="false">
      <c r="A15" s="18" t="s">
        <v>59</v>
      </c>
      <c r="B15" s="18"/>
      <c r="C15" s="18"/>
      <c r="D15" s="18"/>
      <c r="E15" s="18"/>
      <c r="F15" s="18"/>
      <c r="G15" s="18"/>
      <c r="H15" s="18"/>
    </row>
    <row r="16" customFormat="false" ht="18" hidden="false" customHeight="true" outlineLevel="0" collapsed="false">
      <c r="A16" s="18" t="s">
        <v>60</v>
      </c>
      <c r="B16" s="18"/>
      <c r="C16" s="18"/>
      <c r="D16" s="18"/>
      <c r="E16" s="18"/>
      <c r="F16" s="18"/>
      <c r="G16" s="18"/>
      <c r="H16" s="18"/>
    </row>
    <row r="17" customFormat="false" ht="18" hidden="false" customHeight="true" outlineLevel="0" collapsed="false">
      <c r="A17" s="18" t="s">
        <v>61</v>
      </c>
      <c r="B17" s="18"/>
      <c r="C17" s="18"/>
      <c r="D17" s="18"/>
      <c r="E17" s="18"/>
      <c r="F17" s="18"/>
      <c r="G17" s="18"/>
      <c r="H17" s="18"/>
    </row>
    <row r="18" customFormat="false" ht="24" hidden="false" customHeight="true" outlineLevel="0" collapsed="false">
      <c r="A18" s="17" t="s">
        <v>62</v>
      </c>
      <c r="B18" s="17"/>
      <c r="C18" s="17"/>
      <c r="D18" s="17"/>
      <c r="E18" s="17"/>
      <c r="F18" s="17"/>
      <c r="G18" s="17"/>
      <c r="H18" s="17"/>
    </row>
    <row r="19" customFormat="false" ht="33.75" hidden="false" customHeight="true" outlineLevel="0" collapsed="false">
      <c r="A19" s="18" t="s">
        <v>63</v>
      </c>
      <c r="B19" s="18"/>
      <c r="C19" s="18"/>
      <c r="D19" s="18"/>
      <c r="E19" s="18"/>
      <c r="F19" s="18"/>
      <c r="G19" s="18"/>
      <c r="H19" s="18"/>
    </row>
    <row r="20" customFormat="false" ht="33.75" hidden="false" customHeight="true" outlineLevel="0" collapsed="false">
      <c r="A20" s="18" t="s">
        <v>64</v>
      </c>
      <c r="B20" s="18"/>
      <c r="C20" s="18"/>
      <c r="D20" s="18"/>
      <c r="E20" s="18"/>
      <c r="F20" s="18"/>
      <c r="G20" s="18"/>
      <c r="H20" s="18"/>
    </row>
    <row r="21" customFormat="false" ht="18" hidden="false" customHeight="true" outlineLevel="0" collapsed="false">
      <c r="A21" s="18" t="s">
        <v>65</v>
      </c>
      <c r="B21" s="18"/>
      <c r="C21" s="18"/>
      <c r="D21" s="18"/>
      <c r="E21" s="18"/>
      <c r="F21" s="18"/>
      <c r="G21" s="18"/>
      <c r="H21" s="18"/>
    </row>
    <row r="22" customFormat="false" ht="24" hidden="false" customHeight="true" outlineLevel="0" collapsed="false">
      <c r="A22" s="17" t="s">
        <v>66</v>
      </c>
      <c r="B22" s="17"/>
      <c r="C22" s="17"/>
      <c r="D22" s="17"/>
      <c r="E22" s="17"/>
      <c r="F22" s="17"/>
      <c r="G22" s="17"/>
      <c r="H22" s="17"/>
    </row>
    <row r="23" customFormat="false" ht="51" hidden="false" customHeight="true" outlineLevel="0" collapsed="false">
      <c r="A23" s="18" t="s">
        <v>67</v>
      </c>
      <c r="B23" s="18"/>
      <c r="C23" s="18"/>
      <c r="D23" s="18"/>
      <c r="E23" s="18"/>
      <c r="F23" s="18"/>
      <c r="G23" s="18"/>
      <c r="H23" s="18"/>
    </row>
    <row r="24" customFormat="false" ht="33.75" hidden="false" customHeight="true" outlineLevel="0" collapsed="false">
      <c r="A24" s="18" t="s">
        <v>68</v>
      </c>
      <c r="B24" s="18"/>
      <c r="C24" s="18"/>
      <c r="D24" s="18"/>
      <c r="E24" s="18"/>
      <c r="F24" s="18"/>
      <c r="G24" s="18"/>
      <c r="H24" s="18"/>
    </row>
    <row r="25" customFormat="false" ht="33.75" hidden="false" customHeight="true" outlineLevel="0" collapsed="false">
      <c r="A25" s="18" t="s">
        <v>69</v>
      </c>
      <c r="B25" s="18"/>
      <c r="C25" s="18"/>
      <c r="D25" s="18"/>
      <c r="E25" s="18"/>
      <c r="F25" s="18"/>
      <c r="G25" s="18"/>
      <c r="H25" s="18"/>
    </row>
    <row r="26" customFormat="false" ht="18" hidden="false" customHeight="true" outlineLevel="0" collapsed="false">
      <c r="A26" s="18" t="s">
        <v>70</v>
      </c>
      <c r="B26" s="18"/>
      <c r="C26" s="18"/>
      <c r="D26" s="18"/>
      <c r="E26" s="18"/>
      <c r="F26" s="18"/>
      <c r="G26" s="18"/>
      <c r="H26" s="18"/>
    </row>
    <row r="27" customFormat="false" ht="24" hidden="false" customHeight="true" outlineLevel="0" collapsed="false">
      <c r="A27" s="17" t="s">
        <v>71</v>
      </c>
      <c r="B27" s="17"/>
      <c r="C27" s="17"/>
      <c r="D27" s="17"/>
      <c r="E27" s="17"/>
      <c r="F27" s="17"/>
      <c r="G27" s="17"/>
      <c r="H27" s="17"/>
    </row>
    <row r="28" customFormat="false" ht="33.75" hidden="false" customHeight="true" outlineLevel="0" collapsed="false">
      <c r="A28" s="18" t="s">
        <v>72</v>
      </c>
      <c r="B28" s="18"/>
      <c r="C28" s="18"/>
      <c r="D28" s="18"/>
      <c r="E28" s="18"/>
      <c r="F28" s="18"/>
      <c r="G28" s="18"/>
      <c r="H28" s="18"/>
    </row>
    <row r="29" customFormat="false" ht="18" hidden="false" customHeight="true" outlineLevel="0" collapsed="false">
      <c r="A29" s="18" t="s">
        <v>73</v>
      </c>
      <c r="B29" s="18"/>
      <c r="C29" s="18"/>
      <c r="D29" s="18"/>
      <c r="E29" s="18"/>
      <c r="F29" s="18"/>
      <c r="G29" s="18"/>
      <c r="H29" s="18"/>
    </row>
    <row r="30" customFormat="false" ht="24" hidden="false" customHeight="true" outlineLevel="0" collapsed="false">
      <c r="A30" s="17" t="s">
        <v>74</v>
      </c>
      <c r="B30" s="17"/>
      <c r="C30" s="17"/>
      <c r="D30" s="17"/>
      <c r="E30" s="17"/>
      <c r="F30" s="17"/>
      <c r="G30" s="17"/>
      <c r="H30" s="17"/>
    </row>
    <row r="31" customFormat="false" ht="18" hidden="false" customHeight="true" outlineLevel="0" collapsed="false">
      <c r="A31" s="18" t="s">
        <v>75</v>
      </c>
      <c r="B31" s="18"/>
      <c r="C31" s="18"/>
      <c r="D31" s="18"/>
      <c r="E31" s="18"/>
      <c r="F31" s="18"/>
      <c r="G31" s="18"/>
      <c r="H31" s="18"/>
    </row>
    <row r="32" customFormat="false" ht="18" hidden="false" customHeight="true" outlineLevel="0" collapsed="false">
      <c r="A32" s="18" t="s">
        <v>76</v>
      </c>
      <c r="B32" s="18"/>
      <c r="C32" s="18"/>
      <c r="D32" s="18"/>
      <c r="E32" s="18"/>
      <c r="F32" s="18"/>
      <c r="G32" s="18"/>
      <c r="H32" s="18"/>
    </row>
    <row r="33" customFormat="false" ht="33.75" hidden="false" customHeight="true" outlineLevel="0" collapsed="false">
      <c r="A33" s="18" t="s">
        <v>77</v>
      </c>
      <c r="B33" s="18"/>
      <c r="C33" s="18"/>
      <c r="D33" s="18"/>
      <c r="E33" s="18"/>
      <c r="F33" s="18"/>
      <c r="G33" s="18"/>
      <c r="H33" s="18"/>
    </row>
    <row r="34" customFormat="false" ht="18" hidden="false" customHeight="true" outlineLevel="0" collapsed="false">
      <c r="A34" s="18" t="s">
        <v>78</v>
      </c>
      <c r="B34" s="18"/>
      <c r="C34" s="18"/>
      <c r="D34" s="18"/>
      <c r="E34" s="18"/>
      <c r="F34" s="18"/>
      <c r="G34" s="18"/>
      <c r="H34" s="18"/>
    </row>
    <row r="35" customFormat="false" ht="18" hidden="false" customHeight="true" outlineLevel="0" collapsed="false">
      <c r="A35" s="18" t="s">
        <v>79</v>
      </c>
      <c r="B35" s="18"/>
      <c r="C35" s="18"/>
      <c r="D35" s="18"/>
      <c r="E35" s="18"/>
      <c r="F35" s="18"/>
      <c r="G35" s="18"/>
      <c r="H35" s="18"/>
    </row>
    <row r="36" customFormat="false" ht="18" hidden="false" customHeight="true" outlineLevel="0" collapsed="false">
      <c r="A36" s="18" t="s">
        <v>80</v>
      </c>
      <c r="B36" s="18"/>
      <c r="C36" s="18"/>
      <c r="D36" s="18"/>
      <c r="E36" s="18"/>
      <c r="F36" s="18"/>
      <c r="G36" s="18"/>
      <c r="H36" s="18"/>
    </row>
    <row r="37" customFormat="false" ht="24" hidden="false" customHeight="true" outlineLevel="0" collapsed="false">
      <c r="A37" s="17" t="s">
        <v>81</v>
      </c>
      <c r="B37" s="17"/>
      <c r="C37" s="17"/>
      <c r="D37" s="17"/>
      <c r="E37" s="17"/>
      <c r="F37" s="17"/>
      <c r="G37" s="17"/>
      <c r="H37" s="17"/>
    </row>
    <row r="38" customFormat="false" ht="33.75" hidden="false" customHeight="true" outlineLevel="0" collapsed="false">
      <c r="A38" s="18" t="s">
        <v>82</v>
      </c>
      <c r="B38" s="18"/>
      <c r="C38" s="18"/>
      <c r="D38" s="18"/>
      <c r="E38" s="18"/>
      <c r="F38" s="18"/>
      <c r="G38" s="18"/>
      <c r="H38" s="18"/>
    </row>
    <row r="39" customFormat="false" ht="33.75" hidden="false" customHeight="true" outlineLevel="0" collapsed="false">
      <c r="A39" s="18" t="s">
        <v>83</v>
      </c>
      <c r="B39" s="18"/>
      <c r="C39" s="18"/>
      <c r="D39" s="18"/>
      <c r="E39" s="18"/>
      <c r="F39" s="18"/>
      <c r="G39" s="18"/>
      <c r="H39" s="18"/>
    </row>
    <row r="40" customFormat="false" ht="33.75" hidden="false" customHeight="true" outlineLevel="0" collapsed="false">
      <c r="A40" s="18" t="s">
        <v>84</v>
      </c>
      <c r="B40" s="18"/>
      <c r="C40" s="18"/>
      <c r="D40" s="18"/>
      <c r="E40" s="18"/>
      <c r="F40" s="18"/>
      <c r="G40" s="18"/>
      <c r="H40" s="18"/>
    </row>
    <row r="41" customFormat="false" ht="24" hidden="false" customHeight="true" outlineLevel="0" collapsed="false">
      <c r="A41" s="17" t="s">
        <v>85</v>
      </c>
      <c r="B41" s="17"/>
      <c r="C41" s="17"/>
      <c r="D41" s="17"/>
      <c r="E41" s="17"/>
      <c r="F41" s="17"/>
      <c r="G41" s="17"/>
      <c r="H41" s="17"/>
    </row>
    <row r="42" customFormat="false" ht="18" hidden="false" customHeight="true" outlineLevel="0" collapsed="false">
      <c r="A42" s="18" t="s">
        <v>86</v>
      </c>
      <c r="B42" s="18"/>
      <c r="C42" s="18"/>
      <c r="D42" s="18"/>
      <c r="E42" s="18"/>
      <c r="F42" s="18"/>
      <c r="G42" s="18"/>
      <c r="H42" s="18"/>
    </row>
    <row r="43" customFormat="false" ht="18" hidden="false" customHeight="true" outlineLevel="0" collapsed="false">
      <c r="A43" s="18" t="s">
        <v>87</v>
      </c>
      <c r="B43" s="18"/>
      <c r="C43" s="18"/>
      <c r="D43" s="18"/>
      <c r="E43" s="18"/>
      <c r="F43" s="18"/>
      <c r="G43" s="18"/>
      <c r="H43" s="18"/>
    </row>
    <row r="44" customFormat="false" ht="51" hidden="false" customHeight="true" outlineLevel="0" collapsed="false">
      <c r="A44" s="18" t="s">
        <v>88</v>
      </c>
      <c r="B44" s="18"/>
      <c r="C44" s="18"/>
      <c r="D44" s="18"/>
      <c r="E44" s="18"/>
      <c r="F44" s="18"/>
      <c r="G44" s="18"/>
      <c r="H44" s="18"/>
    </row>
    <row r="45" customFormat="false" ht="18" hidden="false" customHeight="true" outlineLevel="0" collapsed="false">
      <c r="A45" s="18" t="s">
        <v>89</v>
      </c>
      <c r="B45" s="18"/>
      <c r="C45" s="18"/>
      <c r="D45" s="18"/>
      <c r="E45" s="18"/>
      <c r="F45" s="18"/>
      <c r="G45" s="18"/>
      <c r="H45" s="18"/>
    </row>
    <row r="46" customFormat="false" ht="18" hidden="false" customHeight="true" outlineLevel="0" collapsed="false">
      <c r="A46" s="18" t="s">
        <v>90</v>
      </c>
      <c r="B46" s="18"/>
      <c r="C46" s="18"/>
      <c r="D46" s="18"/>
      <c r="E46" s="18"/>
      <c r="F46" s="18"/>
      <c r="G46" s="18"/>
      <c r="H46" s="18"/>
    </row>
    <row r="47" customFormat="false" ht="24" hidden="false" customHeight="true" outlineLevel="0" collapsed="false">
      <c r="A47" s="17" t="s">
        <v>91</v>
      </c>
      <c r="B47" s="17"/>
      <c r="C47" s="17"/>
      <c r="D47" s="17"/>
      <c r="E47" s="17"/>
      <c r="F47" s="17"/>
      <c r="G47" s="17"/>
      <c r="H47" s="17"/>
    </row>
    <row r="48" customFormat="false" ht="33.75" hidden="false" customHeight="true" outlineLevel="0" collapsed="false">
      <c r="A48" s="18" t="s">
        <v>92</v>
      </c>
      <c r="B48" s="18"/>
      <c r="C48" s="18"/>
      <c r="D48" s="18"/>
      <c r="E48" s="18"/>
      <c r="F48" s="18"/>
      <c r="G48" s="18"/>
      <c r="H48" s="18"/>
    </row>
    <row r="49" customFormat="false" ht="33.75" hidden="false" customHeight="true" outlineLevel="0" collapsed="false">
      <c r="A49" s="18" t="s">
        <v>93</v>
      </c>
      <c r="B49" s="18"/>
      <c r="C49" s="18"/>
      <c r="D49" s="18"/>
      <c r="E49" s="18"/>
      <c r="F49" s="18"/>
      <c r="G49" s="18"/>
      <c r="H49" s="18"/>
    </row>
    <row r="50" customFormat="false" ht="18" hidden="false" customHeight="true" outlineLevel="0" collapsed="false">
      <c r="A50" s="18" t="s">
        <v>94</v>
      </c>
      <c r="B50" s="18"/>
      <c r="C50" s="18"/>
      <c r="D50" s="18"/>
      <c r="E50" s="18"/>
      <c r="F50" s="18"/>
      <c r="G50" s="18"/>
      <c r="H50" s="18"/>
    </row>
    <row r="51" customFormat="false" ht="24" hidden="false" customHeight="true" outlineLevel="0" collapsed="false">
      <c r="A51" s="17" t="s">
        <v>95</v>
      </c>
      <c r="B51" s="17"/>
      <c r="C51" s="17"/>
      <c r="D51" s="17"/>
      <c r="E51" s="17"/>
      <c r="F51" s="17"/>
      <c r="G51" s="17"/>
      <c r="H51" s="17"/>
    </row>
    <row r="52" customFormat="false" ht="33.75" hidden="false" customHeight="true" outlineLevel="0" collapsed="false">
      <c r="A52" s="18" t="s">
        <v>96</v>
      </c>
      <c r="B52" s="18"/>
      <c r="C52" s="18"/>
      <c r="D52" s="18"/>
      <c r="E52" s="18"/>
      <c r="F52" s="18"/>
      <c r="G52" s="18"/>
      <c r="H52" s="18"/>
    </row>
    <row r="53" customFormat="false" ht="18" hidden="false" customHeight="true" outlineLevel="0" collapsed="false">
      <c r="A53" s="18" t="s">
        <v>97</v>
      </c>
      <c r="B53" s="18"/>
      <c r="C53" s="18"/>
      <c r="D53" s="18"/>
      <c r="E53" s="18"/>
      <c r="F53" s="18"/>
      <c r="G53" s="18"/>
      <c r="H53" s="18"/>
    </row>
    <row r="54" customFormat="false" ht="24" hidden="false" customHeight="true" outlineLevel="0" collapsed="false">
      <c r="A54" s="17" t="s">
        <v>98</v>
      </c>
      <c r="B54" s="17"/>
      <c r="C54" s="17"/>
      <c r="D54" s="17"/>
      <c r="E54" s="17"/>
      <c r="F54" s="17"/>
      <c r="G54" s="17"/>
      <c r="H54" s="17"/>
    </row>
    <row r="55" customFormat="false" ht="18" hidden="false" customHeight="true" outlineLevel="0" collapsed="false">
      <c r="A55" s="18" t="s">
        <v>99</v>
      </c>
      <c r="B55" s="18"/>
      <c r="C55" s="18"/>
      <c r="D55" s="18"/>
      <c r="E55" s="18"/>
      <c r="F55" s="18"/>
      <c r="G55" s="18"/>
      <c r="H55" s="18"/>
    </row>
    <row r="56" customFormat="false" ht="18" hidden="false" customHeight="true" outlineLevel="0" collapsed="false">
      <c r="A56" s="18" t="s">
        <v>100</v>
      </c>
      <c r="B56" s="18"/>
      <c r="C56" s="18"/>
      <c r="D56" s="18"/>
      <c r="E56" s="18"/>
      <c r="F56" s="18"/>
      <c r="G56" s="18"/>
      <c r="H56" s="18"/>
    </row>
    <row r="57" customFormat="false" ht="33.75" hidden="false" customHeight="true" outlineLevel="0" collapsed="false">
      <c r="A57" s="18" t="s">
        <v>101</v>
      </c>
      <c r="B57" s="18"/>
      <c r="C57" s="18"/>
      <c r="D57" s="18"/>
      <c r="E57" s="18"/>
      <c r="F57" s="18"/>
      <c r="G57" s="18"/>
      <c r="H57" s="18"/>
    </row>
    <row r="58" customFormat="false" ht="18" hidden="false" customHeight="true" outlineLevel="0" collapsed="false">
      <c r="A58" s="18" t="s">
        <v>102</v>
      </c>
      <c r="B58" s="18"/>
      <c r="C58" s="18"/>
      <c r="D58" s="18"/>
      <c r="E58" s="18"/>
      <c r="F58" s="18"/>
      <c r="G58" s="18"/>
      <c r="H58" s="18"/>
    </row>
    <row r="59" customFormat="false" ht="24" hidden="false" customHeight="true" outlineLevel="0" collapsed="false">
      <c r="A59" s="17" t="s">
        <v>103</v>
      </c>
      <c r="B59" s="17"/>
      <c r="C59" s="17"/>
      <c r="D59" s="17"/>
      <c r="E59" s="17"/>
      <c r="F59" s="17"/>
      <c r="G59" s="17"/>
      <c r="H59" s="17"/>
    </row>
    <row r="60" customFormat="false" ht="33.75" hidden="false" customHeight="true" outlineLevel="0" collapsed="false">
      <c r="A60" s="18" t="s">
        <v>104</v>
      </c>
      <c r="B60" s="18"/>
      <c r="C60" s="18"/>
      <c r="D60" s="18"/>
      <c r="E60" s="18"/>
      <c r="F60" s="18"/>
      <c r="G60" s="18"/>
      <c r="H60" s="18"/>
    </row>
    <row r="61" customFormat="false" ht="33.75" hidden="false" customHeight="true" outlineLevel="0" collapsed="false">
      <c r="A61" s="18" t="s">
        <v>105</v>
      </c>
      <c r="B61" s="18"/>
      <c r="C61" s="18"/>
      <c r="D61" s="18"/>
      <c r="E61" s="18"/>
      <c r="F61" s="18"/>
      <c r="G61" s="18"/>
      <c r="H61" s="18"/>
    </row>
    <row r="62" customFormat="false" ht="18" hidden="false" customHeight="true" outlineLevel="0" collapsed="false">
      <c r="A62" s="18" t="s">
        <v>106</v>
      </c>
      <c r="B62" s="18"/>
      <c r="C62" s="18"/>
      <c r="D62" s="18"/>
      <c r="E62" s="18"/>
      <c r="F62" s="18"/>
      <c r="G62" s="18"/>
      <c r="H62" s="18"/>
    </row>
    <row r="63" customFormat="false" ht="18" hidden="false" customHeight="true" outlineLevel="0" collapsed="false">
      <c r="A63" s="18" t="s">
        <v>107</v>
      </c>
      <c r="B63" s="18"/>
      <c r="C63" s="18"/>
      <c r="D63" s="18"/>
      <c r="E63" s="18"/>
      <c r="F63" s="18"/>
      <c r="G63" s="18"/>
      <c r="H63" s="18"/>
    </row>
    <row r="64" customFormat="false" ht="18" hidden="false" customHeight="true" outlineLevel="0" collapsed="false">
      <c r="A64" s="18" t="s">
        <v>108</v>
      </c>
      <c r="B64" s="18"/>
      <c r="C64" s="18"/>
      <c r="D64" s="18"/>
      <c r="E64" s="18"/>
      <c r="F64" s="18"/>
      <c r="G64" s="18"/>
      <c r="H64" s="18"/>
    </row>
    <row r="65" customFormat="false" ht="18" hidden="false" customHeight="true" outlineLevel="0" collapsed="false">
      <c r="A65" s="18" t="s">
        <v>109</v>
      </c>
      <c r="B65" s="18"/>
      <c r="C65" s="18"/>
      <c r="D65" s="18"/>
      <c r="E65" s="18"/>
      <c r="F65" s="18"/>
      <c r="G65" s="18"/>
      <c r="H65" s="18"/>
    </row>
    <row r="66" customFormat="false" ht="33.75" hidden="false" customHeight="true" outlineLevel="0" collapsed="false">
      <c r="A66" s="18" t="s">
        <v>110</v>
      </c>
      <c r="B66" s="18"/>
      <c r="C66" s="18"/>
      <c r="D66" s="18"/>
      <c r="E66" s="18"/>
      <c r="F66" s="18"/>
      <c r="G66" s="18"/>
      <c r="H66" s="18"/>
    </row>
  </sheetData>
  <mergeCells count="65">
    <mergeCell ref="A1:H1"/>
    <mergeCell ref="A2:H2"/>
    <mergeCell ref="A4:H4"/>
    <mergeCell ref="A5:H5"/>
    <mergeCell ref="A6:H6"/>
    <mergeCell ref="A7:H7"/>
    <mergeCell ref="A8:H8"/>
    <mergeCell ref="A9:H9"/>
    <mergeCell ref="A10:H10"/>
    <mergeCell ref="A11:H11"/>
    <mergeCell ref="A12:H12"/>
    <mergeCell ref="A13:H13"/>
    <mergeCell ref="A14:H14"/>
    <mergeCell ref="A15:H15"/>
    <mergeCell ref="A16:H16"/>
    <mergeCell ref="A17:H17"/>
    <mergeCell ref="A18:H18"/>
    <mergeCell ref="A19:H19"/>
    <mergeCell ref="A20:H20"/>
    <mergeCell ref="A21:H21"/>
    <mergeCell ref="A22:H22"/>
    <mergeCell ref="A23:H23"/>
    <mergeCell ref="A24:H24"/>
    <mergeCell ref="A25:H25"/>
    <mergeCell ref="A26:H26"/>
    <mergeCell ref="A27:H27"/>
    <mergeCell ref="A28:H28"/>
    <mergeCell ref="A29:H29"/>
    <mergeCell ref="A30:H30"/>
    <mergeCell ref="A31:H31"/>
    <mergeCell ref="A32:H32"/>
    <mergeCell ref="A33:H33"/>
    <mergeCell ref="A34:H34"/>
    <mergeCell ref="A35:H35"/>
    <mergeCell ref="A36:H36"/>
    <mergeCell ref="A37:H37"/>
    <mergeCell ref="A38:H38"/>
    <mergeCell ref="A39:H39"/>
    <mergeCell ref="A40:H40"/>
    <mergeCell ref="A41:H41"/>
    <mergeCell ref="A42:H42"/>
    <mergeCell ref="A43:H43"/>
    <mergeCell ref="A44:H44"/>
    <mergeCell ref="A45:H45"/>
    <mergeCell ref="A46:H46"/>
    <mergeCell ref="A47:H47"/>
    <mergeCell ref="A48:H48"/>
    <mergeCell ref="A49:H49"/>
    <mergeCell ref="A50:H50"/>
    <mergeCell ref="A51:H51"/>
    <mergeCell ref="A52:H52"/>
    <mergeCell ref="A53:H53"/>
    <mergeCell ref="A54:H54"/>
    <mergeCell ref="A55:H55"/>
    <mergeCell ref="A56:H56"/>
    <mergeCell ref="A57:H57"/>
    <mergeCell ref="A58:H58"/>
    <mergeCell ref="A59:H59"/>
    <mergeCell ref="A60:H60"/>
    <mergeCell ref="A61:H61"/>
    <mergeCell ref="A62:H62"/>
    <mergeCell ref="A63:H63"/>
    <mergeCell ref="A64:H64"/>
    <mergeCell ref="A65:H65"/>
    <mergeCell ref="A66:H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S3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"/>
    <col collapsed="false" customWidth="true" hidden="false" outlineLevel="0" max="3" min="3" style="0" width="14"/>
    <col collapsed="false" customWidth="true" hidden="false" outlineLevel="0" max="4" min="4" style="0" width="2"/>
    <col collapsed="false" customWidth="true" hidden="false" outlineLevel="0" max="5" min="5" style="0" width="12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14"/>
    <col collapsed="false" customWidth="true" hidden="false" outlineLevel="0" max="10" min="10" style="0" width="20"/>
    <col collapsed="false" customWidth="true" hidden="false" outlineLevel="0" max="11" min="11" style="0" width="14"/>
    <col collapsed="false" customWidth="true" hidden="false" outlineLevel="0" max="12" min="12" style="0" width="8"/>
    <col collapsed="false" customWidth="true" hidden="false" outlineLevel="0" max="13" min="13" style="0" width="20"/>
    <col collapsed="false" customWidth="true" hidden="false" outlineLevel="0" max="14" min="14" style="0" width="13"/>
    <col collapsed="false" customWidth="true" hidden="false" outlineLevel="0" max="15" min="15" style="0" width="8"/>
    <col collapsed="false" customWidth="true" hidden="false" outlineLevel="0" max="16" min="16" style="0" width="18"/>
    <col collapsed="false" customWidth="true" hidden="false" outlineLevel="0" max="17" min="17" style="0" width="13"/>
    <col collapsed="false" customWidth="true" hidden="false" outlineLevel="0" max="18" min="18" style="0" width="2"/>
    <col collapsed="false" customWidth="true" hidden="false" outlineLevel="0" max="19" min="19" style="0" width="14"/>
  </cols>
  <sheetData>
    <row r="1" customFormat="false" ht="30" hidden="false" customHeight="true" outlineLevel="0" collapsed="false">
      <c r="A1" s="19" t="s">
        <v>111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customFormat="false" ht="33.75" hidden="false" customHeight="true" outlineLevel="0" collapsed="false">
      <c r="A2" s="2" t="s">
        <v>112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25.5" hidden="false" customHeight="true" outlineLevel="0" collapsed="false">
      <c r="A3" s="20" t="s">
        <v>3</v>
      </c>
      <c r="B3" s="21" t="n">
        <v>2026</v>
      </c>
      <c r="C3" s="22" t="s">
        <v>113</v>
      </c>
      <c r="F3" s="20" t="s">
        <v>114</v>
      </c>
      <c r="G3" s="21" t="n">
        <v>60</v>
      </c>
      <c r="H3" s="22" t="s">
        <v>115</v>
      </c>
      <c r="J3" s="20" t="s">
        <v>116</v>
      </c>
      <c r="K3" s="21" t="n">
        <v>30</v>
      </c>
      <c r="L3" s="22" t="s">
        <v>117</v>
      </c>
      <c r="N3" s="20" t="s">
        <v>118</v>
      </c>
      <c r="O3" s="21" t="n">
        <v>90</v>
      </c>
      <c r="P3" s="22" t="s">
        <v>119</v>
      </c>
    </row>
    <row r="4" customFormat="false" ht="15" hidden="false" customHeight="false" outlineLevel="0" collapsed="false">
      <c r="A4" s="23" t="s">
        <v>120</v>
      </c>
      <c r="C4" s="23" t="s">
        <v>121</v>
      </c>
      <c r="E4" s="23" t="s">
        <v>122</v>
      </c>
      <c r="G4" s="23" t="s">
        <v>123</v>
      </c>
      <c r="I4" s="23" t="s">
        <v>124</v>
      </c>
      <c r="K4" s="23" t="s">
        <v>125</v>
      </c>
      <c r="M4" s="23" t="s">
        <v>126</v>
      </c>
      <c r="N4" s="23" t="s">
        <v>127</v>
      </c>
      <c r="P4" s="23" t="s">
        <v>128</v>
      </c>
      <c r="Q4" s="23" t="s">
        <v>129</v>
      </c>
      <c r="S4" s="23" t="s">
        <v>130</v>
      </c>
    </row>
    <row r="5" customFormat="false" ht="15" hidden="false" customHeight="false" outlineLevel="0" collapsed="false">
      <c r="A5" s="24" t="s">
        <v>131</v>
      </c>
      <c r="C5" s="24" t="s">
        <v>132</v>
      </c>
      <c r="E5" s="24" t="s">
        <v>133</v>
      </c>
      <c r="G5" s="24" t="s">
        <v>134</v>
      </c>
      <c r="I5" s="24" t="s">
        <v>135</v>
      </c>
      <c r="K5" s="24" t="s">
        <v>136</v>
      </c>
      <c r="M5" s="24" t="s">
        <v>137</v>
      </c>
      <c r="N5" s="25" t="s">
        <v>138</v>
      </c>
      <c r="P5" s="24" t="s">
        <v>139</v>
      </c>
      <c r="Q5" s="25" t="s">
        <v>140</v>
      </c>
      <c r="S5" s="24" t="s">
        <v>141</v>
      </c>
    </row>
    <row r="6" customFormat="false" ht="15" hidden="false" customHeight="false" outlineLevel="0" collapsed="false">
      <c r="A6" s="24" t="s">
        <v>142</v>
      </c>
      <c r="C6" s="24" t="s">
        <v>143</v>
      </c>
      <c r="E6" s="24" t="s">
        <v>144</v>
      </c>
      <c r="G6" s="24" t="s">
        <v>145</v>
      </c>
      <c r="I6" s="24" t="s">
        <v>146</v>
      </c>
      <c r="K6" s="24" t="s">
        <v>147</v>
      </c>
      <c r="M6" s="24" t="s">
        <v>148</v>
      </c>
      <c r="N6" s="25" t="s">
        <v>138</v>
      </c>
      <c r="P6" s="24" t="s">
        <v>149</v>
      </c>
      <c r="Q6" s="25" t="s">
        <v>140</v>
      </c>
      <c r="S6" s="24" t="s">
        <v>150</v>
      </c>
    </row>
    <row r="7" customFormat="false" ht="15" hidden="false" customHeight="false" outlineLevel="0" collapsed="false">
      <c r="A7" s="24" t="s">
        <v>151</v>
      </c>
      <c r="C7" s="24" t="s">
        <v>152</v>
      </c>
      <c r="E7" s="24" t="s">
        <v>153</v>
      </c>
      <c r="G7" s="24" t="s">
        <v>154</v>
      </c>
      <c r="I7" s="24" t="s">
        <v>155</v>
      </c>
      <c r="K7" s="24" t="s">
        <v>156</v>
      </c>
      <c r="M7" s="24" t="s">
        <v>157</v>
      </c>
      <c r="N7" s="25" t="s">
        <v>158</v>
      </c>
      <c r="P7" s="24" t="s">
        <v>159</v>
      </c>
      <c r="Q7" s="25" t="s">
        <v>140</v>
      </c>
      <c r="S7" s="24" t="s">
        <v>160</v>
      </c>
    </row>
    <row r="8" customFormat="false" ht="15" hidden="false" customHeight="false" outlineLevel="0" collapsed="false">
      <c r="A8" s="24" t="s">
        <v>161</v>
      </c>
      <c r="C8" s="24" t="s">
        <v>162</v>
      </c>
      <c r="E8" s="24" t="s">
        <v>163</v>
      </c>
      <c r="G8" s="24" t="s">
        <v>164</v>
      </c>
      <c r="I8" s="24" t="s">
        <v>165</v>
      </c>
      <c r="K8" s="24" t="s">
        <v>166</v>
      </c>
      <c r="M8" s="24" t="s">
        <v>167</v>
      </c>
      <c r="N8" s="25" t="s">
        <v>158</v>
      </c>
      <c r="P8" s="24" t="s">
        <v>168</v>
      </c>
      <c r="Q8" s="25" t="s">
        <v>168</v>
      </c>
      <c r="S8" s="24" t="s">
        <v>169</v>
      </c>
    </row>
    <row r="9" customFormat="false" ht="15" hidden="false" customHeight="false" outlineLevel="0" collapsed="false">
      <c r="A9" s="24" t="s">
        <v>170</v>
      </c>
      <c r="C9" s="24" t="s">
        <v>171</v>
      </c>
      <c r="E9" s="24" t="s">
        <v>172</v>
      </c>
      <c r="G9" s="24" t="s">
        <v>173</v>
      </c>
      <c r="I9" s="24" t="s">
        <v>174</v>
      </c>
      <c r="K9" s="24" t="s">
        <v>175</v>
      </c>
      <c r="M9" s="24" t="s">
        <v>176</v>
      </c>
      <c r="N9" s="25" t="s">
        <v>158</v>
      </c>
      <c r="P9" s="24" t="s">
        <v>177</v>
      </c>
      <c r="Q9" s="25" t="s">
        <v>178</v>
      </c>
      <c r="S9" s="24" t="s">
        <v>179</v>
      </c>
    </row>
    <row r="10" customFormat="false" ht="15" hidden="false" customHeight="false" outlineLevel="0" collapsed="false">
      <c r="A10" s="24" t="s">
        <v>180</v>
      </c>
      <c r="C10" s="24" t="s">
        <v>181</v>
      </c>
      <c r="E10" s="24"/>
      <c r="G10" s="24" t="s">
        <v>182</v>
      </c>
      <c r="I10" s="24"/>
      <c r="K10" s="24"/>
      <c r="M10" s="24" t="s">
        <v>183</v>
      </c>
      <c r="N10" s="25" t="s">
        <v>158</v>
      </c>
      <c r="P10" s="24"/>
      <c r="Q10" s="25"/>
      <c r="S10" s="24" t="s">
        <v>184</v>
      </c>
    </row>
    <row r="11" customFormat="false" ht="15" hidden="false" customHeight="false" outlineLevel="0" collapsed="false">
      <c r="A11" s="24" t="s">
        <v>185</v>
      </c>
      <c r="C11" s="24" t="s">
        <v>186</v>
      </c>
      <c r="E11" s="24"/>
      <c r="G11" s="24"/>
      <c r="I11" s="24"/>
      <c r="K11" s="24"/>
      <c r="M11" s="24" t="s">
        <v>187</v>
      </c>
      <c r="N11" s="25" t="s">
        <v>158</v>
      </c>
      <c r="P11" s="24"/>
      <c r="Q11" s="25"/>
      <c r="S11" s="24"/>
    </row>
    <row r="12" customFormat="false" ht="15" hidden="false" customHeight="false" outlineLevel="0" collapsed="false">
      <c r="A12" s="24" t="s">
        <v>188</v>
      </c>
      <c r="C12" s="24" t="s">
        <v>189</v>
      </c>
      <c r="E12" s="24"/>
      <c r="G12" s="24"/>
      <c r="I12" s="24"/>
      <c r="K12" s="24"/>
      <c r="M12" s="24" t="s">
        <v>190</v>
      </c>
      <c r="N12" s="25" t="s">
        <v>158</v>
      </c>
      <c r="P12" s="24"/>
      <c r="Q12" s="25"/>
      <c r="S12" s="24"/>
    </row>
    <row r="13" customFormat="false" ht="15" hidden="false" customHeight="false" outlineLevel="0" collapsed="false">
      <c r="A13" s="24" t="s">
        <v>191</v>
      </c>
      <c r="C13" s="24"/>
      <c r="E13" s="24"/>
      <c r="G13" s="24"/>
      <c r="I13" s="24"/>
      <c r="K13" s="24"/>
      <c r="M13" s="24" t="s">
        <v>192</v>
      </c>
      <c r="N13" s="25" t="s">
        <v>158</v>
      </c>
      <c r="P13" s="24"/>
      <c r="Q13" s="25"/>
      <c r="S13" s="24"/>
    </row>
    <row r="14" customFormat="false" ht="15" hidden="false" customHeight="false" outlineLevel="0" collapsed="false">
      <c r="A14" s="24"/>
      <c r="C14" s="24"/>
      <c r="E14" s="24"/>
      <c r="G14" s="24"/>
      <c r="I14" s="24"/>
      <c r="K14" s="24"/>
      <c r="M14" s="24" t="s">
        <v>193</v>
      </c>
      <c r="N14" s="25" t="s">
        <v>158</v>
      </c>
      <c r="P14" s="24"/>
      <c r="Q14" s="25"/>
      <c r="S14" s="24"/>
    </row>
    <row r="15" customFormat="false" ht="15" hidden="false" customHeight="false" outlineLevel="0" collapsed="false">
      <c r="A15" s="24"/>
      <c r="C15" s="24"/>
      <c r="E15" s="24"/>
      <c r="G15" s="24"/>
      <c r="I15" s="24"/>
      <c r="K15" s="24"/>
      <c r="M15" s="24" t="s">
        <v>194</v>
      </c>
      <c r="N15" s="25" t="s">
        <v>158</v>
      </c>
      <c r="P15" s="24"/>
      <c r="Q15" s="25"/>
      <c r="S15" s="24"/>
    </row>
    <row r="16" customFormat="false" ht="15" hidden="false" customHeight="false" outlineLevel="0" collapsed="false">
      <c r="A16" s="24"/>
      <c r="C16" s="24"/>
      <c r="E16" s="24"/>
      <c r="G16" s="24"/>
      <c r="I16" s="24"/>
      <c r="K16" s="24"/>
      <c r="M16" s="24" t="s">
        <v>195</v>
      </c>
      <c r="N16" s="25" t="s">
        <v>158</v>
      </c>
      <c r="P16" s="24"/>
      <c r="Q16" s="25"/>
      <c r="S16" s="24"/>
    </row>
    <row r="17" customFormat="false" ht="15" hidden="false" customHeight="false" outlineLevel="0" collapsed="false">
      <c r="A17" s="24"/>
      <c r="C17" s="24"/>
      <c r="E17" s="24"/>
      <c r="G17" s="24"/>
      <c r="I17" s="24"/>
      <c r="K17" s="24"/>
      <c r="M17" s="24"/>
      <c r="N17" s="25"/>
      <c r="P17" s="24"/>
      <c r="Q17" s="25"/>
      <c r="S17" s="24"/>
    </row>
    <row r="18" customFormat="false" ht="15" hidden="false" customHeight="false" outlineLevel="0" collapsed="false">
      <c r="A18" s="24"/>
      <c r="C18" s="24"/>
      <c r="E18" s="24"/>
      <c r="G18" s="24"/>
      <c r="I18" s="24"/>
      <c r="K18" s="24"/>
      <c r="M18" s="24"/>
      <c r="N18" s="25"/>
      <c r="P18" s="24"/>
      <c r="Q18" s="25"/>
      <c r="S18" s="24"/>
    </row>
    <row r="19" customFormat="false" ht="15" hidden="false" customHeight="false" outlineLevel="0" collapsed="false">
      <c r="A19" s="24"/>
      <c r="C19" s="24"/>
      <c r="E19" s="24"/>
      <c r="G19" s="24"/>
      <c r="I19" s="24"/>
      <c r="K19" s="24"/>
      <c r="M19" s="24"/>
      <c r="N19" s="25"/>
      <c r="P19" s="24"/>
      <c r="Q19" s="25"/>
      <c r="S19" s="24"/>
    </row>
    <row r="20" customFormat="false" ht="15" hidden="false" customHeight="false" outlineLevel="0" collapsed="false">
      <c r="A20" s="24"/>
      <c r="C20" s="24"/>
      <c r="E20" s="24"/>
      <c r="G20" s="24"/>
      <c r="I20" s="24"/>
      <c r="K20" s="24"/>
      <c r="M20" s="24"/>
      <c r="N20" s="25"/>
      <c r="P20" s="24"/>
      <c r="Q20" s="25"/>
      <c r="S20" s="24"/>
    </row>
    <row r="21" customFormat="false" ht="15" hidden="false" customHeight="false" outlineLevel="0" collapsed="false">
      <c r="A21" s="24"/>
      <c r="C21" s="24"/>
      <c r="E21" s="24"/>
      <c r="G21" s="24"/>
      <c r="I21" s="24"/>
      <c r="K21" s="24"/>
      <c r="M21" s="24"/>
      <c r="N21" s="25"/>
      <c r="P21" s="24"/>
      <c r="Q21" s="25"/>
      <c r="S21" s="24"/>
    </row>
    <row r="22" customFormat="false" ht="15" hidden="false" customHeight="false" outlineLevel="0" collapsed="false">
      <c r="A22" s="24"/>
      <c r="C22" s="24"/>
      <c r="E22" s="24"/>
      <c r="G22" s="24"/>
      <c r="I22" s="24"/>
      <c r="K22" s="24"/>
      <c r="M22" s="24"/>
      <c r="N22" s="25"/>
      <c r="P22" s="24"/>
      <c r="Q22" s="25"/>
      <c r="S22" s="24"/>
    </row>
    <row r="23" customFormat="false" ht="15" hidden="false" customHeight="false" outlineLevel="0" collapsed="false">
      <c r="A23" s="24"/>
      <c r="C23" s="24"/>
      <c r="E23" s="24"/>
      <c r="G23" s="24"/>
      <c r="I23" s="24"/>
      <c r="K23" s="24"/>
      <c r="M23" s="24"/>
      <c r="N23" s="25"/>
      <c r="P23" s="24"/>
      <c r="Q23" s="25"/>
      <c r="S23" s="24"/>
    </row>
    <row r="24" customFormat="false" ht="15" hidden="false" customHeight="false" outlineLevel="0" collapsed="false">
      <c r="A24" s="24"/>
      <c r="C24" s="24"/>
      <c r="E24" s="24"/>
      <c r="G24" s="24"/>
      <c r="I24" s="24"/>
      <c r="K24" s="24"/>
      <c r="M24" s="24"/>
      <c r="N24" s="25"/>
      <c r="P24" s="24"/>
      <c r="Q24" s="25"/>
      <c r="S24" s="24"/>
    </row>
    <row r="25" customFormat="false" ht="15" hidden="false" customHeight="false" outlineLevel="0" collapsed="false">
      <c r="A25" s="24"/>
      <c r="C25" s="24"/>
      <c r="E25" s="24"/>
      <c r="G25" s="24"/>
      <c r="I25" s="24"/>
      <c r="K25" s="24"/>
      <c r="M25" s="24"/>
      <c r="N25" s="25"/>
      <c r="P25" s="24"/>
      <c r="Q25" s="25"/>
      <c r="S25" s="24"/>
    </row>
    <row r="26" customFormat="false" ht="15" hidden="false" customHeight="false" outlineLevel="0" collapsed="false">
      <c r="A26" s="24"/>
      <c r="C26" s="24"/>
      <c r="E26" s="24"/>
      <c r="G26" s="24"/>
      <c r="I26" s="24"/>
      <c r="K26" s="24"/>
      <c r="M26" s="24"/>
      <c r="N26" s="25"/>
      <c r="P26" s="24"/>
      <c r="Q26" s="25"/>
      <c r="S26" s="24"/>
    </row>
    <row r="27" customFormat="false" ht="15" hidden="false" customHeight="false" outlineLevel="0" collapsed="false">
      <c r="A27" s="24"/>
      <c r="C27" s="24"/>
      <c r="E27" s="24"/>
      <c r="G27" s="24"/>
      <c r="I27" s="24"/>
      <c r="K27" s="24"/>
      <c r="M27" s="24"/>
      <c r="N27" s="25"/>
      <c r="P27" s="24"/>
      <c r="Q27" s="25"/>
      <c r="S27" s="24"/>
    </row>
    <row r="28" customFormat="false" ht="15" hidden="false" customHeight="false" outlineLevel="0" collapsed="false">
      <c r="A28" s="24"/>
      <c r="C28" s="24"/>
      <c r="E28" s="24"/>
      <c r="G28" s="24"/>
      <c r="I28" s="24"/>
      <c r="K28" s="24"/>
      <c r="M28" s="24"/>
      <c r="N28" s="25"/>
      <c r="P28" s="24"/>
      <c r="Q28" s="25"/>
      <c r="S28" s="24"/>
    </row>
    <row r="29" customFormat="false" ht="15" hidden="false" customHeight="false" outlineLevel="0" collapsed="false">
      <c r="A29" s="24"/>
      <c r="C29" s="24"/>
      <c r="E29" s="24"/>
      <c r="G29" s="24"/>
      <c r="I29" s="24"/>
      <c r="K29" s="24"/>
      <c r="M29" s="24"/>
      <c r="N29" s="25"/>
      <c r="P29" s="24"/>
      <c r="Q29" s="25"/>
      <c r="S29" s="24"/>
    </row>
    <row r="30" customFormat="false" ht="15" hidden="false" customHeight="false" outlineLevel="0" collapsed="false">
      <c r="A30" s="24"/>
      <c r="C30" s="24"/>
      <c r="E30" s="24"/>
      <c r="G30" s="24"/>
      <c r="I30" s="24"/>
      <c r="K30" s="24"/>
      <c r="M30" s="24"/>
      <c r="N30" s="25"/>
      <c r="P30" s="24"/>
      <c r="Q30" s="25"/>
      <c r="S30" s="24"/>
    </row>
    <row r="31" customFormat="false" ht="15" hidden="false" customHeight="false" outlineLevel="0" collapsed="false">
      <c r="A31" s="24"/>
      <c r="C31" s="24"/>
      <c r="E31" s="24"/>
      <c r="G31" s="24"/>
      <c r="I31" s="24"/>
      <c r="K31" s="24"/>
      <c r="M31" s="24"/>
      <c r="N31" s="25"/>
      <c r="P31" s="24"/>
      <c r="Q31" s="25"/>
      <c r="S31" s="24"/>
    </row>
    <row r="32" customFormat="false" ht="15" hidden="false" customHeight="false" outlineLevel="0" collapsed="false">
      <c r="A32" s="24"/>
      <c r="C32" s="24"/>
      <c r="E32" s="24"/>
      <c r="G32" s="24"/>
      <c r="I32" s="24"/>
      <c r="K32" s="24"/>
      <c r="M32" s="24"/>
      <c r="N32" s="25"/>
      <c r="P32" s="24"/>
      <c r="Q32" s="25"/>
      <c r="S32" s="24"/>
    </row>
    <row r="33" customFormat="false" ht="15" hidden="false" customHeight="false" outlineLevel="0" collapsed="false">
      <c r="A33" s="24"/>
      <c r="C33" s="24"/>
      <c r="E33" s="24"/>
      <c r="G33" s="24"/>
      <c r="I33" s="24"/>
      <c r="K33" s="24"/>
      <c r="M33" s="24"/>
      <c r="N33" s="25"/>
      <c r="P33" s="24"/>
      <c r="Q33" s="25"/>
      <c r="S33" s="24"/>
    </row>
    <row r="34" customFormat="false" ht="15" hidden="false" customHeight="false" outlineLevel="0" collapsed="false">
      <c r="A34" s="24"/>
      <c r="C34" s="24"/>
      <c r="E34" s="24"/>
      <c r="G34" s="24"/>
      <c r="I34" s="24"/>
      <c r="K34" s="24"/>
      <c r="M34" s="24"/>
      <c r="N34" s="25"/>
      <c r="P34" s="24"/>
      <c r="Q34" s="25"/>
      <c r="S34" s="24"/>
    </row>
  </sheetData>
  <mergeCells count="2">
    <mergeCell ref="A1:S1"/>
    <mergeCell ref="A2:S2"/>
  </mergeCells>
  <dataValidations count="2">
    <dataValidation allowBlank="true" error="这一列要跟【基础资料】的清单一致，请从下拉里选。" errorStyle="stop" errorTitle="只能从下拉里选" operator="between" showDropDown="false" showErrorMessage="true" showInputMessage="false" sqref="N5:N34" type="list">
      <formula1>"合同款,合同外款"</formula1>
      <formula2>0</formula2>
    </dataValidation>
    <dataValidation allowBlank="true" error="这一列要跟【基础资料】的清单一致，请从下拉里选。" errorStyle="stop" errorTitle="只能从下拉里选" operator="between" showDropDown="false" showErrorMessage="true" showInputMessage="false" sqref="Q5:Q34" type="list">
      <formula1>"发票,收据,现金无票"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AE60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22"/>
    <col collapsed="false" customWidth="true" hidden="false" outlineLevel="0" max="8" min="8" style="0" width="14"/>
    <col collapsed="false" customWidth="true" hidden="false" outlineLevel="0" max="9" min="9" style="0" width="18"/>
    <col collapsed="false" customWidth="true" hidden="false" outlineLevel="0" max="10" min="10" style="0" width="12"/>
    <col collapsed="false" customWidth="true" hidden="false" outlineLevel="0" max="13" min="11" style="0" width="5"/>
    <col collapsed="false" customWidth="true" hidden="false" outlineLevel="0" max="15" min="14" style="0" width="9"/>
    <col collapsed="false" customWidth="true" hidden="false" outlineLevel="0" max="16" min="16" style="0" width="6"/>
    <col collapsed="false" customWidth="true" hidden="false" outlineLevel="0" max="17" min="17" style="0" width="16"/>
    <col collapsed="false" customWidth="true" hidden="false" outlineLevel="0" max="18" min="18" style="0" width="11"/>
    <col collapsed="false" customWidth="true" hidden="false" outlineLevel="0" max="20" min="19" style="0" width="12"/>
    <col collapsed="false" customWidth="true" hidden="false" outlineLevel="0" max="21" min="21" style="0" width="13"/>
    <col collapsed="false" customWidth="true" hidden="false" outlineLevel="0" max="22" min="22" style="0" width="15"/>
    <col collapsed="false" customWidth="true" hidden="false" outlineLevel="0" max="24" min="23" style="0" width="10"/>
    <col collapsed="false" customWidth="true" hidden="false" outlineLevel="0" max="25" min="25" style="0" width="11"/>
    <col collapsed="false" customWidth="true" hidden="false" outlineLevel="0" max="26" min="26" style="0" width="12"/>
    <col collapsed="false" customWidth="true" hidden="false" outlineLevel="0" max="28" min="27" style="0" width="14"/>
    <col collapsed="false" customWidth="true" hidden="false" outlineLevel="0" max="29" min="29" style="0" width="20"/>
    <col collapsed="false" customWidth="true" hidden="false" outlineLevel="0" max="30" min="30" style="0" width="24"/>
    <col collapsed="false" customWidth="true" hidden="false" outlineLevel="0" max="31" min="31" style="0" width="14"/>
  </cols>
  <sheetData>
    <row r="1" customFormat="false" ht="30" hidden="false" customHeight="true" outlineLevel="0" collapsed="false">
      <c r="A1" s="1" t="s">
        <v>196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customFormat="false" ht="46.5" hidden="false" customHeight="true" outlineLevel="0" collapsed="false">
      <c r="A2" s="2" t="s">
        <v>197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customFormat="false" ht="19.5" hidden="false" customHeight="true" outlineLevel="0" collapsed="false">
      <c r="A3" s="26" t="s">
        <v>198</v>
      </c>
      <c r="C3" s="27" t="str">
        <f aca="false">COUNTIF($C$5:$C$604,"?*")&amp;" 个单位行"</f>
        <v>22 个单位行</v>
      </c>
      <c r="P3" s="28" t="n">
        <f aca="false">SUM($P$5:$P$604)</f>
        <v>22</v>
      </c>
      <c r="Y3" s="27" t="str">
        <f aca="false">COUNTIF($Y$5:$Y$604,"正常维保")&amp;" 台正常维保"</f>
        <v>17 台正常维保</v>
      </c>
      <c r="Z3" s="27" t="str">
        <f aca="false">(COUNTIF($Y$5:$Y$604,"安装免保")+COUNTIF($Y$5:$Y$604,"技术免保")+COUNTIF($Y$5:$Y$604,"质保期内"))&amp;" 台免保"</f>
        <v>4 台免保</v>
      </c>
    </row>
    <row r="4" customFormat="false" ht="31.5" hidden="false" customHeight="true" outlineLevel="0" collapsed="false">
      <c r="A4" s="13" t="s">
        <v>199</v>
      </c>
      <c r="B4" s="13" t="s">
        <v>200</v>
      </c>
      <c r="C4" s="13" t="s">
        <v>201</v>
      </c>
      <c r="D4" s="13" t="s">
        <v>202</v>
      </c>
      <c r="E4" s="13" t="s">
        <v>203</v>
      </c>
      <c r="F4" s="13" t="s">
        <v>204</v>
      </c>
      <c r="G4" s="13" t="s">
        <v>205</v>
      </c>
      <c r="H4" s="13" t="s">
        <v>206</v>
      </c>
      <c r="I4" s="13" t="s">
        <v>207</v>
      </c>
      <c r="J4" s="13" t="s">
        <v>208</v>
      </c>
      <c r="K4" s="13" t="s">
        <v>209</v>
      </c>
      <c r="L4" s="13" t="s">
        <v>210</v>
      </c>
      <c r="M4" s="13" t="s">
        <v>211</v>
      </c>
      <c r="N4" s="13" t="s">
        <v>212</v>
      </c>
      <c r="O4" s="13" t="s">
        <v>213</v>
      </c>
      <c r="P4" s="13" t="s">
        <v>214</v>
      </c>
      <c r="Q4" s="13" t="s">
        <v>215</v>
      </c>
      <c r="R4" s="13" t="s">
        <v>216</v>
      </c>
      <c r="S4" s="13" t="s">
        <v>217</v>
      </c>
      <c r="T4" s="13" t="s">
        <v>218</v>
      </c>
      <c r="U4" s="13" t="s">
        <v>219</v>
      </c>
      <c r="V4" s="13" t="s">
        <v>220</v>
      </c>
      <c r="W4" s="13" t="s">
        <v>221</v>
      </c>
      <c r="X4" s="13" t="s">
        <v>222</v>
      </c>
      <c r="Y4" s="13" t="s">
        <v>223</v>
      </c>
      <c r="Z4" s="13" t="s">
        <v>224</v>
      </c>
      <c r="AA4" s="13" t="s">
        <v>225</v>
      </c>
      <c r="AB4" s="13" t="s">
        <v>226</v>
      </c>
      <c r="AC4" s="13" t="s">
        <v>227</v>
      </c>
      <c r="AD4" s="13" t="s">
        <v>228</v>
      </c>
      <c r="AE4" s="13" t="s">
        <v>229</v>
      </c>
    </row>
    <row r="5" customFormat="false" ht="15" hidden="false" customHeight="false" outlineLevel="0" collapsed="false">
      <c r="A5" s="29" t="n">
        <f aca="false">IF($C5="","",ROW()-4)</f>
        <v>1</v>
      </c>
      <c r="B5" s="25" t="s">
        <v>170</v>
      </c>
      <c r="C5" s="24" t="s">
        <v>230</v>
      </c>
      <c r="D5" s="24" t="s">
        <v>231</v>
      </c>
      <c r="E5" s="30" t="str">
        <f aca="false">IF($C5="","",$C5&amp;" ｜ "&amp;$D5)</f>
        <v>河南中意联机电工程有限公司 ｜ 滨江苑一期</v>
      </c>
      <c r="F5" s="31" t="s">
        <v>232</v>
      </c>
      <c r="G5" s="31" t="s">
        <v>233</v>
      </c>
      <c r="H5" s="31" t="s">
        <v>234</v>
      </c>
      <c r="I5" s="25" t="s">
        <v>235</v>
      </c>
      <c r="J5" s="25" t="s">
        <v>132</v>
      </c>
      <c r="K5" s="21" t="n">
        <v>8</v>
      </c>
      <c r="L5" s="21" t="n">
        <v>8</v>
      </c>
      <c r="M5" s="21"/>
      <c r="N5" s="31" t="s">
        <v>236</v>
      </c>
      <c r="O5" s="31" t="s">
        <v>237</v>
      </c>
      <c r="P5" s="32" t="n">
        <v>1</v>
      </c>
      <c r="Q5" s="31" t="s">
        <v>238</v>
      </c>
      <c r="R5" s="31" t="s">
        <v>239</v>
      </c>
      <c r="S5" s="33" t="n">
        <v>43678</v>
      </c>
      <c r="T5" s="33" t="n">
        <v>46303</v>
      </c>
      <c r="U5" s="33" t="n">
        <v>46447</v>
      </c>
      <c r="V5" s="33" t="n">
        <v>46874</v>
      </c>
      <c r="W5" s="25" t="s">
        <v>240</v>
      </c>
      <c r="X5" s="25" t="s">
        <v>133</v>
      </c>
      <c r="Y5" s="25" t="s">
        <v>134</v>
      </c>
      <c r="Z5" s="33"/>
      <c r="AA5" s="34" t="str">
        <f aca="true">IF($T5="","",IF($T5&lt;TODAY(),"已过期 "&amp;TEXT(TODAY()-$T5,"0")&amp;" 天",IF($T5-TODAY()&lt;=年检提醒天,"还剩 "&amp;TEXT($T5-TODAY(),"0")&amp;" 天","")))</f>
        <v>还剩 17 天</v>
      </c>
      <c r="AB5" s="34" t="str">
        <f aca="true">IF(COUNT($U5:$V5)=0,"",IF(MIN($U5:$V5)&lt;TODAY(),"已过期 "&amp;TEXT(TODAY()-MIN($U5:$V5),"0")&amp;" 天",IF(MIN($U5:$V5)-TODAY()&lt;=年检提醒天,"还剩 "&amp;TEXT(MIN($U5:$V5)-TODAY(),"0")&amp;" 天","")))</f>
        <v/>
      </c>
      <c r="AC5" s="34" t="str">
        <f aca="true">IF($C5="","",IF(OR($Y5="安装免保",$Y5="技术免保",$Y5="质保期内"),IF($Z5="","▲免保没填到期日",IF($Z5&lt;TODAY(),"▲免保已到期 该转收费了",IF($Z5-TODAY()&lt;=合同提醒天,"免保还剩 "&amp;TEXT($Z5-TODAY(),"0")&amp;" 天","免保中"))),IF($Y5="暂停维保","暂停中 不计费",IF($Y5="已解约","已解约",IF(COUNTIF(合同键,$E5)=0,"▲还没建合同行","")))))</f>
        <v/>
      </c>
      <c r="AD5" s="24"/>
      <c r="AE5" s="35" t="str">
        <f aca="false">IF($C5="","",IF($D5="","★项目名称没填",IF(N($P5)&lt;=0,"★台量要填",IF(AND(OR($Y5="安装免保",$Y5="技术免保",$Y5="质保期内"),$Z5=""),"★免保到期日没填",IF(COUNTIF(合同键,$E5)=0,"★还没建合同行","OK")))))</f>
        <v>OK</v>
      </c>
    </row>
    <row r="6" customFormat="false" ht="15" hidden="false" customHeight="false" outlineLevel="0" collapsed="false">
      <c r="A6" s="29" t="n">
        <f aca="false">IF($C6="","",ROW()-4)</f>
        <v>2</v>
      </c>
      <c r="B6" s="25" t="s">
        <v>131</v>
      </c>
      <c r="C6" s="24" t="s">
        <v>241</v>
      </c>
      <c r="D6" s="24" t="s">
        <v>242</v>
      </c>
      <c r="E6" s="30" t="str">
        <f aca="false">IF($C6="","",$C6&amp;" ｜ "&amp;$D6)</f>
        <v>河南明海定慧商业管理有限公司 ｜ 六渡桥</v>
      </c>
      <c r="F6" s="31" t="s">
        <v>243</v>
      </c>
      <c r="G6" s="31" t="s">
        <v>244</v>
      </c>
      <c r="H6" s="31" t="s">
        <v>245</v>
      </c>
      <c r="I6" s="25" t="s">
        <v>246</v>
      </c>
      <c r="J6" s="25" t="s">
        <v>132</v>
      </c>
      <c r="K6" s="21" t="n">
        <v>10</v>
      </c>
      <c r="L6" s="21" t="n">
        <v>7</v>
      </c>
      <c r="M6" s="21" t="n">
        <v>7</v>
      </c>
      <c r="N6" s="31" t="s">
        <v>236</v>
      </c>
      <c r="O6" s="31" t="s">
        <v>247</v>
      </c>
      <c r="P6" s="32" t="n">
        <v>1</v>
      </c>
      <c r="Q6" s="31" t="s">
        <v>248</v>
      </c>
      <c r="R6" s="31" t="s">
        <v>249</v>
      </c>
      <c r="S6" s="33" t="n">
        <v>42887</v>
      </c>
      <c r="T6" s="33" t="n">
        <v>46280</v>
      </c>
      <c r="U6" s="33" t="n">
        <v>46315</v>
      </c>
      <c r="V6" s="33" t="n">
        <v>46539</v>
      </c>
      <c r="W6" s="25" t="s">
        <v>250</v>
      </c>
      <c r="X6" s="25" t="s">
        <v>144</v>
      </c>
      <c r="Y6" s="25" t="s">
        <v>134</v>
      </c>
      <c r="Z6" s="33"/>
      <c r="AA6" s="34" t="str">
        <f aca="true">IF($T6="","",IF($T6&lt;TODAY(),"已过期 "&amp;TEXT(TODAY()-$T6,"0")&amp;" 天",IF($T6-TODAY()&lt;=年检提醒天,"还剩 "&amp;TEXT($T6-TODAY(),"0")&amp;" 天","")))</f>
        <v>已过期 6 天</v>
      </c>
      <c r="AB6" s="34" t="str">
        <f aca="true">IF(COUNT($U6:$V6)=0,"",IF(MIN($U6:$V6)&lt;TODAY(),"已过期 "&amp;TEXT(TODAY()-MIN($U6:$V6),"0")&amp;" 天",IF(MIN($U6:$V6)-TODAY()&lt;=年检提醒天,"还剩 "&amp;TEXT(MIN($U6:$V6)-TODAY(),"0")&amp;" 天","")))</f>
        <v>还剩 29 天</v>
      </c>
      <c r="AC6" s="34" t="str">
        <f aca="true">IF($C6="","",IF(OR($Y6="安装免保",$Y6="技术免保",$Y6="质保期内"),IF($Z6="","▲免保没填到期日",IF($Z6&lt;TODAY(),"▲免保已到期 该转收费了",IF($Z6-TODAY()&lt;=合同提醒天,"免保还剩 "&amp;TEXT($Z6-TODAY(),"0")&amp;" 天","免保中"))),IF($Y6="暂停维保","暂停中 不计费",IF($Y6="已解约","已解约",IF(COUNTIF(合同键,$E6)=0,"▲还没建合同行","")))))</f>
        <v/>
      </c>
      <c r="AD6" s="24" t="s">
        <v>251</v>
      </c>
      <c r="AE6" s="35" t="str">
        <f aca="false">IF($C6="","",IF($D6="","★项目名称没填",IF(N($P6)&lt;=0,"★台量要填",IF(AND(OR($Y6="安装免保",$Y6="技术免保",$Y6="质保期内"),$Z6=""),"★免保到期日没填",IF(COUNTIF(合同键,$E6)=0,"★还没建合同行","OK")))))</f>
        <v>OK</v>
      </c>
    </row>
    <row r="7" customFormat="false" ht="15" hidden="false" customHeight="false" outlineLevel="0" collapsed="false">
      <c r="A7" s="29" t="n">
        <f aca="false">IF($C7="","",ROW()-4)</f>
        <v>3</v>
      </c>
      <c r="B7" s="25" t="s">
        <v>142</v>
      </c>
      <c r="C7" s="24" t="s">
        <v>252</v>
      </c>
      <c r="D7" s="24" t="s">
        <v>253</v>
      </c>
      <c r="E7" s="30" t="str">
        <f aca="false">IF($C7="","",$C7&amp;" ｜ "&amp;$D7)</f>
        <v>河南华茂医院有限公司 ｜ 圣爱医院</v>
      </c>
      <c r="F7" s="31" t="s">
        <v>254</v>
      </c>
      <c r="G7" s="31" t="s">
        <v>255</v>
      </c>
      <c r="H7" s="31" t="s">
        <v>256</v>
      </c>
      <c r="I7" s="25" t="s">
        <v>257</v>
      </c>
      <c r="J7" s="25" t="s">
        <v>132</v>
      </c>
      <c r="K7" s="21" t="n">
        <v>4</v>
      </c>
      <c r="L7" s="21" t="n">
        <v>4</v>
      </c>
      <c r="M7" s="21" t="n">
        <v>4</v>
      </c>
      <c r="N7" s="31" t="s">
        <v>258</v>
      </c>
      <c r="O7" s="31" t="s">
        <v>237</v>
      </c>
      <c r="P7" s="32" t="n">
        <v>1</v>
      </c>
      <c r="Q7" s="31" t="s">
        <v>259</v>
      </c>
      <c r="R7" s="25" t="s">
        <v>260</v>
      </c>
      <c r="S7" s="33" t="n">
        <v>40664</v>
      </c>
      <c r="T7" s="33" t="n">
        <v>46346</v>
      </c>
      <c r="U7" s="33" t="n">
        <v>46397</v>
      </c>
      <c r="V7" s="33" t="n">
        <v>46600</v>
      </c>
      <c r="W7" s="25" t="s">
        <v>261</v>
      </c>
      <c r="X7" s="25" t="s">
        <v>133</v>
      </c>
      <c r="Y7" s="25" t="s">
        <v>134</v>
      </c>
      <c r="Z7" s="33"/>
      <c r="AA7" s="34" t="str">
        <f aca="true">IF($T7="","",IF($T7&lt;TODAY(),"已过期 "&amp;TEXT(TODAY()-$T7,"0")&amp;" 天",IF($T7-TODAY()&lt;=年检提醒天,"还剩 "&amp;TEXT($T7-TODAY(),"0")&amp;" 天","")))</f>
        <v/>
      </c>
      <c r="AB7" s="34" t="str">
        <f aca="true">IF(COUNT($U7:$V7)=0,"",IF(MIN($U7:$V7)&lt;TODAY(),"已过期 "&amp;TEXT(TODAY()-MIN($U7:$V7),"0")&amp;" 天",IF(MIN($U7:$V7)-TODAY()&lt;=年检提醒天,"还剩 "&amp;TEXT(MIN($U7:$V7)-TODAY(),"0")&amp;" 天","")))</f>
        <v/>
      </c>
      <c r="AC7" s="34" t="str">
        <f aca="true">IF($C7="","",IF(OR($Y7="安装免保",$Y7="技术免保",$Y7="质保期内"),IF($Z7="","▲免保没填到期日",IF($Z7&lt;TODAY(),"▲免保已到期 该转收费了",IF($Z7-TODAY()&lt;=合同提醒天,"免保还剩 "&amp;TEXT($Z7-TODAY(),"0")&amp;" 天","免保中"))),IF($Y7="暂停维保","暂停中 不计费",IF($Y7="已解约","已解约",IF(COUNTIF(合同键,$E7)=0,"▲还没建合同行","")))))</f>
        <v/>
      </c>
      <c r="AD7" s="24"/>
      <c r="AE7" s="35" t="str">
        <f aca="false">IF($C7="","",IF($D7="","★项目名称没填",IF(N($P7)&lt;=0,"★台量要填",IF(AND(OR($Y7="安装免保",$Y7="技术免保",$Y7="质保期内"),$Z7=""),"★免保到期日没填",IF(COUNTIF(合同键,$E7)=0,"★还没建合同行","OK")))))</f>
        <v>OK</v>
      </c>
    </row>
    <row r="8" customFormat="false" ht="15" hidden="false" customHeight="false" outlineLevel="0" collapsed="false">
      <c r="A8" s="29" t="n">
        <f aca="false">IF($C8="","",ROW()-4)</f>
        <v>4</v>
      </c>
      <c r="B8" s="25" t="s">
        <v>142</v>
      </c>
      <c r="C8" s="24" t="s">
        <v>252</v>
      </c>
      <c r="D8" s="24" t="s">
        <v>253</v>
      </c>
      <c r="E8" s="30" t="str">
        <f aca="false">IF($C8="","",$C8&amp;" ｜ "&amp;$D8)</f>
        <v>河南华茂医院有限公司 ｜ 圣爱医院</v>
      </c>
      <c r="F8" s="31" t="s">
        <v>254</v>
      </c>
      <c r="G8" s="31" t="s">
        <v>262</v>
      </c>
      <c r="H8" s="31" t="s">
        <v>263</v>
      </c>
      <c r="I8" s="25" t="s">
        <v>257</v>
      </c>
      <c r="J8" s="25" t="s">
        <v>132</v>
      </c>
      <c r="K8" s="21" t="n">
        <v>4</v>
      </c>
      <c r="L8" s="21" t="n">
        <v>4</v>
      </c>
      <c r="M8" s="21" t="n">
        <v>4</v>
      </c>
      <c r="N8" s="31" t="s">
        <v>258</v>
      </c>
      <c r="O8" s="31" t="s">
        <v>237</v>
      </c>
      <c r="P8" s="32" t="n">
        <v>1</v>
      </c>
      <c r="Q8" s="31" t="s">
        <v>264</v>
      </c>
      <c r="R8" s="25" t="s">
        <v>265</v>
      </c>
      <c r="S8" s="33" t="n">
        <v>40664</v>
      </c>
      <c r="T8" s="33" t="n">
        <v>46346</v>
      </c>
      <c r="U8" s="33" t="n">
        <v>46397</v>
      </c>
      <c r="V8" s="33" t="n">
        <v>46600</v>
      </c>
      <c r="W8" s="25" t="s">
        <v>261</v>
      </c>
      <c r="X8" s="25" t="s">
        <v>133</v>
      </c>
      <c r="Y8" s="25" t="s">
        <v>134</v>
      </c>
      <c r="Z8" s="33"/>
      <c r="AA8" s="34" t="str">
        <f aca="true">IF($T8="","",IF($T8&lt;TODAY(),"已过期 "&amp;TEXT(TODAY()-$T8,"0")&amp;" 天",IF($T8-TODAY()&lt;=年检提醒天,"还剩 "&amp;TEXT($T8-TODAY(),"0")&amp;" 天","")))</f>
        <v/>
      </c>
      <c r="AB8" s="34" t="str">
        <f aca="true">IF(COUNT($U8:$V8)=0,"",IF(MIN($U8:$V8)&lt;TODAY(),"已过期 "&amp;TEXT(TODAY()-MIN($U8:$V8),"0")&amp;" 天",IF(MIN($U8:$V8)-TODAY()&lt;=年检提醒天,"还剩 "&amp;TEXT(MIN($U8:$V8)-TODAY(),"0")&amp;" 天","")))</f>
        <v/>
      </c>
      <c r="AC8" s="34" t="str">
        <f aca="true">IF($C8="","",IF(OR($Y8="安装免保",$Y8="技术免保",$Y8="质保期内"),IF($Z8="","▲免保没填到期日",IF($Z8&lt;TODAY(),"▲免保已到期 该转收费了",IF($Z8-TODAY()&lt;=合同提醒天,"免保还剩 "&amp;TEXT($Z8-TODAY(),"0")&amp;" 天","免保中"))),IF($Y8="暂停维保","暂停中 不计费",IF($Y8="已解约","已解约",IF(COUNTIF(合同键,$E8)=0,"▲还没建合同行","")))))</f>
        <v/>
      </c>
      <c r="AD8" s="24"/>
      <c r="AE8" s="35" t="str">
        <f aca="false">IF($C8="","",IF($D8="","★项目名称没填",IF(N($P8)&lt;=0,"★台量要填",IF(AND(OR($Y8="安装免保",$Y8="技术免保",$Y8="质保期内"),$Z8=""),"★免保到期日没填",IF(COUNTIF(合同键,$E8)=0,"★还没建合同行","OK")))))</f>
        <v>OK</v>
      </c>
    </row>
    <row r="9" customFormat="false" ht="26.85" hidden="false" customHeight="false" outlineLevel="0" collapsed="false">
      <c r="A9" s="29" t="n">
        <f aca="false">IF($C9="","",ROW()-4)</f>
        <v>5</v>
      </c>
      <c r="B9" s="25" t="s">
        <v>170</v>
      </c>
      <c r="C9" s="24" t="s">
        <v>266</v>
      </c>
      <c r="D9" s="24" t="s">
        <v>267</v>
      </c>
      <c r="E9" s="30" t="str">
        <f aca="false">IF($C9="","",$C9&amp;" ｜ "&amp;$D9)</f>
        <v>河南长江人民艺术剧院有限责任公司 ｜ 长江人艺D8小剧场</v>
      </c>
      <c r="F9" s="31" t="s">
        <v>268</v>
      </c>
      <c r="G9" s="31" t="s">
        <v>269</v>
      </c>
      <c r="H9" s="25"/>
      <c r="I9" s="25" t="s">
        <v>270</v>
      </c>
      <c r="J9" s="25" t="s">
        <v>132</v>
      </c>
      <c r="K9" s="21" t="n">
        <v>8</v>
      </c>
      <c r="L9" s="21" t="n">
        <v>8</v>
      </c>
      <c r="M9" s="21" t="n">
        <v>8</v>
      </c>
      <c r="N9" s="31" t="s">
        <v>271</v>
      </c>
      <c r="O9" s="31" t="s">
        <v>247</v>
      </c>
      <c r="P9" s="32" t="n">
        <v>1</v>
      </c>
      <c r="Q9" s="31" t="s">
        <v>272</v>
      </c>
      <c r="R9" s="31" t="s">
        <v>273</v>
      </c>
      <c r="S9" s="33" t="n">
        <v>45962</v>
      </c>
      <c r="T9" s="33" t="n">
        <v>46539</v>
      </c>
      <c r="U9" s="33" t="n">
        <v>46539</v>
      </c>
      <c r="V9" s="33" t="n">
        <v>47270</v>
      </c>
      <c r="W9" s="25" t="s">
        <v>274</v>
      </c>
      <c r="X9" s="25" t="s">
        <v>153</v>
      </c>
      <c r="Y9" s="25" t="s">
        <v>145</v>
      </c>
      <c r="Z9" s="33" t="n">
        <v>46356</v>
      </c>
      <c r="AA9" s="34" t="str">
        <f aca="true">IF($T9="","",IF($T9&lt;TODAY(),"已过期 "&amp;TEXT(TODAY()-$T9,"0")&amp;" 天",IF($T9-TODAY()&lt;=年检提醒天,"还剩 "&amp;TEXT($T9-TODAY(),"0")&amp;" 天","")))</f>
        <v/>
      </c>
      <c r="AB9" s="34" t="str">
        <f aca="true">IF(COUNT($U9:$V9)=0,"",IF(MIN($U9:$V9)&lt;TODAY(),"已过期 "&amp;TEXT(TODAY()-MIN($U9:$V9),"0")&amp;" 天",IF(MIN($U9:$V9)-TODAY()&lt;=年检提醒天,"还剩 "&amp;TEXT(MIN($U9:$V9)-TODAY(),"0")&amp;" 天","")))</f>
        <v/>
      </c>
      <c r="AC9" s="34" t="str">
        <f aca="true">IF($C9="","",IF(OR($Y9="安装免保",$Y9="技术免保",$Y9="质保期内"),IF($Z9="","▲免保没填到期日",IF($Z9&lt;TODAY(),"▲免保已到期 该转收费了",IF($Z9-TODAY()&lt;=合同提醒天,"免保还剩 "&amp;TEXT($Z9-TODAY(),"0")&amp;" 天","免保中"))),IF($Y9="暂停维保","暂停中 不计费",IF($Y9="已解约","已解约",IF(COUNTIF(合同键,$E9)=0,"▲还没建合同行","")))))</f>
        <v>免保中</v>
      </c>
      <c r="AD9" s="24" t="s">
        <v>275</v>
      </c>
      <c r="AE9" s="35" t="str">
        <f aca="false">IF($C9="","",IF($D9="","★项目名称没填",IF(N($P9)&lt;=0,"★台量要填",IF(AND(OR($Y9="安装免保",$Y9="技术免保",$Y9="质保期内"),$Z9=""),"★免保到期日没填",IF(COUNTIF(合同键,$E9)=0,"★还没建合同行","OK")))))</f>
        <v>OK</v>
      </c>
    </row>
    <row r="10" customFormat="false" ht="26.85" hidden="false" customHeight="false" outlineLevel="0" collapsed="false">
      <c r="A10" s="29" t="n">
        <f aca="false">IF($C10="","",ROW()-4)</f>
        <v>6</v>
      </c>
      <c r="B10" s="25" t="s">
        <v>170</v>
      </c>
      <c r="C10" s="24" t="s">
        <v>266</v>
      </c>
      <c r="D10" s="24" t="s">
        <v>276</v>
      </c>
      <c r="E10" s="30" t="str">
        <f aca="false">IF($C10="","",$C10&amp;" ｜ "&amp;$D10)</f>
        <v>河南长江人民艺术剧院有限责任公司 ｜ 大东门华北村63号</v>
      </c>
      <c r="F10" s="31" t="s">
        <v>277</v>
      </c>
      <c r="G10" s="31" t="s">
        <v>278</v>
      </c>
      <c r="H10" s="25"/>
      <c r="I10" s="25" t="s">
        <v>279</v>
      </c>
      <c r="J10" s="25" t="s">
        <v>152</v>
      </c>
      <c r="K10" s="21" t="n">
        <v>7</v>
      </c>
      <c r="L10" s="21" t="n">
        <v>7</v>
      </c>
      <c r="M10" s="21"/>
      <c r="N10" s="31" t="s">
        <v>280</v>
      </c>
      <c r="O10" s="31" t="s">
        <v>237</v>
      </c>
      <c r="P10" s="32" t="n">
        <v>1</v>
      </c>
      <c r="Q10" s="31" t="s">
        <v>281</v>
      </c>
      <c r="R10" s="31" t="s">
        <v>239</v>
      </c>
      <c r="S10" s="33" t="n">
        <v>44805</v>
      </c>
      <c r="T10" s="33" t="n">
        <v>46366</v>
      </c>
      <c r="U10" s="33" t="n">
        <v>46419</v>
      </c>
      <c r="V10" s="33" t="n">
        <v>46661</v>
      </c>
      <c r="W10" s="25" t="s">
        <v>274</v>
      </c>
      <c r="X10" s="25" t="s">
        <v>144</v>
      </c>
      <c r="Y10" s="25" t="s">
        <v>134</v>
      </c>
      <c r="Z10" s="33"/>
      <c r="AA10" s="34" t="str">
        <f aca="true">IF($T10="","",IF($T10&lt;TODAY(),"已过期 "&amp;TEXT(TODAY()-$T10,"0")&amp;" 天",IF($T10-TODAY()&lt;=年检提醒天,"还剩 "&amp;TEXT($T10-TODAY(),"0")&amp;" 天","")))</f>
        <v/>
      </c>
      <c r="AB10" s="34" t="str">
        <f aca="true">IF(COUNT($U10:$V10)=0,"",IF(MIN($U10:$V10)&lt;TODAY(),"已过期 "&amp;TEXT(TODAY()-MIN($U10:$V10),"0")&amp;" 天",IF(MIN($U10:$V10)-TODAY()&lt;=年检提醒天,"还剩 "&amp;TEXT(MIN($U10:$V10)-TODAY(),"0")&amp;" 天","")))</f>
        <v/>
      </c>
      <c r="AC10" s="34" t="str">
        <f aca="true">IF($C10="","",IF(OR($Y10="安装免保",$Y10="技术免保",$Y10="质保期内"),IF($Z10="","▲免保没填到期日",IF($Z10&lt;TODAY(),"▲免保已到期 该转收费了",IF($Z10-TODAY()&lt;=合同提醒天,"免保还剩 "&amp;TEXT($Z10-TODAY(),"0")&amp;" 天","免保中"))),IF($Y10="暂停维保","暂停中 不计费",IF($Y10="已解约","已解约",IF(COUNTIF(合同键,$E10)=0,"▲还没建合同行","")))))</f>
        <v/>
      </c>
      <c r="AD10" s="24"/>
      <c r="AE10" s="35" t="str">
        <f aca="false">IF($C10="","",IF($D10="","★项目名称没填",IF(N($P10)&lt;=0,"★台量要填",IF(AND(OR($Y10="安装免保",$Y10="技术免保",$Y10="质保期内"),$Z10=""),"★免保到期日没填",IF(COUNTIF(合同键,$E10)=0,"★还没建合同行","OK")))))</f>
        <v>OK</v>
      </c>
    </row>
    <row r="11" customFormat="false" ht="26.85" hidden="false" customHeight="false" outlineLevel="0" collapsed="false">
      <c r="A11" s="29" t="n">
        <f aca="false">IF($C11="","",ROW()-4)</f>
        <v>7</v>
      </c>
      <c r="B11" s="25" t="s">
        <v>170</v>
      </c>
      <c r="C11" s="24" t="s">
        <v>266</v>
      </c>
      <c r="D11" s="24" t="s">
        <v>276</v>
      </c>
      <c r="E11" s="30" t="str">
        <f aca="false">IF($C11="","",$C11&amp;" ｜ "&amp;$D11)</f>
        <v>河南长江人民艺术剧院有限责任公司 ｜ 大东门华北村63号</v>
      </c>
      <c r="F11" s="31" t="s">
        <v>277</v>
      </c>
      <c r="G11" s="31" t="s">
        <v>282</v>
      </c>
      <c r="H11" s="25"/>
      <c r="I11" s="25" t="s">
        <v>279</v>
      </c>
      <c r="J11" s="25" t="s">
        <v>152</v>
      </c>
      <c r="K11" s="21" t="n">
        <v>7</v>
      </c>
      <c r="L11" s="21" t="n">
        <v>7</v>
      </c>
      <c r="M11" s="21"/>
      <c r="N11" s="31" t="s">
        <v>280</v>
      </c>
      <c r="O11" s="31" t="s">
        <v>237</v>
      </c>
      <c r="P11" s="32" t="n">
        <v>1</v>
      </c>
      <c r="Q11" s="31" t="s">
        <v>283</v>
      </c>
      <c r="R11" s="31" t="s">
        <v>284</v>
      </c>
      <c r="S11" s="33" t="n">
        <v>44805</v>
      </c>
      <c r="T11" s="33" t="n">
        <v>46366</v>
      </c>
      <c r="U11" s="33" t="n">
        <v>46419</v>
      </c>
      <c r="V11" s="33" t="n">
        <v>46661</v>
      </c>
      <c r="W11" s="25" t="s">
        <v>274</v>
      </c>
      <c r="X11" s="25" t="s">
        <v>144</v>
      </c>
      <c r="Y11" s="25" t="s">
        <v>134</v>
      </c>
      <c r="Z11" s="33"/>
      <c r="AA11" s="34" t="str">
        <f aca="true">IF($T11="","",IF($T11&lt;TODAY(),"已过期 "&amp;TEXT(TODAY()-$T11,"0")&amp;" 天",IF($T11-TODAY()&lt;=年检提醒天,"还剩 "&amp;TEXT($T11-TODAY(),"0")&amp;" 天","")))</f>
        <v/>
      </c>
      <c r="AB11" s="34" t="str">
        <f aca="true">IF(COUNT($U11:$V11)=0,"",IF(MIN($U11:$V11)&lt;TODAY(),"已过期 "&amp;TEXT(TODAY()-MIN($U11:$V11),"0")&amp;" 天",IF(MIN($U11:$V11)-TODAY()&lt;=年检提醒天,"还剩 "&amp;TEXT(MIN($U11:$V11)-TODAY(),"0")&amp;" 天","")))</f>
        <v/>
      </c>
      <c r="AC11" s="34" t="str">
        <f aca="true">IF($C11="","",IF(OR($Y11="安装免保",$Y11="技术免保",$Y11="质保期内"),IF($Z11="","▲免保没填到期日",IF($Z11&lt;TODAY(),"▲免保已到期 该转收费了",IF($Z11-TODAY()&lt;=合同提醒天,"免保还剩 "&amp;TEXT($Z11-TODAY(),"0")&amp;" 天","免保中"))),IF($Y11="暂停维保","暂停中 不计费",IF($Y11="已解约","已解约",IF(COUNTIF(合同键,$E11)=0,"▲还没建合同行","")))))</f>
        <v/>
      </c>
      <c r="AD11" s="24"/>
      <c r="AE11" s="35" t="str">
        <f aca="false">IF($C11="","",IF($D11="","★项目名称没填",IF(N($P11)&lt;=0,"★台量要填",IF(AND(OR($Y11="安装免保",$Y11="技术免保",$Y11="质保期内"),$Z11=""),"★免保到期日没填",IF(COUNTIF(合同键,$E11)=0,"★还没建合同行","OK")))))</f>
        <v>OK</v>
      </c>
    </row>
    <row r="12" customFormat="false" ht="15" hidden="false" customHeight="false" outlineLevel="0" collapsed="false">
      <c r="A12" s="29" t="n">
        <f aca="false">IF($C12="","",ROW()-4)</f>
        <v>8</v>
      </c>
      <c r="B12" s="25" t="s">
        <v>151</v>
      </c>
      <c r="C12" s="24" t="s">
        <v>285</v>
      </c>
      <c r="D12" s="24" t="s">
        <v>286</v>
      </c>
      <c r="E12" s="30" t="str">
        <f aca="false">IF($C12="","",$C12&amp;" ｜ "&amp;$D12)</f>
        <v>金禧永航集团有限公司 ｜ 金禧西北路291号</v>
      </c>
      <c r="F12" s="31" t="s">
        <v>287</v>
      </c>
      <c r="G12" s="31" t="s">
        <v>288</v>
      </c>
      <c r="H12" s="31" t="s">
        <v>289</v>
      </c>
      <c r="I12" s="25" t="s">
        <v>290</v>
      </c>
      <c r="J12" s="25" t="s">
        <v>132</v>
      </c>
      <c r="K12" s="21" t="n">
        <v>11</v>
      </c>
      <c r="L12" s="21" t="n">
        <v>11</v>
      </c>
      <c r="M12" s="21"/>
      <c r="N12" s="31" t="s">
        <v>280</v>
      </c>
      <c r="O12" s="31" t="s">
        <v>291</v>
      </c>
      <c r="P12" s="32" t="n">
        <v>1</v>
      </c>
      <c r="Q12" s="31" t="s">
        <v>292</v>
      </c>
      <c r="R12" s="31" t="s">
        <v>293</v>
      </c>
      <c r="S12" s="33" t="n">
        <v>43647</v>
      </c>
      <c r="T12" s="33" t="n">
        <v>46310</v>
      </c>
      <c r="U12" s="33" t="n">
        <v>46357</v>
      </c>
      <c r="V12" s="33" t="n">
        <v>46631</v>
      </c>
      <c r="W12" s="25" t="s">
        <v>294</v>
      </c>
      <c r="X12" s="25" t="s">
        <v>133</v>
      </c>
      <c r="Y12" s="25" t="s">
        <v>134</v>
      </c>
      <c r="Z12" s="33"/>
      <c r="AA12" s="34" t="str">
        <f aca="true">IF($T12="","",IF($T12&lt;TODAY(),"已过期 "&amp;TEXT(TODAY()-$T12,"0")&amp;" 天",IF($T12-TODAY()&lt;=年检提醒天,"还剩 "&amp;TEXT($T12-TODAY(),"0")&amp;" 天","")))</f>
        <v>还剩 24 天</v>
      </c>
      <c r="AB12" s="34" t="str">
        <f aca="true">IF(COUNT($U12:$V12)=0,"",IF(MIN($U12:$V12)&lt;TODAY(),"已过期 "&amp;TEXT(TODAY()-MIN($U12:$V12),"0")&amp;" 天",IF(MIN($U12:$V12)-TODAY()&lt;=年检提醒天,"还剩 "&amp;TEXT(MIN($U12:$V12)-TODAY(),"0")&amp;" 天","")))</f>
        <v/>
      </c>
      <c r="AC12" s="34" t="str">
        <f aca="true">IF($C12="","",IF(OR($Y12="安装免保",$Y12="技术免保",$Y12="质保期内"),IF($Z12="","▲免保没填到期日",IF($Z12&lt;TODAY(),"▲免保已到期 该转收费了",IF($Z12-TODAY()&lt;=合同提醒天,"免保还剩 "&amp;TEXT($Z12-TODAY(),"0")&amp;" 天","免保中"))),IF($Y12="暂停维保","暂停中 不计费",IF($Y12="已解约","已解约",IF(COUNTIF(合同键,$E12)=0,"▲还没建合同行","")))))</f>
        <v/>
      </c>
      <c r="AD12" s="24"/>
      <c r="AE12" s="35" t="str">
        <f aca="false">IF($C12="","",IF($D12="","★项目名称没填",IF(N($P12)&lt;=0,"★台量要填",IF(AND(OR($Y12="安装免保",$Y12="技术免保",$Y12="质保期内"),$Z12=""),"★免保到期日没填",IF(COUNTIF(合同键,$E12)=0,"★还没建合同行","OK")))))</f>
        <v>OK</v>
      </c>
    </row>
    <row r="13" customFormat="false" ht="15" hidden="false" customHeight="false" outlineLevel="0" collapsed="false">
      <c r="A13" s="29" t="n">
        <f aca="false">IF($C13="","",ROW()-4)</f>
        <v>9</v>
      </c>
      <c r="B13" s="25" t="s">
        <v>185</v>
      </c>
      <c r="C13" s="24" t="s">
        <v>295</v>
      </c>
      <c r="D13" s="24" t="s">
        <v>296</v>
      </c>
      <c r="E13" s="30" t="str">
        <f aca="false">IF($C13="","",$C13&amp;" ｜ "&amp;$D13)</f>
        <v>河南南远电缆科技有限公司 ｜ 南远电缆</v>
      </c>
      <c r="F13" s="31" t="s">
        <v>297</v>
      </c>
      <c r="G13" s="31" t="s">
        <v>298</v>
      </c>
      <c r="H13" s="31" t="s">
        <v>299</v>
      </c>
      <c r="I13" s="25" t="s">
        <v>300</v>
      </c>
      <c r="J13" s="25" t="s">
        <v>143</v>
      </c>
      <c r="K13" s="21" t="n">
        <v>4</v>
      </c>
      <c r="L13" s="21" t="n">
        <v>4</v>
      </c>
      <c r="M13" s="21"/>
      <c r="N13" s="31" t="s">
        <v>301</v>
      </c>
      <c r="O13" s="31" t="s">
        <v>302</v>
      </c>
      <c r="P13" s="32" t="n">
        <v>1</v>
      </c>
      <c r="Q13" s="31" t="s">
        <v>303</v>
      </c>
      <c r="R13" s="31" t="s">
        <v>304</v>
      </c>
      <c r="S13" s="33" t="n">
        <v>42979</v>
      </c>
      <c r="T13" s="33" t="n">
        <v>46407</v>
      </c>
      <c r="U13" s="33" t="n">
        <v>46461</v>
      </c>
      <c r="V13" s="33" t="n">
        <v>46753</v>
      </c>
      <c r="W13" s="25" t="s">
        <v>305</v>
      </c>
      <c r="X13" s="25" t="s">
        <v>144</v>
      </c>
      <c r="Y13" s="25" t="s">
        <v>134</v>
      </c>
      <c r="Z13" s="33"/>
      <c r="AA13" s="34" t="str">
        <f aca="true">IF($T13="","",IF($T13&lt;TODAY(),"已过期 "&amp;TEXT(TODAY()-$T13,"0")&amp;" 天",IF($T13-TODAY()&lt;=年检提醒天,"还剩 "&amp;TEXT($T13-TODAY(),"0")&amp;" 天","")))</f>
        <v/>
      </c>
      <c r="AB13" s="34" t="str">
        <f aca="true">IF(COUNT($U13:$V13)=0,"",IF(MIN($U13:$V13)&lt;TODAY(),"已过期 "&amp;TEXT(TODAY()-MIN($U13:$V13),"0")&amp;" 天",IF(MIN($U13:$V13)-TODAY()&lt;=年检提醒天,"还剩 "&amp;TEXT(MIN($U13:$V13)-TODAY(),"0")&amp;" 天","")))</f>
        <v/>
      </c>
      <c r="AC13" s="34" t="str">
        <f aca="true">IF($C13="","",IF(OR($Y13="安装免保",$Y13="技术免保",$Y13="质保期内"),IF($Z13="","▲免保没填到期日",IF($Z13&lt;TODAY(),"▲免保已到期 该转收费了",IF($Z13-TODAY()&lt;=合同提醒天,"免保还剩 "&amp;TEXT($Z13-TODAY(),"0")&amp;" 天","免保中"))),IF($Y13="暂停维保","暂停中 不计费",IF($Y13="已解约","已解约",IF(COUNTIF(合同键,$E13)=0,"▲还没建合同行","")))))</f>
        <v/>
      </c>
      <c r="AD13" s="24"/>
      <c r="AE13" s="35" t="str">
        <f aca="false">IF($C13="","",IF($D13="","★项目名称没填",IF(N($P13)&lt;=0,"★台量要填",IF(AND(OR($Y13="安装免保",$Y13="技术免保",$Y13="质保期内"),$Z13=""),"★免保到期日没填",IF(COUNTIF(合同键,$E13)=0,"★还没建合同行","OK")))))</f>
        <v>OK</v>
      </c>
    </row>
    <row r="14" customFormat="false" ht="15" hidden="false" customHeight="false" outlineLevel="0" collapsed="false">
      <c r="A14" s="29" t="n">
        <f aca="false">IF($C14="","",ROW()-4)</f>
        <v>10</v>
      </c>
      <c r="B14" s="25" t="s">
        <v>185</v>
      </c>
      <c r="C14" s="24" t="s">
        <v>295</v>
      </c>
      <c r="D14" s="24" t="s">
        <v>296</v>
      </c>
      <c r="E14" s="30" t="str">
        <f aca="false">IF($C14="","",$C14&amp;" ｜ "&amp;$D14)</f>
        <v>河南南远电缆科技有限公司 ｜ 南远电缆</v>
      </c>
      <c r="F14" s="31" t="s">
        <v>306</v>
      </c>
      <c r="G14" s="31" t="s">
        <v>307</v>
      </c>
      <c r="H14" s="25"/>
      <c r="I14" s="25" t="s">
        <v>308</v>
      </c>
      <c r="J14" s="25" t="s">
        <v>132</v>
      </c>
      <c r="K14" s="21" t="n">
        <v>6</v>
      </c>
      <c r="L14" s="21" t="n">
        <v>6</v>
      </c>
      <c r="M14" s="21" t="n">
        <v>6</v>
      </c>
      <c r="N14" s="31" t="s">
        <v>258</v>
      </c>
      <c r="O14" s="31" t="s">
        <v>237</v>
      </c>
      <c r="P14" s="32" t="n">
        <v>1</v>
      </c>
      <c r="Q14" s="31" t="s">
        <v>309</v>
      </c>
      <c r="R14" s="31" t="s">
        <v>310</v>
      </c>
      <c r="S14" s="33" t="n">
        <v>44713</v>
      </c>
      <c r="T14" s="33" t="n">
        <v>46478</v>
      </c>
      <c r="U14" s="33" t="n">
        <v>46478</v>
      </c>
      <c r="V14" s="33" t="n">
        <v>46844</v>
      </c>
      <c r="W14" s="25" t="s">
        <v>305</v>
      </c>
      <c r="X14" s="25" t="s">
        <v>144</v>
      </c>
      <c r="Y14" s="25" t="s">
        <v>154</v>
      </c>
      <c r="Z14" s="33" t="n">
        <v>46326</v>
      </c>
      <c r="AA14" s="34" t="str">
        <f aca="true">IF($T14="","",IF($T14&lt;TODAY(),"已过期 "&amp;TEXT(TODAY()-$T14,"0")&amp;" 天",IF($T14-TODAY()&lt;=年检提醒天,"还剩 "&amp;TEXT($T14-TODAY(),"0")&amp;" 天","")))</f>
        <v/>
      </c>
      <c r="AB14" s="34" t="str">
        <f aca="true">IF(COUNT($U14:$V14)=0,"",IF(MIN($U14:$V14)&lt;TODAY(),"已过期 "&amp;TEXT(TODAY()-MIN($U14:$V14),"0")&amp;" 天",IF(MIN($U14:$V14)-TODAY()&lt;=年检提醒天,"还剩 "&amp;TEXT(MIN($U14:$V14)-TODAY(),"0")&amp;" 天","")))</f>
        <v/>
      </c>
      <c r="AC14" s="34" t="str">
        <f aca="true">IF($C14="","",IF(OR($Y14="安装免保",$Y14="技术免保",$Y14="质保期内"),IF($Z14="","▲免保没填到期日",IF($Z14&lt;TODAY(),"▲免保已到期 该转收费了",IF($Z14-TODAY()&lt;=合同提醒天,"免保还剩 "&amp;TEXT($Z14-TODAY(),"0")&amp;" 天","免保中"))),IF($Y14="暂停维保","暂停中 不计费",IF($Y14="已解约","已解约",IF(COUNTIF(合同键,$E14)=0,"▲还没建合同行","")))))</f>
        <v>免保还剩 40 天</v>
      </c>
      <c r="AD14" s="24" t="s">
        <v>311</v>
      </c>
      <c r="AE14" s="35" t="str">
        <f aca="false">IF($C14="","",IF($D14="","★项目名称没填",IF(N($P14)&lt;=0,"★台量要填",IF(AND(OR($Y14="安装免保",$Y14="技术免保",$Y14="质保期内"),$Z14=""),"★免保到期日没填",IF(COUNTIF(合同键,$E14)=0,"★还没建合同行","OK")))))</f>
        <v>OK</v>
      </c>
    </row>
    <row r="15" customFormat="false" ht="26.85" hidden="false" customHeight="false" outlineLevel="0" collapsed="false">
      <c r="A15" s="29" t="n">
        <f aca="false">IF($C15="","",ROW()-4)</f>
        <v>11</v>
      </c>
      <c r="B15" s="25" t="s">
        <v>161</v>
      </c>
      <c r="C15" s="24" t="s">
        <v>312</v>
      </c>
      <c r="D15" s="24" t="s">
        <v>313</v>
      </c>
      <c r="E15" s="30" t="str">
        <f aca="false">IF($C15="","",$C15&amp;" ｜ "&amp;$D15)</f>
        <v>黄冈市黄陂区鑫捷惠超市（个体工商户） ｜ 项陂雅迪</v>
      </c>
      <c r="F15" s="31" t="s">
        <v>314</v>
      </c>
      <c r="G15" s="31" t="s">
        <v>315</v>
      </c>
      <c r="H15" s="31" t="s">
        <v>316</v>
      </c>
      <c r="I15" s="25" t="s">
        <v>317</v>
      </c>
      <c r="J15" s="25" t="s">
        <v>143</v>
      </c>
      <c r="K15" s="21" t="n">
        <v>4</v>
      </c>
      <c r="L15" s="21" t="n">
        <v>4</v>
      </c>
      <c r="M15" s="21"/>
      <c r="N15" s="31" t="s">
        <v>301</v>
      </c>
      <c r="O15" s="31" t="s">
        <v>302</v>
      </c>
      <c r="P15" s="32" t="n">
        <v>1</v>
      </c>
      <c r="Q15" s="31" t="s">
        <v>318</v>
      </c>
      <c r="R15" s="31" t="s">
        <v>319</v>
      </c>
      <c r="S15" s="33" t="n">
        <v>43922</v>
      </c>
      <c r="T15" s="33" t="n">
        <v>46264</v>
      </c>
      <c r="U15" s="33" t="n">
        <v>46508</v>
      </c>
      <c r="V15" s="33" t="n">
        <v>46813</v>
      </c>
      <c r="W15" s="25" t="s">
        <v>250</v>
      </c>
      <c r="X15" s="25" t="s">
        <v>172</v>
      </c>
      <c r="Y15" s="25" t="s">
        <v>173</v>
      </c>
      <c r="Z15" s="33"/>
      <c r="AA15" s="34" t="str">
        <f aca="true">IF($T15="","",IF($T15&lt;TODAY(),"已过期 "&amp;TEXT(TODAY()-$T15,"0")&amp;" 天",IF($T15-TODAY()&lt;=年检提醒天,"还剩 "&amp;TEXT($T15-TODAY(),"0")&amp;" 天","")))</f>
        <v>已过期 22 天</v>
      </c>
      <c r="AB15" s="34" t="str">
        <f aca="true">IF(COUNT($U15:$V15)=0,"",IF(MIN($U15:$V15)&lt;TODAY(),"已过期 "&amp;TEXT(TODAY()-MIN($U15:$V15),"0")&amp;" 天",IF(MIN($U15:$V15)-TODAY()&lt;=年检提醒天,"还剩 "&amp;TEXT(MIN($U15:$V15)-TODAY(),"0")&amp;" 天","")))</f>
        <v/>
      </c>
      <c r="AC15" s="34" t="str">
        <f aca="true">IF($C15="","",IF(OR($Y15="安装免保",$Y15="技术免保",$Y15="质保期内"),IF($Z15="","▲免保没填到期日",IF($Z15&lt;TODAY(),"▲免保已到期 该转收费了",IF($Z15-TODAY()&lt;=合同提醒天,"免保还剩 "&amp;TEXT($Z15-TODAY(),"0")&amp;" 天","免保中"))),IF($Y15="暂停维保","暂停中 不计费",IF($Y15="已解约","已解约",IF(COUNTIF(合同键,$E15)=0,"▲还没建合同行","")))))</f>
        <v>暂停中 不计费</v>
      </c>
      <c r="AD15" s="24" t="s">
        <v>320</v>
      </c>
      <c r="AE15" s="35" t="str">
        <f aca="false">IF($C15="","",IF($D15="","★项目名称没填",IF(N($P15)&lt;=0,"★台量要填",IF(AND(OR($Y15="安装免保",$Y15="技术免保",$Y15="质保期内"),$Z15=""),"★免保到期日没填",IF(COUNTIF(合同键,$E15)=0,"★还没建合同行","OK")))))</f>
        <v>OK</v>
      </c>
    </row>
    <row r="16" customFormat="false" ht="15" hidden="false" customHeight="false" outlineLevel="0" collapsed="false">
      <c r="A16" s="29" t="n">
        <f aca="false">IF($C16="","",ROW()-4)</f>
        <v>12</v>
      </c>
      <c r="B16" s="25" t="s">
        <v>180</v>
      </c>
      <c r="C16" s="24" t="s">
        <v>321</v>
      </c>
      <c r="D16" s="24" t="s">
        <v>322</v>
      </c>
      <c r="E16" s="30" t="str">
        <f aca="false">IF($C16="","",$C16&amp;" ｜ "&amp;$D16)</f>
        <v>河南尊品益定意食品有限公司 ｜ 意康意厂房</v>
      </c>
      <c r="F16" s="31" t="s">
        <v>323</v>
      </c>
      <c r="G16" s="31" t="s">
        <v>324</v>
      </c>
      <c r="H16" s="31" t="s">
        <v>325</v>
      </c>
      <c r="I16" s="25" t="s">
        <v>300</v>
      </c>
      <c r="J16" s="25" t="s">
        <v>143</v>
      </c>
      <c r="K16" s="21" t="n">
        <v>5</v>
      </c>
      <c r="L16" s="21" t="n">
        <v>5</v>
      </c>
      <c r="M16" s="21"/>
      <c r="N16" s="31" t="s">
        <v>301</v>
      </c>
      <c r="O16" s="31" t="s">
        <v>302</v>
      </c>
      <c r="P16" s="32" t="n">
        <v>1</v>
      </c>
      <c r="Q16" s="31" t="s">
        <v>326</v>
      </c>
      <c r="R16" s="31" t="s">
        <v>319</v>
      </c>
      <c r="S16" s="33" t="n">
        <v>43282</v>
      </c>
      <c r="T16" s="33" t="n">
        <v>46331</v>
      </c>
      <c r="U16" s="33" t="n">
        <v>46438</v>
      </c>
      <c r="V16" s="33" t="n">
        <v>46722</v>
      </c>
      <c r="W16" s="25" t="s">
        <v>294</v>
      </c>
      <c r="X16" s="25" t="s">
        <v>133</v>
      </c>
      <c r="Y16" s="25" t="s">
        <v>134</v>
      </c>
      <c r="Z16" s="33"/>
      <c r="AA16" s="34" t="str">
        <f aca="true">IF($T16="","",IF($T16&lt;TODAY(),"已过期 "&amp;TEXT(TODAY()-$T16,"0")&amp;" 天",IF($T16-TODAY()&lt;=年检提醒天,"还剩 "&amp;TEXT($T16-TODAY(),"0")&amp;" 天","")))</f>
        <v/>
      </c>
      <c r="AB16" s="34" t="str">
        <f aca="true">IF(COUNT($U16:$V16)=0,"",IF(MIN($U16:$V16)&lt;TODAY(),"已过期 "&amp;TEXT(TODAY()-MIN($U16:$V16),"0")&amp;" 天",IF(MIN($U16:$V16)-TODAY()&lt;=年检提醒天,"还剩 "&amp;TEXT(MIN($U16:$V16)-TODAY(),"0")&amp;" 天","")))</f>
        <v/>
      </c>
      <c r="AC16" s="34" t="str">
        <f aca="true">IF($C16="","",IF(OR($Y16="安装免保",$Y16="技术免保",$Y16="质保期内"),IF($Z16="","▲免保没填到期日",IF($Z16&lt;TODAY(),"▲免保已到期 该转收费了",IF($Z16-TODAY()&lt;=合同提醒天,"免保还剩 "&amp;TEXT($Z16-TODAY(),"0")&amp;" 天","免保中"))),IF($Y16="暂停维保","暂停中 不计费",IF($Y16="已解约","已解约",IF(COUNTIF(合同键,$E16)=0,"▲还没建合同行","")))))</f>
        <v/>
      </c>
      <c r="AD16" s="24"/>
      <c r="AE16" s="35" t="str">
        <f aca="false">IF($C16="","",IF($D16="","★项目名称没填",IF(N($P16)&lt;=0,"★台量要填",IF(AND(OR($Y16="安装免保",$Y16="技术免保",$Y16="质保期内"),$Z16=""),"★免保到期日没填",IF(COUNTIF(合同键,$E16)=0,"★还没建合同行","OK")))))</f>
        <v>OK</v>
      </c>
    </row>
    <row r="17" customFormat="false" ht="15" hidden="false" customHeight="false" outlineLevel="0" collapsed="false">
      <c r="A17" s="29" t="n">
        <f aca="false">IF($C17="","",ROW()-4)</f>
        <v>13</v>
      </c>
      <c r="B17" s="25" t="s">
        <v>180</v>
      </c>
      <c r="C17" s="24" t="s">
        <v>321</v>
      </c>
      <c r="D17" s="24" t="s">
        <v>322</v>
      </c>
      <c r="E17" s="30" t="str">
        <f aca="false">IF($C17="","",$C17&amp;" ｜ "&amp;$D17)</f>
        <v>河南尊品益定意食品有限公司 ｜ 意康意厂房</v>
      </c>
      <c r="F17" s="31" t="s">
        <v>323</v>
      </c>
      <c r="G17" s="31" t="s">
        <v>327</v>
      </c>
      <c r="H17" s="31" t="s">
        <v>328</v>
      </c>
      <c r="I17" s="25" t="s">
        <v>300</v>
      </c>
      <c r="J17" s="25" t="s">
        <v>143</v>
      </c>
      <c r="K17" s="21" t="n">
        <v>5</v>
      </c>
      <c r="L17" s="21" t="n">
        <v>5</v>
      </c>
      <c r="M17" s="21"/>
      <c r="N17" s="31" t="s">
        <v>301</v>
      </c>
      <c r="O17" s="31" t="s">
        <v>302</v>
      </c>
      <c r="P17" s="32" t="n">
        <v>1</v>
      </c>
      <c r="Q17" s="31" t="s">
        <v>329</v>
      </c>
      <c r="R17" s="31" t="s">
        <v>330</v>
      </c>
      <c r="S17" s="33" t="n">
        <v>43282</v>
      </c>
      <c r="T17" s="33" t="n">
        <v>46331</v>
      </c>
      <c r="U17" s="33" t="n">
        <v>46438</v>
      </c>
      <c r="V17" s="33" t="n">
        <v>46722</v>
      </c>
      <c r="W17" s="25" t="s">
        <v>294</v>
      </c>
      <c r="X17" s="25" t="s">
        <v>133</v>
      </c>
      <c r="Y17" s="25" t="s">
        <v>134</v>
      </c>
      <c r="Z17" s="33"/>
      <c r="AA17" s="34" t="str">
        <f aca="true">IF($T17="","",IF($T17&lt;TODAY(),"已过期 "&amp;TEXT(TODAY()-$T17,"0")&amp;" 天",IF($T17-TODAY()&lt;=年检提醒天,"还剩 "&amp;TEXT($T17-TODAY(),"0")&amp;" 天","")))</f>
        <v/>
      </c>
      <c r="AB17" s="34" t="str">
        <f aca="true">IF(COUNT($U17:$V17)=0,"",IF(MIN($U17:$V17)&lt;TODAY(),"已过期 "&amp;TEXT(TODAY()-MIN($U17:$V17),"0")&amp;" 天",IF(MIN($U17:$V17)-TODAY()&lt;=年检提醒天,"还剩 "&amp;TEXT(MIN($U17:$V17)-TODAY(),"0")&amp;" 天","")))</f>
        <v/>
      </c>
      <c r="AC17" s="34" t="str">
        <f aca="true">IF($C17="","",IF(OR($Y17="安装免保",$Y17="技术免保",$Y17="质保期内"),IF($Z17="","▲免保没填到期日",IF($Z17&lt;TODAY(),"▲免保已到期 该转收费了",IF($Z17-TODAY()&lt;=合同提醒天,"免保还剩 "&amp;TEXT($Z17-TODAY(),"0")&amp;" 天","免保中"))),IF($Y17="暂停维保","暂停中 不计费",IF($Y17="已解约","已解约",IF(COUNTIF(合同键,$E17)=0,"▲还没建合同行","")))))</f>
        <v/>
      </c>
      <c r="AD17" s="24"/>
      <c r="AE17" s="35" t="str">
        <f aca="false">IF($C17="","",IF($D17="","★项目名称没填",IF(N($P17)&lt;=0,"★台量要填",IF(AND(OR($Y17="安装免保",$Y17="技术免保",$Y17="质保期内"),$Z17=""),"★免保到期日没填",IF(COUNTIF(合同键,$E17)=0,"★还没建合同行","OK")))))</f>
        <v>OK</v>
      </c>
    </row>
    <row r="18" customFormat="false" ht="15" hidden="false" customHeight="false" outlineLevel="0" collapsed="false">
      <c r="A18" s="29" t="n">
        <f aca="false">IF($C18="","",ROW()-4)</f>
        <v>14</v>
      </c>
      <c r="B18" s="25" t="s">
        <v>180</v>
      </c>
      <c r="C18" s="24" t="s">
        <v>321</v>
      </c>
      <c r="D18" s="24" t="s">
        <v>322</v>
      </c>
      <c r="E18" s="30" t="str">
        <f aca="false">IF($C18="","",$C18&amp;" ｜ "&amp;$D18)</f>
        <v>河南尊品益定意食品有限公司 ｜ 意康意厂房</v>
      </c>
      <c r="F18" s="31" t="s">
        <v>323</v>
      </c>
      <c r="G18" s="31" t="s">
        <v>331</v>
      </c>
      <c r="H18" s="31" t="s">
        <v>332</v>
      </c>
      <c r="I18" s="25" t="s">
        <v>300</v>
      </c>
      <c r="J18" s="25" t="s">
        <v>143</v>
      </c>
      <c r="K18" s="21" t="n">
        <v>5</v>
      </c>
      <c r="L18" s="21" t="n">
        <v>5</v>
      </c>
      <c r="M18" s="21"/>
      <c r="N18" s="31" t="s">
        <v>301</v>
      </c>
      <c r="O18" s="31" t="s">
        <v>302</v>
      </c>
      <c r="P18" s="32" t="n">
        <v>1</v>
      </c>
      <c r="Q18" s="31" t="s">
        <v>333</v>
      </c>
      <c r="R18" s="31" t="s">
        <v>334</v>
      </c>
      <c r="S18" s="33" t="n">
        <v>43282</v>
      </c>
      <c r="T18" s="33" t="n">
        <v>46331</v>
      </c>
      <c r="U18" s="33" t="n">
        <v>46438</v>
      </c>
      <c r="V18" s="33" t="n">
        <v>46722</v>
      </c>
      <c r="W18" s="25" t="s">
        <v>294</v>
      </c>
      <c r="X18" s="25" t="s">
        <v>133</v>
      </c>
      <c r="Y18" s="25" t="s">
        <v>134</v>
      </c>
      <c r="Z18" s="33"/>
      <c r="AA18" s="34" t="str">
        <f aca="true">IF($T18="","",IF($T18&lt;TODAY(),"已过期 "&amp;TEXT(TODAY()-$T18,"0")&amp;" 天",IF($T18-TODAY()&lt;=年检提醒天,"还剩 "&amp;TEXT($T18-TODAY(),"0")&amp;" 天","")))</f>
        <v/>
      </c>
      <c r="AB18" s="34" t="str">
        <f aca="true">IF(COUNT($U18:$V18)=0,"",IF(MIN($U18:$V18)&lt;TODAY(),"已过期 "&amp;TEXT(TODAY()-MIN($U18:$V18),"0")&amp;" 天",IF(MIN($U18:$V18)-TODAY()&lt;=年检提醒天,"还剩 "&amp;TEXT(MIN($U18:$V18)-TODAY(),"0")&amp;" 天","")))</f>
        <v/>
      </c>
      <c r="AC18" s="34" t="str">
        <f aca="true">IF($C18="","",IF(OR($Y18="安装免保",$Y18="技术免保",$Y18="质保期内"),IF($Z18="","▲免保没填到期日",IF($Z18&lt;TODAY(),"▲免保已到期 该转收费了",IF($Z18-TODAY()&lt;=合同提醒天,"免保还剩 "&amp;TEXT($Z18-TODAY(),"0")&amp;" 天","免保中"))),IF($Y18="暂停维保","暂停中 不计费",IF($Y18="已解约","已解约",IF(COUNTIF(合同键,$E18)=0,"▲还没建合同行","")))))</f>
        <v/>
      </c>
      <c r="AD18" s="24"/>
      <c r="AE18" s="35" t="str">
        <f aca="false">IF($C18="","",IF($D18="","★项目名称没填",IF(N($P18)&lt;=0,"★台量要填",IF(AND(OR($Y18="安装免保",$Y18="技术免保",$Y18="质保期内"),$Z18=""),"★免保到期日没填",IF(COUNTIF(合同键,$E18)=0,"★还没建合同行","OK")))))</f>
        <v>OK</v>
      </c>
    </row>
    <row r="19" customFormat="false" ht="15" hidden="false" customHeight="false" outlineLevel="0" collapsed="false">
      <c r="A19" s="29" t="n">
        <f aca="false">IF($C19="","",ROW()-4)</f>
        <v>15</v>
      </c>
      <c r="B19" s="25" t="s">
        <v>180</v>
      </c>
      <c r="C19" s="24" t="s">
        <v>321</v>
      </c>
      <c r="D19" s="24" t="s">
        <v>322</v>
      </c>
      <c r="E19" s="30" t="str">
        <f aca="false">IF($C19="","",$C19&amp;" ｜ "&amp;$D19)</f>
        <v>河南尊品益定意食品有限公司 ｜ 意康意厂房</v>
      </c>
      <c r="F19" s="31" t="s">
        <v>323</v>
      </c>
      <c r="G19" s="31" t="s">
        <v>335</v>
      </c>
      <c r="H19" s="31" t="s">
        <v>336</v>
      </c>
      <c r="I19" s="25" t="s">
        <v>300</v>
      </c>
      <c r="J19" s="25" t="s">
        <v>143</v>
      </c>
      <c r="K19" s="21" t="n">
        <v>6</v>
      </c>
      <c r="L19" s="21" t="n">
        <v>6</v>
      </c>
      <c r="M19" s="21"/>
      <c r="N19" s="31" t="s">
        <v>301</v>
      </c>
      <c r="O19" s="31" t="s">
        <v>302</v>
      </c>
      <c r="P19" s="32" t="n">
        <v>1</v>
      </c>
      <c r="Q19" s="31" t="s">
        <v>337</v>
      </c>
      <c r="R19" s="31" t="s">
        <v>338</v>
      </c>
      <c r="S19" s="33" t="n">
        <v>43282</v>
      </c>
      <c r="T19" s="33" t="n">
        <v>46331</v>
      </c>
      <c r="U19" s="33" t="n">
        <v>46438</v>
      </c>
      <c r="V19" s="33" t="n">
        <v>46722</v>
      </c>
      <c r="W19" s="25" t="s">
        <v>294</v>
      </c>
      <c r="X19" s="25" t="s">
        <v>133</v>
      </c>
      <c r="Y19" s="25" t="s">
        <v>134</v>
      </c>
      <c r="Z19" s="33"/>
      <c r="AA19" s="34" t="str">
        <f aca="true">IF($T19="","",IF($T19&lt;TODAY(),"已过期 "&amp;TEXT(TODAY()-$T19,"0")&amp;" 天",IF($T19-TODAY()&lt;=年检提醒天,"还剩 "&amp;TEXT($T19-TODAY(),"0")&amp;" 天","")))</f>
        <v/>
      </c>
      <c r="AB19" s="34" t="str">
        <f aca="true">IF(COUNT($U19:$V19)=0,"",IF(MIN($U19:$V19)&lt;TODAY(),"已过期 "&amp;TEXT(TODAY()-MIN($U19:$V19),"0")&amp;" 天",IF(MIN($U19:$V19)-TODAY()&lt;=年检提醒天,"还剩 "&amp;TEXT(MIN($U19:$V19)-TODAY(),"0")&amp;" 天","")))</f>
        <v/>
      </c>
      <c r="AC19" s="34" t="str">
        <f aca="true">IF($C19="","",IF(OR($Y19="安装免保",$Y19="技术免保",$Y19="质保期内"),IF($Z19="","▲免保没填到期日",IF($Z19&lt;TODAY(),"▲免保已到期 该转收费了",IF($Z19-TODAY()&lt;=合同提醒天,"免保还剩 "&amp;TEXT($Z19-TODAY(),"0")&amp;" 天","免保中"))),IF($Y19="暂停维保","暂停中 不计费",IF($Y19="已解约","已解约",IF(COUNTIF(合同键,$E19)=0,"▲还没建合同行","")))))</f>
        <v/>
      </c>
      <c r="AD19" s="24"/>
      <c r="AE19" s="35" t="str">
        <f aca="false">IF($C19="","",IF($D19="","★项目名称没填",IF(N($P19)&lt;=0,"★台量要填",IF(AND(OR($Y19="安装免保",$Y19="技术免保",$Y19="质保期内"),$Z19=""),"★免保到期日没填",IF(COUNTIF(合同键,$E19)=0,"★还没建合同行","OK")))))</f>
        <v>OK</v>
      </c>
    </row>
    <row r="20" customFormat="false" ht="15" hidden="false" customHeight="false" outlineLevel="0" collapsed="false">
      <c r="A20" s="29" t="n">
        <f aca="false">IF($C20="","",ROW()-4)</f>
        <v>16</v>
      </c>
      <c r="B20" s="25" t="s">
        <v>180</v>
      </c>
      <c r="C20" s="24" t="s">
        <v>321</v>
      </c>
      <c r="D20" s="24" t="s">
        <v>322</v>
      </c>
      <c r="E20" s="30" t="str">
        <f aca="false">IF($C20="","",$C20&amp;" ｜ "&amp;$D20)</f>
        <v>河南尊品益定意食品有限公司 ｜ 意康意厂房</v>
      </c>
      <c r="F20" s="31" t="s">
        <v>339</v>
      </c>
      <c r="G20" s="31" t="s">
        <v>340</v>
      </c>
      <c r="H20" s="31" t="s">
        <v>341</v>
      </c>
      <c r="I20" s="25" t="s">
        <v>300</v>
      </c>
      <c r="J20" s="25" t="s">
        <v>132</v>
      </c>
      <c r="K20" s="21" t="n">
        <v>6</v>
      </c>
      <c r="L20" s="21" t="n">
        <v>6</v>
      </c>
      <c r="M20" s="21"/>
      <c r="N20" s="31" t="s">
        <v>342</v>
      </c>
      <c r="O20" s="31" t="s">
        <v>237</v>
      </c>
      <c r="P20" s="32" t="n">
        <v>1</v>
      </c>
      <c r="Q20" s="31" t="s">
        <v>343</v>
      </c>
      <c r="R20" s="31" t="s">
        <v>239</v>
      </c>
      <c r="S20" s="33" t="n">
        <v>43647</v>
      </c>
      <c r="T20" s="33" t="n">
        <v>46569</v>
      </c>
      <c r="U20" s="33" t="n">
        <v>46569</v>
      </c>
      <c r="V20" s="33" t="n">
        <v>47300</v>
      </c>
      <c r="W20" s="25" t="s">
        <v>294</v>
      </c>
      <c r="X20" s="25" t="s">
        <v>133</v>
      </c>
      <c r="Y20" s="25" t="s">
        <v>164</v>
      </c>
      <c r="Z20" s="33" t="n">
        <v>46387</v>
      </c>
      <c r="AA20" s="34" t="str">
        <f aca="true">IF($T20="","",IF($T20&lt;TODAY(),"已过期 "&amp;TEXT(TODAY()-$T20,"0")&amp;" 天",IF($T20-TODAY()&lt;=年检提醒天,"还剩 "&amp;TEXT($T20-TODAY(),"0")&amp;" 天","")))</f>
        <v/>
      </c>
      <c r="AB20" s="34" t="str">
        <f aca="true">IF(COUNT($U20:$V20)=0,"",IF(MIN($U20:$V20)&lt;TODAY(),"已过期 "&amp;TEXT(TODAY()-MIN($U20:$V20),"0")&amp;" 天",IF(MIN($U20:$V20)-TODAY()&lt;=年检提醒天,"还剩 "&amp;TEXT(MIN($U20:$V20)-TODAY(),"0")&amp;" 天","")))</f>
        <v/>
      </c>
      <c r="AC20" s="34" t="str">
        <f aca="true">IF($C20="","",IF(OR($Y20="安装免保",$Y20="技术免保",$Y20="质保期内"),IF($Z20="","▲免保没填到期日",IF($Z20&lt;TODAY(),"▲免保已到期 该转收费了",IF($Z20-TODAY()&lt;=合同提醒天,"免保还剩 "&amp;TEXT($Z20-TODAY(),"0")&amp;" 天","免保中"))),IF($Y20="暂停维保","暂停中 不计费",IF($Y20="已解约","已解约",IF(COUNTIF(合同键,$E20)=0,"▲还没建合同行","")))))</f>
        <v>免保中</v>
      </c>
      <c r="AD20" s="24" t="s">
        <v>344</v>
      </c>
      <c r="AE20" s="35" t="str">
        <f aca="false">IF($C20="","",IF($D20="","★项目名称没填",IF(N($P20)&lt;=0,"★台量要填",IF(AND(OR($Y20="安装免保",$Y20="技术免保",$Y20="质保期内"),$Z20=""),"★免保到期日没填",IF(COUNTIF(合同键,$E20)=0,"★还没建合同行","OK")))))</f>
        <v>OK</v>
      </c>
    </row>
    <row r="21" customFormat="false" ht="26.85" hidden="false" customHeight="false" outlineLevel="0" collapsed="false">
      <c r="A21" s="29" t="n">
        <f aca="false">IF($C21="","",ROW()-4)</f>
        <v>17</v>
      </c>
      <c r="B21" s="25" t="s">
        <v>188</v>
      </c>
      <c r="C21" s="24" t="s">
        <v>345</v>
      </c>
      <c r="D21" s="24" t="s">
        <v>346</v>
      </c>
      <c r="E21" s="30" t="str">
        <f aca="false">IF($C21="","",$C21&amp;" ｜ "&amp;$D21)</f>
        <v>河南光谷义神新材料孵化器有限公司 ｜ 永和云居</v>
      </c>
      <c r="F21" s="31" t="s">
        <v>347</v>
      </c>
      <c r="G21" s="31" t="s">
        <v>348</v>
      </c>
      <c r="H21" s="25" t="s">
        <v>349</v>
      </c>
      <c r="I21" s="25" t="s">
        <v>350</v>
      </c>
      <c r="J21" s="25" t="s">
        <v>132</v>
      </c>
      <c r="K21" s="21" t="n">
        <v>17</v>
      </c>
      <c r="L21" s="21" t="n">
        <v>17</v>
      </c>
      <c r="M21" s="21" t="n">
        <v>17</v>
      </c>
      <c r="N21" s="31" t="s">
        <v>342</v>
      </c>
      <c r="O21" s="31" t="s">
        <v>291</v>
      </c>
      <c r="P21" s="32" t="n">
        <v>1</v>
      </c>
      <c r="Q21" s="31" t="s">
        <v>351</v>
      </c>
      <c r="R21" s="31" t="s">
        <v>352</v>
      </c>
      <c r="S21" s="33" t="n">
        <v>43800</v>
      </c>
      <c r="T21" s="33" t="n">
        <v>46313</v>
      </c>
      <c r="U21" s="33" t="n">
        <v>46392</v>
      </c>
      <c r="V21" s="33" t="n">
        <v>46784</v>
      </c>
      <c r="W21" s="25" t="s">
        <v>240</v>
      </c>
      <c r="X21" s="25" t="s">
        <v>133</v>
      </c>
      <c r="Y21" s="25" t="s">
        <v>134</v>
      </c>
      <c r="Z21" s="33"/>
      <c r="AA21" s="34" t="str">
        <f aca="true">IF($T21="","",IF($T21&lt;TODAY(),"已过期 "&amp;TEXT(TODAY()-$T21,"0")&amp;" 天",IF($T21-TODAY()&lt;=年检提醒天,"还剩 "&amp;TEXT($T21-TODAY(),"0")&amp;" 天","")))</f>
        <v>还剩 27 天</v>
      </c>
      <c r="AB21" s="34" t="str">
        <f aca="true">IF(COUNT($U21:$V21)=0,"",IF(MIN($U21:$V21)&lt;TODAY(),"已过期 "&amp;TEXT(TODAY()-MIN($U21:$V21),"0")&amp;" 天",IF(MIN($U21:$V21)-TODAY()&lt;=年检提醒天,"还剩 "&amp;TEXT(MIN($U21:$V21)-TODAY(),"0")&amp;" 天","")))</f>
        <v/>
      </c>
      <c r="AC21" s="34" t="str">
        <f aca="true">IF($C21="","",IF(OR($Y21="安装免保",$Y21="技术免保",$Y21="质保期内"),IF($Z21="","▲免保没填到期日",IF($Z21&lt;TODAY(),"▲免保已到期 该转收费了",IF($Z21-TODAY()&lt;=合同提醒天,"免保还剩 "&amp;TEXT($Z21-TODAY(),"0")&amp;" 天","免保中"))),IF($Y21="暂停维保","暂停中 不计费",IF($Y21="已解约","已解约",IF(COUNTIF(合同键,$E21)=0,"▲还没建合同行","")))))</f>
        <v/>
      </c>
      <c r="AD21" s="24"/>
      <c r="AE21" s="35" t="str">
        <f aca="false">IF($C21="","",IF($D21="","★项目名称没填",IF(N($P21)&lt;=0,"★台量要填",IF(AND(OR($Y21="安装免保",$Y21="技术免保",$Y21="质保期内"),$Z21=""),"★免保到期日没填",IF(COUNTIF(合同键,$E21)=0,"★还没建合同行","OK")))))</f>
        <v>OK</v>
      </c>
    </row>
    <row r="22" customFormat="false" ht="26.85" hidden="false" customHeight="false" outlineLevel="0" collapsed="false">
      <c r="A22" s="29" t="n">
        <f aca="false">IF($C22="","",ROW()-4)</f>
        <v>18</v>
      </c>
      <c r="B22" s="25" t="s">
        <v>188</v>
      </c>
      <c r="C22" s="24" t="s">
        <v>345</v>
      </c>
      <c r="D22" s="24" t="s">
        <v>346</v>
      </c>
      <c r="E22" s="30" t="str">
        <f aca="false">IF($C22="","",$C22&amp;" ｜ "&amp;$D22)</f>
        <v>河南光谷义神新材料孵化器有限公司 ｜ 永和云居</v>
      </c>
      <c r="F22" s="31" t="s">
        <v>347</v>
      </c>
      <c r="G22" s="31" t="s">
        <v>353</v>
      </c>
      <c r="H22" s="25" t="s">
        <v>354</v>
      </c>
      <c r="I22" s="25" t="s">
        <v>350</v>
      </c>
      <c r="J22" s="25" t="s">
        <v>132</v>
      </c>
      <c r="K22" s="21" t="n">
        <v>16</v>
      </c>
      <c r="L22" s="21" t="n">
        <v>16</v>
      </c>
      <c r="M22" s="21" t="n">
        <v>16</v>
      </c>
      <c r="N22" s="31" t="s">
        <v>342</v>
      </c>
      <c r="O22" s="31" t="s">
        <v>291</v>
      </c>
      <c r="P22" s="32" t="n">
        <v>1</v>
      </c>
      <c r="Q22" s="31" t="s">
        <v>355</v>
      </c>
      <c r="R22" s="31" t="s">
        <v>356</v>
      </c>
      <c r="S22" s="33" t="n">
        <v>43800</v>
      </c>
      <c r="T22" s="33" t="n">
        <v>46381</v>
      </c>
      <c r="U22" s="33" t="n">
        <v>46392</v>
      </c>
      <c r="V22" s="33" t="n">
        <v>46784</v>
      </c>
      <c r="W22" s="25" t="s">
        <v>240</v>
      </c>
      <c r="X22" s="25" t="s">
        <v>133</v>
      </c>
      <c r="Y22" s="25" t="s">
        <v>134</v>
      </c>
      <c r="Z22" s="33"/>
      <c r="AA22" s="34" t="str">
        <f aca="true">IF($T22="","",IF($T22&lt;TODAY(),"已过期 "&amp;TEXT(TODAY()-$T22,"0")&amp;" 天",IF($T22-TODAY()&lt;=年检提醒天,"还剩 "&amp;TEXT($T22-TODAY(),"0")&amp;" 天","")))</f>
        <v/>
      </c>
      <c r="AB22" s="34" t="str">
        <f aca="true">IF(COUNT($U22:$V22)=0,"",IF(MIN($U22:$V22)&lt;TODAY(),"已过期 "&amp;TEXT(TODAY()-MIN($U22:$V22),"0")&amp;" 天",IF(MIN($U22:$V22)-TODAY()&lt;=年检提醒天,"还剩 "&amp;TEXT(MIN($U22:$V22)-TODAY(),"0")&amp;" 天","")))</f>
        <v/>
      </c>
      <c r="AC22" s="34" t="str">
        <f aca="true">IF($C22="","",IF(OR($Y22="安装免保",$Y22="技术免保",$Y22="质保期内"),IF($Z22="","▲免保没填到期日",IF($Z22&lt;TODAY(),"▲免保已到期 该转收费了",IF($Z22-TODAY()&lt;=合同提醒天,"免保还剩 "&amp;TEXT($Z22-TODAY(),"0")&amp;" 天","免保中"))),IF($Y22="暂停维保","暂停中 不计费",IF($Y22="已解约","已解约",IF(COUNTIF(合同键,$E22)=0,"▲还没建合同行","")))))</f>
        <v/>
      </c>
      <c r="AD22" s="24"/>
      <c r="AE22" s="35" t="str">
        <f aca="false">IF($C22="","",IF($D22="","★项目名称没填",IF(N($P22)&lt;=0,"★台量要填",IF(AND(OR($Y22="安装免保",$Y22="技术免保",$Y22="质保期内"),$Z22=""),"★免保到期日没填",IF(COUNTIF(合同键,$E22)=0,"★还没建合同行","OK")))))</f>
        <v>OK</v>
      </c>
    </row>
    <row r="23" customFormat="false" ht="26.85" hidden="false" customHeight="false" outlineLevel="0" collapsed="false">
      <c r="A23" s="29" t="n">
        <f aca="false">IF($C23="","",ROW()-4)</f>
        <v>19</v>
      </c>
      <c r="B23" s="25" t="s">
        <v>188</v>
      </c>
      <c r="C23" s="24" t="s">
        <v>345</v>
      </c>
      <c r="D23" s="24" t="s">
        <v>346</v>
      </c>
      <c r="E23" s="30" t="str">
        <f aca="false">IF($C23="","",$C23&amp;" ｜ "&amp;$D23)</f>
        <v>河南光谷义神新材料孵化器有限公司 ｜ 永和云居</v>
      </c>
      <c r="F23" s="31" t="s">
        <v>347</v>
      </c>
      <c r="G23" s="31" t="s">
        <v>357</v>
      </c>
      <c r="H23" s="25" t="s">
        <v>358</v>
      </c>
      <c r="I23" s="25" t="s">
        <v>350</v>
      </c>
      <c r="J23" s="25" t="s">
        <v>132</v>
      </c>
      <c r="K23" s="21" t="n">
        <v>14</v>
      </c>
      <c r="L23" s="21" t="n">
        <v>14</v>
      </c>
      <c r="M23" s="21" t="n">
        <v>14</v>
      </c>
      <c r="N23" s="31" t="s">
        <v>342</v>
      </c>
      <c r="O23" s="31" t="s">
        <v>291</v>
      </c>
      <c r="P23" s="32" t="n">
        <v>1</v>
      </c>
      <c r="Q23" s="31" t="s">
        <v>359</v>
      </c>
      <c r="R23" s="31" t="s">
        <v>360</v>
      </c>
      <c r="S23" s="33" t="n">
        <v>43800</v>
      </c>
      <c r="T23" s="33" t="n">
        <v>46381</v>
      </c>
      <c r="U23" s="33" t="n">
        <v>46392</v>
      </c>
      <c r="V23" s="33" t="n">
        <v>46784</v>
      </c>
      <c r="W23" s="25" t="s">
        <v>240</v>
      </c>
      <c r="X23" s="25" t="s">
        <v>133</v>
      </c>
      <c r="Y23" s="25" t="s">
        <v>134</v>
      </c>
      <c r="Z23" s="33"/>
      <c r="AA23" s="34" t="str">
        <f aca="true">IF($T23="","",IF($T23&lt;TODAY(),"已过期 "&amp;TEXT(TODAY()-$T23,"0")&amp;" 天",IF($T23-TODAY()&lt;=年检提醒天,"还剩 "&amp;TEXT($T23-TODAY(),"0")&amp;" 天","")))</f>
        <v/>
      </c>
      <c r="AB23" s="34" t="str">
        <f aca="true">IF(COUNT($U23:$V23)=0,"",IF(MIN($U23:$V23)&lt;TODAY(),"已过期 "&amp;TEXT(TODAY()-MIN($U23:$V23),"0")&amp;" 天",IF(MIN($U23:$V23)-TODAY()&lt;=年检提醒天,"还剩 "&amp;TEXT(MIN($U23:$V23)-TODAY(),"0")&amp;" 天","")))</f>
        <v/>
      </c>
      <c r="AC23" s="34" t="str">
        <f aca="true">IF($C23="","",IF(OR($Y23="安装免保",$Y23="技术免保",$Y23="质保期内"),IF($Z23="","▲免保没填到期日",IF($Z23&lt;TODAY(),"▲免保已到期 该转收费了",IF($Z23-TODAY()&lt;=合同提醒天,"免保还剩 "&amp;TEXT($Z23-TODAY(),"0")&amp;" 天","免保中"))),IF($Y23="暂停维保","暂停中 不计费",IF($Y23="已解约","已解约",IF(COUNTIF(合同键,$E23)=0,"▲还没建合同行","")))))</f>
        <v/>
      </c>
      <c r="AD23" s="24"/>
      <c r="AE23" s="35" t="str">
        <f aca="false">IF($C23="","",IF($D23="","★项目名称没填",IF(N($P23)&lt;=0,"★台量要填",IF(AND(OR($Y23="安装免保",$Y23="技术免保",$Y23="质保期内"),$Z23=""),"★免保到期日没填",IF(COUNTIF(合同键,$E23)=0,"★还没建合同行","OK")))))</f>
        <v>OK</v>
      </c>
    </row>
    <row r="24" customFormat="false" ht="26.85" hidden="false" customHeight="false" outlineLevel="0" collapsed="false">
      <c r="A24" s="29" t="n">
        <f aca="false">IF($C24="","",ROW()-4)</f>
        <v>20</v>
      </c>
      <c r="B24" s="25" t="s">
        <v>188</v>
      </c>
      <c r="C24" s="24" t="s">
        <v>345</v>
      </c>
      <c r="D24" s="24" t="s">
        <v>346</v>
      </c>
      <c r="E24" s="30" t="str">
        <f aca="false">IF($C24="","",$C24&amp;" ｜ "&amp;$D24)</f>
        <v>河南光谷义神新材料孵化器有限公司 ｜ 永和云居</v>
      </c>
      <c r="F24" s="31" t="s">
        <v>347</v>
      </c>
      <c r="G24" s="31" t="s">
        <v>361</v>
      </c>
      <c r="H24" s="25" t="s">
        <v>362</v>
      </c>
      <c r="I24" s="25" t="s">
        <v>350</v>
      </c>
      <c r="J24" s="25" t="s">
        <v>132</v>
      </c>
      <c r="K24" s="21" t="n">
        <v>14</v>
      </c>
      <c r="L24" s="21" t="n">
        <v>14</v>
      </c>
      <c r="M24" s="21" t="n">
        <v>14</v>
      </c>
      <c r="N24" s="31" t="s">
        <v>342</v>
      </c>
      <c r="O24" s="31" t="s">
        <v>291</v>
      </c>
      <c r="P24" s="32" t="n">
        <v>1</v>
      </c>
      <c r="Q24" s="31" t="s">
        <v>363</v>
      </c>
      <c r="R24" s="31" t="s">
        <v>364</v>
      </c>
      <c r="S24" s="33" t="n">
        <v>43800</v>
      </c>
      <c r="T24" s="33" t="n">
        <v>46381</v>
      </c>
      <c r="U24" s="33" t="n">
        <v>46392</v>
      </c>
      <c r="V24" s="33" t="n">
        <v>46784</v>
      </c>
      <c r="W24" s="25" t="s">
        <v>240</v>
      </c>
      <c r="X24" s="25" t="s">
        <v>133</v>
      </c>
      <c r="Y24" s="25" t="s">
        <v>134</v>
      </c>
      <c r="Z24" s="33"/>
      <c r="AA24" s="34" t="str">
        <f aca="true">IF($T24="","",IF($T24&lt;TODAY(),"已过期 "&amp;TEXT(TODAY()-$T24,"0")&amp;" 天",IF($T24-TODAY()&lt;=年检提醒天,"还剩 "&amp;TEXT($T24-TODAY(),"0")&amp;" 天","")))</f>
        <v/>
      </c>
      <c r="AB24" s="34" t="str">
        <f aca="true">IF(COUNT($U24:$V24)=0,"",IF(MIN($U24:$V24)&lt;TODAY(),"已过期 "&amp;TEXT(TODAY()-MIN($U24:$V24),"0")&amp;" 天",IF(MIN($U24:$V24)-TODAY()&lt;=年检提醒天,"还剩 "&amp;TEXT(MIN($U24:$V24)-TODAY(),"0")&amp;" 天","")))</f>
        <v/>
      </c>
      <c r="AC24" s="34" t="str">
        <f aca="true">IF($C24="","",IF(OR($Y24="安装免保",$Y24="技术免保",$Y24="质保期内"),IF($Z24="","▲免保没填到期日",IF($Z24&lt;TODAY(),"▲免保已到期 该转收费了",IF($Z24-TODAY()&lt;=合同提醒天,"免保还剩 "&amp;TEXT($Z24-TODAY(),"0")&amp;" 天","免保中"))),IF($Y24="暂停维保","暂停中 不计费",IF($Y24="已解约","已解约",IF(COUNTIF(合同键,$E24)=0,"▲还没建合同行","")))))</f>
        <v/>
      </c>
      <c r="AD24" s="24"/>
      <c r="AE24" s="35" t="str">
        <f aca="false">IF($C24="","",IF($D24="","★项目名称没填",IF(N($P24)&lt;=0,"★台量要填",IF(AND(OR($Y24="安装免保",$Y24="技术免保",$Y24="质保期内"),$Z24=""),"★免保到期日没填",IF(COUNTIF(合同键,$E24)=0,"★还没建合同行","OK")))))</f>
        <v>OK</v>
      </c>
    </row>
    <row r="25" customFormat="false" ht="26.85" hidden="false" customHeight="false" outlineLevel="0" collapsed="false">
      <c r="A25" s="29" t="n">
        <f aca="false">IF($C25="","",ROW()-4)</f>
        <v>21</v>
      </c>
      <c r="B25" s="25" t="s">
        <v>188</v>
      </c>
      <c r="C25" s="24" t="s">
        <v>345</v>
      </c>
      <c r="D25" s="24" t="s">
        <v>346</v>
      </c>
      <c r="E25" s="30" t="str">
        <f aca="false">IF($C25="","",$C25&amp;" ｜ "&amp;$D25)</f>
        <v>河南光谷义神新材料孵化器有限公司 ｜ 永和云居</v>
      </c>
      <c r="F25" s="31" t="s">
        <v>347</v>
      </c>
      <c r="G25" s="31" t="s">
        <v>365</v>
      </c>
      <c r="H25" s="25" t="s">
        <v>366</v>
      </c>
      <c r="I25" s="25" t="s">
        <v>350</v>
      </c>
      <c r="J25" s="25" t="s">
        <v>132</v>
      </c>
      <c r="K25" s="21" t="n">
        <v>13</v>
      </c>
      <c r="L25" s="21" t="n">
        <v>13</v>
      </c>
      <c r="M25" s="21" t="n">
        <v>13</v>
      </c>
      <c r="N25" s="31" t="s">
        <v>342</v>
      </c>
      <c r="O25" s="31" t="s">
        <v>291</v>
      </c>
      <c r="P25" s="32" t="n">
        <v>1</v>
      </c>
      <c r="Q25" s="31" t="s">
        <v>367</v>
      </c>
      <c r="R25" s="31" t="s">
        <v>368</v>
      </c>
      <c r="S25" s="33" t="n">
        <v>43800</v>
      </c>
      <c r="T25" s="33" t="n">
        <v>46428</v>
      </c>
      <c r="U25" s="33" t="n">
        <v>46392</v>
      </c>
      <c r="V25" s="33" t="n">
        <v>46784</v>
      </c>
      <c r="W25" s="25" t="s">
        <v>240</v>
      </c>
      <c r="X25" s="25" t="s">
        <v>133</v>
      </c>
      <c r="Y25" s="25" t="s">
        <v>134</v>
      </c>
      <c r="Z25" s="33"/>
      <c r="AA25" s="34" t="str">
        <f aca="true">IF($T25="","",IF($T25&lt;TODAY(),"已过期 "&amp;TEXT(TODAY()-$T25,"0")&amp;" 天",IF($T25-TODAY()&lt;=年检提醒天,"还剩 "&amp;TEXT($T25-TODAY(),"0")&amp;" 天","")))</f>
        <v/>
      </c>
      <c r="AB25" s="34" t="str">
        <f aca="true">IF(COUNT($U25:$V25)=0,"",IF(MIN($U25:$V25)&lt;TODAY(),"已过期 "&amp;TEXT(TODAY()-MIN($U25:$V25),"0")&amp;" 天",IF(MIN($U25:$V25)-TODAY()&lt;=年检提醒天,"还剩 "&amp;TEXT(MIN($U25:$V25)-TODAY(),"0")&amp;" 天","")))</f>
        <v/>
      </c>
      <c r="AC25" s="34" t="str">
        <f aca="true">IF($C25="","",IF(OR($Y25="安装免保",$Y25="技术免保",$Y25="质保期内"),IF($Z25="","▲免保没填到期日",IF($Z25&lt;TODAY(),"▲免保已到期 该转收费了",IF($Z25-TODAY()&lt;=合同提醒天,"免保还剩 "&amp;TEXT($Z25-TODAY(),"0")&amp;" 天","免保中"))),IF($Y25="暂停维保","暂停中 不计费",IF($Y25="已解约","已解约",IF(COUNTIF(合同键,$E25)=0,"▲还没建合同行","")))))</f>
        <v/>
      </c>
      <c r="AD25" s="24"/>
      <c r="AE25" s="35" t="str">
        <f aca="false">IF($C25="","",IF($D25="","★项目名称没填",IF(N($P25)&lt;=0,"★台量要填",IF(AND(OR($Y25="安装免保",$Y25="技术免保",$Y25="质保期内"),$Z25=""),"★免保到期日没填",IF(COUNTIF(合同键,$E25)=0,"★还没建合同行","OK")))))</f>
        <v>OK</v>
      </c>
    </row>
    <row r="26" customFormat="false" ht="26.85" hidden="false" customHeight="false" outlineLevel="0" collapsed="false">
      <c r="A26" s="29" t="n">
        <f aca="false">IF($C26="","",ROW()-4)</f>
        <v>22</v>
      </c>
      <c r="B26" s="25" t="s">
        <v>188</v>
      </c>
      <c r="C26" s="24" t="s">
        <v>345</v>
      </c>
      <c r="D26" s="24" t="s">
        <v>346</v>
      </c>
      <c r="E26" s="30" t="str">
        <f aca="false">IF($C26="","",$C26&amp;" ｜ "&amp;$D26)</f>
        <v>河南光谷义神新材料孵化器有限公司 ｜ 永和云居</v>
      </c>
      <c r="F26" s="31" t="s">
        <v>347</v>
      </c>
      <c r="G26" s="31" t="s">
        <v>369</v>
      </c>
      <c r="H26" s="25" t="s">
        <v>370</v>
      </c>
      <c r="I26" s="25" t="s">
        <v>350</v>
      </c>
      <c r="J26" s="25" t="s">
        <v>132</v>
      </c>
      <c r="K26" s="21" t="n">
        <v>13</v>
      </c>
      <c r="L26" s="21" t="n">
        <v>13</v>
      </c>
      <c r="M26" s="21" t="n">
        <v>13</v>
      </c>
      <c r="N26" s="31" t="s">
        <v>342</v>
      </c>
      <c r="O26" s="31" t="s">
        <v>291</v>
      </c>
      <c r="P26" s="32" t="n">
        <v>1</v>
      </c>
      <c r="Q26" s="31" t="s">
        <v>371</v>
      </c>
      <c r="R26" s="31" t="s">
        <v>372</v>
      </c>
      <c r="S26" s="33" t="n">
        <v>43800</v>
      </c>
      <c r="T26" s="33" t="n">
        <v>46428</v>
      </c>
      <c r="U26" s="33" t="n">
        <v>46392</v>
      </c>
      <c r="V26" s="33" t="n">
        <v>46784</v>
      </c>
      <c r="W26" s="25" t="s">
        <v>240</v>
      </c>
      <c r="X26" s="25" t="s">
        <v>133</v>
      </c>
      <c r="Y26" s="25" t="s">
        <v>154</v>
      </c>
      <c r="Z26" s="33" t="n">
        <v>46295</v>
      </c>
      <c r="AA26" s="34" t="str">
        <f aca="true">IF($T26="","",IF($T26&lt;TODAY(),"已过期 "&amp;TEXT(TODAY()-$T26,"0")&amp;" 天",IF($T26-TODAY()&lt;=年检提醒天,"还剩 "&amp;TEXT($T26-TODAY(),"0")&amp;" 天","")))</f>
        <v/>
      </c>
      <c r="AB26" s="34" t="str">
        <f aca="true">IF(COUNT($U26:$V26)=0,"",IF(MIN($U26:$V26)&lt;TODAY(),"已过期 "&amp;TEXT(TODAY()-MIN($U26:$V26),"0")&amp;" 天",IF(MIN($U26:$V26)-TODAY()&lt;=年检提醒天,"还剩 "&amp;TEXT(MIN($U26:$V26)-TODAY(),"0")&amp;" 天","")))</f>
        <v/>
      </c>
      <c r="AC26" s="34" t="str">
        <f aca="true">IF($C26="","",IF(OR($Y26="安装免保",$Y26="技术免保",$Y26="质保期内"),IF($Z26="","▲免保没填到期日",IF($Z26&lt;TODAY(),"▲免保已到期 该转收费了",IF($Z26-TODAY()&lt;=合同提醒天,"免保还剩 "&amp;TEXT($Z26-TODAY(),"0")&amp;" 天","免保中"))),IF($Y26="暂停维保","暂停中 不计费",IF($Y26="已解约","已解约",IF(COUNTIF(合同键,$E26)=0,"▲还没建合同行","")))))</f>
        <v>免保还剩 9 天</v>
      </c>
      <c r="AD26" s="24" t="s">
        <v>373</v>
      </c>
      <c r="AE26" s="35" t="str">
        <f aca="false">IF($C26="","",IF($D26="","★项目名称没填",IF(N($P26)&lt;=0,"★台量要填",IF(AND(OR($Y26="安装免保",$Y26="技术免保",$Y26="质保期内"),$Z26=""),"★免保到期日没填",IF(COUNTIF(合同键,$E26)=0,"★还没建合同行","OK")))))</f>
        <v>OK</v>
      </c>
    </row>
    <row r="27" customFormat="false" ht="15" hidden="false" customHeight="false" outlineLevel="0" collapsed="false">
      <c r="A27" s="29" t="str">
        <f aca="false">IF($C27="","",ROW()-4)</f>
        <v/>
      </c>
      <c r="B27" s="25"/>
      <c r="C27" s="24"/>
      <c r="D27" s="24"/>
      <c r="E27" s="30" t="str">
        <f aca="false">IF($C27="","",$C27&amp;" ｜ "&amp;$D27)</f>
        <v/>
      </c>
      <c r="F27" s="25"/>
      <c r="G27" s="25"/>
      <c r="H27" s="25"/>
      <c r="I27" s="25"/>
      <c r="J27" s="25"/>
      <c r="K27" s="21"/>
      <c r="L27" s="21"/>
      <c r="M27" s="21"/>
      <c r="N27" s="25"/>
      <c r="O27" s="25"/>
      <c r="P27" s="32"/>
      <c r="Q27" s="25"/>
      <c r="R27" s="25"/>
      <c r="S27" s="33"/>
      <c r="T27" s="33"/>
      <c r="U27" s="33"/>
      <c r="V27" s="33"/>
      <c r="W27" s="25"/>
      <c r="X27" s="25"/>
      <c r="Y27" s="25"/>
      <c r="Z27" s="33"/>
      <c r="AA27" s="34" t="str">
        <f aca="true">IF($T27="","",IF($T27&lt;TODAY(),"已过期 "&amp;TEXT(TODAY()-$T27,"0")&amp;" 天",IF($T27-TODAY()&lt;=年检提醒天,"还剩 "&amp;TEXT($T27-TODAY(),"0")&amp;" 天","")))</f>
        <v/>
      </c>
      <c r="AB27" s="34" t="str">
        <f aca="true">IF(COUNT($U27:$V27)=0,"",IF(MIN($U27:$V27)&lt;TODAY(),"已过期 "&amp;TEXT(TODAY()-MIN($U27:$V27),"0")&amp;" 天",IF(MIN($U27:$V27)-TODAY()&lt;=年检提醒天,"还剩 "&amp;TEXT(MIN($U27:$V27)-TODAY(),"0")&amp;" 天","")))</f>
        <v/>
      </c>
      <c r="AC27" s="34" t="str">
        <f aca="true">IF($C27="","",IF(OR($Y27="安装免保",$Y27="技术免保",$Y27="质保期内"),IF($Z27="","▲免保没填到期日",IF($Z27&lt;TODAY(),"▲免保已到期 该转收费了",IF($Z27-TODAY()&lt;=合同提醒天,"免保还剩 "&amp;TEXT($Z27-TODAY(),"0")&amp;" 天","免保中"))),IF($Y27="暂停维保","暂停中 不计费",IF($Y27="已解约","已解约",IF(COUNTIF(合同键,$E27)=0,"▲还没建合同行","")))))</f>
        <v/>
      </c>
      <c r="AD27" s="24"/>
      <c r="AE27" s="35" t="str">
        <f aca="false">IF($C27="","",IF($D27="","★项目名称没填",IF(N($P27)&lt;=0,"★台量要填",IF(AND(OR($Y27="安装免保",$Y27="技术免保",$Y27="质保期内"),$Z27=""),"★免保到期日没填",IF(COUNTIF(合同键,$E27)=0,"★还没建合同行","OK")))))</f>
        <v/>
      </c>
    </row>
    <row r="28" customFormat="false" ht="15" hidden="false" customHeight="false" outlineLevel="0" collapsed="false">
      <c r="A28" s="29" t="str">
        <f aca="false">IF($C28="","",ROW()-4)</f>
        <v/>
      </c>
      <c r="B28" s="25"/>
      <c r="C28" s="24"/>
      <c r="D28" s="24"/>
      <c r="E28" s="30" t="str">
        <f aca="false">IF($C28="","",$C28&amp;" ｜ "&amp;$D28)</f>
        <v/>
      </c>
      <c r="F28" s="25"/>
      <c r="G28" s="25"/>
      <c r="H28" s="25"/>
      <c r="I28" s="25"/>
      <c r="J28" s="25"/>
      <c r="K28" s="21"/>
      <c r="L28" s="21"/>
      <c r="M28" s="21"/>
      <c r="N28" s="25"/>
      <c r="O28" s="25"/>
      <c r="P28" s="32"/>
      <c r="Q28" s="25"/>
      <c r="R28" s="25"/>
      <c r="S28" s="33"/>
      <c r="T28" s="33"/>
      <c r="U28" s="33"/>
      <c r="V28" s="33"/>
      <c r="W28" s="25"/>
      <c r="X28" s="25"/>
      <c r="Y28" s="25"/>
      <c r="Z28" s="33"/>
      <c r="AA28" s="34" t="str">
        <f aca="true">IF($T28="","",IF($T28&lt;TODAY(),"已过期 "&amp;TEXT(TODAY()-$T28,"0")&amp;" 天",IF($T28-TODAY()&lt;=年检提醒天,"还剩 "&amp;TEXT($T28-TODAY(),"0")&amp;" 天","")))</f>
        <v/>
      </c>
      <c r="AB28" s="34" t="str">
        <f aca="true">IF(COUNT($U28:$V28)=0,"",IF(MIN($U28:$V28)&lt;TODAY(),"已过期 "&amp;TEXT(TODAY()-MIN($U28:$V28),"0")&amp;" 天",IF(MIN($U28:$V28)-TODAY()&lt;=年检提醒天,"还剩 "&amp;TEXT(MIN($U28:$V28)-TODAY(),"0")&amp;" 天","")))</f>
        <v/>
      </c>
      <c r="AC28" s="34" t="str">
        <f aca="true">IF($C28="","",IF(OR($Y28="安装免保",$Y28="技术免保",$Y28="质保期内"),IF($Z28="","▲免保没填到期日",IF($Z28&lt;TODAY(),"▲免保已到期 该转收费了",IF($Z28-TODAY()&lt;=合同提醒天,"免保还剩 "&amp;TEXT($Z28-TODAY(),"0")&amp;" 天","免保中"))),IF($Y28="暂停维保","暂停中 不计费",IF($Y28="已解约","已解约",IF(COUNTIF(合同键,$E28)=0,"▲还没建合同行","")))))</f>
        <v/>
      </c>
      <c r="AD28" s="24"/>
      <c r="AE28" s="35" t="str">
        <f aca="false">IF($C28="","",IF($D28="","★项目名称没填",IF(N($P28)&lt;=0,"★台量要填",IF(AND(OR($Y28="安装免保",$Y28="技术免保",$Y28="质保期内"),$Z28=""),"★免保到期日没填",IF(COUNTIF(合同键,$E28)=0,"★还没建合同行","OK")))))</f>
        <v/>
      </c>
    </row>
    <row r="29" customFormat="false" ht="15" hidden="false" customHeight="false" outlineLevel="0" collapsed="false">
      <c r="A29" s="29" t="str">
        <f aca="false">IF($C29="","",ROW()-4)</f>
        <v/>
      </c>
      <c r="B29" s="25"/>
      <c r="C29" s="24"/>
      <c r="D29" s="24"/>
      <c r="E29" s="30" t="str">
        <f aca="false">IF($C29="","",$C29&amp;" ｜ "&amp;$D29)</f>
        <v/>
      </c>
      <c r="F29" s="25"/>
      <c r="G29" s="25"/>
      <c r="H29" s="25"/>
      <c r="I29" s="25"/>
      <c r="J29" s="25"/>
      <c r="K29" s="21"/>
      <c r="L29" s="21"/>
      <c r="M29" s="21"/>
      <c r="N29" s="25"/>
      <c r="O29" s="25"/>
      <c r="P29" s="32"/>
      <c r="Q29" s="25"/>
      <c r="R29" s="25"/>
      <c r="S29" s="33"/>
      <c r="T29" s="33"/>
      <c r="U29" s="33"/>
      <c r="V29" s="33"/>
      <c r="W29" s="25"/>
      <c r="X29" s="25"/>
      <c r="Y29" s="25"/>
      <c r="Z29" s="33"/>
      <c r="AA29" s="34" t="str">
        <f aca="true">IF($T29="","",IF($T29&lt;TODAY(),"已过期 "&amp;TEXT(TODAY()-$T29,"0")&amp;" 天",IF($T29-TODAY()&lt;=年检提醒天,"还剩 "&amp;TEXT($T29-TODAY(),"0")&amp;" 天","")))</f>
        <v/>
      </c>
      <c r="AB29" s="34" t="str">
        <f aca="true">IF(COUNT($U29:$V29)=0,"",IF(MIN($U29:$V29)&lt;TODAY(),"已过期 "&amp;TEXT(TODAY()-MIN($U29:$V29),"0")&amp;" 天",IF(MIN($U29:$V29)-TODAY()&lt;=年检提醒天,"还剩 "&amp;TEXT(MIN($U29:$V29)-TODAY(),"0")&amp;" 天","")))</f>
        <v/>
      </c>
      <c r="AC29" s="34" t="str">
        <f aca="true">IF($C29="","",IF(OR($Y29="安装免保",$Y29="技术免保",$Y29="质保期内"),IF($Z29="","▲免保没填到期日",IF($Z29&lt;TODAY(),"▲免保已到期 该转收费了",IF($Z29-TODAY()&lt;=合同提醒天,"免保还剩 "&amp;TEXT($Z29-TODAY(),"0")&amp;" 天","免保中"))),IF($Y29="暂停维保","暂停中 不计费",IF($Y29="已解约","已解约",IF(COUNTIF(合同键,$E29)=0,"▲还没建合同行","")))))</f>
        <v/>
      </c>
      <c r="AD29" s="24"/>
      <c r="AE29" s="35" t="str">
        <f aca="false">IF($C29="","",IF($D29="","★项目名称没填",IF(N($P29)&lt;=0,"★台量要填",IF(AND(OR($Y29="安装免保",$Y29="技术免保",$Y29="质保期内"),$Z29=""),"★免保到期日没填",IF(COUNTIF(合同键,$E29)=0,"★还没建合同行","OK")))))</f>
        <v/>
      </c>
    </row>
    <row r="30" customFormat="false" ht="15" hidden="false" customHeight="false" outlineLevel="0" collapsed="false">
      <c r="A30" s="29" t="str">
        <f aca="false">IF($C30="","",ROW()-4)</f>
        <v/>
      </c>
      <c r="B30" s="25"/>
      <c r="C30" s="24"/>
      <c r="D30" s="24"/>
      <c r="E30" s="30" t="str">
        <f aca="false">IF($C30="","",$C30&amp;" ｜ "&amp;$D30)</f>
        <v/>
      </c>
      <c r="F30" s="25"/>
      <c r="G30" s="25"/>
      <c r="H30" s="25"/>
      <c r="I30" s="25"/>
      <c r="J30" s="25"/>
      <c r="K30" s="21"/>
      <c r="L30" s="21"/>
      <c r="M30" s="21"/>
      <c r="N30" s="25"/>
      <c r="O30" s="25"/>
      <c r="P30" s="32"/>
      <c r="Q30" s="25"/>
      <c r="R30" s="25"/>
      <c r="S30" s="33"/>
      <c r="T30" s="33"/>
      <c r="U30" s="33"/>
      <c r="V30" s="33"/>
      <c r="W30" s="25"/>
      <c r="X30" s="25"/>
      <c r="Y30" s="25"/>
      <c r="Z30" s="33"/>
      <c r="AA30" s="34" t="str">
        <f aca="true">IF($T30="","",IF($T30&lt;TODAY(),"已过期 "&amp;TEXT(TODAY()-$T30,"0")&amp;" 天",IF($T30-TODAY()&lt;=年检提醒天,"还剩 "&amp;TEXT($T30-TODAY(),"0")&amp;" 天","")))</f>
        <v/>
      </c>
      <c r="AB30" s="34" t="str">
        <f aca="true">IF(COUNT($U30:$V30)=0,"",IF(MIN($U30:$V30)&lt;TODAY(),"已过期 "&amp;TEXT(TODAY()-MIN($U30:$V30),"0")&amp;" 天",IF(MIN($U30:$V30)-TODAY()&lt;=年检提醒天,"还剩 "&amp;TEXT(MIN($U30:$V30)-TODAY(),"0")&amp;" 天","")))</f>
        <v/>
      </c>
      <c r="AC30" s="34" t="str">
        <f aca="true">IF($C30="","",IF(OR($Y30="安装免保",$Y30="技术免保",$Y30="质保期内"),IF($Z30="","▲免保没填到期日",IF($Z30&lt;TODAY(),"▲免保已到期 该转收费了",IF($Z30-TODAY()&lt;=合同提醒天,"免保还剩 "&amp;TEXT($Z30-TODAY(),"0")&amp;" 天","免保中"))),IF($Y30="暂停维保","暂停中 不计费",IF($Y30="已解约","已解约",IF(COUNTIF(合同键,$E30)=0,"▲还没建合同行","")))))</f>
        <v/>
      </c>
      <c r="AD30" s="24"/>
      <c r="AE30" s="35" t="str">
        <f aca="false">IF($C30="","",IF($D30="","★项目名称没填",IF(N($P30)&lt;=0,"★台量要填",IF(AND(OR($Y30="安装免保",$Y30="技术免保",$Y30="质保期内"),$Z30=""),"★免保到期日没填",IF(COUNTIF(合同键,$E30)=0,"★还没建合同行","OK")))))</f>
        <v/>
      </c>
    </row>
    <row r="31" customFormat="false" ht="15" hidden="false" customHeight="false" outlineLevel="0" collapsed="false">
      <c r="A31" s="29" t="str">
        <f aca="false">IF($C31="","",ROW()-4)</f>
        <v/>
      </c>
      <c r="B31" s="25"/>
      <c r="C31" s="24"/>
      <c r="D31" s="24"/>
      <c r="E31" s="30" t="str">
        <f aca="false">IF($C31="","",$C31&amp;" ｜ "&amp;$D31)</f>
        <v/>
      </c>
      <c r="F31" s="25"/>
      <c r="G31" s="25"/>
      <c r="H31" s="25"/>
      <c r="I31" s="25"/>
      <c r="J31" s="25"/>
      <c r="K31" s="21"/>
      <c r="L31" s="21"/>
      <c r="M31" s="21"/>
      <c r="N31" s="25"/>
      <c r="O31" s="25"/>
      <c r="P31" s="32"/>
      <c r="Q31" s="25"/>
      <c r="R31" s="25"/>
      <c r="S31" s="33"/>
      <c r="T31" s="33"/>
      <c r="U31" s="33"/>
      <c r="V31" s="33"/>
      <c r="W31" s="25"/>
      <c r="X31" s="25"/>
      <c r="Y31" s="25"/>
      <c r="Z31" s="33"/>
      <c r="AA31" s="34" t="str">
        <f aca="true">IF($T31="","",IF($T31&lt;TODAY(),"已过期 "&amp;TEXT(TODAY()-$T31,"0")&amp;" 天",IF($T31-TODAY()&lt;=年检提醒天,"还剩 "&amp;TEXT($T31-TODAY(),"0")&amp;" 天","")))</f>
        <v/>
      </c>
      <c r="AB31" s="34" t="str">
        <f aca="true">IF(COUNT($U31:$V31)=0,"",IF(MIN($U31:$V31)&lt;TODAY(),"已过期 "&amp;TEXT(TODAY()-MIN($U31:$V31),"0")&amp;" 天",IF(MIN($U31:$V31)-TODAY()&lt;=年检提醒天,"还剩 "&amp;TEXT(MIN($U31:$V31)-TODAY(),"0")&amp;" 天","")))</f>
        <v/>
      </c>
      <c r="AC31" s="34" t="str">
        <f aca="true">IF($C31="","",IF(OR($Y31="安装免保",$Y31="技术免保",$Y31="质保期内"),IF($Z31="","▲免保没填到期日",IF($Z31&lt;TODAY(),"▲免保已到期 该转收费了",IF($Z31-TODAY()&lt;=合同提醒天,"免保还剩 "&amp;TEXT($Z31-TODAY(),"0")&amp;" 天","免保中"))),IF($Y31="暂停维保","暂停中 不计费",IF($Y31="已解约","已解约",IF(COUNTIF(合同键,$E31)=0,"▲还没建合同行","")))))</f>
        <v/>
      </c>
      <c r="AD31" s="24"/>
      <c r="AE31" s="35" t="str">
        <f aca="false">IF($C31="","",IF($D31="","★项目名称没填",IF(N($P31)&lt;=0,"★台量要填",IF(AND(OR($Y31="安装免保",$Y31="技术免保",$Y31="质保期内"),$Z31=""),"★免保到期日没填",IF(COUNTIF(合同键,$E31)=0,"★还没建合同行","OK")))))</f>
        <v/>
      </c>
    </row>
    <row r="32" customFormat="false" ht="15" hidden="false" customHeight="false" outlineLevel="0" collapsed="false">
      <c r="A32" s="29" t="str">
        <f aca="false">IF($C32="","",ROW()-4)</f>
        <v/>
      </c>
      <c r="B32" s="25"/>
      <c r="C32" s="24"/>
      <c r="D32" s="24"/>
      <c r="E32" s="30" t="str">
        <f aca="false">IF($C32="","",$C32&amp;" ｜ "&amp;$D32)</f>
        <v/>
      </c>
      <c r="F32" s="25"/>
      <c r="G32" s="25"/>
      <c r="H32" s="25"/>
      <c r="I32" s="25"/>
      <c r="J32" s="25"/>
      <c r="K32" s="21"/>
      <c r="L32" s="21"/>
      <c r="M32" s="21"/>
      <c r="N32" s="25"/>
      <c r="O32" s="25"/>
      <c r="P32" s="32"/>
      <c r="Q32" s="25"/>
      <c r="R32" s="25"/>
      <c r="S32" s="33"/>
      <c r="T32" s="33"/>
      <c r="U32" s="33"/>
      <c r="V32" s="33"/>
      <c r="W32" s="25"/>
      <c r="X32" s="25"/>
      <c r="Y32" s="25"/>
      <c r="Z32" s="33"/>
      <c r="AA32" s="34" t="str">
        <f aca="true">IF($T32="","",IF($T32&lt;TODAY(),"已过期 "&amp;TEXT(TODAY()-$T32,"0")&amp;" 天",IF($T32-TODAY()&lt;=年检提醒天,"还剩 "&amp;TEXT($T32-TODAY(),"0")&amp;" 天","")))</f>
        <v/>
      </c>
      <c r="AB32" s="34" t="str">
        <f aca="true">IF(COUNT($U32:$V32)=0,"",IF(MIN($U32:$V32)&lt;TODAY(),"已过期 "&amp;TEXT(TODAY()-MIN($U32:$V32),"0")&amp;" 天",IF(MIN($U32:$V32)-TODAY()&lt;=年检提醒天,"还剩 "&amp;TEXT(MIN($U32:$V32)-TODAY(),"0")&amp;" 天","")))</f>
        <v/>
      </c>
      <c r="AC32" s="34" t="str">
        <f aca="true">IF($C32="","",IF(OR($Y32="安装免保",$Y32="技术免保",$Y32="质保期内"),IF($Z32="","▲免保没填到期日",IF($Z32&lt;TODAY(),"▲免保已到期 该转收费了",IF($Z32-TODAY()&lt;=合同提醒天,"免保还剩 "&amp;TEXT($Z32-TODAY(),"0")&amp;" 天","免保中"))),IF($Y32="暂停维保","暂停中 不计费",IF($Y32="已解约","已解约",IF(COUNTIF(合同键,$E32)=0,"▲还没建合同行","")))))</f>
        <v/>
      </c>
      <c r="AD32" s="24"/>
      <c r="AE32" s="35" t="str">
        <f aca="false">IF($C32="","",IF($D32="","★项目名称没填",IF(N($P32)&lt;=0,"★台量要填",IF(AND(OR($Y32="安装免保",$Y32="技术免保",$Y32="质保期内"),$Z32=""),"★免保到期日没填",IF(COUNTIF(合同键,$E32)=0,"★还没建合同行","OK")))))</f>
        <v/>
      </c>
    </row>
    <row r="33" customFormat="false" ht="15" hidden="false" customHeight="false" outlineLevel="0" collapsed="false">
      <c r="A33" s="29" t="str">
        <f aca="false">IF($C33="","",ROW()-4)</f>
        <v/>
      </c>
      <c r="B33" s="25"/>
      <c r="C33" s="24"/>
      <c r="D33" s="24"/>
      <c r="E33" s="30" t="str">
        <f aca="false">IF($C33="","",$C33&amp;" ｜ "&amp;$D33)</f>
        <v/>
      </c>
      <c r="F33" s="25"/>
      <c r="G33" s="25"/>
      <c r="H33" s="25"/>
      <c r="I33" s="25"/>
      <c r="J33" s="25"/>
      <c r="K33" s="21"/>
      <c r="L33" s="21"/>
      <c r="M33" s="21"/>
      <c r="N33" s="25"/>
      <c r="O33" s="25"/>
      <c r="P33" s="32"/>
      <c r="Q33" s="25"/>
      <c r="R33" s="25"/>
      <c r="S33" s="33"/>
      <c r="T33" s="33"/>
      <c r="U33" s="33"/>
      <c r="V33" s="33"/>
      <c r="W33" s="25"/>
      <c r="X33" s="25"/>
      <c r="Y33" s="25"/>
      <c r="Z33" s="33"/>
      <c r="AA33" s="34" t="str">
        <f aca="true">IF($T33="","",IF($T33&lt;TODAY(),"已过期 "&amp;TEXT(TODAY()-$T33,"0")&amp;" 天",IF($T33-TODAY()&lt;=年检提醒天,"还剩 "&amp;TEXT($T33-TODAY(),"0")&amp;" 天","")))</f>
        <v/>
      </c>
      <c r="AB33" s="34" t="str">
        <f aca="true">IF(COUNT($U33:$V33)=0,"",IF(MIN($U33:$V33)&lt;TODAY(),"已过期 "&amp;TEXT(TODAY()-MIN($U33:$V33),"0")&amp;" 天",IF(MIN($U33:$V33)-TODAY()&lt;=年检提醒天,"还剩 "&amp;TEXT(MIN($U33:$V33)-TODAY(),"0")&amp;" 天","")))</f>
        <v/>
      </c>
      <c r="AC33" s="34" t="str">
        <f aca="true">IF($C33="","",IF(OR($Y33="安装免保",$Y33="技术免保",$Y33="质保期内"),IF($Z33="","▲免保没填到期日",IF($Z33&lt;TODAY(),"▲免保已到期 该转收费了",IF($Z33-TODAY()&lt;=合同提醒天,"免保还剩 "&amp;TEXT($Z33-TODAY(),"0")&amp;" 天","免保中"))),IF($Y33="暂停维保","暂停中 不计费",IF($Y33="已解约","已解约",IF(COUNTIF(合同键,$E33)=0,"▲还没建合同行","")))))</f>
        <v/>
      </c>
      <c r="AD33" s="24"/>
      <c r="AE33" s="35" t="str">
        <f aca="false">IF($C33="","",IF($D33="","★项目名称没填",IF(N($P33)&lt;=0,"★台量要填",IF(AND(OR($Y33="安装免保",$Y33="技术免保",$Y33="质保期内"),$Z33=""),"★免保到期日没填",IF(COUNTIF(合同键,$E33)=0,"★还没建合同行","OK")))))</f>
        <v/>
      </c>
    </row>
    <row r="34" customFormat="false" ht="15" hidden="false" customHeight="false" outlineLevel="0" collapsed="false">
      <c r="A34" s="29" t="str">
        <f aca="false">IF($C34="","",ROW()-4)</f>
        <v/>
      </c>
      <c r="B34" s="25"/>
      <c r="C34" s="24"/>
      <c r="D34" s="24"/>
      <c r="E34" s="30" t="str">
        <f aca="false">IF($C34="","",$C34&amp;" ｜ "&amp;$D34)</f>
        <v/>
      </c>
      <c r="F34" s="25"/>
      <c r="G34" s="25"/>
      <c r="H34" s="25"/>
      <c r="I34" s="25"/>
      <c r="J34" s="25"/>
      <c r="K34" s="21"/>
      <c r="L34" s="21"/>
      <c r="M34" s="21"/>
      <c r="N34" s="25"/>
      <c r="O34" s="25"/>
      <c r="P34" s="32"/>
      <c r="Q34" s="25"/>
      <c r="R34" s="25"/>
      <c r="S34" s="33"/>
      <c r="T34" s="33"/>
      <c r="U34" s="33"/>
      <c r="V34" s="33"/>
      <c r="W34" s="25"/>
      <c r="X34" s="25"/>
      <c r="Y34" s="25"/>
      <c r="Z34" s="33"/>
      <c r="AA34" s="34" t="str">
        <f aca="true">IF($T34="","",IF($T34&lt;TODAY(),"已过期 "&amp;TEXT(TODAY()-$T34,"0")&amp;" 天",IF($T34-TODAY()&lt;=年检提醒天,"还剩 "&amp;TEXT($T34-TODAY(),"0")&amp;" 天","")))</f>
        <v/>
      </c>
      <c r="AB34" s="34" t="str">
        <f aca="true">IF(COUNT($U34:$V34)=0,"",IF(MIN($U34:$V34)&lt;TODAY(),"已过期 "&amp;TEXT(TODAY()-MIN($U34:$V34),"0")&amp;" 天",IF(MIN($U34:$V34)-TODAY()&lt;=年检提醒天,"还剩 "&amp;TEXT(MIN($U34:$V34)-TODAY(),"0")&amp;" 天","")))</f>
        <v/>
      </c>
      <c r="AC34" s="34" t="str">
        <f aca="true">IF($C34="","",IF(OR($Y34="安装免保",$Y34="技术免保",$Y34="质保期内"),IF($Z34="","▲免保没填到期日",IF($Z34&lt;TODAY(),"▲免保已到期 该转收费了",IF($Z34-TODAY()&lt;=合同提醒天,"免保还剩 "&amp;TEXT($Z34-TODAY(),"0")&amp;" 天","免保中"))),IF($Y34="暂停维保","暂停中 不计费",IF($Y34="已解约","已解约",IF(COUNTIF(合同键,$E34)=0,"▲还没建合同行","")))))</f>
        <v/>
      </c>
      <c r="AD34" s="24"/>
      <c r="AE34" s="35" t="str">
        <f aca="false">IF($C34="","",IF($D34="","★项目名称没填",IF(N($P34)&lt;=0,"★台量要填",IF(AND(OR($Y34="安装免保",$Y34="技术免保",$Y34="质保期内"),$Z34=""),"★免保到期日没填",IF(COUNTIF(合同键,$E34)=0,"★还没建合同行","OK")))))</f>
        <v/>
      </c>
    </row>
    <row r="35" customFormat="false" ht="15" hidden="false" customHeight="false" outlineLevel="0" collapsed="false">
      <c r="A35" s="29" t="str">
        <f aca="false">IF($C35="","",ROW()-4)</f>
        <v/>
      </c>
      <c r="B35" s="25"/>
      <c r="C35" s="24"/>
      <c r="D35" s="24"/>
      <c r="E35" s="30" t="str">
        <f aca="false">IF($C35="","",$C35&amp;" ｜ "&amp;$D35)</f>
        <v/>
      </c>
      <c r="F35" s="25"/>
      <c r="G35" s="25"/>
      <c r="H35" s="25"/>
      <c r="I35" s="25"/>
      <c r="J35" s="25"/>
      <c r="K35" s="21"/>
      <c r="L35" s="21"/>
      <c r="M35" s="21"/>
      <c r="N35" s="25"/>
      <c r="O35" s="25"/>
      <c r="P35" s="32"/>
      <c r="Q35" s="25"/>
      <c r="R35" s="25"/>
      <c r="S35" s="33"/>
      <c r="T35" s="33"/>
      <c r="U35" s="33"/>
      <c r="V35" s="33"/>
      <c r="W35" s="25"/>
      <c r="X35" s="25"/>
      <c r="Y35" s="25"/>
      <c r="Z35" s="33"/>
      <c r="AA35" s="34" t="str">
        <f aca="true">IF($T35="","",IF($T35&lt;TODAY(),"已过期 "&amp;TEXT(TODAY()-$T35,"0")&amp;" 天",IF($T35-TODAY()&lt;=年检提醒天,"还剩 "&amp;TEXT($T35-TODAY(),"0")&amp;" 天","")))</f>
        <v/>
      </c>
      <c r="AB35" s="34" t="str">
        <f aca="true">IF(COUNT($U35:$V35)=0,"",IF(MIN($U35:$V35)&lt;TODAY(),"已过期 "&amp;TEXT(TODAY()-MIN($U35:$V35),"0")&amp;" 天",IF(MIN($U35:$V35)-TODAY()&lt;=年检提醒天,"还剩 "&amp;TEXT(MIN($U35:$V35)-TODAY(),"0")&amp;" 天","")))</f>
        <v/>
      </c>
      <c r="AC35" s="34" t="str">
        <f aca="true">IF($C35="","",IF(OR($Y35="安装免保",$Y35="技术免保",$Y35="质保期内"),IF($Z35="","▲免保没填到期日",IF($Z35&lt;TODAY(),"▲免保已到期 该转收费了",IF($Z35-TODAY()&lt;=合同提醒天,"免保还剩 "&amp;TEXT($Z35-TODAY(),"0")&amp;" 天","免保中"))),IF($Y35="暂停维保","暂停中 不计费",IF($Y35="已解约","已解约",IF(COUNTIF(合同键,$E35)=0,"▲还没建合同行","")))))</f>
        <v/>
      </c>
      <c r="AD35" s="24"/>
      <c r="AE35" s="35" t="str">
        <f aca="false">IF($C35="","",IF($D35="","★项目名称没填",IF(N($P35)&lt;=0,"★台量要填",IF(AND(OR($Y35="安装免保",$Y35="技术免保",$Y35="质保期内"),$Z35=""),"★免保到期日没填",IF(COUNTIF(合同键,$E35)=0,"★还没建合同行","OK")))))</f>
        <v/>
      </c>
    </row>
    <row r="36" customFormat="false" ht="15" hidden="false" customHeight="false" outlineLevel="0" collapsed="false">
      <c r="A36" s="29" t="str">
        <f aca="false">IF($C36="","",ROW()-4)</f>
        <v/>
      </c>
      <c r="B36" s="25"/>
      <c r="C36" s="24"/>
      <c r="D36" s="24"/>
      <c r="E36" s="30" t="str">
        <f aca="false">IF($C36="","",$C36&amp;" ｜ "&amp;$D36)</f>
        <v/>
      </c>
      <c r="F36" s="25"/>
      <c r="G36" s="25"/>
      <c r="H36" s="25"/>
      <c r="I36" s="25"/>
      <c r="J36" s="25"/>
      <c r="K36" s="21"/>
      <c r="L36" s="21"/>
      <c r="M36" s="21"/>
      <c r="N36" s="25"/>
      <c r="O36" s="25"/>
      <c r="P36" s="32"/>
      <c r="Q36" s="25"/>
      <c r="R36" s="25"/>
      <c r="S36" s="33"/>
      <c r="T36" s="33"/>
      <c r="U36" s="33"/>
      <c r="V36" s="33"/>
      <c r="W36" s="25"/>
      <c r="X36" s="25"/>
      <c r="Y36" s="25"/>
      <c r="Z36" s="33"/>
      <c r="AA36" s="34" t="str">
        <f aca="true">IF($T36="","",IF($T36&lt;TODAY(),"已过期 "&amp;TEXT(TODAY()-$T36,"0")&amp;" 天",IF($T36-TODAY()&lt;=年检提醒天,"还剩 "&amp;TEXT($T36-TODAY(),"0")&amp;" 天","")))</f>
        <v/>
      </c>
      <c r="AB36" s="34" t="str">
        <f aca="true">IF(COUNT($U36:$V36)=0,"",IF(MIN($U36:$V36)&lt;TODAY(),"已过期 "&amp;TEXT(TODAY()-MIN($U36:$V36),"0")&amp;" 天",IF(MIN($U36:$V36)-TODAY()&lt;=年检提醒天,"还剩 "&amp;TEXT(MIN($U36:$V36)-TODAY(),"0")&amp;" 天","")))</f>
        <v/>
      </c>
      <c r="AC36" s="34" t="str">
        <f aca="true">IF($C36="","",IF(OR($Y36="安装免保",$Y36="技术免保",$Y36="质保期内"),IF($Z36="","▲免保没填到期日",IF($Z36&lt;TODAY(),"▲免保已到期 该转收费了",IF($Z36-TODAY()&lt;=合同提醒天,"免保还剩 "&amp;TEXT($Z36-TODAY(),"0")&amp;" 天","免保中"))),IF($Y36="暂停维保","暂停中 不计费",IF($Y36="已解约","已解约",IF(COUNTIF(合同键,$E36)=0,"▲还没建合同行","")))))</f>
        <v/>
      </c>
      <c r="AD36" s="24"/>
      <c r="AE36" s="35" t="str">
        <f aca="false">IF($C36="","",IF($D36="","★项目名称没填",IF(N($P36)&lt;=0,"★台量要填",IF(AND(OR($Y36="安装免保",$Y36="技术免保",$Y36="质保期内"),$Z36=""),"★免保到期日没填",IF(COUNTIF(合同键,$E36)=0,"★还没建合同行","OK")))))</f>
        <v/>
      </c>
    </row>
    <row r="37" customFormat="false" ht="15" hidden="false" customHeight="false" outlineLevel="0" collapsed="false">
      <c r="A37" s="29" t="str">
        <f aca="false">IF($C37="","",ROW()-4)</f>
        <v/>
      </c>
      <c r="B37" s="25"/>
      <c r="C37" s="24"/>
      <c r="D37" s="24"/>
      <c r="E37" s="30" t="str">
        <f aca="false">IF($C37="","",$C37&amp;" ｜ "&amp;$D37)</f>
        <v/>
      </c>
      <c r="F37" s="25"/>
      <c r="G37" s="25"/>
      <c r="H37" s="25"/>
      <c r="I37" s="25"/>
      <c r="J37" s="25"/>
      <c r="K37" s="21"/>
      <c r="L37" s="21"/>
      <c r="M37" s="21"/>
      <c r="N37" s="25"/>
      <c r="O37" s="25"/>
      <c r="P37" s="32"/>
      <c r="Q37" s="25"/>
      <c r="R37" s="25"/>
      <c r="S37" s="33"/>
      <c r="T37" s="33"/>
      <c r="U37" s="33"/>
      <c r="V37" s="33"/>
      <c r="W37" s="25"/>
      <c r="X37" s="25"/>
      <c r="Y37" s="25"/>
      <c r="Z37" s="33"/>
      <c r="AA37" s="34" t="str">
        <f aca="true">IF($T37="","",IF($T37&lt;TODAY(),"已过期 "&amp;TEXT(TODAY()-$T37,"0")&amp;" 天",IF($T37-TODAY()&lt;=年检提醒天,"还剩 "&amp;TEXT($T37-TODAY(),"0")&amp;" 天","")))</f>
        <v/>
      </c>
      <c r="AB37" s="34" t="str">
        <f aca="true">IF(COUNT($U37:$V37)=0,"",IF(MIN($U37:$V37)&lt;TODAY(),"已过期 "&amp;TEXT(TODAY()-MIN($U37:$V37),"0")&amp;" 天",IF(MIN($U37:$V37)-TODAY()&lt;=年检提醒天,"还剩 "&amp;TEXT(MIN($U37:$V37)-TODAY(),"0")&amp;" 天","")))</f>
        <v/>
      </c>
      <c r="AC37" s="34" t="str">
        <f aca="true">IF($C37="","",IF(OR($Y37="安装免保",$Y37="技术免保",$Y37="质保期内"),IF($Z37="","▲免保没填到期日",IF($Z37&lt;TODAY(),"▲免保已到期 该转收费了",IF($Z37-TODAY()&lt;=合同提醒天,"免保还剩 "&amp;TEXT($Z37-TODAY(),"0")&amp;" 天","免保中"))),IF($Y37="暂停维保","暂停中 不计费",IF($Y37="已解约","已解约",IF(COUNTIF(合同键,$E37)=0,"▲还没建合同行","")))))</f>
        <v/>
      </c>
      <c r="AD37" s="24"/>
      <c r="AE37" s="35" t="str">
        <f aca="false">IF($C37="","",IF($D37="","★项目名称没填",IF(N($P37)&lt;=0,"★台量要填",IF(AND(OR($Y37="安装免保",$Y37="技术免保",$Y37="质保期内"),$Z37=""),"★免保到期日没填",IF(COUNTIF(合同键,$E37)=0,"★还没建合同行","OK")))))</f>
        <v/>
      </c>
    </row>
    <row r="38" customFormat="false" ht="15" hidden="false" customHeight="false" outlineLevel="0" collapsed="false">
      <c r="A38" s="29" t="str">
        <f aca="false">IF($C38="","",ROW()-4)</f>
        <v/>
      </c>
      <c r="B38" s="25"/>
      <c r="C38" s="24"/>
      <c r="D38" s="24"/>
      <c r="E38" s="30" t="str">
        <f aca="false">IF($C38="","",$C38&amp;" ｜ "&amp;$D38)</f>
        <v/>
      </c>
      <c r="F38" s="25"/>
      <c r="G38" s="25"/>
      <c r="H38" s="25"/>
      <c r="I38" s="25"/>
      <c r="J38" s="25"/>
      <c r="K38" s="21"/>
      <c r="L38" s="21"/>
      <c r="M38" s="21"/>
      <c r="N38" s="25"/>
      <c r="O38" s="25"/>
      <c r="P38" s="32"/>
      <c r="Q38" s="25"/>
      <c r="R38" s="25"/>
      <c r="S38" s="33"/>
      <c r="T38" s="33"/>
      <c r="U38" s="33"/>
      <c r="V38" s="33"/>
      <c r="W38" s="25"/>
      <c r="X38" s="25"/>
      <c r="Y38" s="25"/>
      <c r="Z38" s="33"/>
      <c r="AA38" s="34" t="str">
        <f aca="true">IF($T38="","",IF($T38&lt;TODAY(),"已过期 "&amp;TEXT(TODAY()-$T38,"0")&amp;" 天",IF($T38-TODAY()&lt;=年检提醒天,"还剩 "&amp;TEXT($T38-TODAY(),"0")&amp;" 天","")))</f>
        <v/>
      </c>
      <c r="AB38" s="34" t="str">
        <f aca="true">IF(COUNT($U38:$V38)=0,"",IF(MIN($U38:$V38)&lt;TODAY(),"已过期 "&amp;TEXT(TODAY()-MIN($U38:$V38),"0")&amp;" 天",IF(MIN($U38:$V38)-TODAY()&lt;=年检提醒天,"还剩 "&amp;TEXT(MIN($U38:$V38)-TODAY(),"0")&amp;" 天","")))</f>
        <v/>
      </c>
      <c r="AC38" s="34" t="str">
        <f aca="true">IF($C38="","",IF(OR($Y38="安装免保",$Y38="技术免保",$Y38="质保期内"),IF($Z38="","▲免保没填到期日",IF($Z38&lt;TODAY(),"▲免保已到期 该转收费了",IF($Z38-TODAY()&lt;=合同提醒天,"免保还剩 "&amp;TEXT($Z38-TODAY(),"0")&amp;" 天","免保中"))),IF($Y38="暂停维保","暂停中 不计费",IF($Y38="已解约","已解约",IF(COUNTIF(合同键,$E38)=0,"▲还没建合同行","")))))</f>
        <v/>
      </c>
      <c r="AD38" s="24"/>
      <c r="AE38" s="35" t="str">
        <f aca="false">IF($C38="","",IF($D38="","★项目名称没填",IF(N($P38)&lt;=0,"★台量要填",IF(AND(OR($Y38="安装免保",$Y38="技术免保",$Y38="质保期内"),$Z38=""),"★免保到期日没填",IF(COUNTIF(合同键,$E38)=0,"★还没建合同行","OK")))))</f>
        <v/>
      </c>
    </row>
    <row r="39" customFormat="false" ht="15" hidden="false" customHeight="false" outlineLevel="0" collapsed="false">
      <c r="A39" s="29" t="str">
        <f aca="false">IF($C39="","",ROW()-4)</f>
        <v/>
      </c>
      <c r="B39" s="25"/>
      <c r="C39" s="24"/>
      <c r="D39" s="24"/>
      <c r="E39" s="30" t="str">
        <f aca="false">IF($C39="","",$C39&amp;" ｜ "&amp;$D39)</f>
        <v/>
      </c>
      <c r="F39" s="25"/>
      <c r="G39" s="25"/>
      <c r="H39" s="25"/>
      <c r="I39" s="25"/>
      <c r="J39" s="25"/>
      <c r="K39" s="21"/>
      <c r="L39" s="21"/>
      <c r="M39" s="21"/>
      <c r="N39" s="25"/>
      <c r="O39" s="25"/>
      <c r="P39" s="32"/>
      <c r="Q39" s="25"/>
      <c r="R39" s="25"/>
      <c r="S39" s="33"/>
      <c r="T39" s="33"/>
      <c r="U39" s="33"/>
      <c r="V39" s="33"/>
      <c r="W39" s="25"/>
      <c r="X39" s="25"/>
      <c r="Y39" s="25"/>
      <c r="Z39" s="33"/>
      <c r="AA39" s="34" t="str">
        <f aca="true">IF($T39="","",IF($T39&lt;TODAY(),"已过期 "&amp;TEXT(TODAY()-$T39,"0")&amp;" 天",IF($T39-TODAY()&lt;=年检提醒天,"还剩 "&amp;TEXT($T39-TODAY(),"0")&amp;" 天","")))</f>
        <v/>
      </c>
      <c r="AB39" s="34" t="str">
        <f aca="true">IF(COUNT($U39:$V39)=0,"",IF(MIN($U39:$V39)&lt;TODAY(),"已过期 "&amp;TEXT(TODAY()-MIN($U39:$V39),"0")&amp;" 天",IF(MIN($U39:$V39)-TODAY()&lt;=年检提醒天,"还剩 "&amp;TEXT(MIN($U39:$V39)-TODAY(),"0")&amp;" 天","")))</f>
        <v/>
      </c>
      <c r="AC39" s="34" t="str">
        <f aca="true">IF($C39="","",IF(OR($Y39="安装免保",$Y39="技术免保",$Y39="质保期内"),IF($Z39="","▲免保没填到期日",IF($Z39&lt;TODAY(),"▲免保已到期 该转收费了",IF($Z39-TODAY()&lt;=合同提醒天,"免保还剩 "&amp;TEXT($Z39-TODAY(),"0")&amp;" 天","免保中"))),IF($Y39="暂停维保","暂停中 不计费",IF($Y39="已解约","已解约",IF(COUNTIF(合同键,$E39)=0,"▲还没建合同行","")))))</f>
        <v/>
      </c>
      <c r="AD39" s="24"/>
      <c r="AE39" s="35" t="str">
        <f aca="false">IF($C39="","",IF($D39="","★项目名称没填",IF(N($P39)&lt;=0,"★台量要填",IF(AND(OR($Y39="安装免保",$Y39="技术免保",$Y39="质保期内"),$Z39=""),"★免保到期日没填",IF(COUNTIF(合同键,$E39)=0,"★还没建合同行","OK")))))</f>
        <v/>
      </c>
    </row>
    <row r="40" customFormat="false" ht="15" hidden="false" customHeight="false" outlineLevel="0" collapsed="false">
      <c r="A40" s="29" t="str">
        <f aca="false">IF($C40="","",ROW()-4)</f>
        <v/>
      </c>
      <c r="B40" s="25"/>
      <c r="C40" s="24"/>
      <c r="D40" s="24"/>
      <c r="E40" s="30" t="str">
        <f aca="false">IF($C40="","",$C40&amp;" ｜ "&amp;$D40)</f>
        <v/>
      </c>
      <c r="F40" s="25"/>
      <c r="G40" s="25"/>
      <c r="H40" s="25"/>
      <c r="I40" s="25"/>
      <c r="J40" s="25"/>
      <c r="K40" s="21"/>
      <c r="L40" s="21"/>
      <c r="M40" s="21"/>
      <c r="N40" s="25"/>
      <c r="O40" s="25"/>
      <c r="P40" s="32"/>
      <c r="Q40" s="25"/>
      <c r="R40" s="25"/>
      <c r="S40" s="33"/>
      <c r="T40" s="33"/>
      <c r="U40" s="33"/>
      <c r="V40" s="33"/>
      <c r="W40" s="25"/>
      <c r="X40" s="25"/>
      <c r="Y40" s="25"/>
      <c r="Z40" s="33"/>
      <c r="AA40" s="34" t="str">
        <f aca="true">IF($T40="","",IF($T40&lt;TODAY(),"已过期 "&amp;TEXT(TODAY()-$T40,"0")&amp;" 天",IF($T40-TODAY()&lt;=年检提醒天,"还剩 "&amp;TEXT($T40-TODAY(),"0")&amp;" 天","")))</f>
        <v/>
      </c>
      <c r="AB40" s="34" t="str">
        <f aca="true">IF(COUNT($U40:$V40)=0,"",IF(MIN($U40:$V40)&lt;TODAY(),"已过期 "&amp;TEXT(TODAY()-MIN($U40:$V40),"0")&amp;" 天",IF(MIN($U40:$V40)-TODAY()&lt;=年检提醒天,"还剩 "&amp;TEXT(MIN($U40:$V40)-TODAY(),"0")&amp;" 天","")))</f>
        <v/>
      </c>
      <c r="AC40" s="34" t="str">
        <f aca="true">IF($C40="","",IF(OR($Y40="安装免保",$Y40="技术免保",$Y40="质保期内"),IF($Z40="","▲免保没填到期日",IF($Z40&lt;TODAY(),"▲免保已到期 该转收费了",IF($Z40-TODAY()&lt;=合同提醒天,"免保还剩 "&amp;TEXT($Z40-TODAY(),"0")&amp;" 天","免保中"))),IF($Y40="暂停维保","暂停中 不计费",IF($Y40="已解约","已解约",IF(COUNTIF(合同键,$E40)=0,"▲还没建合同行","")))))</f>
        <v/>
      </c>
      <c r="AD40" s="24"/>
      <c r="AE40" s="35" t="str">
        <f aca="false">IF($C40="","",IF($D40="","★项目名称没填",IF(N($P40)&lt;=0,"★台量要填",IF(AND(OR($Y40="安装免保",$Y40="技术免保",$Y40="质保期内"),$Z40=""),"★免保到期日没填",IF(COUNTIF(合同键,$E40)=0,"★还没建合同行","OK")))))</f>
        <v/>
      </c>
    </row>
    <row r="41" customFormat="false" ht="15" hidden="false" customHeight="false" outlineLevel="0" collapsed="false">
      <c r="A41" s="29" t="str">
        <f aca="false">IF($C41="","",ROW()-4)</f>
        <v/>
      </c>
      <c r="B41" s="25"/>
      <c r="C41" s="24"/>
      <c r="D41" s="24"/>
      <c r="E41" s="30" t="str">
        <f aca="false">IF($C41="","",$C41&amp;" ｜ "&amp;$D41)</f>
        <v/>
      </c>
      <c r="F41" s="25"/>
      <c r="G41" s="25"/>
      <c r="H41" s="25"/>
      <c r="I41" s="25"/>
      <c r="J41" s="25"/>
      <c r="K41" s="21"/>
      <c r="L41" s="21"/>
      <c r="M41" s="21"/>
      <c r="N41" s="25"/>
      <c r="O41" s="25"/>
      <c r="P41" s="32"/>
      <c r="Q41" s="25"/>
      <c r="R41" s="25"/>
      <c r="S41" s="33"/>
      <c r="T41" s="33"/>
      <c r="U41" s="33"/>
      <c r="V41" s="33"/>
      <c r="W41" s="25"/>
      <c r="X41" s="25"/>
      <c r="Y41" s="25"/>
      <c r="Z41" s="33"/>
      <c r="AA41" s="34" t="str">
        <f aca="true">IF($T41="","",IF($T41&lt;TODAY(),"已过期 "&amp;TEXT(TODAY()-$T41,"0")&amp;" 天",IF($T41-TODAY()&lt;=年检提醒天,"还剩 "&amp;TEXT($T41-TODAY(),"0")&amp;" 天","")))</f>
        <v/>
      </c>
      <c r="AB41" s="34" t="str">
        <f aca="true">IF(COUNT($U41:$V41)=0,"",IF(MIN($U41:$V41)&lt;TODAY(),"已过期 "&amp;TEXT(TODAY()-MIN($U41:$V41),"0")&amp;" 天",IF(MIN($U41:$V41)-TODAY()&lt;=年检提醒天,"还剩 "&amp;TEXT(MIN($U41:$V41)-TODAY(),"0")&amp;" 天","")))</f>
        <v/>
      </c>
      <c r="AC41" s="34" t="str">
        <f aca="true">IF($C41="","",IF(OR($Y41="安装免保",$Y41="技术免保",$Y41="质保期内"),IF($Z41="","▲免保没填到期日",IF($Z41&lt;TODAY(),"▲免保已到期 该转收费了",IF($Z41-TODAY()&lt;=合同提醒天,"免保还剩 "&amp;TEXT($Z41-TODAY(),"0")&amp;" 天","免保中"))),IF($Y41="暂停维保","暂停中 不计费",IF($Y41="已解约","已解约",IF(COUNTIF(合同键,$E41)=0,"▲还没建合同行","")))))</f>
        <v/>
      </c>
      <c r="AD41" s="24"/>
      <c r="AE41" s="35" t="str">
        <f aca="false">IF($C41="","",IF($D41="","★项目名称没填",IF(N($P41)&lt;=0,"★台量要填",IF(AND(OR($Y41="安装免保",$Y41="技术免保",$Y41="质保期内"),$Z41=""),"★免保到期日没填",IF(COUNTIF(合同键,$E41)=0,"★还没建合同行","OK")))))</f>
        <v/>
      </c>
    </row>
    <row r="42" customFormat="false" ht="15" hidden="false" customHeight="false" outlineLevel="0" collapsed="false">
      <c r="A42" s="29" t="str">
        <f aca="false">IF($C42="","",ROW()-4)</f>
        <v/>
      </c>
      <c r="B42" s="25"/>
      <c r="C42" s="24"/>
      <c r="D42" s="24"/>
      <c r="E42" s="30" t="str">
        <f aca="false">IF($C42="","",$C42&amp;" ｜ "&amp;$D42)</f>
        <v/>
      </c>
      <c r="F42" s="25"/>
      <c r="G42" s="25"/>
      <c r="H42" s="25"/>
      <c r="I42" s="25"/>
      <c r="J42" s="25"/>
      <c r="K42" s="21"/>
      <c r="L42" s="21"/>
      <c r="M42" s="21"/>
      <c r="N42" s="25"/>
      <c r="O42" s="25"/>
      <c r="P42" s="32"/>
      <c r="Q42" s="25"/>
      <c r="R42" s="25"/>
      <c r="S42" s="33"/>
      <c r="T42" s="33"/>
      <c r="U42" s="33"/>
      <c r="V42" s="33"/>
      <c r="W42" s="25"/>
      <c r="X42" s="25"/>
      <c r="Y42" s="25"/>
      <c r="Z42" s="33"/>
      <c r="AA42" s="34" t="str">
        <f aca="true">IF($T42="","",IF($T42&lt;TODAY(),"已过期 "&amp;TEXT(TODAY()-$T42,"0")&amp;" 天",IF($T42-TODAY()&lt;=年检提醒天,"还剩 "&amp;TEXT($T42-TODAY(),"0")&amp;" 天","")))</f>
        <v/>
      </c>
      <c r="AB42" s="34" t="str">
        <f aca="true">IF(COUNT($U42:$V42)=0,"",IF(MIN($U42:$V42)&lt;TODAY(),"已过期 "&amp;TEXT(TODAY()-MIN($U42:$V42),"0")&amp;" 天",IF(MIN($U42:$V42)-TODAY()&lt;=年检提醒天,"还剩 "&amp;TEXT(MIN($U42:$V42)-TODAY(),"0")&amp;" 天","")))</f>
        <v/>
      </c>
      <c r="AC42" s="34" t="str">
        <f aca="true">IF($C42="","",IF(OR($Y42="安装免保",$Y42="技术免保",$Y42="质保期内"),IF($Z42="","▲免保没填到期日",IF($Z42&lt;TODAY(),"▲免保已到期 该转收费了",IF($Z42-TODAY()&lt;=合同提醒天,"免保还剩 "&amp;TEXT($Z42-TODAY(),"0")&amp;" 天","免保中"))),IF($Y42="暂停维保","暂停中 不计费",IF($Y42="已解约","已解约",IF(COUNTIF(合同键,$E42)=0,"▲还没建合同行","")))))</f>
        <v/>
      </c>
      <c r="AD42" s="24"/>
      <c r="AE42" s="35" t="str">
        <f aca="false">IF($C42="","",IF($D42="","★项目名称没填",IF(N($P42)&lt;=0,"★台量要填",IF(AND(OR($Y42="安装免保",$Y42="技术免保",$Y42="质保期内"),$Z42=""),"★免保到期日没填",IF(COUNTIF(合同键,$E42)=0,"★还没建合同行","OK")))))</f>
        <v/>
      </c>
    </row>
    <row r="43" customFormat="false" ht="15" hidden="false" customHeight="false" outlineLevel="0" collapsed="false">
      <c r="A43" s="29" t="str">
        <f aca="false">IF($C43="","",ROW()-4)</f>
        <v/>
      </c>
      <c r="B43" s="25"/>
      <c r="C43" s="24"/>
      <c r="D43" s="24"/>
      <c r="E43" s="30" t="str">
        <f aca="false">IF($C43="","",$C43&amp;" ｜ "&amp;$D43)</f>
        <v/>
      </c>
      <c r="F43" s="25"/>
      <c r="G43" s="25"/>
      <c r="H43" s="25"/>
      <c r="I43" s="25"/>
      <c r="J43" s="25"/>
      <c r="K43" s="21"/>
      <c r="L43" s="21"/>
      <c r="M43" s="21"/>
      <c r="N43" s="25"/>
      <c r="O43" s="25"/>
      <c r="P43" s="32"/>
      <c r="Q43" s="25"/>
      <c r="R43" s="25"/>
      <c r="S43" s="33"/>
      <c r="T43" s="33"/>
      <c r="U43" s="33"/>
      <c r="V43" s="33"/>
      <c r="W43" s="25"/>
      <c r="X43" s="25"/>
      <c r="Y43" s="25"/>
      <c r="Z43" s="33"/>
      <c r="AA43" s="34" t="str">
        <f aca="true">IF($T43="","",IF($T43&lt;TODAY(),"已过期 "&amp;TEXT(TODAY()-$T43,"0")&amp;" 天",IF($T43-TODAY()&lt;=年检提醒天,"还剩 "&amp;TEXT($T43-TODAY(),"0")&amp;" 天","")))</f>
        <v/>
      </c>
      <c r="AB43" s="34" t="str">
        <f aca="true">IF(COUNT($U43:$V43)=0,"",IF(MIN($U43:$V43)&lt;TODAY(),"已过期 "&amp;TEXT(TODAY()-MIN($U43:$V43),"0")&amp;" 天",IF(MIN($U43:$V43)-TODAY()&lt;=年检提醒天,"还剩 "&amp;TEXT(MIN($U43:$V43)-TODAY(),"0")&amp;" 天","")))</f>
        <v/>
      </c>
      <c r="AC43" s="34" t="str">
        <f aca="true">IF($C43="","",IF(OR($Y43="安装免保",$Y43="技术免保",$Y43="质保期内"),IF($Z43="","▲免保没填到期日",IF($Z43&lt;TODAY(),"▲免保已到期 该转收费了",IF($Z43-TODAY()&lt;=合同提醒天,"免保还剩 "&amp;TEXT($Z43-TODAY(),"0")&amp;" 天","免保中"))),IF($Y43="暂停维保","暂停中 不计费",IF($Y43="已解约","已解约",IF(COUNTIF(合同键,$E43)=0,"▲还没建合同行","")))))</f>
        <v/>
      </c>
      <c r="AD43" s="24"/>
      <c r="AE43" s="35" t="str">
        <f aca="false">IF($C43="","",IF($D43="","★项目名称没填",IF(N($P43)&lt;=0,"★台量要填",IF(AND(OR($Y43="安装免保",$Y43="技术免保",$Y43="质保期内"),$Z43=""),"★免保到期日没填",IF(COUNTIF(合同键,$E43)=0,"★还没建合同行","OK")))))</f>
        <v/>
      </c>
    </row>
    <row r="44" customFormat="false" ht="15" hidden="false" customHeight="false" outlineLevel="0" collapsed="false">
      <c r="A44" s="29" t="str">
        <f aca="false">IF($C44="","",ROW()-4)</f>
        <v/>
      </c>
      <c r="B44" s="25"/>
      <c r="C44" s="24"/>
      <c r="D44" s="24"/>
      <c r="E44" s="30" t="str">
        <f aca="false">IF($C44="","",$C44&amp;" ｜ "&amp;$D44)</f>
        <v/>
      </c>
      <c r="F44" s="25"/>
      <c r="G44" s="25"/>
      <c r="H44" s="25"/>
      <c r="I44" s="25"/>
      <c r="J44" s="25"/>
      <c r="K44" s="21"/>
      <c r="L44" s="21"/>
      <c r="M44" s="21"/>
      <c r="N44" s="25"/>
      <c r="O44" s="25"/>
      <c r="P44" s="32"/>
      <c r="Q44" s="25"/>
      <c r="R44" s="25"/>
      <c r="S44" s="33"/>
      <c r="T44" s="33"/>
      <c r="U44" s="33"/>
      <c r="V44" s="33"/>
      <c r="W44" s="25"/>
      <c r="X44" s="25"/>
      <c r="Y44" s="25"/>
      <c r="Z44" s="33"/>
      <c r="AA44" s="34" t="str">
        <f aca="true">IF($T44="","",IF($T44&lt;TODAY(),"已过期 "&amp;TEXT(TODAY()-$T44,"0")&amp;" 天",IF($T44-TODAY()&lt;=年检提醒天,"还剩 "&amp;TEXT($T44-TODAY(),"0")&amp;" 天","")))</f>
        <v/>
      </c>
      <c r="AB44" s="34" t="str">
        <f aca="true">IF(COUNT($U44:$V44)=0,"",IF(MIN($U44:$V44)&lt;TODAY(),"已过期 "&amp;TEXT(TODAY()-MIN($U44:$V44),"0")&amp;" 天",IF(MIN($U44:$V44)-TODAY()&lt;=年检提醒天,"还剩 "&amp;TEXT(MIN($U44:$V44)-TODAY(),"0")&amp;" 天","")))</f>
        <v/>
      </c>
      <c r="AC44" s="34" t="str">
        <f aca="true">IF($C44="","",IF(OR($Y44="安装免保",$Y44="技术免保",$Y44="质保期内"),IF($Z44="","▲免保没填到期日",IF($Z44&lt;TODAY(),"▲免保已到期 该转收费了",IF($Z44-TODAY()&lt;=合同提醒天,"免保还剩 "&amp;TEXT($Z44-TODAY(),"0")&amp;" 天","免保中"))),IF($Y44="暂停维保","暂停中 不计费",IF($Y44="已解约","已解约",IF(COUNTIF(合同键,$E44)=0,"▲还没建合同行","")))))</f>
        <v/>
      </c>
      <c r="AD44" s="24"/>
      <c r="AE44" s="35" t="str">
        <f aca="false">IF($C44="","",IF($D44="","★项目名称没填",IF(N($P44)&lt;=0,"★台量要填",IF(AND(OR($Y44="安装免保",$Y44="技术免保",$Y44="质保期内"),$Z44=""),"★免保到期日没填",IF(COUNTIF(合同键,$E44)=0,"★还没建合同行","OK")))))</f>
        <v/>
      </c>
    </row>
    <row r="45" customFormat="false" ht="15" hidden="false" customHeight="false" outlineLevel="0" collapsed="false">
      <c r="A45" s="29" t="str">
        <f aca="false">IF($C45="","",ROW()-4)</f>
        <v/>
      </c>
      <c r="B45" s="25"/>
      <c r="C45" s="24"/>
      <c r="D45" s="24"/>
      <c r="E45" s="30" t="str">
        <f aca="false">IF($C45="","",$C45&amp;" ｜ "&amp;$D45)</f>
        <v/>
      </c>
      <c r="F45" s="25"/>
      <c r="G45" s="25"/>
      <c r="H45" s="25"/>
      <c r="I45" s="25"/>
      <c r="J45" s="25"/>
      <c r="K45" s="21"/>
      <c r="L45" s="21"/>
      <c r="M45" s="21"/>
      <c r="N45" s="25"/>
      <c r="O45" s="25"/>
      <c r="P45" s="32"/>
      <c r="Q45" s="25"/>
      <c r="R45" s="25"/>
      <c r="S45" s="33"/>
      <c r="T45" s="33"/>
      <c r="U45" s="33"/>
      <c r="V45" s="33"/>
      <c r="W45" s="25"/>
      <c r="X45" s="25"/>
      <c r="Y45" s="25"/>
      <c r="Z45" s="33"/>
      <c r="AA45" s="34" t="str">
        <f aca="true">IF($T45="","",IF($T45&lt;TODAY(),"已过期 "&amp;TEXT(TODAY()-$T45,"0")&amp;" 天",IF($T45-TODAY()&lt;=年检提醒天,"还剩 "&amp;TEXT($T45-TODAY(),"0")&amp;" 天","")))</f>
        <v/>
      </c>
      <c r="AB45" s="34" t="str">
        <f aca="true">IF(COUNT($U45:$V45)=0,"",IF(MIN($U45:$V45)&lt;TODAY(),"已过期 "&amp;TEXT(TODAY()-MIN($U45:$V45),"0")&amp;" 天",IF(MIN($U45:$V45)-TODAY()&lt;=年检提醒天,"还剩 "&amp;TEXT(MIN($U45:$V45)-TODAY(),"0")&amp;" 天","")))</f>
        <v/>
      </c>
      <c r="AC45" s="34" t="str">
        <f aca="true">IF($C45="","",IF(OR($Y45="安装免保",$Y45="技术免保",$Y45="质保期内"),IF($Z45="","▲免保没填到期日",IF($Z45&lt;TODAY(),"▲免保已到期 该转收费了",IF($Z45-TODAY()&lt;=合同提醒天,"免保还剩 "&amp;TEXT($Z45-TODAY(),"0")&amp;" 天","免保中"))),IF($Y45="暂停维保","暂停中 不计费",IF($Y45="已解约","已解约",IF(COUNTIF(合同键,$E45)=0,"▲还没建合同行","")))))</f>
        <v/>
      </c>
      <c r="AD45" s="24"/>
      <c r="AE45" s="35" t="str">
        <f aca="false">IF($C45="","",IF($D45="","★项目名称没填",IF(N($P45)&lt;=0,"★台量要填",IF(AND(OR($Y45="安装免保",$Y45="技术免保",$Y45="质保期内"),$Z45=""),"★免保到期日没填",IF(COUNTIF(合同键,$E45)=0,"★还没建合同行","OK")))))</f>
        <v/>
      </c>
    </row>
    <row r="46" customFormat="false" ht="15" hidden="false" customHeight="false" outlineLevel="0" collapsed="false">
      <c r="A46" s="29" t="str">
        <f aca="false">IF($C46="","",ROW()-4)</f>
        <v/>
      </c>
      <c r="B46" s="25"/>
      <c r="C46" s="24"/>
      <c r="D46" s="24"/>
      <c r="E46" s="30" t="str">
        <f aca="false">IF($C46="","",$C46&amp;" ｜ "&amp;$D46)</f>
        <v/>
      </c>
      <c r="F46" s="25"/>
      <c r="G46" s="25"/>
      <c r="H46" s="25"/>
      <c r="I46" s="25"/>
      <c r="J46" s="25"/>
      <c r="K46" s="21"/>
      <c r="L46" s="21"/>
      <c r="M46" s="21"/>
      <c r="N46" s="25"/>
      <c r="O46" s="25"/>
      <c r="P46" s="32"/>
      <c r="Q46" s="25"/>
      <c r="R46" s="25"/>
      <c r="S46" s="33"/>
      <c r="T46" s="33"/>
      <c r="U46" s="33"/>
      <c r="V46" s="33"/>
      <c r="W46" s="25"/>
      <c r="X46" s="25"/>
      <c r="Y46" s="25"/>
      <c r="Z46" s="33"/>
      <c r="AA46" s="34" t="str">
        <f aca="true">IF($T46="","",IF($T46&lt;TODAY(),"已过期 "&amp;TEXT(TODAY()-$T46,"0")&amp;" 天",IF($T46-TODAY()&lt;=年检提醒天,"还剩 "&amp;TEXT($T46-TODAY(),"0")&amp;" 天","")))</f>
        <v/>
      </c>
      <c r="AB46" s="34" t="str">
        <f aca="true">IF(COUNT($U46:$V46)=0,"",IF(MIN($U46:$V46)&lt;TODAY(),"已过期 "&amp;TEXT(TODAY()-MIN($U46:$V46),"0")&amp;" 天",IF(MIN($U46:$V46)-TODAY()&lt;=年检提醒天,"还剩 "&amp;TEXT(MIN($U46:$V46)-TODAY(),"0")&amp;" 天","")))</f>
        <v/>
      </c>
      <c r="AC46" s="34" t="str">
        <f aca="true">IF($C46="","",IF(OR($Y46="安装免保",$Y46="技术免保",$Y46="质保期内"),IF($Z46="","▲免保没填到期日",IF($Z46&lt;TODAY(),"▲免保已到期 该转收费了",IF($Z46-TODAY()&lt;=合同提醒天,"免保还剩 "&amp;TEXT($Z46-TODAY(),"0")&amp;" 天","免保中"))),IF($Y46="暂停维保","暂停中 不计费",IF($Y46="已解约","已解约",IF(COUNTIF(合同键,$E46)=0,"▲还没建合同行","")))))</f>
        <v/>
      </c>
      <c r="AD46" s="24"/>
      <c r="AE46" s="35" t="str">
        <f aca="false">IF($C46="","",IF($D46="","★项目名称没填",IF(N($P46)&lt;=0,"★台量要填",IF(AND(OR($Y46="安装免保",$Y46="技术免保",$Y46="质保期内"),$Z46=""),"★免保到期日没填",IF(COUNTIF(合同键,$E46)=0,"★还没建合同行","OK")))))</f>
        <v/>
      </c>
    </row>
    <row r="47" customFormat="false" ht="15" hidden="false" customHeight="false" outlineLevel="0" collapsed="false">
      <c r="A47" s="29" t="str">
        <f aca="false">IF($C47="","",ROW()-4)</f>
        <v/>
      </c>
      <c r="B47" s="25"/>
      <c r="C47" s="24"/>
      <c r="D47" s="24"/>
      <c r="E47" s="30" t="str">
        <f aca="false">IF($C47="","",$C47&amp;" ｜ "&amp;$D47)</f>
        <v/>
      </c>
      <c r="F47" s="25"/>
      <c r="G47" s="25"/>
      <c r="H47" s="25"/>
      <c r="I47" s="25"/>
      <c r="J47" s="25"/>
      <c r="K47" s="21"/>
      <c r="L47" s="21"/>
      <c r="M47" s="21"/>
      <c r="N47" s="25"/>
      <c r="O47" s="25"/>
      <c r="P47" s="32"/>
      <c r="Q47" s="25"/>
      <c r="R47" s="25"/>
      <c r="S47" s="33"/>
      <c r="T47" s="33"/>
      <c r="U47" s="33"/>
      <c r="V47" s="33"/>
      <c r="W47" s="25"/>
      <c r="X47" s="25"/>
      <c r="Y47" s="25"/>
      <c r="Z47" s="33"/>
      <c r="AA47" s="34" t="str">
        <f aca="true">IF($T47="","",IF($T47&lt;TODAY(),"已过期 "&amp;TEXT(TODAY()-$T47,"0")&amp;" 天",IF($T47-TODAY()&lt;=年检提醒天,"还剩 "&amp;TEXT($T47-TODAY(),"0")&amp;" 天","")))</f>
        <v/>
      </c>
      <c r="AB47" s="34" t="str">
        <f aca="true">IF(COUNT($U47:$V47)=0,"",IF(MIN($U47:$V47)&lt;TODAY(),"已过期 "&amp;TEXT(TODAY()-MIN($U47:$V47),"0")&amp;" 天",IF(MIN($U47:$V47)-TODAY()&lt;=年检提醒天,"还剩 "&amp;TEXT(MIN($U47:$V47)-TODAY(),"0")&amp;" 天","")))</f>
        <v/>
      </c>
      <c r="AC47" s="34" t="str">
        <f aca="true">IF($C47="","",IF(OR($Y47="安装免保",$Y47="技术免保",$Y47="质保期内"),IF($Z47="","▲免保没填到期日",IF($Z47&lt;TODAY(),"▲免保已到期 该转收费了",IF($Z47-TODAY()&lt;=合同提醒天,"免保还剩 "&amp;TEXT($Z47-TODAY(),"0")&amp;" 天","免保中"))),IF($Y47="暂停维保","暂停中 不计费",IF($Y47="已解约","已解约",IF(COUNTIF(合同键,$E47)=0,"▲还没建合同行","")))))</f>
        <v/>
      </c>
      <c r="AD47" s="24"/>
      <c r="AE47" s="35" t="str">
        <f aca="false">IF($C47="","",IF($D47="","★项目名称没填",IF(N($P47)&lt;=0,"★台量要填",IF(AND(OR($Y47="安装免保",$Y47="技术免保",$Y47="质保期内"),$Z47=""),"★免保到期日没填",IF(COUNTIF(合同键,$E47)=0,"★还没建合同行","OK")))))</f>
        <v/>
      </c>
    </row>
    <row r="48" customFormat="false" ht="15" hidden="false" customHeight="false" outlineLevel="0" collapsed="false">
      <c r="A48" s="29" t="str">
        <f aca="false">IF($C48="","",ROW()-4)</f>
        <v/>
      </c>
      <c r="B48" s="25"/>
      <c r="C48" s="24"/>
      <c r="D48" s="24"/>
      <c r="E48" s="30" t="str">
        <f aca="false">IF($C48="","",$C48&amp;" ｜ "&amp;$D48)</f>
        <v/>
      </c>
      <c r="F48" s="25"/>
      <c r="G48" s="25"/>
      <c r="H48" s="25"/>
      <c r="I48" s="25"/>
      <c r="J48" s="25"/>
      <c r="K48" s="21"/>
      <c r="L48" s="21"/>
      <c r="M48" s="21"/>
      <c r="N48" s="25"/>
      <c r="O48" s="25"/>
      <c r="P48" s="32"/>
      <c r="Q48" s="25"/>
      <c r="R48" s="25"/>
      <c r="S48" s="33"/>
      <c r="T48" s="33"/>
      <c r="U48" s="33"/>
      <c r="V48" s="33"/>
      <c r="W48" s="25"/>
      <c r="X48" s="25"/>
      <c r="Y48" s="25"/>
      <c r="Z48" s="33"/>
      <c r="AA48" s="34" t="str">
        <f aca="true">IF($T48="","",IF($T48&lt;TODAY(),"已过期 "&amp;TEXT(TODAY()-$T48,"0")&amp;" 天",IF($T48-TODAY()&lt;=年检提醒天,"还剩 "&amp;TEXT($T48-TODAY(),"0")&amp;" 天","")))</f>
        <v/>
      </c>
      <c r="AB48" s="34" t="str">
        <f aca="true">IF(COUNT($U48:$V48)=0,"",IF(MIN($U48:$V48)&lt;TODAY(),"已过期 "&amp;TEXT(TODAY()-MIN($U48:$V48),"0")&amp;" 天",IF(MIN($U48:$V48)-TODAY()&lt;=年检提醒天,"还剩 "&amp;TEXT(MIN($U48:$V48)-TODAY(),"0")&amp;" 天","")))</f>
        <v/>
      </c>
      <c r="AC48" s="34" t="str">
        <f aca="true">IF($C48="","",IF(OR($Y48="安装免保",$Y48="技术免保",$Y48="质保期内"),IF($Z48="","▲免保没填到期日",IF($Z48&lt;TODAY(),"▲免保已到期 该转收费了",IF($Z48-TODAY()&lt;=合同提醒天,"免保还剩 "&amp;TEXT($Z48-TODAY(),"0")&amp;" 天","免保中"))),IF($Y48="暂停维保","暂停中 不计费",IF($Y48="已解约","已解约",IF(COUNTIF(合同键,$E48)=0,"▲还没建合同行","")))))</f>
        <v/>
      </c>
      <c r="AD48" s="24"/>
      <c r="AE48" s="35" t="str">
        <f aca="false">IF($C48="","",IF($D48="","★项目名称没填",IF(N($P48)&lt;=0,"★台量要填",IF(AND(OR($Y48="安装免保",$Y48="技术免保",$Y48="质保期内"),$Z48=""),"★免保到期日没填",IF(COUNTIF(合同键,$E48)=0,"★还没建合同行","OK")))))</f>
        <v/>
      </c>
    </row>
    <row r="49" customFormat="false" ht="15" hidden="false" customHeight="false" outlineLevel="0" collapsed="false">
      <c r="A49" s="29" t="str">
        <f aca="false">IF($C49="","",ROW()-4)</f>
        <v/>
      </c>
      <c r="B49" s="25"/>
      <c r="C49" s="24"/>
      <c r="D49" s="24"/>
      <c r="E49" s="30" t="str">
        <f aca="false">IF($C49="","",$C49&amp;" ｜ "&amp;$D49)</f>
        <v/>
      </c>
      <c r="F49" s="25"/>
      <c r="G49" s="25"/>
      <c r="H49" s="25"/>
      <c r="I49" s="25"/>
      <c r="J49" s="25"/>
      <c r="K49" s="21"/>
      <c r="L49" s="21"/>
      <c r="M49" s="21"/>
      <c r="N49" s="25"/>
      <c r="O49" s="25"/>
      <c r="P49" s="32"/>
      <c r="Q49" s="25"/>
      <c r="R49" s="25"/>
      <c r="S49" s="33"/>
      <c r="T49" s="33"/>
      <c r="U49" s="33"/>
      <c r="V49" s="33"/>
      <c r="W49" s="25"/>
      <c r="X49" s="25"/>
      <c r="Y49" s="25"/>
      <c r="Z49" s="33"/>
      <c r="AA49" s="34" t="str">
        <f aca="true">IF($T49="","",IF($T49&lt;TODAY(),"已过期 "&amp;TEXT(TODAY()-$T49,"0")&amp;" 天",IF($T49-TODAY()&lt;=年检提醒天,"还剩 "&amp;TEXT($T49-TODAY(),"0")&amp;" 天","")))</f>
        <v/>
      </c>
      <c r="AB49" s="34" t="str">
        <f aca="true">IF(COUNT($U49:$V49)=0,"",IF(MIN($U49:$V49)&lt;TODAY(),"已过期 "&amp;TEXT(TODAY()-MIN($U49:$V49),"0")&amp;" 天",IF(MIN($U49:$V49)-TODAY()&lt;=年检提醒天,"还剩 "&amp;TEXT(MIN($U49:$V49)-TODAY(),"0")&amp;" 天","")))</f>
        <v/>
      </c>
      <c r="AC49" s="34" t="str">
        <f aca="true">IF($C49="","",IF(OR($Y49="安装免保",$Y49="技术免保",$Y49="质保期内"),IF($Z49="","▲免保没填到期日",IF($Z49&lt;TODAY(),"▲免保已到期 该转收费了",IF($Z49-TODAY()&lt;=合同提醒天,"免保还剩 "&amp;TEXT($Z49-TODAY(),"0")&amp;" 天","免保中"))),IF($Y49="暂停维保","暂停中 不计费",IF($Y49="已解约","已解约",IF(COUNTIF(合同键,$E49)=0,"▲还没建合同行","")))))</f>
        <v/>
      </c>
      <c r="AD49" s="24"/>
      <c r="AE49" s="35" t="str">
        <f aca="false">IF($C49="","",IF($D49="","★项目名称没填",IF(N($P49)&lt;=0,"★台量要填",IF(AND(OR($Y49="安装免保",$Y49="技术免保",$Y49="质保期内"),$Z49=""),"★免保到期日没填",IF(COUNTIF(合同键,$E49)=0,"★还没建合同行","OK")))))</f>
        <v/>
      </c>
    </row>
    <row r="50" customFormat="false" ht="15" hidden="false" customHeight="false" outlineLevel="0" collapsed="false">
      <c r="A50" s="29" t="str">
        <f aca="false">IF($C50="","",ROW()-4)</f>
        <v/>
      </c>
      <c r="B50" s="25"/>
      <c r="C50" s="24"/>
      <c r="D50" s="24"/>
      <c r="E50" s="30" t="str">
        <f aca="false">IF($C50="","",$C50&amp;" ｜ "&amp;$D50)</f>
        <v/>
      </c>
      <c r="F50" s="25"/>
      <c r="G50" s="25"/>
      <c r="H50" s="25"/>
      <c r="I50" s="25"/>
      <c r="J50" s="25"/>
      <c r="K50" s="21"/>
      <c r="L50" s="21"/>
      <c r="M50" s="21"/>
      <c r="N50" s="25"/>
      <c r="O50" s="25"/>
      <c r="P50" s="32"/>
      <c r="Q50" s="25"/>
      <c r="R50" s="25"/>
      <c r="S50" s="33"/>
      <c r="T50" s="33"/>
      <c r="U50" s="33"/>
      <c r="V50" s="33"/>
      <c r="W50" s="25"/>
      <c r="X50" s="25"/>
      <c r="Y50" s="25"/>
      <c r="Z50" s="33"/>
      <c r="AA50" s="34" t="str">
        <f aca="true">IF($T50="","",IF($T50&lt;TODAY(),"已过期 "&amp;TEXT(TODAY()-$T50,"0")&amp;" 天",IF($T50-TODAY()&lt;=年检提醒天,"还剩 "&amp;TEXT($T50-TODAY(),"0")&amp;" 天","")))</f>
        <v/>
      </c>
      <c r="AB50" s="34" t="str">
        <f aca="true">IF(COUNT($U50:$V50)=0,"",IF(MIN($U50:$V50)&lt;TODAY(),"已过期 "&amp;TEXT(TODAY()-MIN($U50:$V50),"0")&amp;" 天",IF(MIN($U50:$V50)-TODAY()&lt;=年检提醒天,"还剩 "&amp;TEXT(MIN($U50:$V50)-TODAY(),"0")&amp;" 天","")))</f>
        <v/>
      </c>
      <c r="AC50" s="34" t="str">
        <f aca="true">IF($C50="","",IF(OR($Y50="安装免保",$Y50="技术免保",$Y50="质保期内"),IF($Z50="","▲免保没填到期日",IF($Z50&lt;TODAY(),"▲免保已到期 该转收费了",IF($Z50-TODAY()&lt;=合同提醒天,"免保还剩 "&amp;TEXT($Z50-TODAY(),"0")&amp;" 天","免保中"))),IF($Y50="暂停维保","暂停中 不计费",IF($Y50="已解约","已解约",IF(COUNTIF(合同键,$E50)=0,"▲还没建合同行","")))))</f>
        <v/>
      </c>
      <c r="AD50" s="24"/>
      <c r="AE50" s="35" t="str">
        <f aca="false">IF($C50="","",IF($D50="","★项目名称没填",IF(N($P50)&lt;=0,"★台量要填",IF(AND(OR($Y50="安装免保",$Y50="技术免保",$Y50="质保期内"),$Z50=""),"★免保到期日没填",IF(COUNTIF(合同键,$E50)=0,"★还没建合同行","OK")))))</f>
        <v/>
      </c>
    </row>
    <row r="51" customFormat="false" ht="15" hidden="false" customHeight="false" outlineLevel="0" collapsed="false">
      <c r="A51" s="29" t="str">
        <f aca="false">IF($C51="","",ROW()-4)</f>
        <v/>
      </c>
      <c r="B51" s="25"/>
      <c r="C51" s="24"/>
      <c r="D51" s="24"/>
      <c r="E51" s="30" t="str">
        <f aca="false">IF($C51="","",$C51&amp;" ｜ "&amp;$D51)</f>
        <v/>
      </c>
      <c r="F51" s="25"/>
      <c r="G51" s="25"/>
      <c r="H51" s="25"/>
      <c r="I51" s="25"/>
      <c r="J51" s="25"/>
      <c r="K51" s="21"/>
      <c r="L51" s="21"/>
      <c r="M51" s="21"/>
      <c r="N51" s="25"/>
      <c r="O51" s="25"/>
      <c r="P51" s="32"/>
      <c r="Q51" s="25"/>
      <c r="R51" s="25"/>
      <c r="S51" s="33"/>
      <c r="T51" s="33"/>
      <c r="U51" s="33"/>
      <c r="V51" s="33"/>
      <c r="W51" s="25"/>
      <c r="X51" s="25"/>
      <c r="Y51" s="25"/>
      <c r="Z51" s="33"/>
      <c r="AA51" s="34" t="str">
        <f aca="true">IF($T51="","",IF($T51&lt;TODAY(),"已过期 "&amp;TEXT(TODAY()-$T51,"0")&amp;" 天",IF($T51-TODAY()&lt;=年检提醒天,"还剩 "&amp;TEXT($T51-TODAY(),"0")&amp;" 天","")))</f>
        <v/>
      </c>
      <c r="AB51" s="34" t="str">
        <f aca="true">IF(COUNT($U51:$V51)=0,"",IF(MIN($U51:$V51)&lt;TODAY(),"已过期 "&amp;TEXT(TODAY()-MIN($U51:$V51),"0")&amp;" 天",IF(MIN($U51:$V51)-TODAY()&lt;=年检提醒天,"还剩 "&amp;TEXT(MIN($U51:$V51)-TODAY(),"0")&amp;" 天","")))</f>
        <v/>
      </c>
      <c r="AC51" s="34" t="str">
        <f aca="true">IF($C51="","",IF(OR($Y51="安装免保",$Y51="技术免保",$Y51="质保期内"),IF($Z51="","▲免保没填到期日",IF($Z51&lt;TODAY(),"▲免保已到期 该转收费了",IF($Z51-TODAY()&lt;=合同提醒天,"免保还剩 "&amp;TEXT($Z51-TODAY(),"0")&amp;" 天","免保中"))),IF($Y51="暂停维保","暂停中 不计费",IF($Y51="已解约","已解约",IF(COUNTIF(合同键,$E51)=0,"▲还没建合同行","")))))</f>
        <v/>
      </c>
      <c r="AD51" s="24"/>
      <c r="AE51" s="35" t="str">
        <f aca="false">IF($C51="","",IF($D51="","★项目名称没填",IF(N($P51)&lt;=0,"★台量要填",IF(AND(OR($Y51="安装免保",$Y51="技术免保",$Y51="质保期内"),$Z51=""),"★免保到期日没填",IF(COUNTIF(合同键,$E51)=0,"★还没建合同行","OK")))))</f>
        <v/>
      </c>
    </row>
    <row r="52" customFormat="false" ht="15" hidden="false" customHeight="false" outlineLevel="0" collapsed="false">
      <c r="A52" s="29" t="str">
        <f aca="false">IF($C52="","",ROW()-4)</f>
        <v/>
      </c>
      <c r="B52" s="25"/>
      <c r="C52" s="24"/>
      <c r="D52" s="24"/>
      <c r="E52" s="30" t="str">
        <f aca="false">IF($C52="","",$C52&amp;" ｜ "&amp;$D52)</f>
        <v/>
      </c>
      <c r="F52" s="25"/>
      <c r="G52" s="25"/>
      <c r="H52" s="25"/>
      <c r="I52" s="25"/>
      <c r="J52" s="25"/>
      <c r="K52" s="21"/>
      <c r="L52" s="21"/>
      <c r="M52" s="21"/>
      <c r="N52" s="25"/>
      <c r="O52" s="25"/>
      <c r="P52" s="32"/>
      <c r="Q52" s="25"/>
      <c r="R52" s="25"/>
      <c r="S52" s="33"/>
      <c r="T52" s="33"/>
      <c r="U52" s="33"/>
      <c r="V52" s="33"/>
      <c r="W52" s="25"/>
      <c r="X52" s="25"/>
      <c r="Y52" s="25"/>
      <c r="Z52" s="33"/>
      <c r="AA52" s="34" t="str">
        <f aca="true">IF($T52="","",IF($T52&lt;TODAY(),"已过期 "&amp;TEXT(TODAY()-$T52,"0")&amp;" 天",IF($T52-TODAY()&lt;=年检提醒天,"还剩 "&amp;TEXT($T52-TODAY(),"0")&amp;" 天","")))</f>
        <v/>
      </c>
      <c r="AB52" s="34" t="str">
        <f aca="true">IF(COUNT($U52:$V52)=0,"",IF(MIN($U52:$V52)&lt;TODAY(),"已过期 "&amp;TEXT(TODAY()-MIN($U52:$V52),"0")&amp;" 天",IF(MIN($U52:$V52)-TODAY()&lt;=年检提醒天,"还剩 "&amp;TEXT(MIN($U52:$V52)-TODAY(),"0")&amp;" 天","")))</f>
        <v/>
      </c>
      <c r="AC52" s="34" t="str">
        <f aca="true">IF($C52="","",IF(OR($Y52="安装免保",$Y52="技术免保",$Y52="质保期内"),IF($Z52="","▲免保没填到期日",IF($Z52&lt;TODAY(),"▲免保已到期 该转收费了",IF($Z52-TODAY()&lt;=合同提醒天,"免保还剩 "&amp;TEXT($Z52-TODAY(),"0")&amp;" 天","免保中"))),IF($Y52="暂停维保","暂停中 不计费",IF($Y52="已解约","已解约",IF(COUNTIF(合同键,$E52)=0,"▲还没建合同行","")))))</f>
        <v/>
      </c>
      <c r="AD52" s="24"/>
      <c r="AE52" s="35" t="str">
        <f aca="false">IF($C52="","",IF($D52="","★项目名称没填",IF(N($P52)&lt;=0,"★台量要填",IF(AND(OR($Y52="安装免保",$Y52="技术免保",$Y52="质保期内"),$Z52=""),"★免保到期日没填",IF(COUNTIF(合同键,$E52)=0,"★还没建合同行","OK")))))</f>
        <v/>
      </c>
    </row>
    <row r="53" customFormat="false" ht="15" hidden="false" customHeight="false" outlineLevel="0" collapsed="false">
      <c r="A53" s="29" t="str">
        <f aca="false">IF($C53="","",ROW()-4)</f>
        <v/>
      </c>
      <c r="B53" s="25"/>
      <c r="C53" s="24"/>
      <c r="D53" s="24"/>
      <c r="E53" s="30" t="str">
        <f aca="false">IF($C53="","",$C53&amp;" ｜ "&amp;$D53)</f>
        <v/>
      </c>
      <c r="F53" s="25"/>
      <c r="G53" s="25"/>
      <c r="H53" s="25"/>
      <c r="I53" s="25"/>
      <c r="J53" s="25"/>
      <c r="K53" s="21"/>
      <c r="L53" s="21"/>
      <c r="M53" s="21"/>
      <c r="N53" s="25"/>
      <c r="O53" s="25"/>
      <c r="P53" s="32"/>
      <c r="Q53" s="25"/>
      <c r="R53" s="25"/>
      <c r="S53" s="33"/>
      <c r="T53" s="33"/>
      <c r="U53" s="33"/>
      <c r="V53" s="33"/>
      <c r="W53" s="25"/>
      <c r="X53" s="25"/>
      <c r="Y53" s="25"/>
      <c r="Z53" s="33"/>
      <c r="AA53" s="34" t="str">
        <f aca="true">IF($T53="","",IF($T53&lt;TODAY(),"已过期 "&amp;TEXT(TODAY()-$T53,"0")&amp;" 天",IF($T53-TODAY()&lt;=年检提醒天,"还剩 "&amp;TEXT($T53-TODAY(),"0")&amp;" 天","")))</f>
        <v/>
      </c>
      <c r="AB53" s="34" t="str">
        <f aca="true">IF(COUNT($U53:$V53)=0,"",IF(MIN($U53:$V53)&lt;TODAY(),"已过期 "&amp;TEXT(TODAY()-MIN($U53:$V53),"0")&amp;" 天",IF(MIN($U53:$V53)-TODAY()&lt;=年检提醒天,"还剩 "&amp;TEXT(MIN($U53:$V53)-TODAY(),"0")&amp;" 天","")))</f>
        <v/>
      </c>
      <c r="AC53" s="34" t="str">
        <f aca="true">IF($C53="","",IF(OR($Y53="安装免保",$Y53="技术免保",$Y53="质保期内"),IF($Z53="","▲免保没填到期日",IF($Z53&lt;TODAY(),"▲免保已到期 该转收费了",IF($Z53-TODAY()&lt;=合同提醒天,"免保还剩 "&amp;TEXT($Z53-TODAY(),"0")&amp;" 天","免保中"))),IF($Y53="暂停维保","暂停中 不计费",IF($Y53="已解约","已解约",IF(COUNTIF(合同键,$E53)=0,"▲还没建合同行","")))))</f>
        <v/>
      </c>
      <c r="AD53" s="24"/>
      <c r="AE53" s="35" t="str">
        <f aca="false">IF($C53="","",IF($D53="","★项目名称没填",IF(N($P53)&lt;=0,"★台量要填",IF(AND(OR($Y53="安装免保",$Y53="技术免保",$Y53="质保期内"),$Z53=""),"★免保到期日没填",IF(COUNTIF(合同键,$E53)=0,"★还没建合同行","OK")))))</f>
        <v/>
      </c>
    </row>
    <row r="54" customFormat="false" ht="15" hidden="false" customHeight="false" outlineLevel="0" collapsed="false">
      <c r="A54" s="29" t="str">
        <f aca="false">IF($C54="","",ROW()-4)</f>
        <v/>
      </c>
      <c r="B54" s="25"/>
      <c r="C54" s="24"/>
      <c r="D54" s="24"/>
      <c r="E54" s="30" t="str">
        <f aca="false">IF($C54="","",$C54&amp;" ｜ "&amp;$D54)</f>
        <v/>
      </c>
      <c r="F54" s="25"/>
      <c r="G54" s="25"/>
      <c r="H54" s="25"/>
      <c r="I54" s="25"/>
      <c r="J54" s="25"/>
      <c r="K54" s="21"/>
      <c r="L54" s="21"/>
      <c r="M54" s="21"/>
      <c r="N54" s="25"/>
      <c r="O54" s="25"/>
      <c r="P54" s="32"/>
      <c r="Q54" s="25"/>
      <c r="R54" s="25"/>
      <c r="S54" s="33"/>
      <c r="T54" s="33"/>
      <c r="U54" s="33"/>
      <c r="V54" s="33"/>
      <c r="W54" s="25"/>
      <c r="X54" s="25"/>
      <c r="Y54" s="25"/>
      <c r="Z54" s="33"/>
      <c r="AA54" s="34" t="str">
        <f aca="true">IF($T54="","",IF($T54&lt;TODAY(),"已过期 "&amp;TEXT(TODAY()-$T54,"0")&amp;" 天",IF($T54-TODAY()&lt;=年检提醒天,"还剩 "&amp;TEXT($T54-TODAY(),"0")&amp;" 天","")))</f>
        <v/>
      </c>
      <c r="AB54" s="34" t="str">
        <f aca="true">IF(COUNT($U54:$V54)=0,"",IF(MIN($U54:$V54)&lt;TODAY(),"已过期 "&amp;TEXT(TODAY()-MIN($U54:$V54),"0")&amp;" 天",IF(MIN($U54:$V54)-TODAY()&lt;=年检提醒天,"还剩 "&amp;TEXT(MIN($U54:$V54)-TODAY(),"0")&amp;" 天","")))</f>
        <v/>
      </c>
      <c r="AC54" s="34" t="str">
        <f aca="true">IF($C54="","",IF(OR($Y54="安装免保",$Y54="技术免保",$Y54="质保期内"),IF($Z54="","▲免保没填到期日",IF($Z54&lt;TODAY(),"▲免保已到期 该转收费了",IF($Z54-TODAY()&lt;=合同提醒天,"免保还剩 "&amp;TEXT($Z54-TODAY(),"0")&amp;" 天","免保中"))),IF($Y54="暂停维保","暂停中 不计费",IF($Y54="已解约","已解约",IF(COUNTIF(合同键,$E54)=0,"▲还没建合同行","")))))</f>
        <v/>
      </c>
      <c r="AD54" s="24"/>
      <c r="AE54" s="35" t="str">
        <f aca="false">IF($C54="","",IF($D54="","★项目名称没填",IF(N($P54)&lt;=0,"★台量要填",IF(AND(OR($Y54="安装免保",$Y54="技术免保",$Y54="质保期内"),$Z54=""),"★免保到期日没填",IF(COUNTIF(合同键,$E54)=0,"★还没建合同行","OK")))))</f>
        <v/>
      </c>
    </row>
    <row r="55" customFormat="false" ht="15" hidden="false" customHeight="false" outlineLevel="0" collapsed="false">
      <c r="A55" s="29" t="str">
        <f aca="false">IF($C55="","",ROW()-4)</f>
        <v/>
      </c>
      <c r="B55" s="25"/>
      <c r="C55" s="24"/>
      <c r="D55" s="24"/>
      <c r="E55" s="30" t="str">
        <f aca="false">IF($C55="","",$C55&amp;" ｜ "&amp;$D55)</f>
        <v/>
      </c>
      <c r="F55" s="25"/>
      <c r="G55" s="25"/>
      <c r="H55" s="25"/>
      <c r="I55" s="25"/>
      <c r="J55" s="25"/>
      <c r="K55" s="21"/>
      <c r="L55" s="21"/>
      <c r="M55" s="21"/>
      <c r="N55" s="25"/>
      <c r="O55" s="25"/>
      <c r="P55" s="32"/>
      <c r="Q55" s="25"/>
      <c r="R55" s="25"/>
      <c r="S55" s="33"/>
      <c r="T55" s="33"/>
      <c r="U55" s="33"/>
      <c r="V55" s="33"/>
      <c r="W55" s="25"/>
      <c r="X55" s="25"/>
      <c r="Y55" s="25"/>
      <c r="Z55" s="33"/>
      <c r="AA55" s="34" t="str">
        <f aca="true">IF($T55="","",IF($T55&lt;TODAY(),"已过期 "&amp;TEXT(TODAY()-$T55,"0")&amp;" 天",IF($T55-TODAY()&lt;=年检提醒天,"还剩 "&amp;TEXT($T55-TODAY(),"0")&amp;" 天","")))</f>
        <v/>
      </c>
      <c r="AB55" s="34" t="str">
        <f aca="true">IF(COUNT($U55:$V55)=0,"",IF(MIN($U55:$V55)&lt;TODAY(),"已过期 "&amp;TEXT(TODAY()-MIN($U55:$V55),"0")&amp;" 天",IF(MIN($U55:$V55)-TODAY()&lt;=年检提醒天,"还剩 "&amp;TEXT(MIN($U55:$V55)-TODAY(),"0")&amp;" 天","")))</f>
        <v/>
      </c>
      <c r="AC55" s="34" t="str">
        <f aca="true">IF($C55="","",IF(OR($Y55="安装免保",$Y55="技术免保",$Y55="质保期内"),IF($Z55="","▲免保没填到期日",IF($Z55&lt;TODAY(),"▲免保已到期 该转收费了",IF($Z55-TODAY()&lt;=合同提醒天,"免保还剩 "&amp;TEXT($Z55-TODAY(),"0")&amp;" 天","免保中"))),IF($Y55="暂停维保","暂停中 不计费",IF($Y55="已解约","已解约",IF(COUNTIF(合同键,$E55)=0,"▲还没建合同行","")))))</f>
        <v/>
      </c>
      <c r="AD55" s="24"/>
      <c r="AE55" s="35" t="str">
        <f aca="false">IF($C55="","",IF($D55="","★项目名称没填",IF(N($P55)&lt;=0,"★台量要填",IF(AND(OR($Y55="安装免保",$Y55="技术免保",$Y55="质保期内"),$Z55=""),"★免保到期日没填",IF(COUNTIF(合同键,$E55)=0,"★还没建合同行","OK")))))</f>
        <v/>
      </c>
    </row>
    <row r="56" customFormat="false" ht="15" hidden="false" customHeight="false" outlineLevel="0" collapsed="false">
      <c r="A56" s="29" t="str">
        <f aca="false">IF($C56="","",ROW()-4)</f>
        <v/>
      </c>
      <c r="B56" s="25"/>
      <c r="C56" s="24"/>
      <c r="D56" s="24"/>
      <c r="E56" s="30" t="str">
        <f aca="false">IF($C56="","",$C56&amp;" ｜ "&amp;$D56)</f>
        <v/>
      </c>
      <c r="F56" s="25"/>
      <c r="G56" s="25"/>
      <c r="H56" s="25"/>
      <c r="I56" s="25"/>
      <c r="J56" s="25"/>
      <c r="K56" s="21"/>
      <c r="L56" s="21"/>
      <c r="M56" s="21"/>
      <c r="N56" s="25"/>
      <c r="O56" s="25"/>
      <c r="P56" s="32"/>
      <c r="Q56" s="25"/>
      <c r="R56" s="25"/>
      <c r="S56" s="33"/>
      <c r="T56" s="33"/>
      <c r="U56" s="33"/>
      <c r="V56" s="33"/>
      <c r="W56" s="25"/>
      <c r="X56" s="25"/>
      <c r="Y56" s="25"/>
      <c r="Z56" s="33"/>
      <c r="AA56" s="34" t="str">
        <f aca="true">IF($T56="","",IF($T56&lt;TODAY(),"已过期 "&amp;TEXT(TODAY()-$T56,"0")&amp;" 天",IF($T56-TODAY()&lt;=年检提醒天,"还剩 "&amp;TEXT($T56-TODAY(),"0")&amp;" 天","")))</f>
        <v/>
      </c>
      <c r="AB56" s="34" t="str">
        <f aca="true">IF(COUNT($U56:$V56)=0,"",IF(MIN($U56:$V56)&lt;TODAY(),"已过期 "&amp;TEXT(TODAY()-MIN($U56:$V56),"0")&amp;" 天",IF(MIN($U56:$V56)-TODAY()&lt;=年检提醒天,"还剩 "&amp;TEXT(MIN($U56:$V56)-TODAY(),"0")&amp;" 天","")))</f>
        <v/>
      </c>
      <c r="AC56" s="34" t="str">
        <f aca="true">IF($C56="","",IF(OR($Y56="安装免保",$Y56="技术免保",$Y56="质保期内"),IF($Z56="","▲免保没填到期日",IF($Z56&lt;TODAY(),"▲免保已到期 该转收费了",IF($Z56-TODAY()&lt;=合同提醒天,"免保还剩 "&amp;TEXT($Z56-TODAY(),"0")&amp;" 天","免保中"))),IF($Y56="暂停维保","暂停中 不计费",IF($Y56="已解约","已解约",IF(COUNTIF(合同键,$E56)=0,"▲还没建合同行","")))))</f>
        <v/>
      </c>
      <c r="AD56" s="24"/>
      <c r="AE56" s="35" t="str">
        <f aca="false">IF($C56="","",IF($D56="","★项目名称没填",IF(N($P56)&lt;=0,"★台量要填",IF(AND(OR($Y56="安装免保",$Y56="技术免保",$Y56="质保期内"),$Z56=""),"★免保到期日没填",IF(COUNTIF(合同键,$E56)=0,"★还没建合同行","OK")))))</f>
        <v/>
      </c>
    </row>
    <row r="57" customFormat="false" ht="15" hidden="false" customHeight="false" outlineLevel="0" collapsed="false">
      <c r="A57" s="29" t="str">
        <f aca="false">IF($C57="","",ROW()-4)</f>
        <v/>
      </c>
      <c r="B57" s="25"/>
      <c r="C57" s="24"/>
      <c r="D57" s="24"/>
      <c r="E57" s="30" t="str">
        <f aca="false">IF($C57="","",$C57&amp;" ｜ "&amp;$D57)</f>
        <v/>
      </c>
      <c r="F57" s="25"/>
      <c r="G57" s="25"/>
      <c r="H57" s="25"/>
      <c r="I57" s="25"/>
      <c r="J57" s="25"/>
      <c r="K57" s="21"/>
      <c r="L57" s="21"/>
      <c r="M57" s="21"/>
      <c r="N57" s="25"/>
      <c r="O57" s="25"/>
      <c r="P57" s="32"/>
      <c r="Q57" s="25"/>
      <c r="R57" s="25"/>
      <c r="S57" s="33"/>
      <c r="T57" s="33"/>
      <c r="U57" s="33"/>
      <c r="V57" s="33"/>
      <c r="W57" s="25"/>
      <c r="X57" s="25"/>
      <c r="Y57" s="25"/>
      <c r="Z57" s="33"/>
      <c r="AA57" s="34" t="str">
        <f aca="true">IF($T57="","",IF($T57&lt;TODAY(),"已过期 "&amp;TEXT(TODAY()-$T57,"0")&amp;" 天",IF($T57-TODAY()&lt;=年检提醒天,"还剩 "&amp;TEXT($T57-TODAY(),"0")&amp;" 天","")))</f>
        <v/>
      </c>
      <c r="AB57" s="34" t="str">
        <f aca="true">IF(COUNT($U57:$V57)=0,"",IF(MIN($U57:$V57)&lt;TODAY(),"已过期 "&amp;TEXT(TODAY()-MIN($U57:$V57),"0")&amp;" 天",IF(MIN($U57:$V57)-TODAY()&lt;=年检提醒天,"还剩 "&amp;TEXT(MIN($U57:$V57)-TODAY(),"0")&amp;" 天","")))</f>
        <v/>
      </c>
      <c r="AC57" s="34" t="str">
        <f aca="true">IF($C57="","",IF(OR($Y57="安装免保",$Y57="技术免保",$Y57="质保期内"),IF($Z57="","▲免保没填到期日",IF($Z57&lt;TODAY(),"▲免保已到期 该转收费了",IF($Z57-TODAY()&lt;=合同提醒天,"免保还剩 "&amp;TEXT($Z57-TODAY(),"0")&amp;" 天","免保中"))),IF($Y57="暂停维保","暂停中 不计费",IF($Y57="已解约","已解约",IF(COUNTIF(合同键,$E57)=0,"▲还没建合同行","")))))</f>
        <v/>
      </c>
      <c r="AD57" s="24"/>
      <c r="AE57" s="35" t="str">
        <f aca="false">IF($C57="","",IF($D57="","★项目名称没填",IF(N($P57)&lt;=0,"★台量要填",IF(AND(OR($Y57="安装免保",$Y57="技术免保",$Y57="质保期内"),$Z57=""),"★免保到期日没填",IF(COUNTIF(合同键,$E57)=0,"★还没建合同行","OK")))))</f>
        <v/>
      </c>
    </row>
    <row r="58" customFormat="false" ht="15" hidden="false" customHeight="false" outlineLevel="0" collapsed="false">
      <c r="A58" s="29" t="str">
        <f aca="false">IF($C58="","",ROW()-4)</f>
        <v/>
      </c>
      <c r="B58" s="25"/>
      <c r="C58" s="24"/>
      <c r="D58" s="24"/>
      <c r="E58" s="30" t="str">
        <f aca="false">IF($C58="","",$C58&amp;" ｜ "&amp;$D58)</f>
        <v/>
      </c>
      <c r="F58" s="25"/>
      <c r="G58" s="25"/>
      <c r="H58" s="25"/>
      <c r="I58" s="25"/>
      <c r="J58" s="25"/>
      <c r="K58" s="21"/>
      <c r="L58" s="21"/>
      <c r="M58" s="21"/>
      <c r="N58" s="25"/>
      <c r="O58" s="25"/>
      <c r="P58" s="32"/>
      <c r="Q58" s="25"/>
      <c r="R58" s="25"/>
      <c r="S58" s="33"/>
      <c r="T58" s="33"/>
      <c r="U58" s="33"/>
      <c r="V58" s="33"/>
      <c r="W58" s="25"/>
      <c r="X58" s="25"/>
      <c r="Y58" s="25"/>
      <c r="Z58" s="33"/>
      <c r="AA58" s="34" t="str">
        <f aca="true">IF($T58="","",IF($T58&lt;TODAY(),"已过期 "&amp;TEXT(TODAY()-$T58,"0")&amp;" 天",IF($T58-TODAY()&lt;=年检提醒天,"还剩 "&amp;TEXT($T58-TODAY(),"0")&amp;" 天","")))</f>
        <v/>
      </c>
      <c r="AB58" s="34" t="str">
        <f aca="true">IF(COUNT($U58:$V58)=0,"",IF(MIN($U58:$V58)&lt;TODAY(),"已过期 "&amp;TEXT(TODAY()-MIN($U58:$V58),"0")&amp;" 天",IF(MIN($U58:$V58)-TODAY()&lt;=年检提醒天,"还剩 "&amp;TEXT(MIN($U58:$V58)-TODAY(),"0")&amp;" 天","")))</f>
        <v/>
      </c>
      <c r="AC58" s="34" t="str">
        <f aca="true">IF($C58="","",IF(OR($Y58="安装免保",$Y58="技术免保",$Y58="质保期内"),IF($Z58="","▲免保没填到期日",IF($Z58&lt;TODAY(),"▲免保已到期 该转收费了",IF($Z58-TODAY()&lt;=合同提醒天,"免保还剩 "&amp;TEXT($Z58-TODAY(),"0")&amp;" 天","免保中"))),IF($Y58="暂停维保","暂停中 不计费",IF($Y58="已解约","已解约",IF(COUNTIF(合同键,$E58)=0,"▲还没建合同行","")))))</f>
        <v/>
      </c>
      <c r="AD58" s="24"/>
      <c r="AE58" s="35" t="str">
        <f aca="false">IF($C58="","",IF($D58="","★项目名称没填",IF(N($P58)&lt;=0,"★台量要填",IF(AND(OR($Y58="安装免保",$Y58="技术免保",$Y58="质保期内"),$Z58=""),"★免保到期日没填",IF(COUNTIF(合同键,$E58)=0,"★还没建合同行","OK")))))</f>
        <v/>
      </c>
    </row>
    <row r="59" customFormat="false" ht="15" hidden="false" customHeight="false" outlineLevel="0" collapsed="false">
      <c r="A59" s="29" t="str">
        <f aca="false">IF($C59="","",ROW()-4)</f>
        <v/>
      </c>
      <c r="B59" s="25"/>
      <c r="C59" s="24"/>
      <c r="D59" s="24"/>
      <c r="E59" s="30" t="str">
        <f aca="false">IF($C59="","",$C59&amp;" ｜ "&amp;$D59)</f>
        <v/>
      </c>
      <c r="F59" s="25"/>
      <c r="G59" s="25"/>
      <c r="H59" s="25"/>
      <c r="I59" s="25"/>
      <c r="J59" s="25"/>
      <c r="K59" s="21"/>
      <c r="L59" s="21"/>
      <c r="M59" s="21"/>
      <c r="N59" s="25"/>
      <c r="O59" s="25"/>
      <c r="P59" s="32"/>
      <c r="Q59" s="25"/>
      <c r="R59" s="25"/>
      <c r="S59" s="33"/>
      <c r="T59" s="33"/>
      <c r="U59" s="33"/>
      <c r="V59" s="33"/>
      <c r="W59" s="25"/>
      <c r="X59" s="25"/>
      <c r="Y59" s="25"/>
      <c r="Z59" s="33"/>
      <c r="AA59" s="34" t="str">
        <f aca="true">IF($T59="","",IF($T59&lt;TODAY(),"已过期 "&amp;TEXT(TODAY()-$T59,"0")&amp;" 天",IF($T59-TODAY()&lt;=年检提醒天,"还剩 "&amp;TEXT($T59-TODAY(),"0")&amp;" 天","")))</f>
        <v/>
      </c>
      <c r="AB59" s="34" t="str">
        <f aca="true">IF(COUNT($U59:$V59)=0,"",IF(MIN($U59:$V59)&lt;TODAY(),"已过期 "&amp;TEXT(TODAY()-MIN($U59:$V59),"0")&amp;" 天",IF(MIN($U59:$V59)-TODAY()&lt;=年检提醒天,"还剩 "&amp;TEXT(MIN($U59:$V59)-TODAY(),"0")&amp;" 天","")))</f>
        <v/>
      </c>
      <c r="AC59" s="34" t="str">
        <f aca="true">IF($C59="","",IF(OR($Y59="安装免保",$Y59="技术免保",$Y59="质保期内"),IF($Z59="","▲免保没填到期日",IF($Z59&lt;TODAY(),"▲免保已到期 该转收费了",IF($Z59-TODAY()&lt;=合同提醒天,"免保还剩 "&amp;TEXT($Z59-TODAY(),"0")&amp;" 天","免保中"))),IF($Y59="暂停维保","暂停中 不计费",IF($Y59="已解约","已解约",IF(COUNTIF(合同键,$E59)=0,"▲还没建合同行","")))))</f>
        <v/>
      </c>
      <c r="AD59" s="24"/>
      <c r="AE59" s="35" t="str">
        <f aca="false">IF($C59="","",IF($D59="","★项目名称没填",IF(N($P59)&lt;=0,"★台量要填",IF(AND(OR($Y59="安装免保",$Y59="技术免保",$Y59="质保期内"),$Z59=""),"★免保到期日没填",IF(COUNTIF(合同键,$E59)=0,"★还没建合同行","OK")))))</f>
        <v/>
      </c>
    </row>
    <row r="60" customFormat="false" ht="15" hidden="false" customHeight="false" outlineLevel="0" collapsed="false">
      <c r="A60" s="29" t="str">
        <f aca="false">IF($C60="","",ROW()-4)</f>
        <v/>
      </c>
      <c r="B60" s="25"/>
      <c r="C60" s="24"/>
      <c r="D60" s="24"/>
      <c r="E60" s="30" t="str">
        <f aca="false">IF($C60="","",$C60&amp;" ｜ "&amp;$D60)</f>
        <v/>
      </c>
      <c r="F60" s="25"/>
      <c r="G60" s="25"/>
      <c r="H60" s="25"/>
      <c r="I60" s="25"/>
      <c r="J60" s="25"/>
      <c r="K60" s="21"/>
      <c r="L60" s="21"/>
      <c r="M60" s="21"/>
      <c r="N60" s="25"/>
      <c r="O60" s="25"/>
      <c r="P60" s="32"/>
      <c r="Q60" s="25"/>
      <c r="R60" s="25"/>
      <c r="S60" s="33"/>
      <c r="T60" s="33"/>
      <c r="U60" s="33"/>
      <c r="V60" s="33"/>
      <c r="W60" s="25"/>
      <c r="X60" s="25"/>
      <c r="Y60" s="25"/>
      <c r="Z60" s="33"/>
      <c r="AA60" s="34" t="str">
        <f aca="true">IF($T60="","",IF($T60&lt;TODAY(),"已过期 "&amp;TEXT(TODAY()-$T60,"0")&amp;" 天",IF($T60-TODAY()&lt;=年检提醒天,"还剩 "&amp;TEXT($T60-TODAY(),"0")&amp;" 天","")))</f>
        <v/>
      </c>
      <c r="AB60" s="34" t="str">
        <f aca="true">IF(COUNT($U60:$V60)=0,"",IF(MIN($U60:$V60)&lt;TODAY(),"已过期 "&amp;TEXT(TODAY()-MIN($U60:$V60),"0")&amp;" 天",IF(MIN($U60:$V60)-TODAY()&lt;=年检提醒天,"还剩 "&amp;TEXT(MIN($U60:$V60)-TODAY(),"0")&amp;" 天","")))</f>
        <v/>
      </c>
      <c r="AC60" s="34" t="str">
        <f aca="true">IF($C60="","",IF(OR($Y60="安装免保",$Y60="技术免保",$Y60="质保期内"),IF($Z60="","▲免保没填到期日",IF($Z60&lt;TODAY(),"▲免保已到期 该转收费了",IF($Z60-TODAY()&lt;=合同提醒天,"免保还剩 "&amp;TEXT($Z60-TODAY(),"0")&amp;" 天","免保中"))),IF($Y60="暂停维保","暂停中 不计费",IF($Y60="已解约","已解约",IF(COUNTIF(合同键,$E60)=0,"▲还没建合同行","")))))</f>
        <v/>
      </c>
      <c r="AD60" s="24"/>
      <c r="AE60" s="35" t="str">
        <f aca="false">IF($C60="","",IF($D60="","★项目名称没填",IF(N($P60)&lt;=0,"★台量要填",IF(AND(OR($Y60="安装免保",$Y60="技术免保",$Y60="质保期内"),$Z60=""),"★免保到期日没填",IF(COUNTIF(合同键,$E60)=0,"★还没建合同行","OK")))))</f>
        <v/>
      </c>
    </row>
    <row r="61" customFormat="false" ht="15" hidden="false" customHeight="false" outlineLevel="0" collapsed="false">
      <c r="A61" s="29" t="str">
        <f aca="false">IF($C61="","",ROW()-4)</f>
        <v/>
      </c>
      <c r="B61" s="25"/>
      <c r="C61" s="24"/>
      <c r="D61" s="24"/>
      <c r="E61" s="30" t="str">
        <f aca="false">IF($C61="","",$C61&amp;" ｜ "&amp;$D61)</f>
        <v/>
      </c>
      <c r="F61" s="25"/>
      <c r="G61" s="25"/>
      <c r="H61" s="25"/>
      <c r="I61" s="25"/>
      <c r="J61" s="25"/>
      <c r="K61" s="21"/>
      <c r="L61" s="21"/>
      <c r="M61" s="21"/>
      <c r="N61" s="25"/>
      <c r="O61" s="25"/>
      <c r="P61" s="32"/>
      <c r="Q61" s="25"/>
      <c r="R61" s="25"/>
      <c r="S61" s="33"/>
      <c r="T61" s="33"/>
      <c r="U61" s="33"/>
      <c r="V61" s="33"/>
      <c r="W61" s="25"/>
      <c r="X61" s="25"/>
      <c r="Y61" s="25"/>
      <c r="Z61" s="33"/>
      <c r="AA61" s="34" t="str">
        <f aca="true">IF($T61="","",IF($T61&lt;TODAY(),"已过期 "&amp;TEXT(TODAY()-$T61,"0")&amp;" 天",IF($T61-TODAY()&lt;=年检提醒天,"还剩 "&amp;TEXT($T61-TODAY(),"0")&amp;" 天","")))</f>
        <v/>
      </c>
      <c r="AB61" s="34" t="str">
        <f aca="true">IF(COUNT($U61:$V61)=0,"",IF(MIN($U61:$V61)&lt;TODAY(),"已过期 "&amp;TEXT(TODAY()-MIN($U61:$V61),"0")&amp;" 天",IF(MIN($U61:$V61)-TODAY()&lt;=年检提醒天,"还剩 "&amp;TEXT(MIN($U61:$V61)-TODAY(),"0")&amp;" 天","")))</f>
        <v/>
      </c>
      <c r="AC61" s="34" t="str">
        <f aca="true">IF($C61="","",IF(OR($Y61="安装免保",$Y61="技术免保",$Y61="质保期内"),IF($Z61="","▲免保没填到期日",IF($Z61&lt;TODAY(),"▲免保已到期 该转收费了",IF($Z61-TODAY()&lt;=合同提醒天,"免保还剩 "&amp;TEXT($Z61-TODAY(),"0")&amp;" 天","免保中"))),IF($Y61="暂停维保","暂停中 不计费",IF($Y61="已解约","已解约",IF(COUNTIF(合同键,$E61)=0,"▲还没建合同行","")))))</f>
        <v/>
      </c>
      <c r="AD61" s="24"/>
      <c r="AE61" s="35" t="str">
        <f aca="false">IF($C61="","",IF($D61="","★项目名称没填",IF(N($P61)&lt;=0,"★台量要填",IF(AND(OR($Y61="安装免保",$Y61="技术免保",$Y61="质保期内"),$Z61=""),"★免保到期日没填",IF(COUNTIF(合同键,$E61)=0,"★还没建合同行","OK")))))</f>
        <v/>
      </c>
    </row>
    <row r="62" customFormat="false" ht="15" hidden="false" customHeight="false" outlineLevel="0" collapsed="false">
      <c r="A62" s="29" t="str">
        <f aca="false">IF($C62="","",ROW()-4)</f>
        <v/>
      </c>
      <c r="B62" s="25"/>
      <c r="C62" s="24"/>
      <c r="D62" s="24"/>
      <c r="E62" s="30" t="str">
        <f aca="false">IF($C62="","",$C62&amp;" ｜ "&amp;$D62)</f>
        <v/>
      </c>
      <c r="F62" s="25"/>
      <c r="G62" s="25"/>
      <c r="H62" s="25"/>
      <c r="I62" s="25"/>
      <c r="J62" s="25"/>
      <c r="K62" s="21"/>
      <c r="L62" s="21"/>
      <c r="M62" s="21"/>
      <c r="N62" s="25"/>
      <c r="O62" s="25"/>
      <c r="P62" s="32"/>
      <c r="Q62" s="25"/>
      <c r="R62" s="25"/>
      <c r="S62" s="33"/>
      <c r="T62" s="33"/>
      <c r="U62" s="33"/>
      <c r="V62" s="33"/>
      <c r="W62" s="25"/>
      <c r="X62" s="25"/>
      <c r="Y62" s="25"/>
      <c r="Z62" s="33"/>
      <c r="AA62" s="34" t="str">
        <f aca="true">IF($T62="","",IF($T62&lt;TODAY(),"已过期 "&amp;TEXT(TODAY()-$T62,"0")&amp;" 天",IF($T62-TODAY()&lt;=年检提醒天,"还剩 "&amp;TEXT($T62-TODAY(),"0")&amp;" 天","")))</f>
        <v/>
      </c>
      <c r="AB62" s="34" t="str">
        <f aca="true">IF(COUNT($U62:$V62)=0,"",IF(MIN($U62:$V62)&lt;TODAY(),"已过期 "&amp;TEXT(TODAY()-MIN($U62:$V62),"0")&amp;" 天",IF(MIN($U62:$V62)-TODAY()&lt;=年检提醒天,"还剩 "&amp;TEXT(MIN($U62:$V62)-TODAY(),"0")&amp;" 天","")))</f>
        <v/>
      </c>
      <c r="AC62" s="34" t="str">
        <f aca="true">IF($C62="","",IF(OR($Y62="安装免保",$Y62="技术免保",$Y62="质保期内"),IF($Z62="","▲免保没填到期日",IF($Z62&lt;TODAY(),"▲免保已到期 该转收费了",IF($Z62-TODAY()&lt;=合同提醒天,"免保还剩 "&amp;TEXT($Z62-TODAY(),"0")&amp;" 天","免保中"))),IF($Y62="暂停维保","暂停中 不计费",IF($Y62="已解约","已解约",IF(COUNTIF(合同键,$E62)=0,"▲还没建合同行","")))))</f>
        <v/>
      </c>
      <c r="AD62" s="24"/>
      <c r="AE62" s="35" t="str">
        <f aca="false">IF($C62="","",IF($D62="","★项目名称没填",IF(N($P62)&lt;=0,"★台量要填",IF(AND(OR($Y62="安装免保",$Y62="技术免保",$Y62="质保期内"),$Z62=""),"★免保到期日没填",IF(COUNTIF(合同键,$E62)=0,"★还没建合同行","OK")))))</f>
        <v/>
      </c>
    </row>
    <row r="63" customFormat="false" ht="15" hidden="false" customHeight="false" outlineLevel="0" collapsed="false">
      <c r="A63" s="29" t="str">
        <f aca="false">IF($C63="","",ROW()-4)</f>
        <v/>
      </c>
      <c r="B63" s="25"/>
      <c r="C63" s="24"/>
      <c r="D63" s="24"/>
      <c r="E63" s="30" t="str">
        <f aca="false">IF($C63="","",$C63&amp;" ｜ "&amp;$D63)</f>
        <v/>
      </c>
      <c r="F63" s="25"/>
      <c r="G63" s="25"/>
      <c r="H63" s="25"/>
      <c r="I63" s="25"/>
      <c r="J63" s="25"/>
      <c r="K63" s="21"/>
      <c r="L63" s="21"/>
      <c r="M63" s="21"/>
      <c r="N63" s="25"/>
      <c r="O63" s="25"/>
      <c r="P63" s="32"/>
      <c r="Q63" s="25"/>
      <c r="R63" s="25"/>
      <c r="S63" s="33"/>
      <c r="T63" s="33"/>
      <c r="U63" s="33"/>
      <c r="V63" s="33"/>
      <c r="W63" s="25"/>
      <c r="X63" s="25"/>
      <c r="Y63" s="25"/>
      <c r="Z63" s="33"/>
      <c r="AA63" s="34" t="str">
        <f aca="true">IF($T63="","",IF($T63&lt;TODAY(),"已过期 "&amp;TEXT(TODAY()-$T63,"0")&amp;" 天",IF($T63-TODAY()&lt;=年检提醒天,"还剩 "&amp;TEXT($T63-TODAY(),"0")&amp;" 天","")))</f>
        <v/>
      </c>
      <c r="AB63" s="34" t="str">
        <f aca="true">IF(COUNT($U63:$V63)=0,"",IF(MIN($U63:$V63)&lt;TODAY(),"已过期 "&amp;TEXT(TODAY()-MIN($U63:$V63),"0")&amp;" 天",IF(MIN($U63:$V63)-TODAY()&lt;=年检提醒天,"还剩 "&amp;TEXT(MIN($U63:$V63)-TODAY(),"0")&amp;" 天","")))</f>
        <v/>
      </c>
      <c r="AC63" s="34" t="str">
        <f aca="true">IF($C63="","",IF(OR($Y63="安装免保",$Y63="技术免保",$Y63="质保期内"),IF($Z63="","▲免保没填到期日",IF($Z63&lt;TODAY(),"▲免保已到期 该转收费了",IF($Z63-TODAY()&lt;=合同提醒天,"免保还剩 "&amp;TEXT($Z63-TODAY(),"0")&amp;" 天","免保中"))),IF($Y63="暂停维保","暂停中 不计费",IF($Y63="已解约","已解约",IF(COUNTIF(合同键,$E63)=0,"▲还没建合同行","")))))</f>
        <v/>
      </c>
      <c r="AD63" s="24"/>
      <c r="AE63" s="35" t="str">
        <f aca="false">IF($C63="","",IF($D63="","★项目名称没填",IF(N($P63)&lt;=0,"★台量要填",IF(AND(OR($Y63="安装免保",$Y63="技术免保",$Y63="质保期内"),$Z63=""),"★免保到期日没填",IF(COUNTIF(合同键,$E63)=0,"★还没建合同行","OK")))))</f>
        <v/>
      </c>
    </row>
    <row r="64" customFormat="false" ht="15" hidden="false" customHeight="false" outlineLevel="0" collapsed="false">
      <c r="A64" s="29" t="str">
        <f aca="false">IF($C64="","",ROW()-4)</f>
        <v/>
      </c>
      <c r="B64" s="25"/>
      <c r="C64" s="24"/>
      <c r="D64" s="24"/>
      <c r="E64" s="30" t="str">
        <f aca="false">IF($C64="","",$C64&amp;" ｜ "&amp;$D64)</f>
        <v/>
      </c>
      <c r="F64" s="25"/>
      <c r="G64" s="25"/>
      <c r="H64" s="25"/>
      <c r="I64" s="25"/>
      <c r="J64" s="25"/>
      <c r="K64" s="21"/>
      <c r="L64" s="21"/>
      <c r="M64" s="21"/>
      <c r="N64" s="25"/>
      <c r="O64" s="25"/>
      <c r="P64" s="32"/>
      <c r="Q64" s="25"/>
      <c r="R64" s="25"/>
      <c r="S64" s="33"/>
      <c r="T64" s="33"/>
      <c r="U64" s="33"/>
      <c r="V64" s="33"/>
      <c r="W64" s="25"/>
      <c r="X64" s="25"/>
      <c r="Y64" s="25"/>
      <c r="Z64" s="33"/>
      <c r="AA64" s="34" t="str">
        <f aca="true">IF($T64="","",IF($T64&lt;TODAY(),"已过期 "&amp;TEXT(TODAY()-$T64,"0")&amp;" 天",IF($T64-TODAY()&lt;=年检提醒天,"还剩 "&amp;TEXT($T64-TODAY(),"0")&amp;" 天","")))</f>
        <v/>
      </c>
      <c r="AB64" s="34" t="str">
        <f aca="true">IF(COUNT($U64:$V64)=0,"",IF(MIN($U64:$V64)&lt;TODAY(),"已过期 "&amp;TEXT(TODAY()-MIN($U64:$V64),"0")&amp;" 天",IF(MIN($U64:$V64)-TODAY()&lt;=年检提醒天,"还剩 "&amp;TEXT(MIN($U64:$V64)-TODAY(),"0")&amp;" 天","")))</f>
        <v/>
      </c>
      <c r="AC64" s="34" t="str">
        <f aca="true">IF($C64="","",IF(OR($Y64="安装免保",$Y64="技术免保",$Y64="质保期内"),IF($Z64="","▲免保没填到期日",IF($Z64&lt;TODAY(),"▲免保已到期 该转收费了",IF($Z64-TODAY()&lt;=合同提醒天,"免保还剩 "&amp;TEXT($Z64-TODAY(),"0")&amp;" 天","免保中"))),IF($Y64="暂停维保","暂停中 不计费",IF($Y64="已解约","已解约",IF(COUNTIF(合同键,$E64)=0,"▲还没建合同行","")))))</f>
        <v/>
      </c>
      <c r="AD64" s="24"/>
      <c r="AE64" s="35" t="str">
        <f aca="false">IF($C64="","",IF($D64="","★项目名称没填",IF(N($P64)&lt;=0,"★台量要填",IF(AND(OR($Y64="安装免保",$Y64="技术免保",$Y64="质保期内"),$Z64=""),"★免保到期日没填",IF(COUNTIF(合同键,$E64)=0,"★还没建合同行","OK")))))</f>
        <v/>
      </c>
    </row>
    <row r="65" customFormat="false" ht="15" hidden="false" customHeight="false" outlineLevel="0" collapsed="false">
      <c r="A65" s="29" t="str">
        <f aca="false">IF($C65="","",ROW()-4)</f>
        <v/>
      </c>
      <c r="B65" s="25"/>
      <c r="C65" s="24"/>
      <c r="D65" s="24"/>
      <c r="E65" s="30" t="str">
        <f aca="false">IF($C65="","",$C65&amp;" ｜ "&amp;$D65)</f>
        <v/>
      </c>
      <c r="F65" s="25"/>
      <c r="G65" s="25"/>
      <c r="H65" s="25"/>
      <c r="I65" s="25"/>
      <c r="J65" s="25"/>
      <c r="K65" s="21"/>
      <c r="L65" s="21"/>
      <c r="M65" s="21"/>
      <c r="N65" s="25"/>
      <c r="O65" s="25"/>
      <c r="P65" s="32"/>
      <c r="Q65" s="25"/>
      <c r="R65" s="25"/>
      <c r="S65" s="33"/>
      <c r="T65" s="33"/>
      <c r="U65" s="33"/>
      <c r="V65" s="33"/>
      <c r="W65" s="25"/>
      <c r="X65" s="25"/>
      <c r="Y65" s="25"/>
      <c r="Z65" s="33"/>
      <c r="AA65" s="34" t="str">
        <f aca="true">IF($T65="","",IF($T65&lt;TODAY(),"已过期 "&amp;TEXT(TODAY()-$T65,"0")&amp;" 天",IF($T65-TODAY()&lt;=年检提醒天,"还剩 "&amp;TEXT($T65-TODAY(),"0")&amp;" 天","")))</f>
        <v/>
      </c>
      <c r="AB65" s="34" t="str">
        <f aca="true">IF(COUNT($U65:$V65)=0,"",IF(MIN($U65:$V65)&lt;TODAY(),"已过期 "&amp;TEXT(TODAY()-MIN($U65:$V65),"0")&amp;" 天",IF(MIN($U65:$V65)-TODAY()&lt;=年检提醒天,"还剩 "&amp;TEXT(MIN($U65:$V65)-TODAY(),"0")&amp;" 天","")))</f>
        <v/>
      </c>
      <c r="AC65" s="34" t="str">
        <f aca="true">IF($C65="","",IF(OR($Y65="安装免保",$Y65="技术免保",$Y65="质保期内"),IF($Z65="","▲免保没填到期日",IF($Z65&lt;TODAY(),"▲免保已到期 该转收费了",IF($Z65-TODAY()&lt;=合同提醒天,"免保还剩 "&amp;TEXT($Z65-TODAY(),"0")&amp;" 天","免保中"))),IF($Y65="暂停维保","暂停中 不计费",IF($Y65="已解约","已解约",IF(COUNTIF(合同键,$E65)=0,"▲还没建合同行","")))))</f>
        <v/>
      </c>
      <c r="AD65" s="24"/>
      <c r="AE65" s="35" t="str">
        <f aca="false">IF($C65="","",IF($D65="","★项目名称没填",IF(N($P65)&lt;=0,"★台量要填",IF(AND(OR($Y65="安装免保",$Y65="技术免保",$Y65="质保期内"),$Z65=""),"★免保到期日没填",IF(COUNTIF(合同键,$E65)=0,"★还没建合同行","OK")))))</f>
        <v/>
      </c>
    </row>
    <row r="66" customFormat="false" ht="15" hidden="false" customHeight="false" outlineLevel="0" collapsed="false">
      <c r="A66" s="29" t="str">
        <f aca="false">IF($C66="","",ROW()-4)</f>
        <v/>
      </c>
      <c r="B66" s="25"/>
      <c r="C66" s="24"/>
      <c r="D66" s="24"/>
      <c r="E66" s="30" t="str">
        <f aca="false">IF($C66="","",$C66&amp;" ｜ "&amp;$D66)</f>
        <v/>
      </c>
      <c r="F66" s="25"/>
      <c r="G66" s="25"/>
      <c r="H66" s="25"/>
      <c r="I66" s="25"/>
      <c r="J66" s="25"/>
      <c r="K66" s="21"/>
      <c r="L66" s="21"/>
      <c r="M66" s="21"/>
      <c r="N66" s="25"/>
      <c r="O66" s="25"/>
      <c r="P66" s="32"/>
      <c r="Q66" s="25"/>
      <c r="R66" s="25"/>
      <c r="S66" s="33"/>
      <c r="T66" s="33"/>
      <c r="U66" s="33"/>
      <c r="V66" s="33"/>
      <c r="W66" s="25"/>
      <c r="X66" s="25"/>
      <c r="Y66" s="25"/>
      <c r="Z66" s="33"/>
      <c r="AA66" s="34" t="str">
        <f aca="true">IF($T66="","",IF($T66&lt;TODAY(),"已过期 "&amp;TEXT(TODAY()-$T66,"0")&amp;" 天",IF($T66-TODAY()&lt;=年检提醒天,"还剩 "&amp;TEXT($T66-TODAY(),"0")&amp;" 天","")))</f>
        <v/>
      </c>
      <c r="AB66" s="34" t="str">
        <f aca="true">IF(COUNT($U66:$V66)=0,"",IF(MIN($U66:$V66)&lt;TODAY(),"已过期 "&amp;TEXT(TODAY()-MIN($U66:$V66),"0")&amp;" 天",IF(MIN($U66:$V66)-TODAY()&lt;=年检提醒天,"还剩 "&amp;TEXT(MIN($U66:$V66)-TODAY(),"0")&amp;" 天","")))</f>
        <v/>
      </c>
      <c r="AC66" s="34" t="str">
        <f aca="true">IF($C66="","",IF(OR($Y66="安装免保",$Y66="技术免保",$Y66="质保期内"),IF($Z66="","▲免保没填到期日",IF($Z66&lt;TODAY(),"▲免保已到期 该转收费了",IF($Z66-TODAY()&lt;=合同提醒天,"免保还剩 "&amp;TEXT($Z66-TODAY(),"0")&amp;" 天","免保中"))),IF($Y66="暂停维保","暂停中 不计费",IF($Y66="已解约","已解约",IF(COUNTIF(合同键,$E66)=0,"▲还没建合同行","")))))</f>
        <v/>
      </c>
      <c r="AD66" s="24"/>
      <c r="AE66" s="35" t="str">
        <f aca="false">IF($C66="","",IF($D66="","★项目名称没填",IF(N($P66)&lt;=0,"★台量要填",IF(AND(OR($Y66="安装免保",$Y66="技术免保",$Y66="质保期内"),$Z66=""),"★免保到期日没填",IF(COUNTIF(合同键,$E66)=0,"★还没建合同行","OK")))))</f>
        <v/>
      </c>
    </row>
    <row r="67" customFormat="false" ht="15" hidden="false" customHeight="false" outlineLevel="0" collapsed="false">
      <c r="A67" s="29" t="str">
        <f aca="false">IF($C67="","",ROW()-4)</f>
        <v/>
      </c>
      <c r="B67" s="25"/>
      <c r="C67" s="24"/>
      <c r="D67" s="24"/>
      <c r="E67" s="30" t="str">
        <f aca="false">IF($C67="","",$C67&amp;" ｜ "&amp;$D67)</f>
        <v/>
      </c>
      <c r="F67" s="25"/>
      <c r="G67" s="25"/>
      <c r="H67" s="25"/>
      <c r="I67" s="25"/>
      <c r="J67" s="25"/>
      <c r="K67" s="21"/>
      <c r="L67" s="21"/>
      <c r="M67" s="21"/>
      <c r="N67" s="25"/>
      <c r="O67" s="25"/>
      <c r="P67" s="32"/>
      <c r="Q67" s="25"/>
      <c r="R67" s="25"/>
      <c r="S67" s="33"/>
      <c r="T67" s="33"/>
      <c r="U67" s="33"/>
      <c r="V67" s="33"/>
      <c r="W67" s="25"/>
      <c r="X67" s="25"/>
      <c r="Y67" s="25"/>
      <c r="Z67" s="33"/>
      <c r="AA67" s="34" t="str">
        <f aca="true">IF($T67="","",IF($T67&lt;TODAY(),"已过期 "&amp;TEXT(TODAY()-$T67,"0")&amp;" 天",IF($T67-TODAY()&lt;=年检提醒天,"还剩 "&amp;TEXT($T67-TODAY(),"0")&amp;" 天","")))</f>
        <v/>
      </c>
      <c r="AB67" s="34" t="str">
        <f aca="true">IF(COUNT($U67:$V67)=0,"",IF(MIN($U67:$V67)&lt;TODAY(),"已过期 "&amp;TEXT(TODAY()-MIN($U67:$V67),"0")&amp;" 天",IF(MIN($U67:$V67)-TODAY()&lt;=年检提醒天,"还剩 "&amp;TEXT(MIN($U67:$V67)-TODAY(),"0")&amp;" 天","")))</f>
        <v/>
      </c>
      <c r="AC67" s="34" t="str">
        <f aca="true">IF($C67="","",IF(OR($Y67="安装免保",$Y67="技术免保",$Y67="质保期内"),IF($Z67="","▲免保没填到期日",IF($Z67&lt;TODAY(),"▲免保已到期 该转收费了",IF($Z67-TODAY()&lt;=合同提醒天,"免保还剩 "&amp;TEXT($Z67-TODAY(),"0")&amp;" 天","免保中"))),IF($Y67="暂停维保","暂停中 不计费",IF($Y67="已解约","已解约",IF(COUNTIF(合同键,$E67)=0,"▲还没建合同行","")))))</f>
        <v/>
      </c>
      <c r="AD67" s="24"/>
      <c r="AE67" s="35" t="str">
        <f aca="false">IF($C67="","",IF($D67="","★项目名称没填",IF(N($P67)&lt;=0,"★台量要填",IF(AND(OR($Y67="安装免保",$Y67="技术免保",$Y67="质保期内"),$Z67=""),"★免保到期日没填",IF(COUNTIF(合同键,$E67)=0,"★还没建合同行","OK")))))</f>
        <v/>
      </c>
    </row>
    <row r="68" customFormat="false" ht="15" hidden="false" customHeight="false" outlineLevel="0" collapsed="false">
      <c r="A68" s="29" t="str">
        <f aca="false">IF($C68="","",ROW()-4)</f>
        <v/>
      </c>
      <c r="B68" s="25"/>
      <c r="C68" s="24"/>
      <c r="D68" s="24"/>
      <c r="E68" s="30" t="str">
        <f aca="false">IF($C68="","",$C68&amp;" ｜ "&amp;$D68)</f>
        <v/>
      </c>
      <c r="F68" s="25"/>
      <c r="G68" s="25"/>
      <c r="H68" s="25"/>
      <c r="I68" s="25"/>
      <c r="J68" s="25"/>
      <c r="K68" s="21"/>
      <c r="L68" s="21"/>
      <c r="M68" s="21"/>
      <c r="N68" s="25"/>
      <c r="O68" s="25"/>
      <c r="P68" s="32"/>
      <c r="Q68" s="25"/>
      <c r="R68" s="25"/>
      <c r="S68" s="33"/>
      <c r="T68" s="33"/>
      <c r="U68" s="33"/>
      <c r="V68" s="33"/>
      <c r="W68" s="25"/>
      <c r="X68" s="25"/>
      <c r="Y68" s="25"/>
      <c r="Z68" s="33"/>
      <c r="AA68" s="34" t="str">
        <f aca="true">IF($T68="","",IF($T68&lt;TODAY(),"已过期 "&amp;TEXT(TODAY()-$T68,"0")&amp;" 天",IF($T68-TODAY()&lt;=年检提醒天,"还剩 "&amp;TEXT($T68-TODAY(),"0")&amp;" 天","")))</f>
        <v/>
      </c>
      <c r="AB68" s="34" t="str">
        <f aca="true">IF(COUNT($U68:$V68)=0,"",IF(MIN($U68:$V68)&lt;TODAY(),"已过期 "&amp;TEXT(TODAY()-MIN($U68:$V68),"0")&amp;" 天",IF(MIN($U68:$V68)-TODAY()&lt;=年检提醒天,"还剩 "&amp;TEXT(MIN($U68:$V68)-TODAY(),"0")&amp;" 天","")))</f>
        <v/>
      </c>
      <c r="AC68" s="34" t="str">
        <f aca="true">IF($C68="","",IF(OR($Y68="安装免保",$Y68="技术免保",$Y68="质保期内"),IF($Z68="","▲免保没填到期日",IF($Z68&lt;TODAY(),"▲免保已到期 该转收费了",IF($Z68-TODAY()&lt;=合同提醒天,"免保还剩 "&amp;TEXT($Z68-TODAY(),"0")&amp;" 天","免保中"))),IF($Y68="暂停维保","暂停中 不计费",IF($Y68="已解约","已解约",IF(COUNTIF(合同键,$E68)=0,"▲还没建合同行","")))))</f>
        <v/>
      </c>
      <c r="AD68" s="24"/>
      <c r="AE68" s="35" t="str">
        <f aca="false">IF($C68="","",IF($D68="","★项目名称没填",IF(N($P68)&lt;=0,"★台量要填",IF(AND(OR($Y68="安装免保",$Y68="技术免保",$Y68="质保期内"),$Z68=""),"★免保到期日没填",IF(COUNTIF(合同键,$E68)=0,"★还没建合同行","OK")))))</f>
        <v/>
      </c>
    </row>
    <row r="69" customFormat="false" ht="15" hidden="false" customHeight="false" outlineLevel="0" collapsed="false">
      <c r="A69" s="29" t="str">
        <f aca="false">IF($C69="","",ROW()-4)</f>
        <v/>
      </c>
      <c r="B69" s="25"/>
      <c r="C69" s="24"/>
      <c r="D69" s="24"/>
      <c r="E69" s="30" t="str">
        <f aca="false">IF($C69="","",$C69&amp;" ｜ "&amp;$D69)</f>
        <v/>
      </c>
      <c r="F69" s="25"/>
      <c r="G69" s="25"/>
      <c r="H69" s="25"/>
      <c r="I69" s="25"/>
      <c r="J69" s="25"/>
      <c r="K69" s="21"/>
      <c r="L69" s="21"/>
      <c r="M69" s="21"/>
      <c r="N69" s="25"/>
      <c r="O69" s="25"/>
      <c r="P69" s="32"/>
      <c r="Q69" s="25"/>
      <c r="R69" s="25"/>
      <c r="S69" s="33"/>
      <c r="T69" s="33"/>
      <c r="U69" s="33"/>
      <c r="V69" s="33"/>
      <c r="W69" s="25"/>
      <c r="X69" s="25"/>
      <c r="Y69" s="25"/>
      <c r="Z69" s="33"/>
      <c r="AA69" s="34" t="str">
        <f aca="true">IF($T69="","",IF($T69&lt;TODAY(),"已过期 "&amp;TEXT(TODAY()-$T69,"0")&amp;" 天",IF($T69-TODAY()&lt;=年检提醒天,"还剩 "&amp;TEXT($T69-TODAY(),"0")&amp;" 天","")))</f>
        <v/>
      </c>
      <c r="AB69" s="34" t="str">
        <f aca="true">IF(COUNT($U69:$V69)=0,"",IF(MIN($U69:$V69)&lt;TODAY(),"已过期 "&amp;TEXT(TODAY()-MIN($U69:$V69),"0")&amp;" 天",IF(MIN($U69:$V69)-TODAY()&lt;=年检提醒天,"还剩 "&amp;TEXT(MIN($U69:$V69)-TODAY(),"0")&amp;" 天","")))</f>
        <v/>
      </c>
      <c r="AC69" s="34" t="str">
        <f aca="true">IF($C69="","",IF(OR($Y69="安装免保",$Y69="技术免保",$Y69="质保期内"),IF($Z69="","▲免保没填到期日",IF($Z69&lt;TODAY(),"▲免保已到期 该转收费了",IF($Z69-TODAY()&lt;=合同提醒天,"免保还剩 "&amp;TEXT($Z69-TODAY(),"0")&amp;" 天","免保中"))),IF($Y69="暂停维保","暂停中 不计费",IF($Y69="已解约","已解约",IF(COUNTIF(合同键,$E69)=0,"▲还没建合同行","")))))</f>
        <v/>
      </c>
      <c r="AD69" s="24"/>
      <c r="AE69" s="35" t="str">
        <f aca="false">IF($C69="","",IF($D69="","★项目名称没填",IF(N($P69)&lt;=0,"★台量要填",IF(AND(OR($Y69="安装免保",$Y69="技术免保",$Y69="质保期内"),$Z69=""),"★免保到期日没填",IF(COUNTIF(合同键,$E69)=0,"★还没建合同行","OK")))))</f>
        <v/>
      </c>
    </row>
    <row r="70" customFormat="false" ht="15" hidden="false" customHeight="false" outlineLevel="0" collapsed="false">
      <c r="A70" s="29" t="str">
        <f aca="false">IF($C70="","",ROW()-4)</f>
        <v/>
      </c>
      <c r="B70" s="25"/>
      <c r="C70" s="24"/>
      <c r="D70" s="24"/>
      <c r="E70" s="30" t="str">
        <f aca="false">IF($C70="","",$C70&amp;" ｜ "&amp;$D70)</f>
        <v/>
      </c>
      <c r="F70" s="25"/>
      <c r="G70" s="25"/>
      <c r="H70" s="25"/>
      <c r="I70" s="25"/>
      <c r="J70" s="25"/>
      <c r="K70" s="21"/>
      <c r="L70" s="21"/>
      <c r="M70" s="21"/>
      <c r="N70" s="25"/>
      <c r="O70" s="25"/>
      <c r="P70" s="32"/>
      <c r="Q70" s="25"/>
      <c r="R70" s="25"/>
      <c r="S70" s="33"/>
      <c r="T70" s="33"/>
      <c r="U70" s="33"/>
      <c r="V70" s="33"/>
      <c r="W70" s="25"/>
      <c r="X70" s="25"/>
      <c r="Y70" s="25"/>
      <c r="Z70" s="33"/>
      <c r="AA70" s="34" t="str">
        <f aca="true">IF($T70="","",IF($T70&lt;TODAY(),"已过期 "&amp;TEXT(TODAY()-$T70,"0")&amp;" 天",IF($T70-TODAY()&lt;=年检提醒天,"还剩 "&amp;TEXT($T70-TODAY(),"0")&amp;" 天","")))</f>
        <v/>
      </c>
      <c r="AB70" s="34" t="str">
        <f aca="true">IF(COUNT($U70:$V70)=0,"",IF(MIN($U70:$V70)&lt;TODAY(),"已过期 "&amp;TEXT(TODAY()-MIN($U70:$V70),"0")&amp;" 天",IF(MIN($U70:$V70)-TODAY()&lt;=年检提醒天,"还剩 "&amp;TEXT(MIN($U70:$V70)-TODAY(),"0")&amp;" 天","")))</f>
        <v/>
      </c>
      <c r="AC70" s="34" t="str">
        <f aca="true">IF($C70="","",IF(OR($Y70="安装免保",$Y70="技术免保",$Y70="质保期内"),IF($Z70="","▲免保没填到期日",IF($Z70&lt;TODAY(),"▲免保已到期 该转收费了",IF($Z70-TODAY()&lt;=合同提醒天,"免保还剩 "&amp;TEXT($Z70-TODAY(),"0")&amp;" 天","免保中"))),IF($Y70="暂停维保","暂停中 不计费",IF($Y70="已解约","已解约",IF(COUNTIF(合同键,$E70)=0,"▲还没建合同行","")))))</f>
        <v/>
      </c>
      <c r="AD70" s="24"/>
      <c r="AE70" s="35" t="str">
        <f aca="false">IF($C70="","",IF($D70="","★项目名称没填",IF(N($P70)&lt;=0,"★台量要填",IF(AND(OR($Y70="安装免保",$Y70="技术免保",$Y70="质保期内"),$Z70=""),"★免保到期日没填",IF(COUNTIF(合同键,$E70)=0,"★还没建合同行","OK")))))</f>
        <v/>
      </c>
    </row>
    <row r="71" customFormat="false" ht="15" hidden="false" customHeight="false" outlineLevel="0" collapsed="false">
      <c r="A71" s="29" t="str">
        <f aca="false">IF($C71="","",ROW()-4)</f>
        <v/>
      </c>
      <c r="B71" s="25"/>
      <c r="C71" s="24"/>
      <c r="D71" s="24"/>
      <c r="E71" s="30" t="str">
        <f aca="false">IF($C71="","",$C71&amp;" ｜ "&amp;$D71)</f>
        <v/>
      </c>
      <c r="F71" s="25"/>
      <c r="G71" s="25"/>
      <c r="H71" s="25"/>
      <c r="I71" s="25"/>
      <c r="J71" s="25"/>
      <c r="K71" s="21"/>
      <c r="L71" s="21"/>
      <c r="M71" s="21"/>
      <c r="N71" s="25"/>
      <c r="O71" s="25"/>
      <c r="P71" s="32"/>
      <c r="Q71" s="25"/>
      <c r="R71" s="25"/>
      <c r="S71" s="33"/>
      <c r="T71" s="33"/>
      <c r="U71" s="33"/>
      <c r="V71" s="33"/>
      <c r="W71" s="25"/>
      <c r="X71" s="25"/>
      <c r="Y71" s="25"/>
      <c r="Z71" s="33"/>
      <c r="AA71" s="34" t="str">
        <f aca="true">IF($T71="","",IF($T71&lt;TODAY(),"已过期 "&amp;TEXT(TODAY()-$T71,"0")&amp;" 天",IF($T71-TODAY()&lt;=年检提醒天,"还剩 "&amp;TEXT($T71-TODAY(),"0")&amp;" 天","")))</f>
        <v/>
      </c>
      <c r="AB71" s="34" t="str">
        <f aca="true">IF(COUNT($U71:$V71)=0,"",IF(MIN($U71:$V71)&lt;TODAY(),"已过期 "&amp;TEXT(TODAY()-MIN($U71:$V71),"0")&amp;" 天",IF(MIN($U71:$V71)-TODAY()&lt;=年检提醒天,"还剩 "&amp;TEXT(MIN($U71:$V71)-TODAY(),"0")&amp;" 天","")))</f>
        <v/>
      </c>
      <c r="AC71" s="34" t="str">
        <f aca="true">IF($C71="","",IF(OR($Y71="安装免保",$Y71="技术免保",$Y71="质保期内"),IF($Z71="","▲免保没填到期日",IF($Z71&lt;TODAY(),"▲免保已到期 该转收费了",IF($Z71-TODAY()&lt;=合同提醒天,"免保还剩 "&amp;TEXT($Z71-TODAY(),"0")&amp;" 天","免保中"))),IF($Y71="暂停维保","暂停中 不计费",IF($Y71="已解约","已解约",IF(COUNTIF(合同键,$E71)=0,"▲还没建合同行","")))))</f>
        <v/>
      </c>
      <c r="AD71" s="24"/>
      <c r="AE71" s="35" t="str">
        <f aca="false">IF($C71="","",IF($D71="","★项目名称没填",IF(N($P71)&lt;=0,"★台量要填",IF(AND(OR($Y71="安装免保",$Y71="技术免保",$Y71="质保期内"),$Z71=""),"★免保到期日没填",IF(COUNTIF(合同键,$E71)=0,"★还没建合同行","OK")))))</f>
        <v/>
      </c>
    </row>
    <row r="72" customFormat="false" ht="15" hidden="false" customHeight="false" outlineLevel="0" collapsed="false">
      <c r="A72" s="29" t="str">
        <f aca="false">IF($C72="","",ROW()-4)</f>
        <v/>
      </c>
      <c r="B72" s="25"/>
      <c r="C72" s="24"/>
      <c r="D72" s="24"/>
      <c r="E72" s="30" t="str">
        <f aca="false">IF($C72="","",$C72&amp;" ｜ "&amp;$D72)</f>
        <v/>
      </c>
      <c r="F72" s="25"/>
      <c r="G72" s="25"/>
      <c r="H72" s="25"/>
      <c r="I72" s="25"/>
      <c r="J72" s="25"/>
      <c r="K72" s="21"/>
      <c r="L72" s="21"/>
      <c r="M72" s="21"/>
      <c r="N72" s="25"/>
      <c r="O72" s="25"/>
      <c r="P72" s="32"/>
      <c r="Q72" s="25"/>
      <c r="R72" s="25"/>
      <c r="S72" s="33"/>
      <c r="T72" s="33"/>
      <c r="U72" s="33"/>
      <c r="V72" s="33"/>
      <c r="W72" s="25"/>
      <c r="X72" s="25"/>
      <c r="Y72" s="25"/>
      <c r="Z72" s="33"/>
      <c r="AA72" s="34" t="str">
        <f aca="true">IF($T72="","",IF($T72&lt;TODAY(),"已过期 "&amp;TEXT(TODAY()-$T72,"0")&amp;" 天",IF($T72-TODAY()&lt;=年检提醒天,"还剩 "&amp;TEXT($T72-TODAY(),"0")&amp;" 天","")))</f>
        <v/>
      </c>
      <c r="AB72" s="34" t="str">
        <f aca="true">IF(COUNT($U72:$V72)=0,"",IF(MIN($U72:$V72)&lt;TODAY(),"已过期 "&amp;TEXT(TODAY()-MIN($U72:$V72),"0")&amp;" 天",IF(MIN($U72:$V72)-TODAY()&lt;=年检提醒天,"还剩 "&amp;TEXT(MIN($U72:$V72)-TODAY(),"0")&amp;" 天","")))</f>
        <v/>
      </c>
      <c r="AC72" s="34" t="str">
        <f aca="true">IF($C72="","",IF(OR($Y72="安装免保",$Y72="技术免保",$Y72="质保期内"),IF($Z72="","▲免保没填到期日",IF($Z72&lt;TODAY(),"▲免保已到期 该转收费了",IF($Z72-TODAY()&lt;=合同提醒天,"免保还剩 "&amp;TEXT($Z72-TODAY(),"0")&amp;" 天","免保中"))),IF($Y72="暂停维保","暂停中 不计费",IF($Y72="已解约","已解约",IF(COUNTIF(合同键,$E72)=0,"▲还没建合同行","")))))</f>
        <v/>
      </c>
      <c r="AD72" s="24"/>
      <c r="AE72" s="35" t="str">
        <f aca="false">IF($C72="","",IF($D72="","★项目名称没填",IF(N($P72)&lt;=0,"★台量要填",IF(AND(OR($Y72="安装免保",$Y72="技术免保",$Y72="质保期内"),$Z72=""),"★免保到期日没填",IF(COUNTIF(合同键,$E72)=0,"★还没建合同行","OK")))))</f>
        <v/>
      </c>
    </row>
    <row r="73" customFormat="false" ht="15" hidden="false" customHeight="false" outlineLevel="0" collapsed="false">
      <c r="A73" s="29" t="str">
        <f aca="false">IF($C73="","",ROW()-4)</f>
        <v/>
      </c>
      <c r="B73" s="25"/>
      <c r="C73" s="24"/>
      <c r="D73" s="24"/>
      <c r="E73" s="30" t="str">
        <f aca="false">IF($C73="","",$C73&amp;" ｜ "&amp;$D73)</f>
        <v/>
      </c>
      <c r="F73" s="25"/>
      <c r="G73" s="25"/>
      <c r="H73" s="25"/>
      <c r="I73" s="25"/>
      <c r="J73" s="25"/>
      <c r="K73" s="21"/>
      <c r="L73" s="21"/>
      <c r="M73" s="21"/>
      <c r="N73" s="25"/>
      <c r="O73" s="25"/>
      <c r="P73" s="32"/>
      <c r="Q73" s="25"/>
      <c r="R73" s="25"/>
      <c r="S73" s="33"/>
      <c r="T73" s="33"/>
      <c r="U73" s="33"/>
      <c r="V73" s="33"/>
      <c r="W73" s="25"/>
      <c r="X73" s="25"/>
      <c r="Y73" s="25"/>
      <c r="Z73" s="33"/>
      <c r="AA73" s="34" t="str">
        <f aca="true">IF($T73="","",IF($T73&lt;TODAY(),"已过期 "&amp;TEXT(TODAY()-$T73,"0")&amp;" 天",IF($T73-TODAY()&lt;=年检提醒天,"还剩 "&amp;TEXT($T73-TODAY(),"0")&amp;" 天","")))</f>
        <v/>
      </c>
      <c r="AB73" s="34" t="str">
        <f aca="true">IF(COUNT($U73:$V73)=0,"",IF(MIN($U73:$V73)&lt;TODAY(),"已过期 "&amp;TEXT(TODAY()-MIN($U73:$V73),"0")&amp;" 天",IF(MIN($U73:$V73)-TODAY()&lt;=年检提醒天,"还剩 "&amp;TEXT(MIN($U73:$V73)-TODAY(),"0")&amp;" 天","")))</f>
        <v/>
      </c>
      <c r="AC73" s="34" t="str">
        <f aca="true">IF($C73="","",IF(OR($Y73="安装免保",$Y73="技术免保",$Y73="质保期内"),IF($Z73="","▲免保没填到期日",IF($Z73&lt;TODAY(),"▲免保已到期 该转收费了",IF($Z73-TODAY()&lt;=合同提醒天,"免保还剩 "&amp;TEXT($Z73-TODAY(),"0")&amp;" 天","免保中"))),IF($Y73="暂停维保","暂停中 不计费",IF($Y73="已解约","已解约",IF(COUNTIF(合同键,$E73)=0,"▲还没建合同行","")))))</f>
        <v/>
      </c>
      <c r="AD73" s="24"/>
      <c r="AE73" s="35" t="str">
        <f aca="false">IF($C73="","",IF($D73="","★项目名称没填",IF(N($P73)&lt;=0,"★台量要填",IF(AND(OR($Y73="安装免保",$Y73="技术免保",$Y73="质保期内"),$Z73=""),"★免保到期日没填",IF(COUNTIF(合同键,$E73)=0,"★还没建合同行","OK")))))</f>
        <v/>
      </c>
    </row>
    <row r="74" customFormat="false" ht="15" hidden="false" customHeight="false" outlineLevel="0" collapsed="false">
      <c r="A74" s="29" t="str">
        <f aca="false">IF($C74="","",ROW()-4)</f>
        <v/>
      </c>
      <c r="B74" s="25"/>
      <c r="C74" s="24"/>
      <c r="D74" s="24"/>
      <c r="E74" s="30" t="str">
        <f aca="false">IF($C74="","",$C74&amp;" ｜ "&amp;$D74)</f>
        <v/>
      </c>
      <c r="F74" s="25"/>
      <c r="G74" s="25"/>
      <c r="H74" s="25"/>
      <c r="I74" s="25"/>
      <c r="J74" s="25"/>
      <c r="K74" s="21"/>
      <c r="L74" s="21"/>
      <c r="M74" s="21"/>
      <c r="N74" s="25"/>
      <c r="O74" s="25"/>
      <c r="P74" s="32"/>
      <c r="Q74" s="25"/>
      <c r="R74" s="25"/>
      <c r="S74" s="33"/>
      <c r="T74" s="33"/>
      <c r="U74" s="33"/>
      <c r="V74" s="33"/>
      <c r="W74" s="25"/>
      <c r="X74" s="25"/>
      <c r="Y74" s="25"/>
      <c r="Z74" s="33"/>
      <c r="AA74" s="34" t="str">
        <f aca="true">IF($T74="","",IF($T74&lt;TODAY(),"已过期 "&amp;TEXT(TODAY()-$T74,"0")&amp;" 天",IF($T74-TODAY()&lt;=年检提醒天,"还剩 "&amp;TEXT($T74-TODAY(),"0")&amp;" 天","")))</f>
        <v/>
      </c>
      <c r="AB74" s="34" t="str">
        <f aca="true">IF(COUNT($U74:$V74)=0,"",IF(MIN($U74:$V74)&lt;TODAY(),"已过期 "&amp;TEXT(TODAY()-MIN($U74:$V74),"0")&amp;" 天",IF(MIN($U74:$V74)-TODAY()&lt;=年检提醒天,"还剩 "&amp;TEXT(MIN($U74:$V74)-TODAY(),"0")&amp;" 天","")))</f>
        <v/>
      </c>
      <c r="AC74" s="34" t="str">
        <f aca="true">IF($C74="","",IF(OR($Y74="安装免保",$Y74="技术免保",$Y74="质保期内"),IF($Z74="","▲免保没填到期日",IF($Z74&lt;TODAY(),"▲免保已到期 该转收费了",IF($Z74-TODAY()&lt;=合同提醒天,"免保还剩 "&amp;TEXT($Z74-TODAY(),"0")&amp;" 天","免保中"))),IF($Y74="暂停维保","暂停中 不计费",IF($Y74="已解约","已解约",IF(COUNTIF(合同键,$E74)=0,"▲还没建合同行","")))))</f>
        <v/>
      </c>
      <c r="AD74" s="24"/>
      <c r="AE74" s="35" t="str">
        <f aca="false">IF($C74="","",IF($D74="","★项目名称没填",IF(N($P74)&lt;=0,"★台量要填",IF(AND(OR($Y74="安装免保",$Y74="技术免保",$Y74="质保期内"),$Z74=""),"★免保到期日没填",IF(COUNTIF(合同键,$E74)=0,"★还没建合同行","OK")))))</f>
        <v/>
      </c>
    </row>
    <row r="75" customFormat="false" ht="15" hidden="false" customHeight="false" outlineLevel="0" collapsed="false">
      <c r="A75" s="29" t="str">
        <f aca="false">IF($C75="","",ROW()-4)</f>
        <v/>
      </c>
      <c r="B75" s="25"/>
      <c r="C75" s="24"/>
      <c r="D75" s="24"/>
      <c r="E75" s="30" t="str">
        <f aca="false">IF($C75="","",$C75&amp;" ｜ "&amp;$D75)</f>
        <v/>
      </c>
      <c r="F75" s="25"/>
      <c r="G75" s="25"/>
      <c r="H75" s="25"/>
      <c r="I75" s="25"/>
      <c r="J75" s="25"/>
      <c r="K75" s="21"/>
      <c r="L75" s="21"/>
      <c r="M75" s="21"/>
      <c r="N75" s="25"/>
      <c r="O75" s="25"/>
      <c r="P75" s="32"/>
      <c r="Q75" s="25"/>
      <c r="R75" s="25"/>
      <c r="S75" s="33"/>
      <c r="T75" s="33"/>
      <c r="U75" s="33"/>
      <c r="V75" s="33"/>
      <c r="W75" s="25"/>
      <c r="X75" s="25"/>
      <c r="Y75" s="25"/>
      <c r="Z75" s="33"/>
      <c r="AA75" s="34" t="str">
        <f aca="true">IF($T75="","",IF($T75&lt;TODAY(),"已过期 "&amp;TEXT(TODAY()-$T75,"0")&amp;" 天",IF($T75-TODAY()&lt;=年检提醒天,"还剩 "&amp;TEXT($T75-TODAY(),"0")&amp;" 天","")))</f>
        <v/>
      </c>
      <c r="AB75" s="34" t="str">
        <f aca="true">IF(COUNT($U75:$V75)=0,"",IF(MIN($U75:$V75)&lt;TODAY(),"已过期 "&amp;TEXT(TODAY()-MIN($U75:$V75),"0")&amp;" 天",IF(MIN($U75:$V75)-TODAY()&lt;=年检提醒天,"还剩 "&amp;TEXT(MIN($U75:$V75)-TODAY(),"0")&amp;" 天","")))</f>
        <v/>
      </c>
      <c r="AC75" s="34" t="str">
        <f aca="true">IF($C75="","",IF(OR($Y75="安装免保",$Y75="技术免保",$Y75="质保期内"),IF($Z75="","▲免保没填到期日",IF($Z75&lt;TODAY(),"▲免保已到期 该转收费了",IF($Z75-TODAY()&lt;=合同提醒天,"免保还剩 "&amp;TEXT($Z75-TODAY(),"0")&amp;" 天","免保中"))),IF($Y75="暂停维保","暂停中 不计费",IF($Y75="已解约","已解约",IF(COUNTIF(合同键,$E75)=0,"▲还没建合同行","")))))</f>
        <v/>
      </c>
      <c r="AD75" s="24"/>
      <c r="AE75" s="35" t="str">
        <f aca="false">IF($C75="","",IF($D75="","★项目名称没填",IF(N($P75)&lt;=0,"★台量要填",IF(AND(OR($Y75="安装免保",$Y75="技术免保",$Y75="质保期内"),$Z75=""),"★免保到期日没填",IF(COUNTIF(合同键,$E75)=0,"★还没建合同行","OK")))))</f>
        <v/>
      </c>
    </row>
    <row r="76" customFormat="false" ht="15" hidden="false" customHeight="false" outlineLevel="0" collapsed="false">
      <c r="A76" s="29" t="str">
        <f aca="false">IF($C76="","",ROW()-4)</f>
        <v/>
      </c>
      <c r="B76" s="25"/>
      <c r="C76" s="24"/>
      <c r="D76" s="24"/>
      <c r="E76" s="30" t="str">
        <f aca="false">IF($C76="","",$C76&amp;" ｜ "&amp;$D76)</f>
        <v/>
      </c>
      <c r="F76" s="25"/>
      <c r="G76" s="25"/>
      <c r="H76" s="25"/>
      <c r="I76" s="25"/>
      <c r="J76" s="25"/>
      <c r="K76" s="21"/>
      <c r="L76" s="21"/>
      <c r="M76" s="21"/>
      <c r="N76" s="25"/>
      <c r="O76" s="25"/>
      <c r="P76" s="32"/>
      <c r="Q76" s="25"/>
      <c r="R76" s="25"/>
      <c r="S76" s="33"/>
      <c r="T76" s="33"/>
      <c r="U76" s="33"/>
      <c r="V76" s="33"/>
      <c r="W76" s="25"/>
      <c r="X76" s="25"/>
      <c r="Y76" s="25"/>
      <c r="Z76" s="33"/>
      <c r="AA76" s="34" t="str">
        <f aca="true">IF($T76="","",IF($T76&lt;TODAY(),"已过期 "&amp;TEXT(TODAY()-$T76,"0")&amp;" 天",IF($T76-TODAY()&lt;=年检提醒天,"还剩 "&amp;TEXT($T76-TODAY(),"0")&amp;" 天","")))</f>
        <v/>
      </c>
      <c r="AB76" s="34" t="str">
        <f aca="true">IF(COUNT($U76:$V76)=0,"",IF(MIN($U76:$V76)&lt;TODAY(),"已过期 "&amp;TEXT(TODAY()-MIN($U76:$V76),"0")&amp;" 天",IF(MIN($U76:$V76)-TODAY()&lt;=年检提醒天,"还剩 "&amp;TEXT(MIN($U76:$V76)-TODAY(),"0")&amp;" 天","")))</f>
        <v/>
      </c>
      <c r="AC76" s="34" t="str">
        <f aca="true">IF($C76="","",IF(OR($Y76="安装免保",$Y76="技术免保",$Y76="质保期内"),IF($Z76="","▲免保没填到期日",IF($Z76&lt;TODAY(),"▲免保已到期 该转收费了",IF($Z76-TODAY()&lt;=合同提醒天,"免保还剩 "&amp;TEXT($Z76-TODAY(),"0")&amp;" 天","免保中"))),IF($Y76="暂停维保","暂停中 不计费",IF($Y76="已解约","已解约",IF(COUNTIF(合同键,$E76)=0,"▲还没建合同行","")))))</f>
        <v/>
      </c>
      <c r="AD76" s="24"/>
      <c r="AE76" s="35" t="str">
        <f aca="false">IF($C76="","",IF($D76="","★项目名称没填",IF(N($P76)&lt;=0,"★台量要填",IF(AND(OR($Y76="安装免保",$Y76="技术免保",$Y76="质保期内"),$Z76=""),"★免保到期日没填",IF(COUNTIF(合同键,$E76)=0,"★还没建合同行","OK")))))</f>
        <v/>
      </c>
    </row>
    <row r="77" customFormat="false" ht="15" hidden="false" customHeight="false" outlineLevel="0" collapsed="false">
      <c r="A77" s="29" t="str">
        <f aca="false">IF($C77="","",ROW()-4)</f>
        <v/>
      </c>
      <c r="B77" s="25"/>
      <c r="C77" s="24"/>
      <c r="D77" s="24"/>
      <c r="E77" s="30" t="str">
        <f aca="false">IF($C77="","",$C77&amp;" ｜ "&amp;$D77)</f>
        <v/>
      </c>
      <c r="F77" s="25"/>
      <c r="G77" s="25"/>
      <c r="H77" s="25"/>
      <c r="I77" s="25"/>
      <c r="J77" s="25"/>
      <c r="K77" s="21"/>
      <c r="L77" s="21"/>
      <c r="M77" s="21"/>
      <c r="N77" s="25"/>
      <c r="O77" s="25"/>
      <c r="P77" s="32"/>
      <c r="Q77" s="25"/>
      <c r="R77" s="25"/>
      <c r="S77" s="33"/>
      <c r="T77" s="33"/>
      <c r="U77" s="33"/>
      <c r="V77" s="33"/>
      <c r="W77" s="25"/>
      <c r="X77" s="25"/>
      <c r="Y77" s="25"/>
      <c r="Z77" s="33"/>
      <c r="AA77" s="34" t="str">
        <f aca="true">IF($T77="","",IF($T77&lt;TODAY(),"已过期 "&amp;TEXT(TODAY()-$T77,"0")&amp;" 天",IF($T77-TODAY()&lt;=年检提醒天,"还剩 "&amp;TEXT($T77-TODAY(),"0")&amp;" 天","")))</f>
        <v/>
      </c>
      <c r="AB77" s="34" t="str">
        <f aca="true">IF(COUNT($U77:$V77)=0,"",IF(MIN($U77:$V77)&lt;TODAY(),"已过期 "&amp;TEXT(TODAY()-MIN($U77:$V77),"0")&amp;" 天",IF(MIN($U77:$V77)-TODAY()&lt;=年检提醒天,"还剩 "&amp;TEXT(MIN($U77:$V77)-TODAY(),"0")&amp;" 天","")))</f>
        <v/>
      </c>
      <c r="AC77" s="34" t="str">
        <f aca="true">IF($C77="","",IF(OR($Y77="安装免保",$Y77="技术免保",$Y77="质保期内"),IF($Z77="","▲免保没填到期日",IF($Z77&lt;TODAY(),"▲免保已到期 该转收费了",IF($Z77-TODAY()&lt;=合同提醒天,"免保还剩 "&amp;TEXT($Z77-TODAY(),"0")&amp;" 天","免保中"))),IF($Y77="暂停维保","暂停中 不计费",IF($Y77="已解约","已解约",IF(COUNTIF(合同键,$E77)=0,"▲还没建合同行","")))))</f>
        <v/>
      </c>
      <c r="AD77" s="24"/>
      <c r="AE77" s="35" t="str">
        <f aca="false">IF($C77="","",IF($D77="","★项目名称没填",IF(N($P77)&lt;=0,"★台量要填",IF(AND(OR($Y77="安装免保",$Y77="技术免保",$Y77="质保期内"),$Z77=""),"★免保到期日没填",IF(COUNTIF(合同键,$E77)=0,"★还没建合同行","OK")))))</f>
        <v/>
      </c>
    </row>
    <row r="78" customFormat="false" ht="15" hidden="false" customHeight="false" outlineLevel="0" collapsed="false">
      <c r="A78" s="29" t="str">
        <f aca="false">IF($C78="","",ROW()-4)</f>
        <v/>
      </c>
      <c r="B78" s="25"/>
      <c r="C78" s="24"/>
      <c r="D78" s="24"/>
      <c r="E78" s="30" t="str">
        <f aca="false">IF($C78="","",$C78&amp;" ｜ "&amp;$D78)</f>
        <v/>
      </c>
      <c r="F78" s="25"/>
      <c r="G78" s="25"/>
      <c r="H78" s="25"/>
      <c r="I78" s="25"/>
      <c r="J78" s="25"/>
      <c r="K78" s="21"/>
      <c r="L78" s="21"/>
      <c r="M78" s="21"/>
      <c r="N78" s="25"/>
      <c r="O78" s="25"/>
      <c r="P78" s="32"/>
      <c r="Q78" s="25"/>
      <c r="R78" s="25"/>
      <c r="S78" s="33"/>
      <c r="T78" s="33"/>
      <c r="U78" s="33"/>
      <c r="V78" s="33"/>
      <c r="W78" s="25"/>
      <c r="X78" s="25"/>
      <c r="Y78" s="25"/>
      <c r="Z78" s="33"/>
      <c r="AA78" s="34" t="str">
        <f aca="true">IF($T78="","",IF($T78&lt;TODAY(),"已过期 "&amp;TEXT(TODAY()-$T78,"0")&amp;" 天",IF($T78-TODAY()&lt;=年检提醒天,"还剩 "&amp;TEXT($T78-TODAY(),"0")&amp;" 天","")))</f>
        <v/>
      </c>
      <c r="AB78" s="34" t="str">
        <f aca="true">IF(COUNT($U78:$V78)=0,"",IF(MIN($U78:$V78)&lt;TODAY(),"已过期 "&amp;TEXT(TODAY()-MIN($U78:$V78),"0")&amp;" 天",IF(MIN($U78:$V78)-TODAY()&lt;=年检提醒天,"还剩 "&amp;TEXT(MIN($U78:$V78)-TODAY(),"0")&amp;" 天","")))</f>
        <v/>
      </c>
      <c r="AC78" s="34" t="str">
        <f aca="true">IF($C78="","",IF(OR($Y78="安装免保",$Y78="技术免保",$Y78="质保期内"),IF($Z78="","▲免保没填到期日",IF($Z78&lt;TODAY(),"▲免保已到期 该转收费了",IF($Z78-TODAY()&lt;=合同提醒天,"免保还剩 "&amp;TEXT($Z78-TODAY(),"0")&amp;" 天","免保中"))),IF($Y78="暂停维保","暂停中 不计费",IF($Y78="已解约","已解约",IF(COUNTIF(合同键,$E78)=0,"▲还没建合同行","")))))</f>
        <v/>
      </c>
      <c r="AD78" s="24"/>
      <c r="AE78" s="35" t="str">
        <f aca="false">IF($C78="","",IF($D78="","★项目名称没填",IF(N($P78)&lt;=0,"★台量要填",IF(AND(OR($Y78="安装免保",$Y78="技术免保",$Y78="质保期内"),$Z78=""),"★免保到期日没填",IF(COUNTIF(合同键,$E78)=0,"★还没建合同行","OK")))))</f>
        <v/>
      </c>
    </row>
    <row r="79" customFormat="false" ht="15" hidden="false" customHeight="false" outlineLevel="0" collapsed="false">
      <c r="A79" s="29" t="str">
        <f aca="false">IF($C79="","",ROW()-4)</f>
        <v/>
      </c>
      <c r="B79" s="25"/>
      <c r="C79" s="24"/>
      <c r="D79" s="24"/>
      <c r="E79" s="30" t="str">
        <f aca="false">IF($C79="","",$C79&amp;" ｜ "&amp;$D79)</f>
        <v/>
      </c>
      <c r="F79" s="25"/>
      <c r="G79" s="25"/>
      <c r="H79" s="25"/>
      <c r="I79" s="25"/>
      <c r="J79" s="25"/>
      <c r="K79" s="21"/>
      <c r="L79" s="21"/>
      <c r="M79" s="21"/>
      <c r="N79" s="25"/>
      <c r="O79" s="25"/>
      <c r="P79" s="32"/>
      <c r="Q79" s="25"/>
      <c r="R79" s="25"/>
      <c r="S79" s="33"/>
      <c r="T79" s="33"/>
      <c r="U79" s="33"/>
      <c r="V79" s="33"/>
      <c r="W79" s="25"/>
      <c r="X79" s="25"/>
      <c r="Y79" s="25"/>
      <c r="Z79" s="33"/>
      <c r="AA79" s="34" t="str">
        <f aca="true">IF($T79="","",IF($T79&lt;TODAY(),"已过期 "&amp;TEXT(TODAY()-$T79,"0")&amp;" 天",IF($T79-TODAY()&lt;=年检提醒天,"还剩 "&amp;TEXT($T79-TODAY(),"0")&amp;" 天","")))</f>
        <v/>
      </c>
      <c r="AB79" s="34" t="str">
        <f aca="true">IF(COUNT($U79:$V79)=0,"",IF(MIN($U79:$V79)&lt;TODAY(),"已过期 "&amp;TEXT(TODAY()-MIN($U79:$V79),"0")&amp;" 天",IF(MIN($U79:$V79)-TODAY()&lt;=年检提醒天,"还剩 "&amp;TEXT(MIN($U79:$V79)-TODAY(),"0")&amp;" 天","")))</f>
        <v/>
      </c>
      <c r="AC79" s="34" t="str">
        <f aca="true">IF($C79="","",IF(OR($Y79="安装免保",$Y79="技术免保",$Y79="质保期内"),IF($Z79="","▲免保没填到期日",IF($Z79&lt;TODAY(),"▲免保已到期 该转收费了",IF($Z79-TODAY()&lt;=合同提醒天,"免保还剩 "&amp;TEXT($Z79-TODAY(),"0")&amp;" 天","免保中"))),IF($Y79="暂停维保","暂停中 不计费",IF($Y79="已解约","已解约",IF(COUNTIF(合同键,$E79)=0,"▲还没建合同行","")))))</f>
        <v/>
      </c>
      <c r="AD79" s="24"/>
      <c r="AE79" s="35" t="str">
        <f aca="false">IF($C79="","",IF($D79="","★项目名称没填",IF(N($P79)&lt;=0,"★台量要填",IF(AND(OR($Y79="安装免保",$Y79="技术免保",$Y79="质保期内"),$Z79=""),"★免保到期日没填",IF(COUNTIF(合同键,$E79)=0,"★还没建合同行","OK")))))</f>
        <v/>
      </c>
    </row>
    <row r="80" customFormat="false" ht="15" hidden="false" customHeight="false" outlineLevel="0" collapsed="false">
      <c r="A80" s="29" t="str">
        <f aca="false">IF($C80="","",ROW()-4)</f>
        <v/>
      </c>
      <c r="B80" s="25"/>
      <c r="C80" s="24"/>
      <c r="D80" s="24"/>
      <c r="E80" s="30" t="str">
        <f aca="false">IF($C80="","",$C80&amp;" ｜ "&amp;$D80)</f>
        <v/>
      </c>
      <c r="F80" s="25"/>
      <c r="G80" s="25"/>
      <c r="H80" s="25"/>
      <c r="I80" s="25"/>
      <c r="J80" s="25"/>
      <c r="K80" s="21"/>
      <c r="L80" s="21"/>
      <c r="M80" s="21"/>
      <c r="N80" s="25"/>
      <c r="O80" s="25"/>
      <c r="P80" s="32"/>
      <c r="Q80" s="25"/>
      <c r="R80" s="25"/>
      <c r="S80" s="33"/>
      <c r="T80" s="33"/>
      <c r="U80" s="33"/>
      <c r="V80" s="33"/>
      <c r="W80" s="25"/>
      <c r="X80" s="25"/>
      <c r="Y80" s="25"/>
      <c r="Z80" s="33"/>
      <c r="AA80" s="34" t="str">
        <f aca="true">IF($T80="","",IF($T80&lt;TODAY(),"已过期 "&amp;TEXT(TODAY()-$T80,"0")&amp;" 天",IF($T80-TODAY()&lt;=年检提醒天,"还剩 "&amp;TEXT($T80-TODAY(),"0")&amp;" 天","")))</f>
        <v/>
      </c>
      <c r="AB80" s="34" t="str">
        <f aca="true">IF(COUNT($U80:$V80)=0,"",IF(MIN($U80:$V80)&lt;TODAY(),"已过期 "&amp;TEXT(TODAY()-MIN($U80:$V80),"0")&amp;" 天",IF(MIN($U80:$V80)-TODAY()&lt;=年检提醒天,"还剩 "&amp;TEXT(MIN($U80:$V80)-TODAY(),"0")&amp;" 天","")))</f>
        <v/>
      </c>
      <c r="AC80" s="34" t="str">
        <f aca="true">IF($C80="","",IF(OR($Y80="安装免保",$Y80="技术免保",$Y80="质保期内"),IF($Z80="","▲免保没填到期日",IF($Z80&lt;TODAY(),"▲免保已到期 该转收费了",IF($Z80-TODAY()&lt;=合同提醒天,"免保还剩 "&amp;TEXT($Z80-TODAY(),"0")&amp;" 天","免保中"))),IF($Y80="暂停维保","暂停中 不计费",IF($Y80="已解约","已解约",IF(COUNTIF(合同键,$E80)=0,"▲还没建合同行","")))))</f>
        <v/>
      </c>
      <c r="AD80" s="24"/>
      <c r="AE80" s="35" t="str">
        <f aca="false">IF($C80="","",IF($D80="","★项目名称没填",IF(N($P80)&lt;=0,"★台量要填",IF(AND(OR($Y80="安装免保",$Y80="技术免保",$Y80="质保期内"),$Z80=""),"★免保到期日没填",IF(COUNTIF(合同键,$E80)=0,"★还没建合同行","OK")))))</f>
        <v/>
      </c>
    </row>
    <row r="81" customFormat="false" ht="15" hidden="false" customHeight="false" outlineLevel="0" collapsed="false">
      <c r="A81" s="29" t="str">
        <f aca="false">IF($C81="","",ROW()-4)</f>
        <v/>
      </c>
      <c r="B81" s="25"/>
      <c r="C81" s="24"/>
      <c r="D81" s="24"/>
      <c r="E81" s="30" t="str">
        <f aca="false">IF($C81="","",$C81&amp;" ｜ "&amp;$D81)</f>
        <v/>
      </c>
      <c r="F81" s="25"/>
      <c r="G81" s="25"/>
      <c r="H81" s="25"/>
      <c r="I81" s="25"/>
      <c r="J81" s="25"/>
      <c r="K81" s="21"/>
      <c r="L81" s="21"/>
      <c r="M81" s="21"/>
      <c r="N81" s="25"/>
      <c r="O81" s="25"/>
      <c r="P81" s="32"/>
      <c r="Q81" s="25"/>
      <c r="R81" s="25"/>
      <c r="S81" s="33"/>
      <c r="T81" s="33"/>
      <c r="U81" s="33"/>
      <c r="V81" s="33"/>
      <c r="W81" s="25"/>
      <c r="X81" s="25"/>
      <c r="Y81" s="25"/>
      <c r="Z81" s="33"/>
      <c r="AA81" s="34" t="str">
        <f aca="true">IF($T81="","",IF($T81&lt;TODAY(),"已过期 "&amp;TEXT(TODAY()-$T81,"0")&amp;" 天",IF($T81-TODAY()&lt;=年检提醒天,"还剩 "&amp;TEXT($T81-TODAY(),"0")&amp;" 天","")))</f>
        <v/>
      </c>
      <c r="AB81" s="34" t="str">
        <f aca="true">IF(COUNT($U81:$V81)=0,"",IF(MIN($U81:$V81)&lt;TODAY(),"已过期 "&amp;TEXT(TODAY()-MIN($U81:$V81),"0")&amp;" 天",IF(MIN($U81:$V81)-TODAY()&lt;=年检提醒天,"还剩 "&amp;TEXT(MIN($U81:$V81)-TODAY(),"0")&amp;" 天","")))</f>
        <v/>
      </c>
      <c r="AC81" s="34" t="str">
        <f aca="true">IF($C81="","",IF(OR($Y81="安装免保",$Y81="技术免保",$Y81="质保期内"),IF($Z81="","▲免保没填到期日",IF($Z81&lt;TODAY(),"▲免保已到期 该转收费了",IF($Z81-TODAY()&lt;=合同提醒天,"免保还剩 "&amp;TEXT($Z81-TODAY(),"0")&amp;" 天","免保中"))),IF($Y81="暂停维保","暂停中 不计费",IF($Y81="已解约","已解约",IF(COUNTIF(合同键,$E81)=0,"▲还没建合同行","")))))</f>
        <v/>
      </c>
      <c r="AD81" s="24"/>
      <c r="AE81" s="35" t="str">
        <f aca="false">IF($C81="","",IF($D81="","★项目名称没填",IF(N($P81)&lt;=0,"★台量要填",IF(AND(OR($Y81="安装免保",$Y81="技术免保",$Y81="质保期内"),$Z81=""),"★免保到期日没填",IF(COUNTIF(合同键,$E81)=0,"★还没建合同行","OK")))))</f>
        <v/>
      </c>
    </row>
    <row r="82" customFormat="false" ht="15" hidden="false" customHeight="false" outlineLevel="0" collapsed="false">
      <c r="A82" s="29" t="str">
        <f aca="false">IF($C82="","",ROW()-4)</f>
        <v/>
      </c>
      <c r="B82" s="25"/>
      <c r="C82" s="24"/>
      <c r="D82" s="24"/>
      <c r="E82" s="30" t="str">
        <f aca="false">IF($C82="","",$C82&amp;" ｜ "&amp;$D82)</f>
        <v/>
      </c>
      <c r="F82" s="25"/>
      <c r="G82" s="25"/>
      <c r="H82" s="25"/>
      <c r="I82" s="25"/>
      <c r="J82" s="25"/>
      <c r="K82" s="21"/>
      <c r="L82" s="21"/>
      <c r="M82" s="21"/>
      <c r="N82" s="25"/>
      <c r="O82" s="25"/>
      <c r="P82" s="32"/>
      <c r="Q82" s="25"/>
      <c r="R82" s="25"/>
      <c r="S82" s="33"/>
      <c r="T82" s="33"/>
      <c r="U82" s="33"/>
      <c r="V82" s="33"/>
      <c r="W82" s="25"/>
      <c r="X82" s="25"/>
      <c r="Y82" s="25"/>
      <c r="Z82" s="33"/>
      <c r="AA82" s="34" t="str">
        <f aca="true">IF($T82="","",IF($T82&lt;TODAY(),"已过期 "&amp;TEXT(TODAY()-$T82,"0")&amp;" 天",IF($T82-TODAY()&lt;=年检提醒天,"还剩 "&amp;TEXT($T82-TODAY(),"0")&amp;" 天","")))</f>
        <v/>
      </c>
      <c r="AB82" s="34" t="str">
        <f aca="true">IF(COUNT($U82:$V82)=0,"",IF(MIN($U82:$V82)&lt;TODAY(),"已过期 "&amp;TEXT(TODAY()-MIN($U82:$V82),"0")&amp;" 天",IF(MIN($U82:$V82)-TODAY()&lt;=年检提醒天,"还剩 "&amp;TEXT(MIN($U82:$V82)-TODAY(),"0")&amp;" 天","")))</f>
        <v/>
      </c>
      <c r="AC82" s="34" t="str">
        <f aca="true">IF($C82="","",IF(OR($Y82="安装免保",$Y82="技术免保",$Y82="质保期内"),IF($Z82="","▲免保没填到期日",IF($Z82&lt;TODAY(),"▲免保已到期 该转收费了",IF($Z82-TODAY()&lt;=合同提醒天,"免保还剩 "&amp;TEXT($Z82-TODAY(),"0")&amp;" 天","免保中"))),IF($Y82="暂停维保","暂停中 不计费",IF($Y82="已解约","已解约",IF(COUNTIF(合同键,$E82)=0,"▲还没建合同行","")))))</f>
        <v/>
      </c>
      <c r="AD82" s="24"/>
      <c r="AE82" s="35" t="str">
        <f aca="false">IF($C82="","",IF($D82="","★项目名称没填",IF(N($P82)&lt;=0,"★台量要填",IF(AND(OR($Y82="安装免保",$Y82="技术免保",$Y82="质保期内"),$Z82=""),"★免保到期日没填",IF(COUNTIF(合同键,$E82)=0,"★还没建合同行","OK")))))</f>
        <v/>
      </c>
    </row>
    <row r="83" customFormat="false" ht="15" hidden="false" customHeight="false" outlineLevel="0" collapsed="false">
      <c r="A83" s="29" t="str">
        <f aca="false">IF($C83="","",ROW()-4)</f>
        <v/>
      </c>
      <c r="B83" s="25"/>
      <c r="C83" s="24"/>
      <c r="D83" s="24"/>
      <c r="E83" s="30" t="str">
        <f aca="false">IF($C83="","",$C83&amp;" ｜ "&amp;$D83)</f>
        <v/>
      </c>
      <c r="F83" s="25"/>
      <c r="G83" s="25"/>
      <c r="H83" s="25"/>
      <c r="I83" s="25"/>
      <c r="J83" s="25"/>
      <c r="K83" s="21"/>
      <c r="L83" s="21"/>
      <c r="M83" s="21"/>
      <c r="N83" s="25"/>
      <c r="O83" s="25"/>
      <c r="P83" s="32"/>
      <c r="Q83" s="25"/>
      <c r="R83" s="25"/>
      <c r="S83" s="33"/>
      <c r="T83" s="33"/>
      <c r="U83" s="33"/>
      <c r="V83" s="33"/>
      <c r="W83" s="25"/>
      <c r="X83" s="25"/>
      <c r="Y83" s="25"/>
      <c r="Z83" s="33"/>
      <c r="AA83" s="34" t="str">
        <f aca="true">IF($T83="","",IF($T83&lt;TODAY(),"已过期 "&amp;TEXT(TODAY()-$T83,"0")&amp;" 天",IF($T83-TODAY()&lt;=年检提醒天,"还剩 "&amp;TEXT($T83-TODAY(),"0")&amp;" 天","")))</f>
        <v/>
      </c>
      <c r="AB83" s="34" t="str">
        <f aca="true">IF(COUNT($U83:$V83)=0,"",IF(MIN($U83:$V83)&lt;TODAY(),"已过期 "&amp;TEXT(TODAY()-MIN($U83:$V83),"0")&amp;" 天",IF(MIN($U83:$V83)-TODAY()&lt;=年检提醒天,"还剩 "&amp;TEXT(MIN($U83:$V83)-TODAY(),"0")&amp;" 天","")))</f>
        <v/>
      </c>
      <c r="AC83" s="34" t="str">
        <f aca="true">IF($C83="","",IF(OR($Y83="安装免保",$Y83="技术免保",$Y83="质保期内"),IF($Z83="","▲免保没填到期日",IF($Z83&lt;TODAY(),"▲免保已到期 该转收费了",IF($Z83-TODAY()&lt;=合同提醒天,"免保还剩 "&amp;TEXT($Z83-TODAY(),"0")&amp;" 天","免保中"))),IF($Y83="暂停维保","暂停中 不计费",IF($Y83="已解约","已解约",IF(COUNTIF(合同键,$E83)=0,"▲还没建合同行","")))))</f>
        <v/>
      </c>
      <c r="AD83" s="24"/>
      <c r="AE83" s="35" t="str">
        <f aca="false">IF($C83="","",IF($D83="","★项目名称没填",IF(N($P83)&lt;=0,"★台量要填",IF(AND(OR($Y83="安装免保",$Y83="技术免保",$Y83="质保期内"),$Z83=""),"★免保到期日没填",IF(COUNTIF(合同键,$E83)=0,"★还没建合同行","OK")))))</f>
        <v/>
      </c>
    </row>
    <row r="84" customFormat="false" ht="15" hidden="false" customHeight="false" outlineLevel="0" collapsed="false">
      <c r="A84" s="29" t="str">
        <f aca="false">IF($C84="","",ROW()-4)</f>
        <v/>
      </c>
      <c r="B84" s="25"/>
      <c r="C84" s="24"/>
      <c r="D84" s="24"/>
      <c r="E84" s="30" t="str">
        <f aca="false">IF($C84="","",$C84&amp;" ｜ "&amp;$D84)</f>
        <v/>
      </c>
      <c r="F84" s="25"/>
      <c r="G84" s="25"/>
      <c r="H84" s="25"/>
      <c r="I84" s="25"/>
      <c r="J84" s="25"/>
      <c r="K84" s="21"/>
      <c r="L84" s="21"/>
      <c r="M84" s="21"/>
      <c r="N84" s="25"/>
      <c r="O84" s="25"/>
      <c r="P84" s="32"/>
      <c r="Q84" s="25"/>
      <c r="R84" s="25"/>
      <c r="S84" s="33"/>
      <c r="T84" s="33"/>
      <c r="U84" s="33"/>
      <c r="V84" s="33"/>
      <c r="W84" s="25"/>
      <c r="X84" s="25"/>
      <c r="Y84" s="25"/>
      <c r="Z84" s="33"/>
      <c r="AA84" s="34" t="str">
        <f aca="true">IF($T84="","",IF($T84&lt;TODAY(),"已过期 "&amp;TEXT(TODAY()-$T84,"0")&amp;" 天",IF($T84-TODAY()&lt;=年检提醒天,"还剩 "&amp;TEXT($T84-TODAY(),"0")&amp;" 天","")))</f>
        <v/>
      </c>
      <c r="AB84" s="34" t="str">
        <f aca="true">IF(COUNT($U84:$V84)=0,"",IF(MIN($U84:$V84)&lt;TODAY(),"已过期 "&amp;TEXT(TODAY()-MIN($U84:$V84),"0")&amp;" 天",IF(MIN($U84:$V84)-TODAY()&lt;=年检提醒天,"还剩 "&amp;TEXT(MIN($U84:$V84)-TODAY(),"0")&amp;" 天","")))</f>
        <v/>
      </c>
      <c r="AC84" s="34" t="str">
        <f aca="true">IF($C84="","",IF(OR($Y84="安装免保",$Y84="技术免保",$Y84="质保期内"),IF($Z84="","▲免保没填到期日",IF($Z84&lt;TODAY(),"▲免保已到期 该转收费了",IF($Z84-TODAY()&lt;=合同提醒天,"免保还剩 "&amp;TEXT($Z84-TODAY(),"0")&amp;" 天","免保中"))),IF($Y84="暂停维保","暂停中 不计费",IF($Y84="已解约","已解约",IF(COUNTIF(合同键,$E84)=0,"▲还没建合同行","")))))</f>
        <v/>
      </c>
      <c r="AD84" s="24"/>
      <c r="AE84" s="35" t="str">
        <f aca="false">IF($C84="","",IF($D84="","★项目名称没填",IF(N($P84)&lt;=0,"★台量要填",IF(AND(OR($Y84="安装免保",$Y84="技术免保",$Y84="质保期内"),$Z84=""),"★免保到期日没填",IF(COUNTIF(合同键,$E84)=0,"★还没建合同行","OK")))))</f>
        <v/>
      </c>
    </row>
    <row r="85" customFormat="false" ht="15" hidden="false" customHeight="false" outlineLevel="0" collapsed="false">
      <c r="A85" s="29" t="str">
        <f aca="false">IF($C85="","",ROW()-4)</f>
        <v/>
      </c>
      <c r="B85" s="25"/>
      <c r="C85" s="24"/>
      <c r="D85" s="24"/>
      <c r="E85" s="30" t="str">
        <f aca="false">IF($C85="","",$C85&amp;" ｜ "&amp;$D85)</f>
        <v/>
      </c>
      <c r="F85" s="25"/>
      <c r="G85" s="25"/>
      <c r="H85" s="25"/>
      <c r="I85" s="25"/>
      <c r="J85" s="25"/>
      <c r="K85" s="21"/>
      <c r="L85" s="21"/>
      <c r="M85" s="21"/>
      <c r="N85" s="25"/>
      <c r="O85" s="25"/>
      <c r="P85" s="32"/>
      <c r="Q85" s="25"/>
      <c r="R85" s="25"/>
      <c r="S85" s="33"/>
      <c r="T85" s="33"/>
      <c r="U85" s="33"/>
      <c r="V85" s="33"/>
      <c r="W85" s="25"/>
      <c r="X85" s="25"/>
      <c r="Y85" s="25"/>
      <c r="Z85" s="33"/>
      <c r="AA85" s="34" t="str">
        <f aca="true">IF($T85="","",IF($T85&lt;TODAY(),"已过期 "&amp;TEXT(TODAY()-$T85,"0")&amp;" 天",IF($T85-TODAY()&lt;=年检提醒天,"还剩 "&amp;TEXT($T85-TODAY(),"0")&amp;" 天","")))</f>
        <v/>
      </c>
      <c r="AB85" s="34" t="str">
        <f aca="true">IF(COUNT($U85:$V85)=0,"",IF(MIN($U85:$V85)&lt;TODAY(),"已过期 "&amp;TEXT(TODAY()-MIN($U85:$V85),"0")&amp;" 天",IF(MIN($U85:$V85)-TODAY()&lt;=年检提醒天,"还剩 "&amp;TEXT(MIN($U85:$V85)-TODAY(),"0")&amp;" 天","")))</f>
        <v/>
      </c>
      <c r="AC85" s="34" t="str">
        <f aca="true">IF($C85="","",IF(OR($Y85="安装免保",$Y85="技术免保",$Y85="质保期内"),IF($Z85="","▲免保没填到期日",IF($Z85&lt;TODAY(),"▲免保已到期 该转收费了",IF($Z85-TODAY()&lt;=合同提醒天,"免保还剩 "&amp;TEXT($Z85-TODAY(),"0")&amp;" 天","免保中"))),IF($Y85="暂停维保","暂停中 不计费",IF($Y85="已解约","已解约",IF(COUNTIF(合同键,$E85)=0,"▲还没建合同行","")))))</f>
        <v/>
      </c>
      <c r="AD85" s="24"/>
      <c r="AE85" s="35" t="str">
        <f aca="false">IF($C85="","",IF($D85="","★项目名称没填",IF(N($P85)&lt;=0,"★台量要填",IF(AND(OR($Y85="安装免保",$Y85="技术免保",$Y85="质保期内"),$Z85=""),"★免保到期日没填",IF(COUNTIF(合同键,$E85)=0,"★还没建合同行","OK")))))</f>
        <v/>
      </c>
    </row>
    <row r="86" customFormat="false" ht="15" hidden="false" customHeight="false" outlineLevel="0" collapsed="false">
      <c r="A86" s="29" t="str">
        <f aca="false">IF($C86="","",ROW()-4)</f>
        <v/>
      </c>
      <c r="B86" s="25"/>
      <c r="C86" s="24"/>
      <c r="D86" s="24"/>
      <c r="E86" s="30" t="str">
        <f aca="false">IF($C86="","",$C86&amp;" ｜ "&amp;$D86)</f>
        <v/>
      </c>
      <c r="F86" s="25"/>
      <c r="G86" s="25"/>
      <c r="H86" s="25"/>
      <c r="I86" s="25"/>
      <c r="J86" s="25"/>
      <c r="K86" s="21"/>
      <c r="L86" s="21"/>
      <c r="M86" s="21"/>
      <c r="N86" s="25"/>
      <c r="O86" s="25"/>
      <c r="P86" s="32"/>
      <c r="Q86" s="25"/>
      <c r="R86" s="25"/>
      <c r="S86" s="33"/>
      <c r="T86" s="33"/>
      <c r="U86" s="33"/>
      <c r="V86" s="33"/>
      <c r="W86" s="25"/>
      <c r="X86" s="25"/>
      <c r="Y86" s="25"/>
      <c r="Z86" s="33"/>
      <c r="AA86" s="34" t="str">
        <f aca="true">IF($T86="","",IF($T86&lt;TODAY(),"已过期 "&amp;TEXT(TODAY()-$T86,"0")&amp;" 天",IF($T86-TODAY()&lt;=年检提醒天,"还剩 "&amp;TEXT($T86-TODAY(),"0")&amp;" 天","")))</f>
        <v/>
      </c>
      <c r="AB86" s="34" t="str">
        <f aca="true">IF(COUNT($U86:$V86)=0,"",IF(MIN($U86:$V86)&lt;TODAY(),"已过期 "&amp;TEXT(TODAY()-MIN($U86:$V86),"0")&amp;" 天",IF(MIN($U86:$V86)-TODAY()&lt;=年检提醒天,"还剩 "&amp;TEXT(MIN($U86:$V86)-TODAY(),"0")&amp;" 天","")))</f>
        <v/>
      </c>
      <c r="AC86" s="34" t="str">
        <f aca="true">IF($C86="","",IF(OR($Y86="安装免保",$Y86="技术免保",$Y86="质保期内"),IF($Z86="","▲免保没填到期日",IF($Z86&lt;TODAY(),"▲免保已到期 该转收费了",IF($Z86-TODAY()&lt;=合同提醒天,"免保还剩 "&amp;TEXT($Z86-TODAY(),"0")&amp;" 天","免保中"))),IF($Y86="暂停维保","暂停中 不计费",IF($Y86="已解约","已解约",IF(COUNTIF(合同键,$E86)=0,"▲还没建合同行","")))))</f>
        <v/>
      </c>
      <c r="AD86" s="24"/>
      <c r="AE86" s="35" t="str">
        <f aca="false">IF($C86="","",IF($D86="","★项目名称没填",IF(N($P86)&lt;=0,"★台量要填",IF(AND(OR($Y86="安装免保",$Y86="技术免保",$Y86="质保期内"),$Z86=""),"★免保到期日没填",IF(COUNTIF(合同键,$E86)=0,"★还没建合同行","OK")))))</f>
        <v/>
      </c>
    </row>
    <row r="87" customFormat="false" ht="15" hidden="false" customHeight="false" outlineLevel="0" collapsed="false">
      <c r="A87" s="29" t="str">
        <f aca="false">IF($C87="","",ROW()-4)</f>
        <v/>
      </c>
      <c r="B87" s="25"/>
      <c r="C87" s="24"/>
      <c r="D87" s="24"/>
      <c r="E87" s="30" t="str">
        <f aca="false">IF($C87="","",$C87&amp;" ｜ "&amp;$D87)</f>
        <v/>
      </c>
      <c r="F87" s="25"/>
      <c r="G87" s="25"/>
      <c r="H87" s="25"/>
      <c r="I87" s="25"/>
      <c r="J87" s="25"/>
      <c r="K87" s="21"/>
      <c r="L87" s="21"/>
      <c r="M87" s="21"/>
      <c r="N87" s="25"/>
      <c r="O87" s="25"/>
      <c r="P87" s="32"/>
      <c r="Q87" s="25"/>
      <c r="R87" s="25"/>
      <c r="S87" s="33"/>
      <c r="T87" s="33"/>
      <c r="U87" s="33"/>
      <c r="V87" s="33"/>
      <c r="W87" s="25"/>
      <c r="X87" s="25"/>
      <c r="Y87" s="25"/>
      <c r="Z87" s="33"/>
      <c r="AA87" s="34" t="str">
        <f aca="true">IF($T87="","",IF($T87&lt;TODAY(),"已过期 "&amp;TEXT(TODAY()-$T87,"0")&amp;" 天",IF($T87-TODAY()&lt;=年检提醒天,"还剩 "&amp;TEXT($T87-TODAY(),"0")&amp;" 天","")))</f>
        <v/>
      </c>
      <c r="AB87" s="34" t="str">
        <f aca="true">IF(COUNT($U87:$V87)=0,"",IF(MIN($U87:$V87)&lt;TODAY(),"已过期 "&amp;TEXT(TODAY()-MIN($U87:$V87),"0")&amp;" 天",IF(MIN($U87:$V87)-TODAY()&lt;=年检提醒天,"还剩 "&amp;TEXT(MIN($U87:$V87)-TODAY(),"0")&amp;" 天","")))</f>
        <v/>
      </c>
      <c r="AC87" s="34" t="str">
        <f aca="true">IF($C87="","",IF(OR($Y87="安装免保",$Y87="技术免保",$Y87="质保期内"),IF($Z87="","▲免保没填到期日",IF($Z87&lt;TODAY(),"▲免保已到期 该转收费了",IF($Z87-TODAY()&lt;=合同提醒天,"免保还剩 "&amp;TEXT($Z87-TODAY(),"0")&amp;" 天","免保中"))),IF($Y87="暂停维保","暂停中 不计费",IF($Y87="已解约","已解约",IF(COUNTIF(合同键,$E87)=0,"▲还没建合同行","")))))</f>
        <v/>
      </c>
      <c r="AD87" s="24"/>
      <c r="AE87" s="35" t="str">
        <f aca="false">IF($C87="","",IF($D87="","★项目名称没填",IF(N($P87)&lt;=0,"★台量要填",IF(AND(OR($Y87="安装免保",$Y87="技术免保",$Y87="质保期内"),$Z87=""),"★免保到期日没填",IF(COUNTIF(合同键,$E87)=0,"★还没建合同行","OK")))))</f>
        <v/>
      </c>
    </row>
    <row r="88" customFormat="false" ht="15" hidden="false" customHeight="false" outlineLevel="0" collapsed="false">
      <c r="A88" s="29" t="str">
        <f aca="false">IF($C88="","",ROW()-4)</f>
        <v/>
      </c>
      <c r="B88" s="25"/>
      <c r="C88" s="24"/>
      <c r="D88" s="24"/>
      <c r="E88" s="30" t="str">
        <f aca="false">IF($C88="","",$C88&amp;" ｜ "&amp;$D88)</f>
        <v/>
      </c>
      <c r="F88" s="25"/>
      <c r="G88" s="25"/>
      <c r="H88" s="25"/>
      <c r="I88" s="25"/>
      <c r="J88" s="25"/>
      <c r="K88" s="21"/>
      <c r="L88" s="21"/>
      <c r="M88" s="21"/>
      <c r="N88" s="25"/>
      <c r="O88" s="25"/>
      <c r="P88" s="32"/>
      <c r="Q88" s="25"/>
      <c r="R88" s="25"/>
      <c r="S88" s="33"/>
      <c r="T88" s="33"/>
      <c r="U88" s="33"/>
      <c r="V88" s="33"/>
      <c r="W88" s="25"/>
      <c r="X88" s="25"/>
      <c r="Y88" s="25"/>
      <c r="Z88" s="33"/>
      <c r="AA88" s="34" t="str">
        <f aca="true">IF($T88="","",IF($T88&lt;TODAY(),"已过期 "&amp;TEXT(TODAY()-$T88,"0")&amp;" 天",IF($T88-TODAY()&lt;=年检提醒天,"还剩 "&amp;TEXT($T88-TODAY(),"0")&amp;" 天","")))</f>
        <v/>
      </c>
      <c r="AB88" s="34" t="str">
        <f aca="true">IF(COUNT($U88:$V88)=0,"",IF(MIN($U88:$V88)&lt;TODAY(),"已过期 "&amp;TEXT(TODAY()-MIN($U88:$V88),"0")&amp;" 天",IF(MIN($U88:$V88)-TODAY()&lt;=年检提醒天,"还剩 "&amp;TEXT(MIN($U88:$V88)-TODAY(),"0")&amp;" 天","")))</f>
        <v/>
      </c>
      <c r="AC88" s="34" t="str">
        <f aca="true">IF($C88="","",IF(OR($Y88="安装免保",$Y88="技术免保",$Y88="质保期内"),IF($Z88="","▲免保没填到期日",IF($Z88&lt;TODAY(),"▲免保已到期 该转收费了",IF($Z88-TODAY()&lt;=合同提醒天,"免保还剩 "&amp;TEXT($Z88-TODAY(),"0")&amp;" 天","免保中"))),IF($Y88="暂停维保","暂停中 不计费",IF($Y88="已解约","已解约",IF(COUNTIF(合同键,$E88)=0,"▲还没建合同行","")))))</f>
        <v/>
      </c>
      <c r="AD88" s="24"/>
      <c r="AE88" s="35" t="str">
        <f aca="false">IF($C88="","",IF($D88="","★项目名称没填",IF(N($P88)&lt;=0,"★台量要填",IF(AND(OR($Y88="安装免保",$Y88="技术免保",$Y88="质保期内"),$Z88=""),"★免保到期日没填",IF(COUNTIF(合同键,$E88)=0,"★还没建合同行","OK")))))</f>
        <v/>
      </c>
    </row>
    <row r="89" customFormat="false" ht="15" hidden="false" customHeight="false" outlineLevel="0" collapsed="false">
      <c r="A89" s="29" t="str">
        <f aca="false">IF($C89="","",ROW()-4)</f>
        <v/>
      </c>
      <c r="B89" s="25"/>
      <c r="C89" s="24"/>
      <c r="D89" s="24"/>
      <c r="E89" s="30" t="str">
        <f aca="false">IF($C89="","",$C89&amp;" ｜ "&amp;$D89)</f>
        <v/>
      </c>
      <c r="F89" s="25"/>
      <c r="G89" s="25"/>
      <c r="H89" s="25"/>
      <c r="I89" s="25"/>
      <c r="J89" s="25"/>
      <c r="K89" s="21"/>
      <c r="L89" s="21"/>
      <c r="M89" s="21"/>
      <c r="N89" s="25"/>
      <c r="O89" s="25"/>
      <c r="P89" s="32"/>
      <c r="Q89" s="25"/>
      <c r="R89" s="25"/>
      <c r="S89" s="33"/>
      <c r="T89" s="33"/>
      <c r="U89" s="33"/>
      <c r="V89" s="33"/>
      <c r="W89" s="25"/>
      <c r="X89" s="25"/>
      <c r="Y89" s="25"/>
      <c r="Z89" s="33"/>
      <c r="AA89" s="34" t="str">
        <f aca="true">IF($T89="","",IF($T89&lt;TODAY(),"已过期 "&amp;TEXT(TODAY()-$T89,"0")&amp;" 天",IF($T89-TODAY()&lt;=年检提醒天,"还剩 "&amp;TEXT($T89-TODAY(),"0")&amp;" 天","")))</f>
        <v/>
      </c>
      <c r="AB89" s="34" t="str">
        <f aca="true">IF(COUNT($U89:$V89)=0,"",IF(MIN($U89:$V89)&lt;TODAY(),"已过期 "&amp;TEXT(TODAY()-MIN($U89:$V89),"0")&amp;" 天",IF(MIN($U89:$V89)-TODAY()&lt;=年检提醒天,"还剩 "&amp;TEXT(MIN($U89:$V89)-TODAY(),"0")&amp;" 天","")))</f>
        <v/>
      </c>
      <c r="AC89" s="34" t="str">
        <f aca="true">IF($C89="","",IF(OR($Y89="安装免保",$Y89="技术免保",$Y89="质保期内"),IF($Z89="","▲免保没填到期日",IF($Z89&lt;TODAY(),"▲免保已到期 该转收费了",IF($Z89-TODAY()&lt;=合同提醒天,"免保还剩 "&amp;TEXT($Z89-TODAY(),"0")&amp;" 天","免保中"))),IF($Y89="暂停维保","暂停中 不计费",IF($Y89="已解约","已解约",IF(COUNTIF(合同键,$E89)=0,"▲还没建合同行","")))))</f>
        <v/>
      </c>
      <c r="AD89" s="24"/>
      <c r="AE89" s="35" t="str">
        <f aca="false">IF($C89="","",IF($D89="","★项目名称没填",IF(N($P89)&lt;=0,"★台量要填",IF(AND(OR($Y89="安装免保",$Y89="技术免保",$Y89="质保期内"),$Z89=""),"★免保到期日没填",IF(COUNTIF(合同键,$E89)=0,"★还没建合同行","OK")))))</f>
        <v/>
      </c>
    </row>
    <row r="90" customFormat="false" ht="15" hidden="false" customHeight="false" outlineLevel="0" collapsed="false">
      <c r="A90" s="29" t="str">
        <f aca="false">IF($C90="","",ROW()-4)</f>
        <v/>
      </c>
      <c r="B90" s="25"/>
      <c r="C90" s="24"/>
      <c r="D90" s="24"/>
      <c r="E90" s="30" t="str">
        <f aca="false">IF($C90="","",$C90&amp;" ｜ "&amp;$D90)</f>
        <v/>
      </c>
      <c r="F90" s="25"/>
      <c r="G90" s="25"/>
      <c r="H90" s="25"/>
      <c r="I90" s="25"/>
      <c r="J90" s="25"/>
      <c r="K90" s="21"/>
      <c r="L90" s="21"/>
      <c r="M90" s="21"/>
      <c r="N90" s="25"/>
      <c r="O90" s="25"/>
      <c r="P90" s="32"/>
      <c r="Q90" s="25"/>
      <c r="R90" s="25"/>
      <c r="S90" s="33"/>
      <c r="T90" s="33"/>
      <c r="U90" s="33"/>
      <c r="V90" s="33"/>
      <c r="W90" s="25"/>
      <c r="X90" s="25"/>
      <c r="Y90" s="25"/>
      <c r="Z90" s="33"/>
      <c r="AA90" s="34" t="str">
        <f aca="true">IF($T90="","",IF($T90&lt;TODAY(),"已过期 "&amp;TEXT(TODAY()-$T90,"0")&amp;" 天",IF($T90-TODAY()&lt;=年检提醒天,"还剩 "&amp;TEXT($T90-TODAY(),"0")&amp;" 天","")))</f>
        <v/>
      </c>
      <c r="AB90" s="34" t="str">
        <f aca="true">IF(COUNT($U90:$V90)=0,"",IF(MIN($U90:$V90)&lt;TODAY(),"已过期 "&amp;TEXT(TODAY()-MIN($U90:$V90),"0")&amp;" 天",IF(MIN($U90:$V90)-TODAY()&lt;=年检提醒天,"还剩 "&amp;TEXT(MIN($U90:$V90)-TODAY(),"0")&amp;" 天","")))</f>
        <v/>
      </c>
      <c r="AC90" s="34" t="str">
        <f aca="true">IF($C90="","",IF(OR($Y90="安装免保",$Y90="技术免保",$Y90="质保期内"),IF($Z90="","▲免保没填到期日",IF($Z90&lt;TODAY(),"▲免保已到期 该转收费了",IF($Z90-TODAY()&lt;=合同提醒天,"免保还剩 "&amp;TEXT($Z90-TODAY(),"0")&amp;" 天","免保中"))),IF($Y90="暂停维保","暂停中 不计费",IF($Y90="已解约","已解约",IF(COUNTIF(合同键,$E90)=0,"▲还没建合同行","")))))</f>
        <v/>
      </c>
      <c r="AD90" s="24"/>
      <c r="AE90" s="35" t="str">
        <f aca="false">IF($C90="","",IF($D90="","★项目名称没填",IF(N($P90)&lt;=0,"★台量要填",IF(AND(OR($Y90="安装免保",$Y90="技术免保",$Y90="质保期内"),$Z90=""),"★免保到期日没填",IF(COUNTIF(合同键,$E90)=0,"★还没建合同行","OK")))))</f>
        <v/>
      </c>
    </row>
    <row r="91" customFormat="false" ht="15" hidden="false" customHeight="false" outlineLevel="0" collapsed="false">
      <c r="A91" s="29" t="str">
        <f aca="false">IF($C91="","",ROW()-4)</f>
        <v/>
      </c>
      <c r="B91" s="25"/>
      <c r="C91" s="24"/>
      <c r="D91" s="24"/>
      <c r="E91" s="30" t="str">
        <f aca="false">IF($C91="","",$C91&amp;" ｜ "&amp;$D91)</f>
        <v/>
      </c>
      <c r="F91" s="25"/>
      <c r="G91" s="25"/>
      <c r="H91" s="25"/>
      <c r="I91" s="25"/>
      <c r="J91" s="25"/>
      <c r="K91" s="21"/>
      <c r="L91" s="21"/>
      <c r="M91" s="21"/>
      <c r="N91" s="25"/>
      <c r="O91" s="25"/>
      <c r="P91" s="32"/>
      <c r="Q91" s="25"/>
      <c r="R91" s="25"/>
      <c r="S91" s="33"/>
      <c r="T91" s="33"/>
      <c r="U91" s="33"/>
      <c r="V91" s="33"/>
      <c r="W91" s="25"/>
      <c r="X91" s="25"/>
      <c r="Y91" s="25"/>
      <c r="Z91" s="33"/>
      <c r="AA91" s="34" t="str">
        <f aca="true">IF($T91="","",IF($T91&lt;TODAY(),"已过期 "&amp;TEXT(TODAY()-$T91,"0")&amp;" 天",IF($T91-TODAY()&lt;=年检提醒天,"还剩 "&amp;TEXT($T91-TODAY(),"0")&amp;" 天","")))</f>
        <v/>
      </c>
      <c r="AB91" s="34" t="str">
        <f aca="true">IF(COUNT($U91:$V91)=0,"",IF(MIN($U91:$V91)&lt;TODAY(),"已过期 "&amp;TEXT(TODAY()-MIN($U91:$V91),"0")&amp;" 天",IF(MIN($U91:$V91)-TODAY()&lt;=年检提醒天,"还剩 "&amp;TEXT(MIN($U91:$V91)-TODAY(),"0")&amp;" 天","")))</f>
        <v/>
      </c>
      <c r="AC91" s="34" t="str">
        <f aca="true">IF($C91="","",IF(OR($Y91="安装免保",$Y91="技术免保",$Y91="质保期内"),IF($Z91="","▲免保没填到期日",IF($Z91&lt;TODAY(),"▲免保已到期 该转收费了",IF($Z91-TODAY()&lt;=合同提醒天,"免保还剩 "&amp;TEXT($Z91-TODAY(),"0")&amp;" 天","免保中"))),IF($Y91="暂停维保","暂停中 不计费",IF($Y91="已解约","已解约",IF(COUNTIF(合同键,$E91)=0,"▲还没建合同行","")))))</f>
        <v/>
      </c>
      <c r="AD91" s="24"/>
      <c r="AE91" s="35" t="str">
        <f aca="false">IF($C91="","",IF($D91="","★项目名称没填",IF(N($P91)&lt;=0,"★台量要填",IF(AND(OR($Y91="安装免保",$Y91="技术免保",$Y91="质保期内"),$Z91=""),"★免保到期日没填",IF(COUNTIF(合同键,$E91)=0,"★还没建合同行","OK")))))</f>
        <v/>
      </c>
    </row>
    <row r="92" customFormat="false" ht="15" hidden="false" customHeight="false" outlineLevel="0" collapsed="false">
      <c r="A92" s="29" t="str">
        <f aca="false">IF($C92="","",ROW()-4)</f>
        <v/>
      </c>
      <c r="B92" s="25"/>
      <c r="C92" s="24"/>
      <c r="D92" s="24"/>
      <c r="E92" s="30" t="str">
        <f aca="false">IF($C92="","",$C92&amp;" ｜ "&amp;$D92)</f>
        <v/>
      </c>
      <c r="F92" s="25"/>
      <c r="G92" s="25"/>
      <c r="H92" s="25"/>
      <c r="I92" s="25"/>
      <c r="J92" s="25"/>
      <c r="K92" s="21"/>
      <c r="L92" s="21"/>
      <c r="M92" s="21"/>
      <c r="N92" s="25"/>
      <c r="O92" s="25"/>
      <c r="P92" s="32"/>
      <c r="Q92" s="25"/>
      <c r="R92" s="25"/>
      <c r="S92" s="33"/>
      <c r="T92" s="33"/>
      <c r="U92" s="33"/>
      <c r="V92" s="33"/>
      <c r="W92" s="25"/>
      <c r="X92" s="25"/>
      <c r="Y92" s="25"/>
      <c r="Z92" s="33"/>
      <c r="AA92" s="34" t="str">
        <f aca="true">IF($T92="","",IF($T92&lt;TODAY(),"已过期 "&amp;TEXT(TODAY()-$T92,"0")&amp;" 天",IF($T92-TODAY()&lt;=年检提醒天,"还剩 "&amp;TEXT($T92-TODAY(),"0")&amp;" 天","")))</f>
        <v/>
      </c>
      <c r="AB92" s="34" t="str">
        <f aca="true">IF(COUNT($U92:$V92)=0,"",IF(MIN($U92:$V92)&lt;TODAY(),"已过期 "&amp;TEXT(TODAY()-MIN($U92:$V92),"0")&amp;" 天",IF(MIN($U92:$V92)-TODAY()&lt;=年检提醒天,"还剩 "&amp;TEXT(MIN($U92:$V92)-TODAY(),"0")&amp;" 天","")))</f>
        <v/>
      </c>
      <c r="AC92" s="34" t="str">
        <f aca="true">IF($C92="","",IF(OR($Y92="安装免保",$Y92="技术免保",$Y92="质保期内"),IF($Z92="","▲免保没填到期日",IF($Z92&lt;TODAY(),"▲免保已到期 该转收费了",IF($Z92-TODAY()&lt;=合同提醒天,"免保还剩 "&amp;TEXT($Z92-TODAY(),"0")&amp;" 天","免保中"))),IF($Y92="暂停维保","暂停中 不计费",IF($Y92="已解约","已解约",IF(COUNTIF(合同键,$E92)=0,"▲还没建合同行","")))))</f>
        <v/>
      </c>
      <c r="AD92" s="24"/>
      <c r="AE92" s="35" t="str">
        <f aca="false">IF($C92="","",IF($D92="","★项目名称没填",IF(N($P92)&lt;=0,"★台量要填",IF(AND(OR($Y92="安装免保",$Y92="技术免保",$Y92="质保期内"),$Z92=""),"★免保到期日没填",IF(COUNTIF(合同键,$E92)=0,"★还没建合同行","OK")))))</f>
        <v/>
      </c>
    </row>
    <row r="93" customFormat="false" ht="15" hidden="false" customHeight="false" outlineLevel="0" collapsed="false">
      <c r="A93" s="29" t="str">
        <f aca="false">IF($C93="","",ROW()-4)</f>
        <v/>
      </c>
      <c r="B93" s="25"/>
      <c r="C93" s="24"/>
      <c r="D93" s="24"/>
      <c r="E93" s="30" t="str">
        <f aca="false">IF($C93="","",$C93&amp;" ｜ "&amp;$D93)</f>
        <v/>
      </c>
      <c r="F93" s="25"/>
      <c r="G93" s="25"/>
      <c r="H93" s="25"/>
      <c r="I93" s="25"/>
      <c r="J93" s="25"/>
      <c r="K93" s="21"/>
      <c r="L93" s="21"/>
      <c r="M93" s="21"/>
      <c r="N93" s="25"/>
      <c r="O93" s="25"/>
      <c r="P93" s="32"/>
      <c r="Q93" s="25"/>
      <c r="R93" s="25"/>
      <c r="S93" s="33"/>
      <c r="T93" s="33"/>
      <c r="U93" s="33"/>
      <c r="V93" s="33"/>
      <c r="W93" s="25"/>
      <c r="X93" s="25"/>
      <c r="Y93" s="25"/>
      <c r="Z93" s="33"/>
      <c r="AA93" s="34" t="str">
        <f aca="true">IF($T93="","",IF($T93&lt;TODAY(),"已过期 "&amp;TEXT(TODAY()-$T93,"0")&amp;" 天",IF($T93-TODAY()&lt;=年检提醒天,"还剩 "&amp;TEXT($T93-TODAY(),"0")&amp;" 天","")))</f>
        <v/>
      </c>
      <c r="AB93" s="34" t="str">
        <f aca="true">IF(COUNT($U93:$V93)=0,"",IF(MIN($U93:$V93)&lt;TODAY(),"已过期 "&amp;TEXT(TODAY()-MIN($U93:$V93),"0")&amp;" 天",IF(MIN($U93:$V93)-TODAY()&lt;=年检提醒天,"还剩 "&amp;TEXT(MIN($U93:$V93)-TODAY(),"0")&amp;" 天","")))</f>
        <v/>
      </c>
      <c r="AC93" s="34" t="str">
        <f aca="true">IF($C93="","",IF(OR($Y93="安装免保",$Y93="技术免保",$Y93="质保期内"),IF($Z93="","▲免保没填到期日",IF($Z93&lt;TODAY(),"▲免保已到期 该转收费了",IF($Z93-TODAY()&lt;=合同提醒天,"免保还剩 "&amp;TEXT($Z93-TODAY(),"0")&amp;" 天","免保中"))),IF($Y93="暂停维保","暂停中 不计费",IF($Y93="已解约","已解约",IF(COUNTIF(合同键,$E93)=0,"▲还没建合同行","")))))</f>
        <v/>
      </c>
      <c r="AD93" s="24"/>
      <c r="AE93" s="35" t="str">
        <f aca="false">IF($C93="","",IF($D93="","★项目名称没填",IF(N($P93)&lt;=0,"★台量要填",IF(AND(OR($Y93="安装免保",$Y93="技术免保",$Y93="质保期内"),$Z93=""),"★免保到期日没填",IF(COUNTIF(合同键,$E93)=0,"★还没建合同行","OK")))))</f>
        <v/>
      </c>
    </row>
    <row r="94" customFormat="false" ht="15" hidden="false" customHeight="false" outlineLevel="0" collapsed="false">
      <c r="A94" s="29" t="str">
        <f aca="false">IF($C94="","",ROW()-4)</f>
        <v/>
      </c>
      <c r="B94" s="25"/>
      <c r="C94" s="24"/>
      <c r="D94" s="24"/>
      <c r="E94" s="30" t="str">
        <f aca="false">IF($C94="","",$C94&amp;" ｜ "&amp;$D94)</f>
        <v/>
      </c>
      <c r="F94" s="25"/>
      <c r="G94" s="25"/>
      <c r="H94" s="25"/>
      <c r="I94" s="25"/>
      <c r="J94" s="25"/>
      <c r="K94" s="21"/>
      <c r="L94" s="21"/>
      <c r="M94" s="21"/>
      <c r="N94" s="25"/>
      <c r="O94" s="25"/>
      <c r="P94" s="32"/>
      <c r="Q94" s="25"/>
      <c r="R94" s="25"/>
      <c r="S94" s="33"/>
      <c r="T94" s="33"/>
      <c r="U94" s="33"/>
      <c r="V94" s="33"/>
      <c r="W94" s="25"/>
      <c r="X94" s="25"/>
      <c r="Y94" s="25"/>
      <c r="Z94" s="33"/>
      <c r="AA94" s="34" t="str">
        <f aca="true">IF($T94="","",IF($T94&lt;TODAY(),"已过期 "&amp;TEXT(TODAY()-$T94,"0")&amp;" 天",IF($T94-TODAY()&lt;=年检提醒天,"还剩 "&amp;TEXT($T94-TODAY(),"0")&amp;" 天","")))</f>
        <v/>
      </c>
      <c r="AB94" s="34" t="str">
        <f aca="true">IF(COUNT($U94:$V94)=0,"",IF(MIN($U94:$V94)&lt;TODAY(),"已过期 "&amp;TEXT(TODAY()-MIN($U94:$V94),"0")&amp;" 天",IF(MIN($U94:$V94)-TODAY()&lt;=年检提醒天,"还剩 "&amp;TEXT(MIN($U94:$V94)-TODAY(),"0")&amp;" 天","")))</f>
        <v/>
      </c>
      <c r="AC94" s="34" t="str">
        <f aca="true">IF($C94="","",IF(OR($Y94="安装免保",$Y94="技术免保",$Y94="质保期内"),IF($Z94="","▲免保没填到期日",IF($Z94&lt;TODAY(),"▲免保已到期 该转收费了",IF($Z94-TODAY()&lt;=合同提醒天,"免保还剩 "&amp;TEXT($Z94-TODAY(),"0")&amp;" 天","免保中"))),IF($Y94="暂停维保","暂停中 不计费",IF($Y94="已解约","已解约",IF(COUNTIF(合同键,$E94)=0,"▲还没建合同行","")))))</f>
        <v/>
      </c>
      <c r="AD94" s="24"/>
      <c r="AE94" s="35" t="str">
        <f aca="false">IF($C94="","",IF($D94="","★项目名称没填",IF(N($P94)&lt;=0,"★台量要填",IF(AND(OR($Y94="安装免保",$Y94="技术免保",$Y94="质保期内"),$Z94=""),"★免保到期日没填",IF(COUNTIF(合同键,$E94)=0,"★还没建合同行","OK")))))</f>
        <v/>
      </c>
    </row>
    <row r="95" customFormat="false" ht="15" hidden="false" customHeight="false" outlineLevel="0" collapsed="false">
      <c r="A95" s="29" t="str">
        <f aca="false">IF($C95="","",ROW()-4)</f>
        <v/>
      </c>
      <c r="B95" s="25"/>
      <c r="C95" s="24"/>
      <c r="D95" s="24"/>
      <c r="E95" s="30" t="str">
        <f aca="false">IF($C95="","",$C95&amp;" ｜ "&amp;$D95)</f>
        <v/>
      </c>
      <c r="F95" s="25"/>
      <c r="G95" s="25"/>
      <c r="H95" s="25"/>
      <c r="I95" s="25"/>
      <c r="J95" s="25"/>
      <c r="K95" s="21"/>
      <c r="L95" s="21"/>
      <c r="M95" s="21"/>
      <c r="N95" s="25"/>
      <c r="O95" s="25"/>
      <c r="P95" s="32"/>
      <c r="Q95" s="25"/>
      <c r="R95" s="25"/>
      <c r="S95" s="33"/>
      <c r="T95" s="33"/>
      <c r="U95" s="33"/>
      <c r="V95" s="33"/>
      <c r="W95" s="25"/>
      <c r="X95" s="25"/>
      <c r="Y95" s="25"/>
      <c r="Z95" s="33"/>
      <c r="AA95" s="34" t="str">
        <f aca="true">IF($T95="","",IF($T95&lt;TODAY(),"已过期 "&amp;TEXT(TODAY()-$T95,"0")&amp;" 天",IF($T95-TODAY()&lt;=年检提醒天,"还剩 "&amp;TEXT($T95-TODAY(),"0")&amp;" 天","")))</f>
        <v/>
      </c>
      <c r="AB95" s="34" t="str">
        <f aca="true">IF(COUNT($U95:$V95)=0,"",IF(MIN($U95:$V95)&lt;TODAY(),"已过期 "&amp;TEXT(TODAY()-MIN($U95:$V95),"0")&amp;" 天",IF(MIN($U95:$V95)-TODAY()&lt;=年检提醒天,"还剩 "&amp;TEXT(MIN($U95:$V95)-TODAY(),"0")&amp;" 天","")))</f>
        <v/>
      </c>
      <c r="AC95" s="34" t="str">
        <f aca="true">IF($C95="","",IF(OR($Y95="安装免保",$Y95="技术免保",$Y95="质保期内"),IF($Z95="","▲免保没填到期日",IF($Z95&lt;TODAY(),"▲免保已到期 该转收费了",IF($Z95-TODAY()&lt;=合同提醒天,"免保还剩 "&amp;TEXT($Z95-TODAY(),"0")&amp;" 天","免保中"))),IF($Y95="暂停维保","暂停中 不计费",IF($Y95="已解约","已解约",IF(COUNTIF(合同键,$E95)=0,"▲还没建合同行","")))))</f>
        <v/>
      </c>
      <c r="AD95" s="24"/>
      <c r="AE95" s="35" t="str">
        <f aca="false">IF($C95="","",IF($D95="","★项目名称没填",IF(N($P95)&lt;=0,"★台量要填",IF(AND(OR($Y95="安装免保",$Y95="技术免保",$Y95="质保期内"),$Z95=""),"★免保到期日没填",IF(COUNTIF(合同键,$E95)=0,"★还没建合同行","OK")))))</f>
        <v/>
      </c>
    </row>
    <row r="96" customFormat="false" ht="15" hidden="false" customHeight="false" outlineLevel="0" collapsed="false">
      <c r="A96" s="29" t="str">
        <f aca="false">IF($C96="","",ROW()-4)</f>
        <v/>
      </c>
      <c r="B96" s="25"/>
      <c r="C96" s="24"/>
      <c r="D96" s="24"/>
      <c r="E96" s="30" t="str">
        <f aca="false">IF($C96="","",$C96&amp;" ｜ "&amp;$D96)</f>
        <v/>
      </c>
      <c r="F96" s="25"/>
      <c r="G96" s="25"/>
      <c r="H96" s="25"/>
      <c r="I96" s="25"/>
      <c r="J96" s="25"/>
      <c r="K96" s="21"/>
      <c r="L96" s="21"/>
      <c r="M96" s="21"/>
      <c r="N96" s="25"/>
      <c r="O96" s="25"/>
      <c r="P96" s="32"/>
      <c r="Q96" s="25"/>
      <c r="R96" s="25"/>
      <c r="S96" s="33"/>
      <c r="T96" s="33"/>
      <c r="U96" s="33"/>
      <c r="V96" s="33"/>
      <c r="W96" s="25"/>
      <c r="X96" s="25"/>
      <c r="Y96" s="25"/>
      <c r="Z96" s="33"/>
      <c r="AA96" s="34" t="str">
        <f aca="true">IF($T96="","",IF($T96&lt;TODAY(),"已过期 "&amp;TEXT(TODAY()-$T96,"0")&amp;" 天",IF($T96-TODAY()&lt;=年检提醒天,"还剩 "&amp;TEXT($T96-TODAY(),"0")&amp;" 天","")))</f>
        <v/>
      </c>
      <c r="AB96" s="34" t="str">
        <f aca="true">IF(COUNT($U96:$V96)=0,"",IF(MIN($U96:$V96)&lt;TODAY(),"已过期 "&amp;TEXT(TODAY()-MIN($U96:$V96),"0")&amp;" 天",IF(MIN($U96:$V96)-TODAY()&lt;=年检提醒天,"还剩 "&amp;TEXT(MIN($U96:$V96)-TODAY(),"0")&amp;" 天","")))</f>
        <v/>
      </c>
      <c r="AC96" s="34" t="str">
        <f aca="true">IF($C96="","",IF(OR($Y96="安装免保",$Y96="技术免保",$Y96="质保期内"),IF($Z96="","▲免保没填到期日",IF($Z96&lt;TODAY(),"▲免保已到期 该转收费了",IF($Z96-TODAY()&lt;=合同提醒天,"免保还剩 "&amp;TEXT($Z96-TODAY(),"0")&amp;" 天","免保中"))),IF($Y96="暂停维保","暂停中 不计费",IF($Y96="已解约","已解约",IF(COUNTIF(合同键,$E96)=0,"▲还没建合同行","")))))</f>
        <v/>
      </c>
      <c r="AD96" s="24"/>
      <c r="AE96" s="35" t="str">
        <f aca="false">IF($C96="","",IF($D96="","★项目名称没填",IF(N($P96)&lt;=0,"★台量要填",IF(AND(OR($Y96="安装免保",$Y96="技术免保",$Y96="质保期内"),$Z96=""),"★免保到期日没填",IF(COUNTIF(合同键,$E96)=0,"★还没建合同行","OK")))))</f>
        <v/>
      </c>
    </row>
    <row r="97" customFormat="false" ht="15" hidden="false" customHeight="false" outlineLevel="0" collapsed="false">
      <c r="A97" s="29" t="str">
        <f aca="false">IF($C97="","",ROW()-4)</f>
        <v/>
      </c>
      <c r="B97" s="25"/>
      <c r="C97" s="24"/>
      <c r="D97" s="24"/>
      <c r="E97" s="30" t="str">
        <f aca="false">IF($C97="","",$C97&amp;" ｜ "&amp;$D97)</f>
        <v/>
      </c>
      <c r="F97" s="25"/>
      <c r="G97" s="25"/>
      <c r="H97" s="25"/>
      <c r="I97" s="25"/>
      <c r="J97" s="25"/>
      <c r="K97" s="21"/>
      <c r="L97" s="21"/>
      <c r="M97" s="21"/>
      <c r="N97" s="25"/>
      <c r="O97" s="25"/>
      <c r="P97" s="32"/>
      <c r="Q97" s="25"/>
      <c r="R97" s="25"/>
      <c r="S97" s="33"/>
      <c r="T97" s="33"/>
      <c r="U97" s="33"/>
      <c r="V97" s="33"/>
      <c r="W97" s="25"/>
      <c r="X97" s="25"/>
      <c r="Y97" s="25"/>
      <c r="Z97" s="33"/>
      <c r="AA97" s="34" t="str">
        <f aca="true">IF($T97="","",IF($T97&lt;TODAY(),"已过期 "&amp;TEXT(TODAY()-$T97,"0")&amp;" 天",IF($T97-TODAY()&lt;=年检提醒天,"还剩 "&amp;TEXT($T97-TODAY(),"0")&amp;" 天","")))</f>
        <v/>
      </c>
      <c r="AB97" s="34" t="str">
        <f aca="true">IF(COUNT($U97:$V97)=0,"",IF(MIN($U97:$V97)&lt;TODAY(),"已过期 "&amp;TEXT(TODAY()-MIN($U97:$V97),"0")&amp;" 天",IF(MIN($U97:$V97)-TODAY()&lt;=年检提醒天,"还剩 "&amp;TEXT(MIN($U97:$V97)-TODAY(),"0")&amp;" 天","")))</f>
        <v/>
      </c>
      <c r="AC97" s="34" t="str">
        <f aca="true">IF($C97="","",IF(OR($Y97="安装免保",$Y97="技术免保",$Y97="质保期内"),IF($Z97="","▲免保没填到期日",IF($Z97&lt;TODAY(),"▲免保已到期 该转收费了",IF($Z97-TODAY()&lt;=合同提醒天,"免保还剩 "&amp;TEXT($Z97-TODAY(),"0")&amp;" 天","免保中"))),IF($Y97="暂停维保","暂停中 不计费",IF($Y97="已解约","已解约",IF(COUNTIF(合同键,$E97)=0,"▲还没建合同行","")))))</f>
        <v/>
      </c>
      <c r="AD97" s="24"/>
      <c r="AE97" s="35" t="str">
        <f aca="false">IF($C97="","",IF($D97="","★项目名称没填",IF(N($P97)&lt;=0,"★台量要填",IF(AND(OR($Y97="安装免保",$Y97="技术免保",$Y97="质保期内"),$Z97=""),"★免保到期日没填",IF(COUNTIF(合同键,$E97)=0,"★还没建合同行","OK")))))</f>
        <v/>
      </c>
    </row>
    <row r="98" customFormat="false" ht="15" hidden="false" customHeight="false" outlineLevel="0" collapsed="false">
      <c r="A98" s="29" t="str">
        <f aca="false">IF($C98="","",ROW()-4)</f>
        <v/>
      </c>
      <c r="B98" s="25"/>
      <c r="C98" s="24"/>
      <c r="D98" s="24"/>
      <c r="E98" s="30" t="str">
        <f aca="false">IF($C98="","",$C98&amp;" ｜ "&amp;$D98)</f>
        <v/>
      </c>
      <c r="F98" s="25"/>
      <c r="G98" s="25"/>
      <c r="H98" s="25"/>
      <c r="I98" s="25"/>
      <c r="J98" s="25"/>
      <c r="K98" s="21"/>
      <c r="L98" s="21"/>
      <c r="M98" s="21"/>
      <c r="N98" s="25"/>
      <c r="O98" s="25"/>
      <c r="P98" s="32"/>
      <c r="Q98" s="25"/>
      <c r="R98" s="25"/>
      <c r="S98" s="33"/>
      <c r="T98" s="33"/>
      <c r="U98" s="33"/>
      <c r="V98" s="33"/>
      <c r="W98" s="25"/>
      <c r="X98" s="25"/>
      <c r="Y98" s="25"/>
      <c r="Z98" s="33"/>
      <c r="AA98" s="34" t="str">
        <f aca="true">IF($T98="","",IF($T98&lt;TODAY(),"已过期 "&amp;TEXT(TODAY()-$T98,"0")&amp;" 天",IF($T98-TODAY()&lt;=年检提醒天,"还剩 "&amp;TEXT($T98-TODAY(),"0")&amp;" 天","")))</f>
        <v/>
      </c>
      <c r="AB98" s="34" t="str">
        <f aca="true">IF(COUNT($U98:$V98)=0,"",IF(MIN($U98:$V98)&lt;TODAY(),"已过期 "&amp;TEXT(TODAY()-MIN($U98:$V98),"0")&amp;" 天",IF(MIN($U98:$V98)-TODAY()&lt;=年检提醒天,"还剩 "&amp;TEXT(MIN($U98:$V98)-TODAY(),"0")&amp;" 天","")))</f>
        <v/>
      </c>
      <c r="AC98" s="34" t="str">
        <f aca="true">IF($C98="","",IF(OR($Y98="安装免保",$Y98="技术免保",$Y98="质保期内"),IF($Z98="","▲免保没填到期日",IF($Z98&lt;TODAY(),"▲免保已到期 该转收费了",IF($Z98-TODAY()&lt;=合同提醒天,"免保还剩 "&amp;TEXT($Z98-TODAY(),"0")&amp;" 天","免保中"))),IF($Y98="暂停维保","暂停中 不计费",IF($Y98="已解约","已解约",IF(COUNTIF(合同键,$E98)=0,"▲还没建合同行","")))))</f>
        <v/>
      </c>
      <c r="AD98" s="24"/>
      <c r="AE98" s="35" t="str">
        <f aca="false">IF($C98="","",IF($D98="","★项目名称没填",IF(N($P98)&lt;=0,"★台量要填",IF(AND(OR($Y98="安装免保",$Y98="技术免保",$Y98="质保期内"),$Z98=""),"★免保到期日没填",IF(COUNTIF(合同键,$E98)=0,"★还没建合同行","OK")))))</f>
        <v/>
      </c>
    </row>
    <row r="99" customFormat="false" ht="15" hidden="false" customHeight="false" outlineLevel="0" collapsed="false">
      <c r="A99" s="29" t="str">
        <f aca="false">IF($C99="","",ROW()-4)</f>
        <v/>
      </c>
      <c r="B99" s="25"/>
      <c r="C99" s="24"/>
      <c r="D99" s="24"/>
      <c r="E99" s="30" t="str">
        <f aca="false">IF($C99="","",$C99&amp;" ｜ "&amp;$D99)</f>
        <v/>
      </c>
      <c r="F99" s="25"/>
      <c r="G99" s="25"/>
      <c r="H99" s="25"/>
      <c r="I99" s="25"/>
      <c r="J99" s="25"/>
      <c r="K99" s="21"/>
      <c r="L99" s="21"/>
      <c r="M99" s="21"/>
      <c r="N99" s="25"/>
      <c r="O99" s="25"/>
      <c r="P99" s="32"/>
      <c r="Q99" s="25"/>
      <c r="R99" s="25"/>
      <c r="S99" s="33"/>
      <c r="T99" s="33"/>
      <c r="U99" s="33"/>
      <c r="V99" s="33"/>
      <c r="W99" s="25"/>
      <c r="X99" s="25"/>
      <c r="Y99" s="25"/>
      <c r="Z99" s="33"/>
      <c r="AA99" s="34" t="str">
        <f aca="true">IF($T99="","",IF($T99&lt;TODAY(),"已过期 "&amp;TEXT(TODAY()-$T99,"0")&amp;" 天",IF($T99-TODAY()&lt;=年检提醒天,"还剩 "&amp;TEXT($T99-TODAY(),"0")&amp;" 天","")))</f>
        <v/>
      </c>
      <c r="AB99" s="34" t="str">
        <f aca="true">IF(COUNT($U99:$V99)=0,"",IF(MIN($U99:$V99)&lt;TODAY(),"已过期 "&amp;TEXT(TODAY()-MIN($U99:$V99),"0")&amp;" 天",IF(MIN($U99:$V99)-TODAY()&lt;=年检提醒天,"还剩 "&amp;TEXT(MIN($U99:$V99)-TODAY(),"0")&amp;" 天","")))</f>
        <v/>
      </c>
      <c r="AC99" s="34" t="str">
        <f aca="true">IF($C99="","",IF(OR($Y99="安装免保",$Y99="技术免保",$Y99="质保期内"),IF($Z99="","▲免保没填到期日",IF($Z99&lt;TODAY(),"▲免保已到期 该转收费了",IF($Z99-TODAY()&lt;=合同提醒天,"免保还剩 "&amp;TEXT($Z99-TODAY(),"0")&amp;" 天","免保中"))),IF($Y99="暂停维保","暂停中 不计费",IF($Y99="已解约","已解约",IF(COUNTIF(合同键,$E99)=0,"▲还没建合同行","")))))</f>
        <v/>
      </c>
      <c r="AD99" s="24"/>
      <c r="AE99" s="35" t="str">
        <f aca="false">IF($C99="","",IF($D99="","★项目名称没填",IF(N($P99)&lt;=0,"★台量要填",IF(AND(OR($Y99="安装免保",$Y99="技术免保",$Y99="质保期内"),$Z99=""),"★免保到期日没填",IF(COUNTIF(合同键,$E99)=0,"★还没建合同行","OK")))))</f>
        <v/>
      </c>
    </row>
    <row r="100" customFormat="false" ht="15" hidden="false" customHeight="false" outlineLevel="0" collapsed="false">
      <c r="A100" s="29" t="str">
        <f aca="false">IF($C100="","",ROW()-4)</f>
        <v/>
      </c>
      <c r="B100" s="25"/>
      <c r="C100" s="24"/>
      <c r="D100" s="24"/>
      <c r="E100" s="30" t="str">
        <f aca="false">IF($C100="","",$C100&amp;" ｜ "&amp;$D100)</f>
        <v/>
      </c>
      <c r="F100" s="25"/>
      <c r="G100" s="25"/>
      <c r="H100" s="25"/>
      <c r="I100" s="25"/>
      <c r="J100" s="25"/>
      <c r="K100" s="21"/>
      <c r="L100" s="21"/>
      <c r="M100" s="21"/>
      <c r="N100" s="25"/>
      <c r="O100" s="25"/>
      <c r="P100" s="32"/>
      <c r="Q100" s="25"/>
      <c r="R100" s="25"/>
      <c r="S100" s="33"/>
      <c r="T100" s="33"/>
      <c r="U100" s="33"/>
      <c r="V100" s="33"/>
      <c r="W100" s="25"/>
      <c r="X100" s="25"/>
      <c r="Y100" s="25"/>
      <c r="Z100" s="33"/>
      <c r="AA100" s="34" t="str">
        <f aca="true">IF($T100="","",IF($T100&lt;TODAY(),"已过期 "&amp;TEXT(TODAY()-$T100,"0")&amp;" 天",IF($T100-TODAY()&lt;=年检提醒天,"还剩 "&amp;TEXT($T100-TODAY(),"0")&amp;" 天","")))</f>
        <v/>
      </c>
      <c r="AB100" s="34" t="str">
        <f aca="true">IF(COUNT($U100:$V100)=0,"",IF(MIN($U100:$V100)&lt;TODAY(),"已过期 "&amp;TEXT(TODAY()-MIN($U100:$V100),"0")&amp;" 天",IF(MIN($U100:$V100)-TODAY()&lt;=年检提醒天,"还剩 "&amp;TEXT(MIN($U100:$V100)-TODAY(),"0")&amp;" 天","")))</f>
        <v/>
      </c>
      <c r="AC100" s="34" t="str">
        <f aca="true">IF($C100="","",IF(OR($Y100="安装免保",$Y100="技术免保",$Y100="质保期内"),IF($Z100="","▲免保没填到期日",IF($Z100&lt;TODAY(),"▲免保已到期 该转收费了",IF($Z100-TODAY()&lt;=合同提醒天,"免保还剩 "&amp;TEXT($Z100-TODAY(),"0")&amp;" 天","免保中"))),IF($Y100="暂停维保","暂停中 不计费",IF($Y100="已解约","已解约",IF(COUNTIF(合同键,$E100)=0,"▲还没建合同行","")))))</f>
        <v/>
      </c>
      <c r="AD100" s="24"/>
      <c r="AE100" s="35" t="str">
        <f aca="false">IF($C100="","",IF($D100="","★项目名称没填",IF(N($P100)&lt;=0,"★台量要填",IF(AND(OR($Y100="安装免保",$Y100="技术免保",$Y100="质保期内"),$Z100=""),"★免保到期日没填",IF(COUNTIF(合同键,$E100)=0,"★还没建合同行","OK")))))</f>
        <v/>
      </c>
    </row>
    <row r="101" customFormat="false" ht="15" hidden="false" customHeight="false" outlineLevel="0" collapsed="false">
      <c r="A101" s="29" t="str">
        <f aca="false">IF($C101="","",ROW()-4)</f>
        <v/>
      </c>
      <c r="B101" s="25"/>
      <c r="C101" s="24"/>
      <c r="D101" s="24"/>
      <c r="E101" s="30" t="str">
        <f aca="false">IF($C101="","",$C101&amp;" ｜ "&amp;$D101)</f>
        <v/>
      </c>
      <c r="F101" s="25"/>
      <c r="G101" s="25"/>
      <c r="H101" s="25"/>
      <c r="I101" s="25"/>
      <c r="J101" s="25"/>
      <c r="K101" s="21"/>
      <c r="L101" s="21"/>
      <c r="M101" s="21"/>
      <c r="N101" s="25"/>
      <c r="O101" s="25"/>
      <c r="P101" s="32"/>
      <c r="Q101" s="25"/>
      <c r="R101" s="25"/>
      <c r="S101" s="33"/>
      <c r="T101" s="33"/>
      <c r="U101" s="33"/>
      <c r="V101" s="33"/>
      <c r="W101" s="25"/>
      <c r="X101" s="25"/>
      <c r="Y101" s="25"/>
      <c r="Z101" s="33"/>
      <c r="AA101" s="34" t="str">
        <f aca="true">IF($T101="","",IF($T101&lt;TODAY(),"已过期 "&amp;TEXT(TODAY()-$T101,"0")&amp;" 天",IF($T101-TODAY()&lt;=年检提醒天,"还剩 "&amp;TEXT($T101-TODAY(),"0")&amp;" 天","")))</f>
        <v/>
      </c>
      <c r="AB101" s="34" t="str">
        <f aca="true">IF(COUNT($U101:$V101)=0,"",IF(MIN($U101:$V101)&lt;TODAY(),"已过期 "&amp;TEXT(TODAY()-MIN($U101:$V101),"0")&amp;" 天",IF(MIN($U101:$V101)-TODAY()&lt;=年检提醒天,"还剩 "&amp;TEXT(MIN($U101:$V101)-TODAY(),"0")&amp;" 天","")))</f>
        <v/>
      </c>
      <c r="AC101" s="34" t="str">
        <f aca="true">IF($C101="","",IF(OR($Y101="安装免保",$Y101="技术免保",$Y101="质保期内"),IF($Z101="","▲免保没填到期日",IF($Z101&lt;TODAY(),"▲免保已到期 该转收费了",IF($Z101-TODAY()&lt;=合同提醒天,"免保还剩 "&amp;TEXT($Z101-TODAY(),"0")&amp;" 天","免保中"))),IF($Y101="暂停维保","暂停中 不计费",IF($Y101="已解约","已解约",IF(COUNTIF(合同键,$E101)=0,"▲还没建合同行","")))))</f>
        <v/>
      </c>
      <c r="AD101" s="24"/>
      <c r="AE101" s="35" t="str">
        <f aca="false">IF($C101="","",IF($D101="","★项目名称没填",IF(N($P101)&lt;=0,"★台量要填",IF(AND(OR($Y101="安装免保",$Y101="技术免保",$Y101="质保期内"),$Z101=""),"★免保到期日没填",IF(COUNTIF(合同键,$E101)=0,"★还没建合同行","OK")))))</f>
        <v/>
      </c>
    </row>
    <row r="102" customFormat="false" ht="15" hidden="false" customHeight="false" outlineLevel="0" collapsed="false">
      <c r="A102" s="29" t="str">
        <f aca="false">IF($C102="","",ROW()-4)</f>
        <v/>
      </c>
      <c r="B102" s="25"/>
      <c r="C102" s="24"/>
      <c r="D102" s="24"/>
      <c r="E102" s="30" t="str">
        <f aca="false">IF($C102="","",$C102&amp;" ｜ "&amp;$D102)</f>
        <v/>
      </c>
      <c r="F102" s="25"/>
      <c r="G102" s="25"/>
      <c r="H102" s="25"/>
      <c r="I102" s="25"/>
      <c r="J102" s="25"/>
      <c r="K102" s="21"/>
      <c r="L102" s="21"/>
      <c r="M102" s="21"/>
      <c r="N102" s="25"/>
      <c r="O102" s="25"/>
      <c r="P102" s="32"/>
      <c r="Q102" s="25"/>
      <c r="R102" s="25"/>
      <c r="S102" s="33"/>
      <c r="T102" s="33"/>
      <c r="U102" s="33"/>
      <c r="V102" s="33"/>
      <c r="W102" s="25"/>
      <c r="X102" s="25"/>
      <c r="Y102" s="25"/>
      <c r="Z102" s="33"/>
      <c r="AA102" s="34" t="str">
        <f aca="true">IF($T102="","",IF($T102&lt;TODAY(),"已过期 "&amp;TEXT(TODAY()-$T102,"0")&amp;" 天",IF($T102-TODAY()&lt;=年检提醒天,"还剩 "&amp;TEXT($T102-TODAY(),"0")&amp;" 天","")))</f>
        <v/>
      </c>
      <c r="AB102" s="34" t="str">
        <f aca="true">IF(COUNT($U102:$V102)=0,"",IF(MIN($U102:$V102)&lt;TODAY(),"已过期 "&amp;TEXT(TODAY()-MIN($U102:$V102),"0")&amp;" 天",IF(MIN($U102:$V102)-TODAY()&lt;=年检提醒天,"还剩 "&amp;TEXT(MIN($U102:$V102)-TODAY(),"0")&amp;" 天","")))</f>
        <v/>
      </c>
      <c r="AC102" s="34" t="str">
        <f aca="true">IF($C102="","",IF(OR($Y102="安装免保",$Y102="技术免保",$Y102="质保期内"),IF($Z102="","▲免保没填到期日",IF($Z102&lt;TODAY(),"▲免保已到期 该转收费了",IF($Z102-TODAY()&lt;=合同提醒天,"免保还剩 "&amp;TEXT($Z102-TODAY(),"0")&amp;" 天","免保中"))),IF($Y102="暂停维保","暂停中 不计费",IF($Y102="已解约","已解约",IF(COUNTIF(合同键,$E102)=0,"▲还没建合同行","")))))</f>
        <v/>
      </c>
      <c r="AD102" s="24"/>
      <c r="AE102" s="35" t="str">
        <f aca="false">IF($C102="","",IF($D102="","★项目名称没填",IF(N($P102)&lt;=0,"★台量要填",IF(AND(OR($Y102="安装免保",$Y102="技术免保",$Y102="质保期内"),$Z102=""),"★免保到期日没填",IF(COUNTIF(合同键,$E102)=0,"★还没建合同行","OK")))))</f>
        <v/>
      </c>
    </row>
    <row r="103" customFormat="false" ht="15" hidden="false" customHeight="false" outlineLevel="0" collapsed="false">
      <c r="A103" s="29" t="str">
        <f aca="false">IF($C103="","",ROW()-4)</f>
        <v/>
      </c>
      <c r="B103" s="25"/>
      <c r="C103" s="24"/>
      <c r="D103" s="24"/>
      <c r="E103" s="30" t="str">
        <f aca="false">IF($C103="","",$C103&amp;" ｜ "&amp;$D103)</f>
        <v/>
      </c>
      <c r="F103" s="25"/>
      <c r="G103" s="25"/>
      <c r="H103" s="25"/>
      <c r="I103" s="25"/>
      <c r="J103" s="25"/>
      <c r="K103" s="21"/>
      <c r="L103" s="21"/>
      <c r="M103" s="21"/>
      <c r="N103" s="25"/>
      <c r="O103" s="25"/>
      <c r="P103" s="32"/>
      <c r="Q103" s="25"/>
      <c r="R103" s="25"/>
      <c r="S103" s="33"/>
      <c r="T103" s="33"/>
      <c r="U103" s="33"/>
      <c r="V103" s="33"/>
      <c r="W103" s="25"/>
      <c r="X103" s="25"/>
      <c r="Y103" s="25"/>
      <c r="Z103" s="33"/>
      <c r="AA103" s="34" t="str">
        <f aca="true">IF($T103="","",IF($T103&lt;TODAY(),"已过期 "&amp;TEXT(TODAY()-$T103,"0")&amp;" 天",IF($T103-TODAY()&lt;=年检提醒天,"还剩 "&amp;TEXT($T103-TODAY(),"0")&amp;" 天","")))</f>
        <v/>
      </c>
      <c r="AB103" s="34" t="str">
        <f aca="true">IF(COUNT($U103:$V103)=0,"",IF(MIN($U103:$V103)&lt;TODAY(),"已过期 "&amp;TEXT(TODAY()-MIN($U103:$V103),"0")&amp;" 天",IF(MIN($U103:$V103)-TODAY()&lt;=年检提醒天,"还剩 "&amp;TEXT(MIN($U103:$V103)-TODAY(),"0")&amp;" 天","")))</f>
        <v/>
      </c>
      <c r="AC103" s="34" t="str">
        <f aca="true">IF($C103="","",IF(OR($Y103="安装免保",$Y103="技术免保",$Y103="质保期内"),IF($Z103="","▲免保没填到期日",IF($Z103&lt;TODAY(),"▲免保已到期 该转收费了",IF($Z103-TODAY()&lt;=合同提醒天,"免保还剩 "&amp;TEXT($Z103-TODAY(),"0")&amp;" 天","免保中"))),IF($Y103="暂停维保","暂停中 不计费",IF($Y103="已解约","已解约",IF(COUNTIF(合同键,$E103)=0,"▲还没建合同行","")))))</f>
        <v/>
      </c>
      <c r="AD103" s="24"/>
      <c r="AE103" s="35" t="str">
        <f aca="false">IF($C103="","",IF($D103="","★项目名称没填",IF(N($P103)&lt;=0,"★台量要填",IF(AND(OR($Y103="安装免保",$Y103="技术免保",$Y103="质保期内"),$Z103=""),"★免保到期日没填",IF(COUNTIF(合同键,$E103)=0,"★还没建合同行","OK")))))</f>
        <v/>
      </c>
    </row>
    <row r="104" customFormat="false" ht="15" hidden="false" customHeight="false" outlineLevel="0" collapsed="false">
      <c r="A104" s="29" t="str">
        <f aca="false">IF($C104="","",ROW()-4)</f>
        <v/>
      </c>
      <c r="B104" s="25"/>
      <c r="C104" s="24"/>
      <c r="D104" s="24"/>
      <c r="E104" s="30" t="str">
        <f aca="false">IF($C104="","",$C104&amp;" ｜ "&amp;$D104)</f>
        <v/>
      </c>
      <c r="F104" s="25"/>
      <c r="G104" s="25"/>
      <c r="H104" s="25"/>
      <c r="I104" s="25"/>
      <c r="J104" s="25"/>
      <c r="K104" s="21"/>
      <c r="L104" s="21"/>
      <c r="M104" s="21"/>
      <c r="N104" s="25"/>
      <c r="O104" s="25"/>
      <c r="P104" s="32"/>
      <c r="Q104" s="25"/>
      <c r="R104" s="25"/>
      <c r="S104" s="33"/>
      <c r="T104" s="33"/>
      <c r="U104" s="33"/>
      <c r="V104" s="33"/>
      <c r="W104" s="25"/>
      <c r="X104" s="25"/>
      <c r="Y104" s="25"/>
      <c r="Z104" s="33"/>
      <c r="AA104" s="34" t="str">
        <f aca="true">IF($T104="","",IF($T104&lt;TODAY(),"已过期 "&amp;TEXT(TODAY()-$T104,"0")&amp;" 天",IF($T104-TODAY()&lt;=年检提醒天,"还剩 "&amp;TEXT($T104-TODAY(),"0")&amp;" 天","")))</f>
        <v/>
      </c>
      <c r="AB104" s="34" t="str">
        <f aca="true">IF(COUNT($U104:$V104)=0,"",IF(MIN($U104:$V104)&lt;TODAY(),"已过期 "&amp;TEXT(TODAY()-MIN($U104:$V104),"0")&amp;" 天",IF(MIN($U104:$V104)-TODAY()&lt;=年检提醒天,"还剩 "&amp;TEXT(MIN($U104:$V104)-TODAY(),"0")&amp;" 天","")))</f>
        <v/>
      </c>
      <c r="AC104" s="34" t="str">
        <f aca="true">IF($C104="","",IF(OR($Y104="安装免保",$Y104="技术免保",$Y104="质保期内"),IF($Z104="","▲免保没填到期日",IF($Z104&lt;TODAY(),"▲免保已到期 该转收费了",IF($Z104-TODAY()&lt;=合同提醒天,"免保还剩 "&amp;TEXT($Z104-TODAY(),"0")&amp;" 天","免保中"))),IF($Y104="暂停维保","暂停中 不计费",IF($Y104="已解约","已解约",IF(COUNTIF(合同键,$E104)=0,"▲还没建合同行","")))))</f>
        <v/>
      </c>
      <c r="AD104" s="24"/>
      <c r="AE104" s="35" t="str">
        <f aca="false">IF($C104="","",IF($D104="","★项目名称没填",IF(N($P104)&lt;=0,"★台量要填",IF(AND(OR($Y104="安装免保",$Y104="技术免保",$Y104="质保期内"),$Z104=""),"★免保到期日没填",IF(COUNTIF(合同键,$E104)=0,"★还没建合同行","OK")))))</f>
        <v/>
      </c>
    </row>
    <row r="105" customFormat="false" ht="15" hidden="false" customHeight="false" outlineLevel="0" collapsed="false">
      <c r="A105" s="29" t="str">
        <f aca="false">IF($C105="","",ROW()-4)</f>
        <v/>
      </c>
      <c r="B105" s="25"/>
      <c r="C105" s="24"/>
      <c r="D105" s="24"/>
      <c r="E105" s="30" t="str">
        <f aca="false">IF($C105="","",$C105&amp;" ｜ "&amp;$D105)</f>
        <v/>
      </c>
      <c r="F105" s="25"/>
      <c r="G105" s="25"/>
      <c r="H105" s="25"/>
      <c r="I105" s="25"/>
      <c r="J105" s="25"/>
      <c r="K105" s="21"/>
      <c r="L105" s="21"/>
      <c r="M105" s="21"/>
      <c r="N105" s="25"/>
      <c r="O105" s="25"/>
      <c r="P105" s="32"/>
      <c r="Q105" s="25"/>
      <c r="R105" s="25"/>
      <c r="S105" s="33"/>
      <c r="T105" s="33"/>
      <c r="U105" s="33"/>
      <c r="V105" s="33"/>
      <c r="W105" s="25"/>
      <c r="X105" s="25"/>
      <c r="Y105" s="25"/>
      <c r="Z105" s="33"/>
      <c r="AA105" s="34" t="str">
        <f aca="true">IF($T105="","",IF($T105&lt;TODAY(),"已过期 "&amp;TEXT(TODAY()-$T105,"0")&amp;" 天",IF($T105-TODAY()&lt;=年检提醒天,"还剩 "&amp;TEXT($T105-TODAY(),"0")&amp;" 天","")))</f>
        <v/>
      </c>
      <c r="AB105" s="34" t="str">
        <f aca="true">IF(COUNT($U105:$V105)=0,"",IF(MIN($U105:$V105)&lt;TODAY(),"已过期 "&amp;TEXT(TODAY()-MIN($U105:$V105),"0")&amp;" 天",IF(MIN($U105:$V105)-TODAY()&lt;=年检提醒天,"还剩 "&amp;TEXT(MIN($U105:$V105)-TODAY(),"0")&amp;" 天","")))</f>
        <v/>
      </c>
      <c r="AC105" s="34" t="str">
        <f aca="true">IF($C105="","",IF(OR($Y105="安装免保",$Y105="技术免保",$Y105="质保期内"),IF($Z105="","▲免保没填到期日",IF($Z105&lt;TODAY(),"▲免保已到期 该转收费了",IF($Z105-TODAY()&lt;=合同提醒天,"免保还剩 "&amp;TEXT($Z105-TODAY(),"0")&amp;" 天","免保中"))),IF($Y105="暂停维保","暂停中 不计费",IF($Y105="已解约","已解约",IF(COUNTIF(合同键,$E105)=0,"▲还没建合同行","")))))</f>
        <v/>
      </c>
      <c r="AD105" s="24"/>
      <c r="AE105" s="35" t="str">
        <f aca="false">IF($C105="","",IF($D105="","★项目名称没填",IF(N($P105)&lt;=0,"★台量要填",IF(AND(OR($Y105="安装免保",$Y105="技术免保",$Y105="质保期内"),$Z105=""),"★免保到期日没填",IF(COUNTIF(合同键,$E105)=0,"★还没建合同行","OK")))))</f>
        <v/>
      </c>
    </row>
    <row r="106" customFormat="false" ht="15" hidden="false" customHeight="false" outlineLevel="0" collapsed="false">
      <c r="A106" s="29" t="str">
        <f aca="false">IF($C106="","",ROW()-4)</f>
        <v/>
      </c>
      <c r="B106" s="25"/>
      <c r="C106" s="24"/>
      <c r="D106" s="24"/>
      <c r="E106" s="30" t="str">
        <f aca="false">IF($C106="","",$C106&amp;" ｜ "&amp;$D106)</f>
        <v/>
      </c>
      <c r="F106" s="25"/>
      <c r="G106" s="25"/>
      <c r="H106" s="25"/>
      <c r="I106" s="25"/>
      <c r="J106" s="25"/>
      <c r="K106" s="21"/>
      <c r="L106" s="21"/>
      <c r="M106" s="21"/>
      <c r="N106" s="25"/>
      <c r="O106" s="25"/>
      <c r="P106" s="32"/>
      <c r="Q106" s="25"/>
      <c r="R106" s="25"/>
      <c r="S106" s="33"/>
      <c r="T106" s="33"/>
      <c r="U106" s="33"/>
      <c r="V106" s="33"/>
      <c r="W106" s="25"/>
      <c r="X106" s="25"/>
      <c r="Y106" s="25"/>
      <c r="Z106" s="33"/>
      <c r="AA106" s="34" t="str">
        <f aca="true">IF($T106="","",IF($T106&lt;TODAY(),"已过期 "&amp;TEXT(TODAY()-$T106,"0")&amp;" 天",IF($T106-TODAY()&lt;=年检提醒天,"还剩 "&amp;TEXT($T106-TODAY(),"0")&amp;" 天","")))</f>
        <v/>
      </c>
      <c r="AB106" s="34" t="str">
        <f aca="true">IF(COUNT($U106:$V106)=0,"",IF(MIN($U106:$V106)&lt;TODAY(),"已过期 "&amp;TEXT(TODAY()-MIN($U106:$V106),"0")&amp;" 天",IF(MIN($U106:$V106)-TODAY()&lt;=年检提醒天,"还剩 "&amp;TEXT(MIN($U106:$V106)-TODAY(),"0")&amp;" 天","")))</f>
        <v/>
      </c>
      <c r="AC106" s="34" t="str">
        <f aca="true">IF($C106="","",IF(OR($Y106="安装免保",$Y106="技术免保",$Y106="质保期内"),IF($Z106="","▲免保没填到期日",IF($Z106&lt;TODAY(),"▲免保已到期 该转收费了",IF($Z106-TODAY()&lt;=合同提醒天,"免保还剩 "&amp;TEXT($Z106-TODAY(),"0")&amp;" 天","免保中"))),IF($Y106="暂停维保","暂停中 不计费",IF($Y106="已解约","已解约",IF(COUNTIF(合同键,$E106)=0,"▲还没建合同行","")))))</f>
        <v/>
      </c>
      <c r="AD106" s="24"/>
      <c r="AE106" s="35" t="str">
        <f aca="false">IF($C106="","",IF($D106="","★项目名称没填",IF(N($P106)&lt;=0,"★台量要填",IF(AND(OR($Y106="安装免保",$Y106="技术免保",$Y106="质保期内"),$Z106=""),"★免保到期日没填",IF(COUNTIF(合同键,$E106)=0,"★还没建合同行","OK")))))</f>
        <v/>
      </c>
    </row>
    <row r="107" customFormat="false" ht="15" hidden="false" customHeight="false" outlineLevel="0" collapsed="false">
      <c r="A107" s="29" t="str">
        <f aca="false">IF($C107="","",ROW()-4)</f>
        <v/>
      </c>
      <c r="B107" s="25"/>
      <c r="C107" s="24"/>
      <c r="D107" s="24"/>
      <c r="E107" s="30" t="str">
        <f aca="false">IF($C107="","",$C107&amp;" ｜ "&amp;$D107)</f>
        <v/>
      </c>
      <c r="F107" s="25"/>
      <c r="G107" s="25"/>
      <c r="H107" s="25"/>
      <c r="I107" s="25"/>
      <c r="J107" s="25"/>
      <c r="K107" s="21"/>
      <c r="L107" s="21"/>
      <c r="M107" s="21"/>
      <c r="N107" s="25"/>
      <c r="O107" s="25"/>
      <c r="P107" s="32"/>
      <c r="Q107" s="25"/>
      <c r="R107" s="25"/>
      <c r="S107" s="33"/>
      <c r="T107" s="33"/>
      <c r="U107" s="33"/>
      <c r="V107" s="33"/>
      <c r="W107" s="25"/>
      <c r="X107" s="25"/>
      <c r="Y107" s="25"/>
      <c r="Z107" s="33"/>
      <c r="AA107" s="34" t="str">
        <f aca="true">IF($T107="","",IF($T107&lt;TODAY(),"已过期 "&amp;TEXT(TODAY()-$T107,"0")&amp;" 天",IF($T107-TODAY()&lt;=年检提醒天,"还剩 "&amp;TEXT($T107-TODAY(),"0")&amp;" 天","")))</f>
        <v/>
      </c>
      <c r="AB107" s="34" t="str">
        <f aca="true">IF(COUNT($U107:$V107)=0,"",IF(MIN($U107:$V107)&lt;TODAY(),"已过期 "&amp;TEXT(TODAY()-MIN($U107:$V107),"0")&amp;" 天",IF(MIN($U107:$V107)-TODAY()&lt;=年检提醒天,"还剩 "&amp;TEXT(MIN($U107:$V107)-TODAY(),"0")&amp;" 天","")))</f>
        <v/>
      </c>
      <c r="AC107" s="34" t="str">
        <f aca="true">IF($C107="","",IF(OR($Y107="安装免保",$Y107="技术免保",$Y107="质保期内"),IF($Z107="","▲免保没填到期日",IF($Z107&lt;TODAY(),"▲免保已到期 该转收费了",IF($Z107-TODAY()&lt;=合同提醒天,"免保还剩 "&amp;TEXT($Z107-TODAY(),"0")&amp;" 天","免保中"))),IF($Y107="暂停维保","暂停中 不计费",IF($Y107="已解约","已解约",IF(COUNTIF(合同键,$E107)=0,"▲还没建合同行","")))))</f>
        <v/>
      </c>
      <c r="AD107" s="24"/>
      <c r="AE107" s="35" t="str">
        <f aca="false">IF($C107="","",IF($D107="","★项目名称没填",IF(N($P107)&lt;=0,"★台量要填",IF(AND(OR($Y107="安装免保",$Y107="技术免保",$Y107="质保期内"),$Z107=""),"★免保到期日没填",IF(COUNTIF(合同键,$E107)=0,"★还没建合同行","OK")))))</f>
        <v/>
      </c>
    </row>
    <row r="108" customFormat="false" ht="15" hidden="false" customHeight="false" outlineLevel="0" collapsed="false">
      <c r="A108" s="29" t="str">
        <f aca="false">IF($C108="","",ROW()-4)</f>
        <v/>
      </c>
      <c r="B108" s="25"/>
      <c r="C108" s="24"/>
      <c r="D108" s="24"/>
      <c r="E108" s="30" t="str">
        <f aca="false">IF($C108="","",$C108&amp;" ｜ "&amp;$D108)</f>
        <v/>
      </c>
      <c r="F108" s="25"/>
      <c r="G108" s="25"/>
      <c r="H108" s="25"/>
      <c r="I108" s="25"/>
      <c r="J108" s="25"/>
      <c r="K108" s="21"/>
      <c r="L108" s="21"/>
      <c r="M108" s="21"/>
      <c r="N108" s="25"/>
      <c r="O108" s="25"/>
      <c r="P108" s="32"/>
      <c r="Q108" s="25"/>
      <c r="R108" s="25"/>
      <c r="S108" s="33"/>
      <c r="T108" s="33"/>
      <c r="U108" s="33"/>
      <c r="V108" s="33"/>
      <c r="W108" s="25"/>
      <c r="X108" s="25"/>
      <c r="Y108" s="25"/>
      <c r="Z108" s="33"/>
      <c r="AA108" s="34" t="str">
        <f aca="true">IF($T108="","",IF($T108&lt;TODAY(),"已过期 "&amp;TEXT(TODAY()-$T108,"0")&amp;" 天",IF($T108-TODAY()&lt;=年检提醒天,"还剩 "&amp;TEXT($T108-TODAY(),"0")&amp;" 天","")))</f>
        <v/>
      </c>
      <c r="AB108" s="34" t="str">
        <f aca="true">IF(COUNT($U108:$V108)=0,"",IF(MIN($U108:$V108)&lt;TODAY(),"已过期 "&amp;TEXT(TODAY()-MIN($U108:$V108),"0")&amp;" 天",IF(MIN($U108:$V108)-TODAY()&lt;=年检提醒天,"还剩 "&amp;TEXT(MIN($U108:$V108)-TODAY(),"0")&amp;" 天","")))</f>
        <v/>
      </c>
      <c r="AC108" s="34" t="str">
        <f aca="true">IF($C108="","",IF(OR($Y108="安装免保",$Y108="技术免保",$Y108="质保期内"),IF($Z108="","▲免保没填到期日",IF($Z108&lt;TODAY(),"▲免保已到期 该转收费了",IF($Z108-TODAY()&lt;=合同提醒天,"免保还剩 "&amp;TEXT($Z108-TODAY(),"0")&amp;" 天","免保中"))),IF($Y108="暂停维保","暂停中 不计费",IF($Y108="已解约","已解约",IF(COUNTIF(合同键,$E108)=0,"▲还没建合同行","")))))</f>
        <v/>
      </c>
      <c r="AD108" s="24"/>
      <c r="AE108" s="35" t="str">
        <f aca="false">IF($C108="","",IF($D108="","★项目名称没填",IF(N($P108)&lt;=0,"★台量要填",IF(AND(OR($Y108="安装免保",$Y108="技术免保",$Y108="质保期内"),$Z108=""),"★免保到期日没填",IF(COUNTIF(合同键,$E108)=0,"★还没建合同行","OK")))))</f>
        <v/>
      </c>
    </row>
    <row r="109" customFormat="false" ht="15" hidden="false" customHeight="false" outlineLevel="0" collapsed="false">
      <c r="A109" s="29" t="str">
        <f aca="false">IF($C109="","",ROW()-4)</f>
        <v/>
      </c>
      <c r="B109" s="25"/>
      <c r="C109" s="24"/>
      <c r="D109" s="24"/>
      <c r="E109" s="30" t="str">
        <f aca="false">IF($C109="","",$C109&amp;" ｜ "&amp;$D109)</f>
        <v/>
      </c>
      <c r="F109" s="25"/>
      <c r="G109" s="25"/>
      <c r="H109" s="25"/>
      <c r="I109" s="25"/>
      <c r="J109" s="25"/>
      <c r="K109" s="21"/>
      <c r="L109" s="21"/>
      <c r="M109" s="21"/>
      <c r="N109" s="25"/>
      <c r="O109" s="25"/>
      <c r="P109" s="32"/>
      <c r="Q109" s="25"/>
      <c r="R109" s="25"/>
      <c r="S109" s="33"/>
      <c r="T109" s="33"/>
      <c r="U109" s="33"/>
      <c r="V109" s="33"/>
      <c r="W109" s="25"/>
      <c r="X109" s="25"/>
      <c r="Y109" s="25"/>
      <c r="Z109" s="33"/>
      <c r="AA109" s="34" t="str">
        <f aca="true">IF($T109="","",IF($T109&lt;TODAY(),"已过期 "&amp;TEXT(TODAY()-$T109,"0")&amp;" 天",IF($T109-TODAY()&lt;=年检提醒天,"还剩 "&amp;TEXT($T109-TODAY(),"0")&amp;" 天","")))</f>
        <v/>
      </c>
      <c r="AB109" s="34" t="str">
        <f aca="true">IF(COUNT($U109:$V109)=0,"",IF(MIN($U109:$V109)&lt;TODAY(),"已过期 "&amp;TEXT(TODAY()-MIN($U109:$V109),"0")&amp;" 天",IF(MIN($U109:$V109)-TODAY()&lt;=年检提醒天,"还剩 "&amp;TEXT(MIN($U109:$V109)-TODAY(),"0")&amp;" 天","")))</f>
        <v/>
      </c>
      <c r="AC109" s="34" t="str">
        <f aca="true">IF($C109="","",IF(OR($Y109="安装免保",$Y109="技术免保",$Y109="质保期内"),IF($Z109="","▲免保没填到期日",IF($Z109&lt;TODAY(),"▲免保已到期 该转收费了",IF($Z109-TODAY()&lt;=合同提醒天,"免保还剩 "&amp;TEXT($Z109-TODAY(),"0")&amp;" 天","免保中"))),IF($Y109="暂停维保","暂停中 不计费",IF($Y109="已解约","已解约",IF(COUNTIF(合同键,$E109)=0,"▲还没建合同行","")))))</f>
        <v/>
      </c>
      <c r="AD109" s="24"/>
      <c r="AE109" s="35" t="str">
        <f aca="false">IF($C109="","",IF($D109="","★项目名称没填",IF(N($P109)&lt;=0,"★台量要填",IF(AND(OR($Y109="安装免保",$Y109="技术免保",$Y109="质保期内"),$Z109=""),"★免保到期日没填",IF(COUNTIF(合同键,$E109)=0,"★还没建合同行","OK")))))</f>
        <v/>
      </c>
    </row>
    <row r="110" customFormat="false" ht="15" hidden="false" customHeight="false" outlineLevel="0" collapsed="false">
      <c r="A110" s="29" t="str">
        <f aca="false">IF($C110="","",ROW()-4)</f>
        <v/>
      </c>
      <c r="B110" s="25"/>
      <c r="C110" s="24"/>
      <c r="D110" s="24"/>
      <c r="E110" s="30" t="str">
        <f aca="false">IF($C110="","",$C110&amp;" ｜ "&amp;$D110)</f>
        <v/>
      </c>
      <c r="F110" s="25"/>
      <c r="G110" s="25"/>
      <c r="H110" s="25"/>
      <c r="I110" s="25"/>
      <c r="J110" s="25"/>
      <c r="K110" s="21"/>
      <c r="L110" s="21"/>
      <c r="M110" s="21"/>
      <c r="N110" s="25"/>
      <c r="O110" s="25"/>
      <c r="P110" s="32"/>
      <c r="Q110" s="25"/>
      <c r="R110" s="25"/>
      <c r="S110" s="33"/>
      <c r="T110" s="33"/>
      <c r="U110" s="33"/>
      <c r="V110" s="33"/>
      <c r="W110" s="25"/>
      <c r="X110" s="25"/>
      <c r="Y110" s="25"/>
      <c r="Z110" s="33"/>
      <c r="AA110" s="34" t="str">
        <f aca="true">IF($T110="","",IF($T110&lt;TODAY(),"已过期 "&amp;TEXT(TODAY()-$T110,"0")&amp;" 天",IF($T110-TODAY()&lt;=年检提醒天,"还剩 "&amp;TEXT($T110-TODAY(),"0")&amp;" 天","")))</f>
        <v/>
      </c>
      <c r="AB110" s="34" t="str">
        <f aca="true">IF(COUNT($U110:$V110)=0,"",IF(MIN($U110:$V110)&lt;TODAY(),"已过期 "&amp;TEXT(TODAY()-MIN($U110:$V110),"0")&amp;" 天",IF(MIN($U110:$V110)-TODAY()&lt;=年检提醒天,"还剩 "&amp;TEXT(MIN($U110:$V110)-TODAY(),"0")&amp;" 天","")))</f>
        <v/>
      </c>
      <c r="AC110" s="34" t="str">
        <f aca="true">IF($C110="","",IF(OR($Y110="安装免保",$Y110="技术免保",$Y110="质保期内"),IF($Z110="","▲免保没填到期日",IF($Z110&lt;TODAY(),"▲免保已到期 该转收费了",IF($Z110-TODAY()&lt;=合同提醒天,"免保还剩 "&amp;TEXT($Z110-TODAY(),"0")&amp;" 天","免保中"))),IF($Y110="暂停维保","暂停中 不计费",IF($Y110="已解约","已解约",IF(COUNTIF(合同键,$E110)=0,"▲还没建合同行","")))))</f>
        <v/>
      </c>
      <c r="AD110" s="24"/>
      <c r="AE110" s="35" t="str">
        <f aca="false">IF($C110="","",IF($D110="","★项目名称没填",IF(N($P110)&lt;=0,"★台量要填",IF(AND(OR($Y110="安装免保",$Y110="技术免保",$Y110="质保期内"),$Z110=""),"★免保到期日没填",IF(COUNTIF(合同键,$E110)=0,"★还没建合同行","OK")))))</f>
        <v/>
      </c>
    </row>
    <row r="111" customFormat="false" ht="15" hidden="false" customHeight="false" outlineLevel="0" collapsed="false">
      <c r="A111" s="29" t="str">
        <f aca="false">IF($C111="","",ROW()-4)</f>
        <v/>
      </c>
      <c r="B111" s="25"/>
      <c r="C111" s="24"/>
      <c r="D111" s="24"/>
      <c r="E111" s="30" t="str">
        <f aca="false">IF($C111="","",$C111&amp;" ｜ "&amp;$D111)</f>
        <v/>
      </c>
      <c r="F111" s="25"/>
      <c r="G111" s="25"/>
      <c r="H111" s="25"/>
      <c r="I111" s="25"/>
      <c r="J111" s="25"/>
      <c r="K111" s="21"/>
      <c r="L111" s="21"/>
      <c r="M111" s="21"/>
      <c r="N111" s="25"/>
      <c r="O111" s="25"/>
      <c r="P111" s="32"/>
      <c r="Q111" s="25"/>
      <c r="R111" s="25"/>
      <c r="S111" s="33"/>
      <c r="T111" s="33"/>
      <c r="U111" s="33"/>
      <c r="V111" s="33"/>
      <c r="W111" s="25"/>
      <c r="X111" s="25"/>
      <c r="Y111" s="25"/>
      <c r="Z111" s="33"/>
      <c r="AA111" s="34" t="str">
        <f aca="true">IF($T111="","",IF($T111&lt;TODAY(),"已过期 "&amp;TEXT(TODAY()-$T111,"0")&amp;" 天",IF($T111-TODAY()&lt;=年检提醒天,"还剩 "&amp;TEXT($T111-TODAY(),"0")&amp;" 天","")))</f>
        <v/>
      </c>
      <c r="AB111" s="34" t="str">
        <f aca="true">IF(COUNT($U111:$V111)=0,"",IF(MIN($U111:$V111)&lt;TODAY(),"已过期 "&amp;TEXT(TODAY()-MIN($U111:$V111),"0")&amp;" 天",IF(MIN($U111:$V111)-TODAY()&lt;=年检提醒天,"还剩 "&amp;TEXT(MIN($U111:$V111)-TODAY(),"0")&amp;" 天","")))</f>
        <v/>
      </c>
      <c r="AC111" s="34" t="str">
        <f aca="true">IF($C111="","",IF(OR($Y111="安装免保",$Y111="技术免保",$Y111="质保期内"),IF($Z111="","▲免保没填到期日",IF($Z111&lt;TODAY(),"▲免保已到期 该转收费了",IF($Z111-TODAY()&lt;=合同提醒天,"免保还剩 "&amp;TEXT($Z111-TODAY(),"0")&amp;" 天","免保中"))),IF($Y111="暂停维保","暂停中 不计费",IF($Y111="已解约","已解约",IF(COUNTIF(合同键,$E111)=0,"▲还没建合同行","")))))</f>
        <v/>
      </c>
      <c r="AD111" s="24"/>
      <c r="AE111" s="35" t="str">
        <f aca="false">IF($C111="","",IF($D111="","★项目名称没填",IF(N($P111)&lt;=0,"★台量要填",IF(AND(OR($Y111="安装免保",$Y111="技术免保",$Y111="质保期内"),$Z111=""),"★免保到期日没填",IF(COUNTIF(合同键,$E111)=0,"★还没建合同行","OK")))))</f>
        <v/>
      </c>
    </row>
    <row r="112" customFormat="false" ht="15" hidden="false" customHeight="false" outlineLevel="0" collapsed="false">
      <c r="A112" s="29" t="str">
        <f aca="false">IF($C112="","",ROW()-4)</f>
        <v/>
      </c>
      <c r="B112" s="25"/>
      <c r="C112" s="24"/>
      <c r="D112" s="24"/>
      <c r="E112" s="30" t="str">
        <f aca="false">IF($C112="","",$C112&amp;" ｜ "&amp;$D112)</f>
        <v/>
      </c>
      <c r="F112" s="25"/>
      <c r="G112" s="25"/>
      <c r="H112" s="25"/>
      <c r="I112" s="25"/>
      <c r="J112" s="25"/>
      <c r="K112" s="21"/>
      <c r="L112" s="21"/>
      <c r="M112" s="21"/>
      <c r="N112" s="25"/>
      <c r="O112" s="25"/>
      <c r="P112" s="32"/>
      <c r="Q112" s="25"/>
      <c r="R112" s="25"/>
      <c r="S112" s="33"/>
      <c r="T112" s="33"/>
      <c r="U112" s="33"/>
      <c r="V112" s="33"/>
      <c r="W112" s="25"/>
      <c r="X112" s="25"/>
      <c r="Y112" s="25"/>
      <c r="Z112" s="33"/>
      <c r="AA112" s="34" t="str">
        <f aca="true">IF($T112="","",IF($T112&lt;TODAY(),"已过期 "&amp;TEXT(TODAY()-$T112,"0")&amp;" 天",IF($T112-TODAY()&lt;=年检提醒天,"还剩 "&amp;TEXT($T112-TODAY(),"0")&amp;" 天","")))</f>
        <v/>
      </c>
      <c r="AB112" s="34" t="str">
        <f aca="true">IF(COUNT($U112:$V112)=0,"",IF(MIN($U112:$V112)&lt;TODAY(),"已过期 "&amp;TEXT(TODAY()-MIN($U112:$V112),"0")&amp;" 天",IF(MIN($U112:$V112)-TODAY()&lt;=年检提醒天,"还剩 "&amp;TEXT(MIN($U112:$V112)-TODAY(),"0")&amp;" 天","")))</f>
        <v/>
      </c>
      <c r="AC112" s="34" t="str">
        <f aca="true">IF($C112="","",IF(OR($Y112="安装免保",$Y112="技术免保",$Y112="质保期内"),IF($Z112="","▲免保没填到期日",IF($Z112&lt;TODAY(),"▲免保已到期 该转收费了",IF($Z112-TODAY()&lt;=合同提醒天,"免保还剩 "&amp;TEXT($Z112-TODAY(),"0")&amp;" 天","免保中"))),IF($Y112="暂停维保","暂停中 不计费",IF($Y112="已解约","已解约",IF(COUNTIF(合同键,$E112)=0,"▲还没建合同行","")))))</f>
        <v/>
      </c>
      <c r="AD112" s="24"/>
      <c r="AE112" s="35" t="str">
        <f aca="false">IF($C112="","",IF($D112="","★项目名称没填",IF(N($P112)&lt;=0,"★台量要填",IF(AND(OR($Y112="安装免保",$Y112="技术免保",$Y112="质保期内"),$Z112=""),"★免保到期日没填",IF(COUNTIF(合同键,$E112)=0,"★还没建合同行","OK")))))</f>
        <v/>
      </c>
    </row>
    <row r="113" customFormat="false" ht="15" hidden="false" customHeight="false" outlineLevel="0" collapsed="false">
      <c r="A113" s="29" t="str">
        <f aca="false">IF($C113="","",ROW()-4)</f>
        <v/>
      </c>
      <c r="B113" s="25"/>
      <c r="C113" s="24"/>
      <c r="D113" s="24"/>
      <c r="E113" s="30" t="str">
        <f aca="false">IF($C113="","",$C113&amp;" ｜ "&amp;$D113)</f>
        <v/>
      </c>
      <c r="F113" s="25"/>
      <c r="G113" s="25"/>
      <c r="H113" s="25"/>
      <c r="I113" s="25"/>
      <c r="J113" s="25"/>
      <c r="K113" s="21"/>
      <c r="L113" s="21"/>
      <c r="M113" s="21"/>
      <c r="N113" s="25"/>
      <c r="O113" s="25"/>
      <c r="P113" s="32"/>
      <c r="Q113" s="25"/>
      <c r="R113" s="25"/>
      <c r="S113" s="33"/>
      <c r="T113" s="33"/>
      <c r="U113" s="33"/>
      <c r="V113" s="33"/>
      <c r="W113" s="25"/>
      <c r="X113" s="25"/>
      <c r="Y113" s="25"/>
      <c r="Z113" s="33"/>
      <c r="AA113" s="34" t="str">
        <f aca="true">IF($T113="","",IF($T113&lt;TODAY(),"已过期 "&amp;TEXT(TODAY()-$T113,"0")&amp;" 天",IF($T113-TODAY()&lt;=年检提醒天,"还剩 "&amp;TEXT($T113-TODAY(),"0")&amp;" 天","")))</f>
        <v/>
      </c>
      <c r="AB113" s="34" t="str">
        <f aca="true">IF(COUNT($U113:$V113)=0,"",IF(MIN($U113:$V113)&lt;TODAY(),"已过期 "&amp;TEXT(TODAY()-MIN($U113:$V113),"0")&amp;" 天",IF(MIN($U113:$V113)-TODAY()&lt;=年检提醒天,"还剩 "&amp;TEXT(MIN($U113:$V113)-TODAY(),"0")&amp;" 天","")))</f>
        <v/>
      </c>
      <c r="AC113" s="34" t="str">
        <f aca="true">IF($C113="","",IF(OR($Y113="安装免保",$Y113="技术免保",$Y113="质保期内"),IF($Z113="","▲免保没填到期日",IF($Z113&lt;TODAY(),"▲免保已到期 该转收费了",IF($Z113-TODAY()&lt;=合同提醒天,"免保还剩 "&amp;TEXT($Z113-TODAY(),"0")&amp;" 天","免保中"))),IF($Y113="暂停维保","暂停中 不计费",IF($Y113="已解约","已解约",IF(COUNTIF(合同键,$E113)=0,"▲还没建合同行","")))))</f>
        <v/>
      </c>
      <c r="AD113" s="24"/>
      <c r="AE113" s="35" t="str">
        <f aca="false">IF($C113="","",IF($D113="","★项目名称没填",IF(N($P113)&lt;=0,"★台量要填",IF(AND(OR($Y113="安装免保",$Y113="技术免保",$Y113="质保期内"),$Z113=""),"★免保到期日没填",IF(COUNTIF(合同键,$E113)=0,"★还没建合同行","OK")))))</f>
        <v/>
      </c>
    </row>
    <row r="114" customFormat="false" ht="15" hidden="false" customHeight="false" outlineLevel="0" collapsed="false">
      <c r="A114" s="29" t="str">
        <f aca="false">IF($C114="","",ROW()-4)</f>
        <v/>
      </c>
      <c r="B114" s="25"/>
      <c r="C114" s="24"/>
      <c r="D114" s="24"/>
      <c r="E114" s="30" t="str">
        <f aca="false">IF($C114="","",$C114&amp;" ｜ "&amp;$D114)</f>
        <v/>
      </c>
      <c r="F114" s="25"/>
      <c r="G114" s="25"/>
      <c r="H114" s="25"/>
      <c r="I114" s="25"/>
      <c r="J114" s="25"/>
      <c r="K114" s="21"/>
      <c r="L114" s="21"/>
      <c r="M114" s="21"/>
      <c r="N114" s="25"/>
      <c r="O114" s="25"/>
      <c r="P114" s="32"/>
      <c r="Q114" s="25"/>
      <c r="R114" s="25"/>
      <c r="S114" s="33"/>
      <c r="T114" s="33"/>
      <c r="U114" s="33"/>
      <c r="V114" s="33"/>
      <c r="W114" s="25"/>
      <c r="X114" s="25"/>
      <c r="Y114" s="25"/>
      <c r="Z114" s="33"/>
      <c r="AA114" s="34" t="str">
        <f aca="true">IF($T114="","",IF($T114&lt;TODAY(),"已过期 "&amp;TEXT(TODAY()-$T114,"0")&amp;" 天",IF($T114-TODAY()&lt;=年检提醒天,"还剩 "&amp;TEXT($T114-TODAY(),"0")&amp;" 天","")))</f>
        <v/>
      </c>
      <c r="AB114" s="34" t="str">
        <f aca="true">IF(COUNT($U114:$V114)=0,"",IF(MIN($U114:$V114)&lt;TODAY(),"已过期 "&amp;TEXT(TODAY()-MIN($U114:$V114),"0")&amp;" 天",IF(MIN($U114:$V114)-TODAY()&lt;=年检提醒天,"还剩 "&amp;TEXT(MIN($U114:$V114)-TODAY(),"0")&amp;" 天","")))</f>
        <v/>
      </c>
      <c r="AC114" s="34" t="str">
        <f aca="true">IF($C114="","",IF(OR($Y114="安装免保",$Y114="技术免保",$Y114="质保期内"),IF($Z114="","▲免保没填到期日",IF($Z114&lt;TODAY(),"▲免保已到期 该转收费了",IF($Z114-TODAY()&lt;=合同提醒天,"免保还剩 "&amp;TEXT($Z114-TODAY(),"0")&amp;" 天","免保中"))),IF($Y114="暂停维保","暂停中 不计费",IF($Y114="已解约","已解约",IF(COUNTIF(合同键,$E114)=0,"▲还没建合同行","")))))</f>
        <v/>
      </c>
      <c r="AD114" s="24"/>
      <c r="AE114" s="35" t="str">
        <f aca="false">IF($C114="","",IF($D114="","★项目名称没填",IF(N($P114)&lt;=0,"★台量要填",IF(AND(OR($Y114="安装免保",$Y114="技术免保",$Y114="质保期内"),$Z114=""),"★免保到期日没填",IF(COUNTIF(合同键,$E114)=0,"★还没建合同行","OK")))))</f>
        <v/>
      </c>
    </row>
    <row r="115" customFormat="false" ht="15" hidden="false" customHeight="false" outlineLevel="0" collapsed="false">
      <c r="A115" s="29" t="str">
        <f aca="false">IF($C115="","",ROW()-4)</f>
        <v/>
      </c>
      <c r="B115" s="25"/>
      <c r="C115" s="24"/>
      <c r="D115" s="24"/>
      <c r="E115" s="30" t="str">
        <f aca="false">IF($C115="","",$C115&amp;" ｜ "&amp;$D115)</f>
        <v/>
      </c>
      <c r="F115" s="25"/>
      <c r="G115" s="25"/>
      <c r="H115" s="25"/>
      <c r="I115" s="25"/>
      <c r="J115" s="25"/>
      <c r="K115" s="21"/>
      <c r="L115" s="21"/>
      <c r="M115" s="21"/>
      <c r="N115" s="25"/>
      <c r="O115" s="25"/>
      <c r="P115" s="32"/>
      <c r="Q115" s="25"/>
      <c r="R115" s="25"/>
      <c r="S115" s="33"/>
      <c r="T115" s="33"/>
      <c r="U115" s="33"/>
      <c r="V115" s="33"/>
      <c r="W115" s="25"/>
      <c r="X115" s="25"/>
      <c r="Y115" s="25"/>
      <c r="Z115" s="33"/>
      <c r="AA115" s="34" t="str">
        <f aca="true">IF($T115="","",IF($T115&lt;TODAY(),"已过期 "&amp;TEXT(TODAY()-$T115,"0")&amp;" 天",IF($T115-TODAY()&lt;=年检提醒天,"还剩 "&amp;TEXT($T115-TODAY(),"0")&amp;" 天","")))</f>
        <v/>
      </c>
      <c r="AB115" s="34" t="str">
        <f aca="true">IF(COUNT($U115:$V115)=0,"",IF(MIN($U115:$V115)&lt;TODAY(),"已过期 "&amp;TEXT(TODAY()-MIN($U115:$V115),"0")&amp;" 天",IF(MIN($U115:$V115)-TODAY()&lt;=年检提醒天,"还剩 "&amp;TEXT(MIN($U115:$V115)-TODAY(),"0")&amp;" 天","")))</f>
        <v/>
      </c>
      <c r="AC115" s="34" t="str">
        <f aca="true">IF($C115="","",IF(OR($Y115="安装免保",$Y115="技术免保",$Y115="质保期内"),IF($Z115="","▲免保没填到期日",IF($Z115&lt;TODAY(),"▲免保已到期 该转收费了",IF($Z115-TODAY()&lt;=合同提醒天,"免保还剩 "&amp;TEXT($Z115-TODAY(),"0")&amp;" 天","免保中"))),IF($Y115="暂停维保","暂停中 不计费",IF($Y115="已解约","已解约",IF(COUNTIF(合同键,$E115)=0,"▲还没建合同行","")))))</f>
        <v/>
      </c>
      <c r="AD115" s="24"/>
      <c r="AE115" s="35" t="str">
        <f aca="false">IF($C115="","",IF($D115="","★项目名称没填",IF(N($P115)&lt;=0,"★台量要填",IF(AND(OR($Y115="安装免保",$Y115="技术免保",$Y115="质保期内"),$Z115=""),"★免保到期日没填",IF(COUNTIF(合同键,$E115)=0,"★还没建合同行","OK")))))</f>
        <v/>
      </c>
    </row>
    <row r="116" customFormat="false" ht="15" hidden="false" customHeight="false" outlineLevel="0" collapsed="false">
      <c r="A116" s="29" t="str">
        <f aca="false">IF($C116="","",ROW()-4)</f>
        <v/>
      </c>
      <c r="B116" s="25"/>
      <c r="C116" s="24"/>
      <c r="D116" s="24"/>
      <c r="E116" s="30" t="str">
        <f aca="false">IF($C116="","",$C116&amp;" ｜ "&amp;$D116)</f>
        <v/>
      </c>
      <c r="F116" s="25"/>
      <c r="G116" s="25"/>
      <c r="H116" s="25"/>
      <c r="I116" s="25"/>
      <c r="J116" s="25"/>
      <c r="K116" s="21"/>
      <c r="L116" s="21"/>
      <c r="M116" s="21"/>
      <c r="N116" s="25"/>
      <c r="O116" s="25"/>
      <c r="P116" s="32"/>
      <c r="Q116" s="25"/>
      <c r="R116" s="25"/>
      <c r="S116" s="33"/>
      <c r="T116" s="33"/>
      <c r="U116" s="33"/>
      <c r="V116" s="33"/>
      <c r="W116" s="25"/>
      <c r="X116" s="25"/>
      <c r="Y116" s="25"/>
      <c r="Z116" s="33"/>
      <c r="AA116" s="34" t="str">
        <f aca="true">IF($T116="","",IF($T116&lt;TODAY(),"已过期 "&amp;TEXT(TODAY()-$T116,"0")&amp;" 天",IF($T116-TODAY()&lt;=年检提醒天,"还剩 "&amp;TEXT($T116-TODAY(),"0")&amp;" 天","")))</f>
        <v/>
      </c>
      <c r="AB116" s="34" t="str">
        <f aca="true">IF(COUNT($U116:$V116)=0,"",IF(MIN($U116:$V116)&lt;TODAY(),"已过期 "&amp;TEXT(TODAY()-MIN($U116:$V116),"0")&amp;" 天",IF(MIN($U116:$V116)-TODAY()&lt;=年检提醒天,"还剩 "&amp;TEXT(MIN($U116:$V116)-TODAY(),"0")&amp;" 天","")))</f>
        <v/>
      </c>
      <c r="AC116" s="34" t="str">
        <f aca="true">IF($C116="","",IF(OR($Y116="安装免保",$Y116="技术免保",$Y116="质保期内"),IF($Z116="","▲免保没填到期日",IF($Z116&lt;TODAY(),"▲免保已到期 该转收费了",IF($Z116-TODAY()&lt;=合同提醒天,"免保还剩 "&amp;TEXT($Z116-TODAY(),"0")&amp;" 天","免保中"))),IF($Y116="暂停维保","暂停中 不计费",IF($Y116="已解约","已解约",IF(COUNTIF(合同键,$E116)=0,"▲还没建合同行","")))))</f>
        <v/>
      </c>
      <c r="AD116" s="24"/>
      <c r="AE116" s="35" t="str">
        <f aca="false">IF($C116="","",IF($D116="","★项目名称没填",IF(N($P116)&lt;=0,"★台量要填",IF(AND(OR($Y116="安装免保",$Y116="技术免保",$Y116="质保期内"),$Z116=""),"★免保到期日没填",IF(COUNTIF(合同键,$E116)=0,"★还没建合同行","OK")))))</f>
        <v/>
      </c>
    </row>
    <row r="117" customFormat="false" ht="15" hidden="false" customHeight="false" outlineLevel="0" collapsed="false">
      <c r="A117" s="29" t="str">
        <f aca="false">IF($C117="","",ROW()-4)</f>
        <v/>
      </c>
      <c r="B117" s="25"/>
      <c r="C117" s="24"/>
      <c r="D117" s="24"/>
      <c r="E117" s="30" t="str">
        <f aca="false">IF($C117="","",$C117&amp;" ｜ "&amp;$D117)</f>
        <v/>
      </c>
      <c r="F117" s="25"/>
      <c r="G117" s="25"/>
      <c r="H117" s="25"/>
      <c r="I117" s="25"/>
      <c r="J117" s="25"/>
      <c r="K117" s="21"/>
      <c r="L117" s="21"/>
      <c r="M117" s="21"/>
      <c r="N117" s="25"/>
      <c r="O117" s="25"/>
      <c r="P117" s="32"/>
      <c r="Q117" s="25"/>
      <c r="R117" s="25"/>
      <c r="S117" s="33"/>
      <c r="T117" s="33"/>
      <c r="U117" s="33"/>
      <c r="V117" s="33"/>
      <c r="W117" s="25"/>
      <c r="X117" s="25"/>
      <c r="Y117" s="25"/>
      <c r="Z117" s="33"/>
      <c r="AA117" s="34" t="str">
        <f aca="true">IF($T117="","",IF($T117&lt;TODAY(),"已过期 "&amp;TEXT(TODAY()-$T117,"0")&amp;" 天",IF($T117-TODAY()&lt;=年检提醒天,"还剩 "&amp;TEXT($T117-TODAY(),"0")&amp;" 天","")))</f>
        <v/>
      </c>
      <c r="AB117" s="34" t="str">
        <f aca="true">IF(COUNT($U117:$V117)=0,"",IF(MIN($U117:$V117)&lt;TODAY(),"已过期 "&amp;TEXT(TODAY()-MIN($U117:$V117),"0")&amp;" 天",IF(MIN($U117:$V117)-TODAY()&lt;=年检提醒天,"还剩 "&amp;TEXT(MIN($U117:$V117)-TODAY(),"0")&amp;" 天","")))</f>
        <v/>
      </c>
      <c r="AC117" s="34" t="str">
        <f aca="true">IF($C117="","",IF(OR($Y117="安装免保",$Y117="技术免保",$Y117="质保期内"),IF($Z117="","▲免保没填到期日",IF($Z117&lt;TODAY(),"▲免保已到期 该转收费了",IF($Z117-TODAY()&lt;=合同提醒天,"免保还剩 "&amp;TEXT($Z117-TODAY(),"0")&amp;" 天","免保中"))),IF($Y117="暂停维保","暂停中 不计费",IF($Y117="已解约","已解约",IF(COUNTIF(合同键,$E117)=0,"▲还没建合同行","")))))</f>
        <v/>
      </c>
      <c r="AD117" s="24"/>
      <c r="AE117" s="35" t="str">
        <f aca="false">IF($C117="","",IF($D117="","★项目名称没填",IF(N($P117)&lt;=0,"★台量要填",IF(AND(OR($Y117="安装免保",$Y117="技术免保",$Y117="质保期内"),$Z117=""),"★免保到期日没填",IF(COUNTIF(合同键,$E117)=0,"★还没建合同行","OK")))))</f>
        <v/>
      </c>
    </row>
    <row r="118" customFormat="false" ht="15" hidden="false" customHeight="false" outlineLevel="0" collapsed="false">
      <c r="A118" s="29" t="str">
        <f aca="false">IF($C118="","",ROW()-4)</f>
        <v/>
      </c>
      <c r="B118" s="25"/>
      <c r="C118" s="24"/>
      <c r="D118" s="24"/>
      <c r="E118" s="30" t="str">
        <f aca="false">IF($C118="","",$C118&amp;" ｜ "&amp;$D118)</f>
        <v/>
      </c>
      <c r="F118" s="25"/>
      <c r="G118" s="25"/>
      <c r="H118" s="25"/>
      <c r="I118" s="25"/>
      <c r="J118" s="25"/>
      <c r="K118" s="21"/>
      <c r="L118" s="21"/>
      <c r="M118" s="21"/>
      <c r="N118" s="25"/>
      <c r="O118" s="25"/>
      <c r="P118" s="32"/>
      <c r="Q118" s="25"/>
      <c r="R118" s="25"/>
      <c r="S118" s="33"/>
      <c r="T118" s="33"/>
      <c r="U118" s="33"/>
      <c r="V118" s="33"/>
      <c r="W118" s="25"/>
      <c r="X118" s="25"/>
      <c r="Y118" s="25"/>
      <c r="Z118" s="33"/>
      <c r="AA118" s="34" t="str">
        <f aca="true">IF($T118="","",IF($T118&lt;TODAY(),"已过期 "&amp;TEXT(TODAY()-$T118,"0")&amp;" 天",IF($T118-TODAY()&lt;=年检提醒天,"还剩 "&amp;TEXT($T118-TODAY(),"0")&amp;" 天","")))</f>
        <v/>
      </c>
      <c r="AB118" s="34" t="str">
        <f aca="true">IF(COUNT($U118:$V118)=0,"",IF(MIN($U118:$V118)&lt;TODAY(),"已过期 "&amp;TEXT(TODAY()-MIN($U118:$V118),"0")&amp;" 天",IF(MIN($U118:$V118)-TODAY()&lt;=年检提醒天,"还剩 "&amp;TEXT(MIN($U118:$V118)-TODAY(),"0")&amp;" 天","")))</f>
        <v/>
      </c>
      <c r="AC118" s="34" t="str">
        <f aca="true">IF($C118="","",IF(OR($Y118="安装免保",$Y118="技术免保",$Y118="质保期内"),IF($Z118="","▲免保没填到期日",IF($Z118&lt;TODAY(),"▲免保已到期 该转收费了",IF($Z118-TODAY()&lt;=合同提醒天,"免保还剩 "&amp;TEXT($Z118-TODAY(),"0")&amp;" 天","免保中"))),IF($Y118="暂停维保","暂停中 不计费",IF($Y118="已解约","已解约",IF(COUNTIF(合同键,$E118)=0,"▲还没建合同行","")))))</f>
        <v/>
      </c>
      <c r="AD118" s="24"/>
      <c r="AE118" s="35" t="str">
        <f aca="false">IF($C118="","",IF($D118="","★项目名称没填",IF(N($P118)&lt;=0,"★台量要填",IF(AND(OR($Y118="安装免保",$Y118="技术免保",$Y118="质保期内"),$Z118=""),"★免保到期日没填",IF(COUNTIF(合同键,$E118)=0,"★还没建合同行","OK")))))</f>
        <v/>
      </c>
    </row>
    <row r="119" customFormat="false" ht="15" hidden="false" customHeight="false" outlineLevel="0" collapsed="false">
      <c r="A119" s="29" t="str">
        <f aca="false">IF($C119="","",ROW()-4)</f>
        <v/>
      </c>
      <c r="B119" s="25"/>
      <c r="C119" s="24"/>
      <c r="D119" s="24"/>
      <c r="E119" s="30" t="str">
        <f aca="false">IF($C119="","",$C119&amp;" ｜ "&amp;$D119)</f>
        <v/>
      </c>
      <c r="F119" s="25"/>
      <c r="G119" s="25"/>
      <c r="H119" s="25"/>
      <c r="I119" s="25"/>
      <c r="J119" s="25"/>
      <c r="K119" s="21"/>
      <c r="L119" s="21"/>
      <c r="M119" s="21"/>
      <c r="N119" s="25"/>
      <c r="O119" s="25"/>
      <c r="P119" s="32"/>
      <c r="Q119" s="25"/>
      <c r="R119" s="25"/>
      <c r="S119" s="33"/>
      <c r="T119" s="33"/>
      <c r="U119" s="33"/>
      <c r="V119" s="33"/>
      <c r="W119" s="25"/>
      <c r="X119" s="25"/>
      <c r="Y119" s="25"/>
      <c r="Z119" s="33"/>
      <c r="AA119" s="34" t="str">
        <f aca="true">IF($T119="","",IF($T119&lt;TODAY(),"已过期 "&amp;TEXT(TODAY()-$T119,"0")&amp;" 天",IF($T119-TODAY()&lt;=年检提醒天,"还剩 "&amp;TEXT($T119-TODAY(),"0")&amp;" 天","")))</f>
        <v/>
      </c>
      <c r="AB119" s="34" t="str">
        <f aca="true">IF(COUNT($U119:$V119)=0,"",IF(MIN($U119:$V119)&lt;TODAY(),"已过期 "&amp;TEXT(TODAY()-MIN($U119:$V119),"0")&amp;" 天",IF(MIN($U119:$V119)-TODAY()&lt;=年检提醒天,"还剩 "&amp;TEXT(MIN($U119:$V119)-TODAY(),"0")&amp;" 天","")))</f>
        <v/>
      </c>
      <c r="AC119" s="34" t="str">
        <f aca="true">IF($C119="","",IF(OR($Y119="安装免保",$Y119="技术免保",$Y119="质保期内"),IF($Z119="","▲免保没填到期日",IF($Z119&lt;TODAY(),"▲免保已到期 该转收费了",IF($Z119-TODAY()&lt;=合同提醒天,"免保还剩 "&amp;TEXT($Z119-TODAY(),"0")&amp;" 天","免保中"))),IF($Y119="暂停维保","暂停中 不计费",IF($Y119="已解约","已解约",IF(COUNTIF(合同键,$E119)=0,"▲还没建合同行","")))))</f>
        <v/>
      </c>
      <c r="AD119" s="24"/>
      <c r="AE119" s="35" t="str">
        <f aca="false">IF($C119="","",IF($D119="","★项目名称没填",IF(N($P119)&lt;=0,"★台量要填",IF(AND(OR($Y119="安装免保",$Y119="技术免保",$Y119="质保期内"),$Z119=""),"★免保到期日没填",IF(COUNTIF(合同键,$E119)=0,"★还没建合同行","OK")))))</f>
        <v/>
      </c>
    </row>
    <row r="120" customFormat="false" ht="15" hidden="false" customHeight="false" outlineLevel="0" collapsed="false">
      <c r="A120" s="29" t="str">
        <f aca="false">IF($C120="","",ROW()-4)</f>
        <v/>
      </c>
      <c r="B120" s="25"/>
      <c r="C120" s="24"/>
      <c r="D120" s="24"/>
      <c r="E120" s="30" t="str">
        <f aca="false">IF($C120="","",$C120&amp;" ｜ "&amp;$D120)</f>
        <v/>
      </c>
      <c r="F120" s="25"/>
      <c r="G120" s="25"/>
      <c r="H120" s="25"/>
      <c r="I120" s="25"/>
      <c r="J120" s="25"/>
      <c r="K120" s="21"/>
      <c r="L120" s="21"/>
      <c r="M120" s="21"/>
      <c r="N120" s="25"/>
      <c r="O120" s="25"/>
      <c r="P120" s="32"/>
      <c r="Q120" s="25"/>
      <c r="R120" s="25"/>
      <c r="S120" s="33"/>
      <c r="T120" s="33"/>
      <c r="U120" s="33"/>
      <c r="V120" s="33"/>
      <c r="W120" s="25"/>
      <c r="X120" s="25"/>
      <c r="Y120" s="25"/>
      <c r="Z120" s="33"/>
      <c r="AA120" s="34" t="str">
        <f aca="true">IF($T120="","",IF($T120&lt;TODAY(),"已过期 "&amp;TEXT(TODAY()-$T120,"0")&amp;" 天",IF($T120-TODAY()&lt;=年检提醒天,"还剩 "&amp;TEXT($T120-TODAY(),"0")&amp;" 天","")))</f>
        <v/>
      </c>
      <c r="AB120" s="34" t="str">
        <f aca="true">IF(COUNT($U120:$V120)=0,"",IF(MIN($U120:$V120)&lt;TODAY(),"已过期 "&amp;TEXT(TODAY()-MIN($U120:$V120),"0")&amp;" 天",IF(MIN($U120:$V120)-TODAY()&lt;=年检提醒天,"还剩 "&amp;TEXT(MIN($U120:$V120)-TODAY(),"0")&amp;" 天","")))</f>
        <v/>
      </c>
      <c r="AC120" s="34" t="str">
        <f aca="true">IF($C120="","",IF(OR($Y120="安装免保",$Y120="技术免保",$Y120="质保期内"),IF($Z120="","▲免保没填到期日",IF($Z120&lt;TODAY(),"▲免保已到期 该转收费了",IF($Z120-TODAY()&lt;=合同提醒天,"免保还剩 "&amp;TEXT($Z120-TODAY(),"0")&amp;" 天","免保中"))),IF($Y120="暂停维保","暂停中 不计费",IF($Y120="已解约","已解约",IF(COUNTIF(合同键,$E120)=0,"▲还没建合同行","")))))</f>
        <v/>
      </c>
      <c r="AD120" s="24"/>
      <c r="AE120" s="35" t="str">
        <f aca="false">IF($C120="","",IF($D120="","★项目名称没填",IF(N($P120)&lt;=0,"★台量要填",IF(AND(OR($Y120="安装免保",$Y120="技术免保",$Y120="质保期内"),$Z120=""),"★免保到期日没填",IF(COUNTIF(合同键,$E120)=0,"★还没建合同行","OK")))))</f>
        <v/>
      </c>
    </row>
    <row r="121" customFormat="false" ht="15" hidden="false" customHeight="false" outlineLevel="0" collapsed="false">
      <c r="A121" s="29" t="str">
        <f aca="false">IF($C121="","",ROW()-4)</f>
        <v/>
      </c>
      <c r="B121" s="25"/>
      <c r="C121" s="24"/>
      <c r="D121" s="24"/>
      <c r="E121" s="30" t="str">
        <f aca="false">IF($C121="","",$C121&amp;" ｜ "&amp;$D121)</f>
        <v/>
      </c>
      <c r="F121" s="25"/>
      <c r="G121" s="25"/>
      <c r="H121" s="25"/>
      <c r="I121" s="25"/>
      <c r="J121" s="25"/>
      <c r="K121" s="21"/>
      <c r="L121" s="21"/>
      <c r="M121" s="21"/>
      <c r="N121" s="25"/>
      <c r="O121" s="25"/>
      <c r="P121" s="32"/>
      <c r="Q121" s="25"/>
      <c r="R121" s="25"/>
      <c r="S121" s="33"/>
      <c r="T121" s="33"/>
      <c r="U121" s="33"/>
      <c r="V121" s="33"/>
      <c r="W121" s="25"/>
      <c r="X121" s="25"/>
      <c r="Y121" s="25"/>
      <c r="Z121" s="33"/>
      <c r="AA121" s="34" t="str">
        <f aca="true">IF($T121="","",IF($T121&lt;TODAY(),"已过期 "&amp;TEXT(TODAY()-$T121,"0")&amp;" 天",IF($T121-TODAY()&lt;=年检提醒天,"还剩 "&amp;TEXT($T121-TODAY(),"0")&amp;" 天","")))</f>
        <v/>
      </c>
      <c r="AB121" s="34" t="str">
        <f aca="true">IF(COUNT($U121:$V121)=0,"",IF(MIN($U121:$V121)&lt;TODAY(),"已过期 "&amp;TEXT(TODAY()-MIN($U121:$V121),"0")&amp;" 天",IF(MIN($U121:$V121)-TODAY()&lt;=年检提醒天,"还剩 "&amp;TEXT(MIN($U121:$V121)-TODAY(),"0")&amp;" 天","")))</f>
        <v/>
      </c>
      <c r="AC121" s="34" t="str">
        <f aca="true">IF($C121="","",IF(OR($Y121="安装免保",$Y121="技术免保",$Y121="质保期内"),IF($Z121="","▲免保没填到期日",IF($Z121&lt;TODAY(),"▲免保已到期 该转收费了",IF($Z121-TODAY()&lt;=合同提醒天,"免保还剩 "&amp;TEXT($Z121-TODAY(),"0")&amp;" 天","免保中"))),IF($Y121="暂停维保","暂停中 不计费",IF($Y121="已解约","已解约",IF(COUNTIF(合同键,$E121)=0,"▲还没建合同行","")))))</f>
        <v/>
      </c>
      <c r="AD121" s="24"/>
      <c r="AE121" s="35" t="str">
        <f aca="false">IF($C121="","",IF($D121="","★项目名称没填",IF(N($P121)&lt;=0,"★台量要填",IF(AND(OR($Y121="安装免保",$Y121="技术免保",$Y121="质保期内"),$Z121=""),"★免保到期日没填",IF(COUNTIF(合同键,$E121)=0,"★还没建合同行","OK")))))</f>
        <v/>
      </c>
    </row>
    <row r="122" customFormat="false" ht="15" hidden="false" customHeight="false" outlineLevel="0" collapsed="false">
      <c r="A122" s="29" t="str">
        <f aca="false">IF($C122="","",ROW()-4)</f>
        <v/>
      </c>
      <c r="B122" s="25"/>
      <c r="C122" s="24"/>
      <c r="D122" s="24"/>
      <c r="E122" s="30" t="str">
        <f aca="false">IF($C122="","",$C122&amp;" ｜ "&amp;$D122)</f>
        <v/>
      </c>
      <c r="F122" s="25"/>
      <c r="G122" s="25"/>
      <c r="H122" s="25"/>
      <c r="I122" s="25"/>
      <c r="J122" s="25"/>
      <c r="K122" s="21"/>
      <c r="L122" s="21"/>
      <c r="M122" s="21"/>
      <c r="N122" s="25"/>
      <c r="O122" s="25"/>
      <c r="P122" s="32"/>
      <c r="Q122" s="25"/>
      <c r="R122" s="25"/>
      <c r="S122" s="33"/>
      <c r="T122" s="33"/>
      <c r="U122" s="33"/>
      <c r="V122" s="33"/>
      <c r="W122" s="25"/>
      <c r="X122" s="25"/>
      <c r="Y122" s="25"/>
      <c r="Z122" s="33"/>
      <c r="AA122" s="34" t="str">
        <f aca="true">IF($T122="","",IF($T122&lt;TODAY(),"已过期 "&amp;TEXT(TODAY()-$T122,"0")&amp;" 天",IF($T122-TODAY()&lt;=年检提醒天,"还剩 "&amp;TEXT($T122-TODAY(),"0")&amp;" 天","")))</f>
        <v/>
      </c>
      <c r="AB122" s="34" t="str">
        <f aca="true">IF(COUNT($U122:$V122)=0,"",IF(MIN($U122:$V122)&lt;TODAY(),"已过期 "&amp;TEXT(TODAY()-MIN($U122:$V122),"0")&amp;" 天",IF(MIN($U122:$V122)-TODAY()&lt;=年检提醒天,"还剩 "&amp;TEXT(MIN($U122:$V122)-TODAY(),"0")&amp;" 天","")))</f>
        <v/>
      </c>
      <c r="AC122" s="34" t="str">
        <f aca="true">IF($C122="","",IF(OR($Y122="安装免保",$Y122="技术免保",$Y122="质保期内"),IF($Z122="","▲免保没填到期日",IF($Z122&lt;TODAY(),"▲免保已到期 该转收费了",IF($Z122-TODAY()&lt;=合同提醒天,"免保还剩 "&amp;TEXT($Z122-TODAY(),"0")&amp;" 天","免保中"))),IF($Y122="暂停维保","暂停中 不计费",IF($Y122="已解约","已解约",IF(COUNTIF(合同键,$E122)=0,"▲还没建合同行","")))))</f>
        <v/>
      </c>
      <c r="AD122" s="24"/>
      <c r="AE122" s="35" t="str">
        <f aca="false">IF($C122="","",IF($D122="","★项目名称没填",IF(N($P122)&lt;=0,"★台量要填",IF(AND(OR($Y122="安装免保",$Y122="技术免保",$Y122="质保期内"),$Z122=""),"★免保到期日没填",IF(COUNTIF(合同键,$E122)=0,"★还没建合同行","OK")))))</f>
        <v/>
      </c>
    </row>
    <row r="123" customFormat="false" ht="15" hidden="false" customHeight="false" outlineLevel="0" collapsed="false">
      <c r="A123" s="29" t="str">
        <f aca="false">IF($C123="","",ROW()-4)</f>
        <v/>
      </c>
      <c r="B123" s="25"/>
      <c r="C123" s="24"/>
      <c r="D123" s="24"/>
      <c r="E123" s="30" t="str">
        <f aca="false">IF($C123="","",$C123&amp;" ｜ "&amp;$D123)</f>
        <v/>
      </c>
      <c r="F123" s="25"/>
      <c r="G123" s="25"/>
      <c r="H123" s="25"/>
      <c r="I123" s="25"/>
      <c r="J123" s="25"/>
      <c r="K123" s="21"/>
      <c r="L123" s="21"/>
      <c r="M123" s="21"/>
      <c r="N123" s="25"/>
      <c r="O123" s="25"/>
      <c r="P123" s="32"/>
      <c r="Q123" s="25"/>
      <c r="R123" s="25"/>
      <c r="S123" s="33"/>
      <c r="T123" s="33"/>
      <c r="U123" s="33"/>
      <c r="V123" s="33"/>
      <c r="W123" s="25"/>
      <c r="X123" s="25"/>
      <c r="Y123" s="25"/>
      <c r="Z123" s="33"/>
      <c r="AA123" s="34" t="str">
        <f aca="true">IF($T123="","",IF($T123&lt;TODAY(),"已过期 "&amp;TEXT(TODAY()-$T123,"0")&amp;" 天",IF($T123-TODAY()&lt;=年检提醒天,"还剩 "&amp;TEXT($T123-TODAY(),"0")&amp;" 天","")))</f>
        <v/>
      </c>
      <c r="AB123" s="34" t="str">
        <f aca="true">IF(COUNT($U123:$V123)=0,"",IF(MIN($U123:$V123)&lt;TODAY(),"已过期 "&amp;TEXT(TODAY()-MIN($U123:$V123),"0")&amp;" 天",IF(MIN($U123:$V123)-TODAY()&lt;=年检提醒天,"还剩 "&amp;TEXT(MIN($U123:$V123)-TODAY(),"0")&amp;" 天","")))</f>
        <v/>
      </c>
      <c r="AC123" s="34" t="str">
        <f aca="true">IF($C123="","",IF(OR($Y123="安装免保",$Y123="技术免保",$Y123="质保期内"),IF($Z123="","▲免保没填到期日",IF($Z123&lt;TODAY(),"▲免保已到期 该转收费了",IF($Z123-TODAY()&lt;=合同提醒天,"免保还剩 "&amp;TEXT($Z123-TODAY(),"0")&amp;" 天","免保中"))),IF($Y123="暂停维保","暂停中 不计费",IF($Y123="已解约","已解约",IF(COUNTIF(合同键,$E123)=0,"▲还没建合同行","")))))</f>
        <v/>
      </c>
      <c r="AD123" s="24"/>
      <c r="AE123" s="35" t="str">
        <f aca="false">IF($C123="","",IF($D123="","★项目名称没填",IF(N($P123)&lt;=0,"★台量要填",IF(AND(OR($Y123="安装免保",$Y123="技术免保",$Y123="质保期内"),$Z123=""),"★免保到期日没填",IF(COUNTIF(合同键,$E123)=0,"★还没建合同行","OK")))))</f>
        <v/>
      </c>
    </row>
    <row r="124" customFormat="false" ht="15" hidden="false" customHeight="false" outlineLevel="0" collapsed="false">
      <c r="A124" s="29" t="str">
        <f aca="false">IF($C124="","",ROW()-4)</f>
        <v/>
      </c>
      <c r="B124" s="25"/>
      <c r="C124" s="24"/>
      <c r="D124" s="24"/>
      <c r="E124" s="30" t="str">
        <f aca="false">IF($C124="","",$C124&amp;" ｜ "&amp;$D124)</f>
        <v/>
      </c>
      <c r="F124" s="25"/>
      <c r="G124" s="25"/>
      <c r="H124" s="25"/>
      <c r="I124" s="25"/>
      <c r="J124" s="25"/>
      <c r="K124" s="21"/>
      <c r="L124" s="21"/>
      <c r="M124" s="21"/>
      <c r="N124" s="25"/>
      <c r="O124" s="25"/>
      <c r="P124" s="32"/>
      <c r="Q124" s="25"/>
      <c r="R124" s="25"/>
      <c r="S124" s="33"/>
      <c r="T124" s="33"/>
      <c r="U124" s="33"/>
      <c r="V124" s="33"/>
      <c r="W124" s="25"/>
      <c r="X124" s="25"/>
      <c r="Y124" s="25"/>
      <c r="Z124" s="33"/>
      <c r="AA124" s="34" t="str">
        <f aca="true">IF($T124="","",IF($T124&lt;TODAY(),"已过期 "&amp;TEXT(TODAY()-$T124,"0")&amp;" 天",IF($T124-TODAY()&lt;=年检提醒天,"还剩 "&amp;TEXT($T124-TODAY(),"0")&amp;" 天","")))</f>
        <v/>
      </c>
      <c r="AB124" s="34" t="str">
        <f aca="true">IF(COUNT($U124:$V124)=0,"",IF(MIN($U124:$V124)&lt;TODAY(),"已过期 "&amp;TEXT(TODAY()-MIN($U124:$V124),"0")&amp;" 天",IF(MIN($U124:$V124)-TODAY()&lt;=年检提醒天,"还剩 "&amp;TEXT(MIN($U124:$V124)-TODAY(),"0")&amp;" 天","")))</f>
        <v/>
      </c>
      <c r="AC124" s="34" t="str">
        <f aca="true">IF($C124="","",IF(OR($Y124="安装免保",$Y124="技术免保",$Y124="质保期内"),IF($Z124="","▲免保没填到期日",IF($Z124&lt;TODAY(),"▲免保已到期 该转收费了",IF($Z124-TODAY()&lt;=合同提醒天,"免保还剩 "&amp;TEXT($Z124-TODAY(),"0")&amp;" 天","免保中"))),IF($Y124="暂停维保","暂停中 不计费",IF($Y124="已解约","已解约",IF(COUNTIF(合同键,$E124)=0,"▲还没建合同行","")))))</f>
        <v/>
      </c>
      <c r="AD124" s="24"/>
      <c r="AE124" s="35" t="str">
        <f aca="false">IF($C124="","",IF($D124="","★项目名称没填",IF(N($P124)&lt;=0,"★台量要填",IF(AND(OR($Y124="安装免保",$Y124="技术免保",$Y124="质保期内"),$Z124=""),"★免保到期日没填",IF(COUNTIF(合同键,$E124)=0,"★还没建合同行","OK")))))</f>
        <v/>
      </c>
    </row>
    <row r="125" customFormat="false" ht="15" hidden="false" customHeight="false" outlineLevel="0" collapsed="false">
      <c r="A125" s="29" t="str">
        <f aca="false">IF($C125="","",ROW()-4)</f>
        <v/>
      </c>
      <c r="B125" s="25"/>
      <c r="C125" s="24"/>
      <c r="D125" s="24"/>
      <c r="E125" s="30" t="str">
        <f aca="false">IF($C125="","",$C125&amp;" ｜ "&amp;$D125)</f>
        <v/>
      </c>
      <c r="F125" s="25"/>
      <c r="G125" s="25"/>
      <c r="H125" s="25"/>
      <c r="I125" s="25"/>
      <c r="J125" s="25"/>
      <c r="K125" s="21"/>
      <c r="L125" s="21"/>
      <c r="M125" s="21"/>
      <c r="N125" s="25"/>
      <c r="O125" s="25"/>
      <c r="P125" s="32"/>
      <c r="Q125" s="25"/>
      <c r="R125" s="25"/>
      <c r="S125" s="33"/>
      <c r="T125" s="33"/>
      <c r="U125" s="33"/>
      <c r="V125" s="33"/>
      <c r="W125" s="25"/>
      <c r="X125" s="25"/>
      <c r="Y125" s="25"/>
      <c r="Z125" s="33"/>
      <c r="AA125" s="34" t="str">
        <f aca="true">IF($T125="","",IF($T125&lt;TODAY(),"已过期 "&amp;TEXT(TODAY()-$T125,"0")&amp;" 天",IF($T125-TODAY()&lt;=年检提醒天,"还剩 "&amp;TEXT($T125-TODAY(),"0")&amp;" 天","")))</f>
        <v/>
      </c>
      <c r="AB125" s="34" t="str">
        <f aca="true">IF(COUNT($U125:$V125)=0,"",IF(MIN($U125:$V125)&lt;TODAY(),"已过期 "&amp;TEXT(TODAY()-MIN($U125:$V125),"0")&amp;" 天",IF(MIN($U125:$V125)-TODAY()&lt;=年检提醒天,"还剩 "&amp;TEXT(MIN($U125:$V125)-TODAY(),"0")&amp;" 天","")))</f>
        <v/>
      </c>
      <c r="AC125" s="34" t="str">
        <f aca="true">IF($C125="","",IF(OR($Y125="安装免保",$Y125="技术免保",$Y125="质保期内"),IF($Z125="","▲免保没填到期日",IF($Z125&lt;TODAY(),"▲免保已到期 该转收费了",IF($Z125-TODAY()&lt;=合同提醒天,"免保还剩 "&amp;TEXT($Z125-TODAY(),"0")&amp;" 天","免保中"))),IF($Y125="暂停维保","暂停中 不计费",IF($Y125="已解约","已解约",IF(COUNTIF(合同键,$E125)=0,"▲还没建合同行","")))))</f>
        <v/>
      </c>
      <c r="AD125" s="24"/>
      <c r="AE125" s="35" t="str">
        <f aca="false">IF($C125="","",IF($D125="","★项目名称没填",IF(N($P125)&lt;=0,"★台量要填",IF(AND(OR($Y125="安装免保",$Y125="技术免保",$Y125="质保期内"),$Z125=""),"★免保到期日没填",IF(COUNTIF(合同键,$E125)=0,"★还没建合同行","OK")))))</f>
        <v/>
      </c>
    </row>
    <row r="126" customFormat="false" ht="15" hidden="false" customHeight="false" outlineLevel="0" collapsed="false">
      <c r="A126" s="29" t="str">
        <f aca="false">IF($C126="","",ROW()-4)</f>
        <v/>
      </c>
      <c r="B126" s="25"/>
      <c r="C126" s="24"/>
      <c r="D126" s="24"/>
      <c r="E126" s="30" t="str">
        <f aca="false">IF($C126="","",$C126&amp;" ｜ "&amp;$D126)</f>
        <v/>
      </c>
      <c r="F126" s="25"/>
      <c r="G126" s="25"/>
      <c r="H126" s="25"/>
      <c r="I126" s="25"/>
      <c r="J126" s="25"/>
      <c r="K126" s="21"/>
      <c r="L126" s="21"/>
      <c r="M126" s="21"/>
      <c r="N126" s="25"/>
      <c r="O126" s="25"/>
      <c r="P126" s="32"/>
      <c r="Q126" s="25"/>
      <c r="R126" s="25"/>
      <c r="S126" s="33"/>
      <c r="T126" s="33"/>
      <c r="U126" s="33"/>
      <c r="V126" s="33"/>
      <c r="W126" s="25"/>
      <c r="X126" s="25"/>
      <c r="Y126" s="25"/>
      <c r="Z126" s="33"/>
      <c r="AA126" s="34" t="str">
        <f aca="true">IF($T126="","",IF($T126&lt;TODAY(),"已过期 "&amp;TEXT(TODAY()-$T126,"0")&amp;" 天",IF($T126-TODAY()&lt;=年检提醒天,"还剩 "&amp;TEXT($T126-TODAY(),"0")&amp;" 天","")))</f>
        <v/>
      </c>
      <c r="AB126" s="34" t="str">
        <f aca="true">IF(COUNT($U126:$V126)=0,"",IF(MIN($U126:$V126)&lt;TODAY(),"已过期 "&amp;TEXT(TODAY()-MIN($U126:$V126),"0")&amp;" 天",IF(MIN($U126:$V126)-TODAY()&lt;=年检提醒天,"还剩 "&amp;TEXT(MIN($U126:$V126)-TODAY(),"0")&amp;" 天","")))</f>
        <v/>
      </c>
      <c r="AC126" s="34" t="str">
        <f aca="true">IF($C126="","",IF(OR($Y126="安装免保",$Y126="技术免保",$Y126="质保期内"),IF($Z126="","▲免保没填到期日",IF($Z126&lt;TODAY(),"▲免保已到期 该转收费了",IF($Z126-TODAY()&lt;=合同提醒天,"免保还剩 "&amp;TEXT($Z126-TODAY(),"0")&amp;" 天","免保中"))),IF($Y126="暂停维保","暂停中 不计费",IF($Y126="已解约","已解约",IF(COUNTIF(合同键,$E126)=0,"▲还没建合同行","")))))</f>
        <v/>
      </c>
      <c r="AD126" s="24"/>
      <c r="AE126" s="35" t="str">
        <f aca="false">IF($C126="","",IF($D126="","★项目名称没填",IF(N($P126)&lt;=0,"★台量要填",IF(AND(OR($Y126="安装免保",$Y126="技术免保",$Y126="质保期内"),$Z126=""),"★免保到期日没填",IF(COUNTIF(合同键,$E126)=0,"★还没建合同行","OK")))))</f>
        <v/>
      </c>
    </row>
    <row r="127" customFormat="false" ht="15" hidden="false" customHeight="false" outlineLevel="0" collapsed="false">
      <c r="A127" s="29" t="str">
        <f aca="false">IF($C127="","",ROW()-4)</f>
        <v/>
      </c>
      <c r="B127" s="25"/>
      <c r="C127" s="24"/>
      <c r="D127" s="24"/>
      <c r="E127" s="30" t="str">
        <f aca="false">IF($C127="","",$C127&amp;" ｜ "&amp;$D127)</f>
        <v/>
      </c>
      <c r="F127" s="25"/>
      <c r="G127" s="25"/>
      <c r="H127" s="25"/>
      <c r="I127" s="25"/>
      <c r="J127" s="25"/>
      <c r="K127" s="21"/>
      <c r="L127" s="21"/>
      <c r="M127" s="21"/>
      <c r="N127" s="25"/>
      <c r="O127" s="25"/>
      <c r="P127" s="32"/>
      <c r="Q127" s="25"/>
      <c r="R127" s="25"/>
      <c r="S127" s="33"/>
      <c r="T127" s="33"/>
      <c r="U127" s="33"/>
      <c r="V127" s="33"/>
      <c r="W127" s="25"/>
      <c r="X127" s="25"/>
      <c r="Y127" s="25"/>
      <c r="Z127" s="33"/>
      <c r="AA127" s="34" t="str">
        <f aca="true">IF($T127="","",IF($T127&lt;TODAY(),"已过期 "&amp;TEXT(TODAY()-$T127,"0")&amp;" 天",IF($T127-TODAY()&lt;=年检提醒天,"还剩 "&amp;TEXT($T127-TODAY(),"0")&amp;" 天","")))</f>
        <v/>
      </c>
      <c r="AB127" s="34" t="str">
        <f aca="true">IF(COUNT($U127:$V127)=0,"",IF(MIN($U127:$V127)&lt;TODAY(),"已过期 "&amp;TEXT(TODAY()-MIN($U127:$V127),"0")&amp;" 天",IF(MIN($U127:$V127)-TODAY()&lt;=年检提醒天,"还剩 "&amp;TEXT(MIN($U127:$V127)-TODAY(),"0")&amp;" 天","")))</f>
        <v/>
      </c>
      <c r="AC127" s="34" t="str">
        <f aca="true">IF($C127="","",IF(OR($Y127="安装免保",$Y127="技术免保",$Y127="质保期内"),IF($Z127="","▲免保没填到期日",IF($Z127&lt;TODAY(),"▲免保已到期 该转收费了",IF($Z127-TODAY()&lt;=合同提醒天,"免保还剩 "&amp;TEXT($Z127-TODAY(),"0")&amp;" 天","免保中"))),IF($Y127="暂停维保","暂停中 不计费",IF($Y127="已解约","已解约",IF(COUNTIF(合同键,$E127)=0,"▲还没建合同行","")))))</f>
        <v/>
      </c>
      <c r="AD127" s="24"/>
      <c r="AE127" s="35" t="str">
        <f aca="false">IF($C127="","",IF($D127="","★项目名称没填",IF(N($P127)&lt;=0,"★台量要填",IF(AND(OR($Y127="安装免保",$Y127="技术免保",$Y127="质保期内"),$Z127=""),"★免保到期日没填",IF(COUNTIF(合同键,$E127)=0,"★还没建合同行","OK")))))</f>
        <v/>
      </c>
    </row>
    <row r="128" customFormat="false" ht="15" hidden="false" customHeight="false" outlineLevel="0" collapsed="false">
      <c r="A128" s="29" t="str">
        <f aca="false">IF($C128="","",ROW()-4)</f>
        <v/>
      </c>
      <c r="B128" s="25"/>
      <c r="C128" s="24"/>
      <c r="D128" s="24"/>
      <c r="E128" s="30" t="str">
        <f aca="false">IF($C128="","",$C128&amp;" ｜ "&amp;$D128)</f>
        <v/>
      </c>
      <c r="F128" s="25"/>
      <c r="G128" s="25"/>
      <c r="H128" s="25"/>
      <c r="I128" s="25"/>
      <c r="J128" s="25"/>
      <c r="K128" s="21"/>
      <c r="L128" s="21"/>
      <c r="M128" s="21"/>
      <c r="N128" s="25"/>
      <c r="O128" s="25"/>
      <c r="P128" s="32"/>
      <c r="Q128" s="25"/>
      <c r="R128" s="25"/>
      <c r="S128" s="33"/>
      <c r="T128" s="33"/>
      <c r="U128" s="33"/>
      <c r="V128" s="33"/>
      <c r="W128" s="25"/>
      <c r="X128" s="25"/>
      <c r="Y128" s="25"/>
      <c r="Z128" s="33"/>
      <c r="AA128" s="34" t="str">
        <f aca="true">IF($T128="","",IF($T128&lt;TODAY(),"已过期 "&amp;TEXT(TODAY()-$T128,"0")&amp;" 天",IF($T128-TODAY()&lt;=年检提醒天,"还剩 "&amp;TEXT($T128-TODAY(),"0")&amp;" 天","")))</f>
        <v/>
      </c>
      <c r="AB128" s="34" t="str">
        <f aca="true">IF(COUNT($U128:$V128)=0,"",IF(MIN($U128:$V128)&lt;TODAY(),"已过期 "&amp;TEXT(TODAY()-MIN($U128:$V128),"0")&amp;" 天",IF(MIN($U128:$V128)-TODAY()&lt;=年检提醒天,"还剩 "&amp;TEXT(MIN($U128:$V128)-TODAY(),"0")&amp;" 天","")))</f>
        <v/>
      </c>
      <c r="AC128" s="34" t="str">
        <f aca="true">IF($C128="","",IF(OR($Y128="安装免保",$Y128="技术免保",$Y128="质保期内"),IF($Z128="","▲免保没填到期日",IF($Z128&lt;TODAY(),"▲免保已到期 该转收费了",IF($Z128-TODAY()&lt;=合同提醒天,"免保还剩 "&amp;TEXT($Z128-TODAY(),"0")&amp;" 天","免保中"))),IF($Y128="暂停维保","暂停中 不计费",IF($Y128="已解约","已解约",IF(COUNTIF(合同键,$E128)=0,"▲还没建合同行","")))))</f>
        <v/>
      </c>
      <c r="AD128" s="24"/>
      <c r="AE128" s="35" t="str">
        <f aca="false">IF($C128="","",IF($D128="","★项目名称没填",IF(N($P128)&lt;=0,"★台量要填",IF(AND(OR($Y128="安装免保",$Y128="技术免保",$Y128="质保期内"),$Z128=""),"★免保到期日没填",IF(COUNTIF(合同键,$E128)=0,"★还没建合同行","OK")))))</f>
        <v/>
      </c>
    </row>
    <row r="129" customFormat="false" ht="15" hidden="false" customHeight="false" outlineLevel="0" collapsed="false">
      <c r="A129" s="29" t="str">
        <f aca="false">IF($C129="","",ROW()-4)</f>
        <v/>
      </c>
      <c r="B129" s="25"/>
      <c r="C129" s="24"/>
      <c r="D129" s="24"/>
      <c r="E129" s="30" t="str">
        <f aca="false">IF($C129="","",$C129&amp;" ｜ "&amp;$D129)</f>
        <v/>
      </c>
      <c r="F129" s="25"/>
      <c r="G129" s="25"/>
      <c r="H129" s="25"/>
      <c r="I129" s="25"/>
      <c r="J129" s="25"/>
      <c r="K129" s="21"/>
      <c r="L129" s="21"/>
      <c r="M129" s="21"/>
      <c r="N129" s="25"/>
      <c r="O129" s="25"/>
      <c r="P129" s="32"/>
      <c r="Q129" s="25"/>
      <c r="R129" s="25"/>
      <c r="S129" s="33"/>
      <c r="T129" s="33"/>
      <c r="U129" s="33"/>
      <c r="V129" s="33"/>
      <c r="W129" s="25"/>
      <c r="X129" s="25"/>
      <c r="Y129" s="25"/>
      <c r="Z129" s="33"/>
      <c r="AA129" s="34" t="str">
        <f aca="true">IF($T129="","",IF($T129&lt;TODAY(),"已过期 "&amp;TEXT(TODAY()-$T129,"0")&amp;" 天",IF($T129-TODAY()&lt;=年检提醒天,"还剩 "&amp;TEXT($T129-TODAY(),"0")&amp;" 天","")))</f>
        <v/>
      </c>
      <c r="AB129" s="34" t="str">
        <f aca="true">IF(COUNT($U129:$V129)=0,"",IF(MIN($U129:$V129)&lt;TODAY(),"已过期 "&amp;TEXT(TODAY()-MIN($U129:$V129),"0")&amp;" 天",IF(MIN($U129:$V129)-TODAY()&lt;=年检提醒天,"还剩 "&amp;TEXT(MIN($U129:$V129)-TODAY(),"0")&amp;" 天","")))</f>
        <v/>
      </c>
      <c r="AC129" s="34" t="str">
        <f aca="true">IF($C129="","",IF(OR($Y129="安装免保",$Y129="技术免保",$Y129="质保期内"),IF($Z129="","▲免保没填到期日",IF($Z129&lt;TODAY(),"▲免保已到期 该转收费了",IF($Z129-TODAY()&lt;=合同提醒天,"免保还剩 "&amp;TEXT($Z129-TODAY(),"0")&amp;" 天","免保中"))),IF($Y129="暂停维保","暂停中 不计费",IF($Y129="已解约","已解约",IF(COUNTIF(合同键,$E129)=0,"▲还没建合同行","")))))</f>
        <v/>
      </c>
      <c r="AD129" s="24"/>
      <c r="AE129" s="35" t="str">
        <f aca="false">IF($C129="","",IF($D129="","★项目名称没填",IF(N($P129)&lt;=0,"★台量要填",IF(AND(OR($Y129="安装免保",$Y129="技术免保",$Y129="质保期内"),$Z129=""),"★免保到期日没填",IF(COUNTIF(合同键,$E129)=0,"★还没建合同行","OK")))))</f>
        <v/>
      </c>
    </row>
    <row r="130" customFormat="false" ht="15" hidden="false" customHeight="false" outlineLevel="0" collapsed="false">
      <c r="A130" s="29" t="str">
        <f aca="false">IF($C130="","",ROW()-4)</f>
        <v/>
      </c>
      <c r="B130" s="25"/>
      <c r="C130" s="24"/>
      <c r="D130" s="24"/>
      <c r="E130" s="30" t="str">
        <f aca="false">IF($C130="","",$C130&amp;" ｜ "&amp;$D130)</f>
        <v/>
      </c>
      <c r="F130" s="25"/>
      <c r="G130" s="25"/>
      <c r="H130" s="25"/>
      <c r="I130" s="25"/>
      <c r="J130" s="25"/>
      <c r="K130" s="21"/>
      <c r="L130" s="21"/>
      <c r="M130" s="21"/>
      <c r="N130" s="25"/>
      <c r="O130" s="25"/>
      <c r="P130" s="32"/>
      <c r="Q130" s="25"/>
      <c r="R130" s="25"/>
      <c r="S130" s="33"/>
      <c r="T130" s="33"/>
      <c r="U130" s="33"/>
      <c r="V130" s="33"/>
      <c r="W130" s="25"/>
      <c r="X130" s="25"/>
      <c r="Y130" s="25"/>
      <c r="Z130" s="33"/>
      <c r="AA130" s="34" t="str">
        <f aca="true">IF($T130="","",IF($T130&lt;TODAY(),"已过期 "&amp;TEXT(TODAY()-$T130,"0")&amp;" 天",IF($T130-TODAY()&lt;=年检提醒天,"还剩 "&amp;TEXT($T130-TODAY(),"0")&amp;" 天","")))</f>
        <v/>
      </c>
      <c r="AB130" s="34" t="str">
        <f aca="true">IF(COUNT($U130:$V130)=0,"",IF(MIN($U130:$V130)&lt;TODAY(),"已过期 "&amp;TEXT(TODAY()-MIN($U130:$V130),"0")&amp;" 天",IF(MIN($U130:$V130)-TODAY()&lt;=年检提醒天,"还剩 "&amp;TEXT(MIN($U130:$V130)-TODAY(),"0")&amp;" 天","")))</f>
        <v/>
      </c>
      <c r="AC130" s="34" t="str">
        <f aca="true">IF($C130="","",IF(OR($Y130="安装免保",$Y130="技术免保",$Y130="质保期内"),IF($Z130="","▲免保没填到期日",IF($Z130&lt;TODAY(),"▲免保已到期 该转收费了",IF($Z130-TODAY()&lt;=合同提醒天,"免保还剩 "&amp;TEXT($Z130-TODAY(),"0")&amp;" 天","免保中"))),IF($Y130="暂停维保","暂停中 不计费",IF($Y130="已解约","已解约",IF(COUNTIF(合同键,$E130)=0,"▲还没建合同行","")))))</f>
        <v/>
      </c>
      <c r="AD130" s="24"/>
      <c r="AE130" s="35" t="str">
        <f aca="false">IF($C130="","",IF($D130="","★项目名称没填",IF(N($P130)&lt;=0,"★台量要填",IF(AND(OR($Y130="安装免保",$Y130="技术免保",$Y130="质保期内"),$Z130=""),"★免保到期日没填",IF(COUNTIF(合同键,$E130)=0,"★还没建合同行","OK")))))</f>
        <v/>
      </c>
    </row>
    <row r="131" customFormat="false" ht="15" hidden="false" customHeight="false" outlineLevel="0" collapsed="false">
      <c r="A131" s="29" t="str">
        <f aca="false">IF($C131="","",ROW()-4)</f>
        <v/>
      </c>
      <c r="B131" s="25"/>
      <c r="C131" s="24"/>
      <c r="D131" s="24"/>
      <c r="E131" s="30" t="str">
        <f aca="false">IF($C131="","",$C131&amp;" ｜ "&amp;$D131)</f>
        <v/>
      </c>
      <c r="F131" s="25"/>
      <c r="G131" s="25"/>
      <c r="H131" s="25"/>
      <c r="I131" s="25"/>
      <c r="J131" s="25"/>
      <c r="K131" s="21"/>
      <c r="L131" s="21"/>
      <c r="M131" s="21"/>
      <c r="N131" s="25"/>
      <c r="O131" s="25"/>
      <c r="P131" s="32"/>
      <c r="Q131" s="25"/>
      <c r="R131" s="25"/>
      <c r="S131" s="33"/>
      <c r="T131" s="33"/>
      <c r="U131" s="33"/>
      <c r="V131" s="33"/>
      <c r="W131" s="25"/>
      <c r="X131" s="25"/>
      <c r="Y131" s="25"/>
      <c r="Z131" s="33"/>
      <c r="AA131" s="34" t="str">
        <f aca="true">IF($T131="","",IF($T131&lt;TODAY(),"已过期 "&amp;TEXT(TODAY()-$T131,"0")&amp;" 天",IF($T131-TODAY()&lt;=年检提醒天,"还剩 "&amp;TEXT($T131-TODAY(),"0")&amp;" 天","")))</f>
        <v/>
      </c>
      <c r="AB131" s="34" t="str">
        <f aca="true">IF(COUNT($U131:$V131)=0,"",IF(MIN($U131:$V131)&lt;TODAY(),"已过期 "&amp;TEXT(TODAY()-MIN($U131:$V131),"0")&amp;" 天",IF(MIN($U131:$V131)-TODAY()&lt;=年检提醒天,"还剩 "&amp;TEXT(MIN($U131:$V131)-TODAY(),"0")&amp;" 天","")))</f>
        <v/>
      </c>
      <c r="AC131" s="34" t="str">
        <f aca="true">IF($C131="","",IF(OR($Y131="安装免保",$Y131="技术免保",$Y131="质保期内"),IF($Z131="","▲免保没填到期日",IF($Z131&lt;TODAY(),"▲免保已到期 该转收费了",IF($Z131-TODAY()&lt;=合同提醒天,"免保还剩 "&amp;TEXT($Z131-TODAY(),"0")&amp;" 天","免保中"))),IF($Y131="暂停维保","暂停中 不计费",IF($Y131="已解约","已解约",IF(COUNTIF(合同键,$E131)=0,"▲还没建合同行","")))))</f>
        <v/>
      </c>
      <c r="AD131" s="24"/>
      <c r="AE131" s="35" t="str">
        <f aca="false">IF($C131="","",IF($D131="","★项目名称没填",IF(N($P131)&lt;=0,"★台量要填",IF(AND(OR($Y131="安装免保",$Y131="技术免保",$Y131="质保期内"),$Z131=""),"★免保到期日没填",IF(COUNTIF(合同键,$E131)=0,"★还没建合同行","OK")))))</f>
        <v/>
      </c>
    </row>
    <row r="132" customFormat="false" ht="15" hidden="false" customHeight="false" outlineLevel="0" collapsed="false">
      <c r="A132" s="29" t="str">
        <f aca="false">IF($C132="","",ROW()-4)</f>
        <v/>
      </c>
      <c r="B132" s="25"/>
      <c r="C132" s="24"/>
      <c r="D132" s="24"/>
      <c r="E132" s="30" t="str">
        <f aca="false">IF($C132="","",$C132&amp;" ｜ "&amp;$D132)</f>
        <v/>
      </c>
      <c r="F132" s="25"/>
      <c r="G132" s="25"/>
      <c r="H132" s="25"/>
      <c r="I132" s="25"/>
      <c r="J132" s="25"/>
      <c r="K132" s="21"/>
      <c r="L132" s="21"/>
      <c r="M132" s="21"/>
      <c r="N132" s="25"/>
      <c r="O132" s="25"/>
      <c r="P132" s="32"/>
      <c r="Q132" s="25"/>
      <c r="R132" s="25"/>
      <c r="S132" s="33"/>
      <c r="T132" s="33"/>
      <c r="U132" s="33"/>
      <c r="V132" s="33"/>
      <c r="W132" s="25"/>
      <c r="X132" s="25"/>
      <c r="Y132" s="25"/>
      <c r="Z132" s="33"/>
      <c r="AA132" s="34" t="str">
        <f aca="true">IF($T132="","",IF($T132&lt;TODAY(),"已过期 "&amp;TEXT(TODAY()-$T132,"0")&amp;" 天",IF($T132-TODAY()&lt;=年检提醒天,"还剩 "&amp;TEXT($T132-TODAY(),"0")&amp;" 天","")))</f>
        <v/>
      </c>
      <c r="AB132" s="34" t="str">
        <f aca="true">IF(COUNT($U132:$V132)=0,"",IF(MIN($U132:$V132)&lt;TODAY(),"已过期 "&amp;TEXT(TODAY()-MIN($U132:$V132),"0")&amp;" 天",IF(MIN($U132:$V132)-TODAY()&lt;=年检提醒天,"还剩 "&amp;TEXT(MIN($U132:$V132)-TODAY(),"0")&amp;" 天","")))</f>
        <v/>
      </c>
      <c r="AC132" s="34" t="str">
        <f aca="true">IF($C132="","",IF(OR($Y132="安装免保",$Y132="技术免保",$Y132="质保期内"),IF($Z132="","▲免保没填到期日",IF($Z132&lt;TODAY(),"▲免保已到期 该转收费了",IF($Z132-TODAY()&lt;=合同提醒天,"免保还剩 "&amp;TEXT($Z132-TODAY(),"0")&amp;" 天","免保中"))),IF($Y132="暂停维保","暂停中 不计费",IF($Y132="已解约","已解约",IF(COUNTIF(合同键,$E132)=0,"▲还没建合同行","")))))</f>
        <v/>
      </c>
      <c r="AD132" s="24"/>
      <c r="AE132" s="35" t="str">
        <f aca="false">IF($C132="","",IF($D132="","★项目名称没填",IF(N($P132)&lt;=0,"★台量要填",IF(AND(OR($Y132="安装免保",$Y132="技术免保",$Y132="质保期内"),$Z132=""),"★免保到期日没填",IF(COUNTIF(合同键,$E132)=0,"★还没建合同行","OK")))))</f>
        <v/>
      </c>
    </row>
    <row r="133" customFormat="false" ht="15" hidden="false" customHeight="false" outlineLevel="0" collapsed="false">
      <c r="A133" s="29" t="str">
        <f aca="false">IF($C133="","",ROW()-4)</f>
        <v/>
      </c>
      <c r="B133" s="25"/>
      <c r="C133" s="24"/>
      <c r="D133" s="24"/>
      <c r="E133" s="30" t="str">
        <f aca="false">IF($C133="","",$C133&amp;" ｜ "&amp;$D133)</f>
        <v/>
      </c>
      <c r="F133" s="25"/>
      <c r="G133" s="25"/>
      <c r="H133" s="25"/>
      <c r="I133" s="25"/>
      <c r="J133" s="25"/>
      <c r="K133" s="21"/>
      <c r="L133" s="21"/>
      <c r="M133" s="21"/>
      <c r="N133" s="25"/>
      <c r="O133" s="25"/>
      <c r="P133" s="32"/>
      <c r="Q133" s="25"/>
      <c r="R133" s="25"/>
      <c r="S133" s="33"/>
      <c r="T133" s="33"/>
      <c r="U133" s="33"/>
      <c r="V133" s="33"/>
      <c r="W133" s="25"/>
      <c r="X133" s="25"/>
      <c r="Y133" s="25"/>
      <c r="Z133" s="33"/>
      <c r="AA133" s="34" t="str">
        <f aca="true">IF($T133="","",IF($T133&lt;TODAY(),"已过期 "&amp;TEXT(TODAY()-$T133,"0")&amp;" 天",IF($T133-TODAY()&lt;=年检提醒天,"还剩 "&amp;TEXT($T133-TODAY(),"0")&amp;" 天","")))</f>
        <v/>
      </c>
      <c r="AB133" s="34" t="str">
        <f aca="true">IF(COUNT($U133:$V133)=0,"",IF(MIN($U133:$V133)&lt;TODAY(),"已过期 "&amp;TEXT(TODAY()-MIN($U133:$V133),"0")&amp;" 天",IF(MIN($U133:$V133)-TODAY()&lt;=年检提醒天,"还剩 "&amp;TEXT(MIN($U133:$V133)-TODAY(),"0")&amp;" 天","")))</f>
        <v/>
      </c>
      <c r="AC133" s="34" t="str">
        <f aca="true">IF($C133="","",IF(OR($Y133="安装免保",$Y133="技术免保",$Y133="质保期内"),IF($Z133="","▲免保没填到期日",IF($Z133&lt;TODAY(),"▲免保已到期 该转收费了",IF($Z133-TODAY()&lt;=合同提醒天,"免保还剩 "&amp;TEXT($Z133-TODAY(),"0")&amp;" 天","免保中"))),IF($Y133="暂停维保","暂停中 不计费",IF($Y133="已解约","已解约",IF(COUNTIF(合同键,$E133)=0,"▲还没建合同行","")))))</f>
        <v/>
      </c>
      <c r="AD133" s="24"/>
      <c r="AE133" s="35" t="str">
        <f aca="false">IF($C133="","",IF($D133="","★项目名称没填",IF(N($P133)&lt;=0,"★台量要填",IF(AND(OR($Y133="安装免保",$Y133="技术免保",$Y133="质保期内"),$Z133=""),"★免保到期日没填",IF(COUNTIF(合同键,$E133)=0,"★还没建合同行","OK")))))</f>
        <v/>
      </c>
    </row>
    <row r="134" customFormat="false" ht="15" hidden="false" customHeight="false" outlineLevel="0" collapsed="false">
      <c r="A134" s="29" t="str">
        <f aca="false">IF($C134="","",ROW()-4)</f>
        <v/>
      </c>
      <c r="B134" s="25"/>
      <c r="C134" s="24"/>
      <c r="D134" s="24"/>
      <c r="E134" s="30" t="str">
        <f aca="false">IF($C134="","",$C134&amp;" ｜ "&amp;$D134)</f>
        <v/>
      </c>
      <c r="F134" s="25"/>
      <c r="G134" s="25"/>
      <c r="H134" s="25"/>
      <c r="I134" s="25"/>
      <c r="J134" s="25"/>
      <c r="K134" s="21"/>
      <c r="L134" s="21"/>
      <c r="M134" s="21"/>
      <c r="N134" s="25"/>
      <c r="O134" s="25"/>
      <c r="P134" s="32"/>
      <c r="Q134" s="25"/>
      <c r="R134" s="25"/>
      <c r="S134" s="33"/>
      <c r="T134" s="33"/>
      <c r="U134" s="33"/>
      <c r="V134" s="33"/>
      <c r="W134" s="25"/>
      <c r="X134" s="25"/>
      <c r="Y134" s="25"/>
      <c r="Z134" s="33"/>
      <c r="AA134" s="34" t="str">
        <f aca="true">IF($T134="","",IF($T134&lt;TODAY(),"已过期 "&amp;TEXT(TODAY()-$T134,"0")&amp;" 天",IF($T134-TODAY()&lt;=年检提醒天,"还剩 "&amp;TEXT($T134-TODAY(),"0")&amp;" 天","")))</f>
        <v/>
      </c>
      <c r="AB134" s="34" t="str">
        <f aca="true">IF(COUNT($U134:$V134)=0,"",IF(MIN($U134:$V134)&lt;TODAY(),"已过期 "&amp;TEXT(TODAY()-MIN($U134:$V134),"0")&amp;" 天",IF(MIN($U134:$V134)-TODAY()&lt;=年检提醒天,"还剩 "&amp;TEXT(MIN($U134:$V134)-TODAY(),"0")&amp;" 天","")))</f>
        <v/>
      </c>
      <c r="AC134" s="34" t="str">
        <f aca="true">IF($C134="","",IF(OR($Y134="安装免保",$Y134="技术免保",$Y134="质保期内"),IF($Z134="","▲免保没填到期日",IF($Z134&lt;TODAY(),"▲免保已到期 该转收费了",IF($Z134-TODAY()&lt;=合同提醒天,"免保还剩 "&amp;TEXT($Z134-TODAY(),"0")&amp;" 天","免保中"))),IF($Y134="暂停维保","暂停中 不计费",IF($Y134="已解约","已解约",IF(COUNTIF(合同键,$E134)=0,"▲还没建合同行","")))))</f>
        <v/>
      </c>
      <c r="AD134" s="24"/>
      <c r="AE134" s="35" t="str">
        <f aca="false">IF($C134="","",IF($D134="","★项目名称没填",IF(N($P134)&lt;=0,"★台量要填",IF(AND(OR($Y134="安装免保",$Y134="技术免保",$Y134="质保期内"),$Z134=""),"★免保到期日没填",IF(COUNTIF(合同键,$E134)=0,"★还没建合同行","OK")))))</f>
        <v/>
      </c>
    </row>
    <row r="135" customFormat="false" ht="15" hidden="false" customHeight="false" outlineLevel="0" collapsed="false">
      <c r="A135" s="29" t="str">
        <f aca="false">IF($C135="","",ROW()-4)</f>
        <v/>
      </c>
      <c r="B135" s="25"/>
      <c r="C135" s="24"/>
      <c r="D135" s="24"/>
      <c r="E135" s="30" t="str">
        <f aca="false">IF($C135="","",$C135&amp;" ｜ "&amp;$D135)</f>
        <v/>
      </c>
      <c r="F135" s="25"/>
      <c r="G135" s="25"/>
      <c r="H135" s="25"/>
      <c r="I135" s="25"/>
      <c r="J135" s="25"/>
      <c r="K135" s="21"/>
      <c r="L135" s="21"/>
      <c r="M135" s="21"/>
      <c r="N135" s="25"/>
      <c r="O135" s="25"/>
      <c r="P135" s="32"/>
      <c r="Q135" s="25"/>
      <c r="R135" s="25"/>
      <c r="S135" s="33"/>
      <c r="T135" s="33"/>
      <c r="U135" s="33"/>
      <c r="V135" s="33"/>
      <c r="W135" s="25"/>
      <c r="X135" s="25"/>
      <c r="Y135" s="25"/>
      <c r="Z135" s="33"/>
      <c r="AA135" s="34" t="str">
        <f aca="true">IF($T135="","",IF($T135&lt;TODAY(),"已过期 "&amp;TEXT(TODAY()-$T135,"0")&amp;" 天",IF($T135-TODAY()&lt;=年检提醒天,"还剩 "&amp;TEXT($T135-TODAY(),"0")&amp;" 天","")))</f>
        <v/>
      </c>
      <c r="AB135" s="34" t="str">
        <f aca="true">IF(COUNT($U135:$V135)=0,"",IF(MIN($U135:$V135)&lt;TODAY(),"已过期 "&amp;TEXT(TODAY()-MIN($U135:$V135),"0")&amp;" 天",IF(MIN($U135:$V135)-TODAY()&lt;=年检提醒天,"还剩 "&amp;TEXT(MIN($U135:$V135)-TODAY(),"0")&amp;" 天","")))</f>
        <v/>
      </c>
      <c r="AC135" s="34" t="str">
        <f aca="true">IF($C135="","",IF(OR($Y135="安装免保",$Y135="技术免保",$Y135="质保期内"),IF($Z135="","▲免保没填到期日",IF($Z135&lt;TODAY(),"▲免保已到期 该转收费了",IF($Z135-TODAY()&lt;=合同提醒天,"免保还剩 "&amp;TEXT($Z135-TODAY(),"0")&amp;" 天","免保中"))),IF($Y135="暂停维保","暂停中 不计费",IF($Y135="已解约","已解约",IF(COUNTIF(合同键,$E135)=0,"▲还没建合同行","")))))</f>
        <v/>
      </c>
      <c r="AD135" s="24"/>
      <c r="AE135" s="35" t="str">
        <f aca="false">IF($C135="","",IF($D135="","★项目名称没填",IF(N($P135)&lt;=0,"★台量要填",IF(AND(OR($Y135="安装免保",$Y135="技术免保",$Y135="质保期内"),$Z135=""),"★免保到期日没填",IF(COUNTIF(合同键,$E135)=0,"★还没建合同行","OK")))))</f>
        <v/>
      </c>
    </row>
    <row r="136" customFormat="false" ht="15" hidden="false" customHeight="false" outlineLevel="0" collapsed="false">
      <c r="A136" s="29" t="str">
        <f aca="false">IF($C136="","",ROW()-4)</f>
        <v/>
      </c>
      <c r="B136" s="25"/>
      <c r="C136" s="24"/>
      <c r="D136" s="24"/>
      <c r="E136" s="30" t="str">
        <f aca="false">IF($C136="","",$C136&amp;" ｜ "&amp;$D136)</f>
        <v/>
      </c>
      <c r="F136" s="25"/>
      <c r="G136" s="25"/>
      <c r="H136" s="25"/>
      <c r="I136" s="25"/>
      <c r="J136" s="25"/>
      <c r="K136" s="21"/>
      <c r="L136" s="21"/>
      <c r="M136" s="21"/>
      <c r="N136" s="25"/>
      <c r="O136" s="25"/>
      <c r="P136" s="32"/>
      <c r="Q136" s="25"/>
      <c r="R136" s="25"/>
      <c r="S136" s="33"/>
      <c r="T136" s="33"/>
      <c r="U136" s="33"/>
      <c r="V136" s="33"/>
      <c r="W136" s="25"/>
      <c r="X136" s="25"/>
      <c r="Y136" s="25"/>
      <c r="Z136" s="33"/>
      <c r="AA136" s="34" t="str">
        <f aca="true">IF($T136="","",IF($T136&lt;TODAY(),"已过期 "&amp;TEXT(TODAY()-$T136,"0")&amp;" 天",IF($T136-TODAY()&lt;=年检提醒天,"还剩 "&amp;TEXT($T136-TODAY(),"0")&amp;" 天","")))</f>
        <v/>
      </c>
      <c r="AB136" s="34" t="str">
        <f aca="true">IF(COUNT($U136:$V136)=0,"",IF(MIN($U136:$V136)&lt;TODAY(),"已过期 "&amp;TEXT(TODAY()-MIN($U136:$V136),"0")&amp;" 天",IF(MIN($U136:$V136)-TODAY()&lt;=年检提醒天,"还剩 "&amp;TEXT(MIN($U136:$V136)-TODAY(),"0")&amp;" 天","")))</f>
        <v/>
      </c>
      <c r="AC136" s="34" t="str">
        <f aca="true">IF($C136="","",IF(OR($Y136="安装免保",$Y136="技术免保",$Y136="质保期内"),IF($Z136="","▲免保没填到期日",IF($Z136&lt;TODAY(),"▲免保已到期 该转收费了",IF($Z136-TODAY()&lt;=合同提醒天,"免保还剩 "&amp;TEXT($Z136-TODAY(),"0")&amp;" 天","免保中"))),IF($Y136="暂停维保","暂停中 不计费",IF($Y136="已解约","已解约",IF(COUNTIF(合同键,$E136)=0,"▲还没建合同行","")))))</f>
        <v/>
      </c>
      <c r="AD136" s="24"/>
      <c r="AE136" s="35" t="str">
        <f aca="false">IF($C136="","",IF($D136="","★项目名称没填",IF(N($P136)&lt;=0,"★台量要填",IF(AND(OR($Y136="安装免保",$Y136="技术免保",$Y136="质保期内"),$Z136=""),"★免保到期日没填",IF(COUNTIF(合同键,$E136)=0,"★还没建合同行","OK")))))</f>
        <v/>
      </c>
    </row>
    <row r="137" customFormat="false" ht="15" hidden="false" customHeight="false" outlineLevel="0" collapsed="false">
      <c r="A137" s="29" t="str">
        <f aca="false">IF($C137="","",ROW()-4)</f>
        <v/>
      </c>
      <c r="B137" s="25"/>
      <c r="C137" s="24"/>
      <c r="D137" s="24"/>
      <c r="E137" s="30" t="str">
        <f aca="false">IF($C137="","",$C137&amp;" ｜ "&amp;$D137)</f>
        <v/>
      </c>
      <c r="F137" s="25"/>
      <c r="G137" s="25"/>
      <c r="H137" s="25"/>
      <c r="I137" s="25"/>
      <c r="J137" s="25"/>
      <c r="K137" s="21"/>
      <c r="L137" s="21"/>
      <c r="M137" s="21"/>
      <c r="N137" s="25"/>
      <c r="O137" s="25"/>
      <c r="P137" s="32"/>
      <c r="Q137" s="25"/>
      <c r="R137" s="25"/>
      <c r="S137" s="33"/>
      <c r="T137" s="33"/>
      <c r="U137" s="33"/>
      <c r="V137" s="33"/>
      <c r="W137" s="25"/>
      <c r="X137" s="25"/>
      <c r="Y137" s="25"/>
      <c r="Z137" s="33"/>
      <c r="AA137" s="34" t="str">
        <f aca="true">IF($T137="","",IF($T137&lt;TODAY(),"已过期 "&amp;TEXT(TODAY()-$T137,"0")&amp;" 天",IF($T137-TODAY()&lt;=年检提醒天,"还剩 "&amp;TEXT($T137-TODAY(),"0")&amp;" 天","")))</f>
        <v/>
      </c>
      <c r="AB137" s="34" t="str">
        <f aca="true">IF(COUNT($U137:$V137)=0,"",IF(MIN($U137:$V137)&lt;TODAY(),"已过期 "&amp;TEXT(TODAY()-MIN($U137:$V137),"0")&amp;" 天",IF(MIN($U137:$V137)-TODAY()&lt;=年检提醒天,"还剩 "&amp;TEXT(MIN($U137:$V137)-TODAY(),"0")&amp;" 天","")))</f>
        <v/>
      </c>
      <c r="AC137" s="34" t="str">
        <f aca="true">IF($C137="","",IF(OR($Y137="安装免保",$Y137="技术免保",$Y137="质保期内"),IF($Z137="","▲免保没填到期日",IF($Z137&lt;TODAY(),"▲免保已到期 该转收费了",IF($Z137-TODAY()&lt;=合同提醒天,"免保还剩 "&amp;TEXT($Z137-TODAY(),"0")&amp;" 天","免保中"))),IF($Y137="暂停维保","暂停中 不计费",IF($Y137="已解约","已解约",IF(COUNTIF(合同键,$E137)=0,"▲还没建合同行","")))))</f>
        <v/>
      </c>
      <c r="AD137" s="24"/>
      <c r="AE137" s="35" t="str">
        <f aca="false">IF($C137="","",IF($D137="","★项目名称没填",IF(N($P137)&lt;=0,"★台量要填",IF(AND(OR($Y137="安装免保",$Y137="技术免保",$Y137="质保期内"),$Z137=""),"★免保到期日没填",IF(COUNTIF(合同键,$E137)=0,"★还没建合同行","OK")))))</f>
        <v/>
      </c>
    </row>
    <row r="138" customFormat="false" ht="15" hidden="false" customHeight="false" outlineLevel="0" collapsed="false">
      <c r="A138" s="29" t="str">
        <f aca="false">IF($C138="","",ROW()-4)</f>
        <v/>
      </c>
      <c r="B138" s="25"/>
      <c r="C138" s="24"/>
      <c r="D138" s="24"/>
      <c r="E138" s="30" t="str">
        <f aca="false">IF($C138="","",$C138&amp;" ｜ "&amp;$D138)</f>
        <v/>
      </c>
      <c r="F138" s="25"/>
      <c r="G138" s="25"/>
      <c r="H138" s="25"/>
      <c r="I138" s="25"/>
      <c r="J138" s="25"/>
      <c r="K138" s="21"/>
      <c r="L138" s="21"/>
      <c r="M138" s="21"/>
      <c r="N138" s="25"/>
      <c r="O138" s="25"/>
      <c r="P138" s="32"/>
      <c r="Q138" s="25"/>
      <c r="R138" s="25"/>
      <c r="S138" s="33"/>
      <c r="T138" s="33"/>
      <c r="U138" s="33"/>
      <c r="V138" s="33"/>
      <c r="W138" s="25"/>
      <c r="X138" s="25"/>
      <c r="Y138" s="25"/>
      <c r="Z138" s="33"/>
      <c r="AA138" s="34" t="str">
        <f aca="true">IF($T138="","",IF($T138&lt;TODAY(),"已过期 "&amp;TEXT(TODAY()-$T138,"0")&amp;" 天",IF($T138-TODAY()&lt;=年检提醒天,"还剩 "&amp;TEXT($T138-TODAY(),"0")&amp;" 天","")))</f>
        <v/>
      </c>
      <c r="AB138" s="34" t="str">
        <f aca="true">IF(COUNT($U138:$V138)=0,"",IF(MIN($U138:$V138)&lt;TODAY(),"已过期 "&amp;TEXT(TODAY()-MIN($U138:$V138),"0")&amp;" 天",IF(MIN($U138:$V138)-TODAY()&lt;=年检提醒天,"还剩 "&amp;TEXT(MIN($U138:$V138)-TODAY(),"0")&amp;" 天","")))</f>
        <v/>
      </c>
      <c r="AC138" s="34" t="str">
        <f aca="true">IF($C138="","",IF(OR($Y138="安装免保",$Y138="技术免保",$Y138="质保期内"),IF($Z138="","▲免保没填到期日",IF($Z138&lt;TODAY(),"▲免保已到期 该转收费了",IF($Z138-TODAY()&lt;=合同提醒天,"免保还剩 "&amp;TEXT($Z138-TODAY(),"0")&amp;" 天","免保中"))),IF($Y138="暂停维保","暂停中 不计费",IF($Y138="已解约","已解约",IF(COUNTIF(合同键,$E138)=0,"▲还没建合同行","")))))</f>
        <v/>
      </c>
      <c r="AD138" s="24"/>
      <c r="AE138" s="35" t="str">
        <f aca="false">IF($C138="","",IF($D138="","★项目名称没填",IF(N($P138)&lt;=0,"★台量要填",IF(AND(OR($Y138="安装免保",$Y138="技术免保",$Y138="质保期内"),$Z138=""),"★免保到期日没填",IF(COUNTIF(合同键,$E138)=0,"★还没建合同行","OK")))))</f>
        <v/>
      </c>
    </row>
    <row r="139" customFormat="false" ht="15" hidden="false" customHeight="false" outlineLevel="0" collapsed="false">
      <c r="A139" s="29" t="str">
        <f aca="false">IF($C139="","",ROW()-4)</f>
        <v/>
      </c>
      <c r="B139" s="25"/>
      <c r="C139" s="24"/>
      <c r="D139" s="24"/>
      <c r="E139" s="30" t="str">
        <f aca="false">IF($C139="","",$C139&amp;" ｜ "&amp;$D139)</f>
        <v/>
      </c>
      <c r="F139" s="25"/>
      <c r="G139" s="25"/>
      <c r="H139" s="25"/>
      <c r="I139" s="25"/>
      <c r="J139" s="25"/>
      <c r="K139" s="21"/>
      <c r="L139" s="21"/>
      <c r="M139" s="21"/>
      <c r="N139" s="25"/>
      <c r="O139" s="25"/>
      <c r="P139" s="32"/>
      <c r="Q139" s="25"/>
      <c r="R139" s="25"/>
      <c r="S139" s="33"/>
      <c r="T139" s="33"/>
      <c r="U139" s="33"/>
      <c r="V139" s="33"/>
      <c r="W139" s="25"/>
      <c r="X139" s="25"/>
      <c r="Y139" s="25"/>
      <c r="Z139" s="33"/>
      <c r="AA139" s="34" t="str">
        <f aca="true">IF($T139="","",IF($T139&lt;TODAY(),"已过期 "&amp;TEXT(TODAY()-$T139,"0")&amp;" 天",IF($T139-TODAY()&lt;=年检提醒天,"还剩 "&amp;TEXT($T139-TODAY(),"0")&amp;" 天","")))</f>
        <v/>
      </c>
      <c r="AB139" s="34" t="str">
        <f aca="true">IF(COUNT($U139:$V139)=0,"",IF(MIN($U139:$V139)&lt;TODAY(),"已过期 "&amp;TEXT(TODAY()-MIN($U139:$V139),"0")&amp;" 天",IF(MIN($U139:$V139)-TODAY()&lt;=年检提醒天,"还剩 "&amp;TEXT(MIN($U139:$V139)-TODAY(),"0")&amp;" 天","")))</f>
        <v/>
      </c>
      <c r="AC139" s="34" t="str">
        <f aca="true">IF($C139="","",IF(OR($Y139="安装免保",$Y139="技术免保",$Y139="质保期内"),IF($Z139="","▲免保没填到期日",IF($Z139&lt;TODAY(),"▲免保已到期 该转收费了",IF($Z139-TODAY()&lt;=合同提醒天,"免保还剩 "&amp;TEXT($Z139-TODAY(),"0")&amp;" 天","免保中"))),IF($Y139="暂停维保","暂停中 不计费",IF($Y139="已解约","已解约",IF(COUNTIF(合同键,$E139)=0,"▲还没建合同行","")))))</f>
        <v/>
      </c>
      <c r="AD139" s="24"/>
      <c r="AE139" s="35" t="str">
        <f aca="false">IF($C139="","",IF($D139="","★项目名称没填",IF(N($P139)&lt;=0,"★台量要填",IF(AND(OR($Y139="安装免保",$Y139="技术免保",$Y139="质保期内"),$Z139=""),"★免保到期日没填",IF(COUNTIF(合同键,$E139)=0,"★还没建合同行","OK")))))</f>
        <v/>
      </c>
    </row>
    <row r="140" customFormat="false" ht="15" hidden="false" customHeight="false" outlineLevel="0" collapsed="false">
      <c r="A140" s="29" t="str">
        <f aca="false">IF($C140="","",ROW()-4)</f>
        <v/>
      </c>
      <c r="B140" s="25"/>
      <c r="C140" s="24"/>
      <c r="D140" s="24"/>
      <c r="E140" s="30" t="str">
        <f aca="false">IF($C140="","",$C140&amp;" ｜ "&amp;$D140)</f>
        <v/>
      </c>
      <c r="F140" s="25"/>
      <c r="G140" s="25"/>
      <c r="H140" s="25"/>
      <c r="I140" s="25"/>
      <c r="J140" s="25"/>
      <c r="K140" s="21"/>
      <c r="L140" s="21"/>
      <c r="M140" s="21"/>
      <c r="N140" s="25"/>
      <c r="O140" s="25"/>
      <c r="P140" s="32"/>
      <c r="Q140" s="25"/>
      <c r="R140" s="25"/>
      <c r="S140" s="33"/>
      <c r="T140" s="33"/>
      <c r="U140" s="33"/>
      <c r="V140" s="33"/>
      <c r="W140" s="25"/>
      <c r="X140" s="25"/>
      <c r="Y140" s="25"/>
      <c r="Z140" s="33"/>
      <c r="AA140" s="34" t="str">
        <f aca="true">IF($T140="","",IF($T140&lt;TODAY(),"已过期 "&amp;TEXT(TODAY()-$T140,"0")&amp;" 天",IF($T140-TODAY()&lt;=年检提醒天,"还剩 "&amp;TEXT($T140-TODAY(),"0")&amp;" 天","")))</f>
        <v/>
      </c>
      <c r="AB140" s="34" t="str">
        <f aca="true">IF(COUNT($U140:$V140)=0,"",IF(MIN($U140:$V140)&lt;TODAY(),"已过期 "&amp;TEXT(TODAY()-MIN($U140:$V140),"0")&amp;" 天",IF(MIN($U140:$V140)-TODAY()&lt;=年检提醒天,"还剩 "&amp;TEXT(MIN($U140:$V140)-TODAY(),"0")&amp;" 天","")))</f>
        <v/>
      </c>
      <c r="AC140" s="34" t="str">
        <f aca="true">IF($C140="","",IF(OR($Y140="安装免保",$Y140="技术免保",$Y140="质保期内"),IF($Z140="","▲免保没填到期日",IF($Z140&lt;TODAY(),"▲免保已到期 该转收费了",IF($Z140-TODAY()&lt;=合同提醒天,"免保还剩 "&amp;TEXT($Z140-TODAY(),"0")&amp;" 天","免保中"))),IF($Y140="暂停维保","暂停中 不计费",IF($Y140="已解约","已解约",IF(COUNTIF(合同键,$E140)=0,"▲还没建合同行","")))))</f>
        <v/>
      </c>
      <c r="AD140" s="24"/>
      <c r="AE140" s="35" t="str">
        <f aca="false">IF($C140="","",IF($D140="","★项目名称没填",IF(N($P140)&lt;=0,"★台量要填",IF(AND(OR($Y140="安装免保",$Y140="技术免保",$Y140="质保期内"),$Z140=""),"★免保到期日没填",IF(COUNTIF(合同键,$E140)=0,"★还没建合同行","OK")))))</f>
        <v/>
      </c>
    </row>
    <row r="141" customFormat="false" ht="15" hidden="false" customHeight="false" outlineLevel="0" collapsed="false">
      <c r="A141" s="29" t="str">
        <f aca="false">IF($C141="","",ROW()-4)</f>
        <v/>
      </c>
      <c r="B141" s="25"/>
      <c r="C141" s="24"/>
      <c r="D141" s="24"/>
      <c r="E141" s="30" t="str">
        <f aca="false">IF($C141="","",$C141&amp;" ｜ "&amp;$D141)</f>
        <v/>
      </c>
      <c r="F141" s="25"/>
      <c r="G141" s="25"/>
      <c r="H141" s="25"/>
      <c r="I141" s="25"/>
      <c r="J141" s="25"/>
      <c r="K141" s="21"/>
      <c r="L141" s="21"/>
      <c r="M141" s="21"/>
      <c r="N141" s="25"/>
      <c r="O141" s="25"/>
      <c r="P141" s="32"/>
      <c r="Q141" s="25"/>
      <c r="R141" s="25"/>
      <c r="S141" s="33"/>
      <c r="T141" s="33"/>
      <c r="U141" s="33"/>
      <c r="V141" s="33"/>
      <c r="W141" s="25"/>
      <c r="X141" s="25"/>
      <c r="Y141" s="25"/>
      <c r="Z141" s="33"/>
      <c r="AA141" s="34" t="str">
        <f aca="true">IF($T141="","",IF($T141&lt;TODAY(),"已过期 "&amp;TEXT(TODAY()-$T141,"0")&amp;" 天",IF($T141-TODAY()&lt;=年检提醒天,"还剩 "&amp;TEXT($T141-TODAY(),"0")&amp;" 天","")))</f>
        <v/>
      </c>
      <c r="AB141" s="34" t="str">
        <f aca="true">IF(COUNT($U141:$V141)=0,"",IF(MIN($U141:$V141)&lt;TODAY(),"已过期 "&amp;TEXT(TODAY()-MIN($U141:$V141),"0")&amp;" 天",IF(MIN($U141:$V141)-TODAY()&lt;=年检提醒天,"还剩 "&amp;TEXT(MIN($U141:$V141)-TODAY(),"0")&amp;" 天","")))</f>
        <v/>
      </c>
      <c r="AC141" s="34" t="str">
        <f aca="true">IF($C141="","",IF(OR($Y141="安装免保",$Y141="技术免保",$Y141="质保期内"),IF($Z141="","▲免保没填到期日",IF($Z141&lt;TODAY(),"▲免保已到期 该转收费了",IF($Z141-TODAY()&lt;=合同提醒天,"免保还剩 "&amp;TEXT($Z141-TODAY(),"0")&amp;" 天","免保中"))),IF($Y141="暂停维保","暂停中 不计费",IF($Y141="已解约","已解约",IF(COUNTIF(合同键,$E141)=0,"▲还没建合同行","")))))</f>
        <v/>
      </c>
      <c r="AD141" s="24"/>
      <c r="AE141" s="35" t="str">
        <f aca="false">IF($C141="","",IF($D141="","★项目名称没填",IF(N($P141)&lt;=0,"★台量要填",IF(AND(OR($Y141="安装免保",$Y141="技术免保",$Y141="质保期内"),$Z141=""),"★免保到期日没填",IF(COUNTIF(合同键,$E141)=0,"★还没建合同行","OK")))))</f>
        <v/>
      </c>
    </row>
    <row r="142" customFormat="false" ht="15" hidden="false" customHeight="false" outlineLevel="0" collapsed="false">
      <c r="A142" s="29" t="str">
        <f aca="false">IF($C142="","",ROW()-4)</f>
        <v/>
      </c>
      <c r="B142" s="25"/>
      <c r="C142" s="24"/>
      <c r="D142" s="24"/>
      <c r="E142" s="30" t="str">
        <f aca="false">IF($C142="","",$C142&amp;" ｜ "&amp;$D142)</f>
        <v/>
      </c>
      <c r="F142" s="25"/>
      <c r="G142" s="25"/>
      <c r="H142" s="25"/>
      <c r="I142" s="25"/>
      <c r="J142" s="25"/>
      <c r="K142" s="21"/>
      <c r="L142" s="21"/>
      <c r="M142" s="21"/>
      <c r="N142" s="25"/>
      <c r="O142" s="25"/>
      <c r="P142" s="32"/>
      <c r="Q142" s="25"/>
      <c r="R142" s="25"/>
      <c r="S142" s="33"/>
      <c r="T142" s="33"/>
      <c r="U142" s="33"/>
      <c r="V142" s="33"/>
      <c r="W142" s="25"/>
      <c r="X142" s="25"/>
      <c r="Y142" s="25"/>
      <c r="Z142" s="33"/>
      <c r="AA142" s="34" t="str">
        <f aca="true">IF($T142="","",IF($T142&lt;TODAY(),"已过期 "&amp;TEXT(TODAY()-$T142,"0")&amp;" 天",IF($T142-TODAY()&lt;=年检提醒天,"还剩 "&amp;TEXT($T142-TODAY(),"0")&amp;" 天","")))</f>
        <v/>
      </c>
      <c r="AB142" s="34" t="str">
        <f aca="true">IF(COUNT($U142:$V142)=0,"",IF(MIN($U142:$V142)&lt;TODAY(),"已过期 "&amp;TEXT(TODAY()-MIN($U142:$V142),"0")&amp;" 天",IF(MIN($U142:$V142)-TODAY()&lt;=年检提醒天,"还剩 "&amp;TEXT(MIN($U142:$V142)-TODAY(),"0")&amp;" 天","")))</f>
        <v/>
      </c>
      <c r="AC142" s="34" t="str">
        <f aca="true">IF($C142="","",IF(OR($Y142="安装免保",$Y142="技术免保",$Y142="质保期内"),IF($Z142="","▲免保没填到期日",IF($Z142&lt;TODAY(),"▲免保已到期 该转收费了",IF($Z142-TODAY()&lt;=合同提醒天,"免保还剩 "&amp;TEXT($Z142-TODAY(),"0")&amp;" 天","免保中"))),IF($Y142="暂停维保","暂停中 不计费",IF($Y142="已解约","已解约",IF(COUNTIF(合同键,$E142)=0,"▲还没建合同行","")))))</f>
        <v/>
      </c>
      <c r="AD142" s="24"/>
      <c r="AE142" s="35" t="str">
        <f aca="false">IF($C142="","",IF($D142="","★项目名称没填",IF(N($P142)&lt;=0,"★台量要填",IF(AND(OR($Y142="安装免保",$Y142="技术免保",$Y142="质保期内"),$Z142=""),"★免保到期日没填",IF(COUNTIF(合同键,$E142)=0,"★还没建合同行","OK")))))</f>
        <v/>
      </c>
    </row>
    <row r="143" customFormat="false" ht="15" hidden="false" customHeight="false" outlineLevel="0" collapsed="false">
      <c r="A143" s="29" t="str">
        <f aca="false">IF($C143="","",ROW()-4)</f>
        <v/>
      </c>
      <c r="B143" s="25"/>
      <c r="C143" s="24"/>
      <c r="D143" s="24"/>
      <c r="E143" s="30" t="str">
        <f aca="false">IF($C143="","",$C143&amp;" ｜ "&amp;$D143)</f>
        <v/>
      </c>
      <c r="F143" s="25"/>
      <c r="G143" s="25"/>
      <c r="H143" s="25"/>
      <c r="I143" s="25"/>
      <c r="J143" s="25"/>
      <c r="K143" s="21"/>
      <c r="L143" s="21"/>
      <c r="M143" s="21"/>
      <c r="N143" s="25"/>
      <c r="O143" s="25"/>
      <c r="P143" s="32"/>
      <c r="Q143" s="25"/>
      <c r="R143" s="25"/>
      <c r="S143" s="33"/>
      <c r="T143" s="33"/>
      <c r="U143" s="33"/>
      <c r="V143" s="33"/>
      <c r="W143" s="25"/>
      <c r="X143" s="25"/>
      <c r="Y143" s="25"/>
      <c r="Z143" s="33"/>
      <c r="AA143" s="34" t="str">
        <f aca="true">IF($T143="","",IF($T143&lt;TODAY(),"已过期 "&amp;TEXT(TODAY()-$T143,"0")&amp;" 天",IF($T143-TODAY()&lt;=年检提醒天,"还剩 "&amp;TEXT($T143-TODAY(),"0")&amp;" 天","")))</f>
        <v/>
      </c>
      <c r="AB143" s="34" t="str">
        <f aca="true">IF(COUNT($U143:$V143)=0,"",IF(MIN($U143:$V143)&lt;TODAY(),"已过期 "&amp;TEXT(TODAY()-MIN($U143:$V143),"0")&amp;" 天",IF(MIN($U143:$V143)-TODAY()&lt;=年检提醒天,"还剩 "&amp;TEXT(MIN($U143:$V143)-TODAY(),"0")&amp;" 天","")))</f>
        <v/>
      </c>
      <c r="AC143" s="34" t="str">
        <f aca="true">IF($C143="","",IF(OR($Y143="安装免保",$Y143="技术免保",$Y143="质保期内"),IF($Z143="","▲免保没填到期日",IF($Z143&lt;TODAY(),"▲免保已到期 该转收费了",IF($Z143-TODAY()&lt;=合同提醒天,"免保还剩 "&amp;TEXT($Z143-TODAY(),"0")&amp;" 天","免保中"))),IF($Y143="暂停维保","暂停中 不计费",IF($Y143="已解约","已解约",IF(COUNTIF(合同键,$E143)=0,"▲还没建合同行","")))))</f>
        <v/>
      </c>
      <c r="AD143" s="24"/>
      <c r="AE143" s="35" t="str">
        <f aca="false">IF($C143="","",IF($D143="","★项目名称没填",IF(N($P143)&lt;=0,"★台量要填",IF(AND(OR($Y143="安装免保",$Y143="技术免保",$Y143="质保期内"),$Z143=""),"★免保到期日没填",IF(COUNTIF(合同键,$E143)=0,"★还没建合同行","OK")))))</f>
        <v/>
      </c>
    </row>
    <row r="144" customFormat="false" ht="15" hidden="false" customHeight="false" outlineLevel="0" collapsed="false">
      <c r="A144" s="29" t="str">
        <f aca="false">IF($C144="","",ROW()-4)</f>
        <v/>
      </c>
      <c r="B144" s="25"/>
      <c r="C144" s="24"/>
      <c r="D144" s="24"/>
      <c r="E144" s="30" t="str">
        <f aca="false">IF($C144="","",$C144&amp;" ｜ "&amp;$D144)</f>
        <v/>
      </c>
      <c r="F144" s="25"/>
      <c r="G144" s="25"/>
      <c r="H144" s="25"/>
      <c r="I144" s="25"/>
      <c r="J144" s="25"/>
      <c r="K144" s="21"/>
      <c r="L144" s="21"/>
      <c r="M144" s="21"/>
      <c r="N144" s="25"/>
      <c r="O144" s="25"/>
      <c r="P144" s="32"/>
      <c r="Q144" s="25"/>
      <c r="R144" s="25"/>
      <c r="S144" s="33"/>
      <c r="T144" s="33"/>
      <c r="U144" s="33"/>
      <c r="V144" s="33"/>
      <c r="W144" s="25"/>
      <c r="X144" s="25"/>
      <c r="Y144" s="25"/>
      <c r="Z144" s="33"/>
      <c r="AA144" s="34" t="str">
        <f aca="true">IF($T144="","",IF($T144&lt;TODAY(),"已过期 "&amp;TEXT(TODAY()-$T144,"0")&amp;" 天",IF($T144-TODAY()&lt;=年检提醒天,"还剩 "&amp;TEXT($T144-TODAY(),"0")&amp;" 天","")))</f>
        <v/>
      </c>
      <c r="AB144" s="34" t="str">
        <f aca="true">IF(COUNT($U144:$V144)=0,"",IF(MIN($U144:$V144)&lt;TODAY(),"已过期 "&amp;TEXT(TODAY()-MIN($U144:$V144),"0")&amp;" 天",IF(MIN($U144:$V144)-TODAY()&lt;=年检提醒天,"还剩 "&amp;TEXT(MIN($U144:$V144)-TODAY(),"0")&amp;" 天","")))</f>
        <v/>
      </c>
      <c r="AC144" s="34" t="str">
        <f aca="true">IF($C144="","",IF(OR($Y144="安装免保",$Y144="技术免保",$Y144="质保期内"),IF($Z144="","▲免保没填到期日",IF($Z144&lt;TODAY(),"▲免保已到期 该转收费了",IF($Z144-TODAY()&lt;=合同提醒天,"免保还剩 "&amp;TEXT($Z144-TODAY(),"0")&amp;" 天","免保中"))),IF($Y144="暂停维保","暂停中 不计费",IF($Y144="已解约","已解约",IF(COUNTIF(合同键,$E144)=0,"▲还没建合同行","")))))</f>
        <v/>
      </c>
      <c r="AD144" s="24"/>
      <c r="AE144" s="35" t="str">
        <f aca="false">IF($C144="","",IF($D144="","★项目名称没填",IF(N($P144)&lt;=0,"★台量要填",IF(AND(OR($Y144="安装免保",$Y144="技术免保",$Y144="质保期内"),$Z144=""),"★免保到期日没填",IF(COUNTIF(合同键,$E144)=0,"★还没建合同行","OK")))))</f>
        <v/>
      </c>
    </row>
    <row r="145" customFormat="false" ht="15" hidden="false" customHeight="false" outlineLevel="0" collapsed="false">
      <c r="A145" s="29" t="str">
        <f aca="false">IF($C145="","",ROW()-4)</f>
        <v/>
      </c>
      <c r="B145" s="25"/>
      <c r="C145" s="24"/>
      <c r="D145" s="24"/>
      <c r="E145" s="30" t="str">
        <f aca="false">IF($C145="","",$C145&amp;" ｜ "&amp;$D145)</f>
        <v/>
      </c>
      <c r="F145" s="25"/>
      <c r="G145" s="25"/>
      <c r="H145" s="25"/>
      <c r="I145" s="25"/>
      <c r="J145" s="25"/>
      <c r="K145" s="21"/>
      <c r="L145" s="21"/>
      <c r="M145" s="21"/>
      <c r="N145" s="25"/>
      <c r="O145" s="25"/>
      <c r="P145" s="32"/>
      <c r="Q145" s="25"/>
      <c r="R145" s="25"/>
      <c r="S145" s="33"/>
      <c r="T145" s="33"/>
      <c r="U145" s="33"/>
      <c r="V145" s="33"/>
      <c r="W145" s="25"/>
      <c r="X145" s="25"/>
      <c r="Y145" s="25"/>
      <c r="Z145" s="33"/>
      <c r="AA145" s="34" t="str">
        <f aca="true">IF($T145="","",IF($T145&lt;TODAY(),"已过期 "&amp;TEXT(TODAY()-$T145,"0")&amp;" 天",IF($T145-TODAY()&lt;=年检提醒天,"还剩 "&amp;TEXT($T145-TODAY(),"0")&amp;" 天","")))</f>
        <v/>
      </c>
      <c r="AB145" s="34" t="str">
        <f aca="true">IF(COUNT($U145:$V145)=0,"",IF(MIN($U145:$V145)&lt;TODAY(),"已过期 "&amp;TEXT(TODAY()-MIN($U145:$V145),"0")&amp;" 天",IF(MIN($U145:$V145)-TODAY()&lt;=年检提醒天,"还剩 "&amp;TEXT(MIN($U145:$V145)-TODAY(),"0")&amp;" 天","")))</f>
        <v/>
      </c>
      <c r="AC145" s="34" t="str">
        <f aca="true">IF($C145="","",IF(OR($Y145="安装免保",$Y145="技术免保",$Y145="质保期内"),IF($Z145="","▲免保没填到期日",IF($Z145&lt;TODAY(),"▲免保已到期 该转收费了",IF($Z145-TODAY()&lt;=合同提醒天,"免保还剩 "&amp;TEXT($Z145-TODAY(),"0")&amp;" 天","免保中"))),IF($Y145="暂停维保","暂停中 不计费",IF($Y145="已解约","已解约",IF(COUNTIF(合同键,$E145)=0,"▲还没建合同行","")))))</f>
        <v/>
      </c>
      <c r="AD145" s="24"/>
      <c r="AE145" s="35" t="str">
        <f aca="false">IF($C145="","",IF($D145="","★项目名称没填",IF(N($P145)&lt;=0,"★台量要填",IF(AND(OR($Y145="安装免保",$Y145="技术免保",$Y145="质保期内"),$Z145=""),"★免保到期日没填",IF(COUNTIF(合同键,$E145)=0,"★还没建合同行","OK")))))</f>
        <v/>
      </c>
    </row>
    <row r="146" customFormat="false" ht="15" hidden="false" customHeight="false" outlineLevel="0" collapsed="false">
      <c r="A146" s="29" t="str">
        <f aca="false">IF($C146="","",ROW()-4)</f>
        <v/>
      </c>
      <c r="B146" s="25"/>
      <c r="C146" s="24"/>
      <c r="D146" s="24"/>
      <c r="E146" s="30" t="str">
        <f aca="false">IF($C146="","",$C146&amp;" ｜ "&amp;$D146)</f>
        <v/>
      </c>
      <c r="F146" s="25"/>
      <c r="G146" s="25"/>
      <c r="H146" s="25"/>
      <c r="I146" s="25"/>
      <c r="J146" s="25"/>
      <c r="K146" s="21"/>
      <c r="L146" s="21"/>
      <c r="M146" s="21"/>
      <c r="N146" s="25"/>
      <c r="O146" s="25"/>
      <c r="P146" s="32"/>
      <c r="Q146" s="25"/>
      <c r="R146" s="25"/>
      <c r="S146" s="33"/>
      <c r="T146" s="33"/>
      <c r="U146" s="33"/>
      <c r="V146" s="33"/>
      <c r="W146" s="25"/>
      <c r="X146" s="25"/>
      <c r="Y146" s="25"/>
      <c r="Z146" s="33"/>
      <c r="AA146" s="34" t="str">
        <f aca="true">IF($T146="","",IF($T146&lt;TODAY(),"已过期 "&amp;TEXT(TODAY()-$T146,"0")&amp;" 天",IF($T146-TODAY()&lt;=年检提醒天,"还剩 "&amp;TEXT($T146-TODAY(),"0")&amp;" 天","")))</f>
        <v/>
      </c>
      <c r="AB146" s="34" t="str">
        <f aca="true">IF(COUNT($U146:$V146)=0,"",IF(MIN($U146:$V146)&lt;TODAY(),"已过期 "&amp;TEXT(TODAY()-MIN($U146:$V146),"0")&amp;" 天",IF(MIN($U146:$V146)-TODAY()&lt;=年检提醒天,"还剩 "&amp;TEXT(MIN($U146:$V146)-TODAY(),"0")&amp;" 天","")))</f>
        <v/>
      </c>
      <c r="AC146" s="34" t="str">
        <f aca="true">IF($C146="","",IF(OR($Y146="安装免保",$Y146="技术免保",$Y146="质保期内"),IF($Z146="","▲免保没填到期日",IF($Z146&lt;TODAY(),"▲免保已到期 该转收费了",IF($Z146-TODAY()&lt;=合同提醒天,"免保还剩 "&amp;TEXT($Z146-TODAY(),"0")&amp;" 天","免保中"))),IF($Y146="暂停维保","暂停中 不计费",IF($Y146="已解约","已解约",IF(COUNTIF(合同键,$E146)=0,"▲还没建合同行","")))))</f>
        <v/>
      </c>
      <c r="AD146" s="24"/>
      <c r="AE146" s="35" t="str">
        <f aca="false">IF($C146="","",IF($D146="","★项目名称没填",IF(N($P146)&lt;=0,"★台量要填",IF(AND(OR($Y146="安装免保",$Y146="技术免保",$Y146="质保期内"),$Z146=""),"★免保到期日没填",IF(COUNTIF(合同键,$E146)=0,"★还没建合同行","OK")))))</f>
        <v/>
      </c>
    </row>
    <row r="147" customFormat="false" ht="15" hidden="false" customHeight="false" outlineLevel="0" collapsed="false">
      <c r="A147" s="29" t="str">
        <f aca="false">IF($C147="","",ROW()-4)</f>
        <v/>
      </c>
      <c r="B147" s="25"/>
      <c r="C147" s="24"/>
      <c r="D147" s="24"/>
      <c r="E147" s="30" t="str">
        <f aca="false">IF($C147="","",$C147&amp;" ｜ "&amp;$D147)</f>
        <v/>
      </c>
      <c r="F147" s="25"/>
      <c r="G147" s="25"/>
      <c r="H147" s="25"/>
      <c r="I147" s="25"/>
      <c r="J147" s="25"/>
      <c r="K147" s="21"/>
      <c r="L147" s="21"/>
      <c r="M147" s="21"/>
      <c r="N147" s="25"/>
      <c r="O147" s="25"/>
      <c r="P147" s="32"/>
      <c r="Q147" s="25"/>
      <c r="R147" s="25"/>
      <c r="S147" s="33"/>
      <c r="T147" s="33"/>
      <c r="U147" s="33"/>
      <c r="V147" s="33"/>
      <c r="W147" s="25"/>
      <c r="X147" s="25"/>
      <c r="Y147" s="25"/>
      <c r="Z147" s="33"/>
      <c r="AA147" s="34" t="str">
        <f aca="true">IF($T147="","",IF($T147&lt;TODAY(),"已过期 "&amp;TEXT(TODAY()-$T147,"0")&amp;" 天",IF($T147-TODAY()&lt;=年检提醒天,"还剩 "&amp;TEXT($T147-TODAY(),"0")&amp;" 天","")))</f>
        <v/>
      </c>
      <c r="AB147" s="34" t="str">
        <f aca="true">IF(COUNT($U147:$V147)=0,"",IF(MIN($U147:$V147)&lt;TODAY(),"已过期 "&amp;TEXT(TODAY()-MIN($U147:$V147),"0")&amp;" 天",IF(MIN($U147:$V147)-TODAY()&lt;=年检提醒天,"还剩 "&amp;TEXT(MIN($U147:$V147)-TODAY(),"0")&amp;" 天","")))</f>
        <v/>
      </c>
      <c r="AC147" s="34" t="str">
        <f aca="true">IF($C147="","",IF(OR($Y147="安装免保",$Y147="技术免保",$Y147="质保期内"),IF($Z147="","▲免保没填到期日",IF($Z147&lt;TODAY(),"▲免保已到期 该转收费了",IF($Z147-TODAY()&lt;=合同提醒天,"免保还剩 "&amp;TEXT($Z147-TODAY(),"0")&amp;" 天","免保中"))),IF($Y147="暂停维保","暂停中 不计费",IF($Y147="已解约","已解约",IF(COUNTIF(合同键,$E147)=0,"▲还没建合同行","")))))</f>
        <v/>
      </c>
      <c r="AD147" s="24"/>
      <c r="AE147" s="35" t="str">
        <f aca="false">IF($C147="","",IF($D147="","★项目名称没填",IF(N($P147)&lt;=0,"★台量要填",IF(AND(OR($Y147="安装免保",$Y147="技术免保",$Y147="质保期内"),$Z147=""),"★免保到期日没填",IF(COUNTIF(合同键,$E147)=0,"★还没建合同行","OK")))))</f>
        <v/>
      </c>
    </row>
    <row r="148" customFormat="false" ht="15" hidden="false" customHeight="false" outlineLevel="0" collapsed="false">
      <c r="A148" s="29" t="str">
        <f aca="false">IF($C148="","",ROW()-4)</f>
        <v/>
      </c>
      <c r="B148" s="25"/>
      <c r="C148" s="24"/>
      <c r="D148" s="24"/>
      <c r="E148" s="30" t="str">
        <f aca="false">IF($C148="","",$C148&amp;" ｜ "&amp;$D148)</f>
        <v/>
      </c>
      <c r="F148" s="25"/>
      <c r="G148" s="25"/>
      <c r="H148" s="25"/>
      <c r="I148" s="25"/>
      <c r="J148" s="25"/>
      <c r="K148" s="21"/>
      <c r="L148" s="21"/>
      <c r="M148" s="21"/>
      <c r="N148" s="25"/>
      <c r="O148" s="25"/>
      <c r="P148" s="32"/>
      <c r="Q148" s="25"/>
      <c r="R148" s="25"/>
      <c r="S148" s="33"/>
      <c r="T148" s="33"/>
      <c r="U148" s="33"/>
      <c r="V148" s="33"/>
      <c r="W148" s="25"/>
      <c r="X148" s="25"/>
      <c r="Y148" s="25"/>
      <c r="Z148" s="33"/>
      <c r="AA148" s="34" t="str">
        <f aca="true">IF($T148="","",IF($T148&lt;TODAY(),"已过期 "&amp;TEXT(TODAY()-$T148,"0")&amp;" 天",IF($T148-TODAY()&lt;=年检提醒天,"还剩 "&amp;TEXT($T148-TODAY(),"0")&amp;" 天","")))</f>
        <v/>
      </c>
      <c r="AB148" s="34" t="str">
        <f aca="true">IF(COUNT($U148:$V148)=0,"",IF(MIN($U148:$V148)&lt;TODAY(),"已过期 "&amp;TEXT(TODAY()-MIN($U148:$V148),"0")&amp;" 天",IF(MIN($U148:$V148)-TODAY()&lt;=年检提醒天,"还剩 "&amp;TEXT(MIN($U148:$V148)-TODAY(),"0")&amp;" 天","")))</f>
        <v/>
      </c>
      <c r="AC148" s="34" t="str">
        <f aca="true">IF($C148="","",IF(OR($Y148="安装免保",$Y148="技术免保",$Y148="质保期内"),IF($Z148="","▲免保没填到期日",IF($Z148&lt;TODAY(),"▲免保已到期 该转收费了",IF($Z148-TODAY()&lt;=合同提醒天,"免保还剩 "&amp;TEXT($Z148-TODAY(),"0")&amp;" 天","免保中"))),IF($Y148="暂停维保","暂停中 不计费",IF($Y148="已解约","已解约",IF(COUNTIF(合同键,$E148)=0,"▲还没建合同行","")))))</f>
        <v/>
      </c>
      <c r="AD148" s="24"/>
      <c r="AE148" s="35" t="str">
        <f aca="false">IF($C148="","",IF($D148="","★项目名称没填",IF(N($P148)&lt;=0,"★台量要填",IF(AND(OR($Y148="安装免保",$Y148="技术免保",$Y148="质保期内"),$Z148=""),"★免保到期日没填",IF(COUNTIF(合同键,$E148)=0,"★还没建合同行","OK")))))</f>
        <v/>
      </c>
    </row>
    <row r="149" customFormat="false" ht="15" hidden="false" customHeight="false" outlineLevel="0" collapsed="false">
      <c r="A149" s="29" t="str">
        <f aca="false">IF($C149="","",ROW()-4)</f>
        <v/>
      </c>
      <c r="B149" s="25"/>
      <c r="C149" s="24"/>
      <c r="D149" s="24"/>
      <c r="E149" s="30" t="str">
        <f aca="false">IF($C149="","",$C149&amp;" ｜ "&amp;$D149)</f>
        <v/>
      </c>
      <c r="F149" s="25"/>
      <c r="G149" s="25"/>
      <c r="H149" s="25"/>
      <c r="I149" s="25"/>
      <c r="J149" s="25"/>
      <c r="K149" s="21"/>
      <c r="L149" s="21"/>
      <c r="M149" s="21"/>
      <c r="N149" s="25"/>
      <c r="O149" s="25"/>
      <c r="P149" s="32"/>
      <c r="Q149" s="25"/>
      <c r="R149" s="25"/>
      <c r="S149" s="33"/>
      <c r="T149" s="33"/>
      <c r="U149" s="33"/>
      <c r="V149" s="33"/>
      <c r="W149" s="25"/>
      <c r="X149" s="25"/>
      <c r="Y149" s="25"/>
      <c r="Z149" s="33"/>
      <c r="AA149" s="34" t="str">
        <f aca="true">IF($T149="","",IF($T149&lt;TODAY(),"已过期 "&amp;TEXT(TODAY()-$T149,"0")&amp;" 天",IF($T149-TODAY()&lt;=年检提醒天,"还剩 "&amp;TEXT($T149-TODAY(),"0")&amp;" 天","")))</f>
        <v/>
      </c>
      <c r="AB149" s="34" t="str">
        <f aca="true">IF(COUNT($U149:$V149)=0,"",IF(MIN($U149:$V149)&lt;TODAY(),"已过期 "&amp;TEXT(TODAY()-MIN($U149:$V149),"0")&amp;" 天",IF(MIN($U149:$V149)-TODAY()&lt;=年检提醒天,"还剩 "&amp;TEXT(MIN($U149:$V149)-TODAY(),"0")&amp;" 天","")))</f>
        <v/>
      </c>
      <c r="AC149" s="34" t="str">
        <f aca="true">IF($C149="","",IF(OR($Y149="安装免保",$Y149="技术免保",$Y149="质保期内"),IF($Z149="","▲免保没填到期日",IF($Z149&lt;TODAY(),"▲免保已到期 该转收费了",IF($Z149-TODAY()&lt;=合同提醒天,"免保还剩 "&amp;TEXT($Z149-TODAY(),"0")&amp;" 天","免保中"))),IF($Y149="暂停维保","暂停中 不计费",IF($Y149="已解约","已解约",IF(COUNTIF(合同键,$E149)=0,"▲还没建合同行","")))))</f>
        <v/>
      </c>
      <c r="AD149" s="24"/>
      <c r="AE149" s="35" t="str">
        <f aca="false">IF($C149="","",IF($D149="","★项目名称没填",IF(N($P149)&lt;=0,"★台量要填",IF(AND(OR($Y149="安装免保",$Y149="技术免保",$Y149="质保期内"),$Z149=""),"★免保到期日没填",IF(COUNTIF(合同键,$E149)=0,"★还没建合同行","OK")))))</f>
        <v/>
      </c>
    </row>
    <row r="150" customFormat="false" ht="15" hidden="false" customHeight="false" outlineLevel="0" collapsed="false">
      <c r="A150" s="29" t="str">
        <f aca="false">IF($C150="","",ROW()-4)</f>
        <v/>
      </c>
      <c r="B150" s="25"/>
      <c r="C150" s="24"/>
      <c r="D150" s="24"/>
      <c r="E150" s="30" t="str">
        <f aca="false">IF($C150="","",$C150&amp;" ｜ "&amp;$D150)</f>
        <v/>
      </c>
      <c r="F150" s="25"/>
      <c r="G150" s="25"/>
      <c r="H150" s="25"/>
      <c r="I150" s="25"/>
      <c r="J150" s="25"/>
      <c r="K150" s="21"/>
      <c r="L150" s="21"/>
      <c r="M150" s="21"/>
      <c r="N150" s="25"/>
      <c r="O150" s="25"/>
      <c r="P150" s="32"/>
      <c r="Q150" s="25"/>
      <c r="R150" s="25"/>
      <c r="S150" s="33"/>
      <c r="T150" s="33"/>
      <c r="U150" s="33"/>
      <c r="V150" s="33"/>
      <c r="W150" s="25"/>
      <c r="X150" s="25"/>
      <c r="Y150" s="25"/>
      <c r="Z150" s="33"/>
      <c r="AA150" s="34" t="str">
        <f aca="true">IF($T150="","",IF($T150&lt;TODAY(),"已过期 "&amp;TEXT(TODAY()-$T150,"0")&amp;" 天",IF($T150-TODAY()&lt;=年检提醒天,"还剩 "&amp;TEXT($T150-TODAY(),"0")&amp;" 天","")))</f>
        <v/>
      </c>
      <c r="AB150" s="34" t="str">
        <f aca="true">IF(COUNT($U150:$V150)=0,"",IF(MIN($U150:$V150)&lt;TODAY(),"已过期 "&amp;TEXT(TODAY()-MIN($U150:$V150),"0")&amp;" 天",IF(MIN($U150:$V150)-TODAY()&lt;=年检提醒天,"还剩 "&amp;TEXT(MIN($U150:$V150)-TODAY(),"0")&amp;" 天","")))</f>
        <v/>
      </c>
      <c r="AC150" s="34" t="str">
        <f aca="true">IF($C150="","",IF(OR($Y150="安装免保",$Y150="技术免保",$Y150="质保期内"),IF($Z150="","▲免保没填到期日",IF($Z150&lt;TODAY(),"▲免保已到期 该转收费了",IF($Z150-TODAY()&lt;=合同提醒天,"免保还剩 "&amp;TEXT($Z150-TODAY(),"0")&amp;" 天","免保中"))),IF($Y150="暂停维保","暂停中 不计费",IF($Y150="已解约","已解约",IF(COUNTIF(合同键,$E150)=0,"▲还没建合同行","")))))</f>
        <v/>
      </c>
      <c r="AD150" s="24"/>
      <c r="AE150" s="35" t="str">
        <f aca="false">IF($C150="","",IF($D150="","★项目名称没填",IF(N($P150)&lt;=0,"★台量要填",IF(AND(OR($Y150="安装免保",$Y150="技术免保",$Y150="质保期内"),$Z150=""),"★免保到期日没填",IF(COUNTIF(合同键,$E150)=0,"★还没建合同行","OK")))))</f>
        <v/>
      </c>
    </row>
    <row r="151" customFormat="false" ht="15" hidden="false" customHeight="false" outlineLevel="0" collapsed="false">
      <c r="A151" s="29" t="str">
        <f aca="false">IF($C151="","",ROW()-4)</f>
        <v/>
      </c>
      <c r="B151" s="25"/>
      <c r="C151" s="24"/>
      <c r="D151" s="24"/>
      <c r="E151" s="30" t="str">
        <f aca="false">IF($C151="","",$C151&amp;" ｜ "&amp;$D151)</f>
        <v/>
      </c>
      <c r="F151" s="25"/>
      <c r="G151" s="25"/>
      <c r="H151" s="25"/>
      <c r="I151" s="25"/>
      <c r="J151" s="25"/>
      <c r="K151" s="21"/>
      <c r="L151" s="21"/>
      <c r="M151" s="21"/>
      <c r="N151" s="25"/>
      <c r="O151" s="25"/>
      <c r="P151" s="32"/>
      <c r="Q151" s="25"/>
      <c r="R151" s="25"/>
      <c r="S151" s="33"/>
      <c r="T151" s="33"/>
      <c r="U151" s="33"/>
      <c r="V151" s="33"/>
      <c r="W151" s="25"/>
      <c r="X151" s="25"/>
      <c r="Y151" s="25"/>
      <c r="Z151" s="33"/>
      <c r="AA151" s="34" t="str">
        <f aca="true">IF($T151="","",IF($T151&lt;TODAY(),"已过期 "&amp;TEXT(TODAY()-$T151,"0")&amp;" 天",IF($T151-TODAY()&lt;=年检提醒天,"还剩 "&amp;TEXT($T151-TODAY(),"0")&amp;" 天","")))</f>
        <v/>
      </c>
      <c r="AB151" s="34" t="str">
        <f aca="true">IF(COUNT($U151:$V151)=0,"",IF(MIN($U151:$V151)&lt;TODAY(),"已过期 "&amp;TEXT(TODAY()-MIN($U151:$V151),"0")&amp;" 天",IF(MIN($U151:$V151)-TODAY()&lt;=年检提醒天,"还剩 "&amp;TEXT(MIN($U151:$V151)-TODAY(),"0")&amp;" 天","")))</f>
        <v/>
      </c>
      <c r="AC151" s="34" t="str">
        <f aca="true">IF($C151="","",IF(OR($Y151="安装免保",$Y151="技术免保",$Y151="质保期内"),IF($Z151="","▲免保没填到期日",IF($Z151&lt;TODAY(),"▲免保已到期 该转收费了",IF($Z151-TODAY()&lt;=合同提醒天,"免保还剩 "&amp;TEXT($Z151-TODAY(),"0")&amp;" 天","免保中"))),IF($Y151="暂停维保","暂停中 不计费",IF($Y151="已解约","已解约",IF(COUNTIF(合同键,$E151)=0,"▲还没建合同行","")))))</f>
        <v/>
      </c>
      <c r="AD151" s="24"/>
      <c r="AE151" s="35" t="str">
        <f aca="false">IF($C151="","",IF($D151="","★项目名称没填",IF(N($P151)&lt;=0,"★台量要填",IF(AND(OR($Y151="安装免保",$Y151="技术免保",$Y151="质保期内"),$Z151=""),"★免保到期日没填",IF(COUNTIF(合同键,$E151)=0,"★还没建合同行","OK")))))</f>
        <v/>
      </c>
    </row>
    <row r="152" customFormat="false" ht="15" hidden="false" customHeight="false" outlineLevel="0" collapsed="false">
      <c r="A152" s="29" t="str">
        <f aca="false">IF($C152="","",ROW()-4)</f>
        <v/>
      </c>
      <c r="B152" s="25"/>
      <c r="C152" s="24"/>
      <c r="D152" s="24"/>
      <c r="E152" s="30" t="str">
        <f aca="false">IF($C152="","",$C152&amp;" ｜ "&amp;$D152)</f>
        <v/>
      </c>
      <c r="F152" s="25"/>
      <c r="G152" s="25"/>
      <c r="H152" s="25"/>
      <c r="I152" s="25"/>
      <c r="J152" s="25"/>
      <c r="K152" s="21"/>
      <c r="L152" s="21"/>
      <c r="M152" s="21"/>
      <c r="N152" s="25"/>
      <c r="O152" s="25"/>
      <c r="P152" s="32"/>
      <c r="Q152" s="25"/>
      <c r="R152" s="25"/>
      <c r="S152" s="33"/>
      <c r="T152" s="33"/>
      <c r="U152" s="33"/>
      <c r="V152" s="33"/>
      <c r="W152" s="25"/>
      <c r="X152" s="25"/>
      <c r="Y152" s="25"/>
      <c r="Z152" s="33"/>
      <c r="AA152" s="34" t="str">
        <f aca="true">IF($T152="","",IF($T152&lt;TODAY(),"已过期 "&amp;TEXT(TODAY()-$T152,"0")&amp;" 天",IF($T152-TODAY()&lt;=年检提醒天,"还剩 "&amp;TEXT($T152-TODAY(),"0")&amp;" 天","")))</f>
        <v/>
      </c>
      <c r="AB152" s="34" t="str">
        <f aca="true">IF(COUNT($U152:$V152)=0,"",IF(MIN($U152:$V152)&lt;TODAY(),"已过期 "&amp;TEXT(TODAY()-MIN($U152:$V152),"0")&amp;" 天",IF(MIN($U152:$V152)-TODAY()&lt;=年检提醒天,"还剩 "&amp;TEXT(MIN($U152:$V152)-TODAY(),"0")&amp;" 天","")))</f>
        <v/>
      </c>
      <c r="AC152" s="34" t="str">
        <f aca="true">IF($C152="","",IF(OR($Y152="安装免保",$Y152="技术免保",$Y152="质保期内"),IF($Z152="","▲免保没填到期日",IF($Z152&lt;TODAY(),"▲免保已到期 该转收费了",IF($Z152-TODAY()&lt;=合同提醒天,"免保还剩 "&amp;TEXT($Z152-TODAY(),"0")&amp;" 天","免保中"))),IF($Y152="暂停维保","暂停中 不计费",IF($Y152="已解约","已解约",IF(COUNTIF(合同键,$E152)=0,"▲还没建合同行","")))))</f>
        <v/>
      </c>
      <c r="AD152" s="24"/>
      <c r="AE152" s="35" t="str">
        <f aca="false">IF($C152="","",IF($D152="","★项目名称没填",IF(N($P152)&lt;=0,"★台量要填",IF(AND(OR($Y152="安装免保",$Y152="技术免保",$Y152="质保期内"),$Z152=""),"★免保到期日没填",IF(COUNTIF(合同键,$E152)=0,"★还没建合同行","OK")))))</f>
        <v/>
      </c>
    </row>
    <row r="153" customFormat="false" ht="15" hidden="false" customHeight="false" outlineLevel="0" collapsed="false">
      <c r="A153" s="29" t="str">
        <f aca="false">IF($C153="","",ROW()-4)</f>
        <v/>
      </c>
      <c r="B153" s="25"/>
      <c r="C153" s="24"/>
      <c r="D153" s="24"/>
      <c r="E153" s="30" t="str">
        <f aca="false">IF($C153="","",$C153&amp;" ｜ "&amp;$D153)</f>
        <v/>
      </c>
      <c r="F153" s="25"/>
      <c r="G153" s="25"/>
      <c r="H153" s="25"/>
      <c r="I153" s="25"/>
      <c r="J153" s="25"/>
      <c r="K153" s="21"/>
      <c r="L153" s="21"/>
      <c r="M153" s="21"/>
      <c r="N153" s="25"/>
      <c r="O153" s="25"/>
      <c r="P153" s="32"/>
      <c r="Q153" s="25"/>
      <c r="R153" s="25"/>
      <c r="S153" s="33"/>
      <c r="T153" s="33"/>
      <c r="U153" s="33"/>
      <c r="V153" s="33"/>
      <c r="W153" s="25"/>
      <c r="X153" s="25"/>
      <c r="Y153" s="25"/>
      <c r="Z153" s="33"/>
      <c r="AA153" s="34" t="str">
        <f aca="true">IF($T153="","",IF($T153&lt;TODAY(),"已过期 "&amp;TEXT(TODAY()-$T153,"0")&amp;" 天",IF($T153-TODAY()&lt;=年检提醒天,"还剩 "&amp;TEXT($T153-TODAY(),"0")&amp;" 天","")))</f>
        <v/>
      </c>
      <c r="AB153" s="34" t="str">
        <f aca="true">IF(COUNT($U153:$V153)=0,"",IF(MIN($U153:$V153)&lt;TODAY(),"已过期 "&amp;TEXT(TODAY()-MIN($U153:$V153),"0")&amp;" 天",IF(MIN($U153:$V153)-TODAY()&lt;=年检提醒天,"还剩 "&amp;TEXT(MIN($U153:$V153)-TODAY(),"0")&amp;" 天","")))</f>
        <v/>
      </c>
      <c r="AC153" s="34" t="str">
        <f aca="true">IF($C153="","",IF(OR($Y153="安装免保",$Y153="技术免保",$Y153="质保期内"),IF($Z153="","▲免保没填到期日",IF($Z153&lt;TODAY(),"▲免保已到期 该转收费了",IF($Z153-TODAY()&lt;=合同提醒天,"免保还剩 "&amp;TEXT($Z153-TODAY(),"0")&amp;" 天","免保中"))),IF($Y153="暂停维保","暂停中 不计费",IF($Y153="已解约","已解约",IF(COUNTIF(合同键,$E153)=0,"▲还没建合同行","")))))</f>
        <v/>
      </c>
      <c r="AD153" s="24"/>
      <c r="AE153" s="35" t="str">
        <f aca="false">IF($C153="","",IF($D153="","★项目名称没填",IF(N($P153)&lt;=0,"★台量要填",IF(AND(OR($Y153="安装免保",$Y153="技术免保",$Y153="质保期内"),$Z153=""),"★免保到期日没填",IF(COUNTIF(合同键,$E153)=0,"★还没建合同行","OK")))))</f>
        <v/>
      </c>
    </row>
    <row r="154" customFormat="false" ht="15" hidden="false" customHeight="false" outlineLevel="0" collapsed="false">
      <c r="A154" s="29" t="str">
        <f aca="false">IF($C154="","",ROW()-4)</f>
        <v/>
      </c>
      <c r="B154" s="25"/>
      <c r="C154" s="24"/>
      <c r="D154" s="24"/>
      <c r="E154" s="30" t="str">
        <f aca="false">IF($C154="","",$C154&amp;" ｜ "&amp;$D154)</f>
        <v/>
      </c>
      <c r="F154" s="25"/>
      <c r="G154" s="25"/>
      <c r="H154" s="25"/>
      <c r="I154" s="25"/>
      <c r="J154" s="25"/>
      <c r="K154" s="21"/>
      <c r="L154" s="21"/>
      <c r="M154" s="21"/>
      <c r="N154" s="25"/>
      <c r="O154" s="25"/>
      <c r="P154" s="32"/>
      <c r="Q154" s="25"/>
      <c r="R154" s="25"/>
      <c r="S154" s="33"/>
      <c r="T154" s="33"/>
      <c r="U154" s="33"/>
      <c r="V154" s="33"/>
      <c r="W154" s="25"/>
      <c r="X154" s="25"/>
      <c r="Y154" s="25"/>
      <c r="Z154" s="33"/>
      <c r="AA154" s="34" t="str">
        <f aca="true">IF($T154="","",IF($T154&lt;TODAY(),"已过期 "&amp;TEXT(TODAY()-$T154,"0")&amp;" 天",IF($T154-TODAY()&lt;=年检提醒天,"还剩 "&amp;TEXT($T154-TODAY(),"0")&amp;" 天","")))</f>
        <v/>
      </c>
      <c r="AB154" s="34" t="str">
        <f aca="true">IF(COUNT($U154:$V154)=0,"",IF(MIN($U154:$V154)&lt;TODAY(),"已过期 "&amp;TEXT(TODAY()-MIN($U154:$V154),"0")&amp;" 天",IF(MIN($U154:$V154)-TODAY()&lt;=年检提醒天,"还剩 "&amp;TEXT(MIN($U154:$V154)-TODAY(),"0")&amp;" 天","")))</f>
        <v/>
      </c>
      <c r="AC154" s="34" t="str">
        <f aca="true">IF($C154="","",IF(OR($Y154="安装免保",$Y154="技术免保",$Y154="质保期内"),IF($Z154="","▲免保没填到期日",IF($Z154&lt;TODAY(),"▲免保已到期 该转收费了",IF($Z154-TODAY()&lt;=合同提醒天,"免保还剩 "&amp;TEXT($Z154-TODAY(),"0")&amp;" 天","免保中"))),IF($Y154="暂停维保","暂停中 不计费",IF($Y154="已解约","已解约",IF(COUNTIF(合同键,$E154)=0,"▲还没建合同行","")))))</f>
        <v/>
      </c>
      <c r="AD154" s="24"/>
      <c r="AE154" s="35" t="str">
        <f aca="false">IF($C154="","",IF($D154="","★项目名称没填",IF(N($P154)&lt;=0,"★台量要填",IF(AND(OR($Y154="安装免保",$Y154="技术免保",$Y154="质保期内"),$Z154=""),"★免保到期日没填",IF(COUNTIF(合同键,$E154)=0,"★还没建合同行","OK")))))</f>
        <v/>
      </c>
    </row>
    <row r="155" customFormat="false" ht="15" hidden="false" customHeight="false" outlineLevel="0" collapsed="false">
      <c r="A155" s="29" t="str">
        <f aca="false">IF($C155="","",ROW()-4)</f>
        <v/>
      </c>
      <c r="B155" s="25"/>
      <c r="C155" s="24"/>
      <c r="D155" s="24"/>
      <c r="E155" s="30" t="str">
        <f aca="false">IF($C155="","",$C155&amp;" ｜ "&amp;$D155)</f>
        <v/>
      </c>
      <c r="F155" s="25"/>
      <c r="G155" s="25"/>
      <c r="H155" s="25"/>
      <c r="I155" s="25"/>
      <c r="J155" s="25"/>
      <c r="K155" s="21"/>
      <c r="L155" s="21"/>
      <c r="M155" s="21"/>
      <c r="N155" s="25"/>
      <c r="O155" s="25"/>
      <c r="P155" s="32"/>
      <c r="Q155" s="25"/>
      <c r="R155" s="25"/>
      <c r="S155" s="33"/>
      <c r="T155" s="33"/>
      <c r="U155" s="33"/>
      <c r="V155" s="33"/>
      <c r="W155" s="25"/>
      <c r="X155" s="25"/>
      <c r="Y155" s="25"/>
      <c r="Z155" s="33"/>
      <c r="AA155" s="34" t="str">
        <f aca="true">IF($T155="","",IF($T155&lt;TODAY(),"已过期 "&amp;TEXT(TODAY()-$T155,"0")&amp;" 天",IF($T155-TODAY()&lt;=年检提醒天,"还剩 "&amp;TEXT($T155-TODAY(),"0")&amp;" 天","")))</f>
        <v/>
      </c>
      <c r="AB155" s="34" t="str">
        <f aca="true">IF(COUNT($U155:$V155)=0,"",IF(MIN($U155:$V155)&lt;TODAY(),"已过期 "&amp;TEXT(TODAY()-MIN($U155:$V155),"0")&amp;" 天",IF(MIN($U155:$V155)-TODAY()&lt;=年检提醒天,"还剩 "&amp;TEXT(MIN($U155:$V155)-TODAY(),"0")&amp;" 天","")))</f>
        <v/>
      </c>
      <c r="AC155" s="34" t="str">
        <f aca="true">IF($C155="","",IF(OR($Y155="安装免保",$Y155="技术免保",$Y155="质保期内"),IF($Z155="","▲免保没填到期日",IF($Z155&lt;TODAY(),"▲免保已到期 该转收费了",IF($Z155-TODAY()&lt;=合同提醒天,"免保还剩 "&amp;TEXT($Z155-TODAY(),"0")&amp;" 天","免保中"))),IF($Y155="暂停维保","暂停中 不计费",IF($Y155="已解约","已解约",IF(COUNTIF(合同键,$E155)=0,"▲还没建合同行","")))))</f>
        <v/>
      </c>
      <c r="AD155" s="24"/>
      <c r="AE155" s="35" t="str">
        <f aca="false">IF($C155="","",IF($D155="","★项目名称没填",IF(N($P155)&lt;=0,"★台量要填",IF(AND(OR($Y155="安装免保",$Y155="技术免保",$Y155="质保期内"),$Z155=""),"★免保到期日没填",IF(COUNTIF(合同键,$E155)=0,"★还没建合同行","OK")))))</f>
        <v/>
      </c>
    </row>
    <row r="156" customFormat="false" ht="15" hidden="false" customHeight="false" outlineLevel="0" collapsed="false">
      <c r="A156" s="29" t="str">
        <f aca="false">IF($C156="","",ROW()-4)</f>
        <v/>
      </c>
      <c r="B156" s="25"/>
      <c r="C156" s="24"/>
      <c r="D156" s="24"/>
      <c r="E156" s="30" t="str">
        <f aca="false">IF($C156="","",$C156&amp;" ｜ "&amp;$D156)</f>
        <v/>
      </c>
      <c r="F156" s="25"/>
      <c r="G156" s="25"/>
      <c r="H156" s="25"/>
      <c r="I156" s="25"/>
      <c r="J156" s="25"/>
      <c r="K156" s="21"/>
      <c r="L156" s="21"/>
      <c r="M156" s="21"/>
      <c r="N156" s="25"/>
      <c r="O156" s="25"/>
      <c r="P156" s="32"/>
      <c r="Q156" s="25"/>
      <c r="R156" s="25"/>
      <c r="S156" s="33"/>
      <c r="T156" s="33"/>
      <c r="U156" s="33"/>
      <c r="V156" s="33"/>
      <c r="W156" s="25"/>
      <c r="X156" s="25"/>
      <c r="Y156" s="25"/>
      <c r="Z156" s="33"/>
      <c r="AA156" s="34" t="str">
        <f aca="true">IF($T156="","",IF($T156&lt;TODAY(),"已过期 "&amp;TEXT(TODAY()-$T156,"0")&amp;" 天",IF($T156-TODAY()&lt;=年检提醒天,"还剩 "&amp;TEXT($T156-TODAY(),"0")&amp;" 天","")))</f>
        <v/>
      </c>
      <c r="AB156" s="34" t="str">
        <f aca="true">IF(COUNT($U156:$V156)=0,"",IF(MIN($U156:$V156)&lt;TODAY(),"已过期 "&amp;TEXT(TODAY()-MIN($U156:$V156),"0")&amp;" 天",IF(MIN($U156:$V156)-TODAY()&lt;=年检提醒天,"还剩 "&amp;TEXT(MIN($U156:$V156)-TODAY(),"0")&amp;" 天","")))</f>
        <v/>
      </c>
      <c r="AC156" s="34" t="str">
        <f aca="true">IF($C156="","",IF(OR($Y156="安装免保",$Y156="技术免保",$Y156="质保期内"),IF($Z156="","▲免保没填到期日",IF($Z156&lt;TODAY(),"▲免保已到期 该转收费了",IF($Z156-TODAY()&lt;=合同提醒天,"免保还剩 "&amp;TEXT($Z156-TODAY(),"0")&amp;" 天","免保中"))),IF($Y156="暂停维保","暂停中 不计费",IF($Y156="已解约","已解约",IF(COUNTIF(合同键,$E156)=0,"▲还没建合同行","")))))</f>
        <v/>
      </c>
      <c r="AD156" s="24"/>
      <c r="AE156" s="35" t="str">
        <f aca="false">IF($C156="","",IF($D156="","★项目名称没填",IF(N($P156)&lt;=0,"★台量要填",IF(AND(OR($Y156="安装免保",$Y156="技术免保",$Y156="质保期内"),$Z156=""),"★免保到期日没填",IF(COUNTIF(合同键,$E156)=0,"★还没建合同行","OK")))))</f>
        <v/>
      </c>
    </row>
    <row r="157" customFormat="false" ht="15" hidden="false" customHeight="false" outlineLevel="0" collapsed="false">
      <c r="A157" s="29" t="str">
        <f aca="false">IF($C157="","",ROW()-4)</f>
        <v/>
      </c>
      <c r="B157" s="25"/>
      <c r="C157" s="24"/>
      <c r="D157" s="24"/>
      <c r="E157" s="30" t="str">
        <f aca="false">IF($C157="","",$C157&amp;" ｜ "&amp;$D157)</f>
        <v/>
      </c>
      <c r="F157" s="25"/>
      <c r="G157" s="25"/>
      <c r="H157" s="25"/>
      <c r="I157" s="25"/>
      <c r="J157" s="25"/>
      <c r="K157" s="21"/>
      <c r="L157" s="21"/>
      <c r="M157" s="21"/>
      <c r="N157" s="25"/>
      <c r="O157" s="25"/>
      <c r="P157" s="32"/>
      <c r="Q157" s="25"/>
      <c r="R157" s="25"/>
      <c r="S157" s="33"/>
      <c r="T157" s="33"/>
      <c r="U157" s="33"/>
      <c r="V157" s="33"/>
      <c r="W157" s="25"/>
      <c r="X157" s="25"/>
      <c r="Y157" s="25"/>
      <c r="Z157" s="33"/>
      <c r="AA157" s="34" t="str">
        <f aca="true">IF($T157="","",IF($T157&lt;TODAY(),"已过期 "&amp;TEXT(TODAY()-$T157,"0")&amp;" 天",IF($T157-TODAY()&lt;=年检提醒天,"还剩 "&amp;TEXT($T157-TODAY(),"0")&amp;" 天","")))</f>
        <v/>
      </c>
      <c r="AB157" s="34" t="str">
        <f aca="true">IF(COUNT($U157:$V157)=0,"",IF(MIN($U157:$V157)&lt;TODAY(),"已过期 "&amp;TEXT(TODAY()-MIN($U157:$V157),"0")&amp;" 天",IF(MIN($U157:$V157)-TODAY()&lt;=年检提醒天,"还剩 "&amp;TEXT(MIN($U157:$V157)-TODAY(),"0")&amp;" 天","")))</f>
        <v/>
      </c>
      <c r="AC157" s="34" t="str">
        <f aca="true">IF($C157="","",IF(OR($Y157="安装免保",$Y157="技术免保",$Y157="质保期内"),IF($Z157="","▲免保没填到期日",IF($Z157&lt;TODAY(),"▲免保已到期 该转收费了",IF($Z157-TODAY()&lt;=合同提醒天,"免保还剩 "&amp;TEXT($Z157-TODAY(),"0")&amp;" 天","免保中"))),IF($Y157="暂停维保","暂停中 不计费",IF($Y157="已解约","已解约",IF(COUNTIF(合同键,$E157)=0,"▲还没建合同行","")))))</f>
        <v/>
      </c>
      <c r="AD157" s="24"/>
      <c r="AE157" s="35" t="str">
        <f aca="false">IF($C157="","",IF($D157="","★项目名称没填",IF(N($P157)&lt;=0,"★台量要填",IF(AND(OR($Y157="安装免保",$Y157="技术免保",$Y157="质保期内"),$Z157=""),"★免保到期日没填",IF(COUNTIF(合同键,$E157)=0,"★还没建合同行","OK")))))</f>
        <v/>
      </c>
    </row>
    <row r="158" customFormat="false" ht="15" hidden="false" customHeight="false" outlineLevel="0" collapsed="false">
      <c r="A158" s="29" t="str">
        <f aca="false">IF($C158="","",ROW()-4)</f>
        <v/>
      </c>
      <c r="B158" s="25"/>
      <c r="C158" s="24"/>
      <c r="D158" s="24"/>
      <c r="E158" s="30" t="str">
        <f aca="false">IF($C158="","",$C158&amp;" ｜ "&amp;$D158)</f>
        <v/>
      </c>
      <c r="F158" s="25"/>
      <c r="G158" s="25"/>
      <c r="H158" s="25"/>
      <c r="I158" s="25"/>
      <c r="J158" s="25"/>
      <c r="K158" s="21"/>
      <c r="L158" s="21"/>
      <c r="M158" s="21"/>
      <c r="N158" s="25"/>
      <c r="O158" s="25"/>
      <c r="P158" s="32"/>
      <c r="Q158" s="25"/>
      <c r="R158" s="25"/>
      <c r="S158" s="33"/>
      <c r="T158" s="33"/>
      <c r="U158" s="33"/>
      <c r="V158" s="33"/>
      <c r="W158" s="25"/>
      <c r="X158" s="25"/>
      <c r="Y158" s="25"/>
      <c r="Z158" s="33"/>
      <c r="AA158" s="34" t="str">
        <f aca="true">IF($T158="","",IF($T158&lt;TODAY(),"已过期 "&amp;TEXT(TODAY()-$T158,"0")&amp;" 天",IF($T158-TODAY()&lt;=年检提醒天,"还剩 "&amp;TEXT($T158-TODAY(),"0")&amp;" 天","")))</f>
        <v/>
      </c>
      <c r="AB158" s="34" t="str">
        <f aca="true">IF(COUNT($U158:$V158)=0,"",IF(MIN($U158:$V158)&lt;TODAY(),"已过期 "&amp;TEXT(TODAY()-MIN($U158:$V158),"0")&amp;" 天",IF(MIN($U158:$V158)-TODAY()&lt;=年检提醒天,"还剩 "&amp;TEXT(MIN($U158:$V158)-TODAY(),"0")&amp;" 天","")))</f>
        <v/>
      </c>
      <c r="AC158" s="34" t="str">
        <f aca="true">IF($C158="","",IF(OR($Y158="安装免保",$Y158="技术免保",$Y158="质保期内"),IF($Z158="","▲免保没填到期日",IF($Z158&lt;TODAY(),"▲免保已到期 该转收费了",IF($Z158-TODAY()&lt;=合同提醒天,"免保还剩 "&amp;TEXT($Z158-TODAY(),"0")&amp;" 天","免保中"))),IF($Y158="暂停维保","暂停中 不计费",IF($Y158="已解约","已解约",IF(COUNTIF(合同键,$E158)=0,"▲还没建合同行","")))))</f>
        <v/>
      </c>
      <c r="AD158" s="24"/>
      <c r="AE158" s="35" t="str">
        <f aca="false">IF($C158="","",IF($D158="","★项目名称没填",IF(N($P158)&lt;=0,"★台量要填",IF(AND(OR($Y158="安装免保",$Y158="技术免保",$Y158="质保期内"),$Z158=""),"★免保到期日没填",IF(COUNTIF(合同键,$E158)=0,"★还没建合同行","OK")))))</f>
        <v/>
      </c>
    </row>
    <row r="159" customFormat="false" ht="15" hidden="false" customHeight="false" outlineLevel="0" collapsed="false">
      <c r="A159" s="29" t="str">
        <f aca="false">IF($C159="","",ROW()-4)</f>
        <v/>
      </c>
      <c r="B159" s="25"/>
      <c r="C159" s="24"/>
      <c r="D159" s="24"/>
      <c r="E159" s="30" t="str">
        <f aca="false">IF($C159="","",$C159&amp;" ｜ "&amp;$D159)</f>
        <v/>
      </c>
      <c r="F159" s="25"/>
      <c r="G159" s="25"/>
      <c r="H159" s="25"/>
      <c r="I159" s="25"/>
      <c r="J159" s="25"/>
      <c r="K159" s="21"/>
      <c r="L159" s="21"/>
      <c r="M159" s="21"/>
      <c r="N159" s="25"/>
      <c r="O159" s="25"/>
      <c r="P159" s="32"/>
      <c r="Q159" s="25"/>
      <c r="R159" s="25"/>
      <c r="S159" s="33"/>
      <c r="T159" s="33"/>
      <c r="U159" s="33"/>
      <c r="V159" s="33"/>
      <c r="W159" s="25"/>
      <c r="X159" s="25"/>
      <c r="Y159" s="25"/>
      <c r="Z159" s="33"/>
      <c r="AA159" s="34" t="str">
        <f aca="true">IF($T159="","",IF($T159&lt;TODAY(),"已过期 "&amp;TEXT(TODAY()-$T159,"0")&amp;" 天",IF($T159-TODAY()&lt;=年检提醒天,"还剩 "&amp;TEXT($T159-TODAY(),"0")&amp;" 天","")))</f>
        <v/>
      </c>
      <c r="AB159" s="34" t="str">
        <f aca="true">IF(COUNT($U159:$V159)=0,"",IF(MIN($U159:$V159)&lt;TODAY(),"已过期 "&amp;TEXT(TODAY()-MIN($U159:$V159),"0")&amp;" 天",IF(MIN($U159:$V159)-TODAY()&lt;=年检提醒天,"还剩 "&amp;TEXT(MIN($U159:$V159)-TODAY(),"0")&amp;" 天","")))</f>
        <v/>
      </c>
      <c r="AC159" s="34" t="str">
        <f aca="true">IF($C159="","",IF(OR($Y159="安装免保",$Y159="技术免保",$Y159="质保期内"),IF($Z159="","▲免保没填到期日",IF($Z159&lt;TODAY(),"▲免保已到期 该转收费了",IF($Z159-TODAY()&lt;=合同提醒天,"免保还剩 "&amp;TEXT($Z159-TODAY(),"0")&amp;" 天","免保中"))),IF($Y159="暂停维保","暂停中 不计费",IF($Y159="已解约","已解约",IF(COUNTIF(合同键,$E159)=0,"▲还没建合同行","")))))</f>
        <v/>
      </c>
      <c r="AD159" s="24"/>
      <c r="AE159" s="35" t="str">
        <f aca="false">IF($C159="","",IF($D159="","★项目名称没填",IF(N($P159)&lt;=0,"★台量要填",IF(AND(OR($Y159="安装免保",$Y159="技术免保",$Y159="质保期内"),$Z159=""),"★免保到期日没填",IF(COUNTIF(合同键,$E159)=0,"★还没建合同行","OK")))))</f>
        <v/>
      </c>
    </row>
    <row r="160" customFormat="false" ht="15" hidden="false" customHeight="false" outlineLevel="0" collapsed="false">
      <c r="A160" s="29" t="str">
        <f aca="false">IF($C160="","",ROW()-4)</f>
        <v/>
      </c>
      <c r="B160" s="25"/>
      <c r="C160" s="24"/>
      <c r="D160" s="24"/>
      <c r="E160" s="30" t="str">
        <f aca="false">IF($C160="","",$C160&amp;" ｜ "&amp;$D160)</f>
        <v/>
      </c>
      <c r="F160" s="25"/>
      <c r="G160" s="25"/>
      <c r="H160" s="25"/>
      <c r="I160" s="25"/>
      <c r="J160" s="25"/>
      <c r="K160" s="21"/>
      <c r="L160" s="21"/>
      <c r="M160" s="21"/>
      <c r="N160" s="25"/>
      <c r="O160" s="25"/>
      <c r="P160" s="32"/>
      <c r="Q160" s="25"/>
      <c r="R160" s="25"/>
      <c r="S160" s="33"/>
      <c r="T160" s="33"/>
      <c r="U160" s="33"/>
      <c r="V160" s="33"/>
      <c r="W160" s="25"/>
      <c r="X160" s="25"/>
      <c r="Y160" s="25"/>
      <c r="Z160" s="33"/>
      <c r="AA160" s="34" t="str">
        <f aca="true">IF($T160="","",IF($T160&lt;TODAY(),"已过期 "&amp;TEXT(TODAY()-$T160,"0")&amp;" 天",IF($T160-TODAY()&lt;=年检提醒天,"还剩 "&amp;TEXT($T160-TODAY(),"0")&amp;" 天","")))</f>
        <v/>
      </c>
      <c r="AB160" s="34" t="str">
        <f aca="true">IF(COUNT($U160:$V160)=0,"",IF(MIN($U160:$V160)&lt;TODAY(),"已过期 "&amp;TEXT(TODAY()-MIN($U160:$V160),"0")&amp;" 天",IF(MIN($U160:$V160)-TODAY()&lt;=年检提醒天,"还剩 "&amp;TEXT(MIN($U160:$V160)-TODAY(),"0")&amp;" 天","")))</f>
        <v/>
      </c>
      <c r="AC160" s="34" t="str">
        <f aca="true">IF($C160="","",IF(OR($Y160="安装免保",$Y160="技术免保",$Y160="质保期内"),IF($Z160="","▲免保没填到期日",IF($Z160&lt;TODAY(),"▲免保已到期 该转收费了",IF($Z160-TODAY()&lt;=合同提醒天,"免保还剩 "&amp;TEXT($Z160-TODAY(),"0")&amp;" 天","免保中"))),IF($Y160="暂停维保","暂停中 不计费",IF($Y160="已解约","已解约",IF(COUNTIF(合同键,$E160)=0,"▲还没建合同行","")))))</f>
        <v/>
      </c>
      <c r="AD160" s="24"/>
      <c r="AE160" s="35" t="str">
        <f aca="false">IF($C160="","",IF($D160="","★项目名称没填",IF(N($P160)&lt;=0,"★台量要填",IF(AND(OR($Y160="安装免保",$Y160="技术免保",$Y160="质保期内"),$Z160=""),"★免保到期日没填",IF(COUNTIF(合同键,$E160)=0,"★还没建合同行","OK")))))</f>
        <v/>
      </c>
    </row>
    <row r="161" customFormat="false" ht="15" hidden="false" customHeight="false" outlineLevel="0" collapsed="false">
      <c r="A161" s="29" t="str">
        <f aca="false">IF($C161="","",ROW()-4)</f>
        <v/>
      </c>
      <c r="B161" s="25"/>
      <c r="C161" s="24"/>
      <c r="D161" s="24"/>
      <c r="E161" s="30" t="str">
        <f aca="false">IF($C161="","",$C161&amp;" ｜ "&amp;$D161)</f>
        <v/>
      </c>
      <c r="F161" s="25"/>
      <c r="G161" s="25"/>
      <c r="H161" s="25"/>
      <c r="I161" s="25"/>
      <c r="J161" s="25"/>
      <c r="K161" s="21"/>
      <c r="L161" s="21"/>
      <c r="M161" s="21"/>
      <c r="N161" s="25"/>
      <c r="O161" s="25"/>
      <c r="P161" s="32"/>
      <c r="Q161" s="25"/>
      <c r="R161" s="25"/>
      <c r="S161" s="33"/>
      <c r="T161" s="33"/>
      <c r="U161" s="33"/>
      <c r="V161" s="33"/>
      <c r="W161" s="25"/>
      <c r="X161" s="25"/>
      <c r="Y161" s="25"/>
      <c r="Z161" s="33"/>
      <c r="AA161" s="34" t="str">
        <f aca="true">IF($T161="","",IF($T161&lt;TODAY(),"已过期 "&amp;TEXT(TODAY()-$T161,"0")&amp;" 天",IF($T161-TODAY()&lt;=年检提醒天,"还剩 "&amp;TEXT($T161-TODAY(),"0")&amp;" 天","")))</f>
        <v/>
      </c>
      <c r="AB161" s="34" t="str">
        <f aca="true">IF(COUNT($U161:$V161)=0,"",IF(MIN($U161:$V161)&lt;TODAY(),"已过期 "&amp;TEXT(TODAY()-MIN($U161:$V161),"0")&amp;" 天",IF(MIN($U161:$V161)-TODAY()&lt;=年检提醒天,"还剩 "&amp;TEXT(MIN($U161:$V161)-TODAY(),"0")&amp;" 天","")))</f>
        <v/>
      </c>
      <c r="AC161" s="34" t="str">
        <f aca="true">IF($C161="","",IF(OR($Y161="安装免保",$Y161="技术免保",$Y161="质保期内"),IF($Z161="","▲免保没填到期日",IF($Z161&lt;TODAY(),"▲免保已到期 该转收费了",IF($Z161-TODAY()&lt;=合同提醒天,"免保还剩 "&amp;TEXT($Z161-TODAY(),"0")&amp;" 天","免保中"))),IF($Y161="暂停维保","暂停中 不计费",IF($Y161="已解约","已解约",IF(COUNTIF(合同键,$E161)=0,"▲还没建合同行","")))))</f>
        <v/>
      </c>
      <c r="AD161" s="24"/>
      <c r="AE161" s="35" t="str">
        <f aca="false">IF($C161="","",IF($D161="","★项目名称没填",IF(N($P161)&lt;=0,"★台量要填",IF(AND(OR($Y161="安装免保",$Y161="技术免保",$Y161="质保期内"),$Z161=""),"★免保到期日没填",IF(COUNTIF(合同键,$E161)=0,"★还没建合同行","OK")))))</f>
        <v/>
      </c>
    </row>
    <row r="162" customFormat="false" ht="15" hidden="false" customHeight="false" outlineLevel="0" collapsed="false">
      <c r="A162" s="29" t="str">
        <f aca="false">IF($C162="","",ROW()-4)</f>
        <v/>
      </c>
      <c r="B162" s="25"/>
      <c r="C162" s="24"/>
      <c r="D162" s="24"/>
      <c r="E162" s="30" t="str">
        <f aca="false">IF($C162="","",$C162&amp;" ｜ "&amp;$D162)</f>
        <v/>
      </c>
      <c r="F162" s="25"/>
      <c r="G162" s="25"/>
      <c r="H162" s="25"/>
      <c r="I162" s="25"/>
      <c r="J162" s="25"/>
      <c r="K162" s="21"/>
      <c r="L162" s="21"/>
      <c r="M162" s="21"/>
      <c r="N162" s="25"/>
      <c r="O162" s="25"/>
      <c r="P162" s="32"/>
      <c r="Q162" s="25"/>
      <c r="R162" s="25"/>
      <c r="S162" s="33"/>
      <c r="T162" s="33"/>
      <c r="U162" s="33"/>
      <c r="V162" s="33"/>
      <c r="W162" s="25"/>
      <c r="X162" s="25"/>
      <c r="Y162" s="25"/>
      <c r="Z162" s="33"/>
      <c r="AA162" s="34" t="str">
        <f aca="true">IF($T162="","",IF($T162&lt;TODAY(),"已过期 "&amp;TEXT(TODAY()-$T162,"0")&amp;" 天",IF($T162-TODAY()&lt;=年检提醒天,"还剩 "&amp;TEXT($T162-TODAY(),"0")&amp;" 天","")))</f>
        <v/>
      </c>
      <c r="AB162" s="34" t="str">
        <f aca="true">IF(COUNT($U162:$V162)=0,"",IF(MIN($U162:$V162)&lt;TODAY(),"已过期 "&amp;TEXT(TODAY()-MIN($U162:$V162),"0")&amp;" 天",IF(MIN($U162:$V162)-TODAY()&lt;=年检提醒天,"还剩 "&amp;TEXT(MIN($U162:$V162)-TODAY(),"0")&amp;" 天","")))</f>
        <v/>
      </c>
      <c r="AC162" s="34" t="str">
        <f aca="true">IF($C162="","",IF(OR($Y162="安装免保",$Y162="技术免保",$Y162="质保期内"),IF($Z162="","▲免保没填到期日",IF($Z162&lt;TODAY(),"▲免保已到期 该转收费了",IF($Z162-TODAY()&lt;=合同提醒天,"免保还剩 "&amp;TEXT($Z162-TODAY(),"0")&amp;" 天","免保中"))),IF($Y162="暂停维保","暂停中 不计费",IF($Y162="已解约","已解约",IF(COUNTIF(合同键,$E162)=0,"▲还没建合同行","")))))</f>
        <v/>
      </c>
      <c r="AD162" s="24"/>
      <c r="AE162" s="35" t="str">
        <f aca="false">IF($C162="","",IF($D162="","★项目名称没填",IF(N($P162)&lt;=0,"★台量要填",IF(AND(OR($Y162="安装免保",$Y162="技术免保",$Y162="质保期内"),$Z162=""),"★免保到期日没填",IF(COUNTIF(合同键,$E162)=0,"★还没建合同行","OK")))))</f>
        <v/>
      </c>
    </row>
    <row r="163" customFormat="false" ht="15" hidden="false" customHeight="false" outlineLevel="0" collapsed="false">
      <c r="A163" s="29" t="str">
        <f aca="false">IF($C163="","",ROW()-4)</f>
        <v/>
      </c>
      <c r="B163" s="25"/>
      <c r="C163" s="24"/>
      <c r="D163" s="24"/>
      <c r="E163" s="30" t="str">
        <f aca="false">IF($C163="","",$C163&amp;" ｜ "&amp;$D163)</f>
        <v/>
      </c>
      <c r="F163" s="25"/>
      <c r="G163" s="25"/>
      <c r="H163" s="25"/>
      <c r="I163" s="25"/>
      <c r="J163" s="25"/>
      <c r="K163" s="21"/>
      <c r="L163" s="21"/>
      <c r="M163" s="21"/>
      <c r="N163" s="25"/>
      <c r="O163" s="25"/>
      <c r="P163" s="32"/>
      <c r="Q163" s="25"/>
      <c r="R163" s="25"/>
      <c r="S163" s="33"/>
      <c r="T163" s="33"/>
      <c r="U163" s="33"/>
      <c r="V163" s="33"/>
      <c r="W163" s="25"/>
      <c r="X163" s="25"/>
      <c r="Y163" s="25"/>
      <c r="Z163" s="33"/>
      <c r="AA163" s="34" t="str">
        <f aca="true">IF($T163="","",IF($T163&lt;TODAY(),"已过期 "&amp;TEXT(TODAY()-$T163,"0")&amp;" 天",IF($T163-TODAY()&lt;=年检提醒天,"还剩 "&amp;TEXT($T163-TODAY(),"0")&amp;" 天","")))</f>
        <v/>
      </c>
      <c r="AB163" s="34" t="str">
        <f aca="true">IF(COUNT($U163:$V163)=0,"",IF(MIN($U163:$V163)&lt;TODAY(),"已过期 "&amp;TEXT(TODAY()-MIN($U163:$V163),"0")&amp;" 天",IF(MIN($U163:$V163)-TODAY()&lt;=年检提醒天,"还剩 "&amp;TEXT(MIN($U163:$V163)-TODAY(),"0")&amp;" 天","")))</f>
        <v/>
      </c>
      <c r="AC163" s="34" t="str">
        <f aca="true">IF($C163="","",IF(OR($Y163="安装免保",$Y163="技术免保",$Y163="质保期内"),IF($Z163="","▲免保没填到期日",IF($Z163&lt;TODAY(),"▲免保已到期 该转收费了",IF($Z163-TODAY()&lt;=合同提醒天,"免保还剩 "&amp;TEXT($Z163-TODAY(),"0")&amp;" 天","免保中"))),IF($Y163="暂停维保","暂停中 不计费",IF($Y163="已解约","已解约",IF(COUNTIF(合同键,$E163)=0,"▲还没建合同行","")))))</f>
        <v/>
      </c>
      <c r="AD163" s="24"/>
      <c r="AE163" s="35" t="str">
        <f aca="false">IF($C163="","",IF($D163="","★项目名称没填",IF(N($P163)&lt;=0,"★台量要填",IF(AND(OR($Y163="安装免保",$Y163="技术免保",$Y163="质保期内"),$Z163=""),"★免保到期日没填",IF(COUNTIF(合同键,$E163)=0,"★还没建合同行","OK")))))</f>
        <v/>
      </c>
    </row>
    <row r="164" customFormat="false" ht="15" hidden="false" customHeight="false" outlineLevel="0" collapsed="false">
      <c r="A164" s="29" t="str">
        <f aca="false">IF($C164="","",ROW()-4)</f>
        <v/>
      </c>
      <c r="B164" s="25"/>
      <c r="C164" s="24"/>
      <c r="D164" s="24"/>
      <c r="E164" s="30" t="str">
        <f aca="false">IF($C164="","",$C164&amp;" ｜ "&amp;$D164)</f>
        <v/>
      </c>
      <c r="F164" s="25"/>
      <c r="G164" s="25"/>
      <c r="H164" s="25"/>
      <c r="I164" s="25"/>
      <c r="J164" s="25"/>
      <c r="K164" s="21"/>
      <c r="L164" s="21"/>
      <c r="M164" s="21"/>
      <c r="N164" s="25"/>
      <c r="O164" s="25"/>
      <c r="P164" s="32"/>
      <c r="Q164" s="25"/>
      <c r="R164" s="25"/>
      <c r="S164" s="33"/>
      <c r="T164" s="33"/>
      <c r="U164" s="33"/>
      <c r="V164" s="33"/>
      <c r="W164" s="25"/>
      <c r="X164" s="25"/>
      <c r="Y164" s="25"/>
      <c r="Z164" s="33"/>
      <c r="AA164" s="34" t="str">
        <f aca="true">IF($T164="","",IF($T164&lt;TODAY(),"已过期 "&amp;TEXT(TODAY()-$T164,"0")&amp;" 天",IF($T164-TODAY()&lt;=年检提醒天,"还剩 "&amp;TEXT($T164-TODAY(),"0")&amp;" 天","")))</f>
        <v/>
      </c>
      <c r="AB164" s="34" t="str">
        <f aca="true">IF(COUNT($U164:$V164)=0,"",IF(MIN($U164:$V164)&lt;TODAY(),"已过期 "&amp;TEXT(TODAY()-MIN($U164:$V164),"0")&amp;" 天",IF(MIN($U164:$V164)-TODAY()&lt;=年检提醒天,"还剩 "&amp;TEXT(MIN($U164:$V164)-TODAY(),"0")&amp;" 天","")))</f>
        <v/>
      </c>
      <c r="AC164" s="34" t="str">
        <f aca="true">IF($C164="","",IF(OR($Y164="安装免保",$Y164="技术免保",$Y164="质保期内"),IF($Z164="","▲免保没填到期日",IF($Z164&lt;TODAY(),"▲免保已到期 该转收费了",IF($Z164-TODAY()&lt;=合同提醒天,"免保还剩 "&amp;TEXT($Z164-TODAY(),"0")&amp;" 天","免保中"))),IF($Y164="暂停维保","暂停中 不计费",IF($Y164="已解约","已解约",IF(COUNTIF(合同键,$E164)=0,"▲还没建合同行","")))))</f>
        <v/>
      </c>
      <c r="AD164" s="24"/>
      <c r="AE164" s="35" t="str">
        <f aca="false">IF($C164="","",IF($D164="","★项目名称没填",IF(N($P164)&lt;=0,"★台量要填",IF(AND(OR($Y164="安装免保",$Y164="技术免保",$Y164="质保期内"),$Z164=""),"★免保到期日没填",IF(COUNTIF(合同键,$E164)=0,"★还没建合同行","OK")))))</f>
        <v/>
      </c>
    </row>
    <row r="165" customFormat="false" ht="15" hidden="false" customHeight="false" outlineLevel="0" collapsed="false">
      <c r="A165" s="29" t="str">
        <f aca="false">IF($C165="","",ROW()-4)</f>
        <v/>
      </c>
      <c r="B165" s="25"/>
      <c r="C165" s="24"/>
      <c r="D165" s="24"/>
      <c r="E165" s="30" t="str">
        <f aca="false">IF($C165="","",$C165&amp;" ｜ "&amp;$D165)</f>
        <v/>
      </c>
      <c r="F165" s="25"/>
      <c r="G165" s="25"/>
      <c r="H165" s="25"/>
      <c r="I165" s="25"/>
      <c r="J165" s="25"/>
      <c r="K165" s="21"/>
      <c r="L165" s="21"/>
      <c r="M165" s="21"/>
      <c r="N165" s="25"/>
      <c r="O165" s="25"/>
      <c r="P165" s="32"/>
      <c r="Q165" s="25"/>
      <c r="R165" s="25"/>
      <c r="S165" s="33"/>
      <c r="T165" s="33"/>
      <c r="U165" s="33"/>
      <c r="V165" s="33"/>
      <c r="W165" s="25"/>
      <c r="X165" s="25"/>
      <c r="Y165" s="25"/>
      <c r="Z165" s="33"/>
      <c r="AA165" s="34" t="str">
        <f aca="true">IF($T165="","",IF($T165&lt;TODAY(),"已过期 "&amp;TEXT(TODAY()-$T165,"0")&amp;" 天",IF($T165-TODAY()&lt;=年检提醒天,"还剩 "&amp;TEXT($T165-TODAY(),"0")&amp;" 天","")))</f>
        <v/>
      </c>
      <c r="AB165" s="34" t="str">
        <f aca="true">IF(COUNT($U165:$V165)=0,"",IF(MIN($U165:$V165)&lt;TODAY(),"已过期 "&amp;TEXT(TODAY()-MIN($U165:$V165),"0")&amp;" 天",IF(MIN($U165:$V165)-TODAY()&lt;=年检提醒天,"还剩 "&amp;TEXT(MIN($U165:$V165)-TODAY(),"0")&amp;" 天","")))</f>
        <v/>
      </c>
      <c r="AC165" s="34" t="str">
        <f aca="true">IF($C165="","",IF(OR($Y165="安装免保",$Y165="技术免保",$Y165="质保期内"),IF($Z165="","▲免保没填到期日",IF($Z165&lt;TODAY(),"▲免保已到期 该转收费了",IF($Z165-TODAY()&lt;=合同提醒天,"免保还剩 "&amp;TEXT($Z165-TODAY(),"0")&amp;" 天","免保中"))),IF($Y165="暂停维保","暂停中 不计费",IF($Y165="已解约","已解约",IF(COUNTIF(合同键,$E165)=0,"▲还没建合同行","")))))</f>
        <v/>
      </c>
      <c r="AD165" s="24"/>
      <c r="AE165" s="35" t="str">
        <f aca="false">IF($C165="","",IF($D165="","★项目名称没填",IF(N($P165)&lt;=0,"★台量要填",IF(AND(OR($Y165="安装免保",$Y165="技术免保",$Y165="质保期内"),$Z165=""),"★免保到期日没填",IF(COUNTIF(合同键,$E165)=0,"★还没建合同行","OK")))))</f>
        <v/>
      </c>
    </row>
    <row r="166" customFormat="false" ht="15" hidden="false" customHeight="false" outlineLevel="0" collapsed="false">
      <c r="A166" s="29" t="str">
        <f aca="false">IF($C166="","",ROW()-4)</f>
        <v/>
      </c>
      <c r="B166" s="25"/>
      <c r="C166" s="24"/>
      <c r="D166" s="24"/>
      <c r="E166" s="30" t="str">
        <f aca="false">IF($C166="","",$C166&amp;" ｜ "&amp;$D166)</f>
        <v/>
      </c>
      <c r="F166" s="25"/>
      <c r="G166" s="25"/>
      <c r="H166" s="25"/>
      <c r="I166" s="25"/>
      <c r="J166" s="25"/>
      <c r="K166" s="21"/>
      <c r="L166" s="21"/>
      <c r="M166" s="21"/>
      <c r="N166" s="25"/>
      <c r="O166" s="25"/>
      <c r="P166" s="32"/>
      <c r="Q166" s="25"/>
      <c r="R166" s="25"/>
      <c r="S166" s="33"/>
      <c r="T166" s="33"/>
      <c r="U166" s="33"/>
      <c r="V166" s="33"/>
      <c r="W166" s="25"/>
      <c r="X166" s="25"/>
      <c r="Y166" s="25"/>
      <c r="Z166" s="33"/>
      <c r="AA166" s="34" t="str">
        <f aca="true">IF($T166="","",IF($T166&lt;TODAY(),"已过期 "&amp;TEXT(TODAY()-$T166,"0")&amp;" 天",IF($T166-TODAY()&lt;=年检提醒天,"还剩 "&amp;TEXT($T166-TODAY(),"0")&amp;" 天","")))</f>
        <v/>
      </c>
      <c r="AB166" s="34" t="str">
        <f aca="true">IF(COUNT($U166:$V166)=0,"",IF(MIN($U166:$V166)&lt;TODAY(),"已过期 "&amp;TEXT(TODAY()-MIN($U166:$V166),"0")&amp;" 天",IF(MIN($U166:$V166)-TODAY()&lt;=年检提醒天,"还剩 "&amp;TEXT(MIN($U166:$V166)-TODAY(),"0")&amp;" 天","")))</f>
        <v/>
      </c>
      <c r="AC166" s="34" t="str">
        <f aca="true">IF($C166="","",IF(OR($Y166="安装免保",$Y166="技术免保",$Y166="质保期内"),IF($Z166="","▲免保没填到期日",IF($Z166&lt;TODAY(),"▲免保已到期 该转收费了",IF($Z166-TODAY()&lt;=合同提醒天,"免保还剩 "&amp;TEXT($Z166-TODAY(),"0")&amp;" 天","免保中"))),IF($Y166="暂停维保","暂停中 不计费",IF($Y166="已解约","已解约",IF(COUNTIF(合同键,$E166)=0,"▲还没建合同行","")))))</f>
        <v/>
      </c>
      <c r="AD166" s="24"/>
      <c r="AE166" s="35" t="str">
        <f aca="false">IF($C166="","",IF($D166="","★项目名称没填",IF(N($P166)&lt;=0,"★台量要填",IF(AND(OR($Y166="安装免保",$Y166="技术免保",$Y166="质保期内"),$Z166=""),"★免保到期日没填",IF(COUNTIF(合同键,$E166)=0,"★还没建合同行","OK")))))</f>
        <v/>
      </c>
    </row>
    <row r="167" customFormat="false" ht="15" hidden="false" customHeight="false" outlineLevel="0" collapsed="false">
      <c r="A167" s="29" t="str">
        <f aca="false">IF($C167="","",ROW()-4)</f>
        <v/>
      </c>
      <c r="B167" s="25"/>
      <c r="C167" s="24"/>
      <c r="D167" s="24"/>
      <c r="E167" s="30" t="str">
        <f aca="false">IF($C167="","",$C167&amp;" ｜ "&amp;$D167)</f>
        <v/>
      </c>
      <c r="F167" s="25"/>
      <c r="G167" s="25"/>
      <c r="H167" s="25"/>
      <c r="I167" s="25"/>
      <c r="J167" s="25"/>
      <c r="K167" s="21"/>
      <c r="L167" s="21"/>
      <c r="M167" s="21"/>
      <c r="N167" s="25"/>
      <c r="O167" s="25"/>
      <c r="P167" s="32"/>
      <c r="Q167" s="25"/>
      <c r="R167" s="25"/>
      <c r="S167" s="33"/>
      <c r="T167" s="33"/>
      <c r="U167" s="33"/>
      <c r="V167" s="33"/>
      <c r="W167" s="25"/>
      <c r="X167" s="25"/>
      <c r="Y167" s="25"/>
      <c r="Z167" s="33"/>
      <c r="AA167" s="34" t="str">
        <f aca="true">IF($T167="","",IF($T167&lt;TODAY(),"已过期 "&amp;TEXT(TODAY()-$T167,"0")&amp;" 天",IF($T167-TODAY()&lt;=年检提醒天,"还剩 "&amp;TEXT($T167-TODAY(),"0")&amp;" 天","")))</f>
        <v/>
      </c>
      <c r="AB167" s="34" t="str">
        <f aca="true">IF(COUNT($U167:$V167)=0,"",IF(MIN($U167:$V167)&lt;TODAY(),"已过期 "&amp;TEXT(TODAY()-MIN($U167:$V167),"0")&amp;" 天",IF(MIN($U167:$V167)-TODAY()&lt;=年检提醒天,"还剩 "&amp;TEXT(MIN($U167:$V167)-TODAY(),"0")&amp;" 天","")))</f>
        <v/>
      </c>
      <c r="AC167" s="34" t="str">
        <f aca="true">IF($C167="","",IF(OR($Y167="安装免保",$Y167="技术免保",$Y167="质保期内"),IF($Z167="","▲免保没填到期日",IF($Z167&lt;TODAY(),"▲免保已到期 该转收费了",IF($Z167-TODAY()&lt;=合同提醒天,"免保还剩 "&amp;TEXT($Z167-TODAY(),"0")&amp;" 天","免保中"))),IF($Y167="暂停维保","暂停中 不计费",IF($Y167="已解约","已解约",IF(COUNTIF(合同键,$E167)=0,"▲还没建合同行","")))))</f>
        <v/>
      </c>
      <c r="AD167" s="24"/>
      <c r="AE167" s="35" t="str">
        <f aca="false">IF($C167="","",IF($D167="","★项目名称没填",IF(N($P167)&lt;=0,"★台量要填",IF(AND(OR($Y167="安装免保",$Y167="技术免保",$Y167="质保期内"),$Z167=""),"★免保到期日没填",IF(COUNTIF(合同键,$E167)=0,"★还没建合同行","OK")))))</f>
        <v/>
      </c>
    </row>
    <row r="168" customFormat="false" ht="15" hidden="false" customHeight="false" outlineLevel="0" collapsed="false">
      <c r="A168" s="29" t="str">
        <f aca="false">IF($C168="","",ROW()-4)</f>
        <v/>
      </c>
      <c r="B168" s="25"/>
      <c r="C168" s="24"/>
      <c r="D168" s="24"/>
      <c r="E168" s="30" t="str">
        <f aca="false">IF($C168="","",$C168&amp;" ｜ "&amp;$D168)</f>
        <v/>
      </c>
      <c r="F168" s="25"/>
      <c r="G168" s="25"/>
      <c r="H168" s="25"/>
      <c r="I168" s="25"/>
      <c r="J168" s="25"/>
      <c r="K168" s="21"/>
      <c r="L168" s="21"/>
      <c r="M168" s="21"/>
      <c r="N168" s="25"/>
      <c r="O168" s="25"/>
      <c r="P168" s="32"/>
      <c r="Q168" s="25"/>
      <c r="R168" s="25"/>
      <c r="S168" s="33"/>
      <c r="T168" s="33"/>
      <c r="U168" s="33"/>
      <c r="V168" s="33"/>
      <c r="W168" s="25"/>
      <c r="X168" s="25"/>
      <c r="Y168" s="25"/>
      <c r="Z168" s="33"/>
      <c r="AA168" s="34" t="str">
        <f aca="true">IF($T168="","",IF($T168&lt;TODAY(),"已过期 "&amp;TEXT(TODAY()-$T168,"0")&amp;" 天",IF($T168-TODAY()&lt;=年检提醒天,"还剩 "&amp;TEXT($T168-TODAY(),"0")&amp;" 天","")))</f>
        <v/>
      </c>
      <c r="AB168" s="34" t="str">
        <f aca="true">IF(COUNT($U168:$V168)=0,"",IF(MIN($U168:$V168)&lt;TODAY(),"已过期 "&amp;TEXT(TODAY()-MIN($U168:$V168),"0")&amp;" 天",IF(MIN($U168:$V168)-TODAY()&lt;=年检提醒天,"还剩 "&amp;TEXT(MIN($U168:$V168)-TODAY(),"0")&amp;" 天","")))</f>
        <v/>
      </c>
      <c r="AC168" s="34" t="str">
        <f aca="true">IF($C168="","",IF(OR($Y168="安装免保",$Y168="技术免保",$Y168="质保期内"),IF($Z168="","▲免保没填到期日",IF($Z168&lt;TODAY(),"▲免保已到期 该转收费了",IF($Z168-TODAY()&lt;=合同提醒天,"免保还剩 "&amp;TEXT($Z168-TODAY(),"0")&amp;" 天","免保中"))),IF($Y168="暂停维保","暂停中 不计费",IF($Y168="已解约","已解约",IF(COUNTIF(合同键,$E168)=0,"▲还没建合同行","")))))</f>
        <v/>
      </c>
      <c r="AD168" s="24"/>
      <c r="AE168" s="35" t="str">
        <f aca="false">IF($C168="","",IF($D168="","★项目名称没填",IF(N($P168)&lt;=0,"★台量要填",IF(AND(OR($Y168="安装免保",$Y168="技术免保",$Y168="质保期内"),$Z168=""),"★免保到期日没填",IF(COUNTIF(合同键,$E168)=0,"★还没建合同行","OK")))))</f>
        <v/>
      </c>
    </row>
    <row r="169" customFormat="false" ht="15" hidden="false" customHeight="false" outlineLevel="0" collapsed="false">
      <c r="A169" s="29" t="str">
        <f aca="false">IF($C169="","",ROW()-4)</f>
        <v/>
      </c>
      <c r="B169" s="25"/>
      <c r="C169" s="24"/>
      <c r="D169" s="24"/>
      <c r="E169" s="30" t="str">
        <f aca="false">IF($C169="","",$C169&amp;" ｜ "&amp;$D169)</f>
        <v/>
      </c>
      <c r="F169" s="25"/>
      <c r="G169" s="25"/>
      <c r="H169" s="25"/>
      <c r="I169" s="25"/>
      <c r="J169" s="25"/>
      <c r="K169" s="21"/>
      <c r="L169" s="21"/>
      <c r="M169" s="21"/>
      <c r="N169" s="25"/>
      <c r="O169" s="25"/>
      <c r="P169" s="32"/>
      <c r="Q169" s="25"/>
      <c r="R169" s="25"/>
      <c r="S169" s="33"/>
      <c r="T169" s="33"/>
      <c r="U169" s="33"/>
      <c r="V169" s="33"/>
      <c r="W169" s="25"/>
      <c r="X169" s="25"/>
      <c r="Y169" s="25"/>
      <c r="Z169" s="33"/>
      <c r="AA169" s="34" t="str">
        <f aca="true">IF($T169="","",IF($T169&lt;TODAY(),"已过期 "&amp;TEXT(TODAY()-$T169,"0")&amp;" 天",IF($T169-TODAY()&lt;=年检提醒天,"还剩 "&amp;TEXT($T169-TODAY(),"0")&amp;" 天","")))</f>
        <v/>
      </c>
      <c r="AB169" s="34" t="str">
        <f aca="true">IF(COUNT($U169:$V169)=0,"",IF(MIN($U169:$V169)&lt;TODAY(),"已过期 "&amp;TEXT(TODAY()-MIN($U169:$V169),"0")&amp;" 天",IF(MIN($U169:$V169)-TODAY()&lt;=年检提醒天,"还剩 "&amp;TEXT(MIN($U169:$V169)-TODAY(),"0")&amp;" 天","")))</f>
        <v/>
      </c>
      <c r="AC169" s="34" t="str">
        <f aca="true">IF($C169="","",IF(OR($Y169="安装免保",$Y169="技术免保",$Y169="质保期内"),IF($Z169="","▲免保没填到期日",IF($Z169&lt;TODAY(),"▲免保已到期 该转收费了",IF($Z169-TODAY()&lt;=合同提醒天,"免保还剩 "&amp;TEXT($Z169-TODAY(),"0")&amp;" 天","免保中"))),IF($Y169="暂停维保","暂停中 不计费",IF($Y169="已解约","已解约",IF(COUNTIF(合同键,$E169)=0,"▲还没建合同行","")))))</f>
        <v/>
      </c>
      <c r="AD169" s="24"/>
      <c r="AE169" s="35" t="str">
        <f aca="false">IF($C169="","",IF($D169="","★项目名称没填",IF(N($P169)&lt;=0,"★台量要填",IF(AND(OR($Y169="安装免保",$Y169="技术免保",$Y169="质保期内"),$Z169=""),"★免保到期日没填",IF(COUNTIF(合同键,$E169)=0,"★还没建合同行","OK")))))</f>
        <v/>
      </c>
    </row>
    <row r="170" customFormat="false" ht="15" hidden="false" customHeight="false" outlineLevel="0" collapsed="false">
      <c r="A170" s="29" t="str">
        <f aca="false">IF($C170="","",ROW()-4)</f>
        <v/>
      </c>
      <c r="B170" s="25"/>
      <c r="C170" s="24"/>
      <c r="D170" s="24"/>
      <c r="E170" s="30" t="str">
        <f aca="false">IF($C170="","",$C170&amp;" ｜ "&amp;$D170)</f>
        <v/>
      </c>
      <c r="F170" s="25"/>
      <c r="G170" s="25"/>
      <c r="H170" s="25"/>
      <c r="I170" s="25"/>
      <c r="J170" s="25"/>
      <c r="K170" s="21"/>
      <c r="L170" s="21"/>
      <c r="M170" s="21"/>
      <c r="N170" s="25"/>
      <c r="O170" s="25"/>
      <c r="P170" s="32"/>
      <c r="Q170" s="25"/>
      <c r="R170" s="25"/>
      <c r="S170" s="33"/>
      <c r="T170" s="33"/>
      <c r="U170" s="33"/>
      <c r="V170" s="33"/>
      <c r="W170" s="25"/>
      <c r="X170" s="25"/>
      <c r="Y170" s="25"/>
      <c r="Z170" s="33"/>
      <c r="AA170" s="34" t="str">
        <f aca="true">IF($T170="","",IF($T170&lt;TODAY(),"已过期 "&amp;TEXT(TODAY()-$T170,"0")&amp;" 天",IF($T170-TODAY()&lt;=年检提醒天,"还剩 "&amp;TEXT($T170-TODAY(),"0")&amp;" 天","")))</f>
        <v/>
      </c>
      <c r="AB170" s="34" t="str">
        <f aca="true">IF(COUNT($U170:$V170)=0,"",IF(MIN($U170:$V170)&lt;TODAY(),"已过期 "&amp;TEXT(TODAY()-MIN($U170:$V170),"0")&amp;" 天",IF(MIN($U170:$V170)-TODAY()&lt;=年检提醒天,"还剩 "&amp;TEXT(MIN($U170:$V170)-TODAY(),"0")&amp;" 天","")))</f>
        <v/>
      </c>
      <c r="AC170" s="34" t="str">
        <f aca="true">IF($C170="","",IF(OR($Y170="安装免保",$Y170="技术免保",$Y170="质保期内"),IF($Z170="","▲免保没填到期日",IF($Z170&lt;TODAY(),"▲免保已到期 该转收费了",IF($Z170-TODAY()&lt;=合同提醒天,"免保还剩 "&amp;TEXT($Z170-TODAY(),"0")&amp;" 天","免保中"))),IF($Y170="暂停维保","暂停中 不计费",IF($Y170="已解约","已解约",IF(COUNTIF(合同键,$E170)=0,"▲还没建合同行","")))))</f>
        <v/>
      </c>
      <c r="AD170" s="24"/>
      <c r="AE170" s="35" t="str">
        <f aca="false">IF($C170="","",IF($D170="","★项目名称没填",IF(N($P170)&lt;=0,"★台量要填",IF(AND(OR($Y170="安装免保",$Y170="技术免保",$Y170="质保期内"),$Z170=""),"★免保到期日没填",IF(COUNTIF(合同键,$E170)=0,"★还没建合同行","OK")))))</f>
        <v/>
      </c>
    </row>
    <row r="171" customFormat="false" ht="15" hidden="false" customHeight="false" outlineLevel="0" collapsed="false">
      <c r="A171" s="29" t="str">
        <f aca="false">IF($C171="","",ROW()-4)</f>
        <v/>
      </c>
      <c r="B171" s="25"/>
      <c r="C171" s="24"/>
      <c r="D171" s="24"/>
      <c r="E171" s="30" t="str">
        <f aca="false">IF($C171="","",$C171&amp;" ｜ "&amp;$D171)</f>
        <v/>
      </c>
      <c r="F171" s="25"/>
      <c r="G171" s="25"/>
      <c r="H171" s="25"/>
      <c r="I171" s="25"/>
      <c r="J171" s="25"/>
      <c r="K171" s="21"/>
      <c r="L171" s="21"/>
      <c r="M171" s="21"/>
      <c r="N171" s="25"/>
      <c r="O171" s="25"/>
      <c r="P171" s="32"/>
      <c r="Q171" s="25"/>
      <c r="R171" s="25"/>
      <c r="S171" s="33"/>
      <c r="T171" s="33"/>
      <c r="U171" s="33"/>
      <c r="V171" s="33"/>
      <c r="W171" s="25"/>
      <c r="X171" s="25"/>
      <c r="Y171" s="25"/>
      <c r="Z171" s="33"/>
      <c r="AA171" s="34" t="str">
        <f aca="true">IF($T171="","",IF($T171&lt;TODAY(),"已过期 "&amp;TEXT(TODAY()-$T171,"0")&amp;" 天",IF($T171-TODAY()&lt;=年检提醒天,"还剩 "&amp;TEXT($T171-TODAY(),"0")&amp;" 天","")))</f>
        <v/>
      </c>
      <c r="AB171" s="34" t="str">
        <f aca="true">IF(COUNT($U171:$V171)=0,"",IF(MIN($U171:$V171)&lt;TODAY(),"已过期 "&amp;TEXT(TODAY()-MIN($U171:$V171),"0")&amp;" 天",IF(MIN($U171:$V171)-TODAY()&lt;=年检提醒天,"还剩 "&amp;TEXT(MIN($U171:$V171)-TODAY(),"0")&amp;" 天","")))</f>
        <v/>
      </c>
      <c r="AC171" s="34" t="str">
        <f aca="true">IF($C171="","",IF(OR($Y171="安装免保",$Y171="技术免保",$Y171="质保期内"),IF($Z171="","▲免保没填到期日",IF($Z171&lt;TODAY(),"▲免保已到期 该转收费了",IF($Z171-TODAY()&lt;=合同提醒天,"免保还剩 "&amp;TEXT($Z171-TODAY(),"0")&amp;" 天","免保中"))),IF($Y171="暂停维保","暂停中 不计费",IF($Y171="已解约","已解约",IF(COUNTIF(合同键,$E171)=0,"▲还没建合同行","")))))</f>
        <v/>
      </c>
      <c r="AD171" s="24"/>
      <c r="AE171" s="35" t="str">
        <f aca="false">IF($C171="","",IF($D171="","★项目名称没填",IF(N($P171)&lt;=0,"★台量要填",IF(AND(OR($Y171="安装免保",$Y171="技术免保",$Y171="质保期内"),$Z171=""),"★免保到期日没填",IF(COUNTIF(合同键,$E171)=0,"★还没建合同行","OK")))))</f>
        <v/>
      </c>
    </row>
    <row r="172" customFormat="false" ht="15" hidden="false" customHeight="false" outlineLevel="0" collapsed="false">
      <c r="A172" s="29" t="str">
        <f aca="false">IF($C172="","",ROW()-4)</f>
        <v/>
      </c>
      <c r="B172" s="25"/>
      <c r="C172" s="24"/>
      <c r="D172" s="24"/>
      <c r="E172" s="30" t="str">
        <f aca="false">IF($C172="","",$C172&amp;" ｜ "&amp;$D172)</f>
        <v/>
      </c>
      <c r="F172" s="25"/>
      <c r="G172" s="25"/>
      <c r="H172" s="25"/>
      <c r="I172" s="25"/>
      <c r="J172" s="25"/>
      <c r="K172" s="21"/>
      <c r="L172" s="21"/>
      <c r="M172" s="21"/>
      <c r="N172" s="25"/>
      <c r="O172" s="25"/>
      <c r="P172" s="32"/>
      <c r="Q172" s="25"/>
      <c r="R172" s="25"/>
      <c r="S172" s="33"/>
      <c r="T172" s="33"/>
      <c r="U172" s="33"/>
      <c r="V172" s="33"/>
      <c r="W172" s="25"/>
      <c r="X172" s="25"/>
      <c r="Y172" s="25"/>
      <c r="Z172" s="33"/>
      <c r="AA172" s="34" t="str">
        <f aca="true">IF($T172="","",IF($T172&lt;TODAY(),"已过期 "&amp;TEXT(TODAY()-$T172,"0")&amp;" 天",IF($T172-TODAY()&lt;=年检提醒天,"还剩 "&amp;TEXT($T172-TODAY(),"0")&amp;" 天","")))</f>
        <v/>
      </c>
      <c r="AB172" s="34" t="str">
        <f aca="true">IF(COUNT($U172:$V172)=0,"",IF(MIN($U172:$V172)&lt;TODAY(),"已过期 "&amp;TEXT(TODAY()-MIN($U172:$V172),"0")&amp;" 天",IF(MIN($U172:$V172)-TODAY()&lt;=年检提醒天,"还剩 "&amp;TEXT(MIN($U172:$V172)-TODAY(),"0")&amp;" 天","")))</f>
        <v/>
      </c>
      <c r="AC172" s="34" t="str">
        <f aca="true">IF($C172="","",IF(OR($Y172="安装免保",$Y172="技术免保",$Y172="质保期内"),IF($Z172="","▲免保没填到期日",IF($Z172&lt;TODAY(),"▲免保已到期 该转收费了",IF($Z172-TODAY()&lt;=合同提醒天,"免保还剩 "&amp;TEXT($Z172-TODAY(),"0")&amp;" 天","免保中"))),IF($Y172="暂停维保","暂停中 不计费",IF($Y172="已解约","已解约",IF(COUNTIF(合同键,$E172)=0,"▲还没建合同行","")))))</f>
        <v/>
      </c>
      <c r="AD172" s="24"/>
      <c r="AE172" s="35" t="str">
        <f aca="false">IF($C172="","",IF($D172="","★项目名称没填",IF(N($P172)&lt;=0,"★台量要填",IF(AND(OR($Y172="安装免保",$Y172="技术免保",$Y172="质保期内"),$Z172=""),"★免保到期日没填",IF(COUNTIF(合同键,$E172)=0,"★还没建合同行","OK")))))</f>
        <v/>
      </c>
    </row>
    <row r="173" customFormat="false" ht="15" hidden="false" customHeight="false" outlineLevel="0" collapsed="false">
      <c r="A173" s="29" t="str">
        <f aca="false">IF($C173="","",ROW()-4)</f>
        <v/>
      </c>
      <c r="B173" s="25"/>
      <c r="C173" s="24"/>
      <c r="D173" s="24"/>
      <c r="E173" s="30" t="str">
        <f aca="false">IF($C173="","",$C173&amp;" ｜ "&amp;$D173)</f>
        <v/>
      </c>
      <c r="F173" s="25"/>
      <c r="G173" s="25"/>
      <c r="H173" s="25"/>
      <c r="I173" s="25"/>
      <c r="J173" s="25"/>
      <c r="K173" s="21"/>
      <c r="L173" s="21"/>
      <c r="M173" s="21"/>
      <c r="N173" s="25"/>
      <c r="O173" s="25"/>
      <c r="P173" s="32"/>
      <c r="Q173" s="25"/>
      <c r="R173" s="25"/>
      <c r="S173" s="33"/>
      <c r="T173" s="33"/>
      <c r="U173" s="33"/>
      <c r="V173" s="33"/>
      <c r="W173" s="25"/>
      <c r="X173" s="25"/>
      <c r="Y173" s="25"/>
      <c r="Z173" s="33"/>
      <c r="AA173" s="34" t="str">
        <f aca="true">IF($T173="","",IF($T173&lt;TODAY(),"已过期 "&amp;TEXT(TODAY()-$T173,"0")&amp;" 天",IF($T173-TODAY()&lt;=年检提醒天,"还剩 "&amp;TEXT($T173-TODAY(),"0")&amp;" 天","")))</f>
        <v/>
      </c>
      <c r="AB173" s="34" t="str">
        <f aca="true">IF(COUNT($U173:$V173)=0,"",IF(MIN($U173:$V173)&lt;TODAY(),"已过期 "&amp;TEXT(TODAY()-MIN($U173:$V173),"0")&amp;" 天",IF(MIN($U173:$V173)-TODAY()&lt;=年检提醒天,"还剩 "&amp;TEXT(MIN($U173:$V173)-TODAY(),"0")&amp;" 天","")))</f>
        <v/>
      </c>
      <c r="AC173" s="34" t="str">
        <f aca="true">IF($C173="","",IF(OR($Y173="安装免保",$Y173="技术免保",$Y173="质保期内"),IF($Z173="","▲免保没填到期日",IF($Z173&lt;TODAY(),"▲免保已到期 该转收费了",IF($Z173-TODAY()&lt;=合同提醒天,"免保还剩 "&amp;TEXT($Z173-TODAY(),"0")&amp;" 天","免保中"))),IF($Y173="暂停维保","暂停中 不计费",IF($Y173="已解约","已解约",IF(COUNTIF(合同键,$E173)=0,"▲还没建合同行","")))))</f>
        <v/>
      </c>
      <c r="AD173" s="24"/>
      <c r="AE173" s="35" t="str">
        <f aca="false">IF($C173="","",IF($D173="","★项目名称没填",IF(N($P173)&lt;=0,"★台量要填",IF(AND(OR($Y173="安装免保",$Y173="技术免保",$Y173="质保期内"),$Z173=""),"★免保到期日没填",IF(COUNTIF(合同键,$E173)=0,"★还没建合同行","OK")))))</f>
        <v/>
      </c>
    </row>
    <row r="174" customFormat="false" ht="15" hidden="false" customHeight="false" outlineLevel="0" collapsed="false">
      <c r="A174" s="29" t="str">
        <f aca="false">IF($C174="","",ROW()-4)</f>
        <v/>
      </c>
      <c r="B174" s="25"/>
      <c r="C174" s="24"/>
      <c r="D174" s="24"/>
      <c r="E174" s="30" t="str">
        <f aca="false">IF($C174="","",$C174&amp;" ｜ "&amp;$D174)</f>
        <v/>
      </c>
      <c r="F174" s="25"/>
      <c r="G174" s="25"/>
      <c r="H174" s="25"/>
      <c r="I174" s="25"/>
      <c r="J174" s="25"/>
      <c r="K174" s="21"/>
      <c r="L174" s="21"/>
      <c r="M174" s="21"/>
      <c r="N174" s="25"/>
      <c r="O174" s="25"/>
      <c r="P174" s="32"/>
      <c r="Q174" s="25"/>
      <c r="R174" s="25"/>
      <c r="S174" s="33"/>
      <c r="T174" s="33"/>
      <c r="U174" s="33"/>
      <c r="V174" s="33"/>
      <c r="W174" s="25"/>
      <c r="X174" s="25"/>
      <c r="Y174" s="25"/>
      <c r="Z174" s="33"/>
      <c r="AA174" s="34" t="str">
        <f aca="true">IF($T174="","",IF($T174&lt;TODAY(),"已过期 "&amp;TEXT(TODAY()-$T174,"0")&amp;" 天",IF($T174-TODAY()&lt;=年检提醒天,"还剩 "&amp;TEXT($T174-TODAY(),"0")&amp;" 天","")))</f>
        <v/>
      </c>
      <c r="AB174" s="34" t="str">
        <f aca="true">IF(COUNT($U174:$V174)=0,"",IF(MIN($U174:$V174)&lt;TODAY(),"已过期 "&amp;TEXT(TODAY()-MIN($U174:$V174),"0")&amp;" 天",IF(MIN($U174:$V174)-TODAY()&lt;=年检提醒天,"还剩 "&amp;TEXT(MIN($U174:$V174)-TODAY(),"0")&amp;" 天","")))</f>
        <v/>
      </c>
      <c r="AC174" s="34" t="str">
        <f aca="true">IF($C174="","",IF(OR($Y174="安装免保",$Y174="技术免保",$Y174="质保期内"),IF($Z174="","▲免保没填到期日",IF($Z174&lt;TODAY(),"▲免保已到期 该转收费了",IF($Z174-TODAY()&lt;=合同提醒天,"免保还剩 "&amp;TEXT($Z174-TODAY(),"0")&amp;" 天","免保中"))),IF($Y174="暂停维保","暂停中 不计费",IF($Y174="已解约","已解约",IF(COUNTIF(合同键,$E174)=0,"▲还没建合同行","")))))</f>
        <v/>
      </c>
      <c r="AD174" s="24"/>
      <c r="AE174" s="35" t="str">
        <f aca="false">IF($C174="","",IF($D174="","★项目名称没填",IF(N($P174)&lt;=0,"★台量要填",IF(AND(OR($Y174="安装免保",$Y174="技术免保",$Y174="质保期内"),$Z174=""),"★免保到期日没填",IF(COUNTIF(合同键,$E174)=0,"★还没建合同行","OK")))))</f>
        <v/>
      </c>
    </row>
    <row r="175" customFormat="false" ht="15" hidden="false" customHeight="false" outlineLevel="0" collapsed="false">
      <c r="A175" s="29" t="str">
        <f aca="false">IF($C175="","",ROW()-4)</f>
        <v/>
      </c>
      <c r="B175" s="25"/>
      <c r="C175" s="24"/>
      <c r="D175" s="24"/>
      <c r="E175" s="30" t="str">
        <f aca="false">IF($C175="","",$C175&amp;" ｜ "&amp;$D175)</f>
        <v/>
      </c>
      <c r="F175" s="25"/>
      <c r="G175" s="25"/>
      <c r="H175" s="25"/>
      <c r="I175" s="25"/>
      <c r="J175" s="25"/>
      <c r="K175" s="21"/>
      <c r="L175" s="21"/>
      <c r="M175" s="21"/>
      <c r="N175" s="25"/>
      <c r="O175" s="25"/>
      <c r="P175" s="32"/>
      <c r="Q175" s="25"/>
      <c r="R175" s="25"/>
      <c r="S175" s="33"/>
      <c r="T175" s="33"/>
      <c r="U175" s="33"/>
      <c r="V175" s="33"/>
      <c r="W175" s="25"/>
      <c r="X175" s="25"/>
      <c r="Y175" s="25"/>
      <c r="Z175" s="33"/>
      <c r="AA175" s="34" t="str">
        <f aca="true">IF($T175="","",IF($T175&lt;TODAY(),"已过期 "&amp;TEXT(TODAY()-$T175,"0")&amp;" 天",IF($T175-TODAY()&lt;=年检提醒天,"还剩 "&amp;TEXT($T175-TODAY(),"0")&amp;" 天","")))</f>
        <v/>
      </c>
      <c r="AB175" s="34" t="str">
        <f aca="true">IF(COUNT($U175:$V175)=0,"",IF(MIN($U175:$V175)&lt;TODAY(),"已过期 "&amp;TEXT(TODAY()-MIN($U175:$V175),"0")&amp;" 天",IF(MIN($U175:$V175)-TODAY()&lt;=年检提醒天,"还剩 "&amp;TEXT(MIN($U175:$V175)-TODAY(),"0")&amp;" 天","")))</f>
        <v/>
      </c>
      <c r="AC175" s="34" t="str">
        <f aca="true">IF($C175="","",IF(OR($Y175="安装免保",$Y175="技术免保",$Y175="质保期内"),IF($Z175="","▲免保没填到期日",IF($Z175&lt;TODAY(),"▲免保已到期 该转收费了",IF($Z175-TODAY()&lt;=合同提醒天,"免保还剩 "&amp;TEXT($Z175-TODAY(),"0")&amp;" 天","免保中"))),IF($Y175="暂停维保","暂停中 不计费",IF($Y175="已解约","已解约",IF(COUNTIF(合同键,$E175)=0,"▲还没建合同行","")))))</f>
        <v/>
      </c>
      <c r="AD175" s="24"/>
      <c r="AE175" s="35" t="str">
        <f aca="false">IF($C175="","",IF($D175="","★项目名称没填",IF(N($P175)&lt;=0,"★台量要填",IF(AND(OR($Y175="安装免保",$Y175="技术免保",$Y175="质保期内"),$Z175=""),"★免保到期日没填",IF(COUNTIF(合同键,$E175)=0,"★还没建合同行","OK")))))</f>
        <v/>
      </c>
    </row>
    <row r="176" customFormat="false" ht="15" hidden="false" customHeight="false" outlineLevel="0" collapsed="false">
      <c r="A176" s="29" t="str">
        <f aca="false">IF($C176="","",ROW()-4)</f>
        <v/>
      </c>
      <c r="B176" s="25"/>
      <c r="C176" s="24"/>
      <c r="D176" s="24"/>
      <c r="E176" s="30" t="str">
        <f aca="false">IF($C176="","",$C176&amp;" ｜ "&amp;$D176)</f>
        <v/>
      </c>
      <c r="F176" s="25"/>
      <c r="G176" s="25"/>
      <c r="H176" s="25"/>
      <c r="I176" s="25"/>
      <c r="J176" s="25"/>
      <c r="K176" s="21"/>
      <c r="L176" s="21"/>
      <c r="M176" s="21"/>
      <c r="N176" s="25"/>
      <c r="O176" s="25"/>
      <c r="P176" s="32"/>
      <c r="Q176" s="25"/>
      <c r="R176" s="25"/>
      <c r="S176" s="33"/>
      <c r="T176" s="33"/>
      <c r="U176" s="33"/>
      <c r="V176" s="33"/>
      <c r="W176" s="25"/>
      <c r="X176" s="25"/>
      <c r="Y176" s="25"/>
      <c r="Z176" s="33"/>
      <c r="AA176" s="34" t="str">
        <f aca="true">IF($T176="","",IF($T176&lt;TODAY(),"已过期 "&amp;TEXT(TODAY()-$T176,"0")&amp;" 天",IF($T176-TODAY()&lt;=年检提醒天,"还剩 "&amp;TEXT($T176-TODAY(),"0")&amp;" 天","")))</f>
        <v/>
      </c>
      <c r="AB176" s="34" t="str">
        <f aca="true">IF(COUNT($U176:$V176)=0,"",IF(MIN($U176:$V176)&lt;TODAY(),"已过期 "&amp;TEXT(TODAY()-MIN($U176:$V176),"0")&amp;" 天",IF(MIN($U176:$V176)-TODAY()&lt;=年检提醒天,"还剩 "&amp;TEXT(MIN($U176:$V176)-TODAY(),"0")&amp;" 天","")))</f>
        <v/>
      </c>
      <c r="AC176" s="34" t="str">
        <f aca="true">IF($C176="","",IF(OR($Y176="安装免保",$Y176="技术免保",$Y176="质保期内"),IF($Z176="","▲免保没填到期日",IF($Z176&lt;TODAY(),"▲免保已到期 该转收费了",IF($Z176-TODAY()&lt;=合同提醒天,"免保还剩 "&amp;TEXT($Z176-TODAY(),"0")&amp;" 天","免保中"))),IF($Y176="暂停维保","暂停中 不计费",IF($Y176="已解约","已解约",IF(COUNTIF(合同键,$E176)=0,"▲还没建合同行","")))))</f>
        <v/>
      </c>
      <c r="AD176" s="24"/>
      <c r="AE176" s="35" t="str">
        <f aca="false">IF($C176="","",IF($D176="","★项目名称没填",IF(N($P176)&lt;=0,"★台量要填",IF(AND(OR($Y176="安装免保",$Y176="技术免保",$Y176="质保期内"),$Z176=""),"★免保到期日没填",IF(COUNTIF(合同键,$E176)=0,"★还没建合同行","OK")))))</f>
        <v/>
      </c>
    </row>
    <row r="177" customFormat="false" ht="15" hidden="false" customHeight="false" outlineLevel="0" collapsed="false">
      <c r="A177" s="29" t="str">
        <f aca="false">IF($C177="","",ROW()-4)</f>
        <v/>
      </c>
      <c r="B177" s="25"/>
      <c r="C177" s="24"/>
      <c r="D177" s="24"/>
      <c r="E177" s="30" t="str">
        <f aca="false">IF($C177="","",$C177&amp;" ｜ "&amp;$D177)</f>
        <v/>
      </c>
      <c r="F177" s="25"/>
      <c r="G177" s="25"/>
      <c r="H177" s="25"/>
      <c r="I177" s="25"/>
      <c r="J177" s="25"/>
      <c r="K177" s="21"/>
      <c r="L177" s="21"/>
      <c r="M177" s="21"/>
      <c r="N177" s="25"/>
      <c r="O177" s="25"/>
      <c r="P177" s="32"/>
      <c r="Q177" s="25"/>
      <c r="R177" s="25"/>
      <c r="S177" s="33"/>
      <c r="T177" s="33"/>
      <c r="U177" s="33"/>
      <c r="V177" s="33"/>
      <c r="W177" s="25"/>
      <c r="X177" s="25"/>
      <c r="Y177" s="25"/>
      <c r="Z177" s="33"/>
      <c r="AA177" s="34" t="str">
        <f aca="true">IF($T177="","",IF($T177&lt;TODAY(),"已过期 "&amp;TEXT(TODAY()-$T177,"0")&amp;" 天",IF($T177-TODAY()&lt;=年检提醒天,"还剩 "&amp;TEXT($T177-TODAY(),"0")&amp;" 天","")))</f>
        <v/>
      </c>
      <c r="AB177" s="34" t="str">
        <f aca="true">IF(COUNT($U177:$V177)=0,"",IF(MIN($U177:$V177)&lt;TODAY(),"已过期 "&amp;TEXT(TODAY()-MIN($U177:$V177),"0")&amp;" 天",IF(MIN($U177:$V177)-TODAY()&lt;=年检提醒天,"还剩 "&amp;TEXT(MIN($U177:$V177)-TODAY(),"0")&amp;" 天","")))</f>
        <v/>
      </c>
      <c r="AC177" s="34" t="str">
        <f aca="true">IF($C177="","",IF(OR($Y177="安装免保",$Y177="技术免保",$Y177="质保期内"),IF($Z177="","▲免保没填到期日",IF($Z177&lt;TODAY(),"▲免保已到期 该转收费了",IF($Z177-TODAY()&lt;=合同提醒天,"免保还剩 "&amp;TEXT($Z177-TODAY(),"0")&amp;" 天","免保中"))),IF($Y177="暂停维保","暂停中 不计费",IF($Y177="已解约","已解约",IF(COUNTIF(合同键,$E177)=0,"▲还没建合同行","")))))</f>
        <v/>
      </c>
      <c r="AD177" s="24"/>
      <c r="AE177" s="35" t="str">
        <f aca="false">IF($C177="","",IF($D177="","★项目名称没填",IF(N($P177)&lt;=0,"★台量要填",IF(AND(OR($Y177="安装免保",$Y177="技术免保",$Y177="质保期内"),$Z177=""),"★免保到期日没填",IF(COUNTIF(合同键,$E177)=0,"★还没建合同行","OK")))))</f>
        <v/>
      </c>
    </row>
    <row r="178" customFormat="false" ht="15" hidden="false" customHeight="false" outlineLevel="0" collapsed="false">
      <c r="A178" s="29" t="str">
        <f aca="false">IF($C178="","",ROW()-4)</f>
        <v/>
      </c>
      <c r="B178" s="25"/>
      <c r="C178" s="24"/>
      <c r="D178" s="24"/>
      <c r="E178" s="30" t="str">
        <f aca="false">IF($C178="","",$C178&amp;" ｜ "&amp;$D178)</f>
        <v/>
      </c>
      <c r="F178" s="25"/>
      <c r="G178" s="25"/>
      <c r="H178" s="25"/>
      <c r="I178" s="25"/>
      <c r="J178" s="25"/>
      <c r="K178" s="21"/>
      <c r="L178" s="21"/>
      <c r="M178" s="21"/>
      <c r="N178" s="25"/>
      <c r="O178" s="25"/>
      <c r="P178" s="32"/>
      <c r="Q178" s="25"/>
      <c r="R178" s="25"/>
      <c r="S178" s="33"/>
      <c r="T178" s="33"/>
      <c r="U178" s="33"/>
      <c r="V178" s="33"/>
      <c r="W178" s="25"/>
      <c r="X178" s="25"/>
      <c r="Y178" s="25"/>
      <c r="Z178" s="33"/>
      <c r="AA178" s="34" t="str">
        <f aca="true">IF($T178="","",IF($T178&lt;TODAY(),"已过期 "&amp;TEXT(TODAY()-$T178,"0")&amp;" 天",IF($T178-TODAY()&lt;=年检提醒天,"还剩 "&amp;TEXT($T178-TODAY(),"0")&amp;" 天","")))</f>
        <v/>
      </c>
      <c r="AB178" s="34" t="str">
        <f aca="true">IF(COUNT($U178:$V178)=0,"",IF(MIN($U178:$V178)&lt;TODAY(),"已过期 "&amp;TEXT(TODAY()-MIN($U178:$V178),"0")&amp;" 天",IF(MIN($U178:$V178)-TODAY()&lt;=年检提醒天,"还剩 "&amp;TEXT(MIN($U178:$V178)-TODAY(),"0")&amp;" 天","")))</f>
        <v/>
      </c>
      <c r="AC178" s="34" t="str">
        <f aca="true">IF($C178="","",IF(OR($Y178="安装免保",$Y178="技术免保",$Y178="质保期内"),IF($Z178="","▲免保没填到期日",IF($Z178&lt;TODAY(),"▲免保已到期 该转收费了",IF($Z178-TODAY()&lt;=合同提醒天,"免保还剩 "&amp;TEXT($Z178-TODAY(),"0")&amp;" 天","免保中"))),IF($Y178="暂停维保","暂停中 不计费",IF($Y178="已解约","已解约",IF(COUNTIF(合同键,$E178)=0,"▲还没建合同行","")))))</f>
        <v/>
      </c>
      <c r="AD178" s="24"/>
      <c r="AE178" s="35" t="str">
        <f aca="false">IF($C178="","",IF($D178="","★项目名称没填",IF(N($P178)&lt;=0,"★台量要填",IF(AND(OR($Y178="安装免保",$Y178="技术免保",$Y178="质保期内"),$Z178=""),"★免保到期日没填",IF(COUNTIF(合同键,$E178)=0,"★还没建合同行","OK")))))</f>
        <v/>
      </c>
    </row>
    <row r="179" customFormat="false" ht="15" hidden="false" customHeight="false" outlineLevel="0" collapsed="false">
      <c r="A179" s="29" t="str">
        <f aca="false">IF($C179="","",ROW()-4)</f>
        <v/>
      </c>
      <c r="B179" s="25"/>
      <c r="C179" s="24"/>
      <c r="D179" s="24"/>
      <c r="E179" s="30" t="str">
        <f aca="false">IF($C179="","",$C179&amp;" ｜ "&amp;$D179)</f>
        <v/>
      </c>
      <c r="F179" s="25"/>
      <c r="G179" s="25"/>
      <c r="H179" s="25"/>
      <c r="I179" s="25"/>
      <c r="J179" s="25"/>
      <c r="K179" s="21"/>
      <c r="L179" s="21"/>
      <c r="M179" s="21"/>
      <c r="N179" s="25"/>
      <c r="O179" s="25"/>
      <c r="P179" s="32"/>
      <c r="Q179" s="25"/>
      <c r="R179" s="25"/>
      <c r="S179" s="33"/>
      <c r="T179" s="33"/>
      <c r="U179" s="33"/>
      <c r="V179" s="33"/>
      <c r="W179" s="25"/>
      <c r="X179" s="25"/>
      <c r="Y179" s="25"/>
      <c r="Z179" s="33"/>
      <c r="AA179" s="34" t="str">
        <f aca="true">IF($T179="","",IF($T179&lt;TODAY(),"已过期 "&amp;TEXT(TODAY()-$T179,"0")&amp;" 天",IF($T179-TODAY()&lt;=年检提醒天,"还剩 "&amp;TEXT($T179-TODAY(),"0")&amp;" 天","")))</f>
        <v/>
      </c>
      <c r="AB179" s="34" t="str">
        <f aca="true">IF(COUNT($U179:$V179)=0,"",IF(MIN($U179:$V179)&lt;TODAY(),"已过期 "&amp;TEXT(TODAY()-MIN($U179:$V179),"0")&amp;" 天",IF(MIN($U179:$V179)-TODAY()&lt;=年检提醒天,"还剩 "&amp;TEXT(MIN($U179:$V179)-TODAY(),"0")&amp;" 天","")))</f>
        <v/>
      </c>
      <c r="AC179" s="34" t="str">
        <f aca="true">IF($C179="","",IF(OR($Y179="安装免保",$Y179="技术免保",$Y179="质保期内"),IF($Z179="","▲免保没填到期日",IF($Z179&lt;TODAY(),"▲免保已到期 该转收费了",IF($Z179-TODAY()&lt;=合同提醒天,"免保还剩 "&amp;TEXT($Z179-TODAY(),"0")&amp;" 天","免保中"))),IF($Y179="暂停维保","暂停中 不计费",IF($Y179="已解约","已解约",IF(COUNTIF(合同键,$E179)=0,"▲还没建合同行","")))))</f>
        <v/>
      </c>
      <c r="AD179" s="24"/>
      <c r="AE179" s="35" t="str">
        <f aca="false">IF($C179="","",IF($D179="","★项目名称没填",IF(N($P179)&lt;=0,"★台量要填",IF(AND(OR($Y179="安装免保",$Y179="技术免保",$Y179="质保期内"),$Z179=""),"★免保到期日没填",IF(COUNTIF(合同键,$E179)=0,"★还没建合同行","OK")))))</f>
        <v/>
      </c>
    </row>
    <row r="180" customFormat="false" ht="15" hidden="false" customHeight="false" outlineLevel="0" collapsed="false">
      <c r="A180" s="29" t="str">
        <f aca="false">IF($C180="","",ROW()-4)</f>
        <v/>
      </c>
      <c r="B180" s="25"/>
      <c r="C180" s="24"/>
      <c r="D180" s="24"/>
      <c r="E180" s="30" t="str">
        <f aca="false">IF($C180="","",$C180&amp;" ｜ "&amp;$D180)</f>
        <v/>
      </c>
      <c r="F180" s="25"/>
      <c r="G180" s="25"/>
      <c r="H180" s="25"/>
      <c r="I180" s="25"/>
      <c r="J180" s="25"/>
      <c r="K180" s="21"/>
      <c r="L180" s="21"/>
      <c r="M180" s="21"/>
      <c r="N180" s="25"/>
      <c r="O180" s="25"/>
      <c r="P180" s="32"/>
      <c r="Q180" s="25"/>
      <c r="R180" s="25"/>
      <c r="S180" s="33"/>
      <c r="T180" s="33"/>
      <c r="U180" s="33"/>
      <c r="V180" s="33"/>
      <c r="W180" s="25"/>
      <c r="X180" s="25"/>
      <c r="Y180" s="25"/>
      <c r="Z180" s="33"/>
      <c r="AA180" s="34" t="str">
        <f aca="true">IF($T180="","",IF($T180&lt;TODAY(),"已过期 "&amp;TEXT(TODAY()-$T180,"0")&amp;" 天",IF($T180-TODAY()&lt;=年检提醒天,"还剩 "&amp;TEXT($T180-TODAY(),"0")&amp;" 天","")))</f>
        <v/>
      </c>
      <c r="AB180" s="34" t="str">
        <f aca="true">IF(COUNT($U180:$V180)=0,"",IF(MIN($U180:$V180)&lt;TODAY(),"已过期 "&amp;TEXT(TODAY()-MIN($U180:$V180),"0")&amp;" 天",IF(MIN($U180:$V180)-TODAY()&lt;=年检提醒天,"还剩 "&amp;TEXT(MIN($U180:$V180)-TODAY(),"0")&amp;" 天","")))</f>
        <v/>
      </c>
      <c r="AC180" s="34" t="str">
        <f aca="true">IF($C180="","",IF(OR($Y180="安装免保",$Y180="技术免保",$Y180="质保期内"),IF($Z180="","▲免保没填到期日",IF($Z180&lt;TODAY(),"▲免保已到期 该转收费了",IF($Z180-TODAY()&lt;=合同提醒天,"免保还剩 "&amp;TEXT($Z180-TODAY(),"0")&amp;" 天","免保中"))),IF($Y180="暂停维保","暂停中 不计费",IF($Y180="已解约","已解约",IF(COUNTIF(合同键,$E180)=0,"▲还没建合同行","")))))</f>
        <v/>
      </c>
      <c r="AD180" s="24"/>
      <c r="AE180" s="35" t="str">
        <f aca="false">IF($C180="","",IF($D180="","★项目名称没填",IF(N($P180)&lt;=0,"★台量要填",IF(AND(OR($Y180="安装免保",$Y180="技术免保",$Y180="质保期内"),$Z180=""),"★免保到期日没填",IF(COUNTIF(合同键,$E180)=0,"★还没建合同行","OK")))))</f>
        <v/>
      </c>
    </row>
    <row r="181" customFormat="false" ht="15" hidden="false" customHeight="false" outlineLevel="0" collapsed="false">
      <c r="A181" s="29" t="str">
        <f aca="false">IF($C181="","",ROW()-4)</f>
        <v/>
      </c>
      <c r="B181" s="25"/>
      <c r="C181" s="24"/>
      <c r="D181" s="24"/>
      <c r="E181" s="30" t="str">
        <f aca="false">IF($C181="","",$C181&amp;" ｜ "&amp;$D181)</f>
        <v/>
      </c>
      <c r="F181" s="25"/>
      <c r="G181" s="25"/>
      <c r="H181" s="25"/>
      <c r="I181" s="25"/>
      <c r="J181" s="25"/>
      <c r="K181" s="21"/>
      <c r="L181" s="21"/>
      <c r="M181" s="21"/>
      <c r="N181" s="25"/>
      <c r="O181" s="25"/>
      <c r="P181" s="32"/>
      <c r="Q181" s="25"/>
      <c r="R181" s="25"/>
      <c r="S181" s="33"/>
      <c r="T181" s="33"/>
      <c r="U181" s="33"/>
      <c r="V181" s="33"/>
      <c r="W181" s="25"/>
      <c r="X181" s="25"/>
      <c r="Y181" s="25"/>
      <c r="Z181" s="33"/>
      <c r="AA181" s="34" t="str">
        <f aca="true">IF($T181="","",IF($T181&lt;TODAY(),"已过期 "&amp;TEXT(TODAY()-$T181,"0")&amp;" 天",IF($T181-TODAY()&lt;=年检提醒天,"还剩 "&amp;TEXT($T181-TODAY(),"0")&amp;" 天","")))</f>
        <v/>
      </c>
      <c r="AB181" s="34" t="str">
        <f aca="true">IF(COUNT($U181:$V181)=0,"",IF(MIN($U181:$V181)&lt;TODAY(),"已过期 "&amp;TEXT(TODAY()-MIN($U181:$V181),"0")&amp;" 天",IF(MIN($U181:$V181)-TODAY()&lt;=年检提醒天,"还剩 "&amp;TEXT(MIN($U181:$V181)-TODAY(),"0")&amp;" 天","")))</f>
        <v/>
      </c>
      <c r="AC181" s="34" t="str">
        <f aca="true">IF($C181="","",IF(OR($Y181="安装免保",$Y181="技术免保",$Y181="质保期内"),IF($Z181="","▲免保没填到期日",IF($Z181&lt;TODAY(),"▲免保已到期 该转收费了",IF($Z181-TODAY()&lt;=合同提醒天,"免保还剩 "&amp;TEXT($Z181-TODAY(),"0")&amp;" 天","免保中"))),IF($Y181="暂停维保","暂停中 不计费",IF($Y181="已解约","已解约",IF(COUNTIF(合同键,$E181)=0,"▲还没建合同行","")))))</f>
        <v/>
      </c>
      <c r="AD181" s="24"/>
      <c r="AE181" s="35" t="str">
        <f aca="false">IF($C181="","",IF($D181="","★项目名称没填",IF(N($P181)&lt;=0,"★台量要填",IF(AND(OR($Y181="安装免保",$Y181="技术免保",$Y181="质保期内"),$Z181=""),"★免保到期日没填",IF(COUNTIF(合同键,$E181)=0,"★还没建合同行","OK")))))</f>
        <v/>
      </c>
    </row>
    <row r="182" customFormat="false" ht="15" hidden="false" customHeight="false" outlineLevel="0" collapsed="false">
      <c r="A182" s="29" t="str">
        <f aca="false">IF($C182="","",ROW()-4)</f>
        <v/>
      </c>
      <c r="B182" s="25"/>
      <c r="C182" s="24"/>
      <c r="D182" s="24"/>
      <c r="E182" s="30" t="str">
        <f aca="false">IF($C182="","",$C182&amp;" ｜ "&amp;$D182)</f>
        <v/>
      </c>
      <c r="F182" s="25"/>
      <c r="G182" s="25"/>
      <c r="H182" s="25"/>
      <c r="I182" s="25"/>
      <c r="J182" s="25"/>
      <c r="K182" s="21"/>
      <c r="L182" s="21"/>
      <c r="M182" s="21"/>
      <c r="N182" s="25"/>
      <c r="O182" s="25"/>
      <c r="P182" s="32"/>
      <c r="Q182" s="25"/>
      <c r="R182" s="25"/>
      <c r="S182" s="33"/>
      <c r="T182" s="33"/>
      <c r="U182" s="33"/>
      <c r="V182" s="33"/>
      <c r="W182" s="25"/>
      <c r="X182" s="25"/>
      <c r="Y182" s="25"/>
      <c r="Z182" s="33"/>
      <c r="AA182" s="34" t="str">
        <f aca="true">IF($T182="","",IF($T182&lt;TODAY(),"已过期 "&amp;TEXT(TODAY()-$T182,"0")&amp;" 天",IF($T182-TODAY()&lt;=年检提醒天,"还剩 "&amp;TEXT($T182-TODAY(),"0")&amp;" 天","")))</f>
        <v/>
      </c>
      <c r="AB182" s="34" t="str">
        <f aca="true">IF(COUNT($U182:$V182)=0,"",IF(MIN($U182:$V182)&lt;TODAY(),"已过期 "&amp;TEXT(TODAY()-MIN($U182:$V182),"0")&amp;" 天",IF(MIN($U182:$V182)-TODAY()&lt;=年检提醒天,"还剩 "&amp;TEXT(MIN($U182:$V182)-TODAY(),"0")&amp;" 天","")))</f>
        <v/>
      </c>
      <c r="AC182" s="34" t="str">
        <f aca="true">IF($C182="","",IF(OR($Y182="安装免保",$Y182="技术免保",$Y182="质保期内"),IF($Z182="","▲免保没填到期日",IF($Z182&lt;TODAY(),"▲免保已到期 该转收费了",IF($Z182-TODAY()&lt;=合同提醒天,"免保还剩 "&amp;TEXT($Z182-TODAY(),"0")&amp;" 天","免保中"))),IF($Y182="暂停维保","暂停中 不计费",IF($Y182="已解约","已解约",IF(COUNTIF(合同键,$E182)=0,"▲还没建合同行","")))))</f>
        <v/>
      </c>
      <c r="AD182" s="24"/>
      <c r="AE182" s="35" t="str">
        <f aca="false">IF($C182="","",IF($D182="","★项目名称没填",IF(N($P182)&lt;=0,"★台量要填",IF(AND(OR($Y182="安装免保",$Y182="技术免保",$Y182="质保期内"),$Z182=""),"★免保到期日没填",IF(COUNTIF(合同键,$E182)=0,"★还没建合同行","OK")))))</f>
        <v/>
      </c>
    </row>
    <row r="183" customFormat="false" ht="15" hidden="false" customHeight="false" outlineLevel="0" collapsed="false">
      <c r="A183" s="29" t="str">
        <f aca="false">IF($C183="","",ROW()-4)</f>
        <v/>
      </c>
      <c r="B183" s="25"/>
      <c r="C183" s="24"/>
      <c r="D183" s="24"/>
      <c r="E183" s="30" t="str">
        <f aca="false">IF($C183="","",$C183&amp;" ｜ "&amp;$D183)</f>
        <v/>
      </c>
      <c r="F183" s="25"/>
      <c r="G183" s="25"/>
      <c r="H183" s="25"/>
      <c r="I183" s="25"/>
      <c r="J183" s="25"/>
      <c r="K183" s="21"/>
      <c r="L183" s="21"/>
      <c r="M183" s="21"/>
      <c r="N183" s="25"/>
      <c r="O183" s="25"/>
      <c r="P183" s="32"/>
      <c r="Q183" s="25"/>
      <c r="R183" s="25"/>
      <c r="S183" s="33"/>
      <c r="T183" s="33"/>
      <c r="U183" s="33"/>
      <c r="V183" s="33"/>
      <c r="W183" s="25"/>
      <c r="X183" s="25"/>
      <c r="Y183" s="25"/>
      <c r="Z183" s="33"/>
      <c r="AA183" s="34" t="str">
        <f aca="true">IF($T183="","",IF($T183&lt;TODAY(),"已过期 "&amp;TEXT(TODAY()-$T183,"0")&amp;" 天",IF($T183-TODAY()&lt;=年检提醒天,"还剩 "&amp;TEXT($T183-TODAY(),"0")&amp;" 天","")))</f>
        <v/>
      </c>
      <c r="AB183" s="34" t="str">
        <f aca="true">IF(COUNT($U183:$V183)=0,"",IF(MIN($U183:$V183)&lt;TODAY(),"已过期 "&amp;TEXT(TODAY()-MIN($U183:$V183),"0")&amp;" 天",IF(MIN($U183:$V183)-TODAY()&lt;=年检提醒天,"还剩 "&amp;TEXT(MIN($U183:$V183)-TODAY(),"0")&amp;" 天","")))</f>
        <v/>
      </c>
      <c r="AC183" s="34" t="str">
        <f aca="true">IF($C183="","",IF(OR($Y183="安装免保",$Y183="技术免保",$Y183="质保期内"),IF($Z183="","▲免保没填到期日",IF($Z183&lt;TODAY(),"▲免保已到期 该转收费了",IF($Z183-TODAY()&lt;=合同提醒天,"免保还剩 "&amp;TEXT($Z183-TODAY(),"0")&amp;" 天","免保中"))),IF($Y183="暂停维保","暂停中 不计费",IF($Y183="已解约","已解约",IF(COUNTIF(合同键,$E183)=0,"▲还没建合同行","")))))</f>
        <v/>
      </c>
      <c r="AD183" s="24"/>
      <c r="AE183" s="35" t="str">
        <f aca="false">IF($C183="","",IF($D183="","★项目名称没填",IF(N($P183)&lt;=0,"★台量要填",IF(AND(OR($Y183="安装免保",$Y183="技术免保",$Y183="质保期内"),$Z183=""),"★免保到期日没填",IF(COUNTIF(合同键,$E183)=0,"★还没建合同行","OK")))))</f>
        <v/>
      </c>
    </row>
    <row r="184" customFormat="false" ht="15" hidden="false" customHeight="false" outlineLevel="0" collapsed="false">
      <c r="A184" s="29" t="str">
        <f aca="false">IF($C184="","",ROW()-4)</f>
        <v/>
      </c>
      <c r="B184" s="25"/>
      <c r="C184" s="24"/>
      <c r="D184" s="24"/>
      <c r="E184" s="30" t="str">
        <f aca="false">IF($C184="","",$C184&amp;" ｜ "&amp;$D184)</f>
        <v/>
      </c>
      <c r="F184" s="25"/>
      <c r="G184" s="25"/>
      <c r="H184" s="25"/>
      <c r="I184" s="25"/>
      <c r="J184" s="25"/>
      <c r="K184" s="21"/>
      <c r="L184" s="21"/>
      <c r="M184" s="21"/>
      <c r="N184" s="25"/>
      <c r="O184" s="25"/>
      <c r="P184" s="32"/>
      <c r="Q184" s="25"/>
      <c r="R184" s="25"/>
      <c r="S184" s="33"/>
      <c r="T184" s="33"/>
      <c r="U184" s="33"/>
      <c r="V184" s="33"/>
      <c r="W184" s="25"/>
      <c r="X184" s="25"/>
      <c r="Y184" s="25"/>
      <c r="Z184" s="33"/>
      <c r="AA184" s="34" t="str">
        <f aca="true">IF($T184="","",IF($T184&lt;TODAY(),"已过期 "&amp;TEXT(TODAY()-$T184,"0")&amp;" 天",IF($T184-TODAY()&lt;=年检提醒天,"还剩 "&amp;TEXT($T184-TODAY(),"0")&amp;" 天","")))</f>
        <v/>
      </c>
      <c r="AB184" s="34" t="str">
        <f aca="true">IF(COUNT($U184:$V184)=0,"",IF(MIN($U184:$V184)&lt;TODAY(),"已过期 "&amp;TEXT(TODAY()-MIN($U184:$V184),"0")&amp;" 天",IF(MIN($U184:$V184)-TODAY()&lt;=年检提醒天,"还剩 "&amp;TEXT(MIN($U184:$V184)-TODAY(),"0")&amp;" 天","")))</f>
        <v/>
      </c>
      <c r="AC184" s="34" t="str">
        <f aca="true">IF($C184="","",IF(OR($Y184="安装免保",$Y184="技术免保",$Y184="质保期内"),IF($Z184="","▲免保没填到期日",IF($Z184&lt;TODAY(),"▲免保已到期 该转收费了",IF($Z184-TODAY()&lt;=合同提醒天,"免保还剩 "&amp;TEXT($Z184-TODAY(),"0")&amp;" 天","免保中"))),IF($Y184="暂停维保","暂停中 不计费",IF($Y184="已解约","已解约",IF(COUNTIF(合同键,$E184)=0,"▲还没建合同行","")))))</f>
        <v/>
      </c>
      <c r="AD184" s="24"/>
      <c r="AE184" s="35" t="str">
        <f aca="false">IF($C184="","",IF($D184="","★项目名称没填",IF(N($P184)&lt;=0,"★台量要填",IF(AND(OR($Y184="安装免保",$Y184="技术免保",$Y184="质保期内"),$Z184=""),"★免保到期日没填",IF(COUNTIF(合同键,$E184)=0,"★还没建合同行","OK")))))</f>
        <v/>
      </c>
    </row>
    <row r="185" customFormat="false" ht="15" hidden="false" customHeight="false" outlineLevel="0" collapsed="false">
      <c r="A185" s="29" t="str">
        <f aca="false">IF($C185="","",ROW()-4)</f>
        <v/>
      </c>
      <c r="B185" s="25"/>
      <c r="C185" s="24"/>
      <c r="D185" s="24"/>
      <c r="E185" s="30" t="str">
        <f aca="false">IF($C185="","",$C185&amp;" ｜ "&amp;$D185)</f>
        <v/>
      </c>
      <c r="F185" s="25"/>
      <c r="G185" s="25"/>
      <c r="H185" s="25"/>
      <c r="I185" s="25"/>
      <c r="J185" s="25"/>
      <c r="K185" s="21"/>
      <c r="L185" s="21"/>
      <c r="M185" s="21"/>
      <c r="N185" s="25"/>
      <c r="O185" s="25"/>
      <c r="P185" s="32"/>
      <c r="Q185" s="25"/>
      <c r="R185" s="25"/>
      <c r="S185" s="33"/>
      <c r="T185" s="33"/>
      <c r="U185" s="33"/>
      <c r="V185" s="33"/>
      <c r="W185" s="25"/>
      <c r="X185" s="25"/>
      <c r="Y185" s="25"/>
      <c r="Z185" s="33"/>
      <c r="AA185" s="34" t="str">
        <f aca="true">IF($T185="","",IF($T185&lt;TODAY(),"已过期 "&amp;TEXT(TODAY()-$T185,"0")&amp;" 天",IF($T185-TODAY()&lt;=年检提醒天,"还剩 "&amp;TEXT($T185-TODAY(),"0")&amp;" 天","")))</f>
        <v/>
      </c>
      <c r="AB185" s="34" t="str">
        <f aca="true">IF(COUNT($U185:$V185)=0,"",IF(MIN($U185:$V185)&lt;TODAY(),"已过期 "&amp;TEXT(TODAY()-MIN($U185:$V185),"0")&amp;" 天",IF(MIN($U185:$V185)-TODAY()&lt;=年检提醒天,"还剩 "&amp;TEXT(MIN($U185:$V185)-TODAY(),"0")&amp;" 天","")))</f>
        <v/>
      </c>
      <c r="AC185" s="34" t="str">
        <f aca="true">IF($C185="","",IF(OR($Y185="安装免保",$Y185="技术免保",$Y185="质保期内"),IF($Z185="","▲免保没填到期日",IF($Z185&lt;TODAY(),"▲免保已到期 该转收费了",IF($Z185-TODAY()&lt;=合同提醒天,"免保还剩 "&amp;TEXT($Z185-TODAY(),"0")&amp;" 天","免保中"))),IF($Y185="暂停维保","暂停中 不计费",IF($Y185="已解约","已解约",IF(COUNTIF(合同键,$E185)=0,"▲还没建合同行","")))))</f>
        <v/>
      </c>
      <c r="AD185" s="24"/>
      <c r="AE185" s="35" t="str">
        <f aca="false">IF($C185="","",IF($D185="","★项目名称没填",IF(N($P185)&lt;=0,"★台量要填",IF(AND(OR($Y185="安装免保",$Y185="技术免保",$Y185="质保期内"),$Z185=""),"★免保到期日没填",IF(COUNTIF(合同键,$E185)=0,"★还没建合同行","OK")))))</f>
        <v/>
      </c>
    </row>
    <row r="186" customFormat="false" ht="15" hidden="false" customHeight="false" outlineLevel="0" collapsed="false">
      <c r="A186" s="29" t="str">
        <f aca="false">IF($C186="","",ROW()-4)</f>
        <v/>
      </c>
      <c r="B186" s="25"/>
      <c r="C186" s="24"/>
      <c r="D186" s="24"/>
      <c r="E186" s="30" t="str">
        <f aca="false">IF($C186="","",$C186&amp;" ｜ "&amp;$D186)</f>
        <v/>
      </c>
      <c r="F186" s="25"/>
      <c r="G186" s="25"/>
      <c r="H186" s="25"/>
      <c r="I186" s="25"/>
      <c r="J186" s="25"/>
      <c r="K186" s="21"/>
      <c r="L186" s="21"/>
      <c r="M186" s="21"/>
      <c r="N186" s="25"/>
      <c r="O186" s="25"/>
      <c r="P186" s="32"/>
      <c r="Q186" s="25"/>
      <c r="R186" s="25"/>
      <c r="S186" s="33"/>
      <c r="T186" s="33"/>
      <c r="U186" s="33"/>
      <c r="V186" s="33"/>
      <c r="W186" s="25"/>
      <c r="X186" s="25"/>
      <c r="Y186" s="25"/>
      <c r="Z186" s="33"/>
      <c r="AA186" s="34" t="str">
        <f aca="true">IF($T186="","",IF($T186&lt;TODAY(),"已过期 "&amp;TEXT(TODAY()-$T186,"0")&amp;" 天",IF($T186-TODAY()&lt;=年检提醒天,"还剩 "&amp;TEXT($T186-TODAY(),"0")&amp;" 天","")))</f>
        <v/>
      </c>
      <c r="AB186" s="34" t="str">
        <f aca="true">IF(COUNT($U186:$V186)=0,"",IF(MIN($U186:$V186)&lt;TODAY(),"已过期 "&amp;TEXT(TODAY()-MIN($U186:$V186),"0")&amp;" 天",IF(MIN($U186:$V186)-TODAY()&lt;=年检提醒天,"还剩 "&amp;TEXT(MIN($U186:$V186)-TODAY(),"0")&amp;" 天","")))</f>
        <v/>
      </c>
      <c r="AC186" s="34" t="str">
        <f aca="true">IF($C186="","",IF(OR($Y186="安装免保",$Y186="技术免保",$Y186="质保期内"),IF($Z186="","▲免保没填到期日",IF($Z186&lt;TODAY(),"▲免保已到期 该转收费了",IF($Z186-TODAY()&lt;=合同提醒天,"免保还剩 "&amp;TEXT($Z186-TODAY(),"0")&amp;" 天","免保中"))),IF($Y186="暂停维保","暂停中 不计费",IF($Y186="已解约","已解约",IF(COUNTIF(合同键,$E186)=0,"▲还没建合同行","")))))</f>
        <v/>
      </c>
      <c r="AD186" s="24"/>
      <c r="AE186" s="35" t="str">
        <f aca="false">IF($C186="","",IF($D186="","★项目名称没填",IF(N($P186)&lt;=0,"★台量要填",IF(AND(OR($Y186="安装免保",$Y186="技术免保",$Y186="质保期内"),$Z186=""),"★免保到期日没填",IF(COUNTIF(合同键,$E186)=0,"★还没建合同行","OK")))))</f>
        <v/>
      </c>
    </row>
    <row r="187" customFormat="false" ht="15" hidden="false" customHeight="false" outlineLevel="0" collapsed="false">
      <c r="A187" s="29" t="str">
        <f aca="false">IF($C187="","",ROW()-4)</f>
        <v/>
      </c>
      <c r="B187" s="25"/>
      <c r="C187" s="24"/>
      <c r="D187" s="24"/>
      <c r="E187" s="30" t="str">
        <f aca="false">IF($C187="","",$C187&amp;" ｜ "&amp;$D187)</f>
        <v/>
      </c>
      <c r="F187" s="25"/>
      <c r="G187" s="25"/>
      <c r="H187" s="25"/>
      <c r="I187" s="25"/>
      <c r="J187" s="25"/>
      <c r="K187" s="21"/>
      <c r="L187" s="21"/>
      <c r="M187" s="21"/>
      <c r="N187" s="25"/>
      <c r="O187" s="25"/>
      <c r="P187" s="32"/>
      <c r="Q187" s="25"/>
      <c r="R187" s="25"/>
      <c r="S187" s="33"/>
      <c r="T187" s="33"/>
      <c r="U187" s="33"/>
      <c r="V187" s="33"/>
      <c r="W187" s="25"/>
      <c r="X187" s="25"/>
      <c r="Y187" s="25"/>
      <c r="Z187" s="33"/>
      <c r="AA187" s="34" t="str">
        <f aca="true">IF($T187="","",IF($T187&lt;TODAY(),"已过期 "&amp;TEXT(TODAY()-$T187,"0")&amp;" 天",IF($T187-TODAY()&lt;=年检提醒天,"还剩 "&amp;TEXT($T187-TODAY(),"0")&amp;" 天","")))</f>
        <v/>
      </c>
      <c r="AB187" s="34" t="str">
        <f aca="true">IF(COUNT($U187:$V187)=0,"",IF(MIN($U187:$V187)&lt;TODAY(),"已过期 "&amp;TEXT(TODAY()-MIN($U187:$V187),"0")&amp;" 天",IF(MIN($U187:$V187)-TODAY()&lt;=年检提醒天,"还剩 "&amp;TEXT(MIN($U187:$V187)-TODAY(),"0")&amp;" 天","")))</f>
        <v/>
      </c>
      <c r="AC187" s="34" t="str">
        <f aca="true">IF($C187="","",IF(OR($Y187="安装免保",$Y187="技术免保",$Y187="质保期内"),IF($Z187="","▲免保没填到期日",IF($Z187&lt;TODAY(),"▲免保已到期 该转收费了",IF($Z187-TODAY()&lt;=合同提醒天,"免保还剩 "&amp;TEXT($Z187-TODAY(),"0")&amp;" 天","免保中"))),IF($Y187="暂停维保","暂停中 不计费",IF($Y187="已解约","已解约",IF(COUNTIF(合同键,$E187)=0,"▲还没建合同行","")))))</f>
        <v/>
      </c>
      <c r="AD187" s="24"/>
      <c r="AE187" s="35" t="str">
        <f aca="false">IF($C187="","",IF($D187="","★项目名称没填",IF(N($P187)&lt;=0,"★台量要填",IF(AND(OR($Y187="安装免保",$Y187="技术免保",$Y187="质保期内"),$Z187=""),"★免保到期日没填",IF(COUNTIF(合同键,$E187)=0,"★还没建合同行","OK")))))</f>
        <v/>
      </c>
    </row>
    <row r="188" customFormat="false" ht="15" hidden="false" customHeight="false" outlineLevel="0" collapsed="false">
      <c r="A188" s="29" t="str">
        <f aca="false">IF($C188="","",ROW()-4)</f>
        <v/>
      </c>
      <c r="B188" s="25"/>
      <c r="C188" s="24"/>
      <c r="D188" s="24"/>
      <c r="E188" s="30" t="str">
        <f aca="false">IF($C188="","",$C188&amp;" ｜ "&amp;$D188)</f>
        <v/>
      </c>
      <c r="F188" s="25"/>
      <c r="G188" s="25"/>
      <c r="H188" s="25"/>
      <c r="I188" s="25"/>
      <c r="J188" s="25"/>
      <c r="K188" s="21"/>
      <c r="L188" s="21"/>
      <c r="M188" s="21"/>
      <c r="N188" s="25"/>
      <c r="O188" s="25"/>
      <c r="P188" s="32"/>
      <c r="Q188" s="25"/>
      <c r="R188" s="25"/>
      <c r="S188" s="33"/>
      <c r="T188" s="33"/>
      <c r="U188" s="33"/>
      <c r="V188" s="33"/>
      <c r="W188" s="25"/>
      <c r="X188" s="25"/>
      <c r="Y188" s="25"/>
      <c r="Z188" s="33"/>
      <c r="AA188" s="34" t="str">
        <f aca="true">IF($T188="","",IF($T188&lt;TODAY(),"已过期 "&amp;TEXT(TODAY()-$T188,"0")&amp;" 天",IF($T188-TODAY()&lt;=年检提醒天,"还剩 "&amp;TEXT($T188-TODAY(),"0")&amp;" 天","")))</f>
        <v/>
      </c>
      <c r="AB188" s="34" t="str">
        <f aca="true">IF(COUNT($U188:$V188)=0,"",IF(MIN($U188:$V188)&lt;TODAY(),"已过期 "&amp;TEXT(TODAY()-MIN($U188:$V188),"0")&amp;" 天",IF(MIN($U188:$V188)-TODAY()&lt;=年检提醒天,"还剩 "&amp;TEXT(MIN($U188:$V188)-TODAY(),"0")&amp;" 天","")))</f>
        <v/>
      </c>
      <c r="AC188" s="34" t="str">
        <f aca="true">IF($C188="","",IF(OR($Y188="安装免保",$Y188="技术免保",$Y188="质保期内"),IF($Z188="","▲免保没填到期日",IF($Z188&lt;TODAY(),"▲免保已到期 该转收费了",IF($Z188-TODAY()&lt;=合同提醒天,"免保还剩 "&amp;TEXT($Z188-TODAY(),"0")&amp;" 天","免保中"))),IF($Y188="暂停维保","暂停中 不计费",IF($Y188="已解约","已解约",IF(COUNTIF(合同键,$E188)=0,"▲还没建合同行","")))))</f>
        <v/>
      </c>
      <c r="AD188" s="24"/>
      <c r="AE188" s="35" t="str">
        <f aca="false">IF($C188="","",IF($D188="","★项目名称没填",IF(N($P188)&lt;=0,"★台量要填",IF(AND(OR($Y188="安装免保",$Y188="技术免保",$Y188="质保期内"),$Z188=""),"★免保到期日没填",IF(COUNTIF(合同键,$E188)=0,"★还没建合同行","OK")))))</f>
        <v/>
      </c>
    </row>
    <row r="189" customFormat="false" ht="15" hidden="false" customHeight="false" outlineLevel="0" collapsed="false">
      <c r="A189" s="29" t="str">
        <f aca="false">IF($C189="","",ROW()-4)</f>
        <v/>
      </c>
      <c r="B189" s="25"/>
      <c r="C189" s="24"/>
      <c r="D189" s="24"/>
      <c r="E189" s="30" t="str">
        <f aca="false">IF($C189="","",$C189&amp;" ｜ "&amp;$D189)</f>
        <v/>
      </c>
      <c r="F189" s="25"/>
      <c r="G189" s="25"/>
      <c r="H189" s="25"/>
      <c r="I189" s="25"/>
      <c r="J189" s="25"/>
      <c r="K189" s="21"/>
      <c r="L189" s="21"/>
      <c r="M189" s="21"/>
      <c r="N189" s="25"/>
      <c r="O189" s="25"/>
      <c r="P189" s="32"/>
      <c r="Q189" s="25"/>
      <c r="R189" s="25"/>
      <c r="S189" s="33"/>
      <c r="T189" s="33"/>
      <c r="U189" s="33"/>
      <c r="V189" s="33"/>
      <c r="W189" s="25"/>
      <c r="X189" s="25"/>
      <c r="Y189" s="25"/>
      <c r="Z189" s="33"/>
      <c r="AA189" s="34" t="str">
        <f aca="true">IF($T189="","",IF($T189&lt;TODAY(),"已过期 "&amp;TEXT(TODAY()-$T189,"0")&amp;" 天",IF($T189-TODAY()&lt;=年检提醒天,"还剩 "&amp;TEXT($T189-TODAY(),"0")&amp;" 天","")))</f>
        <v/>
      </c>
      <c r="AB189" s="34" t="str">
        <f aca="true">IF(COUNT($U189:$V189)=0,"",IF(MIN($U189:$V189)&lt;TODAY(),"已过期 "&amp;TEXT(TODAY()-MIN($U189:$V189),"0")&amp;" 天",IF(MIN($U189:$V189)-TODAY()&lt;=年检提醒天,"还剩 "&amp;TEXT(MIN($U189:$V189)-TODAY(),"0")&amp;" 天","")))</f>
        <v/>
      </c>
      <c r="AC189" s="34" t="str">
        <f aca="true">IF($C189="","",IF(OR($Y189="安装免保",$Y189="技术免保",$Y189="质保期内"),IF($Z189="","▲免保没填到期日",IF($Z189&lt;TODAY(),"▲免保已到期 该转收费了",IF($Z189-TODAY()&lt;=合同提醒天,"免保还剩 "&amp;TEXT($Z189-TODAY(),"0")&amp;" 天","免保中"))),IF($Y189="暂停维保","暂停中 不计费",IF($Y189="已解约","已解约",IF(COUNTIF(合同键,$E189)=0,"▲还没建合同行","")))))</f>
        <v/>
      </c>
      <c r="AD189" s="24"/>
      <c r="AE189" s="35" t="str">
        <f aca="false">IF($C189="","",IF($D189="","★项目名称没填",IF(N($P189)&lt;=0,"★台量要填",IF(AND(OR($Y189="安装免保",$Y189="技术免保",$Y189="质保期内"),$Z189=""),"★免保到期日没填",IF(COUNTIF(合同键,$E189)=0,"★还没建合同行","OK")))))</f>
        <v/>
      </c>
    </row>
    <row r="190" customFormat="false" ht="15" hidden="false" customHeight="false" outlineLevel="0" collapsed="false">
      <c r="A190" s="29" t="str">
        <f aca="false">IF($C190="","",ROW()-4)</f>
        <v/>
      </c>
      <c r="B190" s="25"/>
      <c r="C190" s="24"/>
      <c r="D190" s="24"/>
      <c r="E190" s="30" t="str">
        <f aca="false">IF($C190="","",$C190&amp;" ｜ "&amp;$D190)</f>
        <v/>
      </c>
      <c r="F190" s="25"/>
      <c r="G190" s="25"/>
      <c r="H190" s="25"/>
      <c r="I190" s="25"/>
      <c r="J190" s="25"/>
      <c r="K190" s="21"/>
      <c r="L190" s="21"/>
      <c r="M190" s="21"/>
      <c r="N190" s="25"/>
      <c r="O190" s="25"/>
      <c r="P190" s="32"/>
      <c r="Q190" s="25"/>
      <c r="R190" s="25"/>
      <c r="S190" s="33"/>
      <c r="T190" s="33"/>
      <c r="U190" s="33"/>
      <c r="V190" s="33"/>
      <c r="W190" s="25"/>
      <c r="X190" s="25"/>
      <c r="Y190" s="25"/>
      <c r="Z190" s="33"/>
      <c r="AA190" s="34" t="str">
        <f aca="true">IF($T190="","",IF($T190&lt;TODAY(),"已过期 "&amp;TEXT(TODAY()-$T190,"0")&amp;" 天",IF($T190-TODAY()&lt;=年检提醒天,"还剩 "&amp;TEXT($T190-TODAY(),"0")&amp;" 天","")))</f>
        <v/>
      </c>
      <c r="AB190" s="34" t="str">
        <f aca="true">IF(COUNT($U190:$V190)=0,"",IF(MIN($U190:$V190)&lt;TODAY(),"已过期 "&amp;TEXT(TODAY()-MIN($U190:$V190),"0")&amp;" 天",IF(MIN($U190:$V190)-TODAY()&lt;=年检提醒天,"还剩 "&amp;TEXT(MIN($U190:$V190)-TODAY(),"0")&amp;" 天","")))</f>
        <v/>
      </c>
      <c r="AC190" s="34" t="str">
        <f aca="true">IF($C190="","",IF(OR($Y190="安装免保",$Y190="技术免保",$Y190="质保期内"),IF($Z190="","▲免保没填到期日",IF($Z190&lt;TODAY(),"▲免保已到期 该转收费了",IF($Z190-TODAY()&lt;=合同提醒天,"免保还剩 "&amp;TEXT($Z190-TODAY(),"0")&amp;" 天","免保中"))),IF($Y190="暂停维保","暂停中 不计费",IF($Y190="已解约","已解约",IF(COUNTIF(合同键,$E190)=0,"▲还没建合同行","")))))</f>
        <v/>
      </c>
      <c r="AD190" s="24"/>
      <c r="AE190" s="35" t="str">
        <f aca="false">IF($C190="","",IF($D190="","★项目名称没填",IF(N($P190)&lt;=0,"★台量要填",IF(AND(OR($Y190="安装免保",$Y190="技术免保",$Y190="质保期内"),$Z190=""),"★免保到期日没填",IF(COUNTIF(合同键,$E190)=0,"★还没建合同行","OK")))))</f>
        <v/>
      </c>
    </row>
    <row r="191" customFormat="false" ht="15" hidden="false" customHeight="false" outlineLevel="0" collapsed="false">
      <c r="A191" s="29" t="str">
        <f aca="false">IF($C191="","",ROW()-4)</f>
        <v/>
      </c>
      <c r="B191" s="25"/>
      <c r="C191" s="24"/>
      <c r="D191" s="24"/>
      <c r="E191" s="30" t="str">
        <f aca="false">IF($C191="","",$C191&amp;" ｜ "&amp;$D191)</f>
        <v/>
      </c>
      <c r="F191" s="25"/>
      <c r="G191" s="25"/>
      <c r="H191" s="25"/>
      <c r="I191" s="25"/>
      <c r="J191" s="25"/>
      <c r="K191" s="21"/>
      <c r="L191" s="21"/>
      <c r="M191" s="21"/>
      <c r="N191" s="25"/>
      <c r="O191" s="25"/>
      <c r="P191" s="32"/>
      <c r="Q191" s="25"/>
      <c r="R191" s="25"/>
      <c r="S191" s="33"/>
      <c r="T191" s="33"/>
      <c r="U191" s="33"/>
      <c r="V191" s="33"/>
      <c r="W191" s="25"/>
      <c r="X191" s="25"/>
      <c r="Y191" s="25"/>
      <c r="Z191" s="33"/>
      <c r="AA191" s="34" t="str">
        <f aca="true">IF($T191="","",IF($T191&lt;TODAY(),"已过期 "&amp;TEXT(TODAY()-$T191,"0")&amp;" 天",IF($T191-TODAY()&lt;=年检提醒天,"还剩 "&amp;TEXT($T191-TODAY(),"0")&amp;" 天","")))</f>
        <v/>
      </c>
      <c r="AB191" s="34" t="str">
        <f aca="true">IF(COUNT($U191:$V191)=0,"",IF(MIN($U191:$V191)&lt;TODAY(),"已过期 "&amp;TEXT(TODAY()-MIN($U191:$V191),"0")&amp;" 天",IF(MIN($U191:$V191)-TODAY()&lt;=年检提醒天,"还剩 "&amp;TEXT(MIN($U191:$V191)-TODAY(),"0")&amp;" 天","")))</f>
        <v/>
      </c>
      <c r="AC191" s="34" t="str">
        <f aca="true">IF($C191="","",IF(OR($Y191="安装免保",$Y191="技术免保",$Y191="质保期内"),IF($Z191="","▲免保没填到期日",IF($Z191&lt;TODAY(),"▲免保已到期 该转收费了",IF($Z191-TODAY()&lt;=合同提醒天,"免保还剩 "&amp;TEXT($Z191-TODAY(),"0")&amp;" 天","免保中"))),IF($Y191="暂停维保","暂停中 不计费",IF($Y191="已解约","已解约",IF(COUNTIF(合同键,$E191)=0,"▲还没建合同行","")))))</f>
        <v/>
      </c>
      <c r="AD191" s="24"/>
      <c r="AE191" s="35" t="str">
        <f aca="false">IF($C191="","",IF($D191="","★项目名称没填",IF(N($P191)&lt;=0,"★台量要填",IF(AND(OR($Y191="安装免保",$Y191="技术免保",$Y191="质保期内"),$Z191=""),"★免保到期日没填",IF(COUNTIF(合同键,$E191)=0,"★还没建合同行","OK")))))</f>
        <v/>
      </c>
    </row>
    <row r="192" customFormat="false" ht="15" hidden="false" customHeight="false" outlineLevel="0" collapsed="false">
      <c r="A192" s="29" t="str">
        <f aca="false">IF($C192="","",ROW()-4)</f>
        <v/>
      </c>
      <c r="B192" s="25"/>
      <c r="C192" s="24"/>
      <c r="D192" s="24"/>
      <c r="E192" s="30" t="str">
        <f aca="false">IF($C192="","",$C192&amp;" ｜ "&amp;$D192)</f>
        <v/>
      </c>
      <c r="F192" s="25"/>
      <c r="G192" s="25"/>
      <c r="H192" s="25"/>
      <c r="I192" s="25"/>
      <c r="J192" s="25"/>
      <c r="K192" s="21"/>
      <c r="L192" s="21"/>
      <c r="M192" s="21"/>
      <c r="N192" s="25"/>
      <c r="O192" s="25"/>
      <c r="P192" s="32"/>
      <c r="Q192" s="25"/>
      <c r="R192" s="25"/>
      <c r="S192" s="33"/>
      <c r="T192" s="33"/>
      <c r="U192" s="33"/>
      <c r="V192" s="33"/>
      <c r="W192" s="25"/>
      <c r="X192" s="25"/>
      <c r="Y192" s="25"/>
      <c r="Z192" s="33"/>
      <c r="AA192" s="34" t="str">
        <f aca="true">IF($T192="","",IF($T192&lt;TODAY(),"已过期 "&amp;TEXT(TODAY()-$T192,"0")&amp;" 天",IF($T192-TODAY()&lt;=年检提醒天,"还剩 "&amp;TEXT($T192-TODAY(),"0")&amp;" 天","")))</f>
        <v/>
      </c>
      <c r="AB192" s="34" t="str">
        <f aca="true">IF(COUNT($U192:$V192)=0,"",IF(MIN($U192:$V192)&lt;TODAY(),"已过期 "&amp;TEXT(TODAY()-MIN($U192:$V192),"0")&amp;" 天",IF(MIN($U192:$V192)-TODAY()&lt;=年检提醒天,"还剩 "&amp;TEXT(MIN($U192:$V192)-TODAY(),"0")&amp;" 天","")))</f>
        <v/>
      </c>
      <c r="AC192" s="34" t="str">
        <f aca="true">IF($C192="","",IF(OR($Y192="安装免保",$Y192="技术免保",$Y192="质保期内"),IF($Z192="","▲免保没填到期日",IF($Z192&lt;TODAY(),"▲免保已到期 该转收费了",IF($Z192-TODAY()&lt;=合同提醒天,"免保还剩 "&amp;TEXT($Z192-TODAY(),"0")&amp;" 天","免保中"))),IF($Y192="暂停维保","暂停中 不计费",IF($Y192="已解约","已解约",IF(COUNTIF(合同键,$E192)=0,"▲还没建合同行","")))))</f>
        <v/>
      </c>
      <c r="AD192" s="24"/>
      <c r="AE192" s="35" t="str">
        <f aca="false">IF($C192="","",IF($D192="","★项目名称没填",IF(N($P192)&lt;=0,"★台量要填",IF(AND(OR($Y192="安装免保",$Y192="技术免保",$Y192="质保期内"),$Z192=""),"★免保到期日没填",IF(COUNTIF(合同键,$E192)=0,"★还没建合同行","OK")))))</f>
        <v/>
      </c>
    </row>
    <row r="193" customFormat="false" ht="15" hidden="false" customHeight="false" outlineLevel="0" collapsed="false">
      <c r="A193" s="29" t="str">
        <f aca="false">IF($C193="","",ROW()-4)</f>
        <v/>
      </c>
      <c r="B193" s="25"/>
      <c r="C193" s="24"/>
      <c r="D193" s="24"/>
      <c r="E193" s="30" t="str">
        <f aca="false">IF($C193="","",$C193&amp;" ｜ "&amp;$D193)</f>
        <v/>
      </c>
      <c r="F193" s="25"/>
      <c r="G193" s="25"/>
      <c r="H193" s="25"/>
      <c r="I193" s="25"/>
      <c r="J193" s="25"/>
      <c r="K193" s="21"/>
      <c r="L193" s="21"/>
      <c r="M193" s="21"/>
      <c r="N193" s="25"/>
      <c r="O193" s="25"/>
      <c r="P193" s="32"/>
      <c r="Q193" s="25"/>
      <c r="R193" s="25"/>
      <c r="S193" s="33"/>
      <c r="T193" s="33"/>
      <c r="U193" s="33"/>
      <c r="V193" s="33"/>
      <c r="W193" s="25"/>
      <c r="X193" s="25"/>
      <c r="Y193" s="25"/>
      <c r="Z193" s="33"/>
      <c r="AA193" s="34" t="str">
        <f aca="true">IF($T193="","",IF($T193&lt;TODAY(),"已过期 "&amp;TEXT(TODAY()-$T193,"0")&amp;" 天",IF($T193-TODAY()&lt;=年检提醒天,"还剩 "&amp;TEXT($T193-TODAY(),"0")&amp;" 天","")))</f>
        <v/>
      </c>
      <c r="AB193" s="34" t="str">
        <f aca="true">IF(COUNT($U193:$V193)=0,"",IF(MIN($U193:$V193)&lt;TODAY(),"已过期 "&amp;TEXT(TODAY()-MIN($U193:$V193),"0")&amp;" 天",IF(MIN($U193:$V193)-TODAY()&lt;=年检提醒天,"还剩 "&amp;TEXT(MIN($U193:$V193)-TODAY(),"0")&amp;" 天","")))</f>
        <v/>
      </c>
      <c r="AC193" s="34" t="str">
        <f aca="true">IF($C193="","",IF(OR($Y193="安装免保",$Y193="技术免保",$Y193="质保期内"),IF($Z193="","▲免保没填到期日",IF($Z193&lt;TODAY(),"▲免保已到期 该转收费了",IF($Z193-TODAY()&lt;=合同提醒天,"免保还剩 "&amp;TEXT($Z193-TODAY(),"0")&amp;" 天","免保中"))),IF($Y193="暂停维保","暂停中 不计费",IF($Y193="已解约","已解约",IF(COUNTIF(合同键,$E193)=0,"▲还没建合同行","")))))</f>
        <v/>
      </c>
      <c r="AD193" s="24"/>
      <c r="AE193" s="35" t="str">
        <f aca="false">IF($C193="","",IF($D193="","★项目名称没填",IF(N($P193)&lt;=0,"★台量要填",IF(AND(OR($Y193="安装免保",$Y193="技术免保",$Y193="质保期内"),$Z193=""),"★免保到期日没填",IF(COUNTIF(合同键,$E193)=0,"★还没建合同行","OK")))))</f>
        <v/>
      </c>
    </row>
    <row r="194" customFormat="false" ht="15" hidden="false" customHeight="false" outlineLevel="0" collapsed="false">
      <c r="A194" s="29" t="str">
        <f aca="false">IF($C194="","",ROW()-4)</f>
        <v/>
      </c>
      <c r="B194" s="25"/>
      <c r="C194" s="24"/>
      <c r="D194" s="24"/>
      <c r="E194" s="30" t="str">
        <f aca="false">IF($C194="","",$C194&amp;" ｜ "&amp;$D194)</f>
        <v/>
      </c>
      <c r="F194" s="25"/>
      <c r="G194" s="25"/>
      <c r="H194" s="25"/>
      <c r="I194" s="25"/>
      <c r="J194" s="25"/>
      <c r="K194" s="21"/>
      <c r="L194" s="21"/>
      <c r="M194" s="21"/>
      <c r="N194" s="25"/>
      <c r="O194" s="25"/>
      <c r="P194" s="32"/>
      <c r="Q194" s="25"/>
      <c r="R194" s="25"/>
      <c r="S194" s="33"/>
      <c r="T194" s="33"/>
      <c r="U194" s="33"/>
      <c r="V194" s="33"/>
      <c r="W194" s="25"/>
      <c r="X194" s="25"/>
      <c r="Y194" s="25"/>
      <c r="Z194" s="33"/>
      <c r="AA194" s="34" t="str">
        <f aca="true">IF($T194="","",IF($T194&lt;TODAY(),"已过期 "&amp;TEXT(TODAY()-$T194,"0")&amp;" 天",IF($T194-TODAY()&lt;=年检提醒天,"还剩 "&amp;TEXT($T194-TODAY(),"0")&amp;" 天","")))</f>
        <v/>
      </c>
      <c r="AB194" s="34" t="str">
        <f aca="true">IF(COUNT($U194:$V194)=0,"",IF(MIN($U194:$V194)&lt;TODAY(),"已过期 "&amp;TEXT(TODAY()-MIN($U194:$V194),"0")&amp;" 天",IF(MIN($U194:$V194)-TODAY()&lt;=年检提醒天,"还剩 "&amp;TEXT(MIN($U194:$V194)-TODAY(),"0")&amp;" 天","")))</f>
        <v/>
      </c>
      <c r="AC194" s="34" t="str">
        <f aca="true">IF($C194="","",IF(OR($Y194="安装免保",$Y194="技术免保",$Y194="质保期内"),IF($Z194="","▲免保没填到期日",IF($Z194&lt;TODAY(),"▲免保已到期 该转收费了",IF($Z194-TODAY()&lt;=合同提醒天,"免保还剩 "&amp;TEXT($Z194-TODAY(),"0")&amp;" 天","免保中"))),IF($Y194="暂停维保","暂停中 不计费",IF($Y194="已解约","已解约",IF(COUNTIF(合同键,$E194)=0,"▲还没建合同行","")))))</f>
        <v/>
      </c>
      <c r="AD194" s="24"/>
      <c r="AE194" s="35" t="str">
        <f aca="false">IF($C194="","",IF($D194="","★项目名称没填",IF(N($P194)&lt;=0,"★台量要填",IF(AND(OR($Y194="安装免保",$Y194="技术免保",$Y194="质保期内"),$Z194=""),"★免保到期日没填",IF(COUNTIF(合同键,$E194)=0,"★还没建合同行","OK")))))</f>
        <v/>
      </c>
    </row>
    <row r="195" customFormat="false" ht="15" hidden="false" customHeight="false" outlineLevel="0" collapsed="false">
      <c r="A195" s="29" t="str">
        <f aca="false">IF($C195="","",ROW()-4)</f>
        <v/>
      </c>
      <c r="B195" s="25"/>
      <c r="C195" s="24"/>
      <c r="D195" s="24"/>
      <c r="E195" s="30" t="str">
        <f aca="false">IF($C195="","",$C195&amp;" ｜ "&amp;$D195)</f>
        <v/>
      </c>
      <c r="F195" s="25"/>
      <c r="G195" s="25"/>
      <c r="H195" s="25"/>
      <c r="I195" s="25"/>
      <c r="J195" s="25"/>
      <c r="K195" s="21"/>
      <c r="L195" s="21"/>
      <c r="M195" s="21"/>
      <c r="N195" s="25"/>
      <c r="O195" s="25"/>
      <c r="P195" s="32"/>
      <c r="Q195" s="25"/>
      <c r="R195" s="25"/>
      <c r="S195" s="33"/>
      <c r="T195" s="33"/>
      <c r="U195" s="33"/>
      <c r="V195" s="33"/>
      <c r="W195" s="25"/>
      <c r="X195" s="25"/>
      <c r="Y195" s="25"/>
      <c r="Z195" s="33"/>
      <c r="AA195" s="34" t="str">
        <f aca="true">IF($T195="","",IF($T195&lt;TODAY(),"已过期 "&amp;TEXT(TODAY()-$T195,"0")&amp;" 天",IF($T195-TODAY()&lt;=年检提醒天,"还剩 "&amp;TEXT($T195-TODAY(),"0")&amp;" 天","")))</f>
        <v/>
      </c>
      <c r="AB195" s="34" t="str">
        <f aca="true">IF(COUNT($U195:$V195)=0,"",IF(MIN($U195:$V195)&lt;TODAY(),"已过期 "&amp;TEXT(TODAY()-MIN($U195:$V195),"0")&amp;" 天",IF(MIN($U195:$V195)-TODAY()&lt;=年检提醒天,"还剩 "&amp;TEXT(MIN($U195:$V195)-TODAY(),"0")&amp;" 天","")))</f>
        <v/>
      </c>
      <c r="AC195" s="34" t="str">
        <f aca="true">IF($C195="","",IF(OR($Y195="安装免保",$Y195="技术免保",$Y195="质保期内"),IF($Z195="","▲免保没填到期日",IF($Z195&lt;TODAY(),"▲免保已到期 该转收费了",IF($Z195-TODAY()&lt;=合同提醒天,"免保还剩 "&amp;TEXT($Z195-TODAY(),"0")&amp;" 天","免保中"))),IF($Y195="暂停维保","暂停中 不计费",IF($Y195="已解约","已解约",IF(COUNTIF(合同键,$E195)=0,"▲还没建合同行","")))))</f>
        <v/>
      </c>
      <c r="AD195" s="24"/>
      <c r="AE195" s="35" t="str">
        <f aca="false">IF($C195="","",IF($D195="","★项目名称没填",IF(N($P195)&lt;=0,"★台量要填",IF(AND(OR($Y195="安装免保",$Y195="技术免保",$Y195="质保期内"),$Z195=""),"★免保到期日没填",IF(COUNTIF(合同键,$E195)=0,"★还没建合同行","OK")))))</f>
        <v/>
      </c>
    </row>
    <row r="196" customFormat="false" ht="15" hidden="false" customHeight="false" outlineLevel="0" collapsed="false">
      <c r="A196" s="29" t="str">
        <f aca="false">IF($C196="","",ROW()-4)</f>
        <v/>
      </c>
      <c r="B196" s="25"/>
      <c r="C196" s="24"/>
      <c r="D196" s="24"/>
      <c r="E196" s="30" t="str">
        <f aca="false">IF($C196="","",$C196&amp;" ｜ "&amp;$D196)</f>
        <v/>
      </c>
      <c r="F196" s="25"/>
      <c r="G196" s="25"/>
      <c r="H196" s="25"/>
      <c r="I196" s="25"/>
      <c r="J196" s="25"/>
      <c r="K196" s="21"/>
      <c r="L196" s="21"/>
      <c r="M196" s="21"/>
      <c r="N196" s="25"/>
      <c r="O196" s="25"/>
      <c r="P196" s="32"/>
      <c r="Q196" s="25"/>
      <c r="R196" s="25"/>
      <c r="S196" s="33"/>
      <c r="T196" s="33"/>
      <c r="U196" s="33"/>
      <c r="V196" s="33"/>
      <c r="W196" s="25"/>
      <c r="X196" s="25"/>
      <c r="Y196" s="25"/>
      <c r="Z196" s="33"/>
      <c r="AA196" s="34" t="str">
        <f aca="true">IF($T196="","",IF($T196&lt;TODAY(),"已过期 "&amp;TEXT(TODAY()-$T196,"0")&amp;" 天",IF($T196-TODAY()&lt;=年检提醒天,"还剩 "&amp;TEXT($T196-TODAY(),"0")&amp;" 天","")))</f>
        <v/>
      </c>
      <c r="AB196" s="34" t="str">
        <f aca="true">IF(COUNT($U196:$V196)=0,"",IF(MIN($U196:$V196)&lt;TODAY(),"已过期 "&amp;TEXT(TODAY()-MIN($U196:$V196),"0")&amp;" 天",IF(MIN($U196:$V196)-TODAY()&lt;=年检提醒天,"还剩 "&amp;TEXT(MIN($U196:$V196)-TODAY(),"0")&amp;" 天","")))</f>
        <v/>
      </c>
      <c r="AC196" s="34" t="str">
        <f aca="true">IF($C196="","",IF(OR($Y196="安装免保",$Y196="技术免保",$Y196="质保期内"),IF($Z196="","▲免保没填到期日",IF($Z196&lt;TODAY(),"▲免保已到期 该转收费了",IF($Z196-TODAY()&lt;=合同提醒天,"免保还剩 "&amp;TEXT($Z196-TODAY(),"0")&amp;" 天","免保中"))),IF($Y196="暂停维保","暂停中 不计费",IF($Y196="已解约","已解约",IF(COUNTIF(合同键,$E196)=0,"▲还没建合同行","")))))</f>
        <v/>
      </c>
      <c r="AD196" s="24"/>
      <c r="AE196" s="35" t="str">
        <f aca="false">IF($C196="","",IF($D196="","★项目名称没填",IF(N($P196)&lt;=0,"★台量要填",IF(AND(OR($Y196="安装免保",$Y196="技术免保",$Y196="质保期内"),$Z196=""),"★免保到期日没填",IF(COUNTIF(合同键,$E196)=0,"★还没建合同行","OK")))))</f>
        <v/>
      </c>
    </row>
    <row r="197" customFormat="false" ht="15" hidden="false" customHeight="false" outlineLevel="0" collapsed="false">
      <c r="A197" s="29" t="str">
        <f aca="false">IF($C197="","",ROW()-4)</f>
        <v/>
      </c>
      <c r="B197" s="25"/>
      <c r="C197" s="24"/>
      <c r="D197" s="24"/>
      <c r="E197" s="30" t="str">
        <f aca="false">IF($C197="","",$C197&amp;" ｜ "&amp;$D197)</f>
        <v/>
      </c>
      <c r="F197" s="25"/>
      <c r="G197" s="25"/>
      <c r="H197" s="25"/>
      <c r="I197" s="25"/>
      <c r="J197" s="25"/>
      <c r="K197" s="21"/>
      <c r="L197" s="21"/>
      <c r="M197" s="21"/>
      <c r="N197" s="25"/>
      <c r="O197" s="25"/>
      <c r="P197" s="32"/>
      <c r="Q197" s="25"/>
      <c r="R197" s="25"/>
      <c r="S197" s="33"/>
      <c r="T197" s="33"/>
      <c r="U197" s="33"/>
      <c r="V197" s="33"/>
      <c r="W197" s="25"/>
      <c r="X197" s="25"/>
      <c r="Y197" s="25"/>
      <c r="Z197" s="33"/>
      <c r="AA197" s="34" t="str">
        <f aca="true">IF($T197="","",IF($T197&lt;TODAY(),"已过期 "&amp;TEXT(TODAY()-$T197,"0")&amp;" 天",IF($T197-TODAY()&lt;=年检提醒天,"还剩 "&amp;TEXT($T197-TODAY(),"0")&amp;" 天","")))</f>
        <v/>
      </c>
      <c r="AB197" s="34" t="str">
        <f aca="true">IF(COUNT($U197:$V197)=0,"",IF(MIN($U197:$V197)&lt;TODAY(),"已过期 "&amp;TEXT(TODAY()-MIN($U197:$V197),"0")&amp;" 天",IF(MIN($U197:$V197)-TODAY()&lt;=年检提醒天,"还剩 "&amp;TEXT(MIN($U197:$V197)-TODAY(),"0")&amp;" 天","")))</f>
        <v/>
      </c>
      <c r="AC197" s="34" t="str">
        <f aca="true">IF($C197="","",IF(OR($Y197="安装免保",$Y197="技术免保",$Y197="质保期内"),IF($Z197="","▲免保没填到期日",IF($Z197&lt;TODAY(),"▲免保已到期 该转收费了",IF($Z197-TODAY()&lt;=合同提醒天,"免保还剩 "&amp;TEXT($Z197-TODAY(),"0")&amp;" 天","免保中"))),IF($Y197="暂停维保","暂停中 不计费",IF($Y197="已解约","已解约",IF(COUNTIF(合同键,$E197)=0,"▲还没建合同行","")))))</f>
        <v/>
      </c>
      <c r="AD197" s="24"/>
      <c r="AE197" s="35" t="str">
        <f aca="false">IF($C197="","",IF($D197="","★项目名称没填",IF(N($P197)&lt;=0,"★台量要填",IF(AND(OR($Y197="安装免保",$Y197="技术免保",$Y197="质保期内"),$Z197=""),"★免保到期日没填",IF(COUNTIF(合同键,$E197)=0,"★还没建合同行","OK")))))</f>
        <v/>
      </c>
    </row>
    <row r="198" customFormat="false" ht="15" hidden="false" customHeight="false" outlineLevel="0" collapsed="false">
      <c r="A198" s="29" t="str">
        <f aca="false">IF($C198="","",ROW()-4)</f>
        <v/>
      </c>
      <c r="B198" s="25"/>
      <c r="C198" s="24"/>
      <c r="D198" s="24"/>
      <c r="E198" s="30" t="str">
        <f aca="false">IF($C198="","",$C198&amp;" ｜ "&amp;$D198)</f>
        <v/>
      </c>
      <c r="F198" s="25"/>
      <c r="G198" s="25"/>
      <c r="H198" s="25"/>
      <c r="I198" s="25"/>
      <c r="J198" s="25"/>
      <c r="K198" s="21"/>
      <c r="L198" s="21"/>
      <c r="M198" s="21"/>
      <c r="N198" s="25"/>
      <c r="O198" s="25"/>
      <c r="P198" s="32"/>
      <c r="Q198" s="25"/>
      <c r="R198" s="25"/>
      <c r="S198" s="33"/>
      <c r="T198" s="33"/>
      <c r="U198" s="33"/>
      <c r="V198" s="33"/>
      <c r="W198" s="25"/>
      <c r="X198" s="25"/>
      <c r="Y198" s="25"/>
      <c r="Z198" s="33"/>
      <c r="AA198" s="34" t="str">
        <f aca="true">IF($T198="","",IF($T198&lt;TODAY(),"已过期 "&amp;TEXT(TODAY()-$T198,"0")&amp;" 天",IF($T198-TODAY()&lt;=年检提醒天,"还剩 "&amp;TEXT($T198-TODAY(),"0")&amp;" 天","")))</f>
        <v/>
      </c>
      <c r="AB198" s="34" t="str">
        <f aca="true">IF(COUNT($U198:$V198)=0,"",IF(MIN($U198:$V198)&lt;TODAY(),"已过期 "&amp;TEXT(TODAY()-MIN($U198:$V198),"0")&amp;" 天",IF(MIN($U198:$V198)-TODAY()&lt;=年检提醒天,"还剩 "&amp;TEXT(MIN($U198:$V198)-TODAY(),"0")&amp;" 天","")))</f>
        <v/>
      </c>
      <c r="AC198" s="34" t="str">
        <f aca="true">IF($C198="","",IF(OR($Y198="安装免保",$Y198="技术免保",$Y198="质保期内"),IF($Z198="","▲免保没填到期日",IF($Z198&lt;TODAY(),"▲免保已到期 该转收费了",IF($Z198-TODAY()&lt;=合同提醒天,"免保还剩 "&amp;TEXT($Z198-TODAY(),"0")&amp;" 天","免保中"))),IF($Y198="暂停维保","暂停中 不计费",IF($Y198="已解约","已解约",IF(COUNTIF(合同键,$E198)=0,"▲还没建合同行","")))))</f>
        <v/>
      </c>
      <c r="AD198" s="24"/>
      <c r="AE198" s="35" t="str">
        <f aca="false">IF($C198="","",IF($D198="","★项目名称没填",IF(N($P198)&lt;=0,"★台量要填",IF(AND(OR($Y198="安装免保",$Y198="技术免保",$Y198="质保期内"),$Z198=""),"★免保到期日没填",IF(COUNTIF(合同键,$E198)=0,"★还没建合同行","OK")))))</f>
        <v/>
      </c>
    </row>
    <row r="199" customFormat="false" ht="15" hidden="false" customHeight="false" outlineLevel="0" collapsed="false">
      <c r="A199" s="29" t="str">
        <f aca="false">IF($C199="","",ROW()-4)</f>
        <v/>
      </c>
      <c r="B199" s="25"/>
      <c r="C199" s="24"/>
      <c r="D199" s="24"/>
      <c r="E199" s="30" t="str">
        <f aca="false">IF($C199="","",$C199&amp;" ｜ "&amp;$D199)</f>
        <v/>
      </c>
      <c r="F199" s="25"/>
      <c r="G199" s="25"/>
      <c r="H199" s="25"/>
      <c r="I199" s="25"/>
      <c r="J199" s="25"/>
      <c r="K199" s="21"/>
      <c r="L199" s="21"/>
      <c r="M199" s="21"/>
      <c r="N199" s="25"/>
      <c r="O199" s="25"/>
      <c r="P199" s="32"/>
      <c r="Q199" s="25"/>
      <c r="R199" s="25"/>
      <c r="S199" s="33"/>
      <c r="T199" s="33"/>
      <c r="U199" s="33"/>
      <c r="V199" s="33"/>
      <c r="W199" s="25"/>
      <c r="X199" s="25"/>
      <c r="Y199" s="25"/>
      <c r="Z199" s="33"/>
      <c r="AA199" s="34" t="str">
        <f aca="true">IF($T199="","",IF($T199&lt;TODAY(),"已过期 "&amp;TEXT(TODAY()-$T199,"0")&amp;" 天",IF($T199-TODAY()&lt;=年检提醒天,"还剩 "&amp;TEXT($T199-TODAY(),"0")&amp;" 天","")))</f>
        <v/>
      </c>
      <c r="AB199" s="34" t="str">
        <f aca="true">IF(COUNT($U199:$V199)=0,"",IF(MIN($U199:$V199)&lt;TODAY(),"已过期 "&amp;TEXT(TODAY()-MIN($U199:$V199),"0")&amp;" 天",IF(MIN($U199:$V199)-TODAY()&lt;=年检提醒天,"还剩 "&amp;TEXT(MIN($U199:$V199)-TODAY(),"0")&amp;" 天","")))</f>
        <v/>
      </c>
      <c r="AC199" s="34" t="str">
        <f aca="true">IF($C199="","",IF(OR($Y199="安装免保",$Y199="技术免保",$Y199="质保期内"),IF($Z199="","▲免保没填到期日",IF($Z199&lt;TODAY(),"▲免保已到期 该转收费了",IF($Z199-TODAY()&lt;=合同提醒天,"免保还剩 "&amp;TEXT($Z199-TODAY(),"0")&amp;" 天","免保中"))),IF($Y199="暂停维保","暂停中 不计费",IF($Y199="已解约","已解约",IF(COUNTIF(合同键,$E199)=0,"▲还没建合同行","")))))</f>
        <v/>
      </c>
      <c r="AD199" s="24"/>
      <c r="AE199" s="35" t="str">
        <f aca="false">IF($C199="","",IF($D199="","★项目名称没填",IF(N($P199)&lt;=0,"★台量要填",IF(AND(OR($Y199="安装免保",$Y199="技术免保",$Y199="质保期内"),$Z199=""),"★免保到期日没填",IF(COUNTIF(合同键,$E199)=0,"★还没建合同行","OK")))))</f>
        <v/>
      </c>
    </row>
    <row r="200" customFormat="false" ht="15" hidden="false" customHeight="false" outlineLevel="0" collapsed="false">
      <c r="A200" s="29" t="str">
        <f aca="false">IF($C200="","",ROW()-4)</f>
        <v/>
      </c>
      <c r="B200" s="25"/>
      <c r="C200" s="24"/>
      <c r="D200" s="24"/>
      <c r="E200" s="30" t="str">
        <f aca="false">IF($C200="","",$C200&amp;" ｜ "&amp;$D200)</f>
        <v/>
      </c>
      <c r="F200" s="25"/>
      <c r="G200" s="25"/>
      <c r="H200" s="25"/>
      <c r="I200" s="25"/>
      <c r="J200" s="25"/>
      <c r="K200" s="21"/>
      <c r="L200" s="21"/>
      <c r="M200" s="21"/>
      <c r="N200" s="25"/>
      <c r="O200" s="25"/>
      <c r="P200" s="32"/>
      <c r="Q200" s="25"/>
      <c r="R200" s="25"/>
      <c r="S200" s="33"/>
      <c r="T200" s="33"/>
      <c r="U200" s="33"/>
      <c r="V200" s="33"/>
      <c r="W200" s="25"/>
      <c r="X200" s="25"/>
      <c r="Y200" s="25"/>
      <c r="Z200" s="33"/>
      <c r="AA200" s="34" t="str">
        <f aca="true">IF($T200="","",IF($T200&lt;TODAY(),"已过期 "&amp;TEXT(TODAY()-$T200,"0")&amp;" 天",IF($T200-TODAY()&lt;=年检提醒天,"还剩 "&amp;TEXT($T200-TODAY(),"0")&amp;" 天","")))</f>
        <v/>
      </c>
      <c r="AB200" s="34" t="str">
        <f aca="true">IF(COUNT($U200:$V200)=0,"",IF(MIN($U200:$V200)&lt;TODAY(),"已过期 "&amp;TEXT(TODAY()-MIN($U200:$V200),"0")&amp;" 天",IF(MIN($U200:$V200)-TODAY()&lt;=年检提醒天,"还剩 "&amp;TEXT(MIN($U200:$V200)-TODAY(),"0")&amp;" 天","")))</f>
        <v/>
      </c>
      <c r="AC200" s="34" t="str">
        <f aca="true">IF($C200="","",IF(OR($Y200="安装免保",$Y200="技术免保",$Y200="质保期内"),IF($Z200="","▲免保没填到期日",IF($Z200&lt;TODAY(),"▲免保已到期 该转收费了",IF($Z200-TODAY()&lt;=合同提醒天,"免保还剩 "&amp;TEXT($Z200-TODAY(),"0")&amp;" 天","免保中"))),IF($Y200="暂停维保","暂停中 不计费",IF($Y200="已解约","已解约",IF(COUNTIF(合同键,$E200)=0,"▲还没建合同行","")))))</f>
        <v/>
      </c>
      <c r="AD200" s="24"/>
      <c r="AE200" s="35" t="str">
        <f aca="false">IF($C200="","",IF($D200="","★项目名称没填",IF(N($P200)&lt;=0,"★台量要填",IF(AND(OR($Y200="安装免保",$Y200="技术免保",$Y200="质保期内"),$Z200=""),"★免保到期日没填",IF(COUNTIF(合同键,$E200)=0,"★还没建合同行","OK")))))</f>
        <v/>
      </c>
    </row>
    <row r="201" customFormat="false" ht="15" hidden="false" customHeight="false" outlineLevel="0" collapsed="false">
      <c r="A201" s="29" t="str">
        <f aca="false">IF($C201="","",ROW()-4)</f>
        <v/>
      </c>
      <c r="B201" s="25"/>
      <c r="C201" s="24"/>
      <c r="D201" s="24"/>
      <c r="E201" s="30" t="str">
        <f aca="false">IF($C201="","",$C201&amp;" ｜ "&amp;$D201)</f>
        <v/>
      </c>
      <c r="F201" s="25"/>
      <c r="G201" s="25"/>
      <c r="H201" s="25"/>
      <c r="I201" s="25"/>
      <c r="J201" s="25"/>
      <c r="K201" s="21"/>
      <c r="L201" s="21"/>
      <c r="M201" s="21"/>
      <c r="N201" s="25"/>
      <c r="O201" s="25"/>
      <c r="P201" s="32"/>
      <c r="Q201" s="25"/>
      <c r="R201" s="25"/>
      <c r="S201" s="33"/>
      <c r="T201" s="33"/>
      <c r="U201" s="33"/>
      <c r="V201" s="33"/>
      <c r="W201" s="25"/>
      <c r="X201" s="25"/>
      <c r="Y201" s="25"/>
      <c r="Z201" s="33"/>
      <c r="AA201" s="34" t="str">
        <f aca="true">IF($T201="","",IF($T201&lt;TODAY(),"已过期 "&amp;TEXT(TODAY()-$T201,"0")&amp;" 天",IF($T201-TODAY()&lt;=年检提醒天,"还剩 "&amp;TEXT($T201-TODAY(),"0")&amp;" 天","")))</f>
        <v/>
      </c>
      <c r="AB201" s="34" t="str">
        <f aca="true">IF(COUNT($U201:$V201)=0,"",IF(MIN($U201:$V201)&lt;TODAY(),"已过期 "&amp;TEXT(TODAY()-MIN($U201:$V201),"0")&amp;" 天",IF(MIN($U201:$V201)-TODAY()&lt;=年检提醒天,"还剩 "&amp;TEXT(MIN($U201:$V201)-TODAY(),"0")&amp;" 天","")))</f>
        <v/>
      </c>
      <c r="AC201" s="34" t="str">
        <f aca="true">IF($C201="","",IF(OR($Y201="安装免保",$Y201="技术免保",$Y201="质保期内"),IF($Z201="","▲免保没填到期日",IF($Z201&lt;TODAY(),"▲免保已到期 该转收费了",IF($Z201-TODAY()&lt;=合同提醒天,"免保还剩 "&amp;TEXT($Z201-TODAY(),"0")&amp;" 天","免保中"))),IF($Y201="暂停维保","暂停中 不计费",IF($Y201="已解约","已解约",IF(COUNTIF(合同键,$E201)=0,"▲还没建合同行","")))))</f>
        <v/>
      </c>
      <c r="AD201" s="24"/>
      <c r="AE201" s="35" t="str">
        <f aca="false">IF($C201="","",IF($D201="","★项目名称没填",IF(N($P201)&lt;=0,"★台量要填",IF(AND(OR($Y201="安装免保",$Y201="技术免保",$Y201="质保期内"),$Z201=""),"★免保到期日没填",IF(COUNTIF(合同键,$E201)=0,"★还没建合同行","OK")))))</f>
        <v/>
      </c>
    </row>
    <row r="202" customFormat="false" ht="15" hidden="false" customHeight="false" outlineLevel="0" collapsed="false">
      <c r="A202" s="29" t="str">
        <f aca="false">IF($C202="","",ROW()-4)</f>
        <v/>
      </c>
      <c r="B202" s="25"/>
      <c r="C202" s="24"/>
      <c r="D202" s="24"/>
      <c r="E202" s="30" t="str">
        <f aca="false">IF($C202="","",$C202&amp;" ｜ "&amp;$D202)</f>
        <v/>
      </c>
      <c r="F202" s="25"/>
      <c r="G202" s="25"/>
      <c r="H202" s="25"/>
      <c r="I202" s="25"/>
      <c r="J202" s="25"/>
      <c r="K202" s="21"/>
      <c r="L202" s="21"/>
      <c r="M202" s="21"/>
      <c r="N202" s="25"/>
      <c r="O202" s="25"/>
      <c r="P202" s="32"/>
      <c r="Q202" s="25"/>
      <c r="R202" s="25"/>
      <c r="S202" s="33"/>
      <c r="T202" s="33"/>
      <c r="U202" s="33"/>
      <c r="V202" s="33"/>
      <c r="W202" s="25"/>
      <c r="X202" s="25"/>
      <c r="Y202" s="25"/>
      <c r="Z202" s="33"/>
      <c r="AA202" s="34" t="str">
        <f aca="true">IF($T202="","",IF($T202&lt;TODAY(),"已过期 "&amp;TEXT(TODAY()-$T202,"0")&amp;" 天",IF($T202-TODAY()&lt;=年检提醒天,"还剩 "&amp;TEXT($T202-TODAY(),"0")&amp;" 天","")))</f>
        <v/>
      </c>
      <c r="AB202" s="34" t="str">
        <f aca="true">IF(COUNT($U202:$V202)=0,"",IF(MIN($U202:$V202)&lt;TODAY(),"已过期 "&amp;TEXT(TODAY()-MIN($U202:$V202),"0")&amp;" 天",IF(MIN($U202:$V202)-TODAY()&lt;=年检提醒天,"还剩 "&amp;TEXT(MIN($U202:$V202)-TODAY(),"0")&amp;" 天","")))</f>
        <v/>
      </c>
      <c r="AC202" s="34" t="str">
        <f aca="true">IF($C202="","",IF(OR($Y202="安装免保",$Y202="技术免保",$Y202="质保期内"),IF($Z202="","▲免保没填到期日",IF($Z202&lt;TODAY(),"▲免保已到期 该转收费了",IF($Z202-TODAY()&lt;=合同提醒天,"免保还剩 "&amp;TEXT($Z202-TODAY(),"0")&amp;" 天","免保中"))),IF($Y202="暂停维保","暂停中 不计费",IF($Y202="已解约","已解约",IF(COUNTIF(合同键,$E202)=0,"▲还没建合同行","")))))</f>
        <v/>
      </c>
      <c r="AD202" s="24"/>
      <c r="AE202" s="35" t="str">
        <f aca="false">IF($C202="","",IF($D202="","★项目名称没填",IF(N($P202)&lt;=0,"★台量要填",IF(AND(OR($Y202="安装免保",$Y202="技术免保",$Y202="质保期内"),$Z202=""),"★免保到期日没填",IF(COUNTIF(合同键,$E202)=0,"★还没建合同行","OK")))))</f>
        <v/>
      </c>
    </row>
    <row r="203" customFormat="false" ht="15" hidden="false" customHeight="false" outlineLevel="0" collapsed="false">
      <c r="A203" s="29" t="str">
        <f aca="false">IF($C203="","",ROW()-4)</f>
        <v/>
      </c>
      <c r="B203" s="25"/>
      <c r="C203" s="24"/>
      <c r="D203" s="24"/>
      <c r="E203" s="30" t="str">
        <f aca="false">IF($C203="","",$C203&amp;" ｜ "&amp;$D203)</f>
        <v/>
      </c>
      <c r="F203" s="25"/>
      <c r="G203" s="25"/>
      <c r="H203" s="25"/>
      <c r="I203" s="25"/>
      <c r="J203" s="25"/>
      <c r="K203" s="21"/>
      <c r="L203" s="21"/>
      <c r="M203" s="21"/>
      <c r="N203" s="25"/>
      <c r="O203" s="25"/>
      <c r="P203" s="32"/>
      <c r="Q203" s="25"/>
      <c r="R203" s="25"/>
      <c r="S203" s="33"/>
      <c r="T203" s="33"/>
      <c r="U203" s="33"/>
      <c r="V203" s="33"/>
      <c r="W203" s="25"/>
      <c r="X203" s="25"/>
      <c r="Y203" s="25"/>
      <c r="Z203" s="33"/>
      <c r="AA203" s="34" t="str">
        <f aca="true">IF($T203="","",IF($T203&lt;TODAY(),"已过期 "&amp;TEXT(TODAY()-$T203,"0")&amp;" 天",IF($T203-TODAY()&lt;=年检提醒天,"还剩 "&amp;TEXT($T203-TODAY(),"0")&amp;" 天","")))</f>
        <v/>
      </c>
      <c r="AB203" s="34" t="str">
        <f aca="true">IF(COUNT($U203:$V203)=0,"",IF(MIN($U203:$V203)&lt;TODAY(),"已过期 "&amp;TEXT(TODAY()-MIN($U203:$V203),"0")&amp;" 天",IF(MIN($U203:$V203)-TODAY()&lt;=年检提醒天,"还剩 "&amp;TEXT(MIN($U203:$V203)-TODAY(),"0")&amp;" 天","")))</f>
        <v/>
      </c>
      <c r="AC203" s="34" t="str">
        <f aca="true">IF($C203="","",IF(OR($Y203="安装免保",$Y203="技术免保",$Y203="质保期内"),IF($Z203="","▲免保没填到期日",IF($Z203&lt;TODAY(),"▲免保已到期 该转收费了",IF($Z203-TODAY()&lt;=合同提醒天,"免保还剩 "&amp;TEXT($Z203-TODAY(),"0")&amp;" 天","免保中"))),IF($Y203="暂停维保","暂停中 不计费",IF($Y203="已解约","已解约",IF(COUNTIF(合同键,$E203)=0,"▲还没建合同行","")))))</f>
        <v/>
      </c>
      <c r="AD203" s="24"/>
      <c r="AE203" s="35" t="str">
        <f aca="false">IF($C203="","",IF($D203="","★项目名称没填",IF(N($P203)&lt;=0,"★台量要填",IF(AND(OR($Y203="安装免保",$Y203="技术免保",$Y203="质保期内"),$Z203=""),"★免保到期日没填",IF(COUNTIF(合同键,$E203)=0,"★还没建合同行","OK")))))</f>
        <v/>
      </c>
    </row>
    <row r="204" customFormat="false" ht="15" hidden="false" customHeight="false" outlineLevel="0" collapsed="false">
      <c r="A204" s="29" t="str">
        <f aca="false">IF($C204="","",ROW()-4)</f>
        <v/>
      </c>
      <c r="B204" s="25"/>
      <c r="C204" s="24"/>
      <c r="D204" s="24"/>
      <c r="E204" s="30" t="str">
        <f aca="false">IF($C204="","",$C204&amp;" ｜ "&amp;$D204)</f>
        <v/>
      </c>
      <c r="F204" s="25"/>
      <c r="G204" s="25"/>
      <c r="H204" s="25"/>
      <c r="I204" s="25"/>
      <c r="J204" s="25"/>
      <c r="K204" s="21"/>
      <c r="L204" s="21"/>
      <c r="M204" s="21"/>
      <c r="N204" s="25"/>
      <c r="O204" s="25"/>
      <c r="P204" s="32"/>
      <c r="Q204" s="25"/>
      <c r="R204" s="25"/>
      <c r="S204" s="33"/>
      <c r="T204" s="33"/>
      <c r="U204" s="33"/>
      <c r="V204" s="33"/>
      <c r="W204" s="25"/>
      <c r="X204" s="25"/>
      <c r="Y204" s="25"/>
      <c r="Z204" s="33"/>
      <c r="AA204" s="34" t="str">
        <f aca="true">IF($T204="","",IF($T204&lt;TODAY(),"已过期 "&amp;TEXT(TODAY()-$T204,"0")&amp;" 天",IF($T204-TODAY()&lt;=年检提醒天,"还剩 "&amp;TEXT($T204-TODAY(),"0")&amp;" 天","")))</f>
        <v/>
      </c>
      <c r="AB204" s="34" t="str">
        <f aca="true">IF(COUNT($U204:$V204)=0,"",IF(MIN($U204:$V204)&lt;TODAY(),"已过期 "&amp;TEXT(TODAY()-MIN($U204:$V204),"0")&amp;" 天",IF(MIN($U204:$V204)-TODAY()&lt;=年检提醒天,"还剩 "&amp;TEXT(MIN($U204:$V204)-TODAY(),"0")&amp;" 天","")))</f>
        <v/>
      </c>
      <c r="AC204" s="34" t="str">
        <f aca="true">IF($C204="","",IF(OR($Y204="安装免保",$Y204="技术免保",$Y204="质保期内"),IF($Z204="","▲免保没填到期日",IF($Z204&lt;TODAY(),"▲免保已到期 该转收费了",IF($Z204-TODAY()&lt;=合同提醒天,"免保还剩 "&amp;TEXT($Z204-TODAY(),"0")&amp;" 天","免保中"))),IF($Y204="暂停维保","暂停中 不计费",IF($Y204="已解约","已解约",IF(COUNTIF(合同键,$E204)=0,"▲还没建合同行","")))))</f>
        <v/>
      </c>
      <c r="AD204" s="24"/>
      <c r="AE204" s="35" t="str">
        <f aca="false">IF($C204="","",IF($D204="","★项目名称没填",IF(N($P204)&lt;=0,"★台量要填",IF(AND(OR($Y204="安装免保",$Y204="技术免保",$Y204="质保期内"),$Z204=""),"★免保到期日没填",IF(COUNTIF(合同键,$E204)=0,"★还没建合同行","OK")))))</f>
        <v/>
      </c>
    </row>
    <row r="205" customFormat="false" ht="15" hidden="false" customHeight="false" outlineLevel="0" collapsed="false">
      <c r="A205" s="29" t="str">
        <f aca="false">IF($C205="","",ROW()-4)</f>
        <v/>
      </c>
      <c r="B205" s="25"/>
      <c r="C205" s="24"/>
      <c r="D205" s="24"/>
      <c r="E205" s="30" t="str">
        <f aca="false">IF($C205="","",$C205&amp;" ｜ "&amp;$D205)</f>
        <v/>
      </c>
      <c r="F205" s="25"/>
      <c r="G205" s="25"/>
      <c r="H205" s="25"/>
      <c r="I205" s="25"/>
      <c r="J205" s="25"/>
      <c r="K205" s="21"/>
      <c r="L205" s="21"/>
      <c r="M205" s="21"/>
      <c r="N205" s="25"/>
      <c r="O205" s="25"/>
      <c r="P205" s="32"/>
      <c r="Q205" s="25"/>
      <c r="R205" s="25"/>
      <c r="S205" s="33"/>
      <c r="T205" s="33"/>
      <c r="U205" s="33"/>
      <c r="V205" s="33"/>
      <c r="W205" s="25"/>
      <c r="X205" s="25"/>
      <c r="Y205" s="25"/>
      <c r="Z205" s="33"/>
      <c r="AA205" s="34" t="str">
        <f aca="true">IF($T205="","",IF($T205&lt;TODAY(),"已过期 "&amp;TEXT(TODAY()-$T205,"0")&amp;" 天",IF($T205-TODAY()&lt;=年检提醒天,"还剩 "&amp;TEXT($T205-TODAY(),"0")&amp;" 天","")))</f>
        <v/>
      </c>
      <c r="AB205" s="34" t="str">
        <f aca="true">IF(COUNT($U205:$V205)=0,"",IF(MIN($U205:$V205)&lt;TODAY(),"已过期 "&amp;TEXT(TODAY()-MIN($U205:$V205),"0")&amp;" 天",IF(MIN($U205:$V205)-TODAY()&lt;=年检提醒天,"还剩 "&amp;TEXT(MIN($U205:$V205)-TODAY(),"0")&amp;" 天","")))</f>
        <v/>
      </c>
      <c r="AC205" s="34" t="str">
        <f aca="true">IF($C205="","",IF(OR($Y205="安装免保",$Y205="技术免保",$Y205="质保期内"),IF($Z205="","▲免保没填到期日",IF($Z205&lt;TODAY(),"▲免保已到期 该转收费了",IF($Z205-TODAY()&lt;=合同提醒天,"免保还剩 "&amp;TEXT($Z205-TODAY(),"0")&amp;" 天","免保中"))),IF($Y205="暂停维保","暂停中 不计费",IF($Y205="已解约","已解约",IF(COUNTIF(合同键,$E205)=0,"▲还没建合同行","")))))</f>
        <v/>
      </c>
      <c r="AD205" s="24"/>
      <c r="AE205" s="35" t="str">
        <f aca="false">IF($C205="","",IF($D205="","★项目名称没填",IF(N($P205)&lt;=0,"★台量要填",IF(AND(OR($Y205="安装免保",$Y205="技术免保",$Y205="质保期内"),$Z205=""),"★免保到期日没填",IF(COUNTIF(合同键,$E205)=0,"★还没建合同行","OK")))))</f>
        <v/>
      </c>
    </row>
    <row r="206" customFormat="false" ht="15" hidden="false" customHeight="false" outlineLevel="0" collapsed="false">
      <c r="A206" s="29" t="str">
        <f aca="false">IF($C206="","",ROW()-4)</f>
        <v/>
      </c>
      <c r="B206" s="25"/>
      <c r="C206" s="24"/>
      <c r="D206" s="24"/>
      <c r="E206" s="30" t="str">
        <f aca="false">IF($C206="","",$C206&amp;" ｜ "&amp;$D206)</f>
        <v/>
      </c>
      <c r="F206" s="25"/>
      <c r="G206" s="25"/>
      <c r="H206" s="25"/>
      <c r="I206" s="25"/>
      <c r="J206" s="25"/>
      <c r="K206" s="21"/>
      <c r="L206" s="21"/>
      <c r="M206" s="21"/>
      <c r="N206" s="25"/>
      <c r="O206" s="25"/>
      <c r="P206" s="32"/>
      <c r="Q206" s="25"/>
      <c r="R206" s="25"/>
      <c r="S206" s="33"/>
      <c r="T206" s="33"/>
      <c r="U206" s="33"/>
      <c r="V206" s="33"/>
      <c r="W206" s="25"/>
      <c r="X206" s="25"/>
      <c r="Y206" s="25"/>
      <c r="Z206" s="33"/>
      <c r="AA206" s="34" t="str">
        <f aca="true">IF($T206="","",IF($T206&lt;TODAY(),"已过期 "&amp;TEXT(TODAY()-$T206,"0")&amp;" 天",IF($T206-TODAY()&lt;=年检提醒天,"还剩 "&amp;TEXT($T206-TODAY(),"0")&amp;" 天","")))</f>
        <v/>
      </c>
      <c r="AB206" s="34" t="str">
        <f aca="true">IF(COUNT($U206:$V206)=0,"",IF(MIN($U206:$V206)&lt;TODAY(),"已过期 "&amp;TEXT(TODAY()-MIN($U206:$V206),"0")&amp;" 天",IF(MIN($U206:$V206)-TODAY()&lt;=年检提醒天,"还剩 "&amp;TEXT(MIN($U206:$V206)-TODAY(),"0")&amp;" 天","")))</f>
        <v/>
      </c>
      <c r="AC206" s="34" t="str">
        <f aca="true">IF($C206="","",IF(OR($Y206="安装免保",$Y206="技术免保",$Y206="质保期内"),IF($Z206="","▲免保没填到期日",IF($Z206&lt;TODAY(),"▲免保已到期 该转收费了",IF($Z206-TODAY()&lt;=合同提醒天,"免保还剩 "&amp;TEXT($Z206-TODAY(),"0")&amp;" 天","免保中"))),IF($Y206="暂停维保","暂停中 不计费",IF($Y206="已解约","已解约",IF(COUNTIF(合同键,$E206)=0,"▲还没建合同行","")))))</f>
        <v/>
      </c>
      <c r="AD206" s="24"/>
      <c r="AE206" s="35" t="str">
        <f aca="false">IF($C206="","",IF($D206="","★项目名称没填",IF(N($P206)&lt;=0,"★台量要填",IF(AND(OR($Y206="安装免保",$Y206="技术免保",$Y206="质保期内"),$Z206=""),"★免保到期日没填",IF(COUNTIF(合同键,$E206)=0,"★还没建合同行","OK")))))</f>
        <v/>
      </c>
    </row>
    <row r="207" customFormat="false" ht="15" hidden="false" customHeight="false" outlineLevel="0" collapsed="false">
      <c r="A207" s="29" t="str">
        <f aca="false">IF($C207="","",ROW()-4)</f>
        <v/>
      </c>
      <c r="B207" s="25"/>
      <c r="C207" s="24"/>
      <c r="D207" s="24"/>
      <c r="E207" s="30" t="str">
        <f aca="false">IF($C207="","",$C207&amp;" ｜ "&amp;$D207)</f>
        <v/>
      </c>
      <c r="F207" s="25"/>
      <c r="G207" s="25"/>
      <c r="H207" s="25"/>
      <c r="I207" s="25"/>
      <c r="J207" s="25"/>
      <c r="K207" s="21"/>
      <c r="L207" s="21"/>
      <c r="M207" s="21"/>
      <c r="N207" s="25"/>
      <c r="O207" s="25"/>
      <c r="P207" s="32"/>
      <c r="Q207" s="25"/>
      <c r="R207" s="25"/>
      <c r="S207" s="33"/>
      <c r="T207" s="33"/>
      <c r="U207" s="33"/>
      <c r="V207" s="33"/>
      <c r="W207" s="25"/>
      <c r="X207" s="25"/>
      <c r="Y207" s="25"/>
      <c r="Z207" s="33"/>
      <c r="AA207" s="34" t="str">
        <f aca="true">IF($T207="","",IF($T207&lt;TODAY(),"已过期 "&amp;TEXT(TODAY()-$T207,"0")&amp;" 天",IF($T207-TODAY()&lt;=年检提醒天,"还剩 "&amp;TEXT($T207-TODAY(),"0")&amp;" 天","")))</f>
        <v/>
      </c>
      <c r="AB207" s="34" t="str">
        <f aca="true">IF(COUNT($U207:$V207)=0,"",IF(MIN($U207:$V207)&lt;TODAY(),"已过期 "&amp;TEXT(TODAY()-MIN($U207:$V207),"0")&amp;" 天",IF(MIN($U207:$V207)-TODAY()&lt;=年检提醒天,"还剩 "&amp;TEXT(MIN($U207:$V207)-TODAY(),"0")&amp;" 天","")))</f>
        <v/>
      </c>
      <c r="AC207" s="34" t="str">
        <f aca="true">IF($C207="","",IF(OR($Y207="安装免保",$Y207="技术免保",$Y207="质保期内"),IF($Z207="","▲免保没填到期日",IF($Z207&lt;TODAY(),"▲免保已到期 该转收费了",IF($Z207-TODAY()&lt;=合同提醒天,"免保还剩 "&amp;TEXT($Z207-TODAY(),"0")&amp;" 天","免保中"))),IF($Y207="暂停维保","暂停中 不计费",IF($Y207="已解约","已解约",IF(COUNTIF(合同键,$E207)=0,"▲还没建合同行","")))))</f>
        <v/>
      </c>
      <c r="AD207" s="24"/>
      <c r="AE207" s="35" t="str">
        <f aca="false">IF($C207="","",IF($D207="","★项目名称没填",IF(N($P207)&lt;=0,"★台量要填",IF(AND(OR($Y207="安装免保",$Y207="技术免保",$Y207="质保期内"),$Z207=""),"★免保到期日没填",IF(COUNTIF(合同键,$E207)=0,"★还没建合同行","OK")))))</f>
        <v/>
      </c>
    </row>
    <row r="208" customFormat="false" ht="15" hidden="false" customHeight="false" outlineLevel="0" collapsed="false">
      <c r="A208" s="29" t="str">
        <f aca="false">IF($C208="","",ROW()-4)</f>
        <v/>
      </c>
      <c r="B208" s="25"/>
      <c r="C208" s="24"/>
      <c r="D208" s="24"/>
      <c r="E208" s="30" t="str">
        <f aca="false">IF($C208="","",$C208&amp;" ｜ "&amp;$D208)</f>
        <v/>
      </c>
      <c r="F208" s="25"/>
      <c r="G208" s="25"/>
      <c r="H208" s="25"/>
      <c r="I208" s="25"/>
      <c r="J208" s="25"/>
      <c r="K208" s="21"/>
      <c r="L208" s="21"/>
      <c r="M208" s="21"/>
      <c r="N208" s="25"/>
      <c r="O208" s="25"/>
      <c r="P208" s="32"/>
      <c r="Q208" s="25"/>
      <c r="R208" s="25"/>
      <c r="S208" s="33"/>
      <c r="T208" s="33"/>
      <c r="U208" s="33"/>
      <c r="V208" s="33"/>
      <c r="W208" s="25"/>
      <c r="X208" s="25"/>
      <c r="Y208" s="25"/>
      <c r="Z208" s="33"/>
      <c r="AA208" s="34" t="str">
        <f aca="true">IF($T208="","",IF($T208&lt;TODAY(),"已过期 "&amp;TEXT(TODAY()-$T208,"0")&amp;" 天",IF($T208-TODAY()&lt;=年检提醒天,"还剩 "&amp;TEXT($T208-TODAY(),"0")&amp;" 天","")))</f>
        <v/>
      </c>
      <c r="AB208" s="34" t="str">
        <f aca="true">IF(COUNT($U208:$V208)=0,"",IF(MIN($U208:$V208)&lt;TODAY(),"已过期 "&amp;TEXT(TODAY()-MIN($U208:$V208),"0")&amp;" 天",IF(MIN($U208:$V208)-TODAY()&lt;=年检提醒天,"还剩 "&amp;TEXT(MIN($U208:$V208)-TODAY(),"0")&amp;" 天","")))</f>
        <v/>
      </c>
      <c r="AC208" s="34" t="str">
        <f aca="true">IF($C208="","",IF(OR($Y208="安装免保",$Y208="技术免保",$Y208="质保期内"),IF($Z208="","▲免保没填到期日",IF($Z208&lt;TODAY(),"▲免保已到期 该转收费了",IF($Z208-TODAY()&lt;=合同提醒天,"免保还剩 "&amp;TEXT($Z208-TODAY(),"0")&amp;" 天","免保中"))),IF($Y208="暂停维保","暂停中 不计费",IF($Y208="已解约","已解约",IF(COUNTIF(合同键,$E208)=0,"▲还没建合同行","")))))</f>
        <v/>
      </c>
      <c r="AD208" s="24"/>
      <c r="AE208" s="35" t="str">
        <f aca="false">IF($C208="","",IF($D208="","★项目名称没填",IF(N($P208)&lt;=0,"★台量要填",IF(AND(OR($Y208="安装免保",$Y208="技术免保",$Y208="质保期内"),$Z208=""),"★免保到期日没填",IF(COUNTIF(合同键,$E208)=0,"★还没建合同行","OK")))))</f>
        <v/>
      </c>
    </row>
    <row r="209" customFormat="false" ht="15" hidden="false" customHeight="false" outlineLevel="0" collapsed="false">
      <c r="A209" s="29" t="str">
        <f aca="false">IF($C209="","",ROW()-4)</f>
        <v/>
      </c>
      <c r="B209" s="25"/>
      <c r="C209" s="24"/>
      <c r="D209" s="24"/>
      <c r="E209" s="30" t="str">
        <f aca="false">IF($C209="","",$C209&amp;" ｜ "&amp;$D209)</f>
        <v/>
      </c>
      <c r="F209" s="25"/>
      <c r="G209" s="25"/>
      <c r="H209" s="25"/>
      <c r="I209" s="25"/>
      <c r="J209" s="25"/>
      <c r="K209" s="21"/>
      <c r="L209" s="21"/>
      <c r="M209" s="21"/>
      <c r="N209" s="25"/>
      <c r="O209" s="25"/>
      <c r="P209" s="32"/>
      <c r="Q209" s="25"/>
      <c r="R209" s="25"/>
      <c r="S209" s="33"/>
      <c r="T209" s="33"/>
      <c r="U209" s="33"/>
      <c r="V209" s="33"/>
      <c r="W209" s="25"/>
      <c r="X209" s="25"/>
      <c r="Y209" s="25"/>
      <c r="Z209" s="33"/>
      <c r="AA209" s="34" t="str">
        <f aca="true">IF($T209="","",IF($T209&lt;TODAY(),"已过期 "&amp;TEXT(TODAY()-$T209,"0")&amp;" 天",IF($T209-TODAY()&lt;=年检提醒天,"还剩 "&amp;TEXT($T209-TODAY(),"0")&amp;" 天","")))</f>
        <v/>
      </c>
      <c r="AB209" s="34" t="str">
        <f aca="true">IF(COUNT($U209:$V209)=0,"",IF(MIN($U209:$V209)&lt;TODAY(),"已过期 "&amp;TEXT(TODAY()-MIN($U209:$V209),"0")&amp;" 天",IF(MIN($U209:$V209)-TODAY()&lt;=年检提醒天,"还剩 "&amp;TEXT(MIN($U209:$V209)-TODAY(),"0")&amp;" 天","")))</f>
        <v/>
      </c>
      <c r="AC209" s="34" t="str">
        <f aca="true">IF($C209="","",IF(OR($Y209="安装免保",$Y209="技术免保",$Y209="质保期内"),IF($Z209="","▲免保没填到期日",IF($Z209&lt;TODAY(),"▲免保已到期 该转收费了",IF($Z209-TODAY()&lt;=合同提醒天,"免保还剩 "&amp;TEXT($Z209-TODAY(),"0")&amp;" 天","免保中"))),IF($Y209="暂停维保","暂停中 不计费",IF($Y209="已解约","已解约",IF(COUNTIF(合同键,$E209)=0,"▲还没建合同行","")))))</f>
        <v/>
      </c>
      <c r="AD209" s="24"/>
      <c r="AE209" s="35" t="str">
        <f aca="false">IF($C209="","",IF($D209="","★项目名称没填",IF(N($P209)&lt;=0,"★台量要填",IF(AND(OR($Y209="安装免保",$Y209="技术免保",$Y209="质保期内"),$Z209=""),"★免保到期日没填",IF(COUNTIF(合同键,$E209)=0,"★还没建合同行","OK")))))</f>
        <v/>
      </c>
    </row>
    <row r="210" customFormat="false" ht="15" hidden="false" customHeight="false" outlineLevel="0" collapsed="false">
      <c r="A210" s="29" t="str">
        <f aca="false">IF($C210="","",ROW()-4)</f>
        <v/>
      </c>
      <c r="B210" s="25"/>
      <c r="C210" s="24"/>
      <c r="D210" s="24"/>
      <c r="E210" s="30" t="str">
        <f aca="false">IF($C210="","",$C210&amp;" ｜ "&amp;$D210)</f>
        <v/>
      </c>
      <c r="F210" s="25"/>
      <c r="G210" s="25"/>
      <c r="H210" s="25"/>
      <c r="I210" s="25"/>
      <c r="J210" s="25"/>
      <c r="K210" s="21"/>
      <c r="L210" s="21"/>
      <c r="M210" s="21"/>
      <c r="N210" s="25"/>
      <c r="O210" s="25"/>
      <c r="P210" s="32"/>
      <c r="Q210" s="25"/>
      <c r="R210" s="25"/>
      <c r="S210" s="33"/>
      <c r="T210" s="33"/>
      <c r="U210" s="33"/>
      <c r="V210" s="33"/>
      <c r="W210" s="25"/>
      <c r="X210" s="25"/>
      <c r="Y210" s="25"/>
      <c r="Z210" s="33"/>
      <c r="AA210" s="34" t="str">
        <f aca="true">IF($T210="","",IF($T210&lt;TODAY(),"已过期 "&amp;TEXT(TODAY()-$T210,"0")&amp;" 天",IF($T210-TODAY()&lt;=年检提醒天,"还剩 "&amp;TEXT($T210-TODAY(),"0")&amp;" 天","")))</f>
        <v/>
      </c>
      <c r="AB210" s="34" t="str">
        <f aca="true">IF(COUNT($U210:$V210)=0,"",IF(MIN($U210:$V210)&lt;TODAY(),"已过期 "&amp;TEXT(TODAY()-MIN($U210:$V210),"0")&amp;" 天",IF(MIN($U210:$V210)-TODAY()&lt;=年检提醒天,"还剩 "&amp;TEXT(MIN($U210:$V210)-TODAY(),"0")&amp;" 天","")))</f>
        <v/>
      </c>
      <c r="AC210" s="34" t="str">
        <f aca="true">IF($C210="","",IF(OR($Y210="安装免保",$Y210="技术免保",$Y210="质保期内"),IF($Z210="","▲免保没填到期日",IF($Z210&lt;TODAY(),"▲免保已到期 该转收费了",IF($Z210-TODAY()&lt;=合同提醒天,"免保还剩 "&amp;TEXT($Z210-TODAY(),"0")&amp;" 天","免保中"))),IF($Y210="暂停维保","暂停中 不计费",IF($Y210="已解约","已解约",IF(COUNTIF(合同键,$E210)=0,"▲还没建合同行","")))))</f>
        <v/>
      </c>
      <c r="AD210" s="24"/>
      <c r="AE210" s="35" t="str">
        <f aca="false">IF($C210="","",IF($D210="","★项目名称没填",IF(N($P210)&lt;=0,"★台量要填",IF(AND(OR($Y210="安装免保",$Y210="技术免保",$Y210="质保期内"),$Z210=""),"★免保到期日没填",IF(COUNTIF(合同键,$E210)=0,"★还没建合同行","OK")))))</f>
        <v/>
      </c>
    </row>
    <row r="211" customFormat="false" ht="15" hidden="false" customHeight="false" outlineLevel="0" collapsed="false">
      <c r="A211" s="29" t="str">
        <f aca="false">IF($C211="","",ROW()-4)</f>
        <v/>
      </c>
      <c r="B211" s="25"/>
      <c r="C211" s="24"/>
      <c r="D211" s="24"/>
      <c r="E211" s="30" t="str">
        <f aca="false">IF($C211="","",$C211&amp;" ｜ "&amp;$D211)</f>
        <v/>
      </c>
      <c r="F211" s="25"/>
      <c r="G211" s="25"/>
      <c r="H211" s="25"/>
      <c r="I211" s="25"/>
      <c r="J211" s="25"/>
      <c r="K211" s="21"/>
      <c r="L211" s="21"/>
      <c r="M211" s="21"/>
      <c r="N211" s="25"/>
      <c r="O211" s="25"/>
      <c r="P211" s="32"/>
      <c r="Q211" s="25"/>
      <c r="R211" s="25"/>
      <c r="S211" s="33"/>
      <c r="T211" s="33"/>
      <c r="U211" s="33"/>
      <c r="V211" s="33"/>
      <c r="W211" s="25"/>
      <c r="X211" s="25"/>
      <c r="Y211" s="25"/>
      <c r="Z211" s="33"/>
      <c r="AA211" s="34" t="str">
        <f aca="true">IF($T211="","",IF($T211&lt;TODAY(),"已过期 "&amp;TEXT(TODAY()-$T211,"0")&amp;" 天",IF($T211-TODAY()&lt;=年检提醒天,"还剩 "&amp;TEXT($T211-TODAY(),"0")&amp;" 天","")))</f>
        <v/>
      </c>
      <c r="AB211" s="34" t="str">
        <f aca="true">IF(COUNT($U211:$V211)=0,"",IF(MIN($U211:$V211)&lt;TODAY(),"已过期 "&amp;TEXT(TODAY()-MIN($U211:$V211),"0")&amp;" 天",IF(MIN($U211:$V211)-TODAY()&lt;=年检提醒天,"还剩 "&amp;TEXT(MIN($U211:$V211)-TODAY(),"0")&amp;" 天","")))</f>
        <v/>
      </c>
      <c r="AC211" s="34" t="str">
        <f aca="true">IF($C211="","",IF(OR($Y211="安装免保",$Y211="技术免保",$Y211="质保期内"),IF($Z211="","▲免保没填到期日",IF($Z211&lt;TODAY(),"▲免保已到期 该转收费了",IF($Z211-TODAY()&lt;=合同提醒天,"免保还剩 "&amp;TEXT($Z211-TODAY(),"0")&amp;" 天","免保中"))),IF($Y211="暂停维保","暂停中 不计费",IF($Y211="已解约","已解约",IF(COUNTIF(合同键,$E211)=0,"▲还没建合同行","")))))</f>
        <v/>
      </c>
      <c r="AD211" s="24"/>
      <c r="AE211" s="35" t="str">
        <f aca="false">IF($C211="","",IF($D211="","★项目名称没填",IF(N($P211)&lt;=0,"★台量要填",IF(AND(OR($Y211="安装免保",$Y211="技术免保",$Y211="质保期内"),$Z211=""),"★免保到期日没填",IF(COUNTIF(合同键,$E211)=0,"★还没建合同行","OK")))))</f>
        <v/>
      </c>
    </row>
    <row r="212" customFormat="false" ht="15" hidden="false" customHeight="false" outlineLevel="0" collapsed="false">
      <c r="A212" s="29" t="str">
        <f aca="false">IF($C212="","",ROW()-4)</f>
        <v/>
      </c>
      <c r="B212" s="25"/>
      <c r="C212" s="24"/>
      <c r="D212" s="24"/>
      <c r="E212" s="30" t="str">
        <f aca="false">IF($C212="","",$C212&amp;" ｜ "&amp;$D212)</f>
        <v/>
      </c>
      <c r="F212" s="25"/>
      <c r="G212" s="25"/>
      <c r="H212" s="25"/>
      <c r="I212" s="25"/>
      <c r="J212" s="25"/>
      <c r="K212" s="21"/>
      <c r="L212" s="21"/>
      <c r="M212" s="21"/>
      <c r="N212" s="25"/>
      <c r="O212" s="25"/>
      <c r="P212" s="32"/>
      <c r="Q212" s="25"/>
      <c r="R212" s="25"/>
      <c r="S212" s="33"/>
      <c r="T212" s="33"/>
      <c r="U212" s="33"/>
      <c r="V212" s="33"/>
      <c r="W212" s="25"/>
      <c r="X212" s="25"/>
      <c r="Y212" s="25"/>
      <c r="Z212" s="33"/>
      <c r="AA212" s="34" t="str">
        <f aca="true">IF($T212="","",IF($T212&lt;TODAY(),"已过期 "&amp;TEXT(TODAY()-$T212,"0")&amp;" 天",IF($T212-TODAY()&lt;=年检提醒天,"还剩 "&amp;TEXT($T212-TODAY(),"0")&amp;" 天","")))</f>
        <v/>
      </c>
      <c r="AB212" s="34" t="str">
        <f aca="true">IF(COUNT($U212:$V212)=0,"",IF(MIN($U212:$V212)&lt;TODAY(),"已过期 "&amp;TEXT(TODAY()-MIN($U212:$V212),"0")&amp;" 天",IF(MIN($U212:$V212)-TODAY()&lt;=年检提醒天,"还剩 "&amp;TEXT(MIN($U212:$V212)-TODAY(),"0")&amp;" 天","")))</f>
        <v/>
      </c>
      <c r="AC212" s="34" t="str">
        <f aca="true">IF($C212="","",IF(OR($Y212="安装免保",$Y212="技术免保",$Y212="质保期内"),IF($Z212="","▲免保没填到期日",IF($Z212&lt;TODAY(),"▲免保已到期 该转收费了",IF($Z212-TODAY()&lt;=合同提醒天,"免保还剩 "&amp;TEXT($Z212-TODAY(),"0")&amp;" 天","免保中"))),IF($Y212="暂停维保","暂停中 不计费",IF($Y212="已解约","已解约",IF(COUNTIF(合同键,$E212)=0,"▲还没建合同行","")))))</f>
        <v/>
      </c>
      <c r="AD212" s="24"/>
      <c r="AE212" s="35" t="str">
        <f aca="false">IF($C212="","",IF($D212="","★项目名称没填",IF(N($P212)&lt;=0,"★台量要填",IF(AND(OR($Y212="安装免保",$Y212="技术免保",$Y212="质保期内"),$Z212=""),"★免保到期日没填",IF(COUNTIF(合同键,$E212)=0,"★还没建合同行","OK")))))</f>
        <v/>
      </c>
    </row>
    <row r="213" customFormat="false" ht="15" hidden="false" customHeight="false" outlineLevel="0" collapsed="false">
      <c r="A213" s="29" t="str">
        <f aca="false">IF($C213="","",ROW()-4)</f>
        <v/>
      </c>
      <c r="B213" s="25"/>
      <c r="C213" s="24"/>
      <c r="D213" s="24"/>
      <c r="E213" s="30" t="str">
        <f aca="false">IF($C213="","",$C213&amp;" ｜ "&amp;$D213)</f>
        <v/>
      </c>
      <c r="F213" s="25"/>
      <c r="G213" s="25"/>
      <c r="H213" s="25"/>
      <c r="I213" s="25"/>
      <c r="J213" s="25"/>
      <c r="K213" s="21"/>
      <c r="L213" s="21"/>
      <c r="M213" s="21"/>
      <c r="N213" s="25"/>
      <c r="O213" s="25"/>
      <c r="P213" s="32"/>
      <c r="Q213" s="25"/>
      <c r="R213" s="25"/>
      <c r="S213" s="33"/>
      <c r="T213" s="33"/>
      <c r="U213" s="33"/>
      <c r="V213" s="33"/>
      <c r="W213" s="25"/>
      <c r="X213" s="25"/>
      <c r="Y213" s="25"/>
      <c r="Z213" s="33"/>
      <c r="AA213" s="34" t="str">
        <f aca="true">IF($T213="","",IF($T213&lt;TODAY(),"已过期 "&amp;TEXT(TODAY()-$T213,"0")&amp;" 天",IF($T213-TODAY()&lt;=年检提醒天,"还剩 "&amp;TEXT($T213-TODAY(),"0")&amp;" 天","")))</f>
        <v/>
      </c>
      <c r="AB213" s="34" t="str">
        <f aca="true">IF(COUNT($U213:$V213)=0,"",IF(MIN($U213:$V213)&lt;TODAY(),"已过期 "&amp;TEXT(TODAY()-MIN($U213:$V213),"0")&amp;" 天",IF(MIN($U213:$V213)-TODAY()&lt;=年检提醒天,"还剩 "&amp;TEXT(MIN($U213:$V213)-TODAY(),"0")&amp;" 天","")))</f>
        <v/>
      </c>
      <c r="AC213" s="34" t="str">
        <f aca="true">IF($C213="","",IF(OR($Y213="安装免保",$Y213="技术免保",$Y213="质保期内"),IF($Z213="","▲免保没填到期日",IF($Z213&lt;TODAY(),"▲免保已到期 该转收费了",IF($Z213-TODAY()&lt;=合同提醒天,"免保还剩 "&amp;TEXT($Z213-TODAY(),"0")&amp;" 天","免保中"))),IF($Y213="暂停维保","暂停中 不计费",IF($Y213="已解约","已解约",IF(COUNTIF(合同键,$E213)=0,"▲还没建合同行","")))))</f>
        <v/>
      </c>
      <c r="AD213" s="24"/>
      <c r="AE213" s="35" t="str">
        <f aca="false">IF($C213="","",IF($D213="","★项目名称没填",IF(N($P213)&lt;=0,"★台量要填",IF(AND(OR($Y213="安装免保",$Y213="技术免保",$Y213="质保期内"),$Z213=""),"★免保到期日没填",IF(COUNTIF(合同键,$E213)=0,"★还没建合同行","OK")))))</f>
        <v/>
      </c>
    </row>
    <row r="214" customFormat="false" ht="15" hidden="false" customHeight="false" outlineLevel="0" collapsed="false">
      <c r="A214" s="29" t="str">
        <f aca="false">IF($C214="","",ROW()-4)</f>
        <v/>
      </c>
      <c r="B214" s="25"/>
      <c r="C214" s="24"/>
      <c r="D214" s="24"/>
      <c r="E214" s="30" t="str">
        <f aca="false">IF($C214="","",$C214&amp;" ｜ "&amp;$D214)</f>
        <v/>
      </c>
      <c r="F214" s="25"/>
      <c r="G214" s="25"/>
      <c r="H214" s="25"/>
      <c r="I214" s="25"/>
      <c r="J214" s="25"/>
      <c r="K214" s="21"/>
      <c r="L214" s="21"/>
      <c r="M214" s="21"/>
      <c r="N214" s="25"/>
      <c r="O214" s="25"/>
      <c r="P214" s="32"/>
      <c r="Q214" s="25"/>
      <c r="R214" s="25"/>
      <c r="S214" s="33"/>
      <c r="T214" s="33"/>
      <c r="U214" s="33"/>
      <c r="V214" s="33"/>
      <c r="W214" s="25"/>
      <c r="X214" s="25"/>
      <c r="Y214" s="25"/>
      <c r="Z214" s="33"/>
      <c r="AA214" s="34" t="str">
        <f aca="true">IF($T214="","",IF($T214&lt;TODAY(),"已过期 "&amp;TEXT(TODAY()-$T214,"0")&amp;" 天",IF($T214-TODAY()&lt;=年检提醒天,"还剩 "&amp;TEXT($T214-TODAY(),"0")&amp;" 天","")))</f>
        <v/>
      </c>
      <c r="AB214" s="34" t="str">
        <f aca="true">IF(COUNT($U214:$V214)=0,"",IF(MIN($U214:$V214)&lt;TODAY(),"已过期 "&amp;TEXT(TODAY()-MIN($U214:$V214),"0")&amp;" 天",IF(MIN($U214:$V214)-TODAY()&lt;=年检提醒天,"还剩 "&amp;TEXT(MIN($U214:$V214)-TODAY(),"0")&amp;" 天","")))</f>
        <v/>
      </c>
      <c r="AC214" s="34" t="str">
        <f aca="true">IF($C214="","",IF(OR($Y214="安装免保",$Y214="技术免保",$Y214="质保期内"),IF($Z214="","▲免保没填到期日",IF($Z214&lt;TODAY(),"▲免保已到期 该转收费了",IF($Z214-TODAY()&lt;=合同提醒天,"免保还剩 "&amp;TEXT($Z214-TODAY(),"0")&amp;" 天","免保中"))),IF($Y214="暂停维保","暂停中 不计费",IF($Y214="已解约","已解约",IF(COUNTIF(合同键,$E214)=0,"▲还没建合同行","")))))</f>
        <v/>
      </c>
      <c r="AD214" s="24"/>
      <c r="AE214" s="35" t="str">
        <f aca="false">IF($C214="","",IF($D214="","★项目名称没填",IF(N($P214)&lt;=0,"★台量要填",IF(AND(OR($Y214="安装免保",$Y214="技术免保",$Y214="质保期内"),$Z214=""),"★免保到期日没填",IF(COUNTIF(合同键,$E214)=0,"★还没建合同行","OK")))))</f>
        <v/>
      </c>
    </row>
    <row r="215" customFormat="false" ht="15" hidden="false" customHeight="false" outlineLevel="0" collapsed="false">
      <c r="A215" s="29" t="str">
        <f aca="false">IF($C215="","",ROW()-4)</f>
        <v/>
      </c>
      <c r="B215" s="25"/>
      <c r="C215" s="24"/>
      <c r="D215" s="24"/>
      <c r="E215" s="30" t="str">
        <f aca="false">IF($C215="","",$C215&amp;" ｜ "&amp;$D215)</f>
        <v/>
      </c>
      <c r="F215" s="25"/>
      <c r="G215" s="25"/>
      <c r="H215" s="25"/>
      <c r="I215" s="25"/>
      <c r="J215" s="25"/>
      <c r="K215" s="21"/>
      <c r="L215" s="21"/>
      <c r="M215" s="21"/>
      <c r="N215" s="25"/>
      <c r="O215" s="25"/>
      <c r="P215" s="32"/>
      <c r="Q215" s="25"/>
      <c r="R215" s="25"/>
      <c r="S215" s="33"/>
      <c r="T215" s="33"/>
      <c r="U215" s="33"/>
      <c r="V215" s="33"/>
      <c r="W215" s="25"/>
      <c r="X215" s="25"/>
      <c r="Y215" s="25"/>
      <c r="Z215" s="33"/>
      <c r="AA215" s="34" t="str">
        <f aca="true">IF($T215="","",IF($T215&lt;TODAY(),"已过期 "&amp;TEXT(TODAY()-$T215,"0")&amp;" 天",IF($T215-TODAY()&lt;=年检提醒天,"还剩 "&amp;TEXT($T215-TODAY(),"0")&amp;" 天","")))</f>
        <v/>
      </c>
      <c r="AB215" s="34" t="str">
        <f aca="true">IF(COUNT($U215:$V215)=0,"",IF(MIN($U215:$V215)&lt;TODAY(),"已过期 "&amp;TEXT(TODAY()-MIN($U215:$V215),"0")&amp;" 天",IF(MIN($U215:$V215)-TODAY()&lt;=年检提醒天,"还剩 "&amp;TEXT(MIN($U215:$V215)-TODAY(),"0")&amp;" 天","")))</f>
        <v/>
      </c>
      <c r="AC215" s="34" t="str">
        <f aca="true">IF($C215="","",IF(OR($Y215="安装免保",$Y215="技术免保",$Y215="质保期内"),IF($Z215="","▲免保没填到期日",IF($Z215&lt;TODAY(),"▲免保已到期 该转收费了",IF($Z215-TODAY()&lt;=合同提醒天,"免保还剩 "&amp;TEXT($Z215-TODAY(),"0")&amp;" 天","免保中"))),IF($Y215="暂停维保","暂停中 不计费",IF($Y215="已解约","已解约",IF(COUNTIF(合同键,$E215)=0,"▲还没建合同行","")))))</f>
        <v/>
      </c>
      <c r="AD215" s="24"/>
      <c r="AE215" s="35" t="str">
        <f aca="false">IF($C215="","",IF($D215="","★项目名称没填",IF(N($P215)&lt;=0,"★台量要填",IF(AND(OR($Y215="安装免保",$Y215="技术免保",$Y215="质保期内"),$Z215=""),"★免保到期日没填",IF(COUNTIF(合同键,$E215)=0,"★还没建合同行","OK")))))</f>
        <v/>
      </c>
    </row>
    <row r="216" customFormat="false" ht="15" hidden="false" customHeight="false" outlineLevel="0" collapsed="false">
      <c r="A216" s="29" t="str">
        <f aca="false">IF($C216="","",ROW()-4)</f>
        <v/>
      </c>
      <c r="B216" s="25"/>
      <c r="C216" s="24"/>
      <c r="D216" s="24"/>
      <c r="E216" s="30" t="str">
        <f aca="false">IF($C216="","",$C216&amp;" ｜ "&amp;$D216)</f>
        <v/>
      </c>
      <c r="F216" s="25"/>
      <c r="G216" s="25"/>
      <c r="H216" s="25"/>
      <c r="I216" s="25"/>
      <c r="J216" s="25"/>
      <c r="K216" s="21"/>
      <c r="L216" s="21"/>
      <c r="M216" s="21"/>
      <c r="N216" s="25"/>
      <c r="O216" s="25"/>
      <c r="P216" s="32"/>
      <c r="Q216" s="25"/>
      <c r="R216" s="25"/>
      <c r="S216" s="33"/>
      <c r="T216" s="33"/>
      <c r="U216" s="33"/>
      <c r="V216" s="33"/>
      <c r="W216" s="25"/>
      <c r="X216" s="25"/>
      <c r="Y216" s="25"/>
      <c r="Z216" s="33"/>
      <c r="AA216" s="34" t="str">
        <f aca="true">IF($T216="","",IF($T216&lt;TODAY(),"已过期 "&amp;TEXT(TODAY()-$T216,"0")&amp;" 天",IF($T216-TODAY()&lt;=年检提醒天,"还剩 "&amp;TEXT($T216-TODAY(),"0")&amp;" 天","")))</f>
        <v/>
      </c>
      <c r="AB216" s="34" t="str">
        <f aca="true">IF(COUNT($U216:$V216)=0,"",IF(MIN($U216:$V216)&lt;TODAY(),"已过期 "&amp;TEXT(TODAY()-MIN($U216:$V216),"0")&amp;" 天",IF(MIN($U216:$V216)-TODAY()&lt;=年检提醒天,"还剩 "&amp;TEXT(MIN($U216:$V216)-TODAY(),"0")&amp;" 天","")))</f>
        <v/>
      </c>
      <c r="AC216" s="34" t="str">
        <f aca="true">IF($C216="","",IF(OR($Y216="安装免保",$Y216="技术免保",$Y216="质保期内"),IF($Z216="","▲免保没填到期日",IF($Z216&lt;TODAY(),"▲免保已到期 该转收费了",IF($Z216-TODAY()&lt;=合同提醒天,"免保还剩 "&amp;TEXT($Z216-TODAY(),"0")&amp;" 天","免保中"))),IF($Y216="暂停维保","暂停中 不计费",IF($Y216="已解约","已解约",IF(COUNTIF(合同键,$E216)=0,"▲还没建合同行","")))))</f>
        <v/>
      </c>
      <c r="AD216" s="24"/>
      <c r="AE216" s="35" t="str">
        <f aca="false">IF($C216="","",IF($D216="","★项目名称没填",IF(N($P216)&lt;=0,"★台量要填",IF(AND(OR($Y216="安装免保",$Y216="技术免保",$Y216="质保期内"),$Z216=""),"★免保到期日没填",IF(COUNTIF(合同键,$E216)=0,"★还没建合同行","OK")))))</f>
        <v/>
      </c>
    </row>
    <row r="217" customFormat="false" ht="15" hidden="false" customHeight="false" outlineLevel="0" collapsed="false">
      <c r="A217" s="29" t="str">
        <f aca="false">IF($C217="","",ROW()-4)</f>
        <v/>
      </c>
      <c r="B217" s="25"/>
      <c r="C217" s="24"/>
      <c r="D217" s="24"/>
      <c r="E217" s="30" t="str">
        <f aca="false">IF($C217="","",$C217&amp;" ｜ "&amp;$D217)</f>
        <v/>
      </c>
      <c r="F217" s="25"/>
      <c r="G217" s="25"/>
      <c r="H217" s="25"/>
      <c r="I217" s="25"/>
      <c r="J217" s="25"/>
      <c r="K217" s="21"/>
      <c r="L217" s="21"/>
      <c r="M217" s="21"/>
      <c r="N217" s="25"/>
      <c r="O217" s="25"/>
      <c r="P217" s="32"/>
      <c r="Q217" s="25"/>
      <c r="R217" s="25"/>
      <c r="S217" s="33"/>
      <c r="T217" s="33"/>
      <c r="U217" s="33"/>
      <c r="V217" s="33"/>
      <c r="W217" s="25"/>
      <c r="X217" s="25"/>
      <c r="Y217" s="25"/>
      <c r="Z217" s="33"/>
      <c r="AA217" s="34" t="str">
        <f aca="true">IF($T217="","",IF($T217&lt;TODAY(),"已过期 "&amp;TEXT(TODAY()-$T217,"0")&amp;" 天",IF($T217-TODAY()&lt;=年检提醒天,"还剩 "&amp;TEXT($T217-TODAY(),"0")&amp;" 天","")))</f>
        <v/>
      </c>
      <c r="AB217" s="34" t="str">
        <f aca="true">IF(COUNT($U217:$V217)=0,"",IF(MIN($U217:$V217)&lt;TODAY(),"已过期 "&amp;TEXT(TODAY()-MIN($U217:$V217),"0")&amp;" 天",IF(MIN($U217:$V217)-TODAY()&lt;=年检提醒天,"还剩 "&amp;TEXT(MIN($U217:$V217)-TODAY(),"0")&amp;" 天","")))</f>
        <v/>
      </c>
      <c r="AC217" s="34" t="str">
        <f aca="true">IF($C217="","",IF(OR($Y217="安装免保",$Y217="技术免保",$Y217="质保期内"),IF($Z217="","▲免保没填到期日",IF($Z217&lt;TODAY(),"▲免保已到期 该转收费了",IF($Z217-TODAY()&lt;=合同提醒天,"免保还剩 "&amp;TEXT($Z217-TODAY(),"0")&amp;" 天","免保中"))),IF($Y217="暂停维保","暂停中 不计费",IF($Y217="已解约","已解约",IF(COUNTIF(合同键,$E217)=0,"▲还没建合同行","")))))</f>
        <v/>
      </c>
      <c r="AD217" s="24"/>
      <c r="AE217" s="35" t="str">
        <f aca="false">IF($C217="","",IF($D217="","★项目名称没填",IF(N($P217)&lt;=0,"★台量要填",IF(AND(OR($Y217="安装免保",$Y217="技术免保",$Y217="质保期内"),$Z217=""),"★免保到期日没填",IF(COUNTIF(合同键,$E217)=0,"★还没建合同行","OK")))))</f>
        <v/>
      </c>
    </row>
    <row r="218" customFormat="false" ht="15" hidden="false" customHeight="false" outlineLevel="0" collapsed="false">
      <c r="A218" s="29" t="str">
        <f aca="false">IF($C218="","",ROW()-4)</f>
        <v/>
      </c>
      <c r="B218" s="25"/>
      <c r="C218" s="24"/>
      <c r="D218" s="24"/>
      <c r="E218" s="30" t="str">
        <f aca="false">IF($C218="","",$C218&amp;" ｜ "&amp;$D218)</f>
        <v/>
      </c>
      <c r="F218" s="25"/>
      <c r="G218" s="25"/>
      <c r="H218" s="25"/>
      <c r="I218" s="25"/>
      <c r="J218" s="25"/>
      <c r="K218" s="21"/>
      <c r="L218" s="21"/>
      <c r="M218" s="21"/>
      <c r="N218" s="25"/>
      <c r="O218" s="25"/>
      <c r="P218" s="32"/>
      <c r="Q218" s="25"/>
      <c r="R218" s="25"/>
      <c r="S218" s="33"/>
      <c r="T218" s="33"/>
      <c r="U218" s="33"/>
      <c r="V218" s="33"/>
      <c r="W218" s="25"/>
      <c r="X218" s="25"/>
      <c r="Y218" s="25"/>
      <c r="Z218" s="33"/>
      <c r="AA218" s="34" t="str">
        <f aca="true">IF($T218="","",IF($T218&lt;TODAY(),"已过期 "&amp;TEXT(TODAY()-$T218,"0")&amp;" 天",IF($T218-TODAY()&lt;=年检提醒天,"还剩 "&amp;TEXT($T218-TODAY(),"0")&amp;" 天","")))</f>
        <v/>
      </c>
      <c r="AB218" s="34" t="str">
        <f aca="true">IF(COUNT($U218:$V218)=0,"",IF(MIN($U218:$V218)&lt;TODAY(),"已过期 "&amp;TEXT(TODAY()-MIN($U218:$V218),"0")&amp;" 天",IF(MIN($U218:$V218)-TODAY()&lt;=年检提醒天,"还剩 "&amp;TEXT(MIN($U218:$V218)-TODAY(),"0")&amp;" 天","")))</f>
        <v/>
      </c>
      <c r="AC218" s="34" t="str">
        <f aca="true">IF($C218="","",IF(OR($Y218="安装免保",$Y218="技术免保",$Y218="质保期内"),IF($Z218="","▲免保没填到期日",IF($Z218&lt;TODAY(),"▲免保已到期 该转收费了",IF($Z218-TODAY()&lt;=合同提醒天,"免保还剩 "&amp;TEXT($Z218-TODAY(),"0")&amp;" 天","免保中"))),IF($Y218="暂停维保","暂停中 不计费",IF($Y218="已解约","已解约",IF(COUNTIF(合同键,$E218)=0,"▲还没建合同行","")))))</f>
        <v/>
      </c>
      <c r="AD218" s="24"/>
      <c r="AE218" s="35" t="str">
        <f aca="false">IF($C218="","",IF($D218="","★项目名称没填",IF(N($P218)&lt;=0,"★台量要填",IF(AND(OR($Y218="安装免保",$Y218="技术免保",$Y218="质保期内"),$Z218=""),"★免保到期日没填",IF(COUNTIF(合同键,$E218)=0,"★还没建合同行","OK")))))</f>
        <v/>
      </c>
    </row>
    <row r="219" customFormat="false" ht="15" hidden="false" customHeight="false" outlineLevel="0" collapsed="false">
      <c r="A219" s="29" t="str">
        <f aca="false">IF($C219="","",ROW()-4)</f>
        <v/>
      </c>
      <c r="B219" s="25"/>
      <c r="C219" s="24"/>
      <c r="D219" s="24"/>
      <c r="E219" s="30" t="str">
        <f aca="false">IF($C219="","",$C219&amp;" ｜ "&amp;$D219)</f>
        <v/>
      </c>
      <c r="F219" s="25"/>
      <c r="G219" s="25"/>
      <c r="H219" s="25"/>
      <c r="I219" s="25"/>
      <c r="J219" s="25"/>
      <c r="K219" s="21"/>
      <c r="L219" s="21"/>
      <c r="M219" s="21"/>
      <c r="N219" s="25"/>
      <c r="O219" s="25"/>
      <c r="P219" s="32"/>
      <c r="Q219" s="25"/>
      <c r="R219" s="25"/>
      <c r="S219" s="33"/>
      <c r="T219" s="33"/>
      <c r="U219" s="33"/>
      <c r="V219" s="33"/>
      <c r="W219" s="25"/>
      <c r="X219" s="25"/>
      <c r="Y219" s="25"/>
      <c r="Z219" s="33"/>
      <c r="AA219" s="34" t="str">
        <f aca="true">IF($T219="","",IF($T219&lt;TODAY(),"已过期 "&amp;TEXT(TODAY()-$T219,"0")&amp;" 天",IF($T219-TODAY()&lt;=年检提醒天,"还剩 "&amp;TEXT($T219-TODAY(),"0")&amp;" 天","")))</f>
        <v/>
      </c>
      <c r="AB219" s="34" t="str">
        <f aca="true">IF(COUNT($U219:$V219)=0,"",IF(MIN($U219:$V219)&lt;TODAY(),"已过期 "&amp;TEXT(TODAY()-MIN($U219:$V219),"0")&amp;" 天",IF(MIN($U219:$V219)-TODAY()&lt;=年检提醒天,"还剩 "&amp;TEXT(MIN($U219:$V219)-TODAY(),"0")&amp;" 天","")))</f>
        <v/>
      </c>
      <c r="AC219" s="34" t="str">
        <f aca="true">IF($C219="","",IF(OR($Y219="安装免保",$Y219="技术免保",$Y219="质保期内"),IF($Z219="","▲免保没填到期日",IF($Z219&lt;TODAY(),"▲免保已到期 该转收费了",IF($Z219-TODAY()&lt;=合同提醒天,"免保还剩 "&amp;TEXT($Z219-TODAY(),"0")&amp;" 天","免保中"))),IF($Y219="暂停维保","暂停中 不计费",IF($Y219="已解约","已解约",IF(COUNTIF(合同键,$E219)=0,"▲还没建合同行","")))))</f>
        <v/>
      </c>
      <c r="AD219" s="24"/>
      <c r="AE219" s="35" t="str">
        <f aca="false">IF($C219="","",IF($D219="","★项目名称没填",IF(N($P219)&lt;=0,"★台量要填",IF(AND(OR($Y219="安装免保",$Y219="技术免保",$Y219="质保期内"),$Z219=""),"★免保到期日没填",IF(COUNTIF(合同键,$E219)=0,"★还没建合同行","OK")))))</f>
        <v/>
      </c>
    </row>
    <row r="220" customFormat="false" ht="15" hidden="false" customHeight="false" outlineLevel="0" collapsed="false">
      <c r="A220" s="29" t="str">
        <f aca="false">IF($C220="","",ROW()-4)</f>
        <v/>
      </c>
      <c r="B220" s="25"/>
      <c r="C220" s="24"/>
      <c r="D220" s="24"/>
      <c r="E220" s="30" t="str">
        <f aca="false">IF($C220="","",$C220&amp;" ｜ "&amp;$D220)</f>
        <v/>
      </c>
      <c r="F220" s="25"/>
      <c r="G220" s="25"/>
      <c r="H220" s="25"/>
      <c r="I220" s="25"/>
      <c r="J220" s="25"/>
      <c r="K220" s="21"/>
      <c r="L220" s="21"/>
      <c r="M220" s="21"/>
      <c r="N220" s="25"/>
      <c r="O220" s="25"/>
      <c r="P220" s="32"/>
      <c r="Q220" s="25"/>
      <c r="R220" s="25"/>
      <c r="S220" s="33"/>
      <c r="T220" s="33"/>
      <c r="U220" s="33"/>
      <c r="V220" s="33"/>
      <c r="W220" s="25"/>
      <c r="X220" s="25"/>
      <c r="Y220" s="25"/>
      <c r="Z220" s="33"/>
      <c r="AA220" s="34" t="str">
        <f aca="true">IF($T220="","",IF($T220&lt;TODAY(),"已过期 "&amp;TEXT(TODAY()-$T220,"0")&amp;" 天",IF($T220-TODAY()&lt;=年检提醒天,"还剩 "&amp;TEXT($T220-TODAY(),"0")&amp;" 天","")))</f>
        <v/>
      </c>
      <c r="AB220" s="34" t="str">
        <f aca="true">IF(COUNT($U220:$V220)=0,"",IF(MIN($U220:$V220)&lt;TODAY(),"已过期 "&amp;TEXT(TODAY()-MIN($U220:$V220),"0")&amp;" 天",IF(MIN($U220:$V220)-TODAY()&lt;=年检提醒天,"还剩 "&amp;TEXT(MIN($U220:$V220)-TODAY(),"0")&amp;" 天","")))</f>
        <v/>
      </c>
      <c r="AC220" s="34" t="str">
        <f aca="true">IF($C220="","",IF(OR($Y220="安装免保",$Y220="技术免保",$Y220="质保期内"),IF($Z220="","▲免保没填到期日",IF($Z220&lt;TODAY(),"▲免保已到期 该转收费了",IF($Z220-TODAY()&lt;=合同提醒天,"免保还剩 "&amp;TEXT($Z220-TODAY(),"0")&amp;" 天","免保中"))),IF($Y220="暂停维保","暂停中 不计费",IF($Y220="已解约","已解约",IF(COUNTIF(合同键,$E220)=0,"▲还没建合同行","")))))</f>
        <v/>
      </c>
      <c r="AD220" s="24"/>
      <c r="AE220" s="35" t="str">
        <f aca="false">IF($C220="","",IF($D220="","★项目名称没填",IF(N($P220)&lt;=0,"★台量要填",IF(AND(OR($Y220="安装免保",$Y220="技术免保",$Y220="质保期内"),$Z220=""),"★免保到期日没填",IF(COUNTIF(合同键,$E220)=0,"★还没建合同行","OK")))))</f>
        <v/>
      </c>
    </row>
    <row r="221" customFormat="false" ht="15" hidden="false" customHeight="false" outlineLevel="0" collapsed="false">
      <c r="A221" s="29" t="str">
        <f aca="false">IF($C221="","",ROW()-4)</f>
        <v/>
      </c>
      <c r="B221" s="25"/>
      <c r="C221" s="24"/>
      <c r="D221" s="24"/>
      <c r="E221" s="30" t="str">
        <f aca="false">IF($C221="","",$C221&amp;" ｜ "&amp;$D221)</f>
        <v/>
      </c>
      <c r="F221" s="25"/>
      <c r="G221" s="25"/>
      <c r="H221" s="25"/>
      <c r="I221" s="25"/>
      <c r="J221" s="25"/>
      <c r="K221" s="21"/>
      <c r="L221" s="21"/>
      <c r="M221" s="21"/>
      <c r="N221" s="25"/>
      <c r="O221" s="25"/>
      <c r="P221" s="32"/>
      <c r="Q221" s="25"/>
      <c r="R221" s="25"/>
      <c r="S221" s="33"/>
      <c r="T221" s="33"/>
      <c r="U221" s="33"/>
      <c r="V221" s="33"/>
      <c r="W221" s="25"/>
      <c r="X221" s="25"/>
      <c r="Y221" s="25"/>
      <c r="Z221" s="33"/>
      <c r="AA221" s="34" t="str">
        <f aca="true">IF($T221="","",IF($T221&lt;TODAY(),"已过期 "&amp;TEXT(TODAY()-$T221,"0")&amp;" 天",IF($T221-TODAY()&lt;=年检提醒天,"还剩 "&amp;TEXT($T221-TODAY(),"0")&amp;" 天","")))</f>
        <v/>
      </c>
      <c r="AB221" s="34" t="str">
        <f aca="true">IF(COUNT($U221:$V221)=0,"",IF(MIN($U221:$V221)&lt;TODAY(),"已过期 "&amp;TEXT(TODAY()-MIN($U221:$V221),"0")&amp;" 天",IF(MIN($U221:$V221)-TODAY()&lt;=年检提醒天,"还剩 "&amp;TEXT(MIN($U221:$V221)-TODAY(),"0")&amp;" 天","")))</f>
        <v/>
      </c>
      <c r="AC221" s="34" t="str">
        <f aca="true">IF($C221="","",IF(OR($Y221="安装免保",$Y221="技术免保",$Y221="质保期内"),IF($Z221="","▲免保没填到期日",IF($Z221&lt;TODAY(),"▲免保已到期 该转收费了",IF($Z221-TODAY()&lt;=合同提醒天,"免保还剩 "&amp;TEXT($Z221-TODAY(),"0")&amp;" 天","免保中"))),IF($Y221="暂停维保","暂停中 不计费",IF($Y221="已解约","已解约",IF(COUNTIF(合同键,$E221)=0,"▲还没建合同行","")))))</f>
        <v/>
      </c>
      <c r="AD221" s="24"/>
      <c r="AE221" s="35" t="str">
        <f aca="false">IF($C221="","",IF($D221="","★项目名称没填",IF(N($P221)&lt;=0,"★台量要填",IF(AND(OR($Y221="安装免保",$Y221="技术免保",$Y221="质保期内"),$Z221=""),"★免保到期日没填",IF(COUNTIF(合同键,$E221)=0,"★还没建合同行","OK")))))</f>
        <v/>
      </c>
    </row>
    <row r="222" customFormat="false" ht="15" hidden="false" customHeight="false" outlineLevel="0" collapsed="false">
      <c r="A222" s="29" t="str">
        <f aca="false">IF($C222="","",ROW()-4)</f>
        <v/>
      </c>
      <c r="B222" s="25"/>
      <c r="C222" s="24"/>
      <c r="D222" s="24"/>
      <c r="E222" s="30" t="str">
        <f aca="false">IF($C222="","",$C222&amp;" ｜ "&amp;$D222)</f>
        <v/>
      </c>
      <c r="F222" s="25"/>
      <c r="G222" s="25"/>
      <c r="H222" s="25"/>
      <c r="I222" s="25"/>
      <c r="J222" s="25"/>
      <c r="K222" s="21"/>
      <c r="L222" s="21"/>
      <c r="M222" s="21"/>
      <c r="N222" s="25"/>
      <c r="O222" s="25"/>
      <c r="P222" s="32"/>
      <c r="Q222" s="25"/>
      <c r="R222" s="25"/>
      <c r="S222" s="33"/>
      <c r="T222" s="33"/>
      <c r="U222" s="33"/>
      <c r="V222" s="33"/>
      <c r="W222" s="25"/>
      <c r="X222" s="25"/>
      <c r="Y222" s="25"/>
      <c r="Z222" s="33"/>
      <c r="AA222" s="34" t="str">
        <f aca="true">IF($T222="","",IF($T222&lt;TODAY(),"已过期 "&amp;TEXT(TODAY()-$T222,"0")&amp;" 天",IF($T222-TODAY()&lt;=年检提醒天,"还剩 "&amp;TEXT($T222-TODAY(),"0")&amp;" 天","")))</f>
        <v/>
      </c>
      <c r="AB222" s="34" t="str">
        <f aca="true">IF(COUNT($U222:$V222)=0,"",IF(MIN($U222:$V222)&lt;TODAY(),"已过期 "&amp;TEXT(TODAY()-MIN($U222:$V222),"0")&amp;" 天",IF(MIN($U222:$V222)-TODAY()&lt;=年检提醒天,"还剩 "&amp;TEXT(MIN($U222:$V222)-TODAY(),"0")&amp;" 天","")))</f>
        <v/>
      </c>
      <c r="AC222" s="34" t="str">
        <f aca="true">IF($C222="","",IF(OR($Y222="安装免保",$Y222="技术免保",$Y222="质保期内"),IF($Z222="","▲免保没填到期日",IF($Z222&lt;TODAY(),"▲免保已到期 该转收费了",IF($Z222-TODAY()&lt;=合同提醒天,"免保还剩 "&amp;TEXT($Z222-TODAY(),"0")&amp;" 天","免保中"))),IF($Y222="暂停维保","暂停中 不计费",IF($Y222="已解约","已解约",IF(COUNTIF(合同键,$E222)=0,"▲还没建合同行","")))))</f>
        <v/>
      </c>
      <c r="AD222" s="24"/>
      <c r="AE222" s="35" t="str">
        <f aca="false">IF($C222="","",IF($D222="","★项目名称没填",IF(N($P222)&lt;=0,"★台量要填",IF(AND(OR($Y222="安装免保",$Y222="技术免保",$Y222="质保期内"),$Z222=""),"★免保到期日没填",IF(COUNTIF(合同键,$E222)=0,"★还没建合同行","OK")))))</f>
        <v/>
      </c>
    </row>
    <row r="223" customFormat="false" ht="15" hidden="false" customHeight="false" outlineLevel="0" collapsed="false">
      <c r="A223" s="29" t="str">
        <f aca="false">IF($C223="","",ROW()-4)</f>
        <v/>
      </c>
      <c r="B223" s="25"/>
      <c r="C223" s="24"/>
      <c r="D223" s="24"/>
      <c r="E223" s="30" t="str">
        <f aca="false">IF($C223="","",$C223&amp;" ｜ "&amp;$D223)</f>
        <v/>
      </c>
      <c r="F223" s="25"/>
      <c r="G223" s="25"/>
      <c r="H223" s="25"/>
      <c r="I223" s="25"/>
      <c r="J223" s="25"/>
      <c r="K223" s="21"/>
      <c r="L223" s="21"/>
      <c r="M223" s="21"/>
      <c r="N223" s="25"/>
      <c r="O223" s="25"/>
      <c r="P223" s="32"/>
      <c r="Q223" s="25"/>
      <c r="R223" s="25"/>
      <c r="S223" s="33"/>
      <c r="T223" s="33"/>
      <c r="U223" s="33"/>
      <c r="V223" s="33"/>
      <c r="W223" s="25"/>
      <c r="X223" s="25"/>
      <c r="Y223" s="25"/>
      <c r="Z223" s="33"/>
      <c r="AA223" s="34" t="str">
        <f aca="true">IF($T223="","",IF($T223&lt;TODAY(),"已过期 "&amp;TEXT(TODAY()-$T223,"0")&amp;" 天",IF($T223-TODAY()&lt;=年检提醒天,"还剩 "&amp;TEXT($T223-TODAY(),"0")&amp;" 天","")))</f>
        <v/>
      </c>
      <c r="AB223" s="34" t="str">
        <f aca="true">IF(COUNT($U223:$V223)=0,"",IF(MIN($U223:$V223)&lt;TODAY(),"已过期 "&amp;TEXT(TODAY()-MIN($U223:$V223),"0")&amp;" 天",IF(MIN($U223:$V223)-TODAY()&lt;=年检提醒天,"还剩 "&amp;TEXT(MIN($U223:$V223)-TODAY(),"0")&amp;" 天","")))</f>
        <v/>
      </c>
      <c r="AC223" s="34" t="str">
        <f aca="true">IF($C223="","",IF(OR($Y223="安装免保",$Y223="技术免保",$Y223="质保期内"),IF($Z223="","▲免保没填到期日",IF($Z223&lt;TODAY(),"▲免保已到期 该转收费了",IF($Z223-TODAY()&lt;=合同提醒天,"免保还剩 "&amp;TEXT($Z223-TODAY(),"0")&amp;" 天","免保中"))),IF($Y223="暂停维保","暂停中 不计费",IF($Y223="已解约","已解约",IF(COUNTIF(合同键,$E223)=0,"▲还没建合同行","")))))</f>
        <v/>
      </c>
      <c r="AD223" s="24"/>
      <c r="AE223" s="35" t="str">
        <f aca="false">IF($C223="","",IF($D223="","★项目名称没填",IF(N($P223)&lt;=0,"★台量要填",IF(AND(OR($Y223="安装免保",$Y223="技术免保",$Y223="质保期内"),$Z223=""),"★免保到期日没填",IF(COUNTIF(合同键,$E223)=0,"★还没建合同行","OK")))))</f>
        <v/>
      </c>
    </row>
    <row r="224" customFormat="false" ht="15" hidden="false" customHeight="false" outlineLevel="0" collapsed="false">
      <c r="A224" s="29" t="str">
        <f aca="false">IF($C224="","",ROW()-4)</f>
        <v/>
      </c>
      <c r="B224" s="25"/>
      <c r="C224" s="24"/>
      <c r="D224" s="24"/>
      <c r="E224" s="30" t="str">
        <f aca="false">IF($C224="","",$C224&amp;" ｜ "&amp;$D224)</f>
        <v/>
      </c>
      <c r="F224" s="25"/>
      <c r="G224" s="25"/>
      <c r="H224" s="25"/>
      <c r="I224" s="25"/>
      <c r="J224" s="25"/>
      <c r="K224" s="21"/>
      <c r="L224" s="21"/>
      <c r="M224" s="21"/>
      <c r="N224" s="25"/>
      <c r="O224" s="25"/>
      <c r="P224" s="32"/>
      <c r="Q224" s="25"/>
      <c r="R224" s="25"/>
      <c r="S224" s="33"/>
      <c r="T224" s="33"/>
      <c r="U224" s="33"/>
      <c r="V224" s="33"/>
      <c r="W224" s="25"/>
      <c r="X224" s="25"/>
      <c r="Y224" s="25"/>
      <c r="Z224" s="33"/>
      <c r="AA224" s="34" t="str">
        <f aca="true">IF($T224="","",IF($T224&lt;TODAY(),"已过期 "&amp;TEXT(TODAY()-$T224,"0")&amp;" 天",IF($T224-TODAY()&lt;=年检提醒天,"还剩 "&amp;TEXT($T224-TODAY(),"0")&amp;" 天","")))</f>
        <v/>
      </c>
      <c r="AB224" s="34" t="str">
        <f aca="true">IF(COUNT($U224:$V224)=0,"",IF(MIN($U224:$V224)&lt;TODAY(),"已过期 "&amp;TEXT(TODAY()-MIN($U224:$V224),"0")&amp;" 天",IF(MIN($U224:$V224)-TODAY()&lt;=年检提醒天,"还剩 "&amp;TEXT(MIN($U224:$V224)-TODAY(),"0")&amp;" 天","")))</f>
        <v/>
      </c>
      <c r="AC224" s="34" t="str">
        <f aca="true">IF($C224="","",IF(OR($Y224="安装免保",$Y224="技术免保",$Y224="质保期内"),IF($Z224="","▲免保没填到期日",IF($Z224&lt;TODAY(),"▲免保已到期 该转收费了",IF($Z224-TODAY()&lt;=合同提醒天,"免保还剩 "&amp;TEXT($Z224-TODAY(),"0")&amp;" 天","免保中"))),IF($Y224="暂停维保","暂停中 不计费",IF($Y224="已解约","已解约",IF(COUNTIF(合同键,$E224)=0,"▲还没建合同行","")))))</f>
        <v/>
      </c>
      <c r="AD224" s="24"/>
      <c r="AE224" s="35" t="str">
        <f aca="false">IF($C224="","",IF($D224="","★项目名称没填",IF(N($P224)&lt;=0,"★台量要填",IF(AND(OR($Y224="安装免保",$Y224="技术免保",$Y224="质保期内"),$Z224=""),"★免保到期日没填",IF(COUNTIF(合同键,$E224)=0,"★还没建合同行","OK")))))</f>
        <v/>
      </c>
    </row>
    <row r="225" customFormat="false" ht="15" hidden="false" customHeight="false" outlineLevel="0" collapsed="false">
      <c r="A225" s="29" t="str">
        <f aca="false">IF($C225="","",ROW()-4)</f>
        <v/>
      </c>
      <c r="B225" s="25"/>
      <c r="C225" s="24"/>
      <c r="D225" s="24"/>
      <c r="E225" s="30" t="str">
        <f aca="false">IF($C225="","",$C225&amp;" ｜ "&amp;$D225)</f>
        <v/>
      </c>
      <c r="F225" s="25"/>
      <c r="G225" s="25"/>
      <c r="H225" s="25"/>
      <c r="I225" s="25"/>
      <c r="J225" s="25"/>
      <c r="K225" s="21"/>
      <c r="L225" s="21"/>
      <c r="M225" s="21"/>
      <c r="N225" s="25"/>
      <c r="O225" s="25"/>
      <c r="P225" s="32"/>
      <c r="Q225" s="25"/>
      <c r="R225" s="25"/>
      <c r="S225" s="33"/>
      <c r="T225" s="33"/>
      <c r="U225" s="33"/>
      <c r="V225" s="33"/>
      <c r="W225" s="25"/>
      <c r="X225" s="25"/>
      <c r="Y225" s="25"/>
      <c r="Z225" s="33"/>
      <c r="AA225" s="34" t="str">
        <f aca="true">IF($T225="","",IF($T225&lt;TODAY(),"已过期 "&amp;TEXT(TODAY()-$T225,"0")&amp;" 天",IF($T225-TODAY()&lt;=年检提醒天,"还剩 "&amp;TEXT($T225-TODAY(),"0")&amp;" 天","")))</f>
        <v/>
      </c>
      <c r="AB225" s="34" t="str">
        <f aca="true">IF(COUNT($U225:$V225)=0,"",IF(MIN($U225:$V225)&lt;TODAY(),"已过期 "&amp;TEXT(TODAY()-MIN($U225:$V225),"0")&amp;" 天",IF(MIN($U225:$V225)-TODAY()&lt;=年检提醒天,"还剩 "&amp;TEXT(MIN($U225:$V225)-TODAY(),"0")&amp;" 天","")))</f>
        <v/>
      </c>
      <c r="AC225" s="34" t="str">
        <f aca="true">IF($C225="","",IF(OR($Y225="安装免保",$Y225="技术免保",$Y225="质保期内"),IF($Z225="","▲免保没填到期日",IF($Z225&lt;TODAY(),"▲免保已到期 该转收费了",IF($Z225-TODAY()&lt;=合同提醒天,"免保还剩 "&amp;TEXT($Z225-TODAY(),"0")&amp;" 天","免保中"))),IF($Y225="暂停维保","暂停中 不计费",IF($Y225="已解约","已解约",IF(COUNTIF(合同键,$E225)=0,"▲还没建合同行","")))))</f>
        <v/>
      </c>
      <c r="AD225" s="24"/>
      <c r="AE225" s="35" t="str">
        <f aca="false">IF($C225="","",IF($D225="","★项目名称没填",IF(N($P225)&lt;=0,"★台量要填",IF(AND(OR($Y225="安装免保",$Y225="技术免保",$Y225="质保期内"),$Z225=""),"★免保到期日没填",IF(COUNTIF(合同键,$E225)=0,"★还没建合同行","OK")))))</f>
        <v/>
      </c>
    </row>
    <row r="226" customFormat="false" ht="15" hidden="false" customHeight="false" outlineLevel="0" collapsed="false">
      <c r="A226" s="29" t="str">
        <f aca="false">IF($C226="","",ROW()-4)</f>
        <v/>
      </c>
      <c r="B226" s="25"/>
      <c r="C226" s="24"/>
      <c r="D226" s="24"/>
      <c r="E226" s="30" t="str">
        <f aca="false">IF($C226="","",$C226&amp;" ｜ "&amp;$D226)</f>
        <v/>
      </c>
      <c r="F226" s="25"/>
      <c r="G226" s="25"/>
      <c r="H226" s="25"/>
      <c r="I226" s="25"/>
      <c r="J226" s="25"/>
      <c r="K226" s="21"/>
      <c r="L226" s="21"/>
      <c r="M226" s="21"/>
      <c r="N226" s="25"/>
      <c r="O226" s="25"/>
      <c r="P226" s="32"/>
      <c r="Q226" s="25"/>
      <c r="R226" s="25"/>
      <c r="S226" s="33"/>
      <c r="T226" s="33"/>
      <c r="U226" s="33"/>
      <c r="V226" s="33"/>
      <c r="W226" s="25"/>
      <c r="X226" s="25"/>
      <c r="Y226" s="25"/>
      <c r="Z226" s="33"/>
      <c r="AA226" s="34" t="str">
        <f aca="true">IF($T226="","",IF($T226&lt;TODAY(),"已过期 "&amp;TEXT(TODAY()-$T226,"0")&amp;" 天",IF($T226-TODAY()&lt;=年检提醒天,"还剩 "&amp;TEXT($T226-TODAY(),"0")&amp;" 天","")))</f>
        <v/>
      </c>
      <c r="AB226" s="34" t="str">
        <f aca="true">IF(COUNT($U226:$V226)=0,"",IF(MIN($U226:$V226)&lt;TODAY(),"已过期 "&amp;TEXT(TODAY()-MIN($U226:$V226),"0")&amp;" 天",IF(MIN($U226:$V226)-TODAY()&lt;=年检提醒天,"还剩 "&amp;TEXT(MIN($U226:$V226)-TODAY(),"0")&amp;" 天","")))</f>
        <v/>
      </c>
      <c r="AC226" s="34" t="str">
        <f aca="true">IF($C226="","",IF(OR($Y226="安装免保",$Y226="技术免保",$Y226="质保期内"),IF($Z226="","▲免保没填到期日",IF($Z226&lt;TODAY(),"▲免保已到期 该转收费了",IF($Z226-TODAY()&lt;=合同提醒天,"免保还剩 "&amp;TEXT($Z226-TODAY(),"0")&amp;" 天","免保中"))),IF($Y226="暂停维保","暂停中 不计费",IF($Y226="已解约","已解约",IF(COUNTIF(合同键,$E226)=0,"▲还没建合同行","")))))</f>
        <v/>
      </c>
      <c r="AD226" s="24"/>
      <c r="AE226" s="35" t="str">
        <f aca="false">IF($C226="","",IF($D226="","★项目名称没填",IF(N($P226)&lt;=0,"★台量要填",IF(AND(OR($Y226="安装免保",$Y226="技术免保",$Y226="质保期内"),$Z226=""),"★免保到期日没填",IF(COUNTIF(合同键,$E226)=0,"★还没建合同行","OK")))))</f>
        <v/>
      </c>
    </row>
    <row r="227" customFormat="false" ht="15" hidden="false" customHeight="false" outlineLevel="0" collapsed="false">
      <c r="A227" s="29" t="str">
        <f aca="false">IF($C227="","",ROW()-4)</f>
        <v/>
      </c>
      <c r="B227" s="25"/>
      <c r="C227" s="24"/>
      <c r="D227" s="24"/>
      <c r="E227" s="30" t="str">
        <f aca="false">IF($C227="","",$C227&amp;" ｜ "&amp;$D227)</f>
        <v/>
      </c>
      <c r="F227" s="25"/>
      <c r="G227" s="25"/>
      <c r="H227" s="25"/>
      <c r="I227" s="25"/>
      <c r="J227" s="25"/>
      <c r="K227" s="21"/>
      <c r="L227" s="21"/>
      <c r="M227" s="21"/>
      <c r="N227" s="25"/>
      <c r="O227" s="25"/>
      <c r="P227" s="32"/>
      <c r="Q227" s="25"/>
      <c r="R227" s="25"/>
      <c r="S227" s="33"/>
      <c r="T227" s="33"/>
      <c r="U227" s="33"/>
      <c r="V227" s="33"/>
      <c r="W227" s="25"/>
      <c r="X227" s="25"/>
      <c r="Y227" s="25"/>
      <c r="Z227" s="33"/>
      <c r="AA227" s="34" t="str">
        <f aca="true">IF($T227="","",IF($T227&lt;TODAY(),"已过期 "&amp;TEXT(TODAY()-$T227,"0")&amp;" 天",IF($T227-TODAY()&lt;=年检提醒天,"还剩 "&amp;TEXT($T227-TODAY(),"0")&amp;" 天","")))</f>
        <v/>
      </c>
      <c r="AB227" s="34" t="str">
        <f aca="true">IF(COUNT($U227:$V227)=0,"",IF(MIN($U227:$V227)&lt;TODAY(),"已过期 "&amp;TEXT(TODAY()-MIN($U227:$V227),"0")&amp;" 天",IF(MIN($U227:$V227)-TODAY()&lt;=年检提醒天,"还剩 "&amp;TEXT(MIN($U227:$V227)-TODAY(),"0")&amp;" 天","")))</f>
        <v/>
      </c>
      <c r="AC227" s="34" t="str">
        <f aca="true">IF($C227="","",IF(OR($Y227="安装免保",$Y227="技术免保",$Y227="质保期内"),IF($Z227="","▲免保没填到期日",IF($Z227&lt;TODAY(),"▲免保已到期 该转收费了",IF($Z227-TODAY()&lt;=合同提醒天,"免保还剩 "&amp;TEXT($Z227-TODAY(),"0")&amp;" 天","免保中"))),IF($Y227="暂停维保","暂停中 不计费",IF($Y227="已解约","已解约",IF(COUNTIF(合同键,$E227)=0,"▲还没建合同行","")))))</f>
        <v/>
      </c>
      <c r="AD227" s="24"/>
      <c r="AE227" s="35" t="str">
        <f aca="false">IF($C227="","",IF($D227="","★项目名称没填",IF(N($P227)&lt;=0,"★台量要填",IF(AND(OR($Y227="安装免保",$Y227="技术免保",$Y227="质保期内"),$Z227=""),"★免保到期日没填",IF(COUNTIF(合同键,$E227)=0,"★还没建合同行","OK")))))</f>
        <v/>
      </c>
    </row>
    <row r="228" customFormat="false" ht="15" hidden="false" customHeight="false" outlineLevel="0" collapsed="false">
      <c r="A228" s="29" t="str">
        <f aca="false">IF($C228="","",ROW()-4)</f>
        <v/>
      </c>
      <c r="B228" s="25"/>
      <c r="C228" s="24"/>
      <c r="D228" s="24"/>
      <c r="E228" s="30" t="str">
        <f aca="false">IF($C228="","",$C228&amp;" ｜ "&amp;$D228)</f>
        <v/>
      </c>
      <c r="F228" s="25"/>
      <c r="G228" s="25"/>
      <c r="H228" s="25"/>
      <c r="I228" s="25"/>
      <c r="J228" s="25"/>
      <c r="K228" s="21"/>
      <c r="L228" s="21"/>
      <c r="M228" s="21"/>
      <c r="N228" s="25"/>
      <c r="O228" s="25"/>
      <c r="P228" s="32"/>
      <c r="Q228" s="25"/>
      <c r="R228" s="25"/>
      <c r="S228" s="33"/>
      <c r="T228" s="33"/>
      <c r="U228" s="33"/>
      <c r="V228" s="33"/>
      <c r="W228" s="25"/>
      <c r="X228" s="25"/>
      <c r="Y228" s="25"/>
      <c r="Z228" s="33"/>
      <c r="AA228" s="34" t="str">
        <f aca="true">IF($T228="","",IF($T228&lt;TODAY(),"已过期 "&amp;TEXT(TODAY()-$T228,"0")&amp;" 天",IF($T228-TODAY()&lt;=年检提醒天,"还剩 "&amp;TEXT($T228-TODAY(),"0")&amp;" 天","")))</f>
        <v/>
      </c>
      <c r="AB228" s="34" t="str">
        <f aca="true">IF(COUNT($U228:$V228)=0,"",IF(MIN($U228:$V228)&lt;TODAY(),"已过期 "&amp;TEXT(TODAY()-MIN($U228:$V228),"0")&amp;" 天",IF(MIN($U228:$V228)-TODAY()&lt;=年检提醒天,"还剩 "&amp;TEXT(MIN($U228:$V228)-TODAY(),"0")&amp;" 天","")))</f>
        <v/>
      </c>
      <c r="AC228" s="34" t="str">
        <f aca="true">IF($C228="","",IF(OR($Y228="安装免保",$Y228="技术免保",$Y228="质保期内"),IF($Z228="","▲免保没填到期日",IF($Z228&lt;TODAY(),"▲免保已到期 该转收费了",IF($Z228-TODAY()&lt;=合同提醒天,"免保还剩 "&amp;TEXT($Z228-TODAY(),"0")&amp;" 天","免保中"))),IF($Y228="暂停维保","暂停中 不计费",IF($Y228="已解约","已解约",IF(COUNTIF(合同键,$E228)=0,"▲还没建合同行","")))))</f>
        <v/>
      </c>
      <c r="AD228" s="24"/>
      <c r="AE228" s="35" t="str">
        <f aca="false">IF($C228="","",IF($D228="","★项目名称没填",IF(N($P228)&lt;=0,"★台量要填",IF(AND(OR($Y228="安装免保",$Y228="技术免保",$Y228="质保期内"),$Z228=""),"★免保到期日没填",IF(COUNTIF(合同键,$E228)=0,"★还没建合同行","OK")))))</f>
        <v/>
      </c>
    </row>
    <row r="229" customFormat="false" ht="15" hidden="false" customHeight="false" outlineLevel="0" collapsed="false">
      <c r="A229" s="29" t="str">
        <f aca="false">IF($C229="","",ROW()-4)</f>
        <v/>
      </c>
      <c r="B229" s="25"/>
      <c r="C229" s="24"/>
      <c r="D229" s="24"/>
      <c r="E229" s="30" t="str">
        <f aca="false">IF($C229="","",$C229&amp;" ｜ "&amp;$D229)</f>
        <v/>
      </c>
      <c r="F229" s="25"/>
      <c r="G229" s="25"/>
      <c r="H229" s="25"/>
      <c r="I229" s="25"/>
      <c r="J229" s="25"/>
      <c r="K229" s="21"/>
      <c r="L229" s="21"/>
      <c r="M229" s="21"/>
      <c r="N229" s="25"/>
      <c r="O229" s="25"/>
      <c r="P229" s="32"/>
      <c r="Q229" s="25"/>
      <c r="R229" s="25"/>
      <c r="S229" s="33"/>
      <c r="T229" s="33"/>
      <c r="U229" s="33"/>
      <c r="V229" s="33"/>
      <c r="W229" s="25"/>
      <c r="X229" s="25"/>
      <c r="Y229" s="25"/>
      <c r="Z229" s="33"/>
      <c r="AA229" s="34" t="str">
        <f aca="true">IF($T229="","",IF($T229&lt;TODAY(),"已过期 "&amp;TEXT(TODAY()-$T229,"0")&amp;" 天",IF($T229-TODAY()&lt;=年检提醒天,"还剩 "&amp;TEXT($T229-TODAY(),"0")&amp;" 天","")))</f>
        <v/>
      </c>
      <c r="AB229" s="34" t="str">
        <f aca="true">IF(COUNT($U229:$V229)=0,"",IF(MIN($U229:$V229)&lt;TODAY(),"已过期 "&amp;TEXT(TODAY()-MIN($U229:$V229),"0")&amp;" 天",IF(MIN($U229:$V229)-TODAY()&lt;=年检提醒天,"还剩 "&amp;TEXT(MIN($U229:$V229)-TODAY(),"0")&amp;" 天","")))</f>
        <v/>
      </c>
      <c r="AC229" s="34" t="str">
        <f aca="true">IF($C229="","",IF(OR($Y229="安装免保",$Y229="技术免保",$Y229="质保期内"),IF($Z229="","▲免保没填到期日",IF($Z229&lt;TODAY(),"▲免保已到期 该转收费了",IF($Z229-TODAY()&lt;=合同提醒天,"免保还剩 "&amp;TEXT($Z229-TODAY(),"0")&amp;" 天","免保中"))),IF($Y229="暂停维保","暂停中 不计费",IF($Y229="已解约","已解约",IF(COUNTIF(合同键,$E229)=0,"▲还没建合同行","")))))</f>
        <v/>
      </c>
      <c r="AD229" s="24"/>
      <c r="AE229" s="35" t="str">
        <f aca="false">IF($C229="","",IF($D229="","★项目名称没填",IF(N($P229)&lt;=0,"★台量要填",IF(AND(OR($Y229="安装免保",$Y229="技术免保",$Y229="质保期内"),$Z229=""),"★免保到期日没填",IF(COUNTIF(合同键,$E229)=0,"★还没建合同行","OK")))))</f>
        <v/>
      </c>
    </row>
    <row r="230" customFormat="false" ht="15" hidden="false" customHeight="false" outlineLevel="0" collapsed="false">
      <c r="A230" s="29" t="str">
        <f aca="false">IF($C230="","",ROW()-4)</f>
        <v/>
      </c>
      <c r="B230" s="25"/>
      <c r="C230" s="24"/>
      <c r="D230" s="24"/>
      <c r="E230" s="30" t="str">
        <f aca="false">IF($C230="","",$C230&amp;" ｜ "&amp;$D230)</f>
        <v/>
      </c>
      <c r="F230" s="25"/>
      <c r="G230" s="25"/>
      <c r="H230" s="25"/>
      <c r="I230" s="25"/>
      <c r="J230" s="25"/>
      <c r="K230" s="21"/>
      <c r="L230" s="21"/>
      <c r="M230" s="21"/>
      <c r="N230" s="25"/>
      <c r="O230" s="25"/>
      <c r="P230" s="32"/>
      <c r="Q230" s="25"/>
      <c r="R230" s="25"/>
      <c r="S230" s="33"/>
      <c r="T230" s="33"/>
      <c r="U230" s="33"/>
      <c r="V230" s="33"/>
      <c r="W230" s="25"/>
      <c r="X230" s="25"/>
      <c r="Y230" s="25"/>
      <c r="Z230" s="33"/>
      <c r="AA230" s="34" t="str">
        <f aca="true">IF($T230="","",IF($T230&lt;TODAY(),"已过期 "&amp;TEXT(TODAY()-$T230,"0")&amp;" 天",IF($T230-TODAY()&lt;=年检提醒天,"还剩 "&amp;TEXT($T230-TODAY(),"0")&amp;" 天","")))</f>
        <v/>
      </c>
      <c r="AB230" s="34" t="str">
        <f aca="true">IF(COUNT($U230:$V230)=0,"",IF(MIN($U230:$V230)&lt;TODAY(),"已过期 "&amp;TEXT(TODAY()-MIN($U230:$V230),"0")&amp;" 天",IF(MIN($U230:$V230)-TODAY()&lt;=年检提醒天,"还剩 "&amp;TEXT(MIN($U230:$V230)-TODAY(),"0")&amp;" 天","")))</f>
        <v/>
      </c>
      <c r="AC230" s="34" t="str">
        <f aca="true">IF($C230="","",IF(OR($Y230="安装免保",$Y230="技术免保",$Y230="质保期内"),IF($Z230="","▲免保没填到期日",IF($Z230&lt;TODAY(),"▲免保已到期 该转收费了",IF($Z230-TODAY()&lt;=合同提醒天,"免保还剩 "&amp;TEXT($Z230-TODAY(),"0")&amp;" 天","免保中"))),IF($Y230="暂停维保","暂停中 不计费",IF($Y230="已解约","已解约",IF(COUNTIF(合同键,$E230)=0,"▲还没建合同行","")))))</f>
        <v/>
      </c>
      <c r="AD230" s="24"/>
      <c r="AE230" s="35" t="str">
        <f aca="false">IF($C230="","",IF($D230="","★项目名称没填",IF(N($P230)&lt;=0,"★台量要填",IF(AND(OR($Y230="安装免保",$Y230="技术免保",$Y230="质保期内"),$Z230=""),"★免保到期日没填",IF(COUNTIF(合同键,$E230)=0,"★还没建合同行","OK")))))</f>
        <v/>
      </c>
    </row>
    <row r="231" customFormat="false" ht="15" hidden="false" customHeight="false" outlineLevel="0" collapsed="false">
      <c r="A231" s="29" t="str">
        <f aca="false">IF($C231="","",ROW()-4)</f>
        <v/>
      </c>
      <c r="B231" s="25"/>
      <c r="C231" s="24"/>
      <c r="D231" s="24"/>
      <c r="E231" s="30" t="str">
        <f aca="false">IF($C231="","",$C231&amp;" ｜ "&amp;$D231)</f>
        <v/>
      </c>
      <c r="F231" s="25"/>
      <c r="G231" s="25"/>
      <c r="H231" s="25"/>
      <c r="I231" s="25"/>
      <c r="J231" s="25"/>
      <c r="K231" s="21"/>
      <c r="L231" s="21"/>
      <c r="M231" s="21"/>
      <c r="N231" s="25"/>
      <c r="O231" s="25"/>
      <c r="P231" s="32"/>
      <c r="Q231" s="25"/>
      <c r="R231" s="25"/>
      <c r="S231" s="33"/>
      <c r="T231" s="33"/>
      <c r="U231" s="33"/>
      <c r="V231" s="33"/>
      <c r="W231" s="25"/>
      <c r="X231" s="25"/>
      <c r="Y231" s="25"/>
      <c r="Z231" s="33"/>
      <c r="AA231" s="34" t="str">
        <f aca="true">IF($T231="","",IF($T231&lt;TODAY(),"已过期 "&amp;TEXT(TODAY()-$T231,"0")&amp;" 天",IF($T231-TODAY()&lt;=年检提醒天,"还剩 "&amp;TEXT($T231-TODAY(),"0")&amp;" 天","")))</f>
        <v/>
      </c>
      <c r="AB231" s="34" t="str">
        <f aca="true">IF(COUNT($U231:$V231)=0,"",IF(MIN($U231:$V231)&lt;TODAY(),"已过期 "&amp;TEXT(TODAY()-MIN($U231:$V231),"0")&amp;" 天",IF(MIN($U231:$V231)-TODAY()&lt;=年检提醒天,"还剩 "&amp;TEXT(MIN($U231:$V231)-TODAY(),"0")&amp;" 天","")))</f>
        <v/>
      </c>
      <c r="AC231" s="34" t="str">
        <f aca="true">IF($C231="","",IF(OR($Y231="安装免保",$Y231="技术免保",$Y231="质保期内"),IF($Z231="","▲免保没填到期日",IF($Z231&lt;TODAY(),"▲免保已到期 该转收费了",IF($Z231-TODAY()&lt;=合同提醒天,"免保还剩 "&amp;TEXT($Z231-TODAY(),"0")&amp;" 天","免保中"))),IF($Y231="暂停维保","暂停中 不计费",IF($Y231="已解约","已解约",IF(COUNTIF(合同键,$E231)=0,"▲还没建合同行","")))))</f>
        <v/>
      </c>
      <c r="AD231" s="24"/>
      <c r="AE231" s="35" t="str">
        <f aca="false">IF($C231="","",IF($D231="","★项目名称没填",IF(N($P231)&lt;=0,"★台量要填",IF(AND(OR($Y231="安装免保",$Y231="技术免保",$Y231="质保期内"),$Z231=""),"★免保到期日没填",IF(COUNTIF(合同键,$E231)=0,"★还没建合同行","OK")))))</f>
        <v/>
      </c>
    </row>
    <row r="232" customFormat="false" ht="15" hidden="false" customHeight="false" outlineLevel="0" collapsed="false">
      <c r="A232" s="29" t="str">
        <f aca="false">IF($C232="","",ROW()-4)</f>
        <v/>
      </c>
      <c r="B232" s="25"/>
      <c r="C232" s="24"/>
      <c r="D232" s="24"/>
      <c r="E232" s="30" t="str">
        <f aca="false">IF($C232="","",$C232&amp;" ｜ "&amp;$D232)</f>
        <v/>
      </c>
      <c r="F232" s="25"/>
      <c r="G232" s="25"/>
      <c r="H232" s="25"/>
      <c r="I232" s="25"/>
      <c r="J232" s="25"/>
      <c r="K232" s="21"/>
      <c r="L232" s="21"/>
      <c r="M232" s="21"/>
      <c r="N232" s="25"/>
      <c r="O232" s="25"/>
      <c r="P232" s="32"/>
      <c r="Q232" s="25"/>
      <c r="R232" s="25"/>
      <c r="S232" s="33"/>
      <c r="T232" s="33"/>
      <c r="U232" s="33"/>
      <c r="V232" s="33"/>
      <c r="W232" s="25"/>
      <c r="X232" s="25"/>
      <c r="Y232" s="25"/>
      <c r="Z232" s="33"/>
      <c r="AA232" s="34" t="str">
        <f aca="true">IF($T232="","",IF($T232&lt;TODAY(),"已过期 "&amp;TEXT(TODAY()-$T232,"0")&amp;" 天",IF($T232-TODAY()&lt;=年检提醒天,"还剩 "&amp;TEXT($T232-TODAY(),"0")&amp;" 天","")))</f>
        <v/>
      </c>
      <c r="AB232" s="34" t="str">
        <f aca="true">IF(COUNT($U232:$V232)=0,"",IF(MIN($U232:$V232)&lt;TODAY(),"已过期 "&amp;TEXT(TODAY()-MIN($U232:$V232),"0")&amp;" 天",IF(MIN($U232:$V232)-TODAY()&lt;=年检提醒天,"还剩 "&amp;TEXT(MIN($U232:$V232)-TODAY(),"0")&amp;" 天","")))</f>
        <v/>
      </c>
      <c r="AC232" s="34" t="str">
        <f aca="true">IF($C232="","",IF(OR($Y232="安装免保",$Y232="技术免保",$Y232="质保期内"),IF($Z232="","▲免保没填到期日",IF($Z232&lt;TODAY(),"▲免保已到期 该转收费了",IF($Z232-TODAY()&lt;=合同提醒天,"免保还剩 "&amp;TEXT($Z232-TODAY(),"0")&amp;" 天","免保中"))),IF($Y232="暂停维保","暂停中 不计费",IF($Y232="已解约","已解约",IF(COUNTIF(合同键,$E232)=0,"▲还没建合同行","")))))</f>
        <v/>
      </c>
      <c r="AD232" s="24"/>
      <c r="AE232" s="35" t="str">
        <f aca="false">IF($C232="","",IF($D232="","★项目名称没填",IF(N($P232)&lt;=0,"★台量要填",IF(AND(OR($Y232="安装免保",$Y232="技术免保",$Y232="质保期内"),$Z232=""),"★免保到期日没填",IF(COUNTIF(合同键,$E232)=0,"★还没建合同行","OK")))))</f>
        <v/>
      </c>
    </row>
    <row r="233" customFormat="false" ht="15" hidden="false" customHeight="false" outlineLevel="0" collapsed="false">
      <c r="A233" s="29" t="str">
        <f aca="false">IF($C233="","",ROW()-4)</f>
        <v/>
      </c>
      <c r="B233" s="25"/>
      <c r="C233" s="24"/>
      <c r="D233" s="24"/>
      <c r="E233" s="30" t="str">
        <f aca="false">IF($C233="","",$C233&amp;" ｜ "&amp;$D233)</f>
        <v/>
      </c>
      <c r="F233" s="25"/>
      <c r="G233" s="25"/>
      <c r="H233" s="25"/>
      <c r="I233" s="25"/>
      <c r="J233" s="25"/>
      <c r="K233" s="21"/>
      <c r="L233" s="21"/>
      <c r="M233" s="21"/>
      <c r="N233" s="25"/>
      <c r="O233" s="25"/>
      <c r="P233" s="32"/>
      <c r="Q233" s="25"/>
      <c r="R233" s="25"/>
      <c r="S233" s="33"/>
      <c r="T233" s="33"/>
      <c r="U233" s="33"/>
      <c r="V233" s="33"/>
      <c r="W233" s="25"/>
      <c r="X233" s="25"/>
      <c r="Y233" s="25"/>
      <c r="Z233" s="33"/>
      <c r="AA233" s="34" t="str">
        <f aca="true">IF($T233="","",IF($T233&lt;TODAY(),"已过期 "&amp;TEXT(TODAY()-$T233,"0")&amp;" 天",IF($T233-TODAY()&lt;=年检提醒天,"还剩 "&amp;TEXT($T233-TODAY(),"0")&amp;" 天","")))</f>
        <v/>
      </c>
      <c r="AB233" s="34" t="str">
        <f aca="true">IF(COUNT($U233:$V233)=0,"",IF(MIN($U233:$V233)&lt;TODAY(),"已过期 "&amp;TEXT(TODAY()-MIN($U233:$V233),"0")&amp;" 天",IF(MIN($U233:$V233)-TODAY()&lt;=年检提醒天,"还剩 "&amp;TEXT(MIN($U233:$V233)-TODAY(),"0")&amp;" 天","")))</f>
        <v/>
      </c>
      <c r="AC233" s="34" t="str">
        <f aca="true">IF($C233="","",IF(OR($Y233="安装免保",$Y233="技术免保",$Y233="质保期内"),IF($Z233="","▲免保没填到期日",IF($Z233&lt;TODAY(),"▲免保已到期 该转收费了",IF($Z233-TODAY()&lt;=合同提醒天,"免保还剩 "&amp;TEXT($Z233-TODAY(),"0")&amp;" 天","免保中"))),IF($Y233="暂停维保","暂停中 不计费",IF($Y233="已解约","已解约",IF(COUNTIF(合同键,$E233)=0,"▲还没建合同行","")))))</f>
        <v/>
      </c>
      <c r="AD233" s="24"/>
      <c r="AE233" s="35" t="str">
        <f aca="false">IF($C233="","",IF($D233="","★项目名称没填",IF(N($P233)&lt;=0,"★台量要填",IF(AND(OR($Y233="安装免保",$Y233="技术免保",$Y233="质保期内"),$Z233=""),"★免保到期日没填",IF(COUNTIF(合同键,$E233)=0,"★还没建合同行","OK")))))</f>
        <v/>
      </c>
    </row>
    <row r="234" customFormat="false" ht="15" hidden="false" customHeight="false" outlineLevel="0" collapsed="false">
      <c r="A234" s="29" t="str">
        <f aca="false">IF($C234="","",ROW()-4)</f>
        <v/>
      </c>
      <c r="B234" s="25"/>
      <c r="C234" s="24"/>
      <c r="D234" s="24"/>
      <c r="E234" s="30" t="str">
        <f aca="false">IF($C234="","",$C234&amp;" ｜ "&amp;$D234)</f>
        <v/>
      </c>
      <c r="F234" s="25"/>
      <c r="G234" s="25"/>
      <c r="H234" s="25"/>
      <c r="I234" s="25"/>
      <c r="J234" s="25"/>
      <c r="K234" s="21"/>
      <c r="L234" s="21"/>
      <c r="M234" s="21"/>
      <c r="N234" s="25"/>
      <c r="O234" s="25"/>
      <c r="P234" s="32"/>
      <c r="Q234" s="25"/>
      <c r="R234" s="25"/>
      <c r="S234" s="33"/>
      <c r="T234" s="33"/>
      <c r="U234" s="33"/>
      <c r="V234" s="33"/>
      <c r="W234" s="25"/>
      <c r="X234" s="25"/>
      <c r="Y234" s="25"/>
      <c r="Z234" s="33"/>
      <c r="AA234" s="34" t="str">
        <f aca="true">IF($T234="","",IF($T234&lt;TODAY(),"已过期 "&amp;TEXT(TODAY()-$T234,"0")&amp;" 天",IF($T234-TODAY()&lt;=年检提醒天,"还剩 "&amp;TEXT($T234-TODAY(),"0")&amp;" 天","")))</f>
        <v/>
      </c>
      <c r="AB234" s="34" t="str">
        <f aca="true">IF(COUNT($U234:$V234)=0,"",IF(MIN($U234:$V234)&lt;TODAY(),"已过期 "&amp;TEXT(TODAY()-MIN($U234:$V234),"0")&amp;" 天",IF(MIN($U234:$V234)-TODAY()&lt;=年检提醒天,"还剩 "&amp;TEXT(MIN($U234:$V234)-TODAY(),"0")&amp;" 天","")))</f>
        <v/>
      </c>
      <c r="AC234" s="34" t="str">
        <f aca="true">IF($C234="","",IF(OR($Y234="安装免保",$Y234="技术免保",$Y234="质保期内"),IF($Z234="","▲免保没填到期日",IF($Z234&lt;TODAY(),"▲免保已到期 该转收费了",IF($Z234-TODAY()&lt;=合同提醒天,"免保还剩 "&amp;TEXT($Z234-TODAY(),"0")&amp;" 天","免保中"))),IF($Y234="暂停维保","暂停中 不计费",IF($Y234="已解约","已解约",IF(COUNTIF(合同键,$E234)=0,"▲还没建合同行","")))))</f>
        <v/>
      </c>
      <c r="AD234" s="24"/>
      <c r="AE234" s="35" t="str">
        <f aca="false">IF($C234="","",IF($D234="","★项目名称没填",IF(N($P234)&lt;=0,"★台量要填",IF(AND(OR($Y234="安装免保",$Y234="技术免保",$Y234="质保期内"),$Z234=""),"★免保到期日没填",IF(COUNTIF(合同键,$E234)=0,"★还没建合同行","OK")))))</f>
        <v/>
      </c>
    </row>
    <row r="235" customFormat="false" ht="15" hidden="false" customHeight="false" outlineLevel="0" collapsed="false">
      <c r="A235" s="29" t="str">
        <f aca="false">IF($C235="","",ROW()-4)</f>
        <v/>
      </c>
      <c r="B235" s="25"/>
      <c r="C235" s="24"/>
      <c r="D235" s="24"/>
      <c r="E235" s="30" t="str">
        <f aca="false">IF($C235="","",$C235&amp;" ｜ "&amp;$D235)</f>
        <v/>
      </c>
      <c r="F235" s="25"/>
      <c r="G235" s="25"/>
      <c r="H235" s="25"/>
      <c r="I235" s="25"/>
      <c r="J235" s="25"/>
      <c r="K235" s="21"/>
      <c r="L235" s="21"/>
      <c r="M235" s="21"/>
      <c r="N235" s="25"/>
      <c r="O235" s="25"/>
      <c r="P235" s="32"/>
      <c r="Q235" s="25"/>
      <c r="R235" s="25"/>
      <c r="S235" s="33"/>
      <c r="T235" s="33"/>
      <c r="U235" s="33"/>
      <c r="V235" s="33"/>
      <c r="W235" s="25"/>
      <c r="X235" s="25"/>
      <c r="Y235" s="25"/>
      <c r="Z235" s="33"/>
      <c r="AA235" s="34" t="str">
        <f aca="true">IF($T235="","",IF($T235&lt;TODAY(),"已过期 "&amp;TEXT(TODAY()-$T235,"0")&amp;" 天",IF($T235-TODAY()&lt;=年检提醒天,"还剩 "&amp;TEXT($T235-TODAY(),"0")&amp;" 天","")))</f>
        <v/>
      </c>
      <c r="AB235" s="34" t="str">
        <f aca="true">IF(COUNT($U235:$V235)=0,"",IF(MIN($U235:$V235)&lt;TODAY(),"已过期 "&amp;TEXT(TODAY()-MIN($U235:$V235),"0")&amp;" 天",IF(MIN($U235:$V235)-TODAY()&lt;=年检提醒天,"还剩 "&amp;TEXT(MIN($U235:$V235)-TODAY(),"0")&amp;" 天","")))</f>
        <v/>
      </c>
      <c r="AC235" s="34" t="str">
        <f aca="true">IF($C235="","",IF(OR($Y235="安装免保",$Y235="技术免保",$Y235="质保期内"),IF($Z235="","▲免保没填到期日",IF($Z235&lt;TODAY(),"▲免保已到期 该转收费了",IF($Z235-TODAY()&lt;=合同提醒天,"免保还剩 "&amp;TEXT($Z235-TODAY(),"0")&amp;" 天","免保中"))),IF($Y235="暂停维保","暂停中 不计费",IF($Y235="已解约","已解约",IF(COUNTIF(合同键,$E235)=0,"▲还没建合同行","")))))</f>
        <v/>
      </c>
      <c r="AD235" s="24"/>
      <c r="AE235" s="35" t="str">
        <f aca="false">IF($C235="","",IF($D235="","★项目名称没填",IF(N($P235)&lt;=0,"★台量要填",IF(AND(OR($Y235="安装免保",$Y235="技术免保",$Y235="质保期内"),$Z235=""),"★免保到期日没填",IF(COUNTIF(合同键,$E235)=0,"★还没建合同行","OK")))))</f>
        <v/>
      </c>
    </row>
    <row r="236" customFormat="false" ht="15" hidden="false" customHeight="false" outlineLevel="0" collapsed="false">
      <c r="A236" s="29" t="str">
        <f aca="false">IF($C236="","",ROW()-4)</f>
        <v/>
      </c>
      <c r="B236" s="25"/>
      <c r="C236" s="24"/>
      <c r="D236" s="24"/>
      <c r="E236" s="30" t="str">
        <f aca="false">IF($C236="","",$C236&amp;" ｜ "&amp;$D236)</f>
        <v/>
      </c>
      <c r="F236" s="25"/>
      <c r="G236" s="25"/>
      <c r="H236" s="25"/>
      <c r="I236" s="25"/>
      <c r="J236" s="25"/>
      <c r="K236" s="21"/>
      <c r="L236" s="21"/>
      <c r="M236" s="21"/>
      <c r="N236" s="25"/>
      <c r="O236" s="25"/>
      <c r="P236" s="32"/>
      <c r="Q236" s="25"/>
      <c r="R236" s="25"/>
      <c r="S236" s="33"/>
      <c r="T236" s="33"/>
      <c r="U236" s="33"/>
      <c r="V236" s="33"/>
      <c r="W236" s="25"/>
      <c r="X236" s="25"/>
      <c r="Y236" s="25"/>
      <c r="Z236" s="33"/>
      <c r="AA236" s="34" t="str">
        <f aca="true">IF($T236="","",IF($T236&lt;TODAY(),"已过期 "&amp;TEXT(TODAY()-$T236,"0")&amp;" 天",IF($T236-TODAY()&lt;=年检提醒天,"还剩 "&amp;TEXT($T236-TODAY(),"0")&amp;" 天","")))</f>
        <v/>
      </c>
      <c r="AB236" s="34" t="str">
        <f aca="true">IF(COUNT($U236:$V236)=0,"",IF(MIN($U236:$V236)&lt;TODAY(),"已过期 "&amp;TEXT(TODAY()-MIN($U236:$V236),"0")&amp;" 天",IF(MIN($U236:$V236)-TODAY()&lt;=年检提醒天,"还剩 "&amp;TEXT(MIN($U236:$V236)-TODAY(),"0")&amp;" 天","")))</f>
        <v/>
      </c>
      <c r="AC236" s="34" t="str">
        <f aca="true">IF($C236="","",IF(OR($Y236="安装免保",$Y236="技术免保",$Y236="质保期内"),IF($Z236="","▲免保没填到期日",IF($Z236&lt;TODAY(),"▲免保已到期 该转收费了",IF($Z236-TODAY()&lt;=合同提醒天,"免保还剩 "&amp;TEXT($Z236-TODAY(),"0")&amp;" 天","免保中"))),IF($Y236="暂停维保","暂停中 不计费",IF($Y236="已解约","已解约",IF(COUNTIF(合同键,$E236)=0,"▲还没建合同行","")))))</f>
        <v/>
      </c>
      <c r="AD236" s="24"/>
      <c r="AE236" s="35" t="str">
        <f aca="false">IF($C236="","",IF($D236="","★项目名称没填",IF(N($P236)&lt;=0,"★台量要填",IF(AND(OR($Y236="安装免保",$Y236="技术免保",$Y236="质保期内"),$Z236=""),"★免保到期日没填",IF(COUNTIF(合同键,$E236)=0,"★还没建合同行","OK")))))</f>
        <v/>
      </c>
    </row>
    <row r="237" customFormat="false" ht="15" hidden="false" customHeight="false" outlineLevel="0" collapsed="false">
      <c r="A237" s="29" t="str">
        <f aca="false">IF($C237="","",ROW()-4)</f>
        <v/>
      </c>
      <c r="B237" s="25"/>
      <c r="C237" s="24"/>
      <c r="D237" s="24"/>
      <c r="E237" s="30" t="str">
        <f aca="false">IF($C237="","",$C237&amp;" ｜ "&amp;$D237)</f>
        <v/>
      </c>
      <c r="F237" s="25"/>
      <c r="G237" s="25"/>
      <c r="H237" s="25"/>
      <c r="I237" s="25"/>
      <c r="J237" s="25"/>
      <c r="K237" s="21"/>
      <c r="L237" s="21"/>
      <c r="M237" s="21"/>
      <c r="N237" s="25"/>
      <c r="O237" s="25"/>
      <c r="P237" s="32"/>
      <c r="Q237" s="25"/>
      <c r="R237" s="25"/>
      <c r="S237" s="33"/>
      <c r="T237" s="33"/>
      <c r="U237" s="33"/>
      <c r="V237" s="33"/>
      <c r="W237" s="25"/>
      <c r="X237" s="25"/>
      <c r="Y237" s="25"/>
      <c r="Z237" s="33"/>
      <c r="AA237" s="34" t="str">
        <f aca="true">IF($T237="","",IF($T237&lt;TODAY(),"已过期 "&amp;TEXT(TODAY()-$T237,"0")&amp;" 天",IF($T237-TODAY()&lt;=年检提醒天,"还剩 "&amp;TEXT($T237-TODAY(),"0")&amp;" 天","")))</f>
        <v/>
      </c>
      <c r="AB237" s="34" t="str">
        <f aca="true">IF(COUNT($U237:$V237)=0,"",IF(MIN($U237:$V237)&lt;TODAY(),"已过期 "&amp;TEXT(TODAY()-MIN($U237:$V237),"0")&amp;" 天",IF(MIN($U237:$V237)-TODAY()&lt;=年检提醒天,"还剩 "&amp;TEXT(MIN($U237:$V237)-TODAY(),"0")&amp;" 天","")))</f>
        <v/>
      </c>
      <c r="AC237" s="34" t="str">
        <f aca="true">IF($C237="","",IF(OR($Y237="安装免保",$Y237="技术免保",$Y237="质保期内"),IF($Z237="","▲免保没填到期日",IF($Z237&lt;TODAY(),"▲免保已到期 该转收费了",IF($Z237-TODAY()&lt;=合同提醒天,"免保还剩 "&amp;TEXT($Z237-TODAY(),"0")&amp;" 天","免保中"))),IF($Y237="暂停维保","暂停中 不计费",IF($Y237="已解约","已解约",IF(COUNTIF(合同键,$E237)=0,"▲还没建合同行","")))))</f>
        <v/>
      </c>
      <c r="AD237" s="24"/>
      <c r="AE237" s="35" t="str">
        <f aca="false">IF($C237="","",IF($D237="","★项目名称没填",IF(N($P237)&lt;=0,"★台量要填",IF(AND(OR($Y237="安装免保",$Y237="技术免保",$Y237="质保期内"),$Z237=""),"★免保到期日没填",IF(COUNTIF(合同键,$E237)=0,"★还没建合同行","OK")))))</f>
        <v/>
      </c>
    </row>
    <row r="238" customFormat="false" ht="15" hidden="false" customHeight="false" outlineLevel="0" collapsed="false">
      <c r="A238" s="29" t="str">
        <f aca="false">IF($C238="","",ROW()-4)</f>
        <v/>
      </c>
      <c r="B238" s="25"/>
      <c r="C238" s="24"/>
      <c r="D238" s="24"/>
      <c r="E238" s="30" t="str">
        <f aca="false">IF($C238="","",$C238&amp;" ｜ "&amp;$D238)</f>
        <v/>
      </c>
      <c r="F238" s="25"/>
      <c r="G238" s="25"/>
      <c r="H238" s="25"/>
      <c r="I238" s="25"/>
      <c r="J238" s="25"/>
      <c r="K238" s="21"/>
      <c r="L238" s="21"/>
      <c r="M238" s="21"/>
      <c r="N238" s="25"/>
      <c r="O238" s="25"/>
      <c r="P238" s="32"/>
      <c r="Q238" s="25"/>
      <c r="R238" s="25"/>
      <c r="S238" s="33"/>
      <c r="T238" s="33"/>
      <c r="U238" s="33"/>
      <c r="V238" s="33"/>
      <c r="W238" s="25"/>
      <c r="X238" s="25"/>
      <c r="Y238" s="25"/>
      <c r="Z238" s="33"/>
      <c r="AA238" s="34" t="str">
        <f aca="true">IF($T238="","",IF($T238&lt;TODAY(),"已过期 "&amp;TEXT(TODAY()-$T238,"0")&amp;" 天",IF($T238-TODAY()&lt;=年检提醒天,"还剩 "&amp;TEXT($T238-TODAY(),"0")&amp;" 天","")))</f>
        <v/>
      </c>
      <c r="AB238" s="34" t="str">
        <f aca="true">IF(COUNT($U238:$V238)=0,"",IF(MIN($U238:$V238)&lt;TODAY(),"已过期 "&amp;TEXT(TODAY()-MIN($U238:$V238),"0")&amp;" 天",IF(MIN($U238:$V238)-TODAY()&lt;=年检提醒天,"还剩 "&amp;TEXT(MIN($U238:$V238)-TODAY(),"0")&amp;" 天","")))</f>
        <v/>
      </c>
      <c r="AC238" s="34" t="str">
        <f aca="true">IF($C238="","",IF(OR($Y238="安装免保",$Y238="技术免保",$Y238="质保期内"),IF($Z238="","▲免保没填到期日",IF($Z238&lt;TODAY(),"▲免保已到期 该转收费了",IF($Z238-TODAY()&lt;=合同提醒天,"免保还剩 "&amp;TEXT($Z238-TODAY(),"0")&amp;" 天","免保中"))),IF($Y238="暂停维保","暂停中 不计费",IF($Y238="已解约","已解约",IF(COUNTIF(合同键,$E238)=0,"▲还没建合同行","")))))</f>
        <v/>
      </c>
      <c r="AD238" s="24"/>
      <c r="AE238" s="35" t="str">
        <f aca="false">IF($C238="","",IF($D238="","★项目名称没填",IF(N($P238)&lt;=0,"★台量要填",IF(AND(OR($Y238="安装免保",$Y238="技术免保",$Y238="质保期内"),$Z238=""),"★免保到期日没填",IF(COUNTIF(合同键,$E238)=0,"★还没建合同行","OK")))))</f>
        <v/>
      </c>
    </row>
    <row r="239" customFormat="false" ht="15" hidden="false" customHeight="false" outlineLevel="0" collapsed="false">
      <c r="A239" s="29" t="str">
        <f aca="false">IF($C239="","",ROW()-4)</f>
        <v/>
      </c>
      <c r="B239" s="25"/>
      <c r="C239" s="24"/>
      <c r="D239" s="24"/>
      <c r="E239" s="30" t="str">
        <f aca="false">IF($C239="","",$C239&amp;" ｜ "&amp;$D239)</f>
        <v/>
      </c>
      <c r="F239" s="25"/>
      <c r="G239" s="25"/>
      <c r="H239" s="25"/>
      <c r="I239" s="25"/>
      <c r="J239" s="25"/>
      <c r="K239" s="21"/>
      <c r="L239" s="21"/>
      <c r="M239" s="21"/>
      <c r="N239" s="25"/>
      <c r="O239" s="25"/>
      <c r="P239" s="32"/>
      <c r="Q239" s="25"/>
      <c r="R239" s="25"/>
      <c r="S239" s="33"/>
      <c r="T239" s="33"/>
      <c r="U239" s="33"/>
      <c r="V239" s="33"/>
      <c r="W239" s="25"/>
      <c r="X239" s="25"/>
      <c r="Y239" s="25"/>
      <c r="Z239" s="33"/>
      <c r="AA239" s="34" t="str">
        <f aca="true">IF($T239="","",IF($T239&lt;TODAY(),"已过期 "&amp;TEXT(TODAY()-$T239,"0")&amp;" 天",IF($T239-TODAY()&lt;=年检提醒天,"还剩 "&amp;TEXT($T239-TODAY(),"0")&amp;" 天","")))</f>
        <v/>
      </c>
      <c r="AB239" s="34" t="str">
        <f aca="true">IF(COUNT($U239:$V239)=0,"",IF(MIN($U239:$V239)&lt;TODAY(),"已过期 "&amp;TEXT(TODAY()-MIN($U239:$V239),"0")&amp;" 天",IF(MIN($U239:$V239)-TODAY()&lt;=年检提醒天,"还剩 "&amp;TEXT(MIN($U239:$V239)-TODAY(),"0")&amp;" 天","")))</f>
        <v/>
      </c>
      <c r="AC239" s="34" t="str">
        <f aca="true">IF($C239="","",IF(OR($Y239="安装免保",$Y239="技术免保",$Y239="质保期内"),IF($Z239="","▲免保没填到期日",IF($Z239&lt;TODAY(),"▲免保已到期 该转收费了",IF($Z239-TODAY()&lt;=合同提醒天,"免保还剩 "&amp;TEXT($Z239-TODAY(),"0")&amp;" 天","免保中"))),IF($Y239="暂停维保","暂停中 不计费",IF($Y239="已解约","已解约",IF(COUNTIF(合同键,$E239)=0,"▲还没建合同行","")))))</f>
        <v/>
      </c>
      <c r="AD239" s="24"/>
      <c r="AE239" s="35" t="str">
        <f aca="false">IF($C239="","",IF($D239="","★项目名称没填",IF(N($P239)&lt;=0,"★台量要填",IF(AND(OR($Y239="安装免保",$Y239="技术免保",$Y239="质保期内"),$Z239=""),"★免保到期日没填",IF(COUNTIF(合同键,$E239)=0,"★还没建合同行","OK")))))</f>
        <v/>
      </c>
    </row>
    <row r="240" customFormat="false" ht="15" hidden="false" customHeight="false" outlineLevel="0" collapsed="false">
      <c r="A240" s="29" t="str">
        <f aca="false">IF($C240="","",ROW()-4)</f>
        <v/>
      </c>
      <c r="B240" s="25"/>
      <c r="C240" s="24"/>
      <c r="D240" s="24"/>
      <c r="E240" s="30" t="str">
        <f aca="false">IF($C240="","",$C240&amp;" ｜ "&amp;$D240)</f>
        <v/>
      </c>
      <c r="F240" s="25"/>
      <c r="G240" s="25"/>
      <c r="H240" s="25"/>
      <c r="I240" s="25"/>
      <c r="J240" s="25"/>
      <c r="K240" s="21"/>
      <c r="L240" s="21"/>
      <c r="M240" s="21"/>
      <c r="N240" s="25"/>
      <c r="O240" s="25"/>
      <c r="P240" s="32"/>
      <c r="Q240" s="25"/>
      <c r="R240" s="25"/>
      <c r="S240" s="33"/>
      <c r="T240" s="33"/>
      <c r="U240" s="33"/>
      <c r="V240" s="33"/>
      <c r="W240" s="25"/>
      <c r="X240" s="25"/>
      <c r="Y240" s="25"/>
      <c r="Z240" s="33"/>
      <c r="AA240" s="34" t="str">
        <f aca="true">IF($T240="","",IF($T240&lt;TODAY(),"已过期 "&amp;TEXT(TODAY()-$T240,"0")&amp;" 天",IF($T240-TODAY()&lt;=年检提醒天,"还剩 "&amp;TEXT($T240-TODAY(),"0")&amp;" 天","")))</f>
        <v/>
      </c>
      <c r="AB240" s="34" t="str">
        <f aca="true">IF(COUNT($U240:$V240)=0,"",IF(MIN($U240:$V240)&lt;TODAY(),"已过期 "&amp;TEXT(TODAY()-MIN($U240:$V240),"0")&amp;" 天",IF(MIN($U240:$V240)-TODAY()&lt;=年检提醒天,"还剩 "&amp;TEXT(MIN($U240:$V240)-TODAY(),"0")&amp;" 天","")))</f>
        <v/>
      </c>
      <c r="AC240" s="34" t="str">
        <f aca="true">IF($C240="","",IF(OR($Y240="安装免保",$Y240="技术免保",$Y240="质保期内"),IF($Z240="","▲免保没填到期日",IF($Z240&lt;TODAY(),"▲免保已到期 该转收费了",IF($Z240-TODAY()&lt;=合同提醒天,"免保还剩 "&amp;TEXT($Z240-TODAY(),"0")&amp;" 天","免保中"))),IF($Y240="暂停维保","暂停中 不计费",IF($Y240="已解约","已解约",IF(COUNTIF(合同键,$E240)=0,"▲还没建合同行","")))))</f>
        <v/>
      </c>
      <c r="AD240" s="24"/>
      <c r="AE240" s="35" t="str">
        <f aca="false">IF($C240="","",IF($D240="","★项目名称没填",IF(N($P240)&lt;=0,"★台量要填",IF(AND(OR($Y240="安装免保",$Y240="技术免保",$Y240="质保期内"),$Z240=""),"★免保到期日没填",IF(COUNTIF(合同键,$E240)=0,"★还没建合同行","OK")))))</f>
        <v/>
      </c>
    </row>
    <row r="241" customFormat="false" ht="15" hidden="false" customHeight="false" outlineLevel="0" collapsed="false">
      <c r="A241" s="29" t="str">
        <f aca="false">IF($C241="","",ROW()-4)</f>
        <v/>
      </c>
      <c r="B241" s="25"/>
      <c r="C241" s="24"/>
      <c r="D241" s="24"/>
      <c r="E241" s="30" t="str">
        <f aca="false">IF($C241="","",$C241&amp;" ｜ "&amp;$D241)</f>
        <v/>
      </c>
      <c r="F241" s="25"/>
      <c r="G241" s="25"/>
      <c r="H241" s="25"/>
      <c r="I241" s="25"/>
      <c r="J241" s="25"/>
      <c r="K241" s="21"/>
      <c r="L241" s="21"/>
      <c r="M241" s="21"/>
      <c r="N241" s="25"/>
      <c r="O241" s="25"/>
      <c r="P241" s="32"/>
      <c r="Q241" s="25"/>
      <c r="R241" s="25"/>
      <c r="S241" s="33"/>
      <c r="T241" s="33"/>
      <c r="U241" s="33"/>
      <c r="V241" s="33"/>
      <c r="W241" s="25"/>
      <c r="X241" s="25"/>
      <c r="Y241" s="25"/>
      <c r="Z241" s="33"/>
      <c r="AA241" s="34" t="str">
        <f aca="true">IF($T241="","",IF($T241&lt;TODAY(),"已过期 "&amp;TEXT(TODAY()-$T241,"0")&amp;" 天",IF($T241-TODAY()&lt;=年检提醒天,"还剩 "&amp;TEXT($T241-TODAY(),"0")&amp;" 天","")))</f>
        <v/>
      </c>
      <c r="AB241" s="34" t="str">
        <f aca="true">IF(COUNT($U241:$V241)=0,"",IF(MIN($U241:$V241)&lt;TODAY(),"已过期 "&amp;TEXT(TODAY()-MIN($U241:$V241),"0")&amp;" 天",IF(MIN($U241:$V241)-TODAY()&lt;=年检提醒天,"还剩 "&amp;TEXT(MIN($U241:$V241)-TODAY(),"0")&amp;" 天","")))</f>
        <v/>
      </c>
      <c r="AC241" s="34" t="str">
        <f aca="true">IF($C241="","",IF(OR($Y241="安装免保",$Y241="技术免保",$Y241="质保期内"),IF($Z241="","▲免保没填到期日",IF($Z241&lt;TODAY(),"▲免保已到期 该转收费了",IF($Z241-TODAY()&lt;=合同提醒天,"免保还剩 "&amp;TEXT($Z241-TODAY(),"0")&amp;" 天","免保中"))),IF($Y241="暂停维保","暂停中 不计费",IF($Y241="已解约","已解约",IF(COUNTIF(合同键,$E241)=0,"▲还没建合同行","")))))</f>
        <v/>
      </c>
      <c r="AD241" s="24"/>
      <c r="AE241" s="35" t="str">
        <f aca="false">IF($C241="","",IF($D241="","★项目名称没填",IF(N($P241)&lt;=0,"★台量要填",IF(AND(OR($Y241="安装免保",$Y241="技术免保",$Y241="质保期内"),$Z241=""),"★免保到期日没填",IF(COUNTIF(合同键,$E241)=0,"★还没建合同行","OK")))))</f>
        <v/>
      </c>
    </row>
    <row r="242" customFormat="false" ht="15" hidden="false" customHeight="false" outlineLevel="0" collapsed="false">
      <c r="A242" s="29" t="str">
        <f aca="false">IF($C242="","",ROW()-4)</f>
        <v/>
      </c>
      <c r="B242" s="25"/>
      <c r="C242" s="24"/>
      <c r="D242" s="24"/>
      <c r="E242" s="30" t="str">
        <f aca="false">IF($C242="","",$C242&amp;" ｜ "&amp;$D242)</f>
        <v/>
      </c>
      <c r="F242" s="25"/>
      <c r="G242" s="25"/>
      <c r="H242" s="25"/>
      <c r="I242" s="25"/>
      <c r="J242" s="25"/>
      <c r="K242" s="21"/>
      <c r="L242" s="21"/>
      <c r="M242" s="21"/>
      <c r="N242" s="25"/>
      <c r="O242" s="25"/>
      <c r="P242" s="32"/>
      <c r="Q242" s="25"/>
      <c r="R242" s="25"/>
      <c r="S242" s="33"/>
      <c r="T242" s="33"/>
      <c r="U242" s="33"/>
      <c r="V242" s="33"/>
      <c r="W242" s="25"/>
      <c r="X242" s="25"/>
      <c r="Y242" s="25"/>
      <c r="Z242" s="33"/>
      <c r="AA242" s="34" t="str">
        <f aca="true">IF($T242="","",IF($T242&lt;TODAY(),"已过期 "&amp;TEXT(TODAY()-$T242,"0")&amp;" 天",IF($T242-TODAY()&lt;=年检提醒天,"还剩 "&amp;TEXT($T242-TODAY(),"0")&amp;" 天","")))</f>
        <v/>
      </c>
      <c r="AB242" s="34" t="str">
        <f aca="true">IF(COUNT($U242:$V242)=0,"",IF(MIN($U242:$V242)&lt;TODAY(),"已过期 "&amp;TEXT(TODAY()-MIN($U242:$V242),"0")&amp;" 天",IF(MIN($U242:$V242)-TODAY()&lt;=年检提醒天,"还剩 "&amp;TEXT(MIN($U242:$V242)-TODAY(),"0")&amp;" 天","")))</f>
        <v/>
      </c>
      <c r="AC242" s="34" t="str">
        <f aca="true">IF($C242="","",IF(OR($Y242="安装免保",$Y242="技术免保",$Y242="质保期内"),IF($Z242="","▲免保没填到期日",IF($Z242&lt;TODAY(),"▲免保已到期 该转收费了",IF($Z242-TODAY()&lt;=合同提醒天,"免保还剩 "&amp;TEXT($Z242-TODAY(),"0")&amp;" 天","免保中"))),IF($Y242="暂停维保","暂停中 不计费",IF($Y242="已解约","已解约",IF(COUNTIF(合同键,$E242)=0,"▲还没建合同行","")))))</f>
        <v/>
      </c>
      <c r="AD242" s="24"/>
      <c r="AE242" s="35" t="str">
        <f aca="false">IF($C242="","",IF($D242="","★项目名称没填",IF(N($P242)&lt;=0,"★台量要填",IF(AND(OR($Y242="安装免保",$Y242="技术免保",$Y242="质保期内"),$Z242=""),"★免保到期日没填",IF(COUNTIF(合同键,$E242)=0,"★还没建合同行","OK")))))</f>
        <v/>
      </c>
    </row>
    <row r="243" customFormat="false" ht="15" hidden="false" customHeight="false" outlineLevel="0" collapsed="false">
      <c r="A243" s="29" t="str">
        <f aca="false">IF($C243="","",ROW()-4)</f>
        <v/>
      </c>
      <c r="B243" s="25"/>
      <c r="C243" s="24"/>
      <c r="D243" s="24"/>
      <c r="E243" s="30" t="str">
        <f aca="false">IF($C243="","",$C243&amp;" ｜ "&amp;$D243)</f>
        <v/>
      </c>
      <c r="F243" s="25"/>
      <c r="G243" s="25"/>
      <c r="H243" s="25"/>
      <c r="I243" s="25"/>
      <c r="J243" s="25"/>
      <c r="K243" s="21"/>
      <c r="L243" s="21"/>
      <c r="M243" s="21"/>
      <c r="N243" s="25"/>
      <c r="O243" s="25"/>
      <c r="P243" s="32"/>
      <c r="Q243" s="25"/>
      <c r="R243" s="25"/>
      <c r="S243" s="33"/>
      <c r="T243" s="33"/>
      <c r="U243" s="33"/>
      <c r="V243" s="33"/>
      <c r="W243" s="25"/>
      <c r="X243" s="25"/>
      <c r="Y243" s="25"/>
      <c r="Z243" s="33"/>
      <c r="AA243" s="34" t="str">
        <f aca="true">IF($T243="","",IF($T243&lt;TODAY(),"已过期 "&amp;TEXT(TODAY()-$T243,"0")&amp;" 天",IF($T243-TODAY()&lt;=年检提醒天,"还剩 "&amp;TEXT($T243-TODAY(),"0")&amp;" 天","")))</f>
        <v/>
      </c>
      <c r="AB243" s="34" t="str">
        <f aca="true">IF(COUNT($U243:$V243)=0,"",IF(MIN($U243:$V243)&lt;TODAY(),"已过期 "&amp;TEXT(TODAY()-MIN($U243:$V243),"0")&amp;" 天",IF(MIN($U243:$V243)-TODAY()&lt;=年检提醒天,"还剩 "&amp;TEXT(MIN($U243:$V243)-TODAY(),"0")&amp;" 天","")))</f>
        <v/>
      </c>
      <c r="AC243" s="34" t="str">
        <f aca="true">IF($C243="","",IF(OR($Y243="安装免保",$Y243="技术免保",$Y243="质保期内"),IF($Z243="","▲免保没填到期日",IF($Z243&lt;TODAY(),"▲免保已到期 该转收费了",IF($Z243-TODAY()&lt;=合同提醒天,"免保还剩 "&amp;TEXT($Z243-TODAY(),"0")&amp;" 天","免保中"))),IF($Y243="暂停维保","暂停中 不计费",IF($Y243="已解约","已解约",IF(COUNTIF(合同键,$E243)=0,"▲还没建合同行","")))))</f>
        <v/>
      </c>
      <c r="AD243" s="24"/>
      <c r="AE243" s="35" t="str">
        <f aca="false">IF($C243="","",IF($D243="","★项目名称没填",IF(N($P243)&lt;=0,"★台量要填",IF(AND(OR($Y243="安装免保",$Y243="技术免保",$Y243="质保期内"),$Z243=""),"★免保到期日没填",IF(COUNTIF(合同键,$E243)=0,"★还没建合同行","OK")))))</f>
        <v/>
      </c>
    </row>
    <row r="244" customFormat="false" ht="15" hidden="false" customHeight="false" outlineLevel="0" collapsed="false">
      <c r="A244" s="29" t="str">
        <f aca="false">IF($C244="","",ROW()-4)</f>
        <v/>
      </c>
      <c r="B244" s="25"/>
      <c r="C244" s="24"/>
      <c r="D244" s="24"/>
      <c r="E244" s="30" t="str">
        <f aca="false">IF($C244="","",$C244&amp;" ｜ "&amp;$D244)</f>
        <v/>
      </c>
      <c r="F244" s="25"/>
      <c r="G244" s="25"/>
      <c r="H244" s="25"/>
      <c r="I244" s="25"/>
      <c r="J244" s="25"/>
      <c r="K244" s="21"/>
      <c r="L244" s="21"/>
      <c r="M244" s="21"/>
      <c r="N244" s="25"/>
      <c r="O244" s="25"/>
      <c r="P244" s="32"/>
      <c r="Q244" s="25"/>
      <c r="R244" s="25"/>
      <c r="S244" s="33"/>
      <c r="T244" s="33"/>
      <c r="U244" s="33"/>
      <c r="V244" s="33"/>
      <c r="W244" s="25"/>
      <c r="X244" s="25"/>
      <c r="Y244" s="25"/>
      <c r="Z244" s="33"/>
      <c r="AA244" s="34" t="str">
        <f aca="true">IF($T244="","",IF($T244&lt;TODAY(),"已过期 "&amp;TEXT(TODAY()-$T244,"0")&amp;" 天",IF($T244-TODAY()&lt;=年检提醒天,"还剩 "&amp;TEXT($T244-TODAY(),"0")&amp;" 天","")))</f>
        <v/>
      </c>
      <c r="AB244" s="34" t="str">
        <f aca="true">IF(COUNT($U244:$V244)=0,"",IF(MIN($U244:$V244)&lt;TODAY(),"已过期 "&amp;TEXT(TODAY()-MIN($U244:$V244),"0")&amp;" 天",IF(MIN($U244:$V244)-TODAY()&lt;=年检提醒天,"还剩 "&amp;TEXT(MIN($U244:$V244)-TODAY(),"0")&amp;" 天","")))</f>
        <v/>
      </c>
      <c r="AC244" s="34" t="str">
        <f aca="true">IF($C244="","",IF(OR($Y244="安装免保",$Y244="技术免保",$Y244="质保期内"),IF($Z244="","▲免保没填到期日",IF($Z244&lt;TODAY(),"▲免保已到期 该转收费了",IF($Z244-TODAY()&lt;=合同提醒天,"免保还剩 "&amp;TEXT($Z244-TODAY(),"0")&amp;" 天","免保中"))),IF($Y244="暂停维保","暂停中 不计费",IF($Y244="已解约","已解约",IF(COUNTIF(合同键,$E244)=0,"▲还没建合同行","")))))</f>
        <v/>
      </c>
      <c r="AD244" s="24"/>
      <c r="AE244" s="35" t="str">
        <f aca="false">IF($C244="","",IF($D244="","★项目名称没填",IF(N($P244)&lt;=0,"★台量要填",IF(AND(OR($Y244="安装免保",$Y244="技术免保",$Y244="质保期内"),$Z244=""),"★免保到期日没填",IF(COUNTIF(合同键,$E244)=0,"★还没建合同行","OK")))))</f>
        <v/>
      </c>
    </row>
    <row r="245" customFormat="false" ht="15" hidden="false" customHeight="false" outlineLevel="0" collapsed="false">
      <c r="A245" s="29" t="str">
        <f aca="false">IF($C245="","",ROW()-4)</f>
        <v/>
      </c>
      <c r="B245" s="25"/>
      <c r="C245" s="24"/>
      <c r="D245" s="24"/>
      <c r="E245" s="30" t="str">
        <f aca="false">IF($C245="","",$C245&amp;" ｜ "&amp;$D245)</f>
        <v/>
      </c>
      <c r="F245" s="25"/>
      <c r="G245" s="25"/>
      <c r="H245" s="25"/>
      <c r="I245" s="25"/>
      <c r="J245" s="25"/>
      <c r="K245" s="21"/>
      <c r="L245" s="21"/>
      <c r="M245" s="21"/>
      <c r="N245" s="25"/>
      <c r="O245" s="25"/>
      <c r="P245" s="32"/>
      <c r="Q245" s="25"/>
      <c r="R245" s="25"/>
      <c r="S245" s="33"/>
      <c r="T245" s="33"/>
      <c r="U245" s="33"/>
      <c r="V245" s="33"/>
      <c r="W245" s="25"/>
      <c r="X245" s="25"/>
      <c r="Y245" s="25"/>
      <c r="Z245" s="33"/>
      <c r="AA245" s="34" t="str">
        <f aca="true">IF($T245="","",IF($T245&lt;TODAY(),"已过期 "&amp;TEXT(TODAY()-$T245,"0")&amp;" 天",IF($T245-TODAY()&lt;=年检提醒天,"还剩 "&amp;TEXT($T245-TODAY(),"0")&amp;" 天","")))</f>
        <v/>
      </c>
      <c r="AB245" s="34" t="str">
        <f aca="true">IF(COUNT($U245:$V245)=0,"",IF(MIN($U245:$V245)&lt;TODAY(),"已过期 "&amp;TEXT(TODAY()-MIN($U245:$V245),"0")&amp;" 天",IF(MIN($U245:$V245)-TODAY()&lt;=年检提醒天,"还剩 "&amp;TEXT(MIN($U245:$V245)-TODAY(),"0")&amp;" 天","")))</f>
        <v/>
      </c>
      <c r="AC245" s="34" t="str">
        <f aca="true">IF($C245="","",IF(OR($Y245="安装免保",$Y245="技术免保",$Y245="质保期内"),IF($Z245="","▲免保没填到期日",IF($Z245&lt;TODAY(),"▲免保已到期 该转收费了",IF($Z245-TODAY()&lt;=合同提醒天,"免保还剩 "&amp;TEXT($Z245-TODAY(),"0")&amp;" 天","免保中"))),IF($Y245="暂停维保","暂停中 不计费",IF($Y245="已解约","已解约",IF(COUNTIF(合同键,$E245)=0,"▲还没建合同行","")))))</f>
        <v/>
      </c>
      <c r="AD245" s="24"/>
      <c r="AE245" s="35" t="str">
        <f aca="false">IF($C245="","",IF($D245="","★项目名称没填",IF(N($P245)&lt;=0,"★台量要填",IF(AND(OR($Y245="安装免保",$Y245="技术免保",$Y245="质保期内"),$Z245=""),"★免保到期日没填",IF(COUNTIF(合同键,$E245)=0,"★还没建合同行","OK")))))</f>
        <v/>
      </c>
    </row>
    <row r="246" customFormat="false" ht="15" hidden="false" customHeight="false" outlineLevel="0" collapsed="false">
      <c r="A246" s="29" t="str">
        <f aca="false">IF($C246="","",ROW()-4)</f>
        <v/>
      </c>
      <c r="B246" s="25"/>
      <c r="C246" s="24"/>
      <c r="D246" s="24"/>
      <c r="E246" s="30" t="str">
        <f aca="false">IF($C246="","",$C246&amp;" ｜ "&amp;$D246)</f>
        <v/>
      </c>
      <c r="F246" s="25"/>
      <c r="G246" s="25"/>
      <c r="H246" s="25"/>
      <c r="I246" s="25"/>
      <c r="J246" s="25"/>
      <c r="K246" s="21"/>
      <c r="L246" s="21"/>
      <c r="M246" s="21"/>
      <c r="N246" s="25"/>
      <c r="O246" s="25"/>
      <c r="P246" s="32"/>
      <c r="Q246" s="25"/>
      <c r="R246" s="25"/>
      <c r="S246" s="33"/>
      <c r="T246" s="33"/>
      <c r="U246" s="33"/>
      <c r="V246" s="33"/>
      <c r="W246" s="25"/>
      <c r="X246" s="25"/>
      <c r="Y246" s="25"/>
      <c r="Z246" s="33"/>
      <c r="AA246" s="34" t="str">
        <f aca="true">IF($T246="","",IF($T246&lt;TODAY(),"已过期 "&amp;TEXT(TODAY()-$T246,"0")&amp;" 天",IF($T246-TODAY()&lt;=年检提醒天,"还剩 "&amp;TEXT($T246-TODAY(),"0")&amp;" 天","")))</f>
        <v/>
      </c>
      <c r="AB246" s="34" t="str">
        <f aca="true">IF(COUNT($U246:$V246)=0,"",IF(MIN($U246:$V246)&lt;TODAY(),"已过期 "&amp;TEXT(TODAY()-MIN($U246:$V246),"0")&amp;" 天",IF(MIN($U246:$V246)-TODAY()&lt;=年检提醒天,"还剩 "&amp;TEXT(MIN($U246:$V246)-TODAY(),"0")&amp;" 天","")))</f>
        <v/>
      </c>
      <c r="AC246" s="34" t="str">
        <f aca="true">IF($C246="","",IF(OR($Y246="安装免保",$Y246="技术免保",$Y246="质保期内"),IF($Z246="","▲免保没填到期日",IF($Z246&lt;TODAY(),"▲免保已到期 该转收费了",IF($Z246-TODAY()&lt;=合同提醒天,"免保还剩 "&amp;TEXT($Z246-TODAY(),"0")&amp;" 天","免保中"))),IF($Y246="暂停维保","暂停中 不计费",IF($Y246="已解约","已解约",IF(COUNTIF(合同键,$E246)=0,"▲还没建合同行","")))))</f>
        <v/>
      </c>
      <c r="AD246" s="24"/>
      <c r="AE246" s="35" t="str">
        <f aca="false">IF($C246="","",IF($D246="","★项目名称没填",IF(N($P246)&lt;=0,"★台量要填",IF(AND(OR($Y246="安装免保",$Y246="技术免保",$Y246="质保期内"),$Z246=""),"★免保到期日没填",IF(COUNTIF(合同键,$E246)=0,"★还没建合同行","OK")))))</f>
        <v/>
      </c>
    </row>
    <row r="247" customFormat="false" ht="15" hidden="false" customHeight="false" outlineLevel="0" collapsed="false">
      <c r="A247" s="29" t="str">
        <f aca="false">IF($C247="","",ROW()-4)</f>
        <v/>
      </c>
      <c r="B247" s="25"/>
      <c r="C247" s="24"/>
      <c r="D247" s="24"/>
      <c r="E247" s="30" t="str">
        <f aca="false">IF($C247="","",$C247&amp;" ｜ "&amp;$D247)</f>
        <v/>
      </c>
      <c r="F247" s="25"/>
      <c r="G247" s="25"/>
      <c r="H247" s="25"/>
      <c r="I247" s="25"/>
      <c r="J247" s="25"/>
      <c r="K247" s="21"/>
      <c r="L247" s="21"/>
      <c r="M247" s="21"/>
      <c r="N247" s="25"/>
      <c r="O247" s="25"/>
      <c r="P247" s="32"/>
      <c r="Q247" s="25"/>
      <c r="R247" s="25"/>
      <c r="S247" s="33"/>
      <c r="T247" s="33"/>
      <c r="U247" s="33"/>
      <c r="V247" s="33"/>
      <c r="W247" s="25"/>
      <c r="X247" s="25"/>
      <c r="Y247" s="25"/>
      <c r="Z247" s="33"/>
      <c r="AA247" s="34" t="str">
        <f aca="true">IF($T247="","",IF($T247&lt;TODAY(),"已过期 "&amp;TEXT(TODAY()-$T247,"0")&amp;" 天",IF($T247-TODAY()&lt;=年检提醒天,"还剩 "&amp;TEXT($T247-TODAY(),"0")&amp;" 天","")))</f>
        <v/>
      </c>
      <c r="AB247" s="34" t="str">
        <f aca="true">IF(COUNT($U247:$V247)=0,"",IF(MIN($U247:$V247)&lt;TODAY(),"已过期 "&amp;TEXT(TODAY()-MIN($U247:$V247),"0")&amp;" 天",IF(MIN($U247:$V247)-TODAY()&lt;=年检提醒天,"还剩 "&amp;TEXT(MIN($U247:$V247)-TODAY(),"0")&amp;" 天","")))</f>
        <v/>
      </c>
      <c r="AC247" s="34" t="str">
        <f aca="true">IF($C247="","",IF(OR($Y247="安装免保",$Y247="技术免保",$Y247="质保期内"),IF($Z247="","▲免保没填到期日",IF($Z247&lt;TODAY(),"▲免保已到期 该转收费了",IF($Z247-TODAY()&lt;=合同提醒天,"免保还剩 "&amp;TEXT($Z247-TODAY(),"0")&amp;" 天","免保中"))),IF($Y247="暂停维保","暂停中 不计费",IF($Y247="已解约","已解约",IF(COUNTIF(合同键,$E247)=0,"▲还没建合同行","")))))</f>
        <v/>
      </c>
      <c r="AD247" s="24"/>
      <c r="AE247" s="35" t="str">
        <f aca="false">IF($C247="","",IF($D247="","★项目名称没填",IF(N($P247)&lt;=0,"★台量要填",IF(AND(OR($Y247="安装免保",$Y247="技术免保",$Y247="质保期内"),$Z247=""),"★免保到期日没填",IF(COUNTIF(合同键,$E247)=0,"★还没建合同行","OK")))))</f>
        <v/>
      </c>
    </row>
    <row r="248" customFormat="false" ht="15" hidden="false" customHeight="false" outlineLevel="0" collapsed="false">
      <c r="A248" s="29" t="str">
        <f aca="false">IF($C248="","",ROW()-4)</f>
        <v/>
      </c>
      <c r="B248" s="25"/>
      <c r="C248" s="24"/>
      <c r="D248" s="24"/>
      <c r="E248" s="30" t="str">
        <f aca="false">IF($C248="","",$C248&amp;" ｜ "&amp;$D248)</f>
        <v/>
      </c>
      <c r="F248" s="25"/>
      <c r="G248" s="25"/>
      <c r="H248" s="25"/>
      <c r="I248" s="25"/>
      <c r="J248" s="25"/>
      <c r="K248" s="21"/>
      <c r="L248" s="21"/>
      <c r="M248" s="21"/>
      <c r="N248" s="25"/>
      <c r="O248" s="25"/>
      <c r="P248" s="32"/>
      <c r="Q248" s="25"/>
      <c r="R248" s="25"/>
      <c r="S248" s="33"/>
      <c r="T248" s="33"/>
      <c r="U248" s="33"/>
      <c r="V248" s="33"/>
      <c r="W248" s="25"/>
      <c r="X248" s="25"/>
      <c r="Y248" s="25"/>
      <c r="Z248" s="33"/>
      <c r="AA248" s="34" t="str">
        <f aca="true">IF($T248="","",IF($T248&lt;TODAY(),"已过期 "&amp;TEXT(TODAY()-$T248,"0")&amp;" 天",IF($T248-TODAY()&lt;=年检提醒天,"还剩 "&amp;TEXT($T248-TODAY(),"0")&amp;" 天","")))</f>
        <v/>
      </c>
      <c r="AB248" s="34" t="str">
        <f aca="true">IF(COUNT($U248:$V248)=0,"",IF(MIN($U248:$V248)&lt;TODAY(),"已过期 "&amp;TEXT(TODAY()-MIN($U248:$V248),"0")&amp;" 天",IF(MIN($U248:$V248)-TODAY()&lt;=年检提醒天,"还剩 "&amp;TEXT(MIN($U248:$V248)-TODAY(),"0")&amp;" 天","")))</f>
        <v/>
      </c>
      <c r="AC248" s="34" t="str">
        <f aca="true">IF($C248="","",IF(OR($Y248="安装免保",$Y248="技术免保",$Y248="质保期内"),IF($Z248="","▲免保没填到期日",IF($Z248&lt;TODAY(),"▲免保已到期 该转收费了",IF($Z248-TODAY()&lt;=合同提醒天,"免保还剩 "&amp;TEXT($Z248-TODAY(),"0")&amp;" 天","免保中"))),IF($Y248="暂停维保","暂停中 不计费",IF($Y248="已解约","已解约",IF(COUNTIF(合同键,$E248)=0,"▲还没建合同行","")))))</f>
        <v/>
      </c>
      <c r="AD248" s="24"/>
      <c r="AE248" s="35" t="str">
        <f aca="false">IF($C248="","",IF($D248="","★项目名称没填",IF(N($P248)&lt;=0,"★台量要填",IF(AND(OR($Y248="安装免保",$Y248="技术免保",$Y248="质保期内"),$Z248=""),"★免保到期日没填",IF(COUNTIF(合同键,$E248)=0,"★还没建合同行","OK")))))</f>
        <v/>
      </c>
    </row>
    <row r="249" customFormat="false" ht="15" hidden="false" customHeight="false" outlineLevel="0" collapsed="false">
      <c r="A249" s="29" t="str">
        <f aca="false">IF($C249="","",ROW()-4)</f>
        <v/>
      </c>
      <c r="B249" s="25"/>
      <c r="C249" s="24"/>
      <c r="D249" s="24"/>
      <c r="E249" s="30" t="str">
        <f aca="false">IF($C249="","",$C249&amp;" ｜ "&amp;$D249)</f>
        <v/>
      </c>
      <c r="F249" s="25"/>
      <c r="G249" s="25"/>
      <c r="H249" s="25"/>
      <c r="I249" s="25"/>
      <c r="J249" s="25"/>
      <c r="K249" s="21"/>
      <c r="L249" s="21"/>
      <c r="M249" s="21"/>
      <c r="N249" s="25"/>
      <c r="O249" s="25"/>
      <c r="P249" s="32"/>
      <c r="Q249" s="25"/>
      <c r="R249" s="25"/>
      <c r="S249" s="33"/>
      <c r="T249" s="33"/>
      <c r="U249" s="33"/>
      <c r="V249" s="33"/>
      <c r="W249" s="25"/>
      <c r="X249" s="25"/>
      <c r="Y249" s="25"/>
      <c r="Z249" s="33"/>
      <c r="AA249" s="34" t="str">
        <f aca="true">IF($T249="","",IF($T249&lt;TODAY(),"已过期 "&amp;TEXT(TODAY()-$T249,"0")&amp;" 天",IF($T249-TODAY()&lt;=年检提醒天,"还剩 "&amp;TEXT($T249-TODAY(),"0")&amp;" 天","")))</f>
        <v/>
      </c>
      <c r="AB249" s="34" t="str">
        <f aca="true">IF(COUNT($U249:$V249)=0,"",IF(MIN($U249:$V249)&lt;TODAY(),"已过期 "&amp;TEXT(TODAY()-MIN($U249:$V249),"0")&amp;" 天",IF(MIN($U249:$V249)-TODAY()&lt;=年检提醒天,"还剩 "&amp;TEXT(MIN($U249:$V249)-TODAY(),"0")&amp;" 天","")))</f>
        <v/>
      </c>
      <c r="AC249" s="34" t="str">
        <f aca="true">IF($C249="","",IF(OR($Y249="安装免保",$Y249="技术免保",$Y249="质保期内"),IF($Z249="","▲免保没填到期日",IF($Z249&lt;TODAY(),"▲免保已到期 该转收费了",IF($Z249-TODAY()&lt;=合同提醒天,"免保还剩 "&amp;TEXT($Z249-TODAY(),"0")&amp;" 天","免保中"))),IF($Y249="暂停维保","暂停中 不计费",IF($Y249="已解约","已解约",IF(COUNTIF(合同键,$E249)=0,"▲还没建合同行","")))))</f>
        <v/>
      </c>
      <c r="AD249" s="24"/>
      <c r="AE249" s="35" t="str">
        <f aca="false">IF($C249="","",IF($D249="","★项目名称没填",IF(N($P249)&lt;=0,"★台量要填",IF(AND(OR($Y249="安装免保",$Y249="技术免保",$Y249="质保期内"),$Z249=""),"★免保到期日没填",IF(COUNTIF(合同键,$E249)=0,"★还没建合同行","OK")))))</f>
        <v/>
      </c>
    </row>
    <row r="250" customFormat="false" ht="15" hidden="false" customHeight="false" outlineLevel="0" collapsed="false">
      <c r="A250" s="29" t="str">
        <f aca="false">IF($C250="","",ROW()-4)</f>
        <v/>
      </c>
      <c r="B250" s="25"/>
      <c r="C250" s="24"/>
      <c r="D250" s="24"/>
      <c r="E250" s="30" t="str">
        <f aca="false">IF($C250="","",$C250&amp;" ｜ "&amp;$D250)</f>
        <v/>
      </c>
      <c r="F250" s="25"/>
      <c r="G250" s="25"/>
      <c r="H250" s="25"/>
      <c r="I250" s="25"/>
      <c r="J250" s="25"/>
      <c r="K250" s="21"/>
      <c r="L250" s="21"/>
      <c r="M250" s="21"/>
      <c r="N250" s="25"/>
      <c r="O250" s="25"/>
      <c r="P250" s="32"/>
      <c r="Q250" s="25"/>
      <c r="R250" s="25"/>
      <c r="S250" s="33"/>
      <c r="T250" s="33"/>
      <c r="U250" s="33"/>
      <c r="V250" s="33"/>
      <c r="W250" s="25"/>
      <c r="X250" s="25"/>
      <c r="Y250" s="25"/>
      <c r="Z250" s="33"/>
      <c r="AA250" s="34" t="str">
        <f aca="true">IF($T250="","",IF($T250&lt;TODAY(),"已过期 "&amp;TEXT(TODAY()-$T250,"0")&amp;" 天",IF($T250-TODAY()&lt;=年检提醒天,"还剩 "&amp;TEXT($T250-TODAY(),"0")&amp;" 天","")))</f>
        <v/>
      </c>
      <c r="AB250" s="34" t="str">
        <f aca="true">IF(COUNT($U250:$V250)=0,"",IF(MIN($U250:$V250)&lt;TODAY(),"已过期 "&amp;TEXT(TODAY()-MIN($U250:$V250),"0")&amp;" 天",IF(MIN($U250:$V250)-TODAY()&lt;=年检提醒天,"还剩 "&amp;TEXT(MIN($U250:$V250)-TODAY(),"0")&amp;" 天","")))</f>
        <v/>
      </c>
      <c r="AC250" s="34" t="str">
        <f aca="true">IF($C250="","",IF(OR($Y250="安装免保",$Y250="技术免保",$Y250="质保期内"),IF($Z250="","▲免保没填到期日",IF($Z250&lt;TODAY(),"▲免保已到期 该转收费了",IF($Z250-TODAY()&lt;=合同提醒天,"免保还剩 "&amp;TEXT($Z250-TODAY(),"0")&amp;" 天","免保中"))),IF($Y250="暂停维保","暂停中 不计费",IF($Y250="已解约","已解约",IF(COUNTIF(合同键,$E250)=0,"▲还没建合同行","")))))</f>
        <v/>
      </c>
      <c r="AD250" s="24"/>
      <c r="AE250" s="35" t="str">
        <f aca="false">IF($C250="","",IF($D250="","★项目名称没填",IF(N($P250)&lt;=0,"★台量要填",IF(AND(OR($Y250="安装免保",$Y250="技术免保",$Y250="质保期内"),$Z250=""),"★免保到期日没填",IF(COUNTIF(合同键,$E250)=0,"★还没建合同行","OK")))))</f>
        <v/>
      </c>
    </row>
    <row r="251" customFormat="false" ht="15" hidden="false" customHeight="false" outlineLevel="0" collapsed="false">
      <c r="A251" s="29" t="str">
        <f aca="false">IF($C251="","",ROW()-4)</f>
        <v/>
      </c>
      <c r="B251" s="25"/>
      <c r="C251" s="24"/>
      <c r="D251" s="24"/>
      <c r="E251" s="30" t="str">
        <f aca="false">IF($C251="","",$C251&amp;" ｜ "&amp;$D251)</f>
        <v/>
      </c>
      <c r="F251" s="25"/>
      <c r="G251" s="25"/>
      <c r="H251" s="25"/>
      <c r="I251" s="25"/>
      <c r="J251" s="25"/>
      <c r="K251" s="21"/>
      <c r="L251" s="21"/>
      <c r="M251" s="21"/>
      <c r="N251" s="25"/>
      <c r="O251" s="25"/>
      <c r="P251" s="32"/>
      <c r="Q251" s="25"/>
      <c r="R251" s="25"/>
      <c r="S251" s="33"/>
      <c r="T251" s="33"/>
      <c r="U251" s="33"/>
      <c r="V251" s="33"/>
      <c r="W251" s="25"/>
      <c r="X251" s="25"/>
      <c r="Y251" s="25"/>
      <c r="Z251" s="33"/>
      <c r="AA251" s="34" t="str">
        <f aca="true">IF($T251="","",IF($T251&lt;TODAY(),"已过期 "&amp;TEXT(TODAY()-$T251,"0")&amp;" 天",IF($T251-TODAY()&lt;=年检提醒天,"还剩 "&amp;TEXT($T251-TODAY(),"0")&amp;" 天","")))</f>
        <v/>
      </c>
      <c r="AB251" s="34" t="str">
        <f aca="true">IF(COUNT($U251:$V251)=0,"",IF(MIN($U251:$V251)&lt;TODAY(),"已过期 "&amp;TEXT(TODAY()-MIN($U251:$V251),"0")&amp;" 天",IF(MIN($U251:$V251)-TODAY()&lt;=年检提醒天,"还剩 "&amp;TEXT(MIN($U251:$V251)-TODAY(),"0")&amp;" 天","")))</f>
        <v/>
      </c>
      <c r="AC251" s="34" t="str">
        <f aca="true">IF($C251="","",IF(OR($Y251="安装免保",$Y251="技术免保",$Y251="质保期内"),IF($Z251="","▲免保没填到期日",IF($Z251&lt;TODAY(),"▲免保已到期 该转收费了",IF($Z251-TODAY()&lt;=合同提醒天,"免保还剩 "&amp;TEXT($Z251-TODAY(),"0")&amp;" 天","免保中"))),IF($Y251="暂停维保","暂停中 不计费",IF($Y251="已解约","已解约",IF(COUNTIF(合同键,$E251)=0,"▲还没建合同行","")))))</f>
        <v/>
      </c>
      <c r="AD251" s="24"/>
      <c r="AE251" s="35" t="str">
        <f aca="false">IF($C251="","",IF($D251="","★项目名称没填",IF(N($P251)&lt;=0,"★台量要填",IF(AND(OR($Y251="安装免保",$Y251="技术免保",$Y251="质保期内"),$Z251=""),"★免保到期日没填",IF(COUNTIF(合同键,$E251)=0,"★还没建合同行","OK")))))</f>
        <v/>
      </c>
    </row>
    <row r="252" customFormat="false" ht="15" hidden="false" customHeight="false" outlineLevel="0" collapsed="false">
      <c r="A252" s="29" t="str">
        <f aca="false">IF($C252="","",ROW()-4)</f>
        <v/>
      </c>
      <c r="B252" s="25"/>
      <c r="C252" s="24"/>
      <c r="D252" s="24"/>
      <c r="E252" s="30" t="str">
        <f aca="false">IF($C252="","",$C252&amp;" ｜ "&amp;$D252)</f>
        <v/>
      </c>
      <c r="F252" s="25"/>
      <c r="G252" s="25"/>
      <c r="H252" s="25"/>
      <c r="I252" s="25"/>
      <c r="J252" s="25"/>
      <c r="K252" s="21"/>
      <c r="L252" s="21"/>
      <c r="M252" s="21"/>
      <c r="N252" s="25"/>
      <c r="O252" s="25"/>
      <c r="P252" s="32"/>
      <c r="Q252" s="25"/>
      <c r="R252" s="25"/>
      <c r="S252" s="33"/>
      <c r="T252" s="33"/>
      <c r="U252" s="33"/>
      <c r="V252" s="33"/>
      <c r="W252" s="25"/>
      <c r="X252" s="25"/>
      <c r="Y252" s="25"/>
      <c r="Z252" s="33"/>
      <c r="AA252" s="34" t="str">
        <f aca="true">IF($T252="","",IF($T252&lt;TODAY(),"已过期 "&amp;TEXT(TODAY()-$T252,"0")&amp;" 天",IF($T252-TODAY()&lt;=年检提醒天,"还剩 "&amp;TEXT($T252-TODAY(),"0")&amp;" 天","")))</f>
        <v/>
      </c>
      <c r="AB252" s="34" t="str">
        <f aca="true">IF(COUNT($U252:$V252)=0,"",IF(MIN($U252:$V252)&lt;TODAY(),"已过期 "&amp;TEXT(TODAY()-MIN($U252:$V252),"0")&amp;" 天",IF(MIN($U252:$V252)-TODAY()&lt;=年检提醒天,"还剩 "&amp;TEXT(MIN($U252:$V252)-TODAY(),"0")&amp;" 天","")))</f>
        <v/>
      </c>
      <c r="AC252" s="34" t="str">
        <f aca="true">IF($C252="","",IF(OR($Y252="安装免保",$Y252="技术免保",$Y252="质保期内"),IF($Z252="","▲免保没填到期日",IF($Z252&lt;TODAY(),"▲免保已到期 该转收费了",IF($Z252-TODAY()&lt;=合同提醒天,"免保还剩 "&amp;TEXT($Z252-TODAY(),"0")&amp;" 天","免保中"))),IF($Y252="暂停维保","暂停中 不计费",IF($Y252="已解约","已解约",IF(COUNTIF(合同键,$E252)=0,"▲还没建合同行","")))))</f>
        <v/>
      </c>
      <c r="AD252" s="24"/>
      <c r="AE252" s="35" t="str">
        <f aca="false">IF($C252="","",IF($D252="","★项目名称没填",IF(N($P252)&lt;=0,"★台量要填",IF(AND(OR($Y252="安装免保",$Y252="技术免保",$Y252="质保期内"),$Z252=""),"★免保到期日没填",IF(COUNTIF(合同键,$E252)=0,"★还没建合同行","OK")))))</f>
        <v/>
      </c>
    </row>
    <row r="253" customFormat="false" ht="15" hidden="false" customHeight="false" outlineLevel="0" collapsed="false">
      <c r="A253" s="29" t="str">
        <f aca="false">IF($C253="","",ROW()-4)</f>
        <v/>
      </c>
      <c r="B253" s="25"/>
      <c r="C253" s="24"/>
      <c r="D253" s="24"/>
      <c r="E253" s="30" t="str">
        <f aca="false">IF($C253="","",$C253&amp;" ｜ "&amp;$D253)</f>
        <v/>
      </c>
      <c r="F253" s="25"/>
      <c r="G253" s="25"/>
      <c r="H253" s="25"/>
      <c r="I253" s="25"/>
      <c r="J253" s="25"/>
      <c r="K253" s="21"/>
      <c r="L253" s="21"/>
      <c r="M253" s="21"/>
      <c r="N253" s="25"/>
      <c r="O253" s="25"/>
      <c r="P253" s="32"/>
      <c r="Q253" s="25"/>
      <c r="R253" s="25"/>
      <c r="S253" s="33"/>
      <c r="T253" s="33"/>
      <c r="U253" s="33"/>
      <c r="V253" s="33"/>
      <c r="W253" s="25"/>
      <c r="X253" s="25"/>
      <c r="Y253" s="25"/>
      <c r="Z253" s="33"/>
      <c r="AA253" s="34" t="str">
        <f aca="true">IF($T253="","",IF($T253&lt;TODAY(),"已过期 "&amp;TEXT(TODAY()-$T253,"0")&amp;" 天",IF($T253-TODAY()&lt;=年检提醒天,"还剩 "&amp;TEXT($T253-TODAY(),"0")&amp;" 天","")))</f>
        <v/>
      </c>
      <c r="AB253" s="34" t="str">
        <f aca="true">IF(COUNT($U253:$V253)=0,"",IF(MIN($U253:$V253)&lt;TODAY(),"已过期 "&amp;TEXT(TODAY()-MIN($U253:$V253),"0")&amp;" 天",IF(MIN($U253:$V253)-TODAY()&lt;=年检提醒天,"还剩 "&amp;TEXT(MIN($U253:$V253)-TODAY(),"0")&amp;" 天","")))</f>
        <v/>
      </c>
      <c r="AC253" s="34" t="str">
        <f aca="true">IF($C253="","",IF(OR($Y253="安装免保",$Y253="技术免保",$Y253="质保期内"),IF($Z253="","▲免保没填到期日",IF($Z253&lt;TODAY(),"▲免保已到期 该转收费了",IF($Z253-TODAY()&lt;=合同提醒天,"免保还剩 "&amp;TEXT($Z253-TODAY(),"0")&amp;" 天","免保中"))),IF($Y253="暂停维保","暂停中 不计费",IF($Y253="已解约","已解约",IF(COUNTIF(合同键,$E253)=0,"▲还没建合同行","")))))</f>
        <v/>
      </c>
      <c r="AD253" s="24"/>
      <c r="AE253" s="35" t="str">
        <f aca="false">IF($C253="","",IF($D253="","★项目名称没填",IF(N($P253)&lt;=0,"★台量要填",IF(AND(OR($Y253="安装免保",$Y253="技术免保",$Y253="质保期内"),$Z253=""),"★免保到期日没填",IF(COUNTIF(合同键,$E253)=0,"★还没建合同行","OK")))))</f>
        <v/>
      </c>
    </row>
    <row r="254" customFormat="false" ht="15" hidden="false" customHeight="false" outlineLevel="0" collapsed="false">
      <c r="A254" s="29" t="str">
        <f aca="false">IF($C254="","",ROW()-4)</f>
        <v/>
      </c>
      <c r="B254" s="25"/>
      <c r="C254" s="24"/>
      <c r="D254" s="24"/>
      <c r="E254" s="30" t="str">
        <f aca="false">IF($C254="","",$C254&amp;" ｜ "&amp;$D254)</f>
        <v/>
      </c>
      <c r="F254" s="25"/>
      <c r="G254" s="25"/>
      <c r="H254" s="25"/>
      <c r="I254" s="25"/>
      <c r="J254" s="25"/>
      <c r="K254" s="21"/>
      <c r="L254" s="21"/>
      <c r="M254" s="21"/>
      <c r="N254" s="25"/>
      <c r="O254" s="25"/>
      <c r="P254" s="32"/>
      <c r="Q254" s="25"/>
      <c r="R254" s="25"/>
      <c r="S254" s="33"/>
      <c r="T254" s="33"/>
      <c r="U254" s="33"/>
      <c r="V254" s="33"/>
      <c r="W254" s="25"/>
      <c r="X254" s="25"/>
      <c r="Y254" s="25"/>
      <c r="Z254" s="33"/>
      <c r="AA254" s="34" t="str">
        <f aca="true">IF($T254="","",IF($T254&lt;TODAY(),"已过期 "&amp;TEXT(TODAY()-$T254,"0")&amp;" 天",IF($T254-TODAY()&lt;=年检提醒天,"还剩 "&amp;TEXT($T254-TODAY(),"0")&amp;" 天","")))</f>
        <v/>
      </c>
      <c r="AB254" s="34" t="str">
        <f aca="true">IF(COUNT($U254:$V254)=0,"",IF(MIN($U254:$V254)&lt;TODAY(),"已过期 "&amp;TEXT(TODAY()-MIN($U254:$V254),"0")&amp;" 天",IF(MIN($U254:$V254)-TODAY()&lt;=年检提醒天,"还剩 "&amp;TEXT(MIN($U254:$V254)-TODAY(),"0")&amp;" 天","")))</f>
        <v/>
      </c>
      <c r="AC254" s="34" t="str">
        <f aca="true">IF($C254="","",IF(OR($Y254="安装免保",$Y254="技术免保",$Y254="质保期内"),IF($Z254="","▲免保没填到期日",IF($Z254&lt;TODAY(),"▲免保已到期 该转收费了",IF($Z254-TODAY()&lt;=合同提醒天,"免保还剩 "&amp;TEXT($Z254-TODAY(),"0")&amp;" 天","免保中"))),IF($Y254="暂停维保","暂停中 不计费",IF($Y254="已解约","已解约",IF(COUNTIF(合同键,$E254)=0,"▲还没建合同行","")))))</f>
        <v/>
      </c>
      <c r="AD254" s="24"/>
      <c r="AE254" s="35" t="str">
        <f aca="false">IF($C254="","",IF($D254="","★项目名称没填",IF(N($P254)&lt;=0,"★台量要填",IF(AND(OR($Y254="安装免保",$Y254="技术免保",$Y254="质保期内"),$Z254=""),"★免保到期日没填",IF(COUNTIF(合同键,$E254)=0,"★还没建合同行","OK")))))</f>
        <v/>
      </c>
    </row>
    <row r="255" customFormat="false" ht="15" hidden="false" customHeight="false" outlineLevel="0" collapsed="false">
      <c r="A255" s="29" t="str">
        <f aca="false">IF($C255="","",ROW()-4)</f>
        <v/>
      </c>
      <c r="B255" s="25"/>
      <c r="C255" s="24"/>
      <c r="D255" s="24"/>
      <c r="E255" s="30" t="str">
        <f aca="false">IF($C255="","",$C255&amp;" ｜ "&amp;$D255)</f>
        <v/>
      </c>
      <c r="F255" s="25"/>
      <c r="G255" s="25"/>
      <c r="H255" s="25"/>
      <c r="I255" s="25"/>
      <c r="J255" s="25"/>
      <c r="K255" s="21"/>
      <c r="L255" s="21"/>
      <c r="M255" s="21"/>
      <c r="N255" s="25"/>
      <c r="O255" s="25"/>
      <c r="P255" s="32"/>
      <c r="Q255" s="25"/>
      <c r="R255" s="25"/>
      <c r="S255" s="33"/>
      <c r="T255" s="33"/>
      <c r="U255" s="33"/>
      <c r="V255" s="33"/>
      <c r="W255" s="25"/>
      <c r="X255" s="25"/>
      <c r="Y255" s="25"/>
      <c r="Z255" s="33"/>
      <c r="AA255" s="34" t="str">
        <f aca="true">IF($T255="","",IF($T255&lt;TODAY(),"已过期 "&amp;TEXT(TODAY()-$T255,"0")&amp;" 天",IF($T255-TODAY()&lt;=年检提醒天,"还剩 "&amp;TEXT($T255-TODAY(),"0")&amp;" 天","")))</f>
        <v/>
      </c>
      <c r="AB255" s="34" t="str">
        <f aca="true">IF(COUNT($U255:$V255)=0,"",IF(MIN($U255:$V255)&lt;TODAY(),"已过期 "&amp;TEXT(TODAY()-MIN($U255:$V255),"0")&amp;" 天",IF(MIN($U255:$V255)-TODAY()&lt;=年检提醒天,"还剩 "&amp;TEXT(MIN($U255:$V255)-TODAY(),"0")&amp;" 天","")))</f>
        <v/>
      </c>
      <c r="AC255" s="34" t="str">
        <f aca="true">IF($C255="","",IF(OR($Y255="安装免保",$Y255="技术免保",$Y255="质保期内"),IF($Z255="","▲免保没填到期日",IF($Z255&lt;TODAY(),"▲免保已到期 该转收费了",IF($Z255-TODAY()&lt;=合同提醒天,"免保还剩 "&amp;TEXT($Z255-TODAY(),"0")&amp;" 天","免保中"))),IF($Y255="暂停维保","暂停中 不计费",IF($Y255="已解约","已解约",IF(COUNTIF(合同键,$E255)=0,"▲还没建合同行","")))))</f>
        <v/>
      </c>
      <c r="AD255" s="24"/>
      <c r="AE255" s="35" t="str">
        <f aca="false">IF($C255="","",IF($D255="","★项目名称没填",IF(N($P255)&lt;=0,"★台量要填",IF(AND(OR($Y255="安装免保",$Y255="技术免保",$Y255="质保期内"),$Z255=""),"★免保到期日没填",IF(COUNTIF(合同键,$E255)=0,"★还没建合同行","OK")))))</f>
        <v/>
      </c>
    </row>
    <row r="256" customFormat="false" ht="15" hidden="false" customHeight="false" outlineLevel="0" collapsed="false">
      <c r="A256" s="29" t="str">
        <f aca="false">IF($C256="","",ROW()-4)</f>
        <v/>
      </c>
      <c r="B256" s="25"/>
      <c r="C256" s="24"/>
      <c r="D256" s="24"/>
      <c r="E256" s="30" t="str">
        <f aca="false">IF($C256="","",$C256&amp;" ｜ "&amp;$D256)</f>
        <v/>
      </c>
      <c r="F256" s="25"/>
      <c r="G256" s="25"/>
      <c r="H256" s="25"/>
      <c r="I256" s="25"/>
      <c r="J256" s="25"/>
      <c r="K256" s="21"/>
      <c r="L256" s="21"/>
      <c r="M256" s="21"/>
      <c r="N256" s="25"/>
      <c r="O256" s="25"/>
      <c r="P256" s="32"/>
      <c r="Q256" s="25"/>
      <c r="R256" s="25"/>
      <c r="S256" s="33"/>
      <c r="T256" s="33"/>
      <c r="U256" s="33"/>
      <c r="V256" s="33"/>
      <c r="W256" s="25"/>
      <c r="X256" s="25"/>
      <c r="Y256" s="25"/>
      <c r="Z256" s="33"/>
      <c r="AA256" s="34" t="str">
        <f aca="true">IF($T256="","",IF($T256&lt;TODAY(),"已过期 "&amp;TEXT(TODAY()-$T256,"0")&amp;" 天",IF($T256-TODAY()&lt;=年检提醒天,"还剩 "&amp;TEXT($T256-TODAY(),"0")&amp;" 天","")))</f>
        <v/>
      </c>
      <c r="AB256" s="34" t="str">
        <f aca="true">IF(COUNT($U256:$V256)=0,"",IF(MIN($U256:$V256)&lt;TODAY(),"已过期 "&amp;TEXT(TODAY()-MIN($U256:$V256),"0")&amp;" 天",IF(MIN($U256:$V256)-TODAY()&lt;=年检提醒天,"还剩 "&amp;TEXT(MIN($U256:$V256)-TODAY(),"0")&amp;" 天","")))</f>
        <v/>
      </c>
      <c r="AC256" s="34" t="str">
        <f aca="true">IF($C256="","",IF(OR($Y256="安装免保",$Y256="技术免保",$Y256="质保期内"),IF($Z256="","▲免保没填到期日",IF($Z256&lt;TODAY(),"▲免保已到期 该转收费了",IF($Z256-TODAY()&lt;=合同提醒天,"免保还剩 "&amp;TEXT($Z256-TODAY(),"0")&amp;" 天","免保中"))),IF($Y256="暂停维保","暂停中 不计费",IF($Y256="已解约","已解约",IF(COUNTIF(合同键,$E256)=0,"▲还没建合同行","")))))</f>
        <v/>
      </c>
      <c r="AD256" s="24"/>
      <c r="AE256" s="35" t="str">
        <f aca="false">IF($C256="","",IF($D256="","★项目名称没填",IF(N($P256)&lt;=0,"★台量要填",IF(AND(OR($Y256="安装免保",$Y256="技术免保",$Y256="质保期内"),$Z256=""),"★免保到期日没填",IF(COUNTIF(合同键,$E256)=0,"★还没建合同行","OK")))))</f>
        <v/>
      </c>
    </row>
    <row r="257" customFormat="false" ht="15" hidden="false" customHeight="false" outlineLevel="0" collapsed="false">
      <c r="A257" s="29" t="str">
        <f aca="false">IF($C257="","",ROW()-4)</f>
        <v/>
      </c>
      <c r="B257" s="25"/>
      <c r="C257" s="24"/>
      <c r="D257" s="24"/>
      <c r="E257" s="30" t="str">
        <f aca="false">IF($C257="","",$C257&amp;" ｜ "&amp;$D257)</f>
        <v/>
      </c>
      <c r="F257" s="25"/>
      <c r="G257" s="25"/>
      <c r="H257" s="25"/>
      <c r="I257" s="25"/>
      <c r="J257" s="25"/>
      <c r="K257" s="21"/>
      <c r="L257" s="21"/>
      <c r="M257" s="21"/>
      <c r="N257" s="25"/>
      <c r="O257" s="25"/>
      <c r="P257" s="32"/>
      <c r="Q257" s="25"/>
      <c r="R257" s="25"/>
      <c r="S257" s="33"/>
      <c r="T257" s="33"/>
      <c r="U257" s="33"/>
      <c r="V257" s="33"/>
      <c r="W257" s="25"/>
      <c r="X257" s="25"/>
      <c r="Y257" s="25"/>
      <c r="Z257" s="33"/>
      <c r="AA257" s="34" t="str">
        <f aca="true">IF($T257="","",IF($T257&lt;TODAY(),"已过期 "&amp;TEXT(TODAY()-$T257,"0")&amp;" 天",IF($T257-TODAY()&lt;=年检提醒天,"还剩 "&amp;TEXT($T257-TODAY(),"0")&amp;" 天","")))</f>
        <v/>
      </c>
      <c r="AB257" s="34" t="str">
        <f aca="true">IF(COUNT($U257:$V257)=0,"",IF(MIN($U257:$V257)&lt;TODAY(),"已过期 "&amp;TEXT(TODAY()-MIN($U257:$V257),"0")&amp;" 天",IF(MIN($U257:$V257)-TODAY()&lt;=年检提醒天,"还剩 "&amp;TEXT(MIN($U257:$V257)-TODAY(),"0")&amp;" 天","")))</f>
        <v/>
      </c>
      <c r="AC257" s="34" t="str">
        <f aca="true">IF($C257="","",IF(OR($Y257="安装免保",$Y257="技术免保",$Y257="质保期内"),IF($Z257="","▲免保没填到期日",IF($Z257&lt;TODAY(),"▲免保已到期 该转收费了",IF($Z257-TODAY()&lt;=合同提醒天,"免保还剩 "&amp;TEXT($Z257-TODAY(),"0")&amp;" 天","免保中"))),IF($Y257="暂停维保","暂停中 不计费",IF($Y257="已解约","已解约",IF(COUNTIF(合同键,$E257)=0,"▲还没建合同行","")))))</f>
        <v/>
      </c>
      <c r="AD257" s="24"/>
      <c r="AE257" s="35" t="str">
        <f aca="false">IF($C257="","",IF($D257="","★项目名称没填",IF(N($P257)&lt;=0,"★台量要填",IF(AND(OR($Y257="安装免保",$Y257="技术免保",$Y257="质保期内"),$Z257=""),"★免保到期日没填",IF(COUNTIF(合同键,$E257)=0,"★还没建合同行","OK")))))</f>
        <v/>
      </c>
    </row>
    <row r="258" customFormat="false" ht="15" hidden="false" customHeight="false" outlineLevel="0" collapsed="false">
      <c r="A258" s="29" t="str">
        <f aca="false">IF($C258="","",ROW()-4)</f>
        <v/>
      </c>
      <c r="B258" s="25"/>
      <c r="C258" s="24"/>
      <c r="D258" s="24"/>
      <c r="E258" s="30" t="str">
        <f aca="false">IF($C258="","",$C258&amp;" ｜ "&amp;$D258)</f>
        <v/>
      </c>
      <c r="F258" s="25"/>
      <c r="G258" s="25"/>
      <c r="H258" s="25"/>
      <c r="I258" s="25"/>
      <c r="J258" s="25"/>
      <c r="K258" s="21"/>
      <c r="L258" s="21"/>
      <c r="M258" s="21"/>
      <c r="N258" s="25"/>
      <c r="O258" s="25"/>
      <c r="P258" s="32"/>
      <c r="Q258" s="25"/>
      <c r="R258" s="25"/>
      <c r="S258" s="33"/>
      <c r="T258" s="33"/>
      <c r="U258" s="33"/>
      <c r="V258" s="33"/>
      <c r="W258" s="25"/>
      <c r="X258" s="25"/>
      <c r="Y258" s="25"/>
      <c r="Z258" s="33"/>
      <c r="AA258" s="34" t="str">
        <f aca="true">IF($T258="","",IF($T258&lt;TODAY(),"已过期 "&amp;TEXT(TODAY()-$T258,"0")&amp;" 天",IF($T258-TODAY()&lt;=年检提醒天,"还剩 "&amp;TEXT($T258-TODAY(),"0")&amp;" 天","")))</f>
        <v/>
      </c>
      <c r="AB258" s="34" t="str">
        <f aca="true">IF(COUNT($U258:$V258)=0,"",IF(MIN($U258:$V258)&lt;TODAY(),"已过期 "&amp;TEXT(TODAY()-MIN($U258:$V258),"0")&amp;" 天",IF(MIN($U258:$V258)-TODAY()&lt;=年检提醒天,"还剩 "&amp;TEXT(MIN($U258:$V258)-TODAY(),"0")&amp;" 天","")))</f>
        <v/>
      </c>
      <c r="AC258" s="34" t="str">
        <f aca="true">IF($C258="","",IF(OR($Y258="安装免保",$Y258="技术免保",$Y258="质保期内"),IF($Z258="","▲免保没填到期日",IF($Z258&lt;TODAY(),"▲免保已到期 该转收费了",IF($Z258-TODAY()&lt;=合同提醒天,"免保还剩 "&amp;TEXT($Z258-TODAY(),"0")&amp;" 天","免保中"))),IF($Y258="暂停维保","暂停中 不计费",IF($Y258="已解约","已解约",IF(COUNTIF(合同键,$E258)=0,"▲还没建合同行","")))))</f>
        <v/>
      </c>
      <c r="AD258" s="24"/>
      <c r="AE258" s="35" t="str">
        <f aca="false">IF($C258="","",IF($D258="","★项目名称没填",IF(N($P258)&lt;=0,"★台量要填",IF(AND(OR($Y258="安装免保",$Y258="技术免保",$Y258="质保期内"),$Z258=""),"★免保到期日没填",IF(COUNTIF(合同键,$E258)=0,"★还没建合同行","OK")))))</f>
        <v/>
      </c>
    </row>
    <row r="259" customFormat="false" ht="15" hidden="false" customHeight="false" outlineLevel="0" collapsed="false">
      <c r="A259" s="29" t="str">
        <f aca="false">IF($C259="","",ROW()-4)</f>
        <v/>
      </c>
      <c r="B259" s="25"/>
      <c r="C259" s="24"/>
      <c r="D259" s="24"/>
      <c r="E259" s="30" t="str">
        <f aca="false">IF($C259="","",$C259&amp;" ｜ "&amp;$D259)</f>
        <v/>
      </c>
      <c r="F259" s="25"/>
      <c r="G259" s="25"/>
      <c r="H259" s="25"/>
      <c r="I259" s="25"/>
      <c r="J259" s="25"/>
      <c r="K259" s="21"/>
      <c r="L259" s="21"/>
      <c r="M259" s="21"/>
      <c r="N259" s="25"/>
      <c r="O259" s="25"/>
      <c r="P259" s="32"/>
      <c r="Q259" s="25"/>
      <c r="R259" s="25"/>
      <c r="S259" s="33"/>
      <c r="T259" s="33"/>
      <c r="U259" s="33"/>
      <c r="V259" s="33"/>
      <c r="W259" s="25"/>
      <c r="X259" s="25"/>
      <c r="Y259" s="25"/>
      <c r="Z259" s="33"/>
      <c r="AA259" s="34" t="str">
        <f aca="true">IF($T259="","",IF($T259&lt;TODAY(),"已过期 "&amp;TEXT(TODAY()-$T259,"0")&amp;" 天",IF($T259-TODAY()&lt;=年检提醒天,"还剩 "&amp;TEXT($T259-TODAY(),"0")&amp;" 天","")))</f>
        <v/>
      </c>
      <c r="AB259" s="34" t="str">
        <f aca="true">IF(COUNT($U259:$V259)=0,"",IF(MIN($U259:$V259)&lt;TODAY(),"已过期 "&amp;TEXT(TODAY()-MIN($U259:$V259),"0")&amp;" 天",IF(MIN($U259:$V259)-TODAY()&lt;=年检提醒天,"还剩 "&amp;TEXT(MIN($U259:$V259)-TODAY(),"0")&amp;" 天","")))</f>
        <v/>
      </c>
      <c r="AC259" s="34" t="str">
        <f aca="true">IF($C259="","",IF(OR($Y259="安装免保",$Y259="技术免保",$Y259="质保期内"),IF($Z259="","▲免保没填到期日",IF($Z259&lt;TODAY(),"▲免保已到期 该转收费了",IF($Z259-TODAY()&lt;=合同提醒天,"免保还剩 "&amp;TEXT($Z259-TODAY(),"0")&amp;" 天","免保中"))),IF($Y259="暂停维保","暂停中 不计费",IF($Y259="已解约","已解约",IF(COUNTIF(合同键,$E259)=0,"▲还没建合同行","")))))</f>
        <v/>
      </c>
      <c r="AD259" s="24"/>
      <c r="AE259" s="35" t="str">
        <f aca="false">IF($C259="","",IF($D259="","★项目名称没填",IF(N($P259)&lt;=0,"★台量要填",IF(AND(OR($Y259="安装免保",$Y259="技术免保",$Y259="质保期内"),$Z259=""),"★免保到期日没填",IF(COUNTIF(合同键,$E259)=0,"★还没建合同行","OK")))))</f>
        <v/>
      </c>
    </row>
    <row r="260" customFormat="false" ht="15" hidden="false" customHeight="false" outlineLevel="0" collapsed="false">
      <c r="A260" s="29" t="str">
        <f aca="false">IF($C260="","",ROW()-4)</f>
        <v/>
      </c>
      <c r="B260" s="25"/>
      <c r="C260" s="24"/>
      <c r="D260" s="24"/>
      <c r="E260" s="30" t="str">
        <f aca="false">IF($C260="","",$C260&amp;" ｜ "&amp;$D260)</f>
        <v/>
      </c>
      <c r="F260" s="25"/>
      <c r="G260" s="25"/>
      <c r="H260" s="25"/>
      <c r="I260" s="25"/>
      <c r="J260" s="25"/>
      <c r="K260" s="21"/>
      <c r="L260" s="21"/>
      <c r="M260" s="21"/>
      <c r="N260" s="25"/>
      <c r="O260" s="25"/>
      <c r="P260" s="32"/>
      <c r="Q260" s="25"/>
      <c r="R260" s="25"/>
      <c r="S260" s="33"/>
      <c r="T260" s="33"/>
      <c r="U260" s="33"/>
      <c r="V260" s="33"/>
      <c r="W260" s="25"/>
      <c r="X260" s="25"/>
      <c r="Y260" s="25"/>
      <c r="Z260" s="33"/>
      <c r="AA260" s="34" t="str">
        <f aca="true">IF($T260="","",IF($T260&lt;TODAY(),"已过期 "&amp;TEXT(TODAY()-$T260,"0")&amp;" 天",IF($T260-TODAY()&lt;=年检提醒天,"还剩 "&amp;TEXT($T260-TODAY(),"0")&amp;" 天","")))</f>
        <v/>
      </c>
      <c r="AB260" s="34" t="str">
        <f aca="true">IF(COUNT($U260:$V260)=0,"",IF(MIN($U260:$V260)&lt;TODAY(),"已过期 "&amp;TEXT(TODAY()-MIN($U260:$V260),"0")&amp;" 天",IF(MIN($U260:$V260)-TODAY()&lt;=年检提醒天,"还剩 "&amp;TEXT(MIN($U260:$V260)-TODAY(),"0")&amp;" 天","")))</f>
        <v/>
      </c>
      <c r="AC260" s="34" t="str">
        <f aca="true">IF($C260="","",IF(OR($Y260="安装免保",$Y260="技术免保",$Y260="质保期内"),IF($Z260="","▲免保没填到期日",IF($Z260&lt;TODAY(),"▲免保已到期 该转收费了",IF($Z260-TODAY()&lt;=合同提醒天,"免保还剩 "&amp;TEXT($Z260-TODAY(),"0")&amp;" 天","免保中"))),IF($Y260="暂停维保","暂停中 不计费",IF($Y260="已解约","已解约",IF(COUNTIF(合同键,$E260)=0,"▲还没建合同行","")))))</f>
        <v/>
      </c>
      <c r="AD260" s="24"/>
      <c r="AE260" s="35" t="str">
        <f aca="false">IF($C260="","",IF($D260="","★项目名称没填",IF(N($P260)&lt;=0,"★台量要填",IF(AND(OR($Y260="安装免保",$Y260="技术免保",$Y260="质保期内"),$Z260=""),"★免保到期日没填",IF(COUNTIF(合同键,$E260)=0,"★还没建合同行","OK")))))</f>
        <v/>
      </c>
    </row>
    <row r="261" customFormat="false" ht="15" hidden="false" customHeight="false" outlineLevel="0" collapsed="false">
      <c r="A261" s="29" t="str">
        <f aca="false">IF($C261="","",ROW()-4)</f>
        <v/>
      </c>
      <c r="B261" s="25"/>
      <c r="C261" s="24"/>
      <c r="D261" s="24"/>
      <c r="E261" s="30" t="str">
        <f aca="false">IF($C261="","",$C261&amp;" ｜ "&amp;$D261)</f>
        <v/>
      </c>
      <c r="F261" s="25"/>
      <c r="G261" s="25"/>
      <c r="H261" s="25"/>
      <c r="I261" s="25"/>
      <c r="J261" s="25"/>
      <c r="K261" s="21"/>
      <c r="L261" s="21"/>
      <c r="M261" s="21"/>
      <c r="N261" s="25"/>
      <c r="O261" s="25"/>
      <c r="P261" s="32"/>
      <c r="Q261" s="25"/>
      <c r="R261" s="25"/>
      <c r="S261" s="33"/>
      <c r="T261" s="33"/>
      <c r="U261" s="33"/>
      <c r="V261" s="33"/>
      <c r="W261" s="25"/>
      <c r="X261" s="25"/>
      <c r="Y261" s="25"/>
      <c r="Z261" s="33"/>
      <c r="AA261" s="34" t="str">
        <f aca="true">IF($T261="","",IF($T261&lt;TODAY(),"已过期 "&amp;TEXT(TODAY()-$T261,"0")&amp;" 天",IF($T261-TODAY()&lt;=年检提醒天,"还剩 "&amp;TEXT($T261-TODAY(),"0")&amp;" 天","")))</f>
        <v/>
      </c>
      <c r="AB261" s="34" t="str">
        <f aca="true">IF(COUNT($U261:$V261)=0,"",IF(MIN($U261:$V261)&lt;TODAY(),"已过期 "&amp;TEXT(TODAY()-MIN($U261:$V261),"0")&amp;" 天",IF(MIN($U261:$V261)-TODAY()&lt;=年检提醒天,"还剩 "&amp;TEXT(MIN($U261:$V261)-TODAY(),"0")&amp;" 天","")))</f>
        <v/>
      </c>
      <c r="AC261" s="34" t="str">
        <f aca="true">IF($C261="","",IF(OR($Y261="安装免保",$Y261="技术免保",$Y261="质保期内"),IF($Z261="","▲免保没填到期日",IF($Z261&lt;TODAY(),"▲免保已到期 该转收费了",IF($Z261-TODAY()&lt;=合同提醒天,"免保还剩 "&amp;TEXT($Z261-TODAY(),"0")&amp;" 天","免保中"))),IF($Y261="暂停维保","暂停中 不计费",IF($Y261="已解约","已解约",IF(COUNTIF(合同键,$E261)=0,"▲还没建合同行","")))))</f>
        <v/>
      </c>
      <c r="AD261" s="24"/>
      <c r="AE261" s="35" t="str">
        <f aca="false">IF($C261="","",IF($D261="","★项目名称没填",IF(N($P261)&lt;=0,"★台量要填",IF(AND(OR($Y261="安装免保",$Y261="技术免保",$Y261="质保期内"),$Z261=""),"★免保到期日没填",IF(COUNTIF(合同键,$E261)=0,"★还没建合同行","OK")))))</f>
        <v/>
      </c>
    </row>
    <row r="262" customFormat="false" ht="15" hidden="false" customHeight="false" outlineLevel="0" collapsed="false">
      <c r="A262" s="29" t="str">
        <f aca="false">IF($C262="","",ROW()-4)</f>
        <v/>
      </c>
      <c r="B262" s="25"/>
      <c r="C262" s="24"/>
      <c r="D262" s="24"/>
      <c r="E262" s="30" t="str">
        <f aca="false">IF($C262="","",$C262&amp;" ｜ "&amp;$D262)</f>
        <v/>
      </c>
      <c r="F262" s="25"/>
      <c r="G262" s="25"/>
      <c r="H262" s="25"/>
      <c r="I262" s="25"/>
      <c r="J262" s="25"/>
      <c r="K262" s="21"/>
      <c r="L262" s="21"/>
      <c r="M262" s="21"/>
      <c r="N262" s="25"/>
      <c r="O262" s="25"/>
      <c r="P262" s="32"/>
      <c r="Q262" s="25"/>
      <c r="R262" s="25"/>
      <c r="S262" s="33"/>
      <c r="T262" s="33"/>
      <c r="U262" s="33"/>
      <c r="V262" s="33"/>
      <c r="W262" s="25"/>
      <c r="X262" s="25"/>
      <c r="Y262" s="25"/>
      <c r="Z262" s="33"/>
      <c r="AA262" s="34" t="str">
        <f aca="true">IF($T262="","",IF($T262&lt;TODAY(),"已过期 "&amp;TEXT(TODAY()-$T262,"0")&amp;" 天",IF($T262-TODAY()&lt;=年检提醒天,"还剩 "&amp;TEXT($T262-TODAY(),"0")&amp;" 天","")))</f>
        <v/>
      </c>
      <c r="AB262" s="34" t="str">
        <f aca="true">IF(COUNT($U262:$V262)=0,"",IF(MIN($U262:$V262)&lt;TODAY(),"已过期 "&amp;TEXT(TODAY()-MIN($U262:$V262),"0")&amp;" 天",IF(MIN($U262:$V262)-TODAY()&lt;=年检提醒天,"还剩 "&amp;TEXT(MIN($U262:$V262)-TODAY(),"0")&amp;" 天","")))</f>
        <v/>
      </c>
      <c r="AC262" s="34" t="str">
        <f aca="true">IF($C262="","",IF(OR($Y262="安装免保",$Y262="技术免保",$Y262="质保期内"),IF($Z262="","▲免保没填到期日",IF($Z262&lt;TODAY(),"▲免保已到期 该转收费了",IF($Z262-TODAY()&lt;=合同提醒天,"免保还剩 "&amp;TEXT($Z262-TODAY(),"0")&amp;" 天","免保中"))),IF($Y262="暂停维保","暂停中 不计费",IF($Y262="已解约","已解约",IF(COUNTIF(合同键,$E262)=0,"▲还没建合同行","")))))</f>
        <v/>
      </c>
      <c r="AD262" s="24"/>
      <c r="AE262" s="35" t="str">
        <f aca="false">IF($C262="","",IF($D262="","★项目名称没填",IF(N($P262)&lt;=0,"★台量要填",IF(AND(OR($Y262="安装免保",$Y262="技术免保",$Y262="质保期内"),$Z262=""),"★免保到期日没填",IF(COUNTIF(合同键,$E262)=0,"★还没建合同行","OK")))))</f>
        <v/>
      </c>
    </row>
    <row r="263" customFormat="false" ht="15" hidden="false" customHeight="false" outlineLevel="0" collapsed="false">
      <c r="A263" s="29" t="str">
        <f aca="false">IF($C263="","",ROW()-4)</f>
        <v/>
      </c>
      <c r="B263" s="25"/>
      <c r="C263" s="24"/>
      <c r="D263" s="24"/>
      <c r="E263" s="30" t="str">
        <f aca="false">IF($C263="","",$C263&amp;" ｜ "&amp;$D263)</f>
        <v/>
      </c>
      <c r="F263" s="25"/>
      <c r="G263" s="25"/>
      <c r="H263" s="25"/>
      <c r="I263" s="25"/>
      <c r="J263" s="25"/>
      <c r="K263" s="21"/>
      <c r="L263" s="21"/>
      <c r="M263" s="21"/>
      <c r="N263" s="25"/>
      <c r="O263" s="25"/>
      <c r="P263" s="32"/>
      <c r="Q263" s="25"/>
      <c r="R263" s="25"/>
      <c r="S263" s="33"/>
      <c r="T263" s="33"/>
      <c r="U263" s="33"/>
      <c r="V263" s="33"/>
      <c r="W263" s="25"/>
      <c r="X263" s="25"/>
      <c r="Y263" s="25"/>
      <c r="Z263" s="33"/>
      <c r="AA263" s="34" t="str">
        <f aca="true">IF($T263="","",IF($T263&lt;TODAY(),"已过期 "&amp;TEXT(TODAY()-$T263,"0")&amp;" 天",IF($T263-TODAY()&lt;=年检提醒天,"还剩 "&amp;TEXT($T263-TODAY(),"0")&amp;" 天","")))</f>
        <v/>
      </c>
      <c r="AB263" s="34" t="str">
        <f aca="true">IF(COUNT($U263:$V263)=0,"",IF(MIN($U263:$V263)&lt;TODAY(),"已过期 "&amp;TEXT(TODAY()-MIN($U263:$V263),"0")&amp;" 天",IF(MIN($U263:$V263)-TODAY()&lt;=年检提醒天,"还剩 "&amp;TEXT(MIN($U263:$V263)-TODAY(),"0")&amp;" 天","")))</f>
        <v/>
      </c>
      <c r="AC263" s="34" t="str">
        <f aca="true">IF($C263="","",IF(OR($Y263="安装免保",$Y263="技术免保",$Y263="质保期内"),IF($Z263="","▲免保没填到期日",IF($Z263&lt;TODAY(),"▲免保已到期 该转收费了",IF($Z263-TODAY()&lt;=合同提醒天,"免保还剩 "&amp;TEXT($Z263-TODAY(),"0")&amp;" 天","免保中"))),IF($Y263="暂停维保","暂停中 不计费",IF($Y263="已解约","已解约",IF(COUNTIF(合同键,$E263)=0,"▲还没建合同行","")))))</f>
        <v/>
      </c>
      <c r="AD263" s="24"/>
      <c r="AE263" s="35" t="str">
        <f aca="false">IF($C263="","",IF($D263="","★项目名称没填",IF(N($P263)&lt;=0,"★台量要填",IF(AND(OR($Y263="安装免保",$Y263="技术免保",$Y263="质保期内"),$Z263=""),"★免保到期日没填",IF(COUNTIF(合同键,$E263)=0,"★还没建合同行","OK")))))</f>
        <v/>
      </c>
    </row>
    <row r="264" customFormat="false" ht="15" hidden="false" customHeight="false" outlineLevel="0" collapsed="false">
      <c r="A264" s="29" t="str">
        <f aca="false">IF($C264="","",ROW()-4)</f>
        <v/>
      </c>
      <c r="B264" s="25"/>
      <c r="C264" s="24"/>
      <c r="D264" s="24"/>
      <c r="E264" s="30" t="str">
        <f aca="false">IF($C264="","",$C264&amp;" ｜ "&amp;$D264)</f>
        <v/>
      </c>
      <c r="F264" s="25"/>
      <c r="G264" s="25"/>
      <c r="H264" s="25"/>
      <c r="I264" s="25"/>
      <c r="J264" s="25"/>
      <c r="K264" s="21"/>
      <c r="L264" s="21"/>
      <c r="M264" s="21"/>
      <c r="N264" s="25"/>
      <c r="O264" s="25"/>
      <c r="P264" s="32"/>
      <c r="Q264" s="25"/>
      <c r="R264" s="25"/>
      <c r="S264" s="33"/>
      <c r="T264" s="33"/>
      <c r="U264" s="33"/>
      <c r="V264" s="33"/>
      <c r="W264" s="25"/>
      <c r="X264" s="25"/>
      <c r="Y264" s="25"/>
      <c r="Z264" s="33"/>
      <c r="AA264" s="34" t="str">
        <f aca="true">IF($T264="","",IF($T264&lt;TODAY(),"已过期 "&amp;TEXT(TODAY()-$T264,"0")&amp;" 天",IF($T264-TODAY()&lt;=年检提醒天,"还剩 "&amp;TEXT($T264-TODAY(),"0")&amp;" 天","")))</f>
        <v/>
      </c>
      <c r="AB264" s="34" t="str">
        <f aca="true">IF(COUNT($U264:$V264)=0,"",IF(MIN($U264:$V264)&lt;TODAY(),"已过期 "&amp;TEXT(TODAY()-MIN($U264:$V264),"0")&amp;" 天",IF(MIN($U264:$V264)-TODAY()&lt;=年检提醒天,"还剩 "&amp;TEXT(MIN($U264:$V264)-TODAY(),"0")&amp;" 天","")))</f>
        <v/>
      </c>
      <c r="AC264" s="34" t="str">
        <f aca="true">IF($C264="","",IF(OR($Y264="安装免保",$Y264="技术免保",$Y264="质保期内"),IF($Z264="","▲免保没填到期日",IF($Z264&lt;TODAY(),"▲免保已到期 该转收费了",IF($Z264-TODAY()&lt;=合同提醒天,"免保还剩 "&amp;TEXT($Z264-TODAY(),"0")&amp;" 天","免保中"))),IF($Y264="暂停维保","暂停中 不计费",IF($Y264="已解约","已解约",IF(COUNTIF(合同键,$E264)=0,"▲还没建合同行","")))))</f>
        <v/>
      </c>
      <c r="AD264" s="24"/>
      <c r="AE264" s="35" t="str">
        <f aca="false">IF($C264="","",IF($D264="","★项目名称没填",IF(N($P264)&lt;=0,"★台量要填",IF(AND(OR($Y264="安装免保",$Y264="技术免保",$Y264="质保期内"),$Z264=""),"★免保到期日没填",IF(COUNTIF(合同键,$E264)=0,"★还没建合同行","OK")))))</f>
        <v/>
      </c>
    </row>
    <row r="265" customFormat="false" ht="15" hidden="false" customHeight="false" outlineLevel="0" collapsed="false">
      <c r="A265" s="29" t="str">
        <f aca="false">IF($C265="","",ROW()-4)</f>
        <v/>
      </c>
      <c r="B265" s="25"/>
      <c r="C265" s="24"/>
      <c r="D265" s="24"/>
      <c r="E265" s="30" t="str">
        <f aca="false">IF($C265="","",$C265&amp;" ｜ "&amp;$D265)</f>
        <v/>
      </c>
      <c r="F265" s="25"/>
      <c r="G265" s="25"/>
      <c r="H265" s="25"/>
      <c r="I265" s="25"/>
      <c r="J265" s="25"/>
      <c r="K265" s="21"/>
      <c r="L265" s="21"/>
      <c r="M265" s="21"/>
      <c r="N265" s="25"/>
      <c r="O265" s="25"/>
      <c r="P265" s="32"/>
      <c r="Q265" s="25"/>
      <c r="R265" s="25"/>
      <c r="S265" s="33"/>
      <c r="T265" s="33"/>
      <c r="U265" s="33"/>
      <c r="V265" s="33"/>
      <c r="W265" s="25"/>
      <c r="X265" s="25"/>
      <c r="Y265" s="25"/>
      <c r="Z265" s="33"/>
      <c r="AA265" s="34" t="str">
        <f aca="true">IF($T265="","",IF($T265&lt;TODAY(),"已过期 "&amp;TEXT(TODAY()-$T265,"0")&amp;" 天",IF($T265-TODAY()&lt;=年检提醒天,"还剩 "&amp;TEXT($T265-TODAY(),"0")&amp;" 天","")))</f>
        <v/>
      </c>
      <c r="AB265" s="34" t="str">
        <f aca="true">IF(COUNT($U265:$V265)=0,"",IF(MIN($U265:$V265)&lt;TODAY(),"已过期 "&amp;TEXT(TODAY()-MIN($U265:$V265),"0")&amp;" 天",IF(MIN($U265:$V265)-TODAY()&lt;=年检提醒天,"还剩 "&amp;TEXT(MIN($U265:$V265)-TODAY(),"0")&amp;" 天","")))</f>
        <v/>
      </c>
      <c r="AC265" s="34" t="str">
        <f aca="true">IF($C265="","",IF(OR($Y265="安装免保",$Y265="技术免保",$Y265="质保期内"),IF($Z265="","▲免保没填到期日",IF($Z265&lt;TODAY(),"▲免保已到期 该转收费了",IF($Z265-TODAY()&lt;=合同提醒天,"免保还剩 "&amp;TEXT($Z265-TODAY(),"0")&amp;" 天","免保中"))),IF($Y265="暂停维保","暂停中 不计费",IF($Y265="已解约","已解约",IF(COUNTIF(合同键,$E265)=0,"▲还没建合同行","")))))</f>
        <v/>
      </c>
      <c r="AD265" s="24"/>
      <c r="AE265" s="35" t="str">
        <f aca="false">IF($C265="","",IF($D265="","★项目名称没填",IF(N($P265)&lt;=0,"★台量要填",IF(AND(OR($Y265="安装免保",$Y265="技术免保",$Y265="质保期内"),$Z265=""),"★免保到期日没填",IF(COUNTIF(合同键,$E265)=0,"★还没建合同行","OK")))))</f>
        <v/>
      </c>
    </row>
    <row r="266" customFormat="false" ht="15" hidden="false" customHeight="false" outlineLevel="0" collapsed="false">
      <c r="A266" s="29" t="str">
        <f aca="false">IF($C266="","",ROW()-4)</f>
        <v/>
      </c>
      <c r="B266" s="25"/>
      <c r="C266" s="24"/>
      <c r="D266" s="24"/>
      <c r="E266" s="30" t="str">
        <f aca="false">IF($C266="","",$C266&amp;" ｜ "&amp;$D266)</f>
        <v/>
      </c>
      <c r="F266" s="25"/>
      <c r="G266" s="25"/>
      <c r="H266" s="25"/>
      <c r="I266" s="25"/>
      <c r="J266" s="25"/>
      <c r="K266" s="21"/>
      <c r="L266" s="21"/>
      <c r="M266" s="21"/>
      <c r="N266" s="25"/>
      <c r="O266" s="25"/>
      <c r="P266" s="32"/>
      <c r="Q266" s="25"/>
      <c r="R266" s="25"/>
      <c r="S266" s="33"/>
      <c r="T266" s="33"/>
      <c r="U266" s="33"/>
      <c r="V266" s="33"/>
      <c r="W266" s="25"/>
      <c r="X266" s="25"/>
      <c r="Y266" s="25"/>
      <c r="Z266" s="33"/>
      <c r="AA266" s="34" t="str">
        <f aca="true">IF($T266="","",IF($T266&lt;TODAY(),"已过期 "&amp;TEXT(TODAY()-$T266,"0")&amp;" 天",IF($T266-TODAY()&lt;=年检提醒天,"还剩 "&amp;TEXT($T266-TODAY(),"0")&amp;" 天","")))</f>
        <v/>
      </c>
      <c r="AB266" s="34" t="str">
        <f aca="true">IF(COUNT($U266:$V266)=0,"",IF(MIN($U266:$V266)&lt;TODAY(),"已过期 "&amp;TEXT(TODAY()-MIN($U266:$V266),"0")&amp;" 天",IF(MIN($U266:$V266)-TODAY()&lt;=年检提醒天,"还剩 "&amp;TEXT(MIN($U266:$V266)-TODAY(),"0")&amp;" 天","")))</f>
        <v/>
      </c>
      <c r="AC266" s="34" t="str">
        <f aca="true">IF($C266="","",IF(OR($Y266="安装免保",$Y266="技术免保",$Y266="质保期内"),IF($Z266="","▲免保没填到期日",IF($Z266&lt;TODAY(),"▲免保已到期 该转收费了",IF($Z266-TODAY()&lt;=合同提醒天,"免保还剩 "&amp;TEXT($Z266-TODAY(),"0")&amp;" 天","免保中"))),IF($Y266="暂停维保","暂停中 不计费",IF($Y266="已解约","已解约",IF(COUNTIF(合同键,$E266)=0,"▲还没建合同行","")))))</f>
        <v/>
      </c>
      <c r="AD266" s="24"/>
      <c r="AE266" s="35" t="str">
        <f aca="false">IF($C266="","",IF($D266="","★项目名称没填",IF(N($P266)&lt;=0,"★台量要填",IF(AND(OR($Y266="安装免保",$Y266="技术免保",$Y266="质保期内"),$Z266=""),"★免保到期日没填",IF(COUNTIF(合同键,$E266)=0,"★还没建合同行","OK")))))</f>
        <v/>
      </c>
    </row>
    <row r="267" customFormat="false" ht="15" hidden="false" customHeight="false" outlineLevel="0" collapsed="false">
      <c r="A267" s="29" t="str">
        <f aca="false">IF($C267="","",ROW()-4)</f>
        <v/>
      </c>
      <c r="B267" s="25"/>
      <c r="C267" s="24"/>
      <c r="D267" s="24"/>
      <c r="E267" s="30" t="str">
        <f aca="false">IF($C267="","",$C267&amp;" ｜ "&amp;$D267)</f>
        <v/>
      </c>
      <c r="F267" s="25"/>
      <c r="G267" s="25"/>
      <c r="H267" s="25"/>
      <c r="I267" s="25"/>
      <c r="J267" s="25"/>
      <c r="K267" s="21"/>
      <c r="L267" s="21"/>
      <c r="M267" s="21"/>
      <c r="N267" s="25"/>
      <c r="O267" s="25"/>
      <c r="P267" s="32"/>
      <c r="Q267" s="25"/>
      <c r="R267" s="25"/>
      <c r="S267" s="33"/>
      <c r="T267" s="33"/>
      <c r="U267" s="33"/>
      <c r="V267" s="33"/>
      <c r="W267" s="25"/>
      <c r="X267" s="25"/>
      <c r="Y267" s="25"/>
      <c r="Z267" s="33"/>
      <c r="AA267" s="34" t="str">
        <f aca="true">IF($T267="","",IF($T267&lt;TODAY(),"已过期 "&amp;TEXT(TODAY()-$T267,"0")&amp;" 天",IF($T267-TODAY()&lt;=年检提醒天,"还剩 "&amp;TEXT($T267-TODAY(),"0")&amp;" 天","")))</f>
        <v/>
      </c>
      <c r="AB267" s="34" t="str">
        <f aca="true">IF(COUNT($U267:$V267)=0,"",IF(MIN($U267:$V267)&lt;TODAY(),"已过期 "&amp;TEXT(TODAY()-MIN($U267:$V267),"0")&amp;" 天",IF(MIN($U267:$V267)-TODAY()&lt;=年检提醒天,"还剩 "&amp;TEXT(MIN($U267:$V267)-TODAY(),"0")&amp;" 天","")))</f>
        <v/>
      </c>
      <c r="AC267" s="34" t="str">
        <f aca="true">IF($C267="","",IF(OR($Y267="安装免保",$Y267="技术免保",$Y267="质保期内"),IF($Z267="","▲免保没填到期日",IF($Z267&lt;TODAY(),"▲免保已到期 该转收费了",IF($Z267-TODAY()&lt;=合同提醒天,"免保还剩 "&amp;TEXT($Z267-TODAY(),"0")&amp;" 天","免保中"))),IF($Y267="暂停维保","暂停中 不计费",IF($Y267="已解约","已解约",IF(COUNTIF(合同键,$E267)=0,"▲还没建合同行","")))))</f>
        <v/>
      </c>
      <c r="AD267" s="24"/>
      <c r="AE267" s="35" t="str">
        <f aca="false">IF($C267="","",IF($D267="","★项目名称没填",IF(N($P267)&lt;=0,"★台量要填",IF(AND(OR($Y267="安装免保",$Y267="技术免保",$Y267="质保期内"),$Z267=""),"★免保到期日没填",IF(COUNTIF(合同键,$E267)=0,"★还没建合同行","OK")))))</f>
        <v/>
      </c>
    </row>
    <row r="268" customFormat="false" ht="15" hidden="false" customHeight="false" outlineLevel="0" collapsed="false">
      <c r="A268" s="29" t="str">
        <f aca="false">IF($C268="","",ROW()-4)</f>
        <v/>
      </c>
      <c r="B268" s="25"/>
      <c r="C268" s="24"/>
      <c r="D268" s="24"/>
      <c r="E268" s="30" t="str">
        <f aca="false">IF($C268="","",$C268&amp;" ｜ "&amp;$D268)</f>
        <v/>
      </c>
      <c r="F268" s="25"/>
      <c r="G268" s="25"/>
      <c r="H268" s="25"/>
      <c r="I268" s="25"/>
      <c r="J268" s="25"/>
      <c r="K268" s="21"/>
      <c r="L268" s="21"/>
      <c r="M268" s="21"/>
      <c r="N268" s="25"/>
      <c r="O268" s="25"/>
      <c r="P268" s="32"/>
      <c r="Q268" s="25"/>
      <c r="R268" s="25"/>
      <c r="S268" s="33"/>
      <c r="T268" s="33"/>
      <c r="U268" s="33"/>
      <c r="V268" s="33"/>
      <c r="W268" s="25"/>
      <c r="X268" s="25"/>
      <c r="Y268" s="25"/>
      <c r="Z268" s="33"/>
      <c r="AA268" s="34" t="str">
        <f aca="true">IF($T268="","",IF($T268&lt;TODAY(),"已过期 "&amp;TEXT(TODAY()-$T268,"0")&amp;" 天",IF($T268-TODAY()&lt;=年检提醒天,"还剩 "&amp;TEXT($T268-TODAY(),"0")&amp;" 天","")))</f>
        <v/>
      </c>
      <c r="AB268" s="34" t="str">
        <f aca="true">IF(COUNT($U268:$V268)=0,"",IF(MIN($U268:$V268)&lt;TODAY(),"已过期 "&amp;TEXT(TODAY()-MIN($U268:$V268),"0")&amp;" 天",IF(MIN($U268:$V268)-TODAY()&lt;=年检提醒天,"还剩 "&amp;TEXT(MIN($U268:$V268)-TODAY(),"0")&amp;" 天","")))</f>
        <v/>
      </c>
      <c r="AC268" s="34" t="str">
        <f aca="true">IF($C268="","",IF(OR($Y268="安装免保",$Y268="技术免保",$Y268="质保期内"),IF($Z268="","▲免保没填到期日",IF($Z268&lt;TODAY(),"▲免保已到期 该转收费了",IF($Z268-TODAY()&lt;=合同提醒天,"免保还剩 "&amp;TEXT($Z268-TODAY(),"0")&amp;" 天","免保中"))),IF($Y268="暂停维保","暂停中 不计费",IF($Y268="已解约","已解约",IF(COUNTIF(合同键,$E268)=0,"▲还没建合同行","")))))</f>
        <v/>
      </c>
      <c r="AD268" s="24"/>
      <c r="AE268" s="35" t="str">
        <f aca="false">IF($C268="","",IF($D268="","★项目名称没填",IF(N($P268)&lt;=0,"★台量要填",IF(AND(OR($Y268="安装免保",$Y268="技术免保",$Y268="质保期内"),$Z268=""),"★免保到期日没填",IF(COUNTIF(合同键,$E268)=0,"★还没建合同行","OK")))))</f>
        <v/>
      </c>
    </row>
    <row r="269" customFormat="false" ht="15" hidden="false" customHeight="false" outlineLevel="0" collapsed="false">
      <c r="A269" s="29" t="str">
        <f aca="false">IF($C269="","",ROW()-4)</f>
        <v/>
      </c>
      <c r="B269" s="25"/>
      <c r="C269" s="24"/>
      <c r="D269" s="24"/>
      <c r="E269" s="30" t="str">
        <f aca="false">IF($C269="","",$C269&amp;" ｜ "&amp;$D269)</f>
        <v/>
      </c>
      <c r="F269" s="25"/>
      <c r="G269" s="25"/>
      <c r="H269" s="25"/>
      <c r="I269" s="25"/>
      <c r="J269" s="25"/>
      <c r="K269" s="21"/>
      <c r="L269" s="21"/>
      <c r="M269" s="21"/>
      <c r="N269" s="25"/>
      <c r="O269" s="25"/>
      <c r="P269" s="32"/>
      <c r="Q269" s="25"/>
      <c r="R269" s="25"/>
      <c r="S269" s="33"/>
      <c r="T269" s="33"/>
      <c r="U269" s="33"/>
      <c r="V269" s="33"/>
      <c r="W269" s="25"/>
      <c r="X269" s="25"/>
      <c r="Y269" s="25"/>
      <c r="Z269" s="33"/>
      <c r="AA269" s="34" t="str">
        <f aca="true">IF($T269="","",IF($T269&lt;TODAY(),"已过期 "&amp;TEXT(TODAY()-$T269,"0")&amp;" 天",IF($T269-TODAY()&lt;=年检提醒天,"还剩 "&amp;TEXT($T269-TODAY(),"0")&amp;" 天","")))</f>
        <v/>
      </c>
      <c r="AB269" s="34" t="str">
        <f aca="true">IF(COUNT($U269:$V269)=0,"",IF(MIN($U269:$V269)&lt;TODAY(),"已过期 "&amp;TEXT(TODAY()-MIN($U269:$V269),"0")&amp;" 天",IF(MIN($U269:$V269)-TODAY()&lt;=年检提醒天,"还剩 "&amp;TEXT(MIN($U269:$V269)-TODAY(),"0")&amp;" 天","")))</f>
        <v/>
      </c>
      <c r="AC269" s="34" t="str">
        <f aca="true">IF($C269="","",IF(OR($Y269="安装免保",$Y269="技术免保",$Y269="质保期内"),IF($Z269="","▲免保没填到期日",IF($Z269&lt;TODAY(),"▲免保已到期 该转收费了",IF($Z269-TODAY()&lt;=合同提醒天,"免保还剩 "&amp;TEXT($Z269-TODAY(),"0")&amp;" 天","免保中"))),IF($Y269="暂停维保","暂停中 不计费",IF($Y269="已解约","已解约",IF(COUNTIF(合同键,$E269)=0,"▲还没建合同行","")))))</f>
        <v/>
      </c>
      <c r="AD269" s="24"/>
      <c r="AE269" s="35" t="str">
        <f aca="false">IF($C269="","",IF($D269="","★项目名称没填",IF(N($P269)&lt;=0,"★台量要填",IF(AND(OR($Y269="安装免保",$Y269="技术免保",$Y269="质保期内"),$Z269=""),"★免保到期日没填",IF(COUNTIF(合同键,$E269)=0,"★还没建合同行","OK")))))</f>
        <v/>
      </c>
    </row>
    <row r="270" customFormat="false" ht="15" hidden="false" customHeight="false" outlineLevel="0" collapsed="false">
      <c r="A270" s="29" t="str">
        <f aca="false">IF($C270="","",ROW()-4)</f>
        <v/>
      </c>
      <c r="B270" s="25"/>
      <c r="C270" s="24"/>
      <c r="D270" s="24"/>
      <c r="E270" s="30" t="str">
        <f aca="false">IF($C270="","",$C270&amp;" ｜ "&amp;$D270)</f>
        <v/>
      </c>
      <c r="F270" s="25"/>
      <c r="G270" s="25"/>
      <c r="H270" s="25"/>
      <c r="I270" s="25"/>
      <c r="J270" s="25"/>
      <c r="K270" s="21"/>
      <c r="L270" s="21"/>
      <c r="M270" s="21"/>
      <c r="N270" s="25"/>
      <c r="O270" s="25"/>
      <c r="P270" s="32"/>
      <c r="Q270" s="25"/>
      <c r="R270" s="25"/>
      <c r="S270" s="33"/>
      <c r="T270" s="33"/>
      <c r="U270" s="33"/>
      <c r="V270" s="33"/>
      <c r="W270" s="25"/>
      <c r="X270" s="25"/>
      <c r="Y270" s="25"/>
      <c r="Z270" s="33"/>
      <c r="AA270" s="34" t="str">
        <f aca="true">IF($T270="","",IF($T270&lt;TODAY(),"已过期 "&amp;TEXT(TODAY()-$T270,"0")&amp;" 天",IF($T270-TODAY()&lt;=年检提醒天,"还剩 "&amp;TEXT($T270-TODAY(),"0")&amp;" 天","")))</f>
        <v/>
      </c>
      <c r="AB270" s="34" t="str">
        <f aca="true">IF(COUNT($U270:$V270)=0,"",IF(MIN($U270:$V270)&lt;TODAY(),"已过期 "&amp;TEXT(TODAY()-MIN($U270:$V270),"0")&amp;" 天",IF(MIN($U270:$V270)-TODAY()&lt;=年检提醒天,"还剩 "&amp;TEXT(MIN($U270:$V270)-TODAY(),"0")&amp;" 天","")))</f>
        <v/>
      </c>
      <c r="AC270" s="34" t="str">
        <f aca="true">IF($C270="","",IF(OR($Y270="安装免保",$Y270="技术免保",$Y270="质保期内"),IF($Z270="","▲免保没填到期日",IF($Z270&lt;TODAY(),"▲免保已到期 该转收费了",IF($Z270-TODAY()&lt;=合同提醒天,"免保还剩 "&amp;TEXT($Z270-TODAY(),"0")&amp;" 天","免保中"))),IF($Y270="暂停维保","暂停中 不计费",IF($Y270="已解约","已解约",IF(COUNTIF(合同键,$E270)=0,"▲还没建合同行","")))))</f>
        <v/>
      </c>
      <c r="AD270" s="24"/>
      <c r="AE270" s="35" t="str">
        <f aca="false">IF($C270="","",IF($D270="","★项目名称没填",IF(N($P270)&lt;=0,"★台量要填",IF(AND(OR($Y270="安装免保",$Y270="技术免保",$Y270="质保期内"),$Z270=""),"★免保到期日没填",IF(COUNTIF(合同键,$E270)=0,"★还没建合同行","OK")))))</f>
        <v/>
      </c>
    </row>
    <row r="271" customFormat="false" ht="15" hidden="false" customHeight="false" outlineLevel="0" collapsed="false">
      <c r="A271" s="29" t="str">
        <f aca="false">IF($C271="","",ROW()-4)</f>
        <v/>
      </c>
      <c r="B271" s="25"/>
      <c r="C271" s="24"/>
      <c r="D271" s="24"/>
      <c r="E271" s="30" t="str">
        <f aca="false">IF($C271="","",$C271&amp;" ｜ "&amp;$D271)</f>
        <v/>
      </c>
      <c r="F271" s="25"/>
      <c r="G271" s="25"/>
      <c r="H271" s="25"/>
      <c r="I271" s="25"/>
      <c r="J271" s="25"/>
      <c r="K271" s="21"/>
      <c r="L271" s="21"/>
      <c r="M271" s="21"/>
      <c r="N271" s="25"/>
      <c r="O271" s="25"/>
      <c r="P271" s="32"/>
      <c r="Q271" s="25"/>
      <c r="R271" s="25"/>
      <c r="S271" s="33"/>
      <c r="T271" s="33"/>
      <c r="U271" s="33"/>
      <c r="V271" s="33"/>
      <c r="W271" s="25"/>
      <c r="X271" s="25"/>
      <c r="Y271" s="25"/>
      <c r="Z271" s="33"/>
      <c r="AA271" s="34" t="str">
        <f aca="true">IF($T271="","",IF($T271&lt;TODAY(),"已过期 "&amp;TEXT(TODAY()-$T271,"0")&amp;" 天",IF($T271-TODAY()&lt;=年检提醒天,"还剩 "&amp;TEXT($T271-TODAY(),"0")&amp;" 天","")))</f>
        <v/>
      </c>
      <c r="AB271" s="34" t="str">
        <f aca="true">IF(COUNT($U271:$V271)=0,"",IF(MIN($U271:$V271)&lt;TODAY(),"已过期 "&amp;TEXT(TODAY()-MIN($U271:$V271),"0")&amp;" 天",IF(MIN($U271:$V271)-TODAY()&lt;=年检提醒天,"还剩 "&amp;TEXT(MIN($U271:$V271)-TODAY(),"0")&amp;" 天","")))</f>
        <v/>
      </c>
      <c r="AC271" s="34" t="str">
        <f aca="true">IF($C271="","",IF(OR($Y271="安装免保",$Y271="技术免保",$Y271="质保期内"),IF($Z271="","▲免保没填到期日",IF($Z271&lt;TODAY(),"▲免保已到期 该转收费了",IF($Z271-TODAY()&lt;=合同提醒天,"免保还剩 "&amp;TEXT($Z271-TODAY(),"0")&amp;" 天","免保中"))),IF($Y271="暂停维保","暂停中 不计费",IF($Y271="已解约","已解约",IF(COUNTIF(合同键,$E271)=0,"▲还没建合同行","")))))</f>
        <v/>
      </c>
      <c r="AD271" s="24"/>
      <c r="AE271" s="35" t="str">
        <f aca="false">IF($C271="","",IF($D271="","★项目名称没填",IF(N($P271)&lt;=0,"★台量要填",IF(AND(OR($Y271="安装免保",$Y271="技术免保",$Y271="质保期内"),$Z271=""),"★免保到期日没填",IF(COUNTIF(合同键,$E271)=0,"★还没建合同行","OK")))))</f>
        <v/>
      </c>
    </row>
    <row r="272" customFormat="false" ht="15" hidden="false" customHeight="false" outlineLevel="0" collapsed="false">
      <c r="A272" s="29" t="str">
        <f aca="false">IF($C272="","",ROW()-4)</f>
        <v/>
      </c>
      <c r="B272" s="25"/>
      <c r="C272" s="24"/>
      <c r="D272" s="24"/>
      <c r="E272" s="30" t="str">
        <f aca="false">IF($C272="","",$C272&amp;" ｜ "&amp;$D272)</f>
        <v/>
      </c>
      <c r="F272" s="25"/>
      <c r="G272" s="25"/>
      <c r="H272" s="25"/>
      <c r="I272" s="25"/>
      <c r="J272" s="25"/>
      <c r="K272" s="21"/>
      <c r="L272" s="21"/>
      <c r="M272" s="21"/>
      <c r="N272" s="25"/>
      <c r="O272" s="25"/>
      <c r="P272" s="32"/>
      <c r="Q272" s="25"/>
      <c r="R272" s="25"/>
      <c r="S272" s="33"/>
      <c r="T272" s="33"/>
      <c r="U272" s="33"/>
      <c r="V272" s="33"/>
      <c r="W272" s="25"/>
      <c r="X272" s="25"/>
      <c r="Y272" s="25"/>
      <c r="Z272" s="33"/>
      <c r="AA272" s="34" t="str">
        <f aca="true">IF($T272="","",IF($T272&lt;TODAY(),"已过期 "&amp;TEXT(TODAY()-$T272,"0")&amp;" 天",IF($T272-TODAY()&lt;=年检提醒天,"还剩 "&amp;TEXT($T272-TODAY(),"0")&amp;" 天","")))</f>
        <v/>
      </c>
      <c r="AB272" s="34" t="str">
        <f aca="true">IF(COUNT($U272:$V272)=0,"",IF(MIN($U272:$V272)&lt;TODAY(),"已过期 "&amp;TEXT(TODAY()-MIN($U272:$V272),"0")&amp;" 天",IF(MIN($U272:$V272)-TODAY()&lt;=年检提醒天,"还剩 "&amp;TEXT(MIN($U272:$V272)-TODAY(),"0")&amp;" 天","")))</f>
        <v/>
      </c>
      <c r="AC272" s="34" t="str">
        <f aca="true">IF($C272="","",IF(OR($Y272="安装免保",$Y272="技术免保",$Y272="质保期内"),IF($Z272="","▲免保没填到期日",IF($Z272&lt;TODAY(),"▲免保已到期 该转收费了",IF($Z272-TODAY()&lt;=合同提醒天,"免保还剩 "&amp;TEXT($Z272-TODAY(),"0")&amp;" 天","免保中"))),IF($Y272="暂停维保","暂停中 不计费",IF($Y272="已解约","已解约",IF(COUNTIF(合同键,$E272)=0,"▲还没建合同行","")))))</f>
        <v/>
      </c>
      <c r="AD272" s="24"/>
      <c r="AE272" s="35" t="str">
        <f aca="false">IF($C272="","",IF($D272="","★项目名称没填",IF(N($P272)&lt;=0,"★台量要填",IF(AND(OR($Y272="安装免保",$Y272="技术免保",$Y272="质保期内"),$Z272=""),"★免保到期日没填",IF(COUNTIF(合同键,$E272)=0,"★还没建合同行","OK")))))</f>
        <v/>
      </c>
    </row>
    <row r="273" customFormat="false" ht="15" hidden="false" customHeight="false" outlineLevel="0" collapsed="false">
      <c r="A273" s="29" t="str">
        <f aca="false">IF($C273="","",ROW()-4)</f>
        <v/>
      </c>
      <c r="B273" s="25"/>
      <c r="C273" s="24"/>
      <c r="D273" s="24"/>
      <c r="E273" s="30" t="str">
        <f aca="false">IF($C273="","",$C273&amp;" ｜ "&amp;$D273)</f>
        <v/>
      </c>
      <c r="F273" s="25"/>
      <c r="G273" s="25"/>
      <c r="H273" s="25"/>
      <c r="I273" s="25"/>
      <c r="J273" s="25"/>
      <c r="K273" s="21"/>
      <c r="L273" s="21"/>
      <c r="M273" s="21"/>
      <c r="N273" s="25"/>
      <c r="O273" s="25"/>
      <c r="P273" s="32"/>
      <c r="Q273" s="25"/>
      <c r="R273" s="25"/>
      <c r="S273" s="33"/>
      <c r="T273" s="33"/>
      <c r="U273" s="33"/>
      <c r="V273" s="33"/>
      <c r="W273" s="25"/>
      <c r="X273" s="25"/>
      <c r="Y273" s="25"/>
      <c r="Z273" s="33"/>
      <c r="AA273" s="34" t="str">
        <f aca="true">IF($T273="","",IF($T273&lt;TODAY(),"已过期 "&amp;TEXT(TODAY()-$T273,"0")&amp;" 天",IF($T273-TODAY()&lt;=年检提醒天,"还剩 "&amp;TEXT($T273-TODAY(),"0")&amp;" 天","")))</f>
        <v/>
      </c>
      <c r="AB273" s="34" t="str">
        <f aca="true">IF(COUNT($U273:$V273)=0,"",IF(MIN($U273:$V273)&lt;TODAY(),"已过期 "&amp;TEXT(TODAY()-MIN($U273:$V273),"0")&amp;" 天",IF(MIN($U273:$V273)-TODAY()&lt;=年检提醒天,"还剩 "&amp;TEXT(MIN($U273:$V273)-TODAY(),"0")&amp;" 天","")))</f>
        <v/>
      </c>
      <c r="AC273" s="34" t="str">
        <f aca="true">IF($C273="","",IF(OR($Y273="安装免保",$Y273="技术免保",$Y273="质保期内"),IF($Z273="","▲免保没填到期日",IF($Z273&lt;TODAY(),"▲免保已到期 该转收费了",IF($Z273-TODAY()&lt;=合同提醒天,"免保还剩 "&amp;TEXT($Z273-TODAY(),"0")&amp;" 天","免保中"))),IF($Y273="暂停维保","暂停中 不计费",IF($Y273="已解约","已解约",IF(COUNTIF(合同键,$E273)=0,"▲还没建合同行","")))))</f>
        <v/>
      </c>
      <c r="AD273" s="24"/>
      <c r="AE273" s="35" t="str">
        <f aca="false">IF($C273="","",IF($D273="","★项目名称没填",IF(N($P273)&lt;=0,"★台量要填",IF(AND(OR($Y273="安装免保",$Y273="技术免保",$Y273="质保期内"),$Z273=""),"★免保到期日没填",IF(COUNTIF(合同键,$E273)=0,"★还没建合同行","OK")))))</f>
        <v/>
      </c>
    </row>
    <row r="274" customFormat="false" ht="15" hidden="false" customHeight="false" outlineLevel="0" collapsed="false">
      <c r="A274" s="29" t="str">
        <f aca="false">IF($C274="","",ROW()-4)</f>
        <v/>
      </c>
      <c r="B274" s="25"/>
      <c r="C274" s="24"/>
      <c r="D274" s="24"/>
      <c r="E274" s="30" t="str">
        <f aca="false">IF($C274="","",$C274&amp;" ｜ "&amp;$D274)</f>
        <v/>
      </c>
      <c r="F274" s="25"/>
      <c r="G274" s="25"/>
      <c r="H274" s="25"/>
      <c r="I274" s="25"/>
      <c r="J274" s="25"/>
      <c r="K274" s="21"/>
      <c r="L274" s="21"/>
      <c r="M274" s="21"/>
      <c r="N274" s="25"/>
      <c r="O274" s="25"/>
      <c r="P274" s="32"/>
      <c r="Q274" s="25"/>
      <c r="R274" s="25"/>
      <c r="S274" s="33"/>
      <c r="T274" s="33"/>
      <c r="U274" s="33"/>
      <c r="V274" s="33"/>
      <c r="W274" s="25"/>
      <c r="X274" s="25"/>
      <c r="Y274" s="25"/>
      <c r="Z274" s="33"/>
      <c r="AA274" s="34" t="str">
        <f aca="true">IF($T274="","",IF($T274&lt;TODAY(),"已过期 "&amp;TEXT(TODAY()-$T274,"0")&amp;" 天",IF($T274-TODAY()&lt;=年检提醒天,"还剩 "&amp;TEXT($T274-TODAY(),"0")&amp;" 天","")))</f>
        <v/>
      </c>
      <c r="AB274" s="34" t="str">
        <f aca="true">IF(COUNT($U274:$V274)=0,"",IF(MIN($U274:$V274)&lt;TODAY(),"已过期 "&amp;TEXT(TODAY()-MIN($U274:$V274),"0")&amp;" 天",IF(MIN($U274:$V274)-TODAY()&lt;=年检提醒天,"还剩 "&amp;TEXT(MIN($U274:$V274)-TODAY(),"0")&amp;" 天","")))</f>
        <v/>
      </c>
      <c r="AC274" s="34" t="str">
        <f aca="true">IF($C274="","",IF(OR($Y274="安装免保",$Y274="技术免保",$Y274="质保期内"),IF($Z274="","▲免保没填到期日",IF($Z274&lt;TODAY(),"▲免保已到期 该转收费了",IF($Z274-TODAY()&lt;=合同提醒天,"免保还剩 "&amp;TEXT($Z274-TODAY(),"0")&amp;" 天","免保中"))),IF($Y274="暂停维保","暂停中 不计费",IF($Y274="已解约","已解约",IF(COUNTIF(合同键,$E274)=0,"▲还没建合同行","")))))</f>
        <v/>
      </c>
      <c r="AD274" s="24"/>
      <c r="AE274" s="35" t="str">
        <f aca="false">IF($C274="","",IF($D274="","★项目名称没填",IF(N($P274)&lt;=0,"★台量要填",IF(AND(OR($Y274="安装免保",$Y274="技术免保",$Y274="质保期内"),$Z274=""),"★免保到期日没填",IF(COUNTIF(合同键,$E274)=0,"★还没建合同行","OK")))))</f>
        <v/>
      </c>
    </row>
    <row r="275" customFormat="false" ht="15" hidden="false" customHeight="false" outlineLevel="0" collapsed="false">
      <c r="A275" s="29" t="str">
        <f aca="false">IF($C275="","",ROW()-4)</f>
        <v/>
      </c>
      <c r="B275" s="25"/>
      <c r="C275" s="24"/>
      <c r="D275" s="24"/>
      <c r="E275" s="30" t="str">
        <f aca="false">IF($C275="","",$C275&amp;" ｜ "&amp;$D275)</f>
        <v/>
      </c>
      <c r="F275" s="25"/>
      <c r="G275" s="25"/>
      <c r="H275" s="25"/>
      <c r="I275" s="25"/>
      <c r="J275" s="25"/>
      <c r="K275" s="21"/>
      <c r="L275" s="21"/>
      <c r="M275" s="21"/>
      <c r="N275" s="25"/>
      <c r="O275" s="25"/>
      <c r="P275" s="32"/>
      <c r="Q275" s="25"/>
      <c r="R275" s="25"/>
      <c r="S275" s="33"/>
      <c r="T275" s="33"/>
      <c r="U275" s="33"/>
      <c r="V275" s="33"/>
      <c r="W275" s="25"/>
      <c r="X275" s="25"/>
      <c r="Y275" s="25"/>
      <c r="Z275" s="33"/>
      <c r="AA275" s="34" t="str">
        <f aca="true">IF($T275="","",IF($T275&lt;TODAY(),"已过期 "&amp;TEXT(TODAY()-$T275,"0")&amp;" 天",IF($T275-TODAY()&lt;=年检提醒天,"还剩 "&amp;TEXT($T275-TODAY(),"0")&amp;" 天","")))</f>
        <v/>
      </c>
      <c r="AB275" s="34" t="str">
        <f aca="true">IF(COUNT($U275:$V275)=0,"",IF(MIN($U275:$V275)&lt;TODAY(),"已过期 "&amp;TEXT(TODAY()-MIN($U275:$V275),"0")&amp;" 天",IF(MIN($U275:$V275)-TODAY()&lt;=年检提醒天,"还剩 "&amp;TEXT(MIN($U275:$V275)-TODAY(),"0")&amp;" 天","")))</f>
        <v/>
      </c>
      <c r="AC275" s="34" t="str">
        <f aca="true">IF($C275="","",IF(OR($Y275="安装免保",$Y275="技术免保",$Y275="质保期内"),IF($Z275="","▲免保没填到期日",IF($Z275&lt;TODAY(),"▲免保已到期 该转收费了",IF($Z275-TODAY()&lt;=合同提醒天,"免保还剩 "&amp;TEXT($Z275-TODAY(),"0")&amp;" 天","免保中"))),IF($Y275="暂停维保","暂停中 不计费",IF($Y275="已解约","已解约",IF(COUNTIF(合同键,$E275)=0,"▲还没建合同行","")))))</f>
        <v/>
      </c>
      <c r="AD275" s="24"/>
      <c r="AE275" s="35" t="str">
        <f aca="false">IF($C275="","",IF($D275="","★项目名称没填",IF(N($P275)&lt;=0,"★台量要填",IF(AND(OR($Y275="安装免保",$Y275="技术免保",$Y275="质保期内"),$Z275=""),"★免保到期日没填",IF(COUNTIF(合同键,$E275)=0,"★还没建合同行","OK")))))</f>
        <v/>
      </c>
    </row>
    <row r="276" customFormat="false" ht="15" hidden="false" customHeight="false" outlineLevel="0" collapsed="false">
      <c r="A276" s="29" t="str">
        <f aca="false">IF($C276="","",ROW()-4)</f>
        <v/>
      </c>
      <c r="B276" s="25"/>
      <c r="C276" s="24"/>
      <c r="D276" s="24"/>
      <c r="E276" s="30" t="str">
        <f aca="false">IF($C276="","",$C276&amp;" ｜ "&amp;$D276)</f>
        <v/>
      </c>
      <c r="F276" s="25"/>
      <c r="G276" s="25"/>
      <c r="H276" s="25"/>
      <c r="I276" s="25"/>
      <c r="J276" s="25"/>
      <c r="K276" s="21"/>
      <c r="L276" s="21"/>
      <c r="M276" s="21"/>
      <c r="N276" s="25"/>
      <c r="O276" s="25"/>
      <c r="P276" s="32"/>
      <c r="Q276" s="25"/>
      <c r="R276" s="25"/>
      <c r="S276" s="33"/>
      <c r="T276" s="33"/>
      <c r="U276" s="33"/>
      <c r="V276" s="33"/>
      <c r="W276" s="25"/>
      <c r="X276" s="25"/>
      <c r="Y276" s="25"/>
      <c r="Z276" s="33"/>
      <c r="AA276" s="34" t="str">
        <f aca="true">IF($T276="","",IF($T276&lt;TODAY(),"已过期 "&amp;TEXT(TODAY()-$T276,"0")&amp;" 天",IF($T276-TODAY()&lt;=年检提醒天,"还剩 "&amp;TEXT($T276-TODAY(),"0")&amp;" 天","")))</f>
        <v/>
      </c>
      <c r="AB276" s="34" t="str">
        <f aca="true">IF(COUNT($U276:$V276)=0,"",IF(MIN($U276:$V276)&lt;TODAY(),"已过期 "&amp;TEXT(TODAY()-MIN($U276:$V276),"0")&amp;" 天",IF(MIN($U276:$V276)-TODAY()&lt;=年检提醒天,"还剩 "&amp;TEXT(MIN($U276:$V276)-TODAY(),"0")&amp;" 天","")))</f>
        <v/>
      </c>
      <c r="AC276" s="34" t="str">
        <f aca="true">IF($C276="","",IF(OR($Y276="安装免保",$Y276="技术免保",$Y276="质保期内"),IF($Z276="","▲免保没填到期日",IF($Z276&lt;TODAY(),"▲免保已到期 该转收费了",IF($Z276-TODAY()&lt;=合同提醒天,"免保还剩 "&amp;TEXT($Z276-TODAY(),"0")&amp;" 天","免保中"))),IF($Y276="暂停维保","暂停中 不计费",IF($Y276="已解约","已解约",IF(COUNTIF(合同键,$E276)=0,"▲还没建合同行","")))))</f>
        <v/>
      </c>
      <c r="AD276" s="24"/>
      <c r="AE276" s="35" t="str">
        <f aca="false">IF($C276="","",IF($D276="","★项目名称没填",IF(N($P276)&lt;=0,"★台量要填",IF(AND(OR($Y276="安装免保",$Y276="技术免保",$Y276="质保期内"),$Z276=""),"★免保到期日没填",IF(COUNTIF(合同键,$E276)=0,"★还没建合同行","OK")))))</f>
        <v/>
      </c>
    </row>
    <row r="277" customFormat="false" ht="15" hidden="false" customHeight="false" outlineLevel="0" collapsed="false">
      <c r="A277" s="29" t="str">
        <f aca="false">IF($C277="","",ROW()-4)</f>
        <v/>
      </c>
      <c r="B277" s="25"/>
      <c r="C277" s="24"/>
      <c r="D277" s="24"/>
      <c r="E277" s="30" t="str">
        <f aca="false">IF($C277="","",$C277&amp;" ｜ "&amp;$D277)</f>
        <v/>
      </c>
      <c r="F277" s="25"/>
      <c r="G277" s="25"/>
      <c r="H277" s="25"/>
      <c r="I277" s="25"/>
      <c r="J277" s="25"/>
      <c r="K277" s="21"/>
      <c r="L277" s="21"/>
      <c r="M277" s="21"/>
      <c r="N277" s="25"/>
      <c r="O277" s="25"/>
      <c r="P277" s="32"/>
      <c r="Q277" s="25"/>
      <c r="R277" s="25"/>
      <c r="S277" s="33"/>
      <c r="T277" s="33"/>
      <c r="U277" s="33"/>
      <c r="V277" s="33"/>
      <c r="W277" s="25"/>
      <c r="X277" s="25"/>
      <c r="Y277" s="25"/>
      <c r="Z277" s="33"/>
      <c r="AA277" s="34" t="str">
        <f aca="true">IF($T277="","",IF($T277&lt;TODAY(),"已过期 "&amp;TEXT(TODAY()-$T277,"0")&amp;" 天",IF($T277-TODAY()&lt;=年检提醒天,"还剩 "&amp;TEXT($T277-TODAY(),"0")&amp;" 天","")))</f>
        <v/>
      </c>
      <c r="AB277" s="34" t="str">
        <f aca="true">IF(COUNT($U277:$V277)=0,"",IF(MIN($U277:$V277)&lt;TODAY(),"已过期 "&amp;TEXT(TODAY()-MIN($U277:$V277),"0")&amp;" 天",IF(MIN($U277:$V277)-TODAY()&lt;=年检提醒天,"还剩 "&amp;TEXT(MIN($U277:$V277)-TODAY(),"0")&amp;" 天","")))</f>
        <v/>
      </c>
      <c r="AC277" s="34" t="str">
        <f aca="true">IF($C277="","",IF(OR($Y277="安装免保",$Y277="技术免保",$Y277="质保期内"),IF($Z277="","▲免保没填到期日",IF($Z277&lt;TODAY(),"▲免保已到期 该转收费了",IF($Z277-TODAY()&lt;=合同提醒天,"免保还剩 "&amp;TEXT($Z277-TODAY(),"0")&amp;" 天","免保中"))),IF($Y277="暂停维保","暂停中 不计费",IF($Y277="已解约","已解约",IF(COUNTIF(合同键,$E277)=0,"▲还没建合同行","")))))</f>
        <v/>
      </c>
      <c r="AD277" s="24"/>
      <c r="AE277" s="35" t="str">
        <f aca="false">IF($C277="","",IF($D277="","★项目名称没填",IF(N($P277)&lt;=0,"★台量要填",IF(AND(OR($Y277="安装免保",$Y277="技术免保",$Y277="质保期内"),$Z277=""),"★免保到期日没填",IF(COUNTIF(合同键,$E277)=0,"★还没建合同行","OK")))))</f>
        <v/>
      </c>
    </row>
    <row r="278" customFormat="false" ht="15" hidden="false" customHeight="false" outlineLevel="0" collapsed="false">
      <c r="A278" s="29" t="str">
        <f aca="false">IF($C278="","",ROW()-4)</f>
        <v/>
      </c>
      <c r="B278" s="25"/>
      <c r="C278" s="24"/>
      <c r="D278" s="24"/>
      <c r="E278" s="30" t="str">
        <f aca="false">IF($C278="","",$C278&amp;" ｜ "&amp;$D278)</f>
        <v/>
      </c>
      <c r="F278" s="25"/>
      <c r="G278" s="25"/>
      <c r="H278" s="25"/>
      <c r="I278" s="25"/>
      <c r="J278" s="25"/>
      <c r="K278" s="21"/>
      <c r="L278" s="21"/>
      <c r="M278" s="21"/>
      <c r="N278" s="25"/>
      <c r="O278" s="25"/>
      <c r="P278" s="32"/>
      <c r="Q278" s="25"/>
      <c r="R278" s="25"/>
      <c r="S278" s="33"/>
      <c r="T278" s="33"/>
      <c r="U278" s="33"/>
      <c r="V278" s="33"/>
      <c r="W278" s="25"/>
      <c r="X278" s="25"/>
      <c r="Y278" s="25"/>
      <c r="Z278" s="33"/>
      <c r="AA278" s="34" t="str">
        <f aca="true">IF($T278="","",IF($T278&lt;TODAY(),"已过期 "&amp;TEXT(TODAY()-$T278,"0")&amp;" 天",IF($T278-TODAY()&lt;=年检提醒天,"还剩 "&amp;TEXT($T278-TODAY(),"0")&amp;" 天","")))</f>
        <v/>
      </c>
      <c r="AB278" s="34" t="str">
        <f aca="true">IF(COUNT($U278:$V278)=0,"",IF(MIN($U278:$V278)&lt;TODAY(),"已过期 "&amp;TEXT(TODAY()-MIN($U278:$V278),"0")&amp;" 天",IF(MIN($U278:$V278)-TODAY()&lt;=年检提醒天,"还剩 "&amp;TEXT(MIN($U278:$V278)-TODAY(),"0")&amp;" 天","")))</f>
        <v/>
      </c>
      <c r="AC278" s="34" t="str">
        <f aca="true">IF($C278="","",IF(OR($Y278="安装免保",$Y278="技术免保",$Y278="质保期内"),IF($Z278="","▲免保没填到期日",IF($Z278&lt;TODAY(),"▲免保已到期 该转收费了",IF($Z278-TODAY()&lt;=合同提醒天,"免保还剩 "&amp;TEXT($Z278-TODAY(),"0")&amp;" 天","免保中"))),IF($Y278="暂停维保","暂停中 不计费",IF($Y278="已解约","已解约",IF(COUNTIF(合同键,$E278)=0,"▲还没建合同行","")))))</f>
        <v/>
      </c>
      <c r="AD278" s="24"/>
      <c r="AE278" s="35" t="str">
        <f aca="false">IF($C278="","",IF($D278="","★项目名称没填",IF(N($P278)&lt;=0,"★台量要填",IF(AND(OR($Y278="安装免保",$Y278="技术免保",$Y278="质保期内"),$Z278=""),"★免保到期日没填",IF(COUNTIF(合同键,$E278)=0,"★还没建合同行","OK")))))</f>
        <v/>
      </c>
    </row>
    <row r="279" customFormat="false" ht="15" hidden="false" customHeight="false" outlineLevel="0" collapsed="false">
      <c r="A279" s="29" t="str">
        <f aca="false">IF($C279="","",ROW()-4)</f>
        <v/>
      </c>
      <c r="B279" s="25"/>
      <c r="C279" s="24"/>
      <c r="D279" s="24"/>
      <c r="E279" s="30" t="str">
        <f aca="false">IF($C279="","",$C279&amp;" ｜ "&amp;$D279)</f>
        <v/>
      </c>
      <c r="F279" s="25"/>
      <c r="G279" s="25"/>
      <c r="H279" s="25"/>
      <c r="I279" s="25"/>
      <c r="J279" s="25"/>
      <c r="K279" s="21"/>
      <c r="L279" s="21"/>
      <c r="M279" s="21"/>
      <c r="N279" s="25"/>
      <c r="O279" s="25"/>
      <c r="P279" s="32"/>
      <c r="Q279" s="25"/>
      <c r="R279" s="25"/>
      <c r="S279" s="33"/>
      <c r="T279" s="33"/>
      <c r="U279" s="33"/>
      <c r="V279" s="33"/>
      <c r="W279" s="25"/>
      <c r="X279" s="25"/>
      <c r="Y279" s="25"/>
      <c r="Z279" s="33"/>
      <c r="AA279" s="34" t="str">
        <f aca="true">IF($T279="","",IF($T279&lt;TODAY(),"已过期 "&amp;TEXT(TODAY()-$T279,"0")&amp;" 天",IF($T279-TODAY()&lt;=年检提醒天,"还剩 "&amp;TEXT($T279-TODAY(),"0")&amp;" 天","")))</f>
        <v/>
      </c>
      <c r="AB279" s="34" t="str">
        <f aca="true">IF(COUNT($U279:$V279)=0,"",IF(MIN($U279:$V279)&lt;TODAY(),"已过期 "&amp;TEXT(TODAY()-MIN($U279:$V279),"0")&amp;" 天",IF(MIN($U279:$V279)-TODAY()&lt;=年检提醒天,"还剩 "&amp;TEXT(MIN($U279:$V279)-TODAY(),"0")&amp;" 天","")))</f>
        <v/>
      </c>
      <c r="AC279" s="34" t="str">
        <f aca="true">IF($C279="","",IF(OR($Y279="安装免保",$Y279="技术免保",$Y279="质保期内"),IF($Z279="","▲免保没填到期日",IF($Z279&lt;TODAY(),"▲免保已到期 该转收费了",IF($Z279-TODAY()&lt;=合同提醒天,"免保还剩 "&amp;TEXT($Z279-TODAY(),"0")&amp;" 天","免保中"))),IF($Y279="暂停维保","暂停中 不计费",IF($Y279="已解约","已解约",IF(COUNTIF(合同键,$E279)=0,"▲还没建合同行","")))))</f>
        <v/>
      </c>
      <c r="AD279" s="24"/>
      <c r="AE279" s="35" t="str">
        <f aca="false">IF($C279="","",IF($D279="","★项目名称没填",IF(N($P279)&lt;=0,"★台量要填",IF(AND(OR($Y279="安装免保",$Y279="技术免保",$Y279="质保期内"),$Z279=""),"★免保到期日没填",IF(COUNTIF(合同键,$E279)=0,"★还没建合同行","OK")))))</f>
        <v/>
      </c>
    </row>
    <row r="280" customFormat="false" ht="15" hidden="false" customHeight="false" outlineLevel="0" collapsed="false">
      <c r="A280" s="29" t="str">
        <f aca="false">IF($C280="","",ROW()-4)</f>
        <v/>
      </c>
      <c r="B280" s="25"/>
      <c r="C280" s="24"/>
      <c r="D280" s="24"/>
      <c r="E280" s="30" t="str">
        <f aca="false">IF($C280="","",$C280&amp;" ｜ "&amp;$D280)</f>
        <v/>
      </c>
      <c r="F280" s="25"/>
      <c r="G280" s="25"/>
      <c r="H280" s="25"/>
      <c r="I280" s="25"/>
      <c r="J280" s="25"/>
      <c r="K280" s="21"/>
      <c r="L280" s="21"/>
      <c r="M280" s="21"/>
      <c r="N280" s="25"/>
      <c r="O280" s="25"/>
      <c r="P280" s="32"/>
      <c r="Q280" s="25"/>
      <c r="R280" s="25"/>
      <c r="S280" s="33"/>
      <c r="T280" s="33"/>
      <c r="U280" s="33"/>
      <c r="V280" s="33"/>
      <c r="W280" s="25"/>
      <c r="X280" s="25"/>
      <c r="Y280" s="25"/>
      <c r="Z280" s="33"/>
      <c r="AA280" s="34" t="str">
        <f aca="true">IF($T280="","",IF($T280&lt;TODAY(),"已过期 "&amp;TEXT(TODAY()-$T280,"0")&amp;" 天",IF($T280-TODAY()&lt;=年检提醒天,"还剩 "&amp;TEXT($T280-TODAY(),"0")&amp;" 天","")))</f>
        <v/>
      </c>
      <c r="AB280" s="34" t="str">
        <f aca="true">IF(COUNT($U280:$V280)=0,"",IF(MIN($U280:$V280)&lt;TODAY(),"已过期 "&amp;TEXT(TODAY()-MIN($U280:$V280),"0")&amp;" 天",IF(MIN($U280:$V280)-TODAY()&lt;=年检提醒天,"还剩 "&amp;TEXT(MIN($U280:$V280)-TODAY(),"0")&amp;" 天","")))</f>
        <v/>
      </c>
      <c r="AC280" s="34" t="str">
        <f aca="true">IF($C280="","",IF(OR($Y280="安装免保",$Y280="技术免保",$Y280="质保期内"),IF($Z280="","▲免保没填到期日",IF($Z280&lt;TODAY(),"▲免保已到期 该转收费了",IF($Z280-TODAY()&lt;=合同提醒天,"免保还剩 "&amp;TEXT($Z280-TODAY(),"0")&amp;" 天","免保中"))),IF($Y280="暂停维保","暂停中 不计费",IF($Y280="已解约","已解约",IF(COUNTIF(合同键,$E280)=0,"▲还没建合同行","")))))</f>
        <v/>
      </c>
      <c r="AD280" s="24"/>
      <c r="AE280" s="35" t="str">
        <f aca="false">IF($C280="","",IF($D280="","★项目名称没填",IF(N($P280)&lt;=0,"★台量要填",IF(AND(OR($Y280="安装免保",$Y280="技术免保",$Y280="质保期内"),$Z280=""),"★免保到期日没填",IF(COUNTIF(合同键,$E280)=0,"★还没建合同行","OK")))))</f>
        <v/>
      </c>
    </row>
    <row r="281" customFormat="false" ht="15" hidden="false" customHeight="false" outlineLevel="0" collapsed="false">
      <c r="A281" s="29" t="str">
        <f aca="false">IF($C281="","",ROW()-4)</f>
        <v/>
      </c>
      <c r="B281" s="25"/>
      <c r="C281" s="24"/>
      <c r="D281" s="24"/>
      <c r="E281" s="30" t="str">
        <f aca="false">IF($C281="","",$C281&amp;" ｜ "&amp;$D281)</f>
        <v/>
      </c>
      <c r="F281" s="25"/>
      <c r="G281" s="25"/>
      <c r="H281" s="25"/>
      <c r="I281" s="25"/>
      <c r="J281" s="25"/>
      <c r="K281" s="21"/>
      <c r="L281" s="21"/>
      <c r="M281" s="21"/>
      <c r="N281" s="25"/>
      <c r="O281" s="25"/>
      <c r="P281" s="32"/>
      <c r="Q281" s="25"/>
      <c r="R281" s="25"/>
      <c r="S281" s="33"/>
      <c r="T281" s="33"/>
      <c r="U281" s="33"/>
      <c r="V281" s="33"/>
      <c r="W281" s="25"/>
      <c r="X281" s="25"/>
      <c r="Y281" s="25"/>
      <c r="Z281" s="33"/>
      <c r="AA281" s="34" t="str">
        <f aca="true">IF($T281="","",IF($T281&lt;TODAY(),"已过期 "&amp;TEXT(TODAY()-$T281,"0")&amp;" 天",IF($T281-TODAY()&lt;=年检提醒天,"还剩 "&amp;TEXT($T281-TODAY(),"0")&amp;" 天","")))</f>
        <v/>
      </c>
      <c r="AB281" s="34" t="str">
        <f aca="true">IF(COUNT($U281:$V281)=0,"",IF(MIN($U281:$V281)&lt;TODAY(),"已过期 "&amp;TEXT(TODAY()-MIN($U281:$V281),"0")&amp;" 天",IF(MIN($U281:$V281)-TODAY()&lt;=年检提醒天,"还剩 "&amp;TEXT(MIN($U281:$V281)-TODAY(),"0")&amp;" 天","")))</f>
        <v/>
      </c>
      <c r="AC281" s="34" t="str">
        <f aca="true">IF($C281="","",IF(OR($Y281="安装免保",$Y281="技术免保",$Y281="质保期内"),IF($Z281="","▲免保没填到期日",IF($Z281&lt;TODAY(),"▲免保已到期 该转收费了",IF($Z281-TODAY()&lt;=合同提醒天,"免保还剩 "&amp;TEXT($Z281-TODAY(),"0")&amp;" 天","免保中"))),IF($Y281="暂停维保","暂停中 不计费",IF($Y281="已解约","已解约",IF(COUNTIF(合同键,$E281)=0,"▲还没建合同行","")))))</f>
        <v/>
      </c>
      <c r="AD281" s="24"/>
      <c r="AE281" s="35" t="str">
        <f aca="false">IF($C281="","",IF($D281="","★项目名称没填",IF(N($P281)&lt;=0,"★台量要填",IF(AND(OR($Y281="安装免保",$Y281="技术免保",$Y281="质保期内"),$Z281=""),"★免保到期日没填",IF(COUNTIF(合同键,$E281)=0,"★还没建合同行","OK")))))</f>
        <v/>
      </c>
    </row>
    <row r="282" customFormat="false" ht="15" hidden="false" customHeight="false" outlineLevel="0" collapsed="false">
      <c r="A282" s="29" t="str">
        <f aca="false">IF($C282="","",ROW()-4)</f>
        <v/>
      </c>
      <c r="B282" s="25"/>
      <c r="C282" s="24"/>
      <c r="D282" s="24"/>
      <c r="E282" s="30" t="str">
        <f aca="false">IF($C282="","",$C282&amp;" ｜ "&amp;$D282)</f>
        <v/>
      </c>
      <c r="F282" s="25"/>
      <c r="G282" s="25"/>
      <c r="H282" s="25"/>
      <c r="I282" s="25"/>
      <c r="J282" s="25"/>
      <c r="K282" s="21"/>
      <c r="L282" s="21"/>
      <c r="M282" s="21"/>
      <c r="N282" s="25"/>
      <c r="O282" s="25"/>
      <c r="P282" s="32"/>
      <c r="Q282" s="25"/>
      <c r="R282" s="25"/>
      <c r="S282" s="33"/>
      <c r="T282" s="33"/>
      <c r="U282" s="33"/>
      <c r="V282" s="33"/>
      <c r="W282" s="25"/>
      <c r="X282" s="25"/>
      <c r="Y282" s="25"/>
      <c r="Z282" s="33"/>
      <c r="AA282" s="34" t="str">
        <f aca="true">IF($T282="","",IF($T282&lt;TODAY(),"已过期 "&amp;TEXT(TODAY()-$T282,"0")&amp;" 天",IF($T282-TODAY()&lt;=年检提醒天,"还剩 "&amp;TEXT($T282-TODAY(),"0")&amp;" 天","")))</f>
        <v/>
      </c>
      <c r="AB282" s="34" t="str">
        <f aca="true">IF(COUNT($U282:$V282)=0,"",IF(MIN($U282:$V282)&lt;TODAY(),"已过期 "&amp;TEXT(TODAY()-MIN($U282:$V282),"0")&amp;" 天",IF(MIN($U282:$V282)-TODAY()&lt;=年检提醒天,"还剩 "&amp;TEXT(MIN($U282:$V282)-TODAY(),"0")&amp;" 天","")))</f>
        <v/>
      </c>
      <c r="AC282" s="34" t="str">
        <f aca="true">IF($C282="","",IF(OR($Y282="安装免保",$Y282="技术免保",$Y282="质保期内"),IF($Z282="","▲免保没填到期日",IF($Z282&lt;TODAY(),"▲免保已到期 该转收费了",IF($Z282-TODAY()&lt;=合同提醒天,"免保还剩 "&amp;TEXT($Z282-TODAY(),"0")&amp;" 天","免保中"))),IF($Y282="暂停维保","暂停中 不计费",IF($Y282="已解约","已解约",IF(COUNTIF(合同键,$E282)=0,"▲还没建合同行","")))))</f>
        <v/>
      </c>
      <c r="AD282" s="24"/>
      <c r="AE282" s="35" t="str">
        <f aca="false">IF($C282="","",IF($D282="","★项目名称没填",IF(N($P282)&lt;=0,"★台量要填",IF(AND(OR($Y282="安装免保",$Y282="技术免保",$Y282="质保期内"),$Z282=""),"★免保到期日没填",IF(COUNTIF(合同键,$E282)=0,"★还没建合同行","OK")))))</f>
        <v/>
      </c>
    </row>
    <row r="283" customFormat="false" ht="15" hidden="false" customHeight="false" outlineLevel="0" collapsed="false">
      <c r="A283" s="29" t="str">
        <f aca="false">IF($C283="","",ROW()-4)</f>
        <v/>
      </c>
      <c r="B283" s="25"/>
      <c r="C283" s="24"/>
      <c r="D283" s="24"/>
      <c r="E283" s="30" t="str">
        <f aca="false">IF($C283="","",$C283&amp;" ｜ "&amp;$D283)</f>
        <v/>
      </c>
      <c r="F283" s="25"/>
      <c r="G283" s="25"/>
      <c r="H283" s="25"/>
      <c r="I283" s="25"/>
      <c r="J283" s="25"/>
      <c r="K283" s="21"/>
      <c r="L283" s="21"/>
      <c r="M283" s="21"/>
      <c r="N283" s="25"/>
      <c r="O283" s="25"/>
      <c r="P283" s="32"/>
      <c r="Q283" s="25"/>
      <c r="R283" s="25"/>
      <c r="S283" s="33"/>
      <c r="T283" s="33"/>
      <c r="U283" s="33"/>
      <c r="V283" s="33"/>
      <c r="W283" s="25"/>
      <c r="X283" s="25"/>
      <c r="Y283" s="25"/>
      <c r="Z283" s="33"/>
      <c r="AA283" s="34" t="str">
        <f aca="true">IF($T283="","",IF($T283&lt;TODAY(),"已过期 "&amp;TEXT(TODAY()-$T283,"0")&amp;" 天",IF($T283-TODAY()&lt;=年检提醒天,"还剩 "&amp;TEXT($T283-TODAY(),"0")&amp;" 天","")))</f>
        <v/>
      </c>
      <c r="AB283" s="34" t="str">
        <f aca="true">IF(COUNT($U283:$V283)=0,"",IF(MIN($U283:$V283)&lt;TODAY(),"已过期 "&amp;TEXT(TODAY()-MIN($U283:$V283),"0")&amp;" 天",IF(MIN($U283:$V283)-TODAY()&lt;=年检提醒天,"还剩 "&amp;TEXT(MIN($U283:$V283)-TODAY(),"0")&amp;" 天","")))</f>
        <v/>
      </c>
      <c r="AC283" s="34" t="str">
        <f aca="true">IF($C283="","",IF(OR($Y283="安装免保",$Y283="技术免保",$Y283="质保期内"),IF($Z283="","▲免保没填到期日",IF($Z283&lt;TODAY(),"▲免保已到期 该转收费了",IF($Z283-TODAY()&lt;=合同提醒天,"免保还剩 "&amp;TEXT($Z283-TODAY(),"0")&amp;" 天","免保中"))),IF($Y283="暂停维保","暂停中 不计费",IF($Y283="已解约","已解约",IF(COUNTIF(合同键,$E283)=0,"▲还没建合同行","")))))</f>
        <v/>
      </c>
      <c r="AD283" s="24"/>
      <c r="AE283" s="35" t="str">
        <f aca="false">IF($C283="","",IF($D283="","★项目名称没填",IF(N($P283)&lt;=0,"★台量要填",IF(AND(OR($Y283="安装免保",$Y283="技术免保",$Y283="质保期内"),$Z283=""),"★免保到期日没填",IF(COUNTIF(合同键,$E283)=0,"★还没建合同行","OK")))))</f>
        <v/>
      </c>
    </row>
    <row r="284" customFormat="false" ht="15" hidden="false" customHeight="false" outlineLevel="0" collapsed="false">
      <c r="A284" s="29" t="str">
        <f aca="false">IF($C284="","",ROW()-4)</f>
        <v/>
      </c>
      <c r="B284" s="25"/>
      <c r="C284" s="24"/>
      <c r="D284" s="24"/>
      <c r="E284" s="30" t="str">
        <f aca="false">IF($C284="","",$C284&amp;" ｜ "&amp;$D284)</f>
        <v/>
      </c>
      <c r="F284" s="25"/>
      <c r="G284" s="25"/>
      <c r="H284" s="25"/>
      <c r="I284" s="25"/>
      <c r="J284" s="25"/>
      <c r="K284" s="21"/>
      <c r="L284" s="21"/>
      <c r="M284" s="21"/>
      <c r="N284" s="25"/>
      <c r="O284" s="25"/>
      <c r="P284" s="32"/>
      <c r="Q284" s="25"/>
      <c r="R284" s="25"/>
      <c r="S284" s="33"/>
      <c r="T284" s="33"/>
      <c r="U284" s="33"/>
      <c r="V284" s="33"/>
      <c r="W284" s="25"/>
      <c r="X284" s="25"/>
      <c r="Y284" s="25"/>
      <c r="Z284" s="33"/>
      <c r="AA284" s="34" t="str">
        <f aca="true">IF($T284="","",IF($T284&lt;TODAY(),"已过期 "&amp;TEXT(TODAY()-$T284,"0")&amp;" 天",IF($T284-TODAY()&lt;=年检提醒天,"还剩 "&amp;TEXT($T284-TODAY(),"0")&amp;" 天","")))</f>
        <v/>
      </c>
      <c r="AB284" s="34" t="str">
        <f aca="true">IF(COUNT($U284:$V284)=0,"",IF(MIN($U284:$V284)&lt;TODAY(),"已过期 "&amp;TEXT(TODAY()-MIN($U284:$V284),"0")&amp;" 天",IF(MIN($U284:$V284)-TODAY()&lt;=年检提醒天,"还剩 "&amp;TEXT(MIN($U284:$V284)-TODAY(),"0")&amp;" 天","")))</f>
        <v/>
      </c>
      <c r="AC284" s="34" t="str">
        <f aca="true">IF($C284="","",IF(OR($Y284="安装免保",$Y284="技术免保",$Y284="质保期内"),IF($Z284="","▲免保没填到期日",IF($Z284&lt;TODAY(),"▲免保已到期 该转收费了",IF($Z284-TODAY()&lt;=合同提醒天,"免保还剩 "&amp;TEXT($Z284-TODAY(),"0")&amp;" 天","免保中"))),IF($Y284="暂停维保","暂停中 不计费",IF($Y284="已解约","已解约",IF(COUNTIF(合同键,$E284)=0,"▲还没建合同行","")))))</f>
        <v/>
      </c>
      <c r="AD284" s="24"/>
      <c r="AE284" s="35" t="str">
        <f aca="false">IF($C284="","",IF($D284="","★项目名称没填",IF(N($P284)&lt;=0,"★台量要填",IF(AND(OR($Y284="安装免保",$Y284="技术免保",$Y284="质保期内"),$Z284=""),"★免保到期日没填",IF(COUNTIF(合同键,$E284)=0,"★还没建合同行","OK")))))</f>
        <v/>
      </c>
    </row>
    <row r="285" customFormat="false" ht="15" hidden="false" customHeight="false" outlineLevel="0" collapsed="false">
      <c r="A285" s="29" t="str">
        <f aca="false">IF($C285="","",ROW()-4)</f>
        <v/>
      </c>
      <c r="B285" s="25"/>
      <c r="C285" s="24"/>
      <c r="D285" s="24"/>
      <c r="E285" s="30" t="str">
        <f aca="false">IF($C285="","",$C285&amp;" ｜ "&amp;$D285)</f>
        <v/>
      </c>
      <c r="F285" s="25"/>
      <c r="G285" s="25"/>
      <c r="H285" s="25"/>
      <c r="I285" s="25"/>
      <c r="J285" s="25"/>
      <c r="K285" s="21"/>
      <c r="L285" s="21"/>
      <c r="M285" s="21"/>
      <c r="N285" s="25"/>
      <c r="O285" s="25"/>
      <c r="P285" s="32"/>
      <c r="Q285" s="25"/>
      <c r="R285" s="25"/>
      <c r="S285" s="33"/>
      <c r="T285" s="33"/>
      <c r="U285" s="33"/>
      <c r="V285" s="33"/>
      <c r="W285" s="25"/>
      <c r="X285" s="25"/>
      <c r="Y285" s="25"/>
      <c r="Z285" s="33"/>
      <c r="AA285" s="34" t="str">
        <f aca="true">IF($T285="","",IF($T285&lt;TODAY(),"已过期 "&amp;TEXT(TODAY()-$T285,"0")&amp;" 天",IF($T285-TODAY()&lt;=年检提醒天,"还剩 "&amp;TEXT($T285-TODAY(),"0")&amp;" 天","")))</f>
        <v/>
      </c>
      <c r="AB285" s="34" t="str">
        <f aca="true">IF(COUNT($U285:$V285)=0,"",IF(MIN($U285:$V285)&lt;TODAY(),"已过期 "&amp;TEXT(TODAY()-MIN($U285:$V285),"0")&amp;" 天",IF(MIN($U285:$V285)-TODAY()&lt;=年检提醒天,"还剩 "&amp;TEXT(MIN($U285:$V285)-TODAY(),"0")&amp;" 天","")))</f>
        <v/>
      </c>
      <c r="AC285" s="34" t="str">
        <f aca="true">IF($C285="","",IF(OR($Y285="安装免保",$Y285="技术免保",$Y285="质保期内"),IF($Z285="","▲免保没填到期日",IF($Z285&lt;TODAY(),"▲免保已到期 该转收费了",IF($Z285-TODAY()&lt;=合同提醒天,"免保还剩 "&amp;TEXT($Z285-TODAY(),"0")&amp;" 天","免保中"))),IF($Y285="暂停维保","暂停中 不计费",IF($Y285="已解约","已解约",IF(COUNTIF(合同键,$E285)=0,"▲还没建合同行","")))))</f>
        <v/>
      </c>
      <c r="AD285" s="24"/>
      <c r="AE285" s="35" t="str">
        <f aca="false">IF($C285="","",IF($D285="","★项目名称没填",IF(N($P285)&lt;=0,"★台量要填",IF(AND(OR($Y285="安装免保",$Y285="技术免保",$Y285="质保期内"),$Z285=""),"★免保到期日没填",IF(COUNTIF(合同键,$E285)=0,"★还没建合同行","OK")))))</f>
        <v/>
      </c>
    </row>
    <row r="286" customFormat="false" ht="15" hidden="false" customHeight="false" outlineLevel="0" collapsed="false">
      <c r="A286" s="29" t="str">
        <f aca="false">IF($C286="","",ROW()-4)</f>
        <v/>
      </c>
      <c r="B286" s="25"/>
      <c r="C286" s="24"/>
      <c r="D286" s="24"/>
      <c r="E286" s="30" t="str">
        <f aca="false">IF($C286="","",$C286&amp;" ｜ "&amp;$D286)</f>
        <v/>
      </c>
      <c r="F286" s="25"/>
      <c r="G286" s="25"/>
      <c r="H286" s="25"/>
      <c r="I286" s="25"/>
      <c r="J286" s="25"/>
      <c r="K286" s="21"/>
      <c r="L286" s="21"/>
      <c r="M286" s="21"/>
      <c r="N286" s="25"/>
      <c r="O286" s="25"/>
      <c r="P286" s="32"/>
      <c r="Q286" s="25"/>
      <c r="R286" s="25"/>
      <c r="S286" s="33"/>
      <c r="T286" s="33"/>
      <c r="U286" s="33"/>
      <c r="V286" s="33"/>
      <c r="W286" s="25"/>
      <c r="X286" s="25"/>
      <c r="Y286" s="25"/>
      <c r="Z286" s="33"/>
      <c r="AA286" s="34" t="str">
        <f aca="true">IF($T286="","",IF($T286&lt;TODAY(),"已过期 "&amp;TEXT(TODAY()-$T286,"0")&amp;" 天",IF($T286-TODAY()&lt;=年检提醒天,"还剩 "&amp;TEXT($T286-TODAY(),"0")&amp;" 天","")))</f>
        <v/>
      </c>
      <c r="AB286" s="34" t="str">
        <f aca="true">IF(COUNT($U286:$V286)=0,"",IF(MIN($U286:$V286)&lt;TODAY(),"已过期 "&amp;TEXT(TODAY()-MIN($U286:$V286),"0")&amp;" 天",IF(MIN($U286:$V286)-TODAY()&lt;=年检提醒天,"还剩 "&amp;TEXT(MIN($U286:$V286)-TODAY(),"0")&amp;" 天","")))</f>
        <v/>
      </c>
      <c r="AC286" s="34" t="str">
        <f aca="true">IF($C286="","",IF(OR($Y286="安装免保",$Y286="技术免保",$Y286="质保期内"),IF($Z286="","▲免保没填到期日",IF($Z286&lt;TODAY(),"▲免保已到期 该转收费了",IF($Z286-TODAY()&lt;=合同提醒天,"免保还剩 "&amp;TEXT($Z286-TODAY(),"0")&amp;" 天","免保中"))),IF($Y286="暂停维保","暂停中 不计费",IF($Y286="已解约","已解约",IF(COUNTIF(合同键,$E286)=0,"▲还没建合同行","")))))</f>
        <v/>
      </c>
      <c r="AD286" s="24"/>
      <c r="AE286" s="35" t="str">
        <f aca="false">IF($C286="","",IF($D286="","★项目名称没填",IF(N($P286)&lt;=0,"★台量要填",IF(AND(OR($Y286="安装免保",$Y286="技术免保",$Y286="质保期内"),$Z286=""),"★免保到期日没填",IF(COUNTIF(合同键,$E286)=0,"★还没建合同行","OK")))))</f>
        <v/>
      </c>
    </row>
    <row r="287" customFormat="false" ht="15" hidden="false" customHeight="false" outlineLevel="0" collapsed="false">
      <c r="A287" s="29" t="str">
        <f aca="false">IF($C287="","",ROW()-4)</f>
        <v/>
      </c>
      <c r="B287" s="25"/>
      <c r="C287" s="24"/>
      <c r="D287" s="24"/>
      <c r="E287" s="30" t="str">
        <f aca="false">IF($C287="","",$C287&amp;" ｜ "&amp;$D287)</f>
        <v/>
      </c>
      <c r="F287" s="25"/>
      <c r="G287" s="25"/>
      <c r="H287" s="25"/>
      <c r="I287" s="25"/>
      <c r="J287" s="25"/>
      <c r="K287" s="21"/>
      <c r="L287" s="21"/>
      <c r="M287" s="21"/>
      <c r="N287" s="25"/>
      <c r="O287" s="25"/>
      <c r="P287" s="32"/>
      <c r="Q287" s="25"/>
      <c r="R287" s="25"/>
      <c r="S287" s="33"/>
      <c r="T287" s="33"/>
      <c r="U287" s="33"/>
      <c r="V287" s="33"/>
      <c r="W287" s="25"/>
      <c r="X287" s="25"/>
      <c r="Y287" s="25"/>
      <c r="Z287" s="33"/>
      <c r="AA287" s="34" t="str">
        <f aca="true">IF($T287="","",IF($T287&lt;TODAY(),"已过期 "&amp;TEXT(TODAY()-$T287,"0")&amp;" 天",IF($T287-TODAY()&lt;=年检提醒天,"还剩 "&amp;TEXT($T287-TODAY(),"0")&amp;" 天","")))</f>
        <v/>
      </c>
      <c r="AB287" s="34" t="str">
        <f aca="true">IF(COUNT($U287:$V287)=0,"",IF(MIN($U287:$V287)&lt;TODAY(),"已过期 "&amp;TEXT(TODAY()-MIN($U287:$V287),"0")&amp;" 天",IF(MIN($U287:$V287)-TODAY()&lt;=年检提醒天,"还剩 "&amp;TEXT(MIN($U287:$V287)-TODAY(),"0")&amp;" 天","")))</f>
        <v/>
      </c>
      <c r="AC287" s="34" t="str">
        <f aca="true">IF($C287="","",IF(OR($Y287="安装免保",$Y287="技术免保",$Y287="质保期内"),IF($Z287="","▲免保没填到期日",IF($Z287&lt;TODAY(),"▲免保已到期 该转收费了",IF($Z287-TODAY()&lt;=合同提醒天,"免保还剩 "&amp;TEXT($Z287-TODAY(),"0")&amp;" 天","免保中"))),IF($Y287="暂停维保","暂停中 不计费",IF($Y287="已解约","已解约",IF(COUNTIF(合同键,$E287)=0,"▲还没建合同行","")))))</f>
        <v/>
      </c>
      <c r="AD287" s="24"/>
      <c r="AE287" s="35" t="str">
        <f aca="false">IF($C287="","",IF($D287="","★项目名称没填",IF(N($P287)&lt;=0,"★台量要填",IF(AND(OR($Y287="安装免保",$Y287="技术免保",$Y287="质保期内"),$Z287=""),"★免保到期日没填",IF(COUNTIF(合同键,$E287)=0,"★还没建合同行","OK")))))</f>
        <v/>
      </c>
    </row>
    <row r="288" customFormat="false" ht="15" hidden="false" customHeight="false" outlineLevel="0" collapsed="false">
      <c r="A288" s="29" t="str">
        <f aca="false">IF($C288="","",ROW()-4)</f>
        <v/>
      </c>
      <c r="B288" s="25"/>
      <c r="C288" s="24"/>
      <c r="D288" s="24"/>
      <c r="E288" s="30" t="str">
        <f aca="false">IF($C288="","",$C288&amp;" ｜ "&amp;$D288)</f>
        <v/>
      </c>
      <c r="F288" s="25"/>
      <c r="G288" s="25"/>
      <c r="H288" s="25"/>
      <c r="I288" s="25"/>
      <c r="J288" s="25"/>
      <c r="K288" s="21"/>
      <c r="L288" s="21"/>
      <c r="M288" s="21"/>
      <c r="N288" s="25"/>
      <c r="O288" s="25"/>
      <c r="P288" s="32"/>
      <c r="Q288" s="25"/>
      <c r="R288" s="25"/>
      <c r="S288" s="33"/>
      <c r="T288" s="33"/>
      <c r="U288" s="33"/>
      <c r="V288" s="33"/>
      <c r="W288" s="25"/>
      <c r="X288" s="25"/>
      <c r="Y288" s="25"/>
      <c r="Z288" s="33"/>
      <c r="AA288" s="34" t="str">
        <f aca="true">IF($T288="","",IF($T288&lt;TODAY(),"已过期 "&amp;TEXT(TODAY()-$T288,"0")&amp;" 天",IF($T288-TODAY()&lt;=年检提醒天,"还剩 "&amp;TEXT($T288-TODAY(),"0")&amp;" 天","")))</f>
        <v/>
      </c>
      <c r="AB288" s="34" t="str">
        <f aca="true">IF(COUNT($U288:$V288)=0,"",IF(MIN($U288:$V288)&lt;TODAY(),"已过期 "&amp;TEXT(TODAY()-MIN($U288:$V288),"0")&amp;" 天",IF(MIN($U288:$V288)-TODAY()&lt;=年检提醒天,"还剩 "&amp;TEXT(MIN($U288:$V288)-TODAY(),"0")&amp;" 天","")))</f>
        <v/>
      </c>
      <c r="AC288" s="34" t="str">
        <f aca="true">IF($C288="","",IF(OR($Y288="安装免保",$Y288="技术免保",$Y288="质保期内"),IF($Z288="","▲免保没填到期日",IF($Z288&lt;TODAY(),"▲免保已到期 该转收费了",IF($Z288-TODAY()&lt;=合同提醒天,"免保还剩 "&amp;TEXT($Z288-TODAY(),"0")&amp;" 天","免保中"))),IF($Y288="暂停维保","暂停中 不计费",IF($Y288="已解约","已解约",IF(COUNTIF(合同键,$E288)=0,"▲还没建合同行","")))))</f>
        <v/>
      </c>
      <c r="AD288" s="24"/>
      <c r="AE288" s="35" t="str">
        <f aca="false">IF($C288="","",IF($D288="","★项目名称没填",IF(N($P288)&lt;=0,"★台量要填",IF(AND(OR($Y288="安装免保",$Y288="技术免保",$Y288="质保期内"),$Z288=""),"★免保到期日没填",IF(COUNTIF(合同键,$E288)=0,"★还没建合同行","OK")))))</f>
        <v/>
      </c>
    </row>
    <row r="289" customFormat="false" ht="15" hidden="false" customHeight="false" outlineLevel="0" collapsed="false">
      <c r="A289" s="29" t="str">
        <f aca="false">IF($C289="","",ROW()-4)</f>
        <v/>
      </c>
      <c r="B289" s="25"/>
      <c r="C289" s="24"/>
      <c r="D289" s="24"/>
      <c r="E289" s="30" t="str">
        <f aca="false">IF($C289="","",$C289&amp;" ｜ "&amp;$D289)</f>
        <v/>
      </c>
      <c r="F289" s="25"/>
      <c r="G289" s="25"/>
      <c r="H289" s="25"/>
      <c r="I289" s="25"/>
      <c r="J289" s="25"/>
      <c r="K289" s="21"/>
      <c r="L289" s="21"/>
      <c r="M289" s="21"/>
      <c r="N289" s="25"/>
      <c r="O289" s="25"/>
      <c r="P289" s="32"/>
      <c r="Q289" s="25"/>
      <c r="R289" s="25"/>
      <c r="S289" s="33"/>
      <c r="T289" s="33"/>
      <c r="U289" s="33"/>
      <c r="V289" s="33"/>
      <c r="W289" s="25"/>
      <c r="X289" s="25"/>
      <c r="Y289" s="25"/>
      <c r="Z289" s="33"/>
      <c r="AA289" s="34" t="str">
        <f aca="true">IF($T289="","",IF($T289&lt;TODAY(),"已过期 "&amp;TEXT(TODAY()-$T289,"0")&amp;" 天",IF($T289-TODAY()&lt;=年检提醒天,"还剩 "&amp;TEXT($T289-TODAY(),"0")&amp;" 天","")))</f>
        <v/>
      </c>
      <c r="AB289" s="34" t="str">
        <f aca="true">IF(COUNT($U289:$V289)=0,"",IF(MIN($U289:$V289)&lt;TODAY(),"已过期 "&amp;TEXT(TODAY()-MIN($U289:$V289),"0")&amp;" 天",IF(MIN($U289:$V289)-TODAY()&lt;=年检提醒天,"还剩 "&amp;TEXT(MIN($U289:$V289)-TODAY(),"0")&amp;" 天","")))</f>
        <v/>
      </c>
      <c r="AC289" s="34" t="str">
        <f aca="true">IF($C289="","",IF(OR($Y289="安装免保",$Y289="技术免保",$Y289="质保期内"),IF($Z289="","▲免保没填到期日",IF($Z289&lt;TODAY(),"▲免保已到期 该转收费了",IF($Z289-TODAY()&lt;=合同提醒天,"免保还剩 "&amp;TEXT($Z289-TODAY(),"0")&amp;" 天","免保中"))),IF($Y289="暂停维保","暂停中 不计费",IF($Y289="已解约","已解约",IF(COUNTIF(合同键,$E289)=0,"▲还没建合同行","")))))</f>
        <v/>
      </c>
      <c r="AD289" s="24"/>
      <c r="AE289" s="35" t="str">
        <f aca="false">IF($C289="","",IF($D289="","★项目名称没填",IF(N($P289)&lt;=0,"★台量要填",IF(AND(OR($Y289="安装免保",$Y289="技术免保",$Y289="质保期内"),$Z289=""),"★免保到期日没填",IF(COUNTIF(合同键,$E289)=0,"★还没建合同行","OK")))))</f>
        <v/>
      </c>
    </row>
    <row r="290" customFormat="false" ht="15" hidden="false" customHeight="false" outlineLevel="0" collapsed="false">
      <c r="A290" s="29" t="str">
        <f aca="false">IF($C290="","",ROW()-4)</f>
        <v/>
      </c>
      <c r="B290" s="25"/>
      <c r="C290" s="24"/>
      <c r="D290" s="24"/>
      <c r="E290" s="30" t="str">
        <f aca="false">IF($C290="","",$C290&amp;" ｜ "&amp;$D290)</f>
        <v/>
      </c>
      <c r="F290" s="25"/>
      <c r="G290" s="25"/>
      <c r="H290" s="25"/>
      <c r="I290" s="25"/>
      <c r="J290" s="25"/>
      <c r="K290" s="21"/>
      <c r="L290" s="21"/>
      <c r="M290" s="21"/>
      <c r="N290" s="25"/>
      <c r="O290" s="25"/>
      <c r="P290" s="32"/>
      <c r="Q290" s="25"/>
      <c r="R290" s="25"/>
      <c r="S290" s="33"/>
      <c r="T290" s="33"/>
      <c r="U290" s="33"/>
      <c r="V290" s="33"/>
      <c r="W290" s="25"/>
      <c r="X290" s="25"/>
      <c r="Y290" s="25"/>
      <c r="Z290" s="33"/>
      <c r="AA290" s="34" t="str">
        <f aca="true">IF($T290="","",IF($T290&lt;TODAY(),"已过期 "&amp;TEXT(TODAY()-$T290,"0")&amp;" 天",IF($T290-TODAY()&lt;=年检提醒天,"还剩 "&amp;TEXT($T290-TODAY(),"0")&amp;" 天","")))</f>
        <v/>
      </c>
      <c r="AB290" s="34" t="str">
        <f aca="true">IF(COUNT($U290:$V290)=0,"",IF(MIN($U290:$V290)&lt;TODAY(),"已过期 "&amp;TEXT(TODAY()-MIN($U290:$V290),"0")&amp;" 天",IF(MIN($U290:$V290)-TODAY()&lt;=年检提醒天,"还剩 "&amp;TEXT(MIN($U290:$V290)-TODAY(),"0")&amp;" 天","")))</f>
        <v/>
      </c>
      <c r="AC290" s="34" t="str">
        <f aca="true">IF($C290="","",IF(OR($Y290="安装免保",$Y290="技术免保",$Y290="质保期内"),IF($Z290="","▲免保没填到期日",IF($Z290&lt;TODAY(),"▲免保已到期 该转收费了",IF($Z290-TODAY()&lt;=合同提醒天,"免保还剩 "&amp;TEXT($Z290-TODAY(),"0")&amp;" 天","免保中"))),IF($Y290="暂停维保","暂停中 不计费",IF($Y290="已解约","已解约",IF(COUNTIF(合同键,$E290)=0,"▲还没建合同行","")))))</f>
        <v/>
      </c>
      <c r="AD290" s="24"/>
      <c r="AE290" s="35" t="str">
        <f aca="false">IF($C290="","",IF($D290="","★项目名称没填",IF(N($P290)&lt;=0,"★台量要填",IF(AND(OR($Y290="安装免保",$Y290="技术免保",$Y290="质保期内"),$Z290=""),"★免保到期日没填",IF(COUNTIF(合同键,$E290)=0,"★还没建合同行","OK")))))</f>
        <v/>
      </c>
    </row>
    <row r="291" customFormat="false" ht="15" hidden="false" customHeight="false" outlineLevel="0" collapsed="false">
      <c r="A291" s="29" t="str">
        <f aca="false">IF($C291="","",ROW()-4)</f>
        <v/>
      </c>
      <c r="B291" s="25"/>
      <c r="C291" s="24"/>
      <c r="D291" s="24"/>
      <c r="E291" s="30" t="str">
        <f aca="false">IF($C291="","",$C291&amp;" ｜ "&amp;$D291)</f>
        <v/>
      </c>
      <c r="F291" s="25"/>
      <c r="G291" s="25"/>
      <c r="H291" s="25"/>
      <c r="I291" s="25"/>
      <c r="J291" s="25"/>
      <c r="K291" s="21"/>
      <c r="L291" s="21"/>
      <c r="M291" s="21"/>
      <c r="N291" s="25"/>
      <c r="O291" s="25"/>
      <c r="P291" s="32"/>
      <c r="Q291" s="25"/>
      <c r="R291" s="25"/>
      <c r="S291" s="33"/>
      <c r="T291" s="33"/>
      <c r="U291" s="33"/>
      <c r="V291" s="33"/>
      <c r="W291" s="25"/>
      <c r="X291" s="25"/>
      <c r="Y291" s="25"/>
      <c r="Z291" s="33"/>
      <c r="AA291" s="34" t="str">
        <f aca="true">IF($T291="","",IF($T291&lt;TODAY(),"已过期 "&amp;TEXT(TODAY()-$T291,"0")&amp;" 天",IF($T291-TODAY()&lt;=年检提醒天,"还剩 "&amp;TEXT($T291-TODAY(),"0")&amp;" 天","")))</f>
        <v/>
      </c>
      <c r="AB291" s="34" t="str">
        <f aca="true">IF(COUNT($U291:$V291)=0,"",IF(MIN($U291:$V291)&lt;TODAY(),"已过期 "&amp;TEXT(TODAY()-MIN($U291:$V291),"0")&amp;" 天",IF(MIN($U291:$V291)-TODAY()&lt;=年检提醒天,"还剩 "&amp;TEXT(MIN($U291:$V291)-TODAY(),"0")&amp;" 天","")))</f>
        <v/>
      </c>
      <c r="AC291" s="34" t="str">
        <f aca="true">IF($C291="","",IF(OR($Y291="安装免保",$Y291="技术免保",$Y291="质保期内"),IF($Z291="","▲免保没填到期日",IF($Z291&lt;TODAY(),"▲免保已到期 该转收费了",IF($Z291-TODAY()&lt;=合同提醒天,"免保还剩 "&amp;TEXT($Z291-TODAY(),"0")&amp;" 天","免保中"))),IF($Y291="暂停维保","暂停中 不计费",IF($Y291="已解约","已解约",IF(COUNTIF(合同键,$E291)=0,"▲还没建合同行","")))))</f>
        <v/>
      </c>
      <c r="AD291" s="24"/>
      <c r="AE291" s="35" t="str">
        <f aca="false">IF($C291="","",IF($D291="","★项目名称没填",IF(N($P291)&lt;=0,"★台量要填",IF(AND(OR($Y291="安装免保",$Y291="技术免保",$Y291="质保期内"),$Z291=""),"★免保到期日没填",IF(COUNTIF(合同键,$E291)=0,"★还没建合同行","OK")))))</f>
        <v/>
      </c>
    </row>
    <row r="292" customFormat="false" ht="15" hidden="false" customHeight="false" outlineLevel="0" collapsed="false">
      <c r="A292" s="29" t="str">
        <f aca="false">IF($C292="","",ROW()-4)</f>
        <v/>
      </c>
      <c r="B292" s="25"/>
      <c r="C292" s="24"/>
      <c r="D292" s="24"/>
      <c r="E292" s="30" t="str">
        <f aca="false">IF($C292="","",$C292&amp;" ｜ "&amp;$D292)</f>
        <v/>
      </c>
      <c r="F292" s="25"/>
      <c r="G292" s="25"/>
      <c r="H292" s="25"/>
      <c r="I292" s="25"/>
      <c r="J292" s="25"/>
      <c r="K292" s="21"/>
      <c r="L292" s="21"/>
      <c r="M292" s="21"/>
      <c r="N292" s="25"/>
      <c r="O292" s="25"/>
      <c r="P292" s="32"/>
      <c r="Q292" s="25"/>
      <c r="R292" s="25"/>
      <c r="S292" s="33"/>
      <c r="T292" s="33"/>
      <c r="U292" s="33"/>
      <c r="V292" s="33"/>
      <c r="W292" s="25"/>
      <c r="X292" s="25"/>
      <c r="Y292" s="25"/>
      <c r="Z292" s="33"/>
      <c r="AA292" s="34" t="str">
        <f aca="true">IF($T292="","",IF($T292&lt;TODAY(),"已过期 "&amp;TEXT(TODAY()-$T292,"0")&amp;" 天",IF($T292-TODAY()&lt;=年检提醒天,"还剩 "&amp;TEXT($T292-TODAY(),"0")&amp;" 天","")))</f>
        <v/>
      </c>
      <c r="AB292" s="34" t="str">
        <f aca="true">IF(COUNT($U292:$V292)=0,"",IF(MIN($U292:$V292)&lt;TODAY(),"已过期 "&amp;TEXT(TODAY()-MIN($U292:$V292),"0")&amp;" 天",IF(MIN($U292:$V292)-TODAY()&lt;=年检提醒天,"还剩 "&amp;TEXT(MIN($U292:$V292)-TODAY(),"0")&amp;" 天","")))</f>
        <v/>
      </c>
      <c r="AC292" s="34" t="str">
        <f aca="true">IF($C292="","",IF(OR($Y292="安装免保",$Y292="技术免保",$Y292="质保期内"),IF($Z292="","▲免保没填到期日",IF($Z292&lt;TODAY(),"▲免保已到期 该转收费了",IF($Z292-TODAY()&lt;=合同提醒天,"免保还剩 "&amp;TEXT($Z292-TODAY(),"0")&amp;" 天","免保中"))),IF($Y292="暂停维保","暂停中 不计费",IF($Y292="已解约","已解约",IF(COUNTIF(合同键,$E292)=0,"▲还没建合同行","")))))</f>
        <v/>
      </c>
      <c r="AD292" s="24"/>
      <c r="AE292" s="35" t="str">
        <f aca="false">IF($C292="","",IF($D292="","★项目名称没填",IF(N($P292)&lt;=0,"★台量要填",IF(AND(OR($Y292="安装免保",$Y292="技术免保",$Y292="质保期内"),$Z292=""),"★免保到期日没填",IF(COUNTIF(合同键,$E292)=0,"★还没建合同行","OK")))))</f>
        <v/>
      </c>
    </row>
    <row r="293" customFormat="false" ht="15" hidden="false" customHeight="false" outlineLevel="0" collapsed="false">
      <c r="A293" s="29" t="str">
        <f aca="false">IF($C293="","",ROW()-4)</f>
        <v/>
      </c>
      <c r="B293" s="25"/>
      <c r="C293" s="24"/>
      <c r="D293" s="24"/>
      <c r="E293" s="30" t="str">
        <f aca="false">IF($C293="","",$C293&amp;" ｜ "&amp;$D293)</f>
        <v/>
      </c>
      <c r="F293" s="25"/>
      <c r="G293" s="25"/>
      <c r="H293" s="25"/>
      <c r="I293" s="25"/>
      <c r="J293" s="25"/>
      <c r="K293" s="21"/>
      <c r="L293" s="21"/>
      <c r="M293" s="21"/>
      <c r="N293" s="25"/>
      <c r="O293" s="25"/>
      <c r="P293" s="32"/>
      <c r="Q293" s="25"/>
      <c r="R293" s="25"/>
      <c r="S293" s="33"/>
      <c r="T293" s="33"/>
      <c r="U293" s="33"/>
      <c r="V293" s="33"/>
      <c r="W293" s="25"/>
      <c r="X293" s="25"/>
      <c r="Y293" s="25"/>
      <c r="Z293" s="33"/>
      <c r="AA293" s="34" t="str">
        <f aca="true">IF($T293="","",IF($T293&lt;TODAY(),"已过期 "&amp;TEXT(TODAY()-$T293,"0")&amp;" 天",IF($T293-TODAY()&lt;=年检提醒天,"还剩 "&amp;TEXT($T293-TODAY(),"0")&amp;" 天","")))</f>
        <v/>
      </c>
      <c r="AB293" s="34" t="str">
        <f aca="true">IF(COUNT($U293:$V293)=0,"",IF(MIN($U293:$V293)&lt;TODAY(),"已过期 "&amp;TEXT(TODAY()-MIN($U293:$V293),"0")&amp;" 天",IF(MIN($U293:$V293)-TODAY()&lt;=年检提醒天,"还剩 "&amp;TEXT(MIN($U293:$V293)-TODAY(),"0")&amp;" 天","")))</f>
        <v/>
      </c>
      <c r="AC293" s="34" t="str">
        <f aca="true">IF($C293="","",IF(OR($Y293="安装免保",$Y293="技术免保",$Y293="质保期内"),IF($Z293="","▲免保没填到期日",IF($Z293&lt;TODAY(),"▲免保已到期 该转收费了",IF($Z293-TODAY()&lt;=合同提醒天,"免保还剩 "&amp;TEXT($Z293-TODAY(),"0")&amp;" 天","免保中"))),IF($Y293="暂停维保","暂停中 不计费",IF($Y293="已解约","已解约",IF(COUNTIF(合同键,$E293)=0,"▲还没建合同行","")))))</f>
        <v/>
      </c>
      <c r="AD293" s="24"/>
      <c r="AE293" s="35" t="str">
        <f aca="false">IF($C293="","",IF($D293="","★项目名称没填",IF(N($P293)&lt;=0,"★台量要填",IF(AND(OR($Y293="安装免保",$Y293="技术免保",$Y293="质保期内"),$Z293=""),"★免保到期日没填",IF(COUNTIF(合同键,$E293)=0,"★还没建合同行","OK")))))</f>
        <v/>
      </c>
    </row>
    <row r="294" customFormat="false" ht="15" hidden="false" customHeight="false" outlineLevel="0" collapsed="false">
      <c r="A294" s="29" t="str">
        <f aca="false">IF($C294="","",ROW()-4)</f>
        <v/>
      </c>
      <c r="B294" s="25"/>
      <c r="C294" s="24"/>
      <c r="D294" s="24"/>
      <c r="E294" s="30" t="str">
        <f aca="false">IF($C294="","",$C294&amp;" ｜ "&amp;$D294)</f>
        <v/>
      </c>
      <c r="F294" s="25"/>
      <c r="G294" s="25"/>
      <c r="H294" s="25"/>
      <c r="I294" s="25"/>
      <c r="J294" s="25"/>
      <c r="K294" s="21"/>
      <c r="L294" s="21"/>
      <c r="M294" s="21"/>
      <c r="N294" s="25"/>
      <c r="O294" s="25"/>
      <c r="P294" s="32"/>
      <c r="Q294" s="25"/>
      <c r="R294" s="25"/>
      <c r="S294" s="33"/>
      <c r="T294" s="33"/>
      <c r="U294" s="33"/>
      <c r="V294" s="33"/>
      <c r="W294" s="25"/>
      <c r="X294" s="25"/>
      <c r="Y294" s="25"/>
      <c r="Z294" s="33"/>
      <c r="AA294" s="34" t="str">
        <f aca="true">IF($T294="","",IF($T294&lt;TODAY(),"已过期 "&amp;TEXT(TODAY()-$T294,"0")&amp;" 天",IF($T294-TODAY()&lt;=年检提醒天,"还剩 "&amp;TEXT($T294-TODAY(),"0")&amp;" 天","")))</f>
        <v/>
      </c>
      <c r="AB294" s="34" t="str">
        <f aca="true">IF(COUNT($U294:$V294)=0,"",IF(MIN($U294:$V294)&lt;TODAY(),"已过期 "&amp;TEXT(TODAY()-MIN($U294:$V294),"0")&amp;" 天",IF(MIN($U294:$V294)-TODAY()&lt;=年检提醒天,"还剩 "&amp;TEXT(MIN($U294:$V294)-TODAY(),"0")&amp;" 天","")))</f>
        <v/>
      </c>
      <c r="AC294" s="34" t="str">
        <f aca="true">IF($C294="","",IF(OR($Y294="安装免保",$Y294="技术免保",$Y294="质保期内"),IF($Z294="","▲免保没填到期日",IF($Z294&lt;TODAY(),"▲免保已到期 该转收费了",IF($Z294-TODAY()&lt;=合同提醒天,"免保还剩 "&amp;TEXT($Z294-TODAY(),"0")&amp;" 天","免保中"))),IF($Y294="暂停维保","暂停中 不计费",IF($Y294="已解约","已解约",IF(COUNTIF(合同键,$E294)=0,"▲还没建合同行","")))))</f>
        <v/>
      </c>
      <c r="AD294" s="24"/>
      <c r="AE294" s="35" t="str">
        <f aca="false">IF($C294="","",IF($D294="","★项目名称没填",IF(N($P294)&lt;=0,"★台量要填",IF(AND(OR($Y294="安装免保",$Y294="技术免保",$Y294="质保期内"),$Z294=""),"★免保到期日没填",IF(COUNTIF(合同键,$E294)=0,"★还没建合同行","OK")))))</f>
        <v/>
      </c>
    </row>
    <row r="295" customFormat="false" ht="15" hidden="false" customHeight="false" outlineLevel="0" collapsed="false">
      <c r="A295" s="29" t="str">
        <f aca="false">IF($C295="","",ROW()-4)</f>
        <v/>
      </c>
      <c r="B295" s="25"/>
      <c r="C295" s="24"/>
      <c r="D295" s="24"/>
      <c r="E295" s="30" t="str">
        <f aca="false">IF($C295="","",$C295&amp;" ｜ "&amp;$D295)</f>
        <v/>
      </c>
      <c r="F295" s="25"/>
      <c r="G295" s="25"/>
      <c r="H295" s="25"/>
      <c r="I295" s="25"/>
      <c r="J295" s="25"/>
      <c r="K295" s="21"/>
      <c r="L295" s="21"/>
      <c r="M295" s="21"/>
      <c r="N295" s="25"/>
      <c r="O295" s="25"/>
      <c r="P295" s="32"/>
      <c r="Q295" s="25"/>
      <c r="R295" s="25"/>
      <c r="S295" s="33"/>
      <c r="T295" s="33"/>
      <c r="U295" s="33"/>
      <c r="V295" s="33"/>
      <c r="W295" s="25"/>
      <c r="X295" s="25"/>
      <c r="Y295" s="25"/>
      <c r="Z295" s="33"/>
      <c r="AA295" s="34" t="str">
        <f aca="true">IF($T295="","",IF($T295&lt;TODAY(),"已过期 "&amp;TEXT(TODAY()-$T295,"0")&amp;" 天",IF($T295-TODAY()&lt;=年检提醒天,"还剩 "&amp;TEXT($T295-TODAY(),"0")&amp;" 天","")))</f>
        <v/>
      </c>
      <c r="AB295" s="34" t="str">
        <f aca="true">IF(COUNT($U295:$V295)=0,"",IF(MIN($U295:$V295)&lt;TODAY(),"已过期 "&amp;TEXT(TODAY()-MIN($U295:$V295),"0")&amp;" 天",IF(MIN($U295:$V295)-TODAY()&lt;=年检提醒天,"还剩 "&amp;TEXT(MIN($U295:$V295)-TODAY(),"0")&amp;" 天","")))</f>
        <v/>
      </c>
      <c r="AC295" s="34" t="str">
        <f aca="true">IF($C295="","",IF(OR($Y295="安装免保",$Y295="技术免保",$Y295="质保期内"),IF($Z295="","▲免保没填到期日",IF($Z295&lt;TODAY(),"▲免保已到期 该转收费了",IF($Z295-TODAY()&lt;=合同提醒天,"免保还剩 "&amp;TEXT($Z295-TODAY(),"0")&amp;" 天","免保中"))),IF($Y295="暂停维保","暂停中 不计费",IF($Y295="已解约","已解约",IF(COUNTIF(合同键,$E295)=0,"▲还没建合同行","")))))</f>
        <v/>
      </c>
      <c r="AD295" s="24"/>
      <c r="AE295" s="35" t="str">
        <f aca="false">IF($C295="","",IF($D295="","★项目名称没填",IF(N($P295)&lt;=0,"★台量要填",IF(AND(OR($Y295="安装免保",$Y295="技术免保",$Y295="质保期内"),$Z295=""),"★免保到期日没填",IF(COUNTIF(合同键,$E295)=0,"★还没建合同行","OK")))))</f>
        <v/>
      </c>
    </row>
    <row r="296" customFormat="false" ht="15" hidden="false" customHeight="false" outlineLevel="0" collapsed="false">
      <c r="A296" s="29" t="str">
        <f aca="false">IF($C296="","",ROW()-4)</f>
        <v/>
      </c>
      <c r="B296" s="25"/>
      <c r="C296" s="24"/>
      <c r="D296" s="24"/>
      <c r="E296" s="30" t="str">
        <f aca="false">IF($C296="","",$C296&amp;" ｜ "&amp;$D296)</f>
        <v/>
      </c>
      <c r="F296" s="25"/>
      <c r="G296" s="25"/>
      <c r="H296" s="25"/>
      <c r="I296" s="25"/>
      <c r="J296" s="25"/>
      <c r="K296" s="21"/>
      <c r="L296" s="21"/>
      <c r="M296" s="21"/>
      <c r="N296" s="25"/>
      <c r="O296" s="25"/>
      <c r="P296" s="32"/>
      <c r="Q296" s="25"/>
      <c r="R296" s="25"/>
      <c r="S296" s="33"/>
      <c r="T296" s="33"/>
      <c r="U296" s="33"/>
      <c r="V296" s="33"/>
      <c r="W296" s="25"/>
      <c r="X296" s="25"/>
      <c r="Y296" s="25"/>
      <c r="Z296" s="33"/>
      <c r="AA296" s="34" t="str">
        <f aca="true">IF($T296="","",IF($T296&lt;TODAY(),"已过期 "&amp;TEXT(TODAY()-$T296,"0")&amp;" 天",IF($T296-TODAY()&lt;=年检提醒天,"还剩 "&amp;TEXT($T296-TODAY(),"0")&amp;" 天","")))</f>
        <v/>
      </c>
      <c r="AB296" s="34" t="str">
        <f aca="true">IF(COUNT($U296:$V296)=0,"",IF(MIN($U296:$V296)&lt;TODAY(),"已过期 "&amp;TEXT(TODAY()-MIN($U296:$V296),"0")&amp;" 天",IF(MIN($U296:$V296)-TODAY()&lt;=年检提醒天,"还剩 "&amp;TEXT(MIN($U296:$V296)-TODAY(),"0")&amp;" 天","")))</f>
        <v/>
      </c>
      <c r="AC296" s="34" t="str">
        <f aca="true">IF($C296="","",IF(OR($Y296="安装免保",$Y296="技术免保",$Y296="质保期内"),IF($Z296="","▲免保没填到期日",IF($Z296&lt;TODAY(),"▲免保已到期 该转收费了",IF($Z296-TODAY()&lt;=合同提醒天,"免保还剩 "&amp;TEXT($Z296-TODAY(),"0")&amp;" 天","免保中"))),IF($Y296="暂停维保","暂停中 不计费",IF($Y296="已解约","已解约",IF(COUNTIF(合同键,$E296)=0,"▲还没建合同行","")))))</f>
        <v/>
      </c>
      <c r="AD296" s="24"/>
      <c r="AE296" s="35" t="str">
        <f aca="false">IF($C296="","",IF($D296="","★项目名称没填",IF(N($P296)&lt;=0,"★台量要填",IF(AND(OR($Y296="安装免保",$Y296="技术免保",$Y296="质保期内"),$Z296=""),"★免保到期日没填",IF(COUNTIF(合同键,$E296)=0,"★还没建合同行","OK")))))</f>
        <v/>
      </c>
    </row>
    <row r="297" customFormat="false" ht="15" hidden="false" customHeight="false" outlineLevel="0" collapsed="false">
      <c r="A297" s="29" t="str">
        <f aca="false">IF($C297="","",ROW()-4)</f>
        <v/>
      </c>
      <c r="B297" s="25"/>
      <c r="C297" s="24"/>
      <c r="D297" s="24"/>
      <c r="E297" s="30" t="str">
        <f aca="false">IF($C297="","",$C297&amp;" ｜ "&amp;$D297)</f>
        <v/>
      </c>
      <c r="F297" s="25"/>
      <c r="G297" s="25"/>
      <c r="H297" s="25"/>
      <c r="I297" s="25"/>
      <c r="J297" s="25"/>
      <c r="K297" s="21"/>
      <c r="L297" s="21"/>
      <c r="M297" s="21"/>
      <c r="N297" s="25"/>
      <c r="O297" s="25"/>
      <c r="P297" s="32"/>
      <c r="Q297" s="25"/>
      <c r="R297" s="25"/>
      <c r="S297" s="33"/>
      <c r="T297" s="33"/>
      <c r="U297" s="33"/>
      <c r="V297" s="33"/>
      <c r="W297" s="25"/>
      <c r="X297" s="25"/>
      <c r="Y297" s="25"/>
      <c r="Z297" s="33"/>
      <c r="AA297" s="34" t="str">
        <f aca="true">IF($T297="","",IF($T297&lt;TODAY(),"已过期 "&amp;TEXT(TODAY()-$T297,"0")&amp;" 天",IF($T297-TODAY()&lt;=年检提醒天,"还剩 "&amp;TEXT($T297-TODAY(),"0")&amp;" 天","")))</f>
        <v/>
      </c>
      <c r="AB297" s="34" t="str">
        <f aca="true">IF(COUNT($U297:$V297)=0,"",IF(MIN($U297:$V297)&lt;TODAY(),"已过期 "&amp;TEXT(TODAY()-MIN($U297:$V297),"0")&amp;" 天",IF(MIN($U297:$V297)-TODAY()&lt;=年检提醒天,"还剩 "&amp;TEXT(MIN($U297:$V297)-TODAY(),"0")&amp;" 天","")))</f>
        <v/>
      </c>
      <c r="AC297" s="34" t="str">
        <f aca="true">IF($C297="","",IF(OR($Y297="安装免保",$Y297="技术免保",$Y297="质保期内"),IF($Z297="","▲免保没填到期日",IF($Z297&lt;TODAY(),"▲免保已到期 该转收费了",IF($Z297-TODAY()&lt;=合同提醒天,"免保还剩 "&amp;TEXT($Z297-TODAY(),"0")&amp;" 天","免保中"))),IF($Y297="暂停维保","暂停中 不计费",IF($Y297="已解约","已解约",IF(COUNTIF(合同键,$E297)=0,"▲还没建合同行","")))))</f>
        <v/>
      </c>
      <c r="AD297" s="24"/>
      <c r="AE297" s="35" t="str">
        <f aca="false">IF($C297="","",IF($D297="","★项目名称没填",IF(N($P297)&lt;=0,"★台量要填",IF(AND(OR($Y297="安装免保",$Y297="技术免保",$Y297="质保期内"),$Z297=""),"★免保到期日没填",IF(COUNTIF(合同键,$E297)=0,"★还没建合同行","OK")))))</f>
        <v/>
      </c>
    </row>
    <row r="298" customFormat="false" ht="15" hidden="false" customHeight="false" outlineLevel="0" collapsed="false">
      <c r="A298" s="29" t="str">
        <f aca="false">IF($C298="","",ROW()-4)</f>
        <v/>
      </c>
      <c r="B298" s="25"/>
      <c r="C298" s="24"/>
      <c r="D298" s="24"/>
      <c r="E298" s="30" t="str">
        <f aca="false">IF($C298="","",$C298&amp;" ｜ "&amp;$D298)</f>
        <v/>
      </c>
      <c r="F298" s="25"/>
      <c r="G298" s="25"/>
      <c r="H298" s="25"/>
      <c r="I298" s="25"/>
      <c r="J298" s="25"/>
      <c r="K298" s="21"/>
      <c r="L298" s="21"/>
      <c r="M298" s="21"/>
      <c r="N298" s="25"/>
      <c r="O298" s="25"/>
      <c r="P298" s="32"/>
      <c r="Q298" s="25"/>
      <c r="R298" s="25"/>
      <c r="S298" s="33"/>
      <c r="T298" s="33"/>
      <c r="U298" s="33"/>
      <c r="V298" s="33"/>
      <c r="W298" s="25"/>
      <c r="X298" s="25"/>
      <c r="Y298" s="25"/>
      <c r="Z298" s="33"/>
      <c r="AA298" s="34" t="str">
        <f aca="true">IF($T298="","",IF($T298&lt;TODAY(),"已过期 "&amp;TEXT(TODAY()-$T298,"0")&amp;" 天",IF($T298-TODAY()&lt;=年检提醒天,"还剩 "&amp;TEXT($T298-TODAY(),"0")&amp;" 天","")))</f>
        <v/>
      </c>
      <c r="AB298" s="34" t="str">
        <f aca="true">IF(COUNT($U298:$V298)=0,"",IF(MIN($U298:$V298)&lt;TODAY(),"已过期 "&amp;TEXT(TODAY()-MIN($U298:$V298),"0")&amp;" 天",IF(MIN($U298:$V298)-TODAY()&lt;=年检提醒天,"还剩 "&amp;TEXT(MIN($U298:$V298)-TODAY(),"0")&amp;" 天","")))</f>
        <v/>
      </c>
      <c r="AC298" s="34" t="str">
        <f aca="true">IF($C298="","",IF(OR($Y298="安装免保",$Y298="技术免保",$Y298="质保期内"),IF($Z298="","▲免保没填到期日",IF($Z298&lt;TODAY(),"▲免保已到期 该转收费了",IF($Z298-TODAY()&lt;=合同提醒天,"免保还剩 "&amp;TEXT($Z298-TODAY(),"0")&amp;" 天","免保中"))),IF($Y298="暂停维保","暂停中 不计费",IF($Y298="已解约","已解约",IF(COUNTIF(合同键,$E298)=0,"▲还没建合同行","")))))</f>
        <v/>
      </c>
      <c r="AD298" s="24"/>
      <c r="AE298" s="35" t="str">
        <f aca="false">IF($C298="","",IF($D298="","★项目名称没填",IF(N($P298)&lt;=0,"★台量要填",IF(AND(OR($Y298="安装免保",$Y298="技术免保",$Y298="质保期内"),$Z298=""),"★免保到期日没填",IF(COUNTIF(合同键,$E298)=0,"★还没建合同行","OK")))))</f>
        <v/>
      </c>
    </row>
    <row r="299" customFormat="false" ht="15" hidden="false" customHeight="false" outlineLevel="0" collapsed="false">
      <c r="A299" s="29" t="str">
        <f aca="false">IF($C299="","",ROW()-4)</f>
        <v/>
      </c>
      <c r="B299" s="25"/>
      <c r="C299" s="24"/>
      <c r="D299" s="24"/>
      <c r="E299" s="30" t="str">
        <f aca="false">IF($C299="","",$C299&amp;" ｜ "&amp;$D299)</f>
        <v/>
      </c>
      <c r="F299" s="25"/>
      <c r="G299" s="25"/>
      <c r="H299" s="25"/>
      <c r="I299" s="25"/>
      <c r="J299" s="25"/>
      <c r="K299" s="21"/>
      <c r="L299" s="21"/>
      <c r="M299" s="21"/>
      <c r="N299" s="25"/>
      <c r="O299" s="25"/>
      <c r="P299" s="32"/>
      <c r="Q299" s="25"/>
      <c r="R299" s="25"/>
      <c r="S299" s="33"/>
      <c r="T299" s="33"/>
      <c r="U299" s="33"/>
      <c r="V299" s="33"/>
      <c r="W299" s="25"/>
      <c r="X299" s="25"/>
      <c r="Y299" s="25"/>
      <c r="Z299" s="33"/>
      <c r="AA299" s="34" t="str">
        <f aca="true">IF($T299="","",IF($T299&lt;TODAY(),"已过期 "&amp;TEXT(TODAY()-$T299,"0")&amp;" 天",IF($T299-TODAY()&lt;=年检提醒天,"还剩 "&amp;TEXT($T299-TODAY(),"0")&amp;" 天","")))</f>
        <v/>
      </c>
      <c r="AB299" s="34" t="str">
        <f aca="true">IF(COUNT($U299:$V299)=0,"",IF(MIN($U299:$V299)&lt;TODAY(),"已过期 "&amp;TEXT(TODAY()-MIN($U299:$V299),"0")&amp;" 天",IF(MIN($U299:$V299)-TODAY()&lt;=年检提醒天,"还剩 "&amp;TEXT(MIN($U299:$V299)-TODAY(),"0")&amp;" 天","")))</f>
        <v/>
      </c>
      <c r="AC299" s="34" t="str">
        <f aca="true">IF($C299="","",IF(OR($Y299="安装免保",$Y299="技术免保",$Y299="质保期内"),IF($Z299="","▲免保没填到期日",IF($Z299&lt;TODAY(),"▲免保已到期 该转收费了",IF($Z299-TODAY()&lt;=合同提醒天,"免保还剩 "&amp;TEXT($Z299-TODAY(),"0")&amp;" 天","免保中"))),IF($Y299="暂停维保","暂停中 不计费",IF($Y299="已解约","已解约",IF(COUNTIF(合同键,$E299)=0,"▲还没建合同行","")))))</f>
        <v/>
      </c>
      <c r="AD299" s="24"/>
      <c r="AE299" s="35" t="str">
        <f aca="false">IF($C299="","",IF($D299="","★项目名称没填",IF(N($P299)&lt;=0,"★台量要填",IF(AND(OR($Y299="安装免保",$Y299="技术免保",$Y299="质保期内"),$Z299=""),"★免保到期日没填",IF(COUNTIF(合同键,$E299)=0,"★还没建合同行","OK")))))</f>
        <v/>
      </c>
    </row>
    <row r="300" customFormat="false" ht="15" hidden="false" customHeight="false" outlineLevel="0" collapsed="false">
      <c r="A300" s="29" t="str">
        <f aca="false">IF($C300="","",ROW()-4)</f>
        <v/>
      </c>
      <c r="B300" s="25"/>
      <c r="C300" s="24"/>
      <c r="D300" s="24"/>
      <c r="E300" s="30" t="str">
        <f aca="false">IF($C300="","",$C300&amp;" ｜ "&amp;$D300)</f>
        <v/>
      </c>
      <c r="F300" s="25"/>
      <c r="G300" s="25"/>
      <c r="H300" s="25"/>
      <c r="I300" s="25"/>
      <c r="J300" s="25"/>
      <c r="K300" s="21"/>
      <c r="L300" s="21"/>
      <c r="M300" s="21"/>
      <c r="N300" s="25"/>
      <c r="O300" s="25"/>
      <c r="P300" s="32"/>
      <c r="Q300" s="25"/>
      <c r="R300" s="25"/>
      <c r="S300" s="33"/>
      <c r="T300" s="33"/>
      <c r="U300" s="33"/>
      <c r="V300" s="33"/>
      <c r="W300" s="25"/>
      <c r="X300" s="25"/>
      <c r="Y300" s="25"/>
      <c r="Z300" s="33"/>
      <c r="AA300" s="34" t="str">
        <f aca="true">IF($T300="","",IF($T300&lt;TODAY(),"已过期 "&amp;TEXT(TODAY()-$T300,"0")&amp;" 天",IF($T300-TODAY()&lt;=年检提醒天,"还剩 "&amp;TEXT($T300-TODAY(),"0")&amp;" 天","")))</f>
        <v/>
      </c>
      <c r="AB300" s="34" t="str">
        <f aca="true">IF(COUNT($U300:$V300)=0,"",IF(MIN($U300:$V300)&lt;TODAY(),"已过期 "&amp;TEXT(TODAY()-MIN($U300:$V300),"0")&amp;" 天",IF(MIN($U300:$V300)-TODAY()&lt;=年检提醒天,"还剩 "&amp;TEXT(MIN($U300:$V300)-TODAY(),"0")&amp;" 天","")))</f>
        <v/>
      </c>
      <c r="AC300" s="34" t="str">
        <f aca="true">IF($C300="","",IF(OR($Y300="安装免保",$Y300="技术免保",$Y300="质保期内"),IF($Z300="","▲免保没填到期日",IF($Z300&lt;TODAY(),"▲免保已到期 该转收费了",IF($Z300-TODAY()&lt;=合同提醒天,"免保还剩 "&amp;TEXT($Z300-TODAY(),"0")&amp;" 天","免保中"))),IF($Y300="暂停维保","暂停中 不计费",IF($Y300="已解约","已解约",IF(COUNTIF(合同键,$E300)=0,"▲还没建合同行","")))))</f>
        <v/>
      </c>
      <c r="AD300" s="24"/>
      <c r="AE300" s="35" t="str">
        <f aca="false">IF($C300="","",IF($D300="","★项目名称没填",IF(N($P300)&lt;=0,"★台量要填",IF(AND(OR($Y300="安装免保",$Y300="技术免保",$Y300="质保期内"),$Z300=""),"★免保到期日没填",IF(COUNTIF(合同键,$E300)=0,"★还没建合同行","OK")))))</f>
        <v/>
      </c>
    </row>
    <row r="301" customFormat="false" ht="15" hidden="false" customHeight="false" outlineLevel="0" collapsed="false">
      <c r="A301" s="29" t="str">
        <f aca="false">IF($C301="","",ROW()-4)</f>
        <v/>
      </c>
      <c r="B301" s="25"/>
      <c r="C301" s="24"/>
      <c r="D301" s="24"/>
      <c r="E301" s="30" t="str">
        <f aca="false">IF($C301="","",$C301&amp;" ｜ "&amp;$D301)</f>
        <v/>
      </c>
      <c r="F301" s="25"/>
      <c r="G301" s="25"/>
      <c r="H301" s="25"/>
      <c r="I301" s="25"/>
      <c r="J301" s="25"/>
      <c r="K301" s="21"/>
      <c r="L301" s="21"/>
      <c r="M301" s="21"/>
      <c r="N301" s="25"/>
      <c r="O301" s="25"/>
      <c r="P301" s="32"/>
      <c r="Q301" s="25"/>
      <c r="R301" s="25"/>
      <c r="S301" s="33"/>
      <c r="T301" s="33"/>
      <c r="U301" s="33"/>
      <c r="V301" s="33"/>
      <c r="W301" s="25"/>
      <c r="X301" s="25"/>
      <c r="Y301" s="25"/>
      <c r="Z301" s="33"/>
      <c r="AA301" s="34" t="str">
        <f aca="true">IF($T301="","",IF($T301&lt;TODAY(),"已过期 "&amp;TEXT(TODAY()-$T301,"0")&amp;" 天",IF($T301-TODAY()&lt;=年检提醒天,"还剩 "&amp;TEXT($T301-TODAY(),"0")&amp;" 天","")))</f>
        <v/>
      </c>
      <c r="AB301" s="34" t="str">
        <f aca="true">IF(COUNT($U301:$V301)=0,"",IF(MIN($U301:$V301)&lt;TODAY(),"已过期 "&amp;TEXT(TODAY()-MIN($U301:$V301),"0")&amp;" 天",IF(MIN($U301:$V301)-TODAY()&lt;=年检提醒天,"还剩 "&amp;TEXT(MIN($U301:$V301)-TODAY(),"0")&amp;" 天","")))</f>
        <v/>
      </c>
      <c r="AC301" s="34" t="str">
        <f aca="true">IF($C301="","",IF(OR($Y301="安装免保",$Y301="技术免保",$Y301="质保期内"),IF($Z301="","▲免保没填到期日",IF($Z301&lt;TODAY(),"▲免保已到期 该转收费了",IF($Z301-TODAY()&lt;=合同提醒天,"免保还剩 "&amp;TEXT($Z301-TODAY(),"0")&amp;" 天","免保中"))),IF($Y301="暂停维保","暂停中 不计费",IF($Y301="已解约","已解约",IF(COUNTIF(合同键,$E301)=0,"▲还没建合同行","")))))</f>
        <v/>
      </c>
      <c r="AD301" s="24"/>
      <c r="AE301" s="35" t="str">
        <f aca="false">IF($C301="","",IF($D301="","★项目名称没填",IF(N($P301)&lt;=0,"★台量要填",IF(AND(OR($Y301="安装免保",$Y301="技术免保",$Y301="质保期内"),$Z301=""),"★免保到期日没填",IF(COUNTIF(合同键,$E301)=0,"★还没建合同行","OK")))))</f>
        <v/>
      </c>
    </row>
    <row r="302" customFormat="false" ht="15" hidden="false" customHeight="false" outlineLevel="0" collapsed="false">
      <c r="A302" s="29" t="str">
        <f aca="false">IF($C302="","",ROW()-4)</f>
        <v/>
      </c>
      <c r="B302" s="25"/>
      <c r="C302" s="24"/>
      <c r="D302" s="24"/>
      <c r="E302" s="30" t="str">
        <f aca="false">IF($C302="","",$C302&amp;" ｜ "&amp;$D302)</f>
        <v/>
      </c>
      <c r="F302" s="25"/>
      <c r="G302" s="25"/>
      <c r="H302" s="25"/>
      <c r="I302" s="25"/>
      <c r="J302" s="25"/>
      <c r="K302" s="21"/>
      <c r="L302" s="21"/>
      <c r="M302" s="21"/>
      <c r="N302" s="25"/>
      <c r="O302" s="25"/>
      <c r="P302" s="32"/>
      <c r="Q302" s="25"/>
      <c r="R302" s="25"/>
      <c r="S302" s="33"/>
      <c r="T302" s="33"/>
      <c r="U302" s="33"/>
      <c r="V302" s="33"/>
      <c r="W302" s="25"/>
      <c r="X302" s="25"/>
      <c r="Y302" s="25"/>
      <c r="Z302" s="33"/>
      <c r="AA302" s="34" t="str">
        <f aca="true">IF($T302="","",IF($T302&lt;TODAY(),"已过期 "&amp;TEXT(TODAY()-$T302,"0")&amp;" 天",IF($T302-TODAY()&lt;=年检提醒天,"还剩 "&amp;TEXT($T302-TODAY(),"0")&amp;" 天","")))</f>
        <v/>
      </c>
      <c r="AB302" s="34" t="str">
        <f aca="true">IF(COUNT($U302:$V302)=0,"",IF(MIN($U302:$V302)&lt;TODAY(),"已过期 "&amp;TEXT(TODAY()-MIN($U302:$V302),"0")&amp;" 天",IF(MIN($U302:$V302)-TODAY()&lt;=年检提醒天,"还剩 "&amp;TEXT(MIN($U302:$V302)-TODAY(),"0")&amp;" 天","")))</f>
        <v/>
      </c>
      <c r="AC302" s="34" t="str">
        <f aca="true">IF($C302="","",IF(OR($Y302="安装免保",$Y302="技术免保",$Y302="质保期内"),IF($Z302="","▲免保没填到期日",IF($Z302&lt;TODAY(),"▲免保已到期 该转收费了",IF($Z302-TODAY()&lt;=合同提醒天,"免保还剩 "&amp;TEXT($Z302-TODAY(),"0")&amp;" 天","免保中"))),IF($Y302="暂停维保","暂停中 不计费",IF($Y302="已解约","已解约",IF(COUNTIF(合同键,$E302)=0,"▲还没建合同行","")))))</f>
        <v/>
      </c>
      <c r="AD302" s="24"/>
      <c r="AE302" s="35" t="str">
        <f aca="false">IF($C302="","",IF($D302="","★项目名称没填",IF(N($P302)&lt;=0,"★台量要填",IF(AND(OR($Y302="安装免保",$Y302="技术免保",$Y302="质保期内"),$Z302=""),"★免保到期日没填",IF(COUNTIF(合同键,$E302)=0,"★还没建合同行","OK")))))</f>
        <v/>
      </c>
    </row>
    <row r="303" customFormat="false" ht="15" hidden="false" customHeight="false" outlineLevel="0" collapsed="false">
      <c r="A303" s="29" t="str">
        <f aca="false">IF($C303="","",ROW()-4)</f>
        <v/>
      </c>
      <c r="B303" s="25"/>
      <c r="C303" s="24"/>
      <c r="D303" s="24"/>
      <c r="E303" s="30" t="str">
        <f aca="false">IF($C303="","",$C303&amp;" ｜ "&amp;$D303)</f>
        <v/>
      </c>
      <c r="F303" s="25"/>
      <c r="G303" s="25"/>
      <c r="H303" s="25"/>
      <c r="I303" s="25"/>
      <c r="J303" s="25"/>
      <c r="K303" s="21"/>
      <c r="L303" s="21"/>
      <c r="M303" s="21"/>
      <c r="N303" s="25"/>
      <c r="O303" s="25"/>
      <c r="P303" s="32"/>
      <c r="Q303" s="25"/>
      <c r="R303" s="25"/>
      <c r="S303" s="33"/>
      <c r="T303" s="33"/>
      <c r="U303" s="33"/>
      <c r="V303" s="33"/>
      <c r="W303" s="25"/>
      <c r="X303" s="25"/>
      <c r="Y303" s="25"/>
      <c r="Z303" s="33"/>
      <c r="AA303" s="34" t="str">
        <f aca="true">IF($T303="","",IF($T303&lt;TODAY(),"已过期 "&amp;TEXT(TODAY()-$T303,"0")&amp;" 天",IF($T303-TODAY()&lt;=年检提醒天,"还剩 "&amp;TEXT($T303-TODAY(),"0")&amp;" 天","")))</f>
        <v/>
      </c>
      <c r="AB303" s="34" t="str">
        <f aca="true">IF(COUNT($U303:$V303)=0,"",IF(MIN($U303:$V303)&lt;TODAY(),"已过期 "&amp;TEXT(TODAY()-MIN($U303:$V303),"0")&amp;" 天",IF(MIN($U303:$V303)-TODAY()&lt;=年检提醒天,"还剩 "&amp;TEXT(MIN($U303:$V303)-TODAY(),"0")&amp;" 天","")))</f>
        <v/>
      </c>
      <c r="AC303" s="34" t="str">
        <f aca="true">IF($C303="","",IF(OR($Y303="安装免保",$Y303="技术免保",$Y303="质保期内"),IF($Z303="","▲免保没填到期日",IF($Z303&lt;TODAY(),"▲免保已到期 该转收费了",IF($Z303-TODAY()&lt;=合同提醒天,"免保还剩 "&amp;TEXT($Z303-TODAY(),"0")&amp;" 天","免保中"))),IF($Y303="暂停维保","暂停中 不计费",IF($Y303="已解约","已解约",IF(COUNTIF(合同键,$E303)=0,"▲还没建合同行","")))))</f>
        <v/>
      </c>
      <c r="AD303" s="24"/>
      <c r="AE303" s="35" t="str">
        <f aca="false">IF($C303="","",IF($D303="","★项目名称没填",IF(N($P303)&lt;=0,"★台量要填",IF(AND(OR($Y303="安装免保",$Y303="技术免保",$Y303="质保期内"),$Z303=""),"★免保到期日没填",IF(COUNTIF(合同键,$E303)=0,"★还没建合同行","OK")))))</f>
        <v/>
      </c>
    </row>
    <row r="304" customFormat="false" ht="15" hidden="false" customHeight="false" outlineLevel="0" collapsed="false">
      <c r="A304" s="29" t="str">
        <f aca="false">IF($C304="","",ROW()-4)</f>
        <v/>
      </c>
      <c r="B304" s="25"/>
      <c r="C304" s="24"/>
      <c r="D304" s="24"/>
      <c r="E304" s="30" t="str">
        <f aca="false">IF($C304="","",$C304&amp;" ｜ "&amp;$D304)</f>
        <v/>
      </c>
      <c r="F304" s="25"/>
      <c r="G304" s="25"/>
      <c r="H304" s="25"/>
      <c r="I304" s="25"/>
      <c r="J304" s="25"/>
      <c r="K304" s="21"/>
      <c r="L304" s="21"/>
      <c r="M304" s="21"/>
      <c r="N304" s="25"/>
      <c r="O304" s="25"/>
      <c r="P304" s="32"/>
      <c r="Q304" s="25"/>
      <c r="R304" s="25"/>
      <c r="S304" s="33"/>
      <c r="T304" s="33"/>
      <c r="U304" s="33"/>
      <c r="V304" s="33"/>
      <c r="W304" s="25"/>
      <c r="X304" s="25"/>
      <c r="Y304" s="25"/>
      <c r="Z304" s="33"/>
      <c r="AA304" s="34" t="str">
        <f aca="true">IF($T304="","",IF($T304&lt;TODAY(),"已过期 "&amp;TEXT(TODAY()-$T304,"0")&amp;" 天",IF($T304-TODAY()&lt;=年检提醒天,"还剩 "&amp;TEXT($T304-TODAY(),"0")&amp;" 天","")))</f>
        <v/>
      </c>
      <c r="AB304" s="34" t="str">
        <f aca="true">IF(COUNT($U304:$V304)=0,"",IF(MIN($U304:$V304)&lt;TODAY(),"已过期 "&amp;TEXT(TODAY()-MIN($U304:$V304),"0")&amp;" 天",IF(MIN($U304:$V304)-TODAY()&lt;=年检提醒天,"还剩 "&amp;TEXT(MIN($U304:$V304)-TODAY(),"0")&amp;" 天","")))</f>
        <v/>
      </c>
      <c r="AC304" s="34" t="str">
        <f aca="true">IF($C304="","",IF(OR($Y304="安装免保",$Y304="技术免保",$Y304="质保期内"),IF($Z304="","▲免保没填到期日",IF($Z304&lt;TODAY(),"▲免保已到期 该转收费了",IF($Z304-TODAY()&lt;=合同提醒天,"免保还剩 "&amp;TEXT($Z304-TODAY(),"0")&amp;" 天","免保中"))),IF($Y304="暂停维保","暂停中 不计费",IF($Y304="已解约","已解约",IF(COUNTIF(合同键,$E304)=0,"▲还没建合同行","")))))</f>
        <v/>
      </c>
      <c r="AD304" s="24"/>
      <c r="AE304" s="35" t="str">
        <f aca="false">IF($C304="","",IF($D304="","★项目名称没填",IF(N($P304)&lt;=0,"★台量要填",IF(AND(OR($Y304="安装免保",$Y304="技术免保",$Y304="质保期内"),$Z304=""),"★免保到期日没填",IF(COUNTIF(合同键,$E304)=0,"★还没建合同行","OK")))))</f>
        <v/>
      </c>
    </row>
    <row r="305" customFormat="false" ht="15" hidden="false" customHeight="false" outlineLevel="0" collapsed="false">
      <c r="A305" s="29" t="str">
        <f aca="false">IF($C305="","",ROW()-4)</f>
        <v/>
      </c>
      <c r="B305" s="25"/>
      <c r="C305" s="24"/>
      <c r="D305" s="24"/>
      <c r="E305" s="30" t="str">
        <f aca="false">IF($C305="","",$C305&amp;" ｜ "&amp;$D305)</f>
        <v/>
      </c>
      <c r="F305" s="25"/>
      <c r="G305" s="25"/>
      <c r="H305" s="25"/>
      <c r="I305" s="25"/>
      <c r="J305" s="25"/>
      <c r="K305" s="21"/>
      <c r="L305" s="21"/>
      <c r="M305" s="21"/>
      <c r="N305" s="25"/>
      <c r="O305" s="25"/>
      <c r="P305" s="32"/>
      <c r="Q305" s="25"/>
      <c r="R305" s="25"/>
      <c r="S305" s="33"/>
      <c r="T305" s="33"/>
      <c r="U305" s="33"/>
      <c r="V305" s="33"/>
      <c r="W305" s="25"/>
      <c r="X305" s="25"/>
      <c r="Y305" s="25"/>
      <c r="Z305" s="33"/>
      <c r="AA305" s="34" t="str">
        <f aca="true">IF($T305="","",IF($T305&lt;TODAY(),"已过期 "&amp;TEXT(TODAY()-$T305,"0")&amp;" 天",IF($T305-TODAY()&lt;=年检提醒天,"还剩 "&amp;TEXT($T305-TODAY(),"0")&amp;" 天","")))</f>
        <v/>
      </c>
      <c r="AB305" s="34" t="str">
        <f aca="true">IF(COUNT($U305:$V305)=0,"",IF(MIN($U305:$V305)&lt;TODAY(),"已过期 "&amp;TEXT(TODAY()-MIN($U305:$V305),"0")&amp;" 天",IF(MIN($U305:$V305)-TODAY()&lt;=年检提醒天,"还剩 "&amp;TEXT(MIN($U305:$V305)-TODAY(),"0")&amp;" 天","")))</f>
        <v/>
      </c>
      <c r="AC305" s="34" t="str">
        <f aca="true">IF($C305="","",IF(OR($Y305="安装免保",$Y305="技术免保",$Y305="质保期内"),IF($Z305="","▲免保没填到期日",IF($Z305&lt;TODAY(),"▲免保已到期 该转收费了",IF($Z305-TODAY()&lt;=合同提醒天,"免保还剩 "&amp;TEXT($Z305-TODAY(),"0")&amp;" 天","免保中"))),IF($Y305="暂停维保","暂停中 不计费",IF($Y305="已解约","已解约",IF(COUNTIF(合同键,$E305)=0,"▲还没建合同行","")))))</f>
        <v/>
      </c>
      <c r="AD305" s="24"/>
      <c r="AE305" s="35" t="str">
        <f aca="false">IF($C305="","",IF($D305="","★项目名称没填",IF(N($P305)&lt;=0,"★台量要填",IF(AND(OR($Y305="安装免保",$Y305="技术免保",$Y305="质保期内"),$Z305=""),"★免保到期日没填",IF(COUNTIF(合同键,$E305)=0,"★还没建合同行","OK")))))</f>
        <v/>
      </c>
    </row>
    <row r="306" customFormat="false" ht="15" hidden="false" customHeight="false" outlineLevel="0" collapsed="false">
      <c r="A306" s="29" t="str">
        <f aca="false">IF($C306="","",ROW()-4)</f>
        <v/>
      </c>
      <c r="B306" s="25"/>
      <c r="C306" s="24"/>
      <c r="D306" s="24"/>
      <c r="E306" s="30" t="str">
        <f aca="false">IF($C306="","",$C306&amp;" ｜ "&amp;$D306)</f>
        <v/>
      </c>
      <c r="F306" s="25"/>
      <c r="G306" s="25"/>
      <c r="H306" s="25"/>
      <c r="I306" s="25"/>
      <c r="J306" s="25"/>
      <c r="K306" s="21"/>
      <c r="L306" s="21"/>
      <c r="M306" s="21"/>
      <c r="N306" s="25"/>
      <c r="O306" s="25"/>
      <c r="P306" s="32"/>
      <c r="Q306" s="25"/>
      <c r="R306" s="25"/>
      <c r="S306" s="33"/>
      <c r="T306" s="33"/>
      <c r="U306" s="33"/>
      <c r="V306" s="33"/>
      <c r="W306" s="25"/>
      <c r="X306" s="25"/>
      <c r="Y306" s="25"/>
      <c r="Z306" s="33"/>
      <c r="AA306" s="34" t="str">
        <f aca="true">IF($T306="","",IF($T306&lt;TODAY(),"已过期 "&amp;TEXT(TODAY()-$T306,"0")&amp;" 天",IF($T306-TODAY()&lt;=年检提醒天,"还剩 "&amp;TEXT($T306-TODAY(),"0")&amp;" 天","")))</f>
        <v/>
      </c>
      <c r="AB306" s="34" t="str">
        <f aca="true">IF(COUNT($U306:$V306)=0,"",IF(MIN($U306:$V306)&lt;TODAY(),"已过期 "&amp;TEXT(TODAY()-MIN($U306:$V306),"0")&amp;" 天",IF(MIN($U306:$V306)-TODAY()&lt;=年检提醒天,"还剩 "&amp;TEXT(MIN($U306:$V306)-TODAY(),"0")&amp;" 天","")))</f>
        <v/>
      </c>
      <c r="AC306" s="34" t="str">
        <f aca="true">IF($C306="","",IF(OR($Y306="安装免保",$Y306="技术免保",$Y306="质保期内"),IF($Z306="","▲免保没填到期日",IF($Z306&lt;TODAY(),"▲免保已到期 该转收费了",IF($Z306-TODAY()&lt;=合同提醒天,"免保还剩 "&amp;TEXT($Z306-TODAY(),"0")&amp;" 天","免保中"))),IF($Y306="暂停维保","暂停中 不计费",IF($Y306="已解约","已解约",IF(COUNTIF(合同键,$E306)=0,"▲还没建合同行","")))))</f>
        <v/>
      </c>
      <c r="AD306" s="24"/>
      <c r="AE306" s="35" t="str">
        <f aca="false">IF($C306="","",IF($D306="","★项目名称没填",IF(N($P306)&lt;=0,"★台量要填",IF(AND(OR($Y306="安装免保",$Y306="技术免保",$Y306="质保期内"),$Z306=""),"★免保到期日没填",IF(COUNTIF(合同键,$E306)=0,"★还没建合同行","OK")))))</f>
        <v/>
      </c>
    </row>
    <row r="307" customFormat="false" ht="15" hidden="false" customHeight="false" outlineLevel="0" collapsed="false">
      <c r="A307" s="29" t="str">
        <f aca="false">IF($C307="","",ROW()-4)</f>
        <v/>
      </c>
      <c r="B307" s="25"/>
      <c r="C307" s="24"/>
      <c r="D307" s="24"/>
      <c r="E307" s="30" t="str">
        <f aca="false">IF($C307="","",$C307&amp;" ｜ "&amp;$D307)</f>
        <v/>
      </c>
      <c r="F307" s="25"/>
      <c r="G307" s="25"/>
      <c r="H307" s="25"/>
      <c r="I307" s="25"/>
      <c r="J307" s="25"/>
      <c r="K307" s="21"/>
      <c r="L307" s="21"/>
      <c r="M307" s="21"/>
      <c r="N307" s="25"/>
      <c r="O307" s="25"/>
      <c r="P307" s="32"/>
      <c r="Q307" s="25"/>
      <c r="R307" s="25"/>
      <c r="S307" s="33"/>
      <c r="T307" s="33"/>
      <c r="U307" s="33"/>
      <c r="V307" s="33"/>
      <c r="W307" s="25"/>
      <c r="X307" s="25"/>
      <c r="Y307" s="25"/>
      <c r="Z307" s="33"/>
      <c r="AA307" s="34" t="str">
        <f aca="true">IF($T307="","",IF($T307&lt;TODAY(),"已过期 "&amp;TEXT(TODAY()-$T307,"0")&amp;" 天",IF($T307-TODAY()&lt;=年检提醒天,"还剩 "&amp;TEXT($T307-TODAY(),"0")&amp;" 天","")))</f>
        <v/>
      </c>
      <c r="AB307" s="34" t="str">
        <f aca="true">IF(COUNT($U307:$V307)=0,"",IF(MIN($U307:$V307)&lt;TODAY(),"已过期 "&amp;TEXT(TODAY()-MIN($U307:$V307),"0")&amp;" 天",IF(MIN($U307:$V307)-TODAY()&lt;=年检提醒天,"还剩 "&amp;TEXT(MIN($U307:$V307)-TODAY(),"0")&amp;" 天","")))</f>
        <v/>
      </c>
      <c r="AC307" s="34" t="str">
        <f aca="true">IF($C307="","",IF(OR($Y307="安装免保",$Y307="技术免保",$Y307="质保期内"),IF($Z307="","▲免保没填到期日",IF($Z307&lt;TODAY(),"▲免保已到期 该转收费了",IF($Z307-TODAY()&lt;=合同提醒天,"免保还剩 "&amp;TEXT($Z307-TODAY(),"0")&amp;" 天","免保中"))),IF($Y307="暂停维保","暂停中 不计费",IF($Y307="已解约","已解约",IF(COUNTIF(合同键,$E307)=0,"▲还没建合同行","")))))</f>
        <v/>
      </c>
      <c r="AD307" s="24"/>
      <c r="AE307" s="35" t="str">
        <f aca="false">IF($C307="","",IF($D307="","★项目名称没填",IF(N($P307)&lt;=0,"★台量要填",IF(AND(OR($Y307="安装免保",$Y307="技术免保",$Y307="质保期内"),$Z307=""),"★免保到期日没填",IF(COUNTIF(合同键,$E307)=0,"★还没建合同行","OK")))))</f>
        <v/>
      </c>
    </row>
    <row r="308" customFormat="false" ht="15" hidden="false" customHeight="false" outlineLevel="0" collapsed="false">
      <c r="A308" s="29" t="str">
        <f aca="false">IF($C308="","",ROW()-4)</f>
        <v/>
      </c>
      <c r="B308" s="25"/>
      <c r="C308" s="24"/>
      <c r="D308" s="24"/>
      <c r="E308" s="30" t="str">
        <f aca="false">IF($C308="","",$C308&amp;" ｜ "&amp;$D308)</f>
        <v/>
      </c>
      <c r="F308" s="25"/>
      <c r="G308" s="25"/>
      <c r="H308" s="25"/>
      <c r="I308" s="25"/>
      <c r="J308" s="25"/>
      <c r="K308" s="21"/>
      <c r="L308" s="21"/>
      <c r="M308" s="21"/>
      <c r="N308" s="25"/>
      <c r="O308" s="25"/>
      <c r="P308" s="32"/>
      <c r="Q308" s="25"/>
      <c r="R308" s="25"/>
      <c r="S308" s="33"/>
      <c r="T308" s="33"/>
      <c r="U308" s="33"/>
      <c r="V308" s="33"/>
      <c r="W308" s="25"/>
      <c r="X308" s="25"/>
      <c r="Y308" s="25"/>
      <c r="Z308" s="33"/>
      <c r="AA308" s="34" t="str">
        <f aca="true">IF($T308="","",IF($T308&lt;TODAY(),"已过期 "&amp;TEXT(TODAY()-$T308,"0")&amp;" 天",IF($T308-TODAY()&lt;=年检提醒天,"还剩 "&amp;TEXT($T308-TODAY(),"0")&amp;" 天","")))</f>
        <v/>
      </c>
      <c r="AB308" s="34" t="str">
        <f aca="true">IF(COUNT($U308:$V308)=0,"",IF(MIN($U308:$V308)&lt;TODAY(),"已过期 "&amp;TEXT(TODAY()-MIN($U308:$V308),"0")&amp;" 天",IF(MIN($U308:$V308)-TODAY()&lt;=年检提醒天,"还剩 "&amp;TEXT(MIN($U308:$V308)-TODAY(),"0")&amp;" 天","")))</f>
        <v/>
      </c>
      <c r="AC308" s="34" t="str">
        <f aca="true">IF($C308="","",IF(OR($Y308="安装免保",$Y308="技术免保",$Y308="质保期内"),IF($Z308="","▲免保没填到期日",IF($Z308&lt;TODAY(),"▲免保已到期 该转收费了",IF($Z308-TODAY()&lt;=合同提醒天,"免保还剩 "&amp;TEXT($Z308-TODAY(),"0")&amp;" 天","免保中"))),IF($Y308="暂停维保","暂停中 不计费",IF($Y308="已解约","已解约",IF(COUNTIF(合同键,$E308)=0,"▲还没建合同行","")))))</f>
        <v/>
      </c>
      <c r="AD308" s="24"/>
      <c r="AE308" s="35" t="str">
        <f aca="false">IF($C308="","",IF($D308="","★项目名称没填",IF(N($P308)&lt;=0,"★台量要填",IF(AND(OR($Y308="安装免保",$Y308="技术免保",$Y308="质保期内"),$Z308=""),"★免保到期日没填",IF(COUNTIF(合同键,$E308)=0,"★还没建合同行","OK")))))</f>
        <v/>
      </c>
    </row>
    <row r="309" customFormat="false" ht="15" hidden="false" customHeight="false" outlineLevel="0" collapsed="false">
      <c r="A309" s="29" t="str">
        <f aca="false">IF($C309="","",ROW()-4)</f>
        <v/>
      </c>
      <c r="B309" s="25"/>
      <c r="C309" s="24"/>
      <c r="D309" s="24"/>
      <c r="E309" s="30" t="str">
        <f aca="false">IF($C309="","",$C309&amp;" ｜ "&amp;$D309)</f>
        <v/>
      </c>
      <c r="F309" s="25"/>
      <c r="G309" s="25"/>
      <c r="H309" s="25"/>
      <c r="I309" s="25"/>
      <c r="J309" s="25"/>
      <c r="K309" s="21"/>
      <c r="L309" s="21"/>
      <c r="M309" s="21"/>
      <c r="N309" s="25"/>
      <c r="O309" s="25"/>
      <c r="P309" s="32"/>
      <c r="Q309" s="25"/>
      <c r="R309" s="25"/>
      <c r="S309" s="33"/>
      <c r="T309" s="33"/>
      <c r="U309" s="33"/>
      <c r="V309" s="33"/>
      <c r="W309" s="25"/>
      <c r="X309" s="25"/>
      <c r="Y309" s="25"/>
      <c r="Z309" s="33"/>
      <c r="AA309" s="34" t="str">
        <f aca="true">IF($T309="","",IF($T309&lt;TODAY(),"已过期 "&amp;TEXT(TODAY()-$T309,"0")&amp;" 天",IF($T309-TODAY()&lt;=年检提醒天,"还剩 "&amp;TEXT($T309-TODAY(),"0")&amp;" 天","")))</f>
        <v/>
      </c>
      <c r="AB309" s="34" t="str">
        <f aca="true">IF(COUNT($U309:$V309)=0,"",IF(MIN($U309:$V309)&lt;TODAY(),"已过期 "&amp;TEXT(TODAY()-MIN($U309:$V309),"0")&amp;" 天",IF(MIN($U309:$V309)-TODAY()&lt;=年检提醒天,"还剩 "&amp;TEXT(MIN($U309:$V309)-TODAY(),"0")&amp;" 天","")))</f>
        <v/>
      </c>
      <c r="AC309" s="34" t="str">
        <f aca="true">IF($C309="","",IF(OR($Y309="安装免保",$Y309="技术免保",$Y309="质保期内"),IF($Z309="","▲免保没填到期日",IF($Z309&lt;TODAY(),"▲免保已到期 该转收费了",IF($Z309-TODAY()&lt;=合同提醒天,"免保还剩 "&amp;TEXT($Z309-TODAY(),"0")&amp;" 天","免保中"))),IF($Y309="暂停维保","暂停中 不计费",IF($Y309="已解约","已解约",IF(COUNTIF(合同键,$E309)=0,"▲还没建合同行","")))))</f>
        <v/>
      </c>
      <c r="AD309" s="24"/>
      <c r="AE309" s="35" t="str">
        <f aca="false">IF($C309="","",IF($D309="","★项目名称没填",IF(N($P309)&lt;=0,"★台量要填",IF(AND(OR($Y309="安装免保",$Y309="技术免保",$Y309="质保期内"),$Z309=""),"★免保到期日没填",IF(COUNTIF(合同键,$E309)=0,"★还没建合同行","OK")))))</f>
        <v/>
      </c>
    </row>
    <row r="310" customFormat="false" ht="15" hidden="false" customHeight="false" outlineLevel="0" collapsed="false">
      <c r="A310" s="29" t="str">
        <f aca="false">IF($C310="","",ROW()-4)</f>
        <v/>
      </c>
      <c r="B310" s="25"/>
      <c r="C310" s="24"/>
      <c r="D310" s="24"/>
      <c r="E310" s="30" t="str">
        <f aca="false">IF($C310="","",$C310&amp;" ｜ "&amp;$D310)</f>
        <v/>
      </c>
      <c r="F310" s="25"/>
      <c r="G310" s="25"/>
      <c r="H310" s="25"/>
      <c r="I310" s="25"/>
      <c r="J310" s="25"/>
      <c r="K310" s="21"/>
      <c r="L310" s="21"/>
      <c r="M310" s="21"/>
      <c r="N310" s="25"/>
      <c r="O310" s="25"/>
      <c r="P310" s="32"/>
      <c r="Q310" s="25"/>
      <c r="R310" s="25"/>
      <c r="S310" s="33"/>
      <c r="T310" s="33"/>
      <c r="U310" s="33"/>
      <c r="V310" s="33"/>
      <c r="W310" s="25"/>
      <c r="X310" s="25"/>
      <c r="Y310" s="25"/>
      <c r="Z310" s="33"/>
      <c r="AA310" s="34" t="str">
        <f aca="true">IF($T310="","",IF($T310&lt;TODAY(),"已过期 "&amp;TEXT(TODAY()-$T310,"0")&amp;" 天",IF($T310-TODAY()&lt;=年检提醒天,"还剩 "&amp;TEXT($T310-TODAY(),"0")&amp;" 天","")))</f>
        <v/>
      </c>
      <c r="AB310" s="34" t="str">
        <f aca="true">IF(COUNT($U310:$V310)=0,"",IF(MIN($U310:$V310)&lt;TODAY(),"已过期 "&amp;TEXT(TODAY()-MIN($U310:$V310),"0")&amp;" 天",IF(MIN($U310:$V310)-TODAY()&lt;=年检提醒天,"还剩 "&amp;TEXT(MIN($U310:$V310)-TODAY(),"0")&amp;" 天","")))</f>
        <v/>
      </c>
      <c r="AC310" s="34" t="str">
        <f aca="true">IF($C310="","",IF(OR($Y310="安装免保",$Y310="技术免保",$Y310="质保期内"),IF($Z310="","▲免保没填到期日",IF($Z310&lt;TODAY(),"▲免保已到期 该转收费了",IF($Z310-TODAY()&lt;=合同提醒天,"免保还剩 "&amp;TEXT($Z310-TODAY(),"0")&amp;" 天","免保中"))),IF($Y310="暂停维保","暂停中 不计费",IF($Y310="已解约","已解约",IF(COUNTIF(合同键,$E310)=0,"▲还没建合同行","")))))</f>
        <v/>
      </c>
      <c r="AD310" s="24"/>
      <c r="AE310" s="35" t="str">
        <f aca="false">IF($C310="","",IF($D310="","★项目名称没填",IF(N($P310)&lt;=0,"★台量要填",IF(AND(OR($Y310="安装免保",$Y310="技术免保",$Y310="质保期内"),$Z310=""),"★免保到期日没填",IF(COUNTIF(合同键,$E310)=0,"★还没建合同行","OK")))))</f>
        <v/>
      </c>
    </row>
    <row r="311" customFormat="false" ht="15" hidden="false" customHeight="false" outlineLevel="0" collapsed="false">
      <c r="A311" s="29" t="str">
        <f aca="false">IF($C311="","",ROW()-4)</f>
        <v/>
      </c>
      <c r="B311" s="25"/>
      <c r="C311" s="24"/>
      <c r="D311" s="24"/>
      <c r="E311" s="30" t="str">
        <f aca="false">IF($C311="","",$C311&amp;" ｜ "&amp;$D311)</f>
        <v/>
      </c>
      <c r="F311" s="25"/>
      <c r="G311" s="25"/>
      <c r="H311" s="25"/>
      <c r="I311" s="25"/>
      <c r="J311" s="25"/>
      <c r="K311" s="21"/>
      <c r="L311" s="21"/>
      <c r="M311" s="21"/>
      <c r="N311" s="25"/>
      <c r="O311" s="25"/>
      <c r="P311" s="32"/>
      <c r="Q311" s="25"/>
      <c r="R311" s="25"/>
      <c r="S311" s="33"/>
      <c r="T311" s="33"/>
      <c r="U311" s="33"/>
      <c r="V311" s="33"/>
      <c r="W311" s="25"/>
      <c r="X311" s="25"/>
      <c r="Y311" s="25"/>
      <c r="Z311" s="33"/>
      <c r="AA311" s="34" t="str">
        <f aca="true">IF($T311="","",IF($T311&lt;TODAY(),"已过期 "&amp;TEXT(TODAY()-$T311,"0")&amp;" 天",IF($T311-TODAY()&lt;=年检提醒天,"还剩 "&amp;TEXT($T311-TODAY(),"0")&amp;" 天","")))</f>
        <v/>
      </c>
      <c r="AB311" s="34" t="str">
        <f aca="true">IF(COUNT($U311:$V311)=0,"",IF(MIN($U311:$V311)&lt;TODAY(),"已过期 "&amp;TEXT(TODAY()-MIN($U311:$V311),"0")&amp;" 天",IF(MIN($U311:$V311)-TODAY()&lt;=年检提醒天,"还剩 "&amp;TEXT(MIN($U311:$V311)-TODAY(),"0")&amp;" 天","")))</f>
        <v/>
      </c>
      <c r="AC311" s="34" t="str">
        <f aca="true">IF($C311="","",IF(OR($Y311="安装免保",$Y311="技术免保",$Y311="质保期内"),IF($Z311="","▲免保没填到期日",IF($Z311&lt;TODAY(),"▲免保已到期 该转收费了",IF($Z311-TODAY()&lt;=合同提醒天,"免保还剩 "&amp;TEXT($Z311-TODAY(),"0")&amp;" 天","免保中"))),IF($Y311="暂停维保","暂停中 不计费",IF($Y311="已解约","已解约",IF(COUNTIF(合同键,$E311)=0,"▲还没建合同行","")))))</f>
        <v/>
      </c>
      <c r="AD311" s="24"/>
      <c r="AE311" s="35" t="str">
        <f aca="false">IF($C311="","",IF($D311="","★项目名称没填",IF(N($P311)&lt;=0,"★台量要填",IF(AND(OR($Y311="安装免保",$Y311="技术免保",$Y311="质保期内"),$Z311=""),"★免保到期日没填",IF(COUNTIF(合同键,$E311)=0,"★还没建合同行","OK")))))</f>
        <v/>
      </c>
    </row>
    <row r="312" customFormat="false" ht="15" hidden="false" customHeight="false" outlineLevel="0" collapsed="false">
      <c r="A312" s="29" t="str">
        <f aca="false">IF($C312="","",ROW()-4)</f>
        <v/>
      </c>
      <c r="B312" s="25"/>
      <c r="C312" s="24"/>
      <c r="D312" s="24"/>
      <c r="E312" s="30" t="str">
        <f aca="false">IF($C312="","",$C312&amp;" ｜ "&amp;$D312)</f>
        <v/>
      </c>
      <c r="F312" s="25"/>
      <c r="G312" s="25"/>
      <c r="H312" s="25"/>
      <c r="I312" s="25"/>
      <c r="J312" s="25"/>
      <c r="K312" s="21"/>
      <c r="L312" s="21"/>
      <c r="M312" s="21"/>
      <c r="N312" s="25"/>
      <c r="O312" s="25"/>
      <c r="P312" s="32"/>
      <c r="Q312" s="25"/>
      <c r="R312" s="25"/>
      <c r="S312" s="33"/>
      <c r="T312" s="33"/>
      <c r="U312" s="33"/>
      <c r="V312" s="33"/>
      <c r="W312" s="25"/>
      <c r="X312" s="25"/>
      <c r="Y312" s="25"/>
      <c r="Z312" s="33"/>
      <c r="AA312" s="34" t="str">
        <f aca="true">IF($T312="","",IF($T312&lt;TODAY(),"已过期 "&amp;TEXT(TODAY()-$T312,"0")&amp;" 天",IF($T312-TODAY()&lt;=年检提醒天,"还剩 "&amp;TEXT($T312-TODAY(),"0")&amp;" 天","")))</f>
        <v/>
      </c>
      <c r="AB312" s="34" t="str">
        <f aca="true">IF(COUNT($U312:$V312)=0,"",IF(MIN($U312:$V312)&lt;TODAY(),"已过期 "&amp;TEXT(TODAY()-MIN($U312:$V312),"0")&amp;" 天",IF(MIN($U312:$V312)-TODAY()&lt;=年检提醒天,"还剩 "&amp;TEXT(MIN($U312:$V312)-TODAY(),"0")&amp;" 天","")))</f>
        <v/>
      </c>
      <c r="AC312" s="34" t="str">
        <f aca="true">IF($C312="","",IF(OR($Y312="安装免保",$Y312="技术免保",$Y312="质保期内"),IF($Z312="","▲免保没填到期日",IF($Z312&lt;TODAY(),"▲免保已到期 该转收费了",IF($Z312-TODAY()&lt;=合同提醒天,"免保还剩 "&amp;TEXT($Z312-TODAY(),"0")&amp;" 天","免保中"))),IF($Y312="暂停维保","暂停中 不计费",IF($Y312="已解约","已解约",IF(COUNTIF(合同键,$E312)=0,"▲还没建合同行","")))))</f>
        <v/>
      </c>
      <c r="AD312" s="24"/>
      <c r="AE312" s="35" t="str">
        <f aca="false">IF($C312="","",IF($D312="","★项目名称没填",IF(N($P312)&lt;=0,"★台量要填",IF(AND(OR($Y312="安装免保",$Y312="技术免保",$Y312="质保期内"),$Z312=""),"★免保到期日没填",IF(COUNTIF(合同键,$E312)=0,"★还没建合同行","OK")))))</f>
        <v/>
      </c>
    </row>
    <row r="313" customFormat="false" ht="15" hidden="false" customHeight="false" outlineLevel="0" collapsed="false">
      <c r="A313" s="29" t="str">
        <f aca="false">IF($C313="","",ROW()-4)</f>
        <v/>
      </c>
      <c r="B313" s="25"/>
      <c r="C313" s="24"/>
      <c r="D313" s="24"/>
      <c r="E313" s="30" t="str">
        <f aca="false">IF($C313="","",$C313&amp;" ｜ "&amp;$D313)</f>
        <v/>
      </c>
      <c r="F313" s="25"/>
      <c r="G313" s="25"/>
      <c r="H313" s="25"/>
      <c r="I313" s="25"/>
      <c r="J313" s="25"/>
      <c r="K313" s="21"/>
      <c r="L313" s="21"/>
      <c r="M313" s="21"/>
      <c r="N313" s="25"/>
      <c r="O313" s="25"/>
      <c r="P313" s="32"/>
      <c r="Q313" s="25"/>
      <c r="R313" s="25"/>
      <c r="S313" s="33"/>
      <c r="T313" s="33"/>
      <c r="U313" s="33"/>
      <c r="V313" s="33"/>
      <c r="W313" s="25"/>
      <c r="X313" s="25"/>
      <c r="Y313" s="25"/>
      <c r="Z313" s="33"/>
      <c r="AA313" s="34" t="str">
        <f aca="true">IF($T313="","",IF($T313&lt;TODAY(),"已过期 "&amp;TEXT(TODAY()-$T313,"0")&amp;" 天",IF($T313-TODAY()&lt;=年检提醒天,"还剩 "&amp;TEXT($T313-TODAY(),"0")&amp;" 天","")))</f>
        <v/>
      </c>
      <c r="AB313" s="34" t="str">
        <f aca="true">IF(COUNT($U313:$V313)=0,"",IF(MIN($U313:$V313)&lt;TODAY(),"已过期 "&amp;TEXT(TODAY()-MIN($U313:$V313),"0")&amp;" 天",IF(MIN($U313:$V313)-TODAY()&lt;=年检提醒天,"还剩 "&amp;TEXT(MIN($U313:$V313)-TODAY(),"0")&amp;" 天","")))</f>
        <v/>
      </c>
      <c r="AC313" s="34" t="str">
        <f aca="true">IF($C313="","",IF(OR($Y313="安装免保",$Y313="技术免保",$Y313="质保期内"),IF($Z313="","▲免保没填到期日",IF($Z313&lt;TODAY(),"▲免保已到期 该转收费了",IF($Z313-TODAY()&lt;=合同提醒天,"免保还剩 "&amp;TEXT($Z313-TODAY(),"0")&amp;" 天","免保中"))),IF($Y313="暂停维保","暂停中 不计费",IF($Y313="已解约","已解约",IF(COUNTIF(合同键,$E313)=0,"▲还没建合同行","")))))</f>
        <v/>
      </c>
      <c r="AD313" s="24"/>
      <c r="AE313" s="35" t="str">
        <f aca="false">IF($C313="","",IF($D313="","★项目名称没填",IF(N($P313)&lt;=0,"★台量要填",IF(AND(OR($Y313="安装免保",$Y313="技术免保",$Y313="质保期内"),$Z313=""),"★免保到期日没填",IF(COUNTIF(合同键,$E313)=0,"★还没建合同行","OK")))))</f>
        <v/>
      </c>
    </row>
    <row r="314" customFormat="false" ht="15" hidden="false" customHeight="false" outlineLevel="0" collapsed="false">
      <c r="A314" s="29" t="str">
        <f aca="false">IF($C314="","",ROW()-4)</f>
        <v/>
      </c>
      <c r="B314" s="25"/>
      <c r="C314" s="24"/>
      <c r="D314" s="24"/>
      <c r="E314" s="30" t="str">
        <f aca="false">IF($C314="","",$C314&amp;" ｜ "&amp;$D314)</f>
        <v/>
      </c>
      <c r="F314" s="25"/>
      <c r="G314" s="25"/>
      <c r="H314" s="25"/>
      <c r="I314" s="25"/>
      <c r="J314" s="25"/>
      <c r="K314" s="21"/>
      <c r="L314" s="21"/>
      <c r="M314" s="21"/>
      <c r="N314" s="25"/>
      <c r="O314" s="25"/>
      <c r="P314" s="32"/>
      <c r="Q314" s="25"/>
      <c r="R314" s="25"/>
      <c r="S314" s="33"/>
      <c r="T314" s="33"/>
      <c r="U314" s="33"/>
      <c r="V314" s="33"/>
      <c r="W314" s="25"/>
      <c r="X314" s="25"/>
      <c r="Y314" s="25"/>
      <c r="Z314" s="33"/>
      <c r="AA314" s="34" t="str">
        <f aca="true">IF($T314="","",IF($T314&lt;TODAY(),"已过期 "&amp;TEXT(TODAY()-$T314,"0")&amp;" 天",IF($T314-TODAY()&lt;=年检提醒天,"还剩 "&amp;TEXT($T314-TODAY(),"0")&amp;" 天","")))</f>
        <v/>
      </c>
      <c r="AB314" s="34" t="str">
        <f aca="true">IF(COUNT($U314:$V314)=0,"",IF(MIN($U314:$V314)&lt;TODAY(),"已过期 "&amp;TEXT(TODAY()-MIN($U314:$V314),"0")&amp;" 天",IF(MIN($U314:$V314)-TODAY()&lt;=年检提醒天,"还剩 "&amp;TEXT(MIN($U314:$V314)-TODAY(),"0")&amp;" 天","")))</f>
        <v/>
      </c>
      <c r="AC314" s="34" t="str">
        <f aca="true">IF($C314="","",IF(OR($Y314="安装免保",$Y314="技术免保",$Y314="质保期内"),IF($Z314="","▲免保没填到期日",IF($Z314&lt;TODAY(),"▲免保已到期 该转收费了",IF($Z314-TODAY()&lt;=合同提醒天,"免保还剩 "&amp;TEXT($Z314-TODAY(),"0")&amp;" 天","免保中"))),IF($Y314="暂停维保","暂停中 不计费",IF($Y314="已解约","已解约",IF(COUNTIF(合同键,$E314)=0,"▲还没建合同行","")))))</f>
        <v/>
      </c>
      <c r="AD314" s="24"/>
      <c r="AE314" s="35" t="str">
        <f aca="false">IF($C314="","",IF($D314="","★项目名称没填",IF(N($P314)&lt;=0,"★台量要填",IF(AND(OR($Y314="安装免保",$Y314="技术免保",$Y314="质保期内"),$Z314=""),"★免保到期日没填",IF(COUNTIF(合同键,$E314)=0,"★还没建合同行","OK")))))</f>
        <v/>
      </c>
    </row>
    <row r="315" customFormat="false" ht="15" hidden="false" customHeight="false" outlineLevel="0" collapsed="false">
      <c r="A315" s="29" t="str">
        <f aca="false">IF($C315="","",ROW()-4)</f>
        <v/>
      </c>
      <c r="B315" s="25"/>
      <c r="C315" s="24"/>
      <c r="D315" s="24"/>
      <c r="E315" s="30" t="str">
        <f aca="false">IF($C315="","",$C315&amp;" ｜ "&amp;$D315)</f>
        <v/>
      </c>
      <c r="F315" s="25"/>
      <c r="G315" s="25"/>
      <c r="H315" s="25"/>
      <c r="I315" s="25"/>
      <c r="J315" s="25"/>
      <c r="K315" s="21"/>
      <c r="L315" s="21"/>
      <c r="M315" s="21"/>
      <c r="N315" s="25"/>
      <c r="O315" s="25"/>
      <c r="P315" s="32"/>
      <c r="Q315" s="25"/>
      <c r="R315" s="25"/>
      <c r="S315" s="33"/>
      <c r="T315" s="33"/>
      <c r="U315" s="33"/>
      <c r="V315" s="33"/>
      <c r="W315" s="25"/>
      <c r="X315" s="25"/>
      <c r="Y315" s="25"/>
      <c r="Z315" s="33"/>
      <c r="AA315" s="34" t="str">
        <f aca="true">IF($T315="","",IF($T315&lt;TODAY(),"已过期 "&amp;TEXT(TODAY()-$T315,"0")&amp;" 天",IF($T315-TODAY()&lt;=年检提醒天,"还剩 "&amp;TEXT($T315-TODAY(),"0")&amp;" 天","")))</f>
        <v/>
      </c>
      <c r="AB315" s="34" t="str">
        <f aca="true">IF(COUNT($U315:$V315)=0,"",IF(MIN($U315:$V315)&lt;TODAY(),"已过期 "&amp;TEXT(TODAY()-MIN($U315:$V315),"0")&amp;" 天",IF(MIN($U315:$V315)-TODAY()&lt;=年检提醒天,"还剩 "&amp;TEXT(MIN($U315:$V315)-TODAY(),"0")&amp;" 天","")))</f>
        <v/>
      </c>
      <c r="AC315" s="34" t="str">
        <f aca="true">IF($C315="","",IF(OR($Y315="安装免保",$Y315="技术免保",$Y315="质保期内"),IF($Z315="","▲免保没填到期日",IF($Z315&lt;TODAY(),"▲免保已到期 该转收费了",IF($Z315-TODAY()&lt;=合同提醒天,"免保还剩 "&amp;TEXT($Z315-TODAY(),"0")&amp;" 天","免保中"))),IF($Y315="暂停维保","暂停中 不计费",IF($Y315="已解约","已解约",IF(COUNTIF(合同键,$E315)=0,"▲还没建合同行","")))))</f>
        <v/>
      </c>
      <c r="AD315" s="24"/>
      <c r="AE315" s="35" t="str">
        <f aca="false">IF($C315="","",IF($D315="","★项目名称没填",IF(N($P315)&lt;=0,"★台量要填",IF(AND(OR($Y315="安装免保",$Y315="技术免保",$Y315="质保期内"),$Z315=""),"★免保到期日没填",IF(COUNTIF(合同键,$E315)=0,"★还没建合同行","OK")))))</f>
        <v/>
      </c>
    </row>
    <row r="316" customFormat="false" ht="15" hidden="false" customHeight="false" outlineLevel="0" collapsed="false">
      <c r="A316" s="29" t="str">
        <f aca="false">IF($C316="","",ROW()-4)</f>
        <v/>
      </c>
      <c r="B316" s="25"/>
      <c r="C316" s="24"/>
      <c r="D316" s="24"/>
      <c r="E316" s="30" t="str">
        <f aca="false">IF($C316="","",$C316&amp;" ｜ "&amp;$D316)</f>
        <v/>
      </c>
      <c r="F316" s="25"/>
      <c r="G316" s="25"/>
      <c r="H316" s="25"/>
      <c r="I316" s="25"/>
      <c r="J316" s="25"/>
      <c r="K316" s="21"/>
      <c r="L316" s="21"/>
      <c r="M316" s="21"/>
      <c r="N316" s="25"/>
      <c r="O316" s="25"/>
      <c r="P316" s="32"/>
      <c r="Q316" s="25"/>
      <c r="R316" s="25"/>
      <c r="S316" s="33"/>
      <c r="T316" s="33"/>
      <c r="U316" s="33"/>
      <c r="V316" s="33"/>
      <c r="W316" s="25"/>
      <c r="X316" s="25"/>
      <c r="Y316" s="25"/>
      <c r="Z316" s="33"/>
      <c r="AA316" s="34" t="str">
        <f aca="true">IF($T316="","",IF($T316&lt;TODAY(),"已过期 "&amp;TEXT(TODAY()-$T316,"0")&amp;" 天",IF($T316-TODAY()&lt;=年检提醒天,"还剩 "&amp;TEXT($T316-TODAY(),"0")&amp;" 天","")))</f>
        <v/>
      </c>
      <c r="AB316" s="34" t="str">
        <f aca="true">IF(COUNT($U316:$V316)=0,"",IF(MIN($U316:$V316)&lt;TODAY(),"已过期 "&amp;TEXT(TODAY()-MIN($U316:$V316),"0")&amp;" 天",IF(MIN($U316:$V316)-TODAY()&lt;=年检提醒天,"还剩 "&amp;TEXT(MIN($U316:$V316)-TODAY(),"0")&amp;" 天","")))</f>
        <v/>
      </c>
      <c r="AC316" s="34" t="str">
        <f aca="true">IF($C316="","",IF(OR($Y316="安装免保",$Y316="技术免保",$Y316="质保期内"),IF($Z316="","▲免保没填到期日",IF($Z316&lt;TODAY(),"▲免保已到期 该转收费了",IF($Z316-TODAY()&lt;=合同提醒天,"免保还剩 "&amp;TEXT($Z316-TODAY(),"0")&amp;" 天","免保中"))),IF($Y316="暂停维保","暂停中 不计费",IF($Y316="已解约","已解约",IF(COUNTIF(合同键,$E316)=0,"▲还没建合同行","")))))</f>
        <v/>
      </c>
      <c r="AD316" s="24"/>
      <c r="AE316" s="35" t="str">
        <f aca="false">IF($C316="","",IF($D316="","★项目名称没填",IF(N($P316)&lt;=0,"★台量要填",IF(AND(OR($Y316="安装免保",$Y316="技术免保",$Y316="质保期内"),$Z316=""),"★免保到期日没填",IF(COUNTIF(合同键,$E316)=0,"★还没建合同行","OK")))))</f>
        <v/>
      </c>
    </row>
    <row r="317" customFormat="false" ht="15" hidden="false" customHeight="false" outlineLevel="0" collapsed="false">
      <c r="A317" s="29" t="str">
        <f aca="false">IF($C317="","",ROW()-4)</f>
        <v/>
      </c>
      <c r="B317" s="25"/>
      <c r="C317" s="24"/>
      <c r="D317" s="24"/>
      <c r="E317" s="30" t="str">
        <f aca="false">IF($C317="","",$C317&amp;" ｜ "&amp;$D317)</f>
        <v/>
      </c>
      <c r="F317" s="25"/>
      <c r="G317" s="25"/>
      <c r="H317" s="25"/>
      <c r="I317" s="25"/>
      <c r="J317" s="25"/>
      <c r="K317" s="21"/>
      <c r="L317" s="21"/>
      <c r="M317" s="21"/>
      <c r="N317" s="25"/>
      <c r="O317" s="25"/>
      <c r="P317" s="32"/>
      <c r="Q317" s="25"/>
      <c r="R317" s="25"/>
      <c r="S317" s="33"/>
      <c r="T317" s="33"/>
      <c r="U317" s="33"/>
      <c r="V317" s="33"/>
      <c r="W317" s="25"/>
      <c r="X317" s="25"/>
      <c r="Y317" s="25"/>
      <c r="Z317" s="33"/>
      <c r="AA317" s="34" t="str">
        <f aca="true">IF($T317="","",IF($T317&lt;TODAY(),"已过期 "&amp;TEXT(TODAY()-$T317,"0")&amp;" 天",IF($T317-TODAY()&lt;=年检提醒天,"还剩 "&amp;TEXT($T317-TODAY(),"0")&amp;" 天","")))</f>
        <v/>
      </c>
      <c r="AB317" s="34" t="str">
        <f aca="true">IF(COUNT($U317:$V317)=0,"",IF(MIN($U317:$V317)&lt;TODAY(),"已过期 "&amp;TEXT(TODAY()-MIN($U317:$V317),"0")&amp;" 天",IF(MIN($U317:$V317)-TODAY()&lt;=年检提醒天,"还剩 "&amp;TEXT(MIN($U317:$V317)-TODAY(),"0")&amp;" 天","")))</f>
        <v/>
      </c>
      <c r="AC317" s="34" t="str">
        <f aca="true">IF($C317="","",IF(OR($Y317="安装免保",$Y317="技术免保",$Y317="质保期内"),IF($Z317="","▲免保没填到期日",IF($Z317&lt;TODAY(),"▲免保已到期 该转收费了",IF($Z317-TODAY()&lt;=合同提醒天,"免保还剩 "&amp;TEXT($Z317-TODAY(),"0")&amp;" 天","免保中"))),IF($Y317="暂停维保","暂停中 不计费",IF($Y317="已解约","已解约",IF(COUNTIF(合同键,$E317)=0,"▲还没建合同行","")))))</f>
        <v/>
      </c>
      <c r="AD317" s="24"/>
      <c r="AE317" s="35" t="str">
        <f aca="false">IF($C317="","",IF($D317="","★项目名称没填",IF(N($P317)&lt;=0,"★台量要填",IF(AND(OR($Y317="安装免保",$Y317="技术免保",$Y317="质保期内"),$Z317=""),"★免保到期日没填",IF(COUNTIF(合同键,$E317)=0,"★还没建合同行","OK")))))</f>
        <v/>
      </c>
    </row>
    <row r="318" customFormat="false" ht="15" hidden="false" customHeight="false" outlineLevel="0" collapsed="false">
      <c r="A318" s="29" t="str">
        <f aca="false">IF($C318="","",ROW()-4)</f>
        <v/>
      </c>
      <c r="B318" s="25"/>
      <c r="C318" s="24"/>
      <c r="D318" s="24"/>
      <c r="E318" s="30" t="str">
        <f aca="false">IF($C318="","",$C318&amp;" ｜ "&amp;$D318)</f>
        <v/>
      </c>
      <c r="F318" s="25"/>
      <c r="G318" s="25"/>
      <c r="H318" s="25"/>
      <c r="I318" s="25"/>
      <c r="J318" s="25"/>
      <c r="K318" s="21"/>
      <c r="L318" s="21"/>
      <c r="M318" s="21"/>
      <c r="N318" s="25"/>
      <c r="O318" s="25"/>
      <c r="P318" s="32"/>
      <c r="Q318" s="25"/>
      <c r="R318" s="25"/>
      <c r="S318" s="33"/>
      <c r="T318" s="33"/>
      <c r="U318" s="33"/>
      <c r="V318" s="33"/>
      <c r="W318" s="25"/>
      <c r="X318" s="25"/>
      <c r="Y318" s="25"/>
      <c r="Z318" s="33"/>
      <c r="AA318" s="34" t="str">
        <f aca="true">IF($T318="","",IF($T318&lt;TODAY(),"已过期 "&amp;TEXT(TODAY()-$T318,"0")&amp;" 天",IF($T318-TODAY()&lt;=年检提醒天,"还剩 "&amp;TEXT($T318-TODAY(),"0")&amp;" 天","")))</f>
        <v/>
      </c>
      <c r="AB318" s="34" t="str">
        <f aca="true">IF(COUNT($U318:$V318)=0,"",IF(MIN($U318:$V318)&lt;TODAY(),"已过期 "&amp;TEXT(TODAY()-MIN($U318:$V318),"0")&amp;" 天",IF(MIN($U318:$V318)-TODAY()&lt;=年检提醒天,"还剩 "&amp;TEXT(MIN($U318:$V318)-TODAY(),"0")&amp;" 天","")))</f>
        <v/>
      </c>
      <c r="AC318" s="34" t="str">
        <f aca="true">IF($C318="","",IF(OR($Y318="安装免保",$Y318="技术免保",$Y318="质保期内"),IF($Z318="","▲免保没填到期日",IF($Z318&lt;TODAY(),"▲免保已到期 该转收费了",IF($Z318-TODAY()&lt;=合同提醒天,"免保还剩 "&amp;TEXT($Z318-TODAY(),"0")&amp;" 天","免保中"))),IF($Y318="暂停维保","暂停中 不计费",IF($Y318="已解约","已解约",IF(COUNTIF(合同键,$E318)=0,"▲还没建合同行","")))))</f>
        <v/>
      </c>
      <c r="AD318" s="24"/>
      <c r="AE318" s="35" t="str">
        <f aca="false">IF($C318="","",IF($D318="","★项目名称没填",IF(N($P318)&lt;=0,"★台量要填",IF(AND(OR($Y318="安装免保",$Y318="技术免保",$Y318="质保期内"),$Z318=""),"★免保到期日没填",IF(COUNTIF(合同键,$E318)=0,"★还没建合同行","OK")))))</f>
        <v/>
      </c>
    </row>
    <row r="319" customFormat="false" ht="15" hidden="false" customHeight="false" outlineLevel="0" collapsed="false">
      <c r="A319" s="29" t="str">
        <f aca="false">IF($C319="","",ROW()-4)</f>
        <v/>
      </c>
      <c r="B319" s="25"/>
      <c r="C319" s="24"/>
      <c r="D319" s="24"/>
      <c r="E319" s="30" t="str">
        <f aca="false">IF($C319="","",$C319&amp;" ｜ "&amp;$D319)</f>
        <v/>
      </c>
      <c r="F319" s="25"/>
      <c r="G319" s="25"/>
      <c r="H319" s="25"/>
      <c r="I319" s="25"/>
      <c r="J319" s="25"/>
      <c r="K319" s="21"/>
      <c r="L319" s="21"/>
      <c r="M319" s="21"/>
      <c r="N319" s="25"/>
      <c r="O319" s="25"/>
      <c r="P319" s="32"/>
      <c r="Q319" s="25"/>
      <c r="R319" s="25"/>
      <c r="S319" s="33"/>
      <c r="T319" s="33"/>
      <c r="U319" s="33"/>
      <c r="V319" s="33"/>
      <c r="W319" s="25"/>
      <c r="X319" s="25"/>
      <c r="Y319" s="25"/>
      <c r="Z319" s="33"/>
      <c r="AA319" s="34" t="str">
        <f aca="true">IF($T319="","",IF($T319&lt;TODAY(),"已过期 "&amp;TEXT(TODAY()-$T319,"0")&amp;" 天",IF($T319-TODAY()&lt;=年检提醒天,"还剩 "&amp;TEXT($T319-TODAY(),"0")&amp;" 天","")))</f>
        <v/>
      </c>
      <c r="AB319" s="34" t="str">
        <f aca="true">IF(COUNT($U319:$V319)=0,"",IF(MIN($U319:$V319)&lt;TODAY(),"已过期 "&amp;TEXT(TODAY()-MIN($U319:$V319),"0")&amp;" 天",IF(MIN($U319:$V319)-TODAY()&lt;=年检提醒天,"还剩 "&amp;TEXT(MIN($U319:$V319)-TODAY(),"0")&amp;" 天","")))</f>
        <v/>
      </c>
      <c r="AC319" s="34" t="str">
        <f aca="true">IF($C319="","",IF(OR($Y319="安装免保",$Y319="技术免保",$Y319="质保期内"),IF($Z319="","▲免保没填到期日",IF($Z319&lt;TODAY(),"▲免保已到期 该转收费了",IF($Z319-TODAY()&lt;=合同提醒天,"免保还剩 "&amp;TEXT($Z319-TODAY(),"0")&amp;" 天","免保中"))),IF($Y319="暂停维保","暂停中 不计费",IF($Y319="已解约","已解约",IF(COUNTIF(合同键,$E319)=0,"▲还没建合同行","")))))</f>
        <v/>
      </c>
      <c r="AD319" s="24"/>
      <c r="AE319" s="35" t="str">
        <f aca="false">IF($C319="","",IF($D319="","★项目名称没填",IF(N($P319)&lt;=0,"★台量要填",IF(AND(OR($Y319="安装免保",$Y319="技术免保",$Y319="质保期内"),$Z319=""),"★免保到期日没填",IF(COUNTIF(合同键,$E319)=0,"★还没建合同行","OK")))))</f>
        <v/>
      </c>
    </row>
    <row r="320" customFormat="false" ht="15" hidden="false" customHeight="false" outlineLevel="0" collapsed="false">
      <c r="A320" s="29" t="str">
        <f aca="false">IF($C320="","",ROW()-4)</f>
        <v/>
      </c>
      <c r="B320" s="25"/>
      <c r="C320" s="24"/>
      <c r="D320" s="24"/>
      <c r="E320" s="30" t="str">
        <f aca="false">IF($C320="","",$C320&amp;" ｜ "&amp;$D320)</f>
        <v/>
      </c>
      <c r="F320" s="25"/>
      <c r="G320" s="25"/>
      <c r="H320" s="25"/>
      <c r="I320" s="25"/>
      <c r="J320" s="25"/>
      <c r="K320" s="21"/>
      <c r="L320" s="21"/>
      <c r="M320" s="21"/>
      <c r="N320" s="25"/>
      <c r="O320" s="25"/>
      <c r="P320" s="32"/>
      <c r="Q320" s="25"/>
      <c r="R320" s="25"/>
      <c r="S320" s="33"/>
      <c r="T320" s="33"/>
      <c r="U320" s="33"/>
      <c r="V320" s="33"/>
      <c r="W320" s="25"/>
      <c r="X320" s="25"/>
      <c r="Y320" s="25"/>
      <c r="Z320" s="33"/>
      <c r="AA320" s="34" t="str">
        <f aca="true">IF($T320="","",IF($T320&lt;TODAY(),"已过期 "&amp;TEXT(TODAY()-$T320,"0")&amp;" 天",IF($T320-TODAY()&lt;=年检提醒天,"还剩 "&amp;TEXT($T320-TODAY(),"0")&amp;" 天","")))</f>
        <v/>
      </c>
      <c r="AB320" s="34" t="str">
        <f aca="true">IF(COUNT($U320:$V320)=0,"",IF(MIN($U320:$V320)&lt;TODAY(),"已过期 "&amp;TEXT(TODAY()-MIN($U320:$V320),"0")&amp;" 天",IF(MIN($U320:$V320)-TODAY()&lt;=年检提醒天,"还剩 "&amp;TEXT(MIN($U320:$V320)-TODAY(),"0")&amp;" 天","")))</f>
        <v/>
      </c>
      <c r="AC320" s="34" t="str">
        <f aca="true">IF($C320="","",IF(OR($Y320="安装免保",$Y320="技术免保",$Y320="质保期内"),IF($Z320="","▲免保没填到期日",IF($Z320&lt;TODAY(),"▲免保已到期 该转收费了",IF($Z320-TODAY()&lt;=合同提醒天,"免保还剩 "&amp;TEXT($Z320-TODAY(),"0")&amp;" 天","免保中"))),IF($Y320="暂停维保","暂停中 不计费",IF($Y320="已解约","已解约",IF(COUNTIF(合同键,$E320)=0,"▲还没建合同行","")))))</f>
        <v/>
      </c>
      <c r="AD320" s="24"/>
      <c r="AE320" s="35" t="str">
        <f aca="false">IF($C320="","",IF($D320="","★项目名称没填",IF(N($P320)&lt;=0,"★台量要填",IF(AND(OR($Y320="安装免保",$Y320="技术免保",$Y320="质保期内"),$Z320=""),"★免保到期日没填",IF(COUNTIF(合同键,$E320)=0,"★还没建合同行","OK")))))</f>
        <v/>
      </c>
    </row>
    <row r="321" customFormat="false" ht="15" hidden="false" customHeight="false" outlineLevel="0" collapsed="false">
      <c r="A321" s="29" t="str">
        <f aca="false">IF($C321="","",ROW()-4)</f>
        <v/>
      </c>
      <c r="B321" s="25"/>
      <c r="C321" s="24"/>
      <c r="D321" s="24"/>
      <c r="E321" s="30" t="str">
        <f aca="false">IF($C321="","",$C321&amp;" ｜ "&amp;$D321)</f>
        <v/>
      </c>
      <c r="F321" s="25"/>
      <c r="G321" s="25"/>
      <c r="H321" s="25"/>
      <c r="I321" s="25"/>
      <c r="J321" s="25"/>
      <c r="K321" s="21"/>
      <c r="L321" s="21"/>
      <c r="M321" s="21"/>
      <c r="N321" s="25"/>
      <c r="O321" s="25"/>
      <c r="P321" s="32"/>
      <c r="Q321" s="25"/>
      <c r="R321" s="25"/>
      <c r="S321" s="33"/>
      <c r="T321" s="33"/>
      <c r="U321" s="33"/>
      <c r="V321" s="33"/>
      <c r="W321" s="25"/>
      <c r="X321" s="25"/>
      <c r="Y321" s="25"/>
      <c r="Z321" s="33"/>
      <c r="AA321" s="34" t="str">
        <f aca="true">IF($T321="","",IF($T321&lt;TODAY(),"已过期 "&amp;TEXT(TODAY()-$T321,"0")&amp;" 天",IF($T321-TODAY()&lt;=年检提醒天,"还剩 "&amp;TEXT($T321-TODAY(),"0")&amp;" 天","")))</f>
        <v/>
      </c>
      <c r="AB321" s="34" t="str">
        <f aca="true">IF(COUNT($U321:$V321)=0,"",IF(MIN($U321:$V321)&lt;TODAY(),"已过期 "&amp;TEXT(TODAY()-MIN($U321:$V321),"0")&amp;" 天",IF(MIN($U321:$V321)-TODAY()&lt;=年检提醒天,"还剩 "&amp;TEXT(MIN($U321:$V321)-TODAY(),"0")&amp;" 天","")))</f>
        <v/>
      </c>
      <c r="AC321" s="34" t="str">
        <f aca="true">IF($C321="","",IF(OR($Y321="安装免保",$Y321="技术免保",$Y321="质保期内"),IF($Z321="","▲免保没填到期日",IF($Z321&lt;TODAY(),"▲免保已到期 该转收费了",IF($Z321-TODAY()&lt;=合同提醒天,"免保还剩 "&amp;TEXT($Z321-TODAY(),"0")&amp;" 天","免保中"))),IF($Y321="暂停维保","暂停中 不计费",IF($Y321="已解约","已解约",IF(COUNTIF(合同键,$E321)=0,"▲还没建合同行","")))))</f>
        <v/>
      </c>
      <c r="AD321" s="24"/>
      <c r="AE321" s="35" t="str">
        <f aca="false">IF($C321="","",IF($D321="","★项目名称没填",IF(N($P321)&lt;=0,"★台量要填",IF(AND(OR($Y321="安装免保",$Y321="技术免保",$Y321="质保期内"),$Z321=""),"★免保到期日没填",IF(COUNTIF(合同键,$E321)=0,"★还没建合同行","OK")))))</f>
        <v/>
      </c>
    </row>
    <row r="322" customFormat="false" ht="15" hidden="false" customHeight="false" outlineLevel="0" collapsed="false">
      <c r="A322" s="29" t="str">
        <f aca="false">IF($C322="","",ROW()-4)</f>
        <v/>
      </c>
      <c r="B322" s="25"/>
      <c r="C322" s="24"/>
      <c r="D322" s="24"/>
      <c r="E322" s="30" t="str">
        <f aca="false">IF($C322="","",$C322&amp;" ｜ "&amp;$D322)</f>
        <v/>
      </c>
      <c r="F322" s="25"/>
      <c r="G322" s="25"/>
      <c r="H322" s="25"/>
      <c r="I322" s="25"/>
      <c r="J322" s="25"/>
      <c r="K322" s="21"/>
      <c r="L322" s="21"/>
      <c r="M322" s="21"/>
      <c r="N322" s="25"/>
      <c r="O322" s="25"/>
      <c r="P322" s="32"/>
      <c r="Q322" s="25"/>
      <c r="R322" s="25"/>
      <c r="S322" s="33"/>
      <c r="T322" s="33"/>
      <c r="U322" s="33"/>
      <c r="V322" s="33"/>
      <c r="W322" s="25"/>
      <c r="X322" s="25"/>
      <c r="Y322" s="25"/>
      <c r="Z322" s="33"/>
      <c r="AA322" s="34" t="str">
        <f aca="true">IF($T322="","",IF($T322&lt;TODAY(),"已过期 "&amp;TEXT(TODAY()-$T322,"0")&amp;" 天",IF($T322-TODAY()&lt;=年检提醒天,"还剩 "&amp;TEXT($T322-TODAY(),"0")&amp;" 天","")))</f>
        <v/>
      </c>
      <c r="AB322" s="34" t="str">
        <f aca="true">IF(COUNT($U322:$V322)=0,"",IF(MIN($U322:$V322)&lt;TODAY(),"已过期 "&amp;TEXT(TODAY()-MIN($U322:$V322),"0")&amp;" 天",IF(MIN($U322:$V322)-TODAY()&lt;=年检提醒天,"还剩 "&amp;TEXT(MIN($U322:$V322)-TODAY(),"0")&amp;" 天","")))</f>
        <v/>
      </c>
      <c r="AC322" s="34" t="str">
        <f aca="true">IF($C322="","",IF(OR($Y322="安装免保",$Y322="技术免保",$Y322="质保期内"),IF($Z322="","▲免保没填到期日",IF($Z322&lt;TODAY(),"▲免保已到期 该转收费了",IF($Z322-TODAY()&lt;=合同提醒天,"免保还剩 "&amp;TEXT($Z322-TODAY(),"0")&amp;" 天","免保中"))),IF($Y322="暂停维保","暂停中 不计费",IF($Y322="已解约","已解约",IF(COUNTIF(合同键,$E322)=0,"▲还没建合同行","")))))</f>
        <v/>
      </c>
      <c r="AD322" s="24"/>
      <c r="AE322" s="35" t="str">
        <f aca="false">IF($C322="","",IF($D322="","★项目名称没填",IF(N($P322)&lt;=0,"★台量要填",IF(AND(OR($Y322="安装免保",$Y322="技术免保",$Y322="质保期内"),$Z322=""),"★免保到期日没填",IF(COUNTIF(合同键,$E322)=0,"★还没建合同行","OK")))))</f>
        <v/>
      </c>
    </row>
    <row r="323" customFormat="false" ht="15" hidden="false" customHeight="false" outlineLevel="0" collapsed="false">
      <c r="A323" s="29" t="str">
        <f aca="false">IF($C323="","",ROW()-4)</f>
        <v/>
      </c>
      <c r="B323" s="25"/>
      <c r="C323" s="24"/>
      <c r="D323" s="24"/>
      <c r="E323" s="30" t="str">
        <f aca="false">IF($C323="","",$C323&amp;" ｜ "&amp;$D323)</f>
        <v/>
      </c>
      <c r="F323" s="25"/>
      <c r="G323" s="25"/>
      <c r="H323" s="25"/>
      <c r="I323" s="25"/>
      <c r="J323" s="25"/>
      <c r="K323" s="21"/>
      <c r="L323" s="21"/>
      <c r="M323" s="21"/>
      <c r="N323" s="25"/>
      <c r="O323" s="25"/>
      <c r="P323" s="32"/>
      <c r="Q323" s="25"/>
      <c r="R323" s="25"/>
      <c r="S323" s="33"/>
      <c r="T323" s="33"/>
      <c r="U323" s="33"/>
      <c r="V323" s="33"/>
      <c r="W323" s="25"/>
      <c r="X323" s="25"/>
      <c r="Y323" s="25"/>
      <c r="Z323" s="33"/>
      <c r="AA323" s="34" t="str">
        <f aca="true">IF($T323="","",IF($T323&lt;TODAY(),"已过期 "&amp;TEXT(TODAY()-$T323,"0")&amp;" 天",IF($T323-TODAY()&lt;=年检提醒天,"还剩 "&amp;TEXT($T323-TODAY(),"0")&amp;" 天","")))</f>
        <v/>
      </c>
      <c r="AB323" s="34" t="str">
        <f aca="true">IF(COUNT($U323:$V323)=0,"",IF(MIN($U323:$V323)&lt;TODAY(),"已过期 "&amp;TEXT(TODAY()-MIN($U323:$V323),"0")&amp;" 天",IF(MIN($U323:$V323)-TODAY()&lt;=年检提醒天,"还剩 "&amp;TEXT(MIN($U323:$V323)-TODAY(),"0")&amp;" 天","")))</f>
        <v/>
      </c>
      <c r="AC323" s="34" t="str">
        <f aca="true">IF($C323="","",IF(OR($Y323="安装免保",$Y323="技术免保",$Y323="质保期内"),IF($Z323="","▲免保没填到期日",IF($Z323&lt;TODAY(),"▲免保已到期 该转收费了",IF($Z323-TODAY()&lt;=合同提醒天,"免保还剩 "&amp;TEXT($Z323-TODAY(),"0")&amp;" 天","免保中"))),IF($Y323="暂停维保","暂停中 不计费",IF($Y323="已解约","已解约",IF(COUNTIF(合同键,$E323)=0,"▲还没建合同行","")))))</f>
        <v/>
      </c>
      <c r="AD323" s="24"/>
      <c r="AE323" s="35" t="str">
        <f aca="false">IF($C323="","",IF($D323="","★项目名称没填",IF(N($P323)&lt;=0,"★台量要填",IF(AND(OR($Y323="安装免保",$Y323="技术免保",$Y323="质保期内"),$Z323=""),"★免保到期日没填",IF(COUNTIF(合同键,$E323)=0,"★还没建合同行","OK")))))</f>
        <v/>
      </c>
    </row>
    <row r="324" customFormat="false" ht="15" hidden="false" customHeight="false" outlineLevel="0" collapsed="false">
      <c r="A324" s="29" t="str">
        <f aca="false">IF($C324="","",ROW()-4)</f>
        <v/>
      </c>
      <c r="B324" s="25"/>
      <c r="C324" s="24"/>
      <c r="D324" s="24"/>
      <c r="E324" s="30" t="str">
        <f aca="false">IF($C324="","",$C324&amp;" ｜ "&amp;$D324)</f>
        <v/>
      </c>
      <c r="F324" s="25"/>
      <c r="G324" s="25"/>
      <c r="H324" s="25"/>
      <c r="I324" s="25"/>
      <c r="J324" s="25"/>
      <c r="K324" s="21"/>
      <c r="L324" s="21"/>
      <c r="M324" s="21"/>
      <c r="N324" s="25"/>
      <c r="O324" s="25"/>
      <c r="P324" s="32"/>
      <c r="Q324" s="25"/>
      <c r="R324" s="25"/>
      <c r="S324" s="33"/>
      <c r="T324" s="33"/>
      <c r="U324" s="33"/>
      <c r="V324" s="33"/>
      <c r="W324" s="25"/>
      <c r="X324" s="25"/>
      <c r="Y324" s="25"/>
      <c r="Z324" s="33"/>
      <c r="AA324" s="34" t="str">
        <f aca="true">IF($T324="","",IF($T324&lt;TODAY(),"已过期 "&amp;TEXT(TODAY()-$T324,"0")&amp;" 天",IF($T324-TODAY()&lt;=年检提醒天,"还剩 "&amp;TEXT($T324-TODAY(),"0")&amp;" 天","")))</f>
        <v/>
      </c>
      <c r="AB324" s="34" t="str">
        <f aca="true">IF(COUNT($U324:$V324)=0,"",IF(MIN($U324:$V324)&lt;TODAY(),"已过期 "&amp;TEXT(TODAY()-MIN($U324:$V324),"0")&amp;" 天",IF(MIN($U324:$V324)-TODAY()&lt;=年检提醒天,"还剩 "&amp;TEXT(MIN($U324:$V324)-TODAY(),"0")&amp;" 天","")))</f>
        <v/>
      </c>
      <c r="AC324" s="34" t="str">
        <f aca="true">IF($C324="","",IF(OR($Y324="安装免保",$Y324="技术免保",$Y324="质保期内"),IF($Z324="","▲免保没填到期日",IF($Z324&lt;TODAY(),"▲免保已到期 该转收费了",IF($Z324-TODAY()&lt;=合同提醒天,"免保还剩 "&amp;TEXT($Z324-TODAY(),"0")&amp;" 天","免保中"))),IF($Y324="暂停维保","暂停中 不计费",IF($Y324="已解约","已解约",IF(COUNTIF(合同键,$E324)=0,"▲还没建合同行","")))))</f>
        <v/>
      </c>
      <c r="AD324" s="24"/>
      <c r="AE324" s="35" t="str">
        <f aca="false">IF($C324="","",IF($D324="","★项目名称没填",IF(N($P324)&lt;=0,"★台量要填",IF(AND(OR($Y324="安装免保",$Y324="技术免保",$Y324="质保期内"),$Z324=""),"★免保到期日没填",IF(COUNTIF(合同键,$E324)=0,"★还没建合同行","OK")))))</f>
        <v/>
      </c>
    </row>
    <row r="325" customFormat="false" ht="15" hidden="false" customHeight="false" outlineLevel="0" collapsed="false">
      <c r="A325" s="29" t="str">
        <f aca="false">IF($C325="","",ROW()-4)</f>
        <v/>
      </c>
      <c r="B325" s="25"/>
      <c r="C325" s="24"/>
      <c r="D325" s="24"/>
      <c r="E325" s="30" t="str">
        <f aca="false">IF($C325="","",$C325&amp;" ｜ "&amp;$D325)</f>
        <v/>
      </c>
      <c r="F325" s="25"/>
      <c r="G325" s="25"/>
      <c r="H325" s="25"/>
      <c r="I325" s="25"/>
      <c r="J325" s="25"/>
      <c r="K325" s="21"/>
      <c r="L325" s="21"/>
      <c r="M325" s="21"/>
      <c r="N325" s="25"/>
      <c r="O325" s="25"/>
      <c r="P325" s="32"/>
      <c r="Q325" s="25"/>
      <c r="R325" s="25"/>
      <c r="S325" s="33"/>
      <c r="T325" s="33"/>
      <c r="U325" s="33"/>
      <c r="V325" s="33"/>
      <c r="W325" s="25"/>
      <c r="X325" s="25"/>
      <c r="Y325" s="25"/>
      <c r="Z325" s="33"/>
      <c r="AA325" s="34" t="str">
        <f aca="true">IF($T325="","",IF($T325&lt;TODAY(),"已过期 "&amp;TEXT(TODAY()-$T325,"0")&amp;" 天",IF($T325-TODAY()&lt;=年检提醒天,"还剩 "&amp;TEXT($T325-TODAY(),"0")&amp;" 天","")))</f>
        <v/>
      </c>
      <c r="AB325" s="34" t="str">
        <f aca="true">IF(COUNT($U325:$V325)=0,"",IF(MIN($U325:$V325)&lt;TODAY(),"已过期 "&amp;TEXT(TODAY()-MIN($U325:$V325),"0")&amp;" 天",IF(MIN($U325:$V325)-TODAY()&lt;=年检提醒天,"还剩 "&amp;TEXT(MIN($U325:$V325)-TODAY(),"0")&amp;" 天","")))</f>
        <v/>
      </c>
      <c r="AC325" s="34" t="str">
        <f aca="true">IF($C325="","",IF(OR($Y325="安装免保",$Y325="技术免保",$Y325="质保期内"),IF($Z325="","▲免保没填到期日",IF($Z325&lt;TODAY(),"▲免保已到期 该转收费了",IF($Z325-TODAY()&lt;=合同提醒天,"免保还剩 "&amp;TEXT($Z325-TODAY(),"0")&amp;" 天","免保中"))),IF($Y325="暂停维保","暂停中 不计费",IF($Y325="已解约","已解约",IF(COUNTIF(合同键,$E325)=0,"▲还没建合同行","")))))</f>
        <v/>
      </c>
      <c r="AD325" s="24"/>
      <c r="AE325" s="35" t="str">
        <f aca="false">IF($C325="","",IF($D325="","★项目名称没填",IF(N($P325)&lt;=0,"★台量要填",IF(AND(OR($Y325="安装免保",$Y325="技术免保",$Y325="质保期内"),$Z325=""),"★免保到期日没填",IF(COUNTIF(合同键,$E325)=0,"★还没建合同行","OK")))))</f>
        <v/>
      </c>
    </row>
    <row r="326" customFormat="false" ht="15" hidden="false" customHeight="false" outlineLevel="0" collapsed="false">
      <c r="A326" s="29" t="str">
        <f aca="false">IF($C326="","",ROW()-4)</f>
        <v/>
      </c>
      <c r="B326" s="25"/>
      <c r="C326" s="24"/>
      <c r="D326" s="24"/>
      <c r="E326" s="30" t="str">
        <f aca="false">IF($C326="","",$C326&amp;" ｜ "&amp;$D326)</f>
        <v/>
      </c>
      <c r="F326" s="25"/>
      <c r="G326" s="25"/>
      <c r="H326" s="25"/>
      <c r="I326" s="25"/>
      <c r="J326" s="25"/>
      <c r="K326" s="21"/>
      <c r="L326" s="21"/>
      <c r="M326" s="21"/>
      <c r="N326" s="25"/>
      <c r="O326" s="25"/>
      <c r="P326" s="32"/>
      <c r="Q326" s="25"/>
      <c r="R326" s="25"/>
      <c r="S326" s="33"/>
      <c r="T326" s="33"/>
      <c r="U326" s="33"/>
      <c r="V326" s="33"/>
      <c r="W326" s="25"/>
      <c r="X326" s="25"/>
      <c r="Y326" s="25"/>
      <c r="Z326" s="33"/>
      <c r="AA326" s="34" t="str">
        <f aca="true">IF($T326="","",IF($T326&lt;TODAY(),"已过期 "&amp;TEXT(TODAY()-$T326,"0")&amp;" 天",IF($T326-TODAY()&lt;=年检提醒天,"还剩 "&amp;TEXT($T326-TODAY(),"0")&amp;" 天","")))</f>
        <v/>
      </c>
      <c r="AB326" s="34" t="str">
        <f aca="true">IF(COUNT($U326:$V326)=0,"",IF(MIN($U326:$V326)&lt;TODAY(),"已过期 "&amp;TEXT(TODAY()-MIN($U326:$V326),"0")&amp;" 天",IF(MIN($U326:$V326)-TODAY()&lt;=年检提醒天,"还剩 "&amp;TEXT(MIN($U326:$V326)-TODAY(),"0")&amp;" 天","")))</f>
        <v/>
      </c>
      <c r="AC326" s="34" t="str">
        <f aca="true">IF($C326="","",IF(OR($Y326="安装免保",$Y326="技术免保",$Y326="质保期内"),IF($Z326="","▲免保没填到期日",IF($Z326&lt;TODAY(),"▲免保已到期 该转收费了",IF($Z326-TODAY()&lt;=合同提醒天,"免保还剩 "&amp;TEXT($Z326-TODAY(),"0")&amp;" 天","免保中"))),IF($Y326="暂停维保","暂停中 不计费",IF($Y326="已解约","已解约",IF(COUNTIF(合同键,$E326)=0,"▲还没建合同行","")))))</f>
        <v/>
      </c>
      <c r="AD326" s="24"/>
      <c r="AE326" s="35" t="str">
        <f aca="false">IF($C326="","",IF($D326="","★项目名称没填",IF(N($P326)&lt;=0,"★台量要填",IF(AND(OR($Y326="安装免保",$Y326="技术免保",$Y326="质保期内"),$Z326=""),"★免保到期日没填",IF(COUNTIF(合同键,$E326)=0,"★还没建合同行","OK")))))</f>
        <v/>
      </c>
    </row>
    <row r="327" customFormat="false" ht="15" hidden="false" customHeight="false" outlineLevel="0" collapsed="false">
      <c r="A327" s="29" t="str">
        <f aca="false">IF($C327="","",ROW()-4)</f>
        <v/>
      </c>
      <c r="B327" s="25"/>
      <c r="C327" s="24"/>
      <c r="D327" s="24"/>
      <c r="E327" s="30" t="str">
        <f aca="false">IF($C327="","",$C327&amp;" ｜ "&amp;$D327)</f>
        <v/>
      </c>
      <c r="F327" s="25"/>
      <c r="G327" s="25"/>
      <c r="H327" s="25"/>
      <c r="I327" s="25"/>
      <c r="J327" s="25"/>
      <c r="K327" s="21"/>
      <c r="L327" s="21"/>
      <c r="M327" s="21"/>
      <c r="N327" s="25"/>
      <c r="O327" s="25"/>
      <c r="P327" s="32"/>
      <c r="Q327" s="25"/>
      <c r="R327" s="25"/>
      <c r="S327" s="33"/>
      <c r="T327" s="33"/>
      <c r="U327" s="33"/>
      <c r="V327" s="33"/>
      <c r="W327" s="25"/>
      <c r="X327" s="25"/>
      <c r="Y327" s="25"/>
      <c r="Z327" s="33"/>
      <c r="AA327" s="34" t="str">
        <f aca="true">IF($T327="","",IF($T327&lt;TODAY(),"已过期 "&amp;TEXT(TODAY()-$T327,"0")&amp;" 天",IF($T327-TODAY()&lt;=年检提醒天,"还剩 "&amp;TEXT($T327-TODAY(),"0")&amp;" 天","")))</f>
        <v/>
      </c>
      <c r="AB327" s="34" t="str">
        <f aca="true">IF(COUNT($U327:$V327)=0,"",IF(MIN($U327:$V327)&lt;TODAY(),"已过期 "&amp;TEXT(TODAY()-MIN($U327:$V327),"0")&amp;" 天",IF(MIN($U327:$V327)-TODAY()&lt;=年检提醒天,"还剩 "&amp;TEXT(MIN($U327:$V327)-TODAY(),"0")&amp;" 天","")))</f>
        <v/>
      </c>
      <c r="AC327" s="34" t="str">
        <f aca="true">IF($C327="","",IF(OR($Y327="安装免保",$Y327="技术免保",$Y327="质保期内"),IF($Z327="","▲免保没填到期日",IF($Z327&lt;TODAY(),"▲免保已到期 该转收费了",IF($Z327-TODAY()&lt;=合同提醒天,"免保还剩 "&amp;TEXT($Z327-TODAY(),"0")&amp;" 天","免保中"))),IF($Y327="暂停维保","暂停中 不计费",IF($Y327="已解约","已解约",IF(COUNTIF(合同键,$E327)=0,"▲还没建合同行","")))))</f>
        <v/>
      </c>
      <c r="AD327" s="24"/>
      <c r="AE327" s="35" t="str">
        <f aca="false">IF($C327="","",IF($D327="","★项目名称没填",IF(N($P327)&lt;=0,"★台量要填",IF(AND(OR($Y327="安装免保",$Y327="技术免保",$Y327="质保期内"),$Z327=""),"★免保到期日没填",IF(COUNTIF(合同键,$E327)=0,"★还没建合同行","OK")))))</f>
        <v/>
      </c>
    </row>
    <row r="328" customFormat="false" ht="15" hidden="false" customHeight="false" outlineLevel="0" collapsed="false">
      <c r="A328" s="29" t="str">
        <f aca="false">IF($C328="","",ROW()-4)</f>
        <v/>
      </c>
      <c r="B328" s="25"/>
      <c r="C328" s="24"/>
      <c r="D328" s="24"/>
      <c r="E328" s="30" t="str">
        <f aca="false">IF($C328="","",$C328&amp;" ｜ "&amp;$D328)</f>
        <v/>
      </c>
      <c r="F328" s="25"/>
      <c r="G328" s="25"/>
      <c r="H328" s="25"/>
      <c r="I328" s="25"/>
      <c r="J328" s="25"/>
      <c r="K328" s="21"/>
      <c r="L328" s="21"/>
      <c r="M328" s="21"/>
      <c r="N328" s="25"/>
      <c r="O328" s="25"/>
      <c r="P328" s="32"/>
      <c r="Q328" s="25"/>
      <c r="R328" s="25"/>
      <c r="S328" s="33"/>
      <c r="T328" s="33"/>
      <c r="U328" s="33"/>
      <c r="V328" s="33"/>
      <c r="W328" s="25"/>
      <c r="X328" s="25"/>
      <c r="Y328" s="25"/>
      <c r="Z328" s="33"/>
      <c r="AA328" s="34" t="str">
        <f aca="true">IF($T328="","",IF($T328&lt;TODAY(),"已过期 "&amp;TEXT(TODAY()-$T328,"0")&amp;" 天",IF($T328-TODAY()&lt;=年检提醒天,"还剩 "&amp;TEXT($T328-TODAY(),"0")&amp;" 天","")))</f>
        <v/>
      </c>
      <c r="AB328" s="34" t="str">
        <f aca="true">IF(COUNT($U328:$V328)=0,"",IF(MIN($U328:$V328)&lt;TODAY(),"已过期 "&amp;TEXT(TODAY()-MIN($U328:$V328),"0")&amp;" 天",IF(MIN($U328:$V328)-TODAY()&lt;=年检提醒天,"还剩 "&amp;TEXT(MIN($U328:$V328)-TODAY(),"0")&amp;" 天","")))</f>
        <v/>
      </c>
      <c r="AC328" s="34" t="str">
        <f aca="true">IF($C328="","",IF(OR($Y328="安装免保",$Y328="技术免保",$Y328="质保期内"),IF($Z328="","▲免保没填到期日",IF($Z328&lt;TODAY(),"▲免保已到期 该转收费了",IF($Z328-TODAY()&lt;=合同提醒天,"免保还剩 "&amp;TEXT($Z328-TODAY(),"0")&amp;" 天","免保中"))),IF($Y328="暂停维保","暂停中 不计费",IF($Y328="已解约","已解约",IF(COUNTIF(合同键,$E328)=0,"▲还没建合同行","")))))</f>
        <v/>
      </c>
      <c r="AD328" s="24"/>
      <c r="AE328" s="35" t="str">
        <f aca="false">IF($C328="","",IF($D328="","★项目名称没填",IF(N($P328)&lt;=0,"★台量要填",IF(AND(OR($Y328="安装免保",$Y328="技术免保",$Y328="质保期内"),$Z328=""),"★免保到期日没填",IF(COUNTIF(合同键,$E328)=0,"★还没建合同行","OK")))))</f>
        <v/>
      </c>
    </row>
    <row r="329" customFormat="false" ht="15" hidden="false" customHeight="false" outlineLevel="0" collapsed="false">
      <c r="A329" s="29" t="str">
        <f aca="false">IF($C329="","",ROW()-4)</f>
        <v/>
      </c>
      <c r="B329" s="25"/>
      <c r="C329" s="24"/>
      <c r="D329" s="24"/>
      <c r="E329" s="30" t="str">
        <f aca="false">IF($C329="","",$C329&amp;" ｜ "&amp;$D329)</f>
        <v/>
      </c>
      <c r="F329" s="25"/>
      <c r="G329" s="25"/>
      <c r="H329" s="25"/>
      <c r="I329" s="25"/>
      <c r="J329" s="25"/>
      <c r="K329" s="21"/>
      <c r="L329" s="21"/>
      <c r="M329" s="21"/>
      <c r="N329" s="25"/>
      <c r="O329" s="25"/>
      <c r="P329" s="32"/>
      <c r="Q329" s="25"/>
      <c r="R329" s="25"/>
      <c r="S329" s="33"/>
      <c r="T329" s="33"/>
      <c r="U329" s="33"/>
      <c r="V329" s="33"/>
      <c r="W329" s="25"/>
      <c r="X329" s="25"/>
      <c r="Y329" s="25"/>
      <c r="Z329" s="33"/>
      <c r="AA329" s="34" t="str">
        <f aca="true">IF($T329="","",IF($T329&lt;TODAY(),"已过期 "&amp;TEXT(TODAY()-$T329,"0")&amp;" 天",IF($T329-TODAY()&lt;=年检提醒天,"还剩 "&amp;TEXT($T329-TODAY(),"0")&amp;" 天","")))</f>
        <v/>
      </c>
      <c r="AB329" s="34" t="str">
        <f aca="true">IF(COUNT($U329:$V329)=0,"",IF(MIN($U329:$V329)&lt;TODAY(),"已过期 "&amp;TEXT(TODAY()-MIN($U329:$V329),"0")&amp;" 天",IF(MIN($U329:$V329)-TODAY()&lt;=年检提醒天,"还剩 "&amp;TEXT(MIN($U329:$V329)-TODAY(),"0")&amp;" 天","")))</f>
        <v/>
      </c>
      <c r="AC329" s="34" t="str">
        <f aca="true">IF($C329="","",IF(OR($Y329="安装免保",$Y329="技术免保",$Y329="质保期内"),IF($Z329="","▲免保没填到期日",IF($Z329&lt;TODAY(),"▲免保已到期 该转收费了",IF($Z329-TODAY()&lt;=合同提醒天,"免保还剩 "&amp;TEXT($Z329-TODAY(),"0")&amp;" 天","免保中"))),IF($Y329="暂停维保","暂停中 不计费",IF($Y329="已解约","已解约",IF(COUNTIF(合同键,$E329)=0,"▲还没建合同行","")))))</f>
        <v/>
      </c>
      <c r="AD329" s="24"/>
      <c r="AE329" s="35" t="str">
        <f aca="false">IF($C329="","",IF($D329="","★项目名称没填",IF(N($P329)&lt;=0,"★台量要填",IF(AND(OR($Y329="安装免保",$Y329="技术免保",$Y329="质保期内"),$Z329=""),"★免保到期日没填",IF(COUNTIF(合同键,$E329)=0,"★还没建合同行","OK")))))</f>
        <v/>
      </c>
    </row>
    <row r="330" customFormat="false" ht="15" hidden="false" customHeight="false" outlineLevel="0" collapsed="false">
      <c r="A330" s="29" t="str">
        <f aca="false">IF($C330="","",ROW()-4)</f>
        <v/>
      </c>
      <c r="B330" s="25"/>
      <c r="C330" s="24"/>
      <c r="D330" s="24"/>
      <c r="E330" s="30" t="str">
        <f aca="false">IF($C330="","",$C330&amp;" ｜ "&amp;$D330)</f>
        <v/>
      </c>
      <c r="F330" s="25"/>
      <c r="G330" s="25"/>
      <c r="H330" s="25"/>
      <c r="I330" s="25"/>
      <c r="J330" s="25"/>
      <c r="K330" s="21"/>
      <c r="L330" s="21"/>
      <c r="M330" s="21"/>
      <c r="N330" s="25"/>
      <c r="O330" s="25"/>
      <c r="P330" s="32"/>
      <c r="Q330" s="25"/>
      <c r="R330" s="25"/>
      <c r="S330" s="33"/>
      <c r="T330" s="33"/>
      <c r="U330" s="33"/>
      <c r="V330" s="33"/>
      <c r="W330" s="25"/>
      <c r="X330" s="25"/>
      <c r="Y330" s="25"/>
      <c r="Z330" s="33"/>
      <c r="AA330" s="34" t="str">
        <f aca="true">IF($T330="","",IF($T330&lt;TODAY(),"已过期 "&amp;TEXT(TODAY()-$T330,"0")&amp;" 天",IF($T330-TODAY()&lt;=年检提醒天,"还剩 "&amp;TEXT($T330-TODAY(),"0")&amp;" 天","")))</f>
        <v/>
      </c>
      <c r="AB330" s="34" t="str">
        <f aca="true">IF(COUNT($U330:$V330)=0,"",IF(MIN($U330:$V330)&lt;TODAY(),"已过期 "&amp;TEXT(TODAY()-MIN($U330:$V330),"0")&amp;" 天",IF(MIN($U330:$V330)-TODAY()&lt;=年检提醒天,"还剩 "&amp;TEXT(MIN($U330:$V330)-TODAY(),"0")&amp;" 天","")))</f>
        <v/>
      </c>
      <c r="AC330" s="34" t="str">
        <f aca="true">IF($C330="","",IF(OR($Y330="安装免保",$Y330="技术免保",$Y330="质保期内"),IF($Z330="","▲免保没填到期日",IF($Z330&lt;TODAY(),"▲免保已到期 该转收费了",IF($Z330-TODAY()&lt;=合同提醒天,"免保还剩 "&amp;TEXT($Z330-TODAY(),"0")&amp;" 天","免保中"))),IF($Y330="暂停维保","暂停中 不计费",IF($Y330="已解约","已解约",IF(COUNTIF(合同键,$E330)=0,"▲还没建合同行","")))))</f>
        <v/>
      </c>
      <c r="AD330" s="24"/>
      <c r="AE330" s="35" t="str">
        <f aca="false">IF($C330="","",IF($D330="","★项目名称没填",IF(N($P330)&lt;=0,"★台量要填",IF(AND(OR($Y330="安装免保",$Y330="技术免保",$Y330="质保期内"),$Z330=""),"★免保到期日没填",IF(COUNTIF(合同键,$E330)=0,"★还没建合同行","OK")))))</f>
        <v/>
      </c>
    </row>
    <row r="331" customFormat="false" ht="15" hidden="false" customHeight="false" outlineLevel="0" collapsed="false">
      <c r="A331" s="29" t="str">
        <f aca="false">IF($C331="","",ROW()-4)</f>
        <v/>
      </c>
      <c r="B331" s="25"/>
      <c r="C331" s="24"/>
      <c r="D331" s="24"/>
      <c r="E331" s="30" t="str">
        <f aca="false">IF($C331="","",$C331&amp;" ｜ "&amp;$D331)</f>
        <v/>
      </c>
      <c r="F331" s="25"/>
      <c r="G331" s="25"/>
      <c r="H331" s="25"/>
      <c r="I331" s="25"/>
      <c r="J331" s="25"/>
      <c r="K331" s="21"/>
      <c r="L331" s="21"/>
      <c r="M331" s="21"/>
      <c r="N331" s="25"/>
      <c r="O331" s="25"/>
      <c r="P331" s="32"/>
      <c r="Q331" s="25"/>
      <c r="R331" s="25"/>
      <c r="S331" s="33"/>
      <c r="T331" s="33"/>
      <c r="U331" s="33"/>
      <c r="V331" s="33"/>
      <c r="W331" s="25"/>
      <c r="X331" s="25"/>
      <c r="Y331" s="25"/>
      <c r="Z331" s="33"/>
      <c r="AA331" s="34" t="str">
        <f aca="true">IF($T331="","",IF($T331&lt;TODAY(),"已过期 "&amp;TEXT(TODAY()-$T331,"0")&amp;" 天",IF($T331-TODAY()&lt;=年检提醒天,"还剩 "&amp;TEXT($T331-TODAY(),"0")&amp;" 天","")))</f>
        <v/>
      </c>
      <c r="AB331" s="34" t="str">
        <f aca="true">IF(COUNT($U331:$V331)=0,"",IF(MIN($U331:$V331)&lt;TODAY(),"已过期 "&amp;TEXT(TODAY()-MIN($U331:$V331),"0")&amp;" 天",IF(MIN($U331:$V331)-TODAY()&lt;=年检提醒天,"还剩 "&amp;TEXT(MIN($U331:$V331)-TODAY(),"0")&amp;" 天","")))</f>
        <v/>
      </c>
      <c r="AC331" s="34" t="str">
        <f aca="true">IF($C331="","",IF(OR($Y331="安装免保",$Y331="技术免保",$Y331="质保期内"),IF($Z331="","▲免保没填到期日",IF($Z331&lt;TODAY(),"▲免保已到期 该转收费了",IF($Z331-TODAY()&lt;=合同提醒天,"免保还剩 "&amp;TEXT($Z331-TODAY(),"0")&amp;" 天","免保中"))),IF($Y331="暂停维保","暂停中 不计费",IF($Y331="已解约","已解约",IF(COUNTIF(合同键,$E331)=0,"▲还没建合同行","")))))</f>
        <v/>
      </c>
      <c r="AD331" s="24"/>
      <c r="AE331" s="35" t="str">
        <f aca="false">IF($C331="","",IF($D331="","★项目名称没填",IF(N($P331)&lt;=0,"★台量要填",IF(AND(OR($Y331="安装免保",$Y331="技术免保",$Y331="质保期内"),$Z331=""),"★免保到期日没填",IF(COUNTIF(合同键,$E331)=0,"★还没建合同行","OK")))))</f>
        <v/>
      </c>
    </row>
    <row r="332" customFormat="false" ht="15" hidden="false" customHeight="false" outlineLevel="0" collapsed="false">
      <c r="A332" s="29" t="str">
        <f aca="false">IF($C332="","",ROW()-4)</f>
        <v/>
      </c>
      <c r="B332" s="25"/>
      <c r="C332" s="24"/>
      <c r="D332" s="24"/>
      <c r="E332" s="30" t="str">
        <f aca="false">IF($C332="","",$C332&amp;" ｜ "&amp;$D332)</f>
        <v/>
      </c>
      <c r="F332" s="25"/>
      <c r="G332" s="25"/>
      <c r="H332" s="25"/>
      <c r="I332" s="25"/>
      <c r="J332" s="25"/>
      <c r="K332" s="21"/>
      <c r="L332" s="21"/>
      <c r="M332" s="21"/>
      <c r="N332" s="25"/>
      <c r="O332" s="25"/>
      <c r="P332" s="32"/>
      <c r="Q332" s="25"/>
      <c r="R332" s="25"/>
      <c r="S332" s="33"/>
      <c r="T332" s="33"/>
      <c r="U332" s="33"/>
      <c r="V332" s="33"/>
      <c r="W332" s="25"/>
      <c r="X332" s="25"/>
      <c r="Y332" s="25"/>
      <c r="Z332" s="33"/>
      <c r="AA332" s="34" t="str">
        <f aca="true">IF($T332="","",IF($T332&lt;TODAY(),"已过期 "&amp;TEXT(TODAY()-$T332,"0")&amp;" 天",IF($T332-TODAY()&lt;=年检提醒天,"还剩 "&amp;TEXT($T332-TODAY(),"0")&amp;" 天","")))</f>
        <v/>
      </c>
      <c r="AB332" s="34" t="str">
        <f aca="true">IF(COUNT($U332:$V332)=0,"",IF(MIN($U332:$V332)&lt;TODAY(),"已过期 "&amp;TEXT(TODAY()-MIN($U332:$V332),"0")&amp;" 天",IF(MIN($U332:$V332)-TODAY()&lt;=年检提醒天,"还剩 "&amp;TEXT(MIN($U332:$V332)-TODAY(),"0")&amp;" 天","")))</f>
        <v/>
      </c>
      <c r="AC332" s="34" t="str">
        <f aca="true">IF($C332="","",IF(OR($Y332="安装免保",$Y332="技术免保",$Y332="质保期内"),IF($Z332="","▲免保没填到期日",IF($Z332&lt;TODAY(),"▲免保已到期 该转收费了",IF($Z332-TODAY()&lt;=合同提醒天,"免保还剩 "&amp;TEXT($Z332-TODAY(),"0")&amp;" 天","免保中"))),IF($Y332="暂停维保","暂停中 不计费",IF($Y332="已解约","已解约",IF(COUNTIF(合同键,$E332)=0,"▲还没建合同行","")))))</f>
        <v/>
      </c>
      <c r="AD332" s="24"/>
      <c r="AE332" s="35" t="str">
        <f aca="false">IF($C332="","",IF($D332="","★项目名称没填",IF(N($P332)&lt;=0,"★台量要填",IF(AND(OR($Y332="安装免保",$Y332="技术免保",$Y332="质保期内"),$Z332=""),"★免保到期日没填",IF(COUNTIF(合同键,$E332)=0,"★还没建合同行","OK")))))</f>
        <v/>
      </c>
    </row>
    <row r="333" customFormat="false" ht="15" hidden="false" customHeight="false" outlineLevel="0" collapsed="false">
      <c r="A333" s="29" t="str">
        <f aca="false">IF($C333="","",ROW()-4)</f>
        <v/>
      </c>
      <c r="B333" s="25"/>
      <c r="C333" s="24"/>
      <c r="D333" s="24"/>
      <c r="E333" s="30" t="str">
        <f aca="false">IF($C333="","",$C333&amp;" ｜ "&amp;$D333)</f>
        <v/>
      </c>
      <c r="F333" s="25"/>
      <c r="G333" s="25"/>
      <c r="H333" s="25"/>
      <c r="I333" s="25"/>
      <c r="J333" s="25"/>
      <c r="K333" s="21"/>
      <c r="L333" s="21"/>
      <c r="M333" s="21"/>
      <c r="N333" s="25"/>
      <c r="O333" s="25"/>
      <c r="P333" s="32"/>
      <c r="Q333" s="25"/>
      <c r="R333" s="25"/>
      <c r="S333" s="33"/>
      <c r="T333" s="33"/>
      <c r="U333" s="33"/>
      <c r="V333" s="33"/>
      <c r="W333" s="25"/>
      <c r="X333" s="25"/>
      <c r="Y333" s="25"/>
      <c r="Z333" s="33"/>
      <c r="AA333" s="34" t="str">
        <f aca="true">IF($T333="","",IF($T333&lt;TODAY(),"已过期 "&amp;TEXT(TODAY()-$T333,"0")&amp;" 天",IF($T333-TODAY()&lt;=年检提醒天,"还剩 "&amp;TEXT($T333-TODAY(),"0")&amp;" 天","")))</f>
        <v/>
      </c>
      <c r="AB333" s="34" t="str">
        <f aca="true">IF(COUNT($U333:$V333)=0,"",IF(MIN($U333:$V333)&lt;TODAY(),"已过期 "&amp;TEXT(TODAY()-MIN($U333:$V333),"0")&amp;" 天",IF(MIN($U333:$V333)-TODAY()&lt;=年检提醒天,"还剩 "&amp;TEXT(MIN($U333:$V333)-TODAY(),"0")&amp;" 天","")))</f>
        <v/>
      </c>
      <c r="AC333" s="34" t="str">
        <f aca="true">IF($C333="","",IF(OR($Y333="安装免保",$Y333="技术免保",$Y333="质保期内"),IF($Z333="","▲免保没填到期日",IF($Z333&lt;TODAY(),"▲免保已到期 该转收费了",IF($Z333-TODAY()&lt;=合同提醒天,"免保还剩 "&amp;TEXT($Z333-TODAY(),"0")&amp;" 天","免保中"))),IF($Y333="暂停维保","暂停中 不计费",IF($Y333="已解约","已解约",IF(COUNTIF(合同键,$E333)=0,"▲还没建合同行","")))))</f>
        <v/>
      </c>
      <c r="AD333" s="24"/>
      <c r="AE333" s="35" t="str">
        <f aca="false">IF($C333="","",IF($D333="","★项目名称没填",IF(N($P333)&lt;=0,"★台量要填",IF(AND(OR($Y333="安装免保",$Y333="技术免保",$Y333="质保期内"),$Z333=""),"★免保到期日没填",IF(COUNTIF(合同键,$E333)=0,"★还没建合同行","OK")))))</f>
        <v/>
      </c>
    </row>
    <row r="334" customFormat="false" ht="15" hidden="false" customHeight="false" outlineLevel="0" collapsed="false">
      <c r="A334" s="29" t="str">
        <f aca="false">IF($C334="","",ROW()-4)</f>
        <v/>
      </c>
      <c r="B334" s="25"/>
      <c r="C334" s="24"/>
      <c r="D334" s="24"/>
      <c r="E334" s="30" t="str">
        <f aca="false">IF($C334="","",$C334&amp;" ｜ "&amp;$D334)</f>
        <v/>
      </c>
      <c r="F334" s="25"/>
      <c r="G334" s="25"/>
      <c r="H334" s="25"/>
      <c r="I334" s="25"/>
      <c r="J334" s="25"/>
      <c r="K334" s="21"/>
      <c r="L334" s="21"/>
      <c r="M334" s="21"/>
      <c r="N334" s="25"/>
      <c r="O334" s="25"/>
      <c r="P334" s="32"/>
      <c r="Q334" s="25"/>
      <c r="R334" s="25"/>
      <c r="S334" s="33"/>
      <c r="T334" s="33"/>
      <c r="U334" s="33"/>
      <c r="V334" s="33"/>
      <c r="W334" s="25"/>
      <c r="X334" s="25"/>
      <c r="Y334" s="25"/>
      <c r="Z334" s="33"/>
      <c r="AA334" s="34" t="str">
        <f aca="true">IF($T334="","",IF($T334&lt;TODAY(),"已过期 "&amp;TEXT(TODAY()-$T334,"0")&amp;" 天",IF($T334-TODAY()&lt;=年检提醒天,"还剩 "&amp;TEXT($T334-TODAY(),"0")&amp;" 天","")))</f>
        <v/>
      </c>
      <c r="AB334" s="34" t="str">
        <f aca="true">IF(COUNT($U334:$V334)=0,"",IF(MIN($U334:$V334)&lt;TODAY(),"已过期 "&amp;TEXT(TODAY()-MIN($U334:$V334),"0")&amp;" 天",IF(MIN($U334:$V334)-TODAY()&lt;=年检提醒天,"还剩 "&amp;TEXT(MIN($U334:$V334)-TODAY(),"0")&amp;" 天","")))</f>
        <v/>
      </c>
      <c r="AC334" s="34" t="str">
        <f aca="true">IF($C334="","",IF(OR($Y334="安装免保",$Y334="技术免保",$Y334="质保期内"),IF($Z334="","▲免保没填到期日",IF($Z334&lt;TODAY(),"▲免保已到期 该转收费了",IF($Z334-TODAY()&lt;=合同提醒天,"免保还剩 "&amp;TEXT($Z334-TODAY(),"0")&amp;" 天","免保中"))),IF($Y334="暂停维保","暂停中 不计费",IF($Y334="已解约","已解约",IF(COUNTIF(合同键,$E334)=0,"▲还没建合同行","")))))</f>
        <v/>
      </c>
      <c r="AD334" s="24"/>
      <c r="AE334" s="35" t="str">
        <f aca="false">IF($C334="","",IF($D334="","★项目名称没填",IF(N($P334)&lt;=0,"★台量要填",IF(AND(OR($Y334="安装免保",$Y334="技术免保",$Y334="质保期内"),$Z334=""),"★免保到期日没填",IF(COUNTIF(合同键,$E334)=0,"★还没建合同行","OK")))))</f>
        <v/>
      </c>
    </row>
    <row r="335" customFormat="false" ht="15" hidden="false" customHeight="false" outlineLevel="0" collapsed="false">
      <c r="A335" s="29" t="str">
        <f aca="false">IF($C335="","",ROW()-4)</f>
        <v/>
      </c>
      <c r="B335" s="25"/>
      <c r="C335" s="24"/>
      <c r="D335" s="24"/>
      <c r="E335" s="30" t="str">
        <f aca="false">IF($C335="","",$C335&amp;" ｜ "&amp;$D335)</f>
        <v/>
      </c>
      <c r="F335" s="25"/>
      <c r="G335" s="25"/>
      <c r="H335" s="25"/>
      <c r="I335" s="25"/>
      <c r="J335" s="25"/>
      <c r="K335" s="21"/>
      <c r="L335" s="21"/>
      <c r="M335" s="21"/>
      <c r="N335" s="25"/>
      <c r="O335" s="25"/>
      <c r="P335" s="32"/>
      <c r="Q335" s="25"/>
      <c r="R335" s="25"/>
      <c r="S335" s="33"/>
      <c r="T335" s="33"/>
      <c r="U335" s="33"/>
      <c r="V335" s="33"/>
      <c r="W335" s="25"/>
      <c r="X335" s="25"/>
      <c r="Y335" s="25"/>
      <c r="Z335" s="33"/>
      <c r="AA335" s="34" t="str">
        <f aca="true">IF($T335="","",IF($T335&lt;TODAY(),"已过期 "&amp;TEXT(TODAY()-$T335,"0")&amp;" 天",IF($T335-TODAY()&lt;=年检提醒天,"还剩 "&amp;TEXT($T335-TODAY(),"0")&amp;" 天","")))</f>
        <v/>
      </c>
      <c r="AB335" s="34" t="str">
        <f aca="true">IF(COUNT($U335:$V335)=0,"",IF(MIN($U335:$V335)&lt;TODAY(),"已过期 "&amp;TEXT(TODAY()-MIN($U335:$V335),"0")&amp;" 天",IF(MIN($U335:$V335)-TODAY()&lt;=年检提醒天,"还剩 "&amp;TEXT(MIN($U335:$V335)-TODAY(),"0")&amp;" 天","")))</f>
        <v/>
      </c>
      <c r="AC335" s="34" t="str">
        <f aca="true">IF($C335="","",IF(OR($Y335="安装免保",$Y335="技术免保",$Y335="质保期内"),IF($Z335="","▲免保没填到期日",IF($Z335&lt;TODAY(),"▲免保已到期 该转收费了",IF($Z335-TODAY()&lt;=合同提醒天,"免保还剩 "&amp;TEXT($Z335-TODAY(),"0")&amp;" 天","免保中"))),IF($Y335="暂停维保","暂停中 不计费",IF($Y335="已解约","已解约",IF(COUNTIF(合同键,$E335)=0,"▲还没建合同行","")))))</f>
        <v/>
      </c>
      <c r="AD335" s="24"/>
      <c r="AE335" s="35" t="str">
        <f aca="false">IF($C335="","",IF($D335="","★项目名称没填",IF(N($P335)&lt;=0,"★台量要填",IF(AND(OR($Y335="安装免保",$Y335="技术免保",$Y335="质保期内"),$Z335=""),"★免保到期日没填",IF(COUNTIF(合同键,$E335)=0,"★还没建合同行","OK")))))</f>
        <v/>
      </c>
    </row>
    <row r="336" customFormat="false" ht="15" hidden="false" customHeight="false" outlineLevel="0" collapsed="false">
      <c r="A336" s="29" t="str">
        <f aca="false">IF($C336="","",ROW()-4)</f>
        <v/>
      </c>
      <c r="B336" s="25"/>
      <c r="C336" s="24"/>
      <c r="D336" s="24"/>
      <c r="E336" s="30" t="str">
        <f aca="false">IF($C336="","",$C336&amp;" ｜ "&amp;$D336)</f>
        <v/>
      </c>
      <c r="F336" s="25"/>
      <c r="G336" s="25"/>
      <c r="H336" s="25"/>
      <c r="I336" s="25"/>
      <c r="J336" s="25"/>
      <c r="K336" s="21"/>
      <c r="L336" s="21"/>
      <c r="M336" s="21"/>
      <c r="N336" s="25"/>
      <c r="O336" s="25"/>
      <c r="P336" s="32"/>
      <c r="Q336" s="25"/>
      <c r="R336" s="25"/>
      <c r="S336" s="33"/>
      <c r="T336" s="33"/>
      <c r="U336" s="33"/>
      <c r="V336" s="33"/>
      <c r="W336" s="25"/>
      <c r="X336" s="25"/>
      <c r="Y336" s="25"/>
      <c r="Z336" s="33"/>
      <c r="AA336" s="34" t="str">
        <f aca="true">IF($T336="","",IF($T336&lt;TODAY(),"已过期 "&amp;TEXT(TODAY()-$T336,"0")&amp;" 天",IF($T336-TODAY()&lt;=年检提醒天,"还剩 "&amp;TEXT($T336-TODAY(),"0")&amp;" 天","")))</f>
        <v/>
      </c>
      <c r="AB336" s="34" t="str">
        <f aca="true">IF(COUNT($U336:$V336)=0,"",IF(MIN($U336:$V336)&lt;TODAY(),"已过期 "&amp;TEXT(TODAY()-MIN($U336:$V336),"0")&amp;" 天",IF(MIN($U336:$V336)-TODAY()&lt;=年检提醒天,"还剩 "&amp;TEXT(MIN($U336:$V336)-TODAY(),"0")&amp;" 天","")))</f>
        <v/>
      </c>
      <c r="AC336" s="34" t="str">
        <f aca="true">IF($C336="","",IF(OR($Y336="安装免保",$Y336="技术免保",$Y336="质保期内"),IF($Z336="","▲免保没填到期日",IF($Z336&lt;TODAY(),"▲免保已到期 该转收费了",IF($Z336-TODAY()&lt;=合同提醒天,"免保还剩 "&amp;TEXT($Z336-TODAY(),"0")&amp;" 天","免保中"))),IF($Y336="暂停维保","暂停中 不计费",IF($Y336="已解约","已解约",IF(COUNTIF(合同键,$E336)=0,"▲还没建合同行","")))))</f>
        <v/>
      </c>
      <c r="AD336" s="24"/>
      <c r="AE336" s="35" t="str">
        <f aca="false">IF($C336="","",IF($D336="","★项目名称没填",IF(N($P336)&lt;=0,"★台量要填",IF(AND(OR($Y336="安装免保",$Y336="技术免保",$Y336="质保期内"),$Z336=""),"★免保到期日没填",IF(COUNTIF(合同键,$E336)=0,"★还没建合同行","OK")))))</f>
        <v/>
      </c>
    </row>
    <row r="337" customFormat="false" ht="15" hidden="false" customHeight="false" outlineLevel="0" collapsed="false">
      <c r="A337" s="29" t="str">
        <f aca="false">IF($C337="","",ROW()-4)</f>
        <v/>
      </c>
      <c r="B337" s="25"/>
      <c r="C337" s="24"/>
      <c r="D337" s="24"/>
      <c r="E337" s="30" t="str">
        <f aca="false">IF($C337="","",$C337&amp;" ｜ "&amp;$D337)</f>
        <v/>
      </c>
      <c r="F337" s="25"/>
      <c r="G337" s="25"/>
      <c r="H337" s="25"/>
      <c r="I337" s="25"/>
      <c r="J337" s="25"/>
      <c r="K337" s="21"/>
      <c r="L337" s="21"/>
      <c r="M337" s="21"/>
      <c r="N337" s="25"/>
      <c r="O337" s="25"/>
      <c r="P337" s="32"/>
      <c r="Q337" s="25"/>
      <c r="R337" s="25"/>
      <c r="S337" s="33"/>
      <c r="T337" s="33"/>
      <c r="U337" s="33"/>
      <c r="V337" s="33"/>
      <c r="W337" s="25"/>
      <c r="X337" s="25"/>
      <c r="Y337" s="25"/>
      <c r="Z337" s="33"/>
      <c r="AA337" s="34" t="str">
        <f aca="true">IF($T337="","",IF($T337&lt;TODAY(),"已过期 "&amp;TEXT(TODAY()-$T337,"0")&amp;" 天",IF($T337-TODAY()&lt;=年检提醒天,"还剩 "&amp;TEXT($T337-TODAY(),"0")&amp;" 天","")))</f>
        <v/>
      </c>
      <c r="AB337" s="34" t="str">
        <f aca="true">IF(COUNT($U337:$V337)=0,"",IF(MIN($U337:$V337)&lt;TODAY(),"已过期 "&amp;TEXT(TODAY()-MIN($U337:$V337),"0")&amp;" 天",IF(MIN($U337:$V337)-TODAY()&lt;=年检提醒天,"还剩 "&amp;TEXT(MIN($U337:$V337)-TODAY(),"0")&amp;" 天","")))</f>
        <v/>
      </c>
      <c r="AC337" s="34" t="str">
        <f aca="true">IF($C337="","",IF(OR($Y337="安装免保",$Y337="技术免保",$Y337="质保期内"),IF($Z337="","▲免保没填到期日",IF($Z337&lt;TODAY(),"▲免保已到期 该转收费了",IF($Z337-TODAY()&lt;=合同提醒天,"免保还剩 "&amp;TEXT($Z337-TODAY(),"0")&amp;" 天","免保中"))),IF($Y337="暂停维保","暂停中 不计费",IF($Y337="已解约","已解约",IF(COUNTIF(合同键,$E337)=0,"▲还没建合同行","")))))</f>
        <v/>
      </c>
      <c r="AD337" s="24"/>
      <c r="AE337" s="35" t="str">
        <f aca="false">IF($C337="","",IF($D337="","★项目名称没填",IF(N($P337)&lt;=0,"★台量要填",IF(AND(OR($Y337="安装免保",$Y337="技术免保",$Y337="质保期内"),$Z337=""),"★免保到期日没填",IF(COUNTIF(合同键,$E337)=0,"★还没建合同行","OK")))))</f>
        <v/>
      </c>
    </row>
    <row r="338" customFormat="false" ht="15" hidden="false" customHeight="false" outlineLevel="0" collapsed="false">
      <c r="A338" s="29" t="str">
        <f aca="false">IF($C338="","",ROW()-4)</f>
        <v/>
      </c>
      <c r="B338" s="25"/>
      <c r="C338" s="24"/>
      <c r="D338" s="24"/>
      <c r="E338" s="30" t="str">
        <f aca="false">IF($C338="","",$C338&amp;" ｜ "&amp;$D338)</f>
        <v/>
      </c>
      <c r="F338" s="25"/>
      <c r="G338" s="25"/>
      <c r="H338" s="25"/>
      <c r="I338" s="25"/>
      <c r="J338" s="25"/>
      <c r="K338" s="21"/>
      <c r="L338" s="21"/>
      <c r="M338" s="21"/>
      <c r="N338" s="25"/>
      <c r="O338" s="25"/>
      <c r="P338" s="32"/>
      <c r="Q338" s="25"/>
      <c r="R338" s="25"/>
      <c r="S338" s="33"/>
      <c r="T338" s="33"/>
      <c r="U338" s="33"/>
      <c r="V338" s="33"/>
      <c r="W338" s="25"/>
      <c r="X338" s="25"/>
      <c r="Y338" s="25"/>
      <c r="Z338" s="33"/>
      <c r="AA338" s="34" t="str">
        <f aca="true">IF($T338="","",IF($T338&lt;TODAY(),"已过期 "&amp;TEXT(TODAY()-$T338,"0")&amp;" 天",IF($T338-TODAY()&lt;=年检提醒天,"还剩 "&amp;TEXT($T338-TODAY(),"0")&amp;" 天","")))</f>
        <v/>
      </c>
      <c r="AB338" s="34" t="str">
        <f aca="true">IF(COUNT($U338:$V338)=0,"",IF(MIN($U338:$V338)&lt;TODAY(),"已过期 "&amp;TEXT(TODAY()-MIN($U338:$V338),"0")&amp;" 天",IF(MIN($U338:$V338)-TODAY()&lt;=年检提醒天,"还剩 "&amp;TEXT(MIN($U338:$V338)-TODAY(),"0")&amp;" 天","")))</f>
        <v/>
      </c>
      <c r="AC338" s="34" t="str">
        <f aca="true">IF($C338="","",IF(OR($Y338="安装免保",$Y338="技术免保",$Y338="质保期内"),IF($Z338="","▲免保没填到期日",IF($Z338&lt;TODAY(),"▲免保已到期 该转收费了",IF($Z338-TODAY()&lt;=合同提醒天,"免保还剩 "&amp;TEXT($Z338-TODAY(),"0")&amp;" 天","免保中"))),IF($Y338="暂停维保","暂停中 不计费",IF($Y338="已解约","已解约",IF(COUNTIF(合同键,$E338)=0,"▲还没建合同行","")))))</f>
        <v/>
      </c>
      <c r="AD338" s="24"/>
      <c r="AE338" s="35" t="str">
        <f aca="false">IF($C338="","",IF($D338="","★项目名称没填",IF(N($P338)&lt;=0,"★台量要填",IF(AND(OR($Y338="安装免保",$Y338="技术免保",$Y338="质保期内"),$Z338=""),"★免保到期日没填",IF(COUNTIF(合同键,$E338)=0,"★还没建合同行","OK")))))</f>
        <v/>
      </c>
    </row>
    <row r="339" customFormat="false" ht="15" hidden="false" customHeight="false" outlineLevel="0" collapsed="false">
      <c r="A339" s="29" t="str">
        <f aca="false">IF($C339="","",ROW()-4)</f>
        <v/>
      </c>
      <c r="B339" s="25"/>
      <c r="C339" s="24"/>
      <c r="D339" s="24"/>
      <c r="E339" s="30" t="str">
        <f aca="false">IF($C339="","",$C339&amp;" ｜ "&amp;$D339)</f>
        <v/>
      </c>
      <c r="F339" s="25"/>
      <c r="G339" s="25"/>
      <c r="H339" s="25"/>
      <c r="I339" s="25"/>
      <c r="J339" s="25"/>
      <c r="K339" s="21"/>
      <c r="L339" s="21"/>
      <c r="M339" s="21"/>
      <c r="N339" s="25"/>
      <c r="O339" s="25"/>
      <c r="P339" s="32"/>
      <c r="Q339" s="25"/>
      <c r="R339" s="25"/>
      <c r="S339" s="33"/>
      <c r="T339" s="33"/>
      <c r="U339" s="33"/>
      <c r="V339" s="33"/>
      <c r="W339" s="25"/>
      <c r="X339" s="25"/>
      <c r="Y339" s="25"/>
      <c r="Z339" s="33"/>
      <c r="AA339" s="34" t="str">
        <f aca="true">IF($T339="","",IF($T339&lt;TODAY(),"已过期 "&amp;TEXT(TODAY()-$T339,"0")&amp;" 天",IF($T339-TODAY()&lt;=年检提醒天,"还剩 "&amp;TEXT($T339-TODAY(),"0")&amp;" 天","")))</f>
        <v/>
      </c>
      <c r="AB339" s="34" t="str">
        <f aca="true">IF(COUNT($U339:$V339)=0,"",IF(MIN($U339:$V339)&lt;TODAY(),"已过期 "&amp;TEXT(TODAY()-MIN($U339:$V339),"0")&amp;" 天",IF(MIN($U339:$V339)-TODAY()&lt;=年检提醒天,"还剩 "&amp;TEXT(MIN($U339:$V339)-TODAY(),"0")&amp;" 天","")))</f>
        <v/>
      </c>
      <c r="AC339" s="34" t="str">
        <f aca="true">IF($C339="","",IF(OR($Y339="安装免保",$Y339="技术免保",$Y339="质保期内"),IF($Z339="","▲免保没填到期日",IF($Z339&lt;TODAY(),"▲免保已到期 该转收费了",IF($Z339-TODAY()&lt;=合同提醒天,"免保还剩 "&amp;TEXT($Z339-TODAY(),"0")&amp;" 天","免保中"))),IF($Y339="暂停维保","暂停中 不计费",IF($Y339="已解约","已解约",IF(COUNTIF(合同键,$E339)=0,"▲还没建合同行","")))))</f>
        <v/>
      </c>
      <c r="AD339" s="24"/>
      <c r="AE339" s="35" t="str">
        <f aca="false">IF($C339="","",IF($D339="","★项目名称没填",IF(N($P339)&lt;=0,"★台量要填",IF(AND(OR($Y339="安装免保",$Y339="技术免保",$Y339="质保期内"),$Z339=""),"★免保到期日没填",IF(COUNTIF(合同键,$E339)=0,"★还没建合同行","OK")))))</f>
        <v/>
      </c>
    </row>
    <row r="340" customFormat="false" ht="15" hidden="false" customHeight="false" outlineLevel="0" collapsed="false">
      <c r="A340" s="29" t="str">
        <f aca="false">IF($C340="","",ROW()-4)</f>
        <v/>
      </c>
      <c r="B340" s="25"/>
      <c r="C340" s="24"/>
      <c r="D340" s="24"/>
      <c r="E340" s="30" t="str">
        <f aca="false">IF($C340="","",$C340&amp;" ｜ "&amp;$D340)</f>
        <v/>
      </c>
      <c r="F340" s="25"/>
      <c r="G340" s="25"/>
      <c r="H340" s="25"/>
      <c r="I340" s="25"/>
      <c r="J340" s="25"/>
      <c r="K340" s="21"/>
      <c r="L340" s="21"/>
      <c r="M340" s="21"/>
      <c r="N340" s="25"/>
      <c r="O340" s="25"/>
      <c r="P340" s="32"/>
      <c r="Q340" s="25"/>
      <c r="R340" s="25"/>
      <c r="S340" s="33"/>
      <c r="T340" s="33"/>
      <c r="U340" s="33"/>
      <c r="V340" s="33"/>
      <c r="W340" s="25"/>
      <c r="X340" s="25"/>
      <c r="Y340" s="25"/>
      <c r="Z340" s="33"/>
      <c r="AA340" s="34" t="str">
        <f aca="true">IF($T340="","",IF($T340&lt;TODAY(),"已过期 "&amp;TEXT(TODAY()-$T340,"0")&amp;" 天",IF($T340-TODAY()&lt;=年检提醒天,"还剩 "&amp;TEXT($T340-TODAY(),"0")&amp;" 天","")))</f>
        <v/>
      </c>
      <c r="AB340" s="34" t="str">
        <f aca="true">IF(COUNT($U340:$V340)=0,"",IF(MIN($U340:$V340)&lt;TODAY(),"已过期 "&amp;TEXT(TODAY()-MIN($U340:$V340),"0")&amp;" 天",IF(MIN($U340:$V340)-TODAY()&lt;=年检提醒天,"还剩 "&amp;TEXT(MIN($U340:$V340)-TODAY(),"0")&amp;" 天","")))</f>
        <v/>
      </c>
      <c r="AC340" s="34" t="str">
        <f aca="true">IF($C340="","",IF(OR($Y340="安装免保",$Y340="技术免保",$Y340="质保期内"),IF($Z340="","▲免保没填到期日",IF($Z340&lt;TODAY(),"▲免保已到期 该转收费了",IF($Z340-TODAY()&lt;=合同提醒天,"免保还剩 "&amp;TEXT($Z340-TODAY(),"0")&amp;" 天","免保中"))),IF($Y340="暂停维保","暂停中 不计费",IF($Y340="已解约","已解约",IF(COUNTIF(合同键,$E340)=0,"▲还没建合同行","")))))</f>
        <v/>
      </c>
      <c r="AD340" s="24"/>
      <c r="AE340" s="35" t="str">
        <f aca="false">IF($C340="","",IF($D340="","★项目名称没填",IF(N($P340)&lt;=0,"★台量要填",IF(AND(OR($Y340="安装免保",$Y340="技术免保",$Y340="质保期内"),$Z340=""),"★免保到期日没填",IF(COUNTIF(合同键,$E340)=0,"★还没建合同行","OK")))))</f>
        <v/>
      </c>
    </row>
    <row r="341" customFormat="false" ht="15" hidden="false" customHeight="false" outlineLevel="0" collapsed="false">
      <c r="A341" s="29" t="str">
        <f aca="false">IF($C341="","",ROW()-4)</f>
        <v/>
      </c>
      <c r="B341" s="25"/>
      <c r="C341" s="24"/>
      <c r="D341" s="24"/>
      <c r="E341" s="30" t="str">
        <f aca="false">IF($C341="","",$C341&amp;" ｜ "&amp;$D341)</f>
        <v/>
      </c>
      <c r="F341" s="25"/>
      <c r="G341" s="25"/>
      <c r="H341" s="25"/>
      <c r="I341" s="25"/>
      <c r="J341" s="25"/>
      <c r="K341" s="21"/>
      <c r="L341" s="21"/>
      <c r="M341" s="21"/>
      <c r="N341" s="25"/>
      <c r="O341" s="25"/>
      <c r="P341" s="32"/>
      <c r="Q341" s="25"/>
      <c r="R341" s="25"/>
      <c r="S341" s="33"/>
      <c r="T341" s="33"/>
      <c r="U341" s="33"/>
      <c r="V341" s="33"/>
      <c r="W341" s="25"/>
      <c r="X341" s="25"/>
      <c r="Y341" s="25"/>
      <c r="Z341" s="33"/>
      <c r="AA341" s="34" t="str">
        <f aca="true">IF($T341="","",IF($T341&lt;TODAY(),"已过期 "&amp;TEXT(TODAY()-$T341,"0")&amp;" 天",IF($T341-TODAY()&lt;=年检提醒天,"还剩 "&amp;TEXT($T341-TODAY(),"0")&amp;" 天","")))</f>
        <v/>
      </c>
      <c r="AB341" s="34" t="str">
        <f aca="true">IF(COUNT($U341:$V341)=0,"",IF(MIN($U341:$V341)&lt;TODAY(),"已过期 "&amp;TEXT(TODAY()-MIN($U341:$V341),"0")&amp;" 天",IF(MIN($U341:$V341)-TODAY()&lt;=年检提醒天,"还剩 "&amp;TEXT(MIN($U341:$V341)-TODAY(),"0")&amp;" 天","")))</f>
        <v/>
      </c>
      <c r="AC341" s="34" t="str">
        <f aca="true">IF($C341="","",IF(OR($Y341="安装免保",$Y341="技术免保",$Y341="质保期内"),IF($Z341="","▲免保没填到期日",IF($Z341&lt;TODAY(),"▲免保已到期 该转收费了",IF($Z341-TODAY()&lt;=合同提醒天,"免保还剩 "&amp;TEXT($Z341-TODAY(),"0")&amp;" 天","免保中"))),IF($Y341="暂停维保","暂停中 不计费",IF($Y341="已解约","已解约",IF(COUNTIF(合同键,$E341)=0,"▲还没建合同行","")))))</f>
        <v/>
      </c>
      <c r="AD341" s="24"/>
      <c r="AE341" s="35" t="str">
        <f aca="false">IF($C341="","",IF($D341="","★项目名称没填",IF(N($P341)&lt;=0,"★台量要填",IF(AND(OR($Y341="安装免保",$Y341="技术免保",$Y341="质保期内"),$Z341=""),"★免保到期日没填",IF(COUNTIF(合同键,$E341)=0,"★还没建合同行","OK")))))</f>
        <v/>
      </c>
    </row>
    <row r="342" customFormat="false" ht="15" hidden="false" customHeight="false" outlineLevel="0" collapsed="false">
      <c r="A342" s="29" t="str">
        <f aca="false">IF($C342="","",ROW()-4)</f>
        <v/>
      </c>
      <c r="B342" s="25"/>
      <c r="C342" s="24"/>
      <c r="D342" s="24"/>
      <c r="E342" s="30" t="str">
        <f aca="false">IF($C342="","",$C342&amp;" ｜ "&amp;$D342)</f>
        <v/>
      </c>
      <c r="F342" s="25"/>
      <c r="G342" s="25"/>
      <c r="H342" s="25"/>
      <c r="I342" s="25"/>
      <c r="J342" s="25"/>
      <c r="K342" s="21"/>
      <c r="L342" s="21"/>
      <c r="M342" s="21"/>
      <c r="N342" s="25"/>
      <c r="O342" s="25"/>
      <c r="P342" s="32"/>
      <c r="Q342" s="25"/>
      <c r="R342" s="25"/>
      <c r="S342" s="33"/>
      <c r="T342" s="33"/>
      <c r="U342" s="33"/>
      <c r="V342" s="33"/>
      <c r="W342" s="25"/>
      <c r="X342" s="25"/>
      <c r="Y342" s="25"/>
      <c r="Z342" s="33"/>
      <c r="AA342" s="34" t="str">
        <f aca="true">IF($T342="","",IF($T342&lt;TODAY(),"已过期 "&amp;TEXT(TODAY()-$T342,"0")&amp;" 天",IF($T342-TODAY()&lt;=年检提醒天,"还剩 "&amp;TEXT($T342-TODAY(),"0")&amp;" 天","")))</f>
        <v/>
      </c>
      <c r="AB342" s="34" t="str">
        <f aca="true">IF(COUNT($U342:$V342)=0,"",IF(MIN($U342:$V342)&lt;TODAY(),"已过期 "&amp;TEXT(TODAY()-MIN($U342:$V342),"0")&amp;" 天",IF(MIN($U342:$V342)-TODAY()&lt;=年检提醒天,"还剩 "&amp;TEXT(MIN($U342:$V342)-TODAY(),"0")&amp;" 天","")))</f>
        <v/>
      </c>
      <c r="AC342" s="34" t="str">
        <f aca="true">IF($C342="","",IF(OR($Y342="安装免保",$Y342="技术免保",$Y342="质保期内"),IF($Z342="","▲免保没填到期日",IF($Z342&lt;TODAY(),"▲免保已到期 该转收费了",IF($Z342-TODAY()&lt;=合同提醒天,"免保还剩 "&amp;TEXT($Z342-TODAY(),"0")&amp;" 天","免保中"))),IF($Y342="暂停维保","暂停中 不计费",IF($Y342="已解约","已解约",IF(COUNTIF(合同键,$E342)=0,"▲还没建合同行","")))))</f>
        <v/>
      </c>
      <c r="AD342" s="24"/>
      <c r="AE342" s="35" t="str">
        <f aca="false">IF($C342="","",IF($D342="","★项目名称没填",IF(N($P342)&lt;=0,"★台量要填",IF(AND(OR($Y342="安装免保",$Y342="技术免保",$Y342="质保期内"),$Z342=""),"★免保到期日没填",IF(COUNTIF(合同键,$E342)=0,"★还没建合同行","OK")))))</f>
        <v/>
      </c>
    </row>
    <row r="343" customFormat="false" ht="15" hidden="false" customHeight="false" outlineLevel="0" collapsed="false">
      <c r="A343" s="29" t="str">
        <f aca="false">IF($C343="","",ROW()-4)</f>
        <v/>
      </c>
      <c r="B343" s="25"/>
      <c r="C343" s="24"/>
      <c r="D343" s="24"/>
      <c r="E343" s="30" t="str">
        <f aca="false">IF($C343="","",$C343&amp;" ｜ "&amp;$D343)</f>
        <v/>
      </c>
      <c r="F343" s="25"/>
      <c r="G343" s="25"/>
      <c r="H343" s="25"/>
      <c r="I343" s="25"/>
      <c r="J343" s="25"/>
      <c r="K343" s="21"/>
      <c r="L343" s="21"/>
      <c r="M343" s="21"/>
      <c r="N343" s="25"/>
      <c r="O343" s="25"/>
      <c r="P343" s="32"/>
      <c r="Q343" s="25"/>
      <c r="R343" s="25"/>
      <c r="S343" s="33"/>
      <c r="T343" s="33"/>
      <c r="U343" s="33"/>
      <c r="V343" s="33"/>
      <c r="W343" s="25"/>
      <c r="X343" s="25"/>
      <c r="Y343" s="25"/>
      <c r="Z343" s="33"/>
      <c r="AA343" s="34" t="str">
        <f aca="true">IF($T343="","",IF($T343&lt;TODAY(),"已过期 "&amp;TEXT(TODAY()-$T343,"0")&amp;" 天",IF($T343-TODAY()&lt;=年检提醒天,"还剩 "&amp;TEXT($T343-TODAY(),"0")&amp;" 天","")))</f>
        <v/>
      </c>
      <c r="AB343" s="34" t="str">
        <f aca="true">IF(COUNT($U343:$V343)=0,"",IF(MIN($U343:$V343)&lt;TODAY(),"已过期 "&amp;TEXT(TODAY()-MIN($U343:$V343),"0")&amp;" 天",IF(MIN($U343:$V343)-TODAY()&lt;=年检提醒天,"还剩 "&amp;TEXT(MIN($U343:$V343)-TODAY(),"0")&amp;" 天","")))</f>
        <v/>
      </c>
      <c r="AC343" s="34" t="str">
        <f aca="true">IF($C343="","",IF(OR($Y343="安装免保",$Y343="技术免保",$Y343="质保期内"),IF($Z343="","▲免保没填到期日",IF($Z343&lt;TODAY(),"▲免保已到期 该转收费了",IF($Z343-TODAY()&lt;=合同提醒天,"免保还剩 "&amp;TEXT($Z343-TODAY(),"0")&amp;" 天","免保中"))),IF($Y343="暂停维保","暂停中 不计费",IF($Y343="已解约","已解约",IF(COUNTIF(合同键,$E343)=0,"▲还没建合同行","")))))</f>
        <v/>
      </c>
      <c r="AD343" s="24"/>
      <c r="AE343" s="35" t="str">
        <f aca="false">IF($C343="","",IF($D343="","★项目名称没填",IF(N($P343)&lt;=0,"★台量要填",IF(AND(OR($Y343="安装免保",$Y343="技术免保",$Y343="质保期内"),$Z343=""),"★免保到期日没填",IF(COUNTIF(合同键,$E343)=0,"★还没建合同行","OK")))))</f>
        <v/>
      </c>
    </row>
    <row r="344" customFormat="false" ht="15" hidden="false" customHeight="false" outlineLevel="0" collapsed="false">
      <c r="A344" s="29" t="str">
        <f aca="false">IF($C344="","",ROW()-4)</f>
        <v/>
      </c>
      <c r="B344" s="25"/>
      <c r="C344" s="24"/>
      <c r="D344" s="24"/>
      <c r="E344" s="30" t="str">
        <f aca="false">IF($C344="","",$C344&amp;" ｜ "&amp;$D344)</f>
        <v/>
      </c>
      <c r="F344" s="25"/>
      <c r="G344" s="25"/>
      <c r="H344" s="25"/>
      <c r="I344" s="25"/>
      <c r="J344" s="25"/>
      <c r="K344" s="21"/>
      <c r="L344" s="21"/>
      <c r="M344" s="21"/>
      <c r="N344" s="25"/>
      <c r="O344" s="25"/>
      <c r="P344" s="32"/>
      <c r="Q344" s="25"/>
      <c r="R344" s="25"/>
      <c r="S344" s="33"/>
      <c r="T344" s="33"/>
      <c r="U344" s="33"/>
      <c r="V344" s="33"/>
      <c r="W344" s="25"/>
      <c r="X344" s="25"/>
      <c r="Y344" s="25"/>
      <c r="Z344" s="33"/>
      <c r="AA344" s="34" t="str">
        <f aca="true">IF($T344="","",IF($T344&lt;TODAY(),"已过期 "&amp;TEXT(TODAY()-$T344,"0")&amp;" 天",IF($T344-TODAY()&lt;=年检提醒天,"还剩 "&amp;TEXT($T344-TODAY(),"0")&amp;" 天","")))</f>
        <v/>
      </c>
      <c r="AB344" s="34" t="str">
        <f aca="true">IF(COUNT($U344:$V344)=0,"",IF(MIN($U344:$V344)&lt;TODAY(),"已过期 "&amp;TEXT(TODAY()-MIN($U344:$V344),"0")&amp;" 天",IF(MIN($U344:$V344)-TODAY()&lt;=年检提醒天,"还剩 "&amp;TEXT(MIN($U344:$V344)-TODAY(),"0")&amp;" 天","")))</f>
        <v/>
      </c>
      <c r="AC344" s="34" t="str">
        <f aca="true">IF($C344="","",IF(OR($Y344="安装免保",$Y344="技术免保",$Y344="质保期内"),IF($Z344="","▲免保没填到期日",IF($Z344&lt;TODAY(),"▲免保已到期 该转收费了",IF($Z344-TODAY()&lt;=合同提醒天,"免保还剩 "&amp;TEXT($Z344-TODAY(),"0")&amp;" 天","免保中"))),IF($Y344="暂停维保","暂停中 不计费",IF($Y344="已解约","已解约",IF(COUNTIF(合同键,$E344)=0,"▲还没建合同行","")))))</f>
        <v/>
      </c>
      <c r="AD344" s="24"/>
      <c r="AE344" s="35" t="str">
        <f aca="false">IF($C344="","",IF($D344="","★项目名称没填",IF(N($P344)&lt;=0,"★台量要填",IF(AND(OR($Y344="安装免保",$Y344="技术免保",$Y344="质保期内"),$Z344=""),"★免保到期日没填",IF(COUNTIF(合同键,$E344)=0,"★还没建合同行","OK")))))</f>
        <v/>
      </c>
    </row>
    <row r="345" customFormat="false" ht="15" hidden="false" customHeight="false" outlineLevel="0" collapsed="false">
      <c r="A345" s="29" t="str">
        <f aca="false">IF($C345="","",ROW()-4)</f>
        <v/>
      </c>
      <c r="B345" s="25"/>
      <c r="C345" s="24"/>
      <c r="D345" s="24"/>
      <c r="E345" s="30" t="str">
        <f aca="false">IF($C345="","",$C345&amp;" ｜ "&amp;$D345)</f>
        <v/>
      </c>
      <c r="F345" s="25"/>
      <c r="G345" s="25"/>
      <c r="H345" s="25"/>
      <c r="I345" s="25"/>
      <c r="J345" s="25"/>
      <c r="K345" s="21"/>
      <c r="L345" s="21"/>
      <c r="M345" s="21"/>
      <c r="N345" s="25"/>
      <c r="O345" s="25"/>
      <c r="P345" s="32"/>
      <c r="Q345" s="25"/>
      <c r="R345" s="25"/>
      <c r="S345" s="33"/>
      <c r="T345" s="33"/>
      <c r="U345" s="33"/>
      <c r="V345" s="33"/>
      <c r="W345" s="25"/>
      <c r="X345" s="25"/>
      <c r="Y345" s="25"/>
      <c r="Z345" s="33"/>
      <c r="AA345" s="34" t="str">
        <f aca="true">IF($T345="","",IF($T345&lt;TODAY(),"已过期 "&amp;TEXT(TODAY()-$T345,"0")&amp;" 天",IF($T345-TODAY()&lt;=年检提醒天,"还剩 "&amp;TEXT($T345-TODAY(),"0")&amp;" 天","")))</f>
        <v/>
      </c>
      <c r="AB345" s="34" t="str">
        <f aca="true">IF(COUNT($U345:$V345)=0,"",IF(MIN($U345:$V345)&lt;TODAY(),"已过期 "&amp;TEXT(TODAY()-MIN($U345:$V345),"0")&amp;" 天",IF(MIN($U345:$V345)-TODAY()&lt;=年检提醒天,"还剩 "&amp;TEXT(MIN($U345:$V345)-TODAY(),"0")&amp;" 天","")))</f>
        <v/>
      </c>
      <c r="AC345" s="34" t="str">
        <f aca="true">IF($C345="","",IF(OR($Y345="安装免保",$Y345="技术免保",$Y345="质保期内"),IF($Z345="","▲免保没填到期日",IF($Z345&lt;TODAY(),"▲免保已到期 该转收费了",IF($Z345-TODAY()&lt;=合同提醒天,"免保还剩 "&amp;TEXT($Z345-TODAY(),"0")&amp;" 天","免保中"))),IF($Y345="暂停维保","暂停中 不计费",IF($Y345="已解约","已解约",IF(COUNTIF(合同键,$E345)=0,"▲还没建合同行","")))))</f>
        <v/>
      </c>
      <c r="AD345" s="24"/>
      <c r="AE345" s="35" t="str">
        <f aca="false">IF($C345="","",IF($D345="","★项目名称没填",IF(N($P345)&lt;=0,"★台量要填",IF(AND(OR($Y345="安装免保",$Y345="技术免保",$Y345="质保期内"),$Z345=""),"★免保到期日没填",IF(COUNTIF(合同键,$E345)=0,"★还没建合同行","OK")))))</f>
        <v/>
      </c>
    </row>
    <row r="346" customFormat="false" ht="15" hidden="false" customHeight="false" outlineLevel="0" collapsed="false">
      <c r="A346" s="29" t="str">
        <f aca="false">IF($C346="","",ROW()-4)</f>
        <v/>
      </c>
      <c r="B346" s="25"/>
      <c r="C346" s="24"/>
      <c r="D346" s="24"/>
      <c r="E346" s="30" t="str">
        <f aca="false">IF($C346="","",$C346&amp;" ｜ "&amp;$D346)</f>
        <v/>
      </c>
      <c r="F346" s="25"/>
      <c r="G346" s="25"/>
      <c r="H346" s="25"/>
      <c r="I346" s="25"/>
      <c r="J346" s="25"/>
      <c r="K346" s="21"/>
      <c r="L346" s="21"/>
      <c r="M346" s="21"/>
      <c r="N346" s="25"/>
      <c r="O346" s="25"/>
      <c r="P346" s="32"/>
      <c r="Q346" s="25"/>
      <c r="R346" s="25"/>
      <c r="S346" s="33"/>
      <c r="T346" s="33"/>
      <c r="U346" s="33"/>
      <c r="V346" s="33"/>
      <c r="W346" s="25"/>
      <c r="X346" s="25"/>
      <c r="Y346" s="25"/>
      <c r="Z346" s="33"/>
      <c r="AA346" s="34" t="str">
        <f aca="true">IF($T346="","",IF($T346&lt;TODAY(),"已过期 "&amp;TEXT(TODAY()-$T346,"0")&amp;" 天",IF($T346-TODAY()&lt;=年检提醒天,"还剩 "&amp;TEXT($T346-TODAY(),"0")&amp;" 天","")))</f>
        <v/>
      </c>
      <c r="AB346" s="34" t="str">
        <f aca="true">IF(COUNT($U346:$V346)=0,"",IF(MIN($U346:$V346)&lt;TODAY(),"已过期 "&amp;TEXT(TODAY()-MIN($U346:$V346),"0")&amp;" 天",IF(MIN($U346:$V346)-TODAY()&lt;=年检提醒天,"还剩 "&amp;TEXT(MIN($U346:$V346)-TODAY(),"0")&amp;" 天","")))</f>
        <v/>
      </c>
      <c r="AC346" s="34" t="str">
        <f aca="true">IF($C346="","",IF(OR($Y346="安装免保",$Y346="技术免保",$Y346="质保期内"),IF($Z346="","▲免保没填到期日",IF($Z346&lt;TODAY(),"▲免保已到期 该转收费了",IF($Z346-TODAY()&lt;=合同提醒天,"免保还剩 "&amp;TEXT($Z346-TODAY(),"0")&amp;" 天","免保中"))),IF($Y346="暂停维保","暂停中 不计费",IF($Y346="已解约","已解约",IF(COUNTIF(合同键,$E346)=0,"▲还没建合同行","")))))</f>
        <v/>
      </c>
      <c r="AD346" s="24"/>
      <c r="AE346" s="35" t="str">
        <f aca="false">IF($C346="","",IF($D346="","★项目名称没填",IF(N($P346)&lt;=0,"★台量要填",IF(AND(OR($Y346="安装免保",$Y346="技术免保",$Y346="质保期内"),$Z346=""),"★免保到期日没填",IF(COUNTIF(合同键,$E346)=0,"★还没建合同行","OK")))))</f>
        <v/>
      </c>
    </row>
    <row r="347" customFormat="false" ht="15" hidden="false" customHeight="false" outlineLevel="0" collapsed="false">
      <c r="A347" s="29" t="str">
        <f aca="false">IF($C347="","",ROW()-4)</f>
        <v/>
      </c>
      <c r="B347" s="25"/>
      <c r="C347" s="24"/>
      <c r="D347" s="24"/>
      <c r="E347" s="30" t="str">
        <f aca="false">IF($C347="","",$C347&amp;" ｜ "&amp;$D347)</f>
        <v/>
      </c>
      <c r="F347" s="25"/>
      <c r="G347" s="25"/>
      <c r="H347" s="25"/>
      <c r="I347" s="25"/>
      <c r="J347" s="25"/>
      <c r="K347" s="21"/>
      <c r="L347" s="21"/>
      <c r="M347" s="21"/>
      <c r="N347" s="25"/>
      <c r="O347" s="25"/>
      <c r="P347" s="32"/>
      <c r="Q347" s="25"/>
      <c r="R347" s="25"/>
      <c r="S347" s="33"/>
      <c r="T347" s="33"/>
      <c r="U347" s="33"/>
      <c r="V347" s="33"/>
      <c r="W347" s="25"/>
      <c r="X347" s="25"/>
      <c r="Y347" s="25"/>
      <c r="Z347" s="33"/>
      <c r="AA347" s="34" t="str">
        <f aca="true">IF($T347="","",IF($T347&lt;TODAY(),"已过期 "&amp;TEXT(TODAY()-$T347,"0")&amp;" 天",IF($T347-TODAY()&lt;=年检提醒天,"还剩 "&amp;TEXT($T347-TODAY(),"0")&amp;" 天","")))</f>
        <v/>
      </c>
      <c r="AB347" s="34" t="str">
        <f aca="true">IF(COUNT($U347:$V347)=0,"",IF(MIN($U347:$V347)&lt;TODAY(),"已过期 "&amp;TEXT(TODAY()-MIN($U347:$V347),"0")&amp;" 天",IF(MIN($U347:$V347)-TODAY()&lt;=年检提醒天,"还剩 "&amp;TEXT(MIN($U347:$V347)-TODAY(),"0")&amp;" 天","")))</f>
        <v/>
      </c>
      <c r="AC347" s="34" t="str">
        <f aca="true">IF($C347="","",IF(OR($Y347="安装免保",$Y347="技术免保",$Y347="质保期内"),IF($Z347="","▲免保没填到期日",IF($Z347&lt;TODAY(),"▲免保已到期 该转收费了",IF($Z347-TODAY()&lt;=合同提醒天,"免保还剩 "&amp;TEXT($Z347-TODAY(),"0")&amp;" 天","免保中"))),IF($Y347="暂停维保","暂停中 不计费",IF($Y347="已解约","已解约",IF(COUNTIF(合同键,$E347)=0,"▲还没建合同行","")))))</f>
        <v/>
      </c>
      <c r="AD347" s="24"/>
      <c r="AE347" s="35" t="str">
        <f aca="false">IF($C347="","",IF($D347="","★项目名称没填",IF(N($P347)&lt;=0,"★台量要填",IF(AND(OR($Y347="安装免保",$Y347="技术免保",$Y347="质保期内"),$Z347=""),"★免保到期日没填",IF(COUNTIF(合同键,$E347)=0,"★还没建合同行","OK")))))</f>
        <v/>
      </c>
    </row>
    <row r="348" customFormat="false" ht="15" hidden="false" customHeight="false" outlineLevel="0" collapsed="false">
      <c r="A348" s="29" t="str">
        <f aca="false">IF($C348="","",ROW()-4)</f>
        <v/>
      </c>
      <c r="B348" s="25"/>
      <c r="C348" s="24"/>
      <c r="D348" s="24"/>
      <c r="E348" s="30" t="str">
        <f aca="false">IF($C348="","",$C348&amp;" ｜ "&amp;$D348)</f>
        <v/>
      </c>
      <c r="F348" s="25"/>
      <c r="G348" s="25"/>
      <c r="H348" s="25"/>
      <c r="I348" s="25"/>
      <c r="J348" s="25"/>
      <c r="K348" s="21"/>
      <c r="L348" s="21"/>
      <c r="M348" s="21"/>
      <c r="N348" s="25"/>
      <c r="O348" s="25"/>
      <c r="P348" s="32"/>
      <c r="Q348" s="25"/>
      <c r="R348" s="25"/>
      <c r="S348" s="33"/>
      <c r="T348" s="33"/>
      <c r="U348" s="33"/>
      <c r="V348" s="33"/>
      <c r="W348" s="25"/>
      <c r="X348" s="25"/>
      <c r="Y348" s="25"/>
      <c r="Z348" s="33"/>
      <c r="AA348" s="34" t="str">
        <f aca="true">IF($T348="","",IF($T348&lt;TODAY(),"已过期 "&amp;TEXT(TODAY()-$T348,"0")&amp;" 天",IF($T348-TODAY()&lt;=年检提醒天,"还剩 "&amp;TEXT($T348-TODAY(),"0")&amp;" 天","")))</f>
        <v/>
      </c>
      <c r="AB348" s="34" t="str">
        <f aca="true">IF(COUNT($U348:$V348)=0,"",IF(MIN($U348:$V348)&lt;TODAY(),"已过期 "&amp;TEXT(TODAY()-MIN($U348:$V348),"0")&amp;" 天",IF(MIN($U348:$V348)-TODAY()&lt;=年检提醒天,"还剩 "&amp;TEXT(MIN($U348:$V348)-TODAY(),"0")&amp;" 天","")))</f>
        <v/>
      </c>
      <c r="AC348" s="34" t="str">
        <f aca="true">IF($C348="","",IF(OR($Y348="安装免保",$Y348="技术免保",$Y348="质保期内"),IF($Z348="","▲免保没填到期日",IF($Z348&lt;TODAY(),"▲免保已到期 该转收费了",IF($Z348-TODAY()&lt;=合同提醒天,"免保还剩 "&amp;TEXT($Z348-TODAY(),"0")&amp;" 天","免保中"))),IF($Y348="暂停维保","暂停中 不计费",IF($Y348="已解约","已解约",IF(COUNTIF(合同键,$E348)=0,"▲还没建合同行","")))))</f>
        <v/>
      </c>
      <c r="AD348" s="24"/>
      <c r="AE348" s="35" t="str">
        <f aca="false">IF($C348="","",IF($D348="","★项目名称没填",IF(N($P348)&lt;=0,"★台量要填",IF(AND(OR($Y348="安装免保",$Y348="技术免保",$Y348="质保期内"),$Z348=""),"★免保到期日没填",IF(COUNTIF(合同键,$E348)=0,"★还没建合同行","OK")))))</f>
        <v/>
      </c>
    </row>
    <row r="349" customFormat="false" ht="15" hidden="false" customHeight="false" outlineLevel="0" collapsed="false">
      <c r="A349" s="29" t="str">
        <f aca="false">IF($C349="","",ROW()-4)</f>
        <v/>
      </c>
      <c r="B349" s="25"/>
      <c r="C349" s="24"/>
      <c r="D349" s="24"/>
      <c r="E349" s="30" t="str">
        <f aca="false">IF($C349="","",$C349&amp;" ｜ "&amp;$D349)</f>
        <v/>
      </c>
      <c r="F349" s="25"/>
      <c r="G349" s="25"/>
      <c r="H349" s="25"/>
      <c r="I349" s="25"/>
      <c r="J349" s="25"/>
      <c r="K349" s="21"/>
      <c r="L349" s="21"/>
      <c r="M349" s="21"/>
      <c r="N349" s="25"/>
      <c r="O349" s="25"/>
      <c r="P349" s="32"/>
      <c r="Q349" s="25"/>
      <c r="R349" s="25"/>
      <c r="S349" s="33"/>
      <c r="T349" s="33"/>
      <c r="U349" s="33"/>
      <c r="V349" s="33"/>
      <c r="W349" s="25"/>
      <c r="X349" s="25"/>
      <c r="Y349" s="25"/>
      <c r="Z349" s="33"/>
      <c r="AA349" s="34" t="str">
        <f aca="true">IF($T349="","",IF($T349&lt;TODAY(),"已过期 "&amp;TEXT(TODAY()-$T349,"0")&amp;" 天",IF($T349-TODAY()&lt;=年检提醒天,"还剩 "&amp;TEXT($T349-TODAY(),"0")&amp;" 天","")))</f>
        <v/>
      </c>
      <c r="AB349" s="34" t="str">
        <f aca="true">IF(COUNT($U349:$V349)=0,"",IF(MIN($U349:$V349)&lt;TODAY(),"已过期 "&amp;TEXT(TODAY()-MIN($U349:$V349),"0")&amp;" 天",IF(MIN($U349:$V349)-TODAY()&lt;=年检提醒天,"还剩 "&amp;TEXT(MIN($U349:$V349)-TODAY(),"0")&amp;" 天","")))</f>
        <v/>
      </c>
      <c r="AC349" s="34" t="str">
        <f aca="true">IF($C349="","",IF(OR($Y349="安装免保",$Y349="技术免保",$Y349="质保期内"),IF($Z349="","▲免保没填到期日",IF($Z349&lt;TODAY(),"▲免保已到期 该转收费了",IF($Z349-TODAY()&lt;=合同提醒天,"免保还剩 "&amp;TEXT($Z349-TODAY(),"0")&amp;" 天","免保中"))),IF($Y349="暂停维保","暂停中 不计费",IF($Y349="已解约","已解约",IF(COUNTIF(合同键,$E349)=0,"▲还没建合同行","")))))</f>
        <v/>
      </c>
      <c r="AD349" s="24"/>
      <c r="AE349" s="35" t="str">
        <f aca="false">IF($C349="","",IF($D349="","★项目名称没填",IF(N($P349)&lt;=0,"★台量要填",IF(AND(OR($Y349="安装免保",$Y349="技术免保",$Y349="质保期内"),$Z349=""),"★免保到期日没填",IF(COUNTIF(合同键,$E349)=0,"★还没建合同行","OK")))))</f>
        <v/>
      </c>
    </row>
    <row r="350" customFormat="false" ht="15" hidden="false" customHeight="false" outlineLevel="0" collapsed="false">
      <c r="A350" s="29" t="str">
        <f aca="false">IF($C350="","",ROW()-4)</f>
        <v/>
      </c>
      <c r="B350" s="25"/>
      <c r="C350" s="24"/>
      <c r="D350" s="24"/>
      <c r="E350" s="30" t="str">
        <f aca="false">IF($C350="","",$C350&amp;" ｜ "&amp;$D350)</f>
        <v/>
      </c>
      <c r="F350" s="25"/>
      <c r="G350" s="25"/>
      <c r="H350" s="25"/>
      <c r="I350" s="25"/>
      <c r="J350" s="25"/>
      <c r="K350" s="21"/>
      <c r="L350" s="21"/>
      <c r="M350" s="21"/>
      <c r="N350" s="25"/>
      <c r="O350" s="25"/>
      <c r="P350" s="32"/>
      <c r="Q350" s="25"/>
      <c r="R350" s="25"/>
      <c r="S350" s="33"/>
      <c r="T350" s="33"/>
      <c r="U350" s="33"/>
      <c r="V350" s="33"/>
      <c r="W350" s="25"/>
      <c r="X350" s="25"/>
      <c r="Y350" s="25"/>
      <c r="Z350" s="33"/>
      <c r="AA350" s="34" t="str">
        <f aca="true">IF($T350="","",IF($T350&lt;TODAY(),"已过期 "&amp;TEXT(TODAY()-$T350,"0")&amp;" 天",IF($T350-TODAY()&lt;=年检提醒天,"还剩 "&amp;TEXT($T350-TODAY(),"0")&amp;" 天","")))</f>
        <v/>
      </c>
      <c r="AB350" s="34" t="str">
        <f aca="true">IF(COUNT($U350:$V350)=0,"",IF(MIN($U350:$V350)&lt;TODAY(),"已过期 "&amp;TEXT(TODAY()-MIN($U350:$V350),"0")&amp;" 天",IF(MIN($U350:$V350)-TODAY()&lt;=年检提醒天,"还剩 "&amp;TEXT(MIN($U350:$V350)-TODAY(),"0")&amp;" 天","")))</f>
        <v/>
      </c>
      <c r="AC350" s="34" t="str">
        <f aca="true">IF($C350="","",IF(OR($Y350="安装免保",$Y350="技术免保",$Y350="质保期内"),IF($Z350="","▲免保没填到期日",IF($Z350&lt;TODAY(),"▲免保已到期 该转收费了",IF($Z350-TODAY()&lt;=合同提醒天,"免保还剩 "&amp;TEXT($Z350-TODAY(),"0")&amp;" 天","免保中"))),IF($Y350="暂停维保","暂停中 不计费",IF($Y350="已解约","已解约",IF(COUNTIF(合同键,$E350)=0,"▲还没建合同行","")))))</f>
        <v/>
      </c>
      <c r="AD350" s="24"/>
      <c r="AE350" s="35" t="str">
        <f aca="false">IF($C350="","",IF($D350="","★项目名称没填",IF(N($P350)&lt;=0,"★台量要填",IF(AND(OR($Y350="安装免保",$Y350="技术免保",$Y350="质保期内"),$Z350=""),"★免保到期日没填",IF(COUNTIF(合同键,$E350)=0,"★还没建合同行","OK")))))</f>
        <v/>
      </c>
    </row>
    <row r="351" customFormat="false" ht="15" hidden="false" customHeight="false" outlineLevel="0" collapsed="false">
      <c r="A351" s="29" t="str">
        <f aca="false">IF($C351="","",ROW()-4)</f>
        <v/>
      </c>
      <c r="B351" s="25"/>
      <c r="C351" s="24"/>
      <c r="D351" s="24"/>
      <c r="E351" s="30" t="str">
        <f aca="false">IF($C351="","",$C351&amp;" ｜ "&amp;$D351)</f>
        <v/>
      </c>
      <c r="F351" s="25"/>
      <c r="G351" s="25"/>
      <c r="H351" s="25"/>
      <c r="I351" s="25"/>
      <c r="J351" s="25"/>
      <c r="K351" s="21"/>
      <c r="L351" s="21"/>
      <c r="M351" s="21"/>
      <c r="N351" s="25"/>
      <c r="O351" s="25"/>
      <c r="P351" s="32"/>
      <c r="Q351" s="25"/>
      <c r="R351" s="25"/>
      <c r="S351" s="33"/>
      <c r="T351" s="33"/>
      <c r="U351" s="33"/>
      <c r="V351" s="33"/>
      <c r="W351" s="25"/>
      <c r="X351" s="25"/>
      <c r="Y351" s="25"/>
      <c r="Z351" s="33"/>
      <c r="AA351" s="34" t="str">
        <f aca="true">IF($T351="","",IF($T351&lt;TODAY(),"已过期 "&amp;TEXT(TODAY()-$T351,"0")&amp;" 天",IF($T351-TODAY()&lt;=年检提醒天,"还剩 "&amp;TEXT($T351-TODAY(),"0")&amp;" 天","")))</f>
        <v/>
      </c>
      <c r="AB351" s="34" t="str">
        <f aca="true">IF(COUNT($U351:$V351)=0,"",IF(MIN($U351:$V351)&lt;TODAY(),"已过期 "&amp;TEXT(TODAY()-MIN($U351:$V351),"0")&amp;" 天",IF(MIN($U351:$V351)-TODAY()&lt;=年检提醒天,"还剩 "&amp;TEXT(MIN($U351:$V351)-TODAY(),"0")&amp;" 天","")))</f>
        <v/>
      </c>
      <c r="AC351" s="34" t="str">
        <f aca="true">IF($C351="","",IF(OR($Y351="安装免保",$Y351="技术免保",$Y351="质保期内"),IF($Z351="","▲免保没填到期日",IF($Z351&lt;TODAY(),"▲免保已到期 该转收费了",IF($Z351-TODAY()&lt;=合同提醒天,"免保还剩 "&amp;TEXT($Z351-TODAY(),"0")&amp;" 天","免保中"))),IF($Y351="暂停维保","暂停中 不计费",IF($Y351="已解约","已解约",IF(COUNTIF(合同键,$E351)=0,"▲还没建合同行","")))))</f>
        <v/>
      </c>
      <c r="AD351" s="24"/>
      <c r="AE351" s="35" t="str">
        <f aca="false">IF($C351="","",IF($D351="","★项目名称没填",IF(N($P351)&lt;=0,"★台量要填",IF(AND(OR($Y351="安装免保",$Y351="技术免保",$Y351="质保期内"),$Z351=""),"★免保到期日没填",IF(COUNTIF(合同键,$E351)=0,"★还没建合同行","OK")))))</f>
        <v/>
      </c>
    </row>
    <row r="352" customFormat="false" ht="15" hidden="false" customHeight="false" outlineLevel="0" collapsed="false">
      <c r="A352" s="29" t="str">
        <f aca="false">IF($C352="","",ROW()-4)</f>
        <v/>
      </c>
      <c r="B352" s="25"/>
      <c r="C352" s="24"/>
      <c r="D352" s="24"/>
      <c r="E352" s="30" t="str">
        <f aca="false">IF($C352="","",$C352&amp;" ｜ "&amp;$D352)</f>
        <v/>
      </c>
      <c r="F352" s="25"/>
      <c r="G352" s="25"/>
      <c r="H352" s="25"/>
      <c r="I352" s="25"/>
      <c r="J352" s="25"/>
      <c r="K352" s="21"/>
      <c r="L352" s="21"/>
      <c r="M352" s="21"/>
      <c r="N352" s="25"/>
      <c r="O352" s="25"/>
      <c r="P352" s="32"/>
      <c r="Q352" s="25"/>
      <c r="R352" s="25"/>
      <c r="S352" s="33"/>
      <c r="T352" s="33"/>
      <c r="U352" s="33"/>
      <c r="V352" s="33"/>
      <c r="W352" s="25"/>
      <c r="X352" s="25"/>
      <c r="Y352" s="25"/>
      <c r="Z352" s="33"/>
      <c r="AA352" s="34" t="str">
        <f aca="true">IF($T352="","",IF($T352&lt;TODAY(),"已过期 "&amp;TEXT(TODAY()-$T352,"0")&amp;" 天",IF($T352-TODAY()&lt;=年检提醒天,"还剩 "&amp;TEXT($T352-TODAY(),"0")&amp;" 天","")))</f>
        <v/>
      </c>
      <c r="AB352" s="34" t="str">
        <f aca="true">IF(COUNT($U352:$V352)=0,"",IF(MIN($U352:$V352)&lt;TODAY(),"已过期 "&amp;TEXT(TODAY()-MIN($U352:$V352),"0")&amp;" 天",IF(MIN($U352:$V352)-TODAY()&lt;=年检提醒天,"还剩 "&amp;TEXT(MIN($U352:$V352)-TODAY(),"0")&amp;" 天","")))</f>
        <v/>
      </c>
      <c r="AC352" s="34" t="str">
        <f aca="true">IF($C352="","",IF(OR($Y352="安装免保",$Y352="技术免保",$Y352="质保期内"),IF($Z352="","▲免保没填到期日",IF($Z352&lt;TODAY(),"▲免保已到期 该转收费了",IF($Z352-TODAY()&lt;=合同提醒天,"免保还剩 "&amp;TEXT($Z352-TODAY(),"0")&amp;" 天","免保中"))),IF($Y352="暂停维保","暂停中 不计费",IF($Y352="已解约","已解约",IF(COUNTIF(合同键,$E352)=0,"▲还没建合同行","")))))</f>
        <v/>
      </c>
      <c r="AD352" s="24"/>
      <c r="AE352" s="35" t="str">
        <f aca="false">IF($C352="","",IF($D352="","★项目名称没填",IF(N($P352)&lt;=0,"★台量要填",IF(AND(OR($Y352="安装免保",$Y352="技术免保",$Y352="质保期内"),$Z352=""),"★免保到期日没填",IF(COUNTIF(合同键,$E352)=0,"★还没建合同行","OK")))))</f>
        <v/>
      </c>
    </row>
    <row r="353" customFormat="false" ht="15" hidden="false" customHeight="false" outlineLevel="0" collapsed="false">
      <c r="A353" s="29" t="str">
        <f aca="false">IF($C353="","",ROW()-4)</f>
        <v/>
      </c>
      <c r="B353" s="25"/>
      <c r="C353" s="24"/>
      <c r="D353" s="24"/>
      <c r="E353" s="30" t="str">
        <f aca="false">IF($C353="","",$C353&amp;" ｜ "&amp;$D353)</f>
        <v/>
      </c>
      <c r="F353" s="25"/>
      <c r="G353" s="25"/>
      <c r="H353" s="25"/>
      <c r="I353" s="25"/>
      <c r="J353" s="25"/>
      <c r="K353" s="21"/>
      <c r="L353" s="21"/>
      <c r="M353" s="21"/>
      <c r="N353" s="25"/>
      <c r="O353" s="25"/>
      <c r="P353" s="32"/>
      <c r="Q353" s="25"/>
      <c r="R353" s="25"/>
      <c r="S353" s="33"/>
      <c r="T353" s="33"/>
      <c r="U353" s="33"/>
      <c r="V353" s="33"/>
      <c r="W353" s="25"/>
      <c r="X353" s="25"/>
      <c r="Y353" s="25"/>
      <c r="Z353" s="33"/>
      <c r="AA353" s="34" t="str">
        <f aca="true">IF($T353="","",IF($T353&lt;TODAY(),"已过期 "&amp;TEXT(TODAY()-$T353,"0")&amp;" 天",IF($T353-TODAY()&lt;=年检提醒天,"还剩 "&amp;TEXT($T353-TODAY(),"0")&amp;" 天","")))</f>
        <v/>
      </c>
      <c r="AB353" s="34" t="str">
        <f aca="true">IF(COUNT($U353:$V353)=0,"",IF(MIN($U353:$V353)&lt;TODAY(),"已过期 "&amp;TEXT(TODAY()-MIN($U353:$V353),"0")&amp;" 天",IF(MIN($U353:$V353)-TODAY()&lt;=年检提醒天,"还剩 "&amp;TEXT(MIN($U353:$V353)-TODAY(),"0")&amp;" 天","")))</f>
        <v/>
      </c>
      <c r="AC353" s="34" t="str">
        <f aca="true">IF($C353="","",IF(OR($Y353="安装免保",$Y353="技术免保",$Y353="质保期内"),IF($Z353="","▲免保没填到期日",IF($Z353&lt;TODAY(),"▲免保已到期 该转收费了",IF($Z353-TODAY()&lt;=合同提醒天,"免保还剩 "&amp;TEXT($Z353-TODAY(),"0")&amp;" 天","免保中"))),IF($Y353="暂停维保","暂停中 不计费",IF($Y353="已解约","已解约",IF(COUNTIF(合同键,$E353)=0,"▲还没建合同行","")))))</f>
        <v/>
      </c>
      <c r="AD353" s="24"/>
      <c r="AE353" s="35" t="str">
        <f aca="false">IF($C353="","",IF($D353="","★项目名称没填",IF(N($P353)&lt;=0,"★台量要填",IF(AND(OR($Y353="安装免保",$Y353="技术免保",$Y353="质保期内"),$Z353=""),"★免保到期日没填",IF(COUNTIF(合同键,$E353)=0,"★还没建合同行","OK")))))</f>
        <v/>
      </c>
    </row>
    <row r="354" customFormat="false" ht="15" hidden="false" customHeight="false" outlineLevel="0" collapsed="false">
      <c r="A354" s="29" t="str">
        <f aca="false">IF($C354="","",ROW()-4)</f>
        <v/>
      </c>
      <c r="B354" s="25"/>
      <c r="C354" s="24"/>
      <c r="D354" s="24"/>
      <c r="E354" s="30" t="str">
        <f aca="false">IF($C354="","",$C354&amp;" ｜ "&amp;$D354)</f>
        <v/>
      </c>
      <c r="F354" s="25"/>
      <c r="G354" s="25"/>
      <c r="H354" s="25"/>
      <c r="I354" s="25"/>
      <c r="J354" s="25"/>
      <c r="K354" s="21"/>
      <c r="L354" s="21"/>
      <c r="M354" s="21"/>
      <c r="N354" s="25"/>
      <c r="O354" s="25"/>
      <c r="P354" s="32"/>
      <c r="Q354" s="25"/>
      <c r="R354" s="25"/>
      <c r="S354" s="33"/>
      <c r="T354" s="33"/>
      <c r="U354" s="33"/>
      <c r="V354" s="33"/>
      <c r="W354" s="25"/>
      <c r="X354" s="25"/>
      <c r="Y354" s="25"/>
      <c r="Z354" s="33"/>
      <c r="AA354" s="34" t="str">
        <f aca="true">IF($T354="","",IF($T354&lt;TODAY(),"已过期 "&amp;TEXT(TODAY()-$T354,"0")&amp;" 天",IF($T354-TODAY()&lt;=年检提醒天,"还剩 "&amp;TEXT($T354-TODAY(),"0")&amp;" 天","")))</f>
        <v/>
      </c>
      <c r="AB354" s="34" t="str">
        <f aca="true">IF(COUNT($U354:$V354)=0,"",IF(MIN($U354:$V354)&lt;TODAY(),"已过期 "&amp;TEXT(TODAY()-MIN($U354:$V354),"0")&amp;" 天",IF(MIN($U354:$V354)-TODAY()&lt;=年检提醒天,"还剩 "&amp;TEXT(MIN($U354:$V354)-TODAY(),"0")&amp;" 天","")))</f>
        <v/>
      </c>
      <c r="AC354" s="34" t="str">
        <f aca="true">IF($C354="","",IF(OR($Y354="安装免保",$Y354="技术免保",$Y354="质保期内"),IF($Z354="","▲免保没填到期日",IF($Z354&lt;TODAY(),"▲免保已到期 该转收费了",IF($Z354-TODAY()&lt;=合同提醒天,"免保还剩 "&amp;TEXT($Z354-TODAY(),"0")&amp;" 天","免保中"))),IF($Y354="暂停维保","暂停中 不计费",IF($Y354="已解约","已解约",IF(COUNTIF(合同键,$E354)=0,"▲还没建合同行","")))))</f>
        <v/>
      </c>
      <c r="AD354" s="24"/>
      <c r="AE354" s="35" t="str">
        <f aca="false">IF($C354="","",IF($D354="","★项目名称没填",IF(N($P354)&lt;=0,"★台量要填",IF(AND(OR($Y354="安装免保",$Y354="技术免保",$Y354="质保期内"),$Z354=""),"★免保到期日没填",IF(COUNTIF(合同键,$E354)=0,"★还没建合同行","OK")))))</f>
        <v/>
      </c>
    </row>
    <row r="355" customFormat="false" ht="15" hidden="false" customHeight="false" outlineLevel="0" collapsed="false">
      <c r="A355" s="29" t="str">
        <f aca="false">IF($C355="","",ROW()-4)</f>
        <v/>
      </c>
      <c r="B355" s="25"/>
      <c r="C355" s="24"/>
      <c r="D355" s="24"/>
      <c r="E355" s="30" t="str">
        <f aca="false">IF($C355="","",$C355&amp;" ｜ "&amp;$D355)</f>
        <v/>
      </c>
      <c r="F355" s="25"/>
      <c r="G355" s="25"/>
      <c r="H355" s="25"/>
      <c r="I355" s="25"/>
      <c r="J355" s="25"/>
      <c r="K355" s="21"/>
      <c r="L355" s="21"/>
      <c r="M355" s="21"/>
      <c r="N355" s="25"/>
      <c r="O355" s="25"/>
      <c r="P355" s="32"/>
      <c r="Q355" s="25"/>
      <c r="R355" s="25"/>
      <c r="S355" s="33"/>
      <c r="T355" s="33"/>
      <c r="U355" s="33"/>
      <c r="V355" s="33"/>
      <c r="W355" s="25"/>
      <c r="X355" s="25"/>
      <c r="Y355" s="25"/>
      <c r="Z355" s="33"/>
      <c r="AA355" s="34" t="str">
        <f aca="true">IF($T355="","",IF($T355&lt;TODAY(),"已过期 "&amp;TEXT(TODAY()-$T355,"0")&amp;" 天",IF($T355-TODAY()&lt;=年检提醒天,"还剩 "&amp;TEXT($T355-TODAY(),"0")&amp;" 天","")))</f>
        <v/>
      </c>
      <c r="AB355" s="34" t="str">
        <f aca="true">IF(COUNT($U355:$V355)=0,"",IF(MIN($U355:$V355)&lt;TODAY(),"已过期 "&amp;TEXT(TODAY()-MIN($U355:$V355),"0")&amp;" 天",IF(MIN($U355:$V355)-TODAY()&lt;=年检提醒天,"还剩 "&amp;TEXT(MIN($U355:$V355)-TODAY(),"0")&amp;" 天","")))</f>
        <v/>
      </c>
      <c r="AC355" s="34" t="str">
        <f aca="true">IF($C355="","",IF(OR($Y355="安装免保",$Y355="技术免保",$Y355="质保期内"),IF($Z355="","▲免保没填到期日",IF($Z355&lt;TODAY(),"▲免保已到期 该转收费了",IF($Z355-TODAY()&lt;=合同提醒天,"免保还剩 "&amp;TEXT($Z355-TODAY(),"0")&amp;" 天","免保中"))),IF($Y355="暂停维保","暂停中 不计费",IF($Y355="已解约","已解约",IF(COUNTIF(合同键,$E355)=0,"▲还没建合同行","")))))</f>
        <v/>
      </c>
      <c r="AD355" s="24"/>
      <c r="AE355" s="35" t="str">
        <f aca="false">IF($C355="","",IF($D355="","★项目名称没填",IF(N($P355)&lt;=0,"★台量要填",IF(AND(OR($Y355="安装免保",$Y355="技术免保",$Y355="质保期内"),$Z355=""),"★免保到期日没填",IF(COUNTIF(合同键,$E355)=0,"★还没建合同行","OK")))))</f>
        <v/>
      </c>
    </row>
    <row r="356" customFormat="false" ht="15" hidden="false" customHeight="false" outlineLevel="0" collapsed="false">
      <c r="A356" s="29" t="str">
        <f aca="false">IF($C356="","",ROW()-4)</f>
        <v/>
      </c>
      <c r="B356" s="25"/>
      <c r="C356" s="24"/>
      <c r="D356" s="24"/>
      <c r="E356" s="30" t="str">
        <f aca="false">IF($C356="","",$C356&amp;" ｜ "&amp;$D356)</f>
        <v/>
      </c>
      <c r="F356" s="25"/>
      <c r="G356" s="25"/>
      <c r="H356" s="25"/>
      <c r="I356" s="25"/>
      <c r="J356" s="25"/>
      <c r="K356" s="21"/>
      <c r="L356" s="21"/>
      <c r="M356" s="21"/>
      <c r="N356" s="25"/>
      <c r="O356" s="25"/>
      <c r="P356" s="32"/>
      <c r="Q356" s="25"/>
      <c r="R356" s="25"/>
      <c r="S356" s="33"/>
      <c r="T356" s="33"/>
      <c r="U356" s="33"/>
      <c r="V356" s="33"/>
      <c r="W356" s="25"/>
      <c r="X356" s="25"/>
      <c r="Y356" s="25"/>
      <c r="Z356" s="33"/>
      <c r="AA356" s="34" t="str">
        <f aca="true">IF($T356="","",IF($T356&lt;TODAY(),"已过期 "&amp;TEXT(TODAY()-$T356,"0")&amp;" 天",IF($T356-TODAY()&lt;=年检提醒天,"还剩 "&amp;TEXT($T356-TODAY(),"0")&amp;" 天","")))</f>
        <v/>
      </c>
      <c r="AB356" s="34" t="str">
        <f aca="true">IF(COUNT($U356:$V356)=0,"",IF(MIN($U356:$V356)&lt;TODAY(),"已过期 "&amp;TEXT(TODAY()-MIN($U356:$V356),"0")&amp;" 天",IF(MIN($U356:$V356)-TODAY()&lt;=年检提醒天,"还剩 "&amp;TEXT(MIN($U356:$V356)-TODAY(),"0")&amp;" 天","")))</f>
        <v/>
      </c>
      <c r="AC356" s="34" t="str">
        <f aca="true">IF($C356="","",IF(OR($Y356="安装免保",$Y356="技术免保",$Y356="质保期内"),IF($Z356="","▲免保没填到期日",IF($Z356&lt;TODAY(),"▲免保已到期 该转收费了",IF($Z356-TODAY()&lt;=合同提醒天,"免保还剩 "&amp;TEXT($Z356-TODAY(),"0")&amp;" 天","免保中"))),IF($Y356="暂停维保","暂停中 不计费",IF($Y356="已解约","已解约",IF(COUNTIF(合同键,$E356)=0,"▲还没建合同行","")))))</f>
        <v/>
      </c>
      <c r="AD356" s="24"/>
      <c r="AE356" s="35" t="str">
        <f aca="false">IF($C356="","",IF($D356="","★项目名称没填",IF(N($P356)&lt;=0,"★台量要填",IF(AND(OR($Y356="安装免保",$Y356="技术免保",$Y356="质保期内"),$Z356=""),"★免保到期日没填",IF(COUNTIF(合同键,$E356)=0,"★还没建合同行","OK")))))</f>
        <v/>
      </c>
    </row>
    <row r="357" customFormat="false" ht="15" hidden="false" customHeight="false" outlineLevel="0" collapsed="false">
      <c r="A357" s="29" t="str">
        <f aca="false">IF($C357="","",ROW()-4)</f>
        <v/>
      </c>
      <c r="B357" s="25"/>
      <c r="C357" s="24"/>
      <c r="D357" s="24"/>
      <c r="E357" s="30" t="str">
        <f aca="false">IF($C357="","",$C357&amp;" ｜ "&amp;$D357)</f>
        <v/>
      </c>
      <c r="F357" s="25"/>
      <c r="G357" s="25"/>
      <c r="H357" s="25"/>
      <c r="I357" s="25"/>
      <c r="J357" s="25"/>
      <c r="K357" s="21"/>
      <c r="L357" s="21"/>
      <c r="M357" s="21"/>
      <c r="N357" s="25"/>
      <c r="O357" s="25"/>
      <c r="P357" s="32"/>
      <c r="Q357" s="25"/>
      <c r="R357" s="25"/>
      <c r="S357" s="33"/>
      <c r="T357" s="33"/>
      <c r="U357" s="33"/>
      <c r="V357" s="33"/>
      <c r="W357" s="25"/>
      <c r="X357" s="25"/>
      <c r="Y357" s="25"/>
      <c r="Z357" s="33"/>
      <c r="AA357" s="34" t="str">
        <f aca="true">IF($T357="","",IF($T357&lt;TODAY(),"已过期 "&amp;TEXT(TODAY()-$T357,"0")&amp;" 天",IF($T357-TODAY()&lt;=年检提醒天,"还剩 "&amp;TEXT($T357-TODAY(),"0")&amp;" 天","")))</f>
        <v/>
      </c>
      <c r="AB357" s="34" t="str">
        <f aca="true">IF(COUNT($U357:$V357)=0,"",IF(MIN($U357:$V357)&lt;TODAY(),"已过期 "&amp;TEXT(TODAY()-MIN($U357:$V357),"0")&amp;" 天",IF(MIN($U357:$V357)-TODAY()&lt;=年检提醒天,"还剩 "&amp;TEXT(MIN($U357:$V357)-TODAY(),"0")&amp;" 天","")))</f>
        <v/>
      </c>
      <c r="AC357" s="34" t="str">
        <f aca="true">IF($C357="","",IF(OR($Y357="安装免保",$Y357="技术免保",$Y357="质保期内"),IF($Z357="","▲免保没填到期日",IF($Z357&lt;TODAY(),"▲免保已到期 该转收费了",IF($Z357-TODAY()&lt;=合同提醒天,"免保还剩 "&amp;TEXT($Z357-TODAY(),"0")&amp;" 天","免保中"))),IF($Y357="暂停维保","暂停中 不计费",IF($Y357="已解约","已解约",IF(COUNTIF(合同键,$E357)=0,"▲还没建合同行","")))))</f>
        <v/>
      </c>
      <c r="AD357" s="24"/>
      <c r="AE357" s="35" t="str">
        <f aca="false">IF($C357="","",IF($D357="","★项目名称没填",IF(N($P357)&lt;=0,"★台量要填",IF(AND(OR($Y357="安装免保",$Y357="技术免保",$Y357="质保期内"),$Z357=""),"★免保到期日没填",IF(COUNTIF(合同键,$E357)=0,"★还没建合同行","OK")))))</f>
        <v/>
      </c>
    </row>
    <row r="358" customFormat="false" ht="15" hidden="false" customHeight="false" outlineLevel="0" collapsed="false">
      <c r="A358" s="29" t="str">
        <f aca="false">IF($C358="","",ROW()-4)</f>
        <v/>
      </c>
      <c r="B358" s="25"/>
      <c r="C358" s="24"/>
      <c r="D358" s="24"/>
      <c r="E358" s="30" t="str">
        <f aca="false">IF($C358="","",$C358&amp;" ｜ "&amp;$D358)</f>
        <v/>
      </c>
      <c r="F358" s="25"/>
      <c r="G358" s="25"/>
      <c r="H358" s="25"/>
      <c r="I358" s="25"/>
      <c r="J358" s="25"/>
      <c r="K358" s="21"/>
      <c r="L358" s="21"/>
      <c r="M358" s="21"/>
      <c r="N358" s="25"/>
      <c r="O358" s="25"/>
      <c r="P358" s="32"/>
      <c r="Q358" s="25"/>
      <c r="R358" s="25"/>
      <c r="S358" s="33"/>
      <c r="T358" s="33"/>
      <c r="U358" s="33"/>
      <c r="V358" s="33"/>
      <c r="W358" s="25"/>
      <c r="X358" s="25"/>
      <c r="Y358" s="25"/>
      <c r="Z358" s="33"/>
      <c r="AA358" s="34" t="str">
        <f aca="true">IF($T358="","",IF($T358&lt;TODAY(),"已过期 "&amp;TEXT(TODAY()-$T358,"0")&amp;" 天",IF($T358-TODAY()&lt;=年检提醒天,"还剩 "&amp;TEXT($T358-TODAY(),"0")&amp;" 天","")))</f>
        <v/>
      </c>
      <c r="AB358" s="34" t="str">
        <f aca="true">IF(COUNT($U358:$V358)=0,"",IF(MIN($U358:$V358)&lt;TODAY(),"已过期 "&amp;TEXT(TODAY()-MIN($U358:$V358),"0")&amp;" 天",IF(MIN($U358:$V358)-TODAY()&lt;=年检提醒天,"还剩 "&amp;TEXT(MIN($U358:$V358)-TODAY(),"0")&amp;" 天","")))</f>
        <v/>
      </c>
      <c r="AC358" s="34" t="str">
        <f aca="true">IF($C358="","",IF(OR($Y358="安装免保",$Y358="技术免保",$Y358="质保期内"),IF($Z358="","▲免保没填到期日",IF($Z358&lt;TODAY(),"▲免保已到期 该转收费了",IF($Z358-TODAY()&lt;=合同提醒天,"免保还剩 "&amp;TEXT($Z358-TODAY(),"0")&amp;" 天","免保中"))),IF($Y358="暂停维保","暂停中 不计费",IF($Y358="已解约","已解约",IF(COUNTIF(合同键,$E358)=0,"▲还没建合同行","")))))</f>
        <v/>
      </c>
      <c r="AD358" s="24"/>
      <c r="AE358" s="35" t="str">
        <f aca="false">IF($C358="","",IF($D358="","★项目名称没填",IF(N($P358)&lt;=0,"★台量要填",IF(AND(OR($Y358="安装免保",$Y358="技术免保",$Y358="质保期内"),$Z358=""),"★免保到期日没填",IF(COUNTIF(合同键,$E358)=0,"★还没建合同行","OK")))))</f>
        <v/>
      </c>
    </row>
    <row r="359" customFormat="false" ht="15" hidden="false" customHeight="false" outlineLevel="0" collapsed="false">
      <c r="A359" s="29" t="str">
        <f aca="false">IF($C359="","",ROW()-4)</f>
        <v/>
      </c>
      <c r="B359" s="25"/>
      <c r="C359" s="24"/>
      <c r="D359" s="24"/>
      <c r="E359" s="30" t="str">
        <f aca="false">IF($C359="","",$C359&amp;" ｜ "&amp;$D359)</f>
        <v/>
      </c>
      <c r="F359" s="25"/>
      <c r="G359" s="25"/>
      <c r="H359" s="25"/>
      <c r="I359" s="25"/>
      <c r="J359" s="25"/>
      <c r="K359" s="21"/>
      <c r="L359" s="21"/>
      <c r="M359" s="21"/>
      <c r="N359" s="25"/>
      <c r="O359" s="25"/>
      <c r="P359" s="32"/>
      <c r="Q359" s="25"/>
      <c r="R359" s="25"/>
      <c r="S359" s="33"/>
      <c r="T359" s="33"/>
      <c r="U359" s="33"/>
      <c r="V359" s="33"/>
      <c r="W359" s="25"/>
      <c r="X359" s="25"/>
      <c r="Y359" s="25"/>
      <c r="Z359" s="33"/>
      <c r="AA359" s="34" t="str">
        <f aca="true">IF($T359="","",IF($T359&lt;TODAY(),"已过期 "&amp;TEXT(TODAY()-$T359,"0")&amp;" 天",IF($T359-TODAY()&lt;=年检提醒天,"还剩 "&amp;TEXT($T359-TODAY(),"0")&amp;" 天","")))</f>
        <v/>
      </c>
      <c r="AB359" s="34" t="str">
        <f aca="true">IF(COUNT($U359:$V359)=0,"",IF(MIN($U359:$V359)&lt;TODAY(),"已过期 "&amp;TEXT(TODAY()-MIN($U359:$V359),"0")&amp;" 天",IF(MIN($U359:$V359)-TODAY()&lt;=年检提醒天,"还剩 "&amp;TEXT(MIN($U359:$V359)-TODAY(),"0")&amp;" 天","")))</f>
        <v/>
      </c>
      <c r="AC359" s="34" t="str">
        <f aca="true">IF($C359="","",IF(OR($Y359="安装免保",$Y359="技术免保",$Y359="质保期内"),IF($Z359="","▲免保没填到期日",IF($Z359&lt;TODAY(),"▲免保已到期 该转收费了",IF($Z359-TODAY()&lt;=合同提醒天,"免保还剩 "&amp;TEXT($Z359-TODAY(),"0")&amp;" 天","免保中"))),IF($Y359="暂停维保","暂停中 不计费",IF($Y359="已解约","已解约",IF(COUNTIF(合同键,$E359)=0,"▲还没建合同行","")))))</f>
        <v/>
      </c>
      <c r="AD359" s="24"/>
      <c r="AE359" s="35" t="str">
        <f aca="false">IF($C359="","",IF($D359="","★项目名称没填",IF(N($P359)&lt;=0,"★台量要填",IF(AND(OR($Y359="安装免保",$Y359="技术免保",$Y359="质保期内"),$Z359=""),"★免保到期日没填",IF(COUNTIF(合同键,$E359)=0,"★还没建合同行","OK")))))</f>
        <v/>
      </c>
    </row>
    <row r="360" customFormat="false" ht="15" hidden="false" customHeight="false" outlineLevel="0" collapsed="false">
      <c r="A360" s="29" t="str">
        <f aca="false">IF($C360="","",ROW()-4)</f>
        <v/>
      </c>
      <c r="B360" s="25"/>
      <c r="C360" s="24"/>
      <c r="D360" s="24"/>
      <c r="E360" s="30" t="str">
        <f aca="false">IF($C360="","",$C360&amp;" ｜ "&amp;$D360)</f>
        <v/>
      </c>
      <c r="F360" s="25"/>
      <c r="G360" s="25"/>
      <c r="H360" s="25"/>
      <c r="I360" s="25"/>
      <c r="J360" s="25"/>
      <c r="K360" s="21"/>
      <c r="L360" s="21"/>
      <c r="M360" s="21"/>
      <c r="N360" s="25"/>
      <c r="O360" s="25"/>
      <c r="P360" s="32"/>
      <c r="Q360" s="25"/>
      <c r="R360" s="25"/>
      <c r="S360" s="33"/>
      <c r="T360" s="33"/>
      <c r="U360" s="33"/>
      <c r="V360" s="33"/>
      <c r="W360" s="25"/>
      <c r="X360" s="25"/>
      <c r="Y360" s="25"/>
      <c r="Z360" s="33"/>
      <c r="AA360" s="34" t="str">
        <f aca="true">IF($T360="","",IF($T360&lt;TODAY(),"已过期 "&amp;TEXT(TODAY()-$T360,"0")&amp;" 天",IF($T360-TODAY()&lt;=年检提醒天,"还剩 "&amp;TEXT($T360-TODAY(),"0")&amp;" 天","")))</f>
        <v/>
      </c>
      <c r="AB360" s="34" t="str">
        <f aca="true">IF(COUNT($U360:$V360)=0,"",IF(MIN($U360:$V360)&lt;TODAY(),"已过期 "&amp;TEXT(TODAY()-MIN($U360:$V360),"0")&amp;" 天",IF(MIN($U360:$V360)-TODAY()&lt;=年检提醒天,"还剩 "&amp;TEXT(MIN($U360:$V360)-TODAY(),"0")&amp;" 天","")))</f>
        <v/>
      </c>
      <c r="AC360" s="34" t="str">
        <f aca="true">IF($C360="","",IF(OR($Y360="安装免保",$Y360="技术免保",$Y360="质保期内"),IF($Z360="","▲免保没填到期日",IF($Z360&lt;TODAY(),"▲免保已到期 该转收费了",IF($Z360-TODAY()&lt;=合同提醒天,"免保还剩 "&amp;TEXT($Z360-TODAY(),"0")&amp;" 天","免保中"))),IF($Y360="暂停维保","暂停中 不计费",IF($Y360="已解约","已解约",IF(COUNTIF(合同键,$E360)=0,"▲还没建合同行","")))))</f>
        <v/>
      </c>
      <c r="AD360" s="24"/>
      <c r="AE360" s="35" t="str">
        <f aca="false">IF($C360="","",IF($D360="","★项目名称没填",IF(N($P360)&lt;=0,"★台量要填",IF(AND(OR($Y360="安装免保",$Y360="技术免保",$Y360="质保期内"),$Z360=""),"★免保到期日没填",IF(COUNTIF(合同键,$E360)=0,"★还没建合同行","OK")))))</f>
        <v/>
      </c>
    </row>
    <row r="361" customFormat="false" ht="15" hidden="false" customHeight="false" outlineLevel="0" collapsed="false">
      <c r="A361" s="29" t="str">
        <f aca="false">IF($C361="","",ROW()-4)</f>
        <v/>
      </c>
      <c r="B361" s="25"/>
      <c r="C361" s="24"/>
      <c r="D361" s="24"/>
      <c r="E361" s="30" t="str">
        <f aca="false">IF($C361="","",$C361&amp;" ｜ "&amp;$D361)</f>
        <v/>
      </c>
      <c r="F361" s="25"/>
      <c r="G361" s="25"/>
      <c r="H361" s="25"/>
      <c r="I361" s="25"/>
      <c r="J361" s="25"/>
      <c r="K361" s="21"/>
      <c r="L361" s="21"/>
      <c r="M361" s="21"/>
      <c r="N361" s="25"/>
      <c r="O361" s="25"/>
      <c r="P361" s="32"/>
      <c r="Q361" s="25"/>
      <c r="R361" s="25"/>
      <c r="S361" s="33"/>
      <c r="T361" s="33"/>
      <c r="U361" s="33"/>
      <c r="V361" s="33"/>
      <c r="W361" s="25"/>
      <c r="X361" s="25"/>
      <c r="Y361" s="25"/>
      <c r="Z361" s="33"/>
      <c r="AA361" s="34" t="str">
        <f aca="true">IF($T361="","",IF($T361&lt;TODAY(),"已过期 "&amp;TEXT(TODAY()-$T361,"0")&amp;" 天",IF($T361-TODAY()&lt;=年检提醒天,"还剩 "&amp;TEXT($T361-TODAY(),"0")&amp;" 天","")))</f>
        <v/>
      </c>
      <c r="AB361" s="34" t="str">
        <f aca="true">IF(COUNT($U361:$V361)=0,"",IF(MIN($U361:$V361)&lt;TODAY(),"已过期 "&amp;TEXT(TODAY()-MIN($U361:$V361),"0")&amp;" 天",IF(MIN($U361:$V361)-TODAY()&lt;=年检提醒天,"还剩 "&amp;TEXT(MIN($U361:$V361)-TODAY(),"0")&amp;" 天","")))</f>
        <v/>
      </c>
      <c r="AC361" s="34" t="str">
        <f aca="true">IF($C361="","",IF(OR($Y361="安装免保",$Y361="技术免保",$Y361="质保期内"),IF($Z361="","▲免保没填到期日",IF($Z361&lt;TODAY(),"▲免保已到期 该转收费了",IF($Z361-TODAY()&lt;=合同提醒天,"免保还剩 "&amp;TEXT($Z361-TODAY(),"0")&amp;" 天","免保中"))),IF($Y361="暂停维保","暂停中 不计费",IF($Y361="已解约","已解约",IF(COUNTIF(合同键,$E361)=0,"▲还没建合同行","")))))</f>
        <v/>
      </c>
      <c r="AD361" s="24"/>
      <c r="AE361" s="35" t="str">
        <f aca="false">IF($C361="","",IF($D361="","★项目名称没填",IF(N($P361)&lt;=0,"★台量要填",IF(AND(OR($Y361="安装免保",$Y361="技术免保",$Y361="质保期内"),$Z361=""),"★免保到期日没填",IF(COUNTIF(合同键,$E361)=0,"★还没建合同行","OK")))))</f>
        <v/>
      </c>
    </row>
    <row r="362" customFormat="false" ht="15" hidden="false" customHeight="false" outlineLevel="0" collapsed="false">
      <c r="A362" s="29" t="str">
        <f aca="false">IF($C362="","",ROW()-4)</f>
        <v/>
      </c>
      <c r="B362" s="25"/>
      <c r="C362" s="24"/>
      <c r="D362" s="24"/>
      <c r="E362" s="30" t="str">
        <f aca="false">IF($C362="","",$C362&amp;" ｜ "&amp;$D362)</f>
        <v/>
      </c>
      <c r="F362" s="25"/>
      <c r="G362" s="25"/>
      <c r="H362" s="25"/>
      <c r="I362" s="25"/>
      <c r="J362" s="25"/>
      <c r="K362" s="21"/>
      <c r="L362" s="21"/>
      <c r="M362" s="21"/>
      <c r="N362" s="25"/>
      <c r="O362" s="25"/>
      <c r="P362" s="32"/>
      <c r="Q362" s="25"/>
      <c r="R362" s="25"/>
      <c r="S362" s="33"/>
      <c r="T362" s="33"/>
      <c r="U362" s="33"/>
      <c r="V362" s="33"/>
      <c r="W362" s="25"/>
      <c r="X362" s="25"/>
      <c r="Y362" s="25"/>
      <c r="Z362" s="33"/>
      <c r="AA362" s="34" t="str">
        <f aca="true">IF($T362="","",IF($T362&lt;TODAY(),"已过期 "&amp;TEXT(TODAY()-$T362,"0")&amp;" 天",IF($T362-TODAY()&lt;=年检提醒天,"还剩 "&amp;TEXT($T362-TODAY(),"0")&amp;" 天","")))</f>
        <v/>
      </c>
      <c r="AB362" s="34" t="str">
        <f aca="true">IF(COUNT($U362:$V362)=0,"",IF(MIN($U362:$V362)&lt;TODAY(),"已过期 "&amp;TEXT(TODAY()-MIN($U362:$V362),"0")&amp;" 天",IF(MIN($U362:$V362)-TODAY()&lt;=年检提醒天,"还剩 "&amp;TEXT(MIN($U362:$V362)-TODAY(),"0")&amp;" 天","")))</f>
        <v/>
      </c>
      <c r="AC362" s="34" t="str">
        <f aca="true">IF($C362="","",IF(OR($Y362="安装免保",$Y362="技术免保",$Y362="质保期内"),IF($Z362="","▲免保没填到期日",IF($Z362&lt;TODAY(),"▲免保已到期 该转收费了",IF($Z362-TODAY()&lt;=合同提醒天,"免保还剩 "&amp;TEXT($Z362-TODAY(),"0")&amp;" 天","免保中"))),IF($Y362="暂停维保","暂停中 不计费",IF($Y362="已解约","已解约",IF(COUNTIF(合同键,$E362)=0,"▲还没建合同行","")))))</f>
        <v/>
      </c>
      <c r="AD362" s="24"/>
      <c r="AE362" s="35" t="str">
        <f aca="false">IF($C362="","",IF($D362="","★项目名称没填",IF(N($P362)&lt;=0,"★台量要填",IF(AND(OR($Y362="安装免保",$Y362="技术免保",$Y362="质保期内"),$Z362=""),"★免保到期日没填",IF(COUNTIF(合同键,$E362)=0,"★还没建合同行","OK")))))</f>
        <v/>
      </c>
    </row>
    <row r="363" customFormat="false" ht="15" hidden="false" customHeight="false" outlineLevel="0" collapsed="false">
      <c r="A363" s="29" t="str">
        <f aca="false">IF($C363="","",ROW()-4)</f>
        <v/>
      </c>
      <c r="B363" s="25"/>
      <c r="C363" s="24"/>
      <c r="D363" s="24"/>
      <c r="E363" s="30" t="str">
        <f aca="false">IF($C363="","",$C363&amp;" ｜ "&amp;$D363)</f>
        <v/>
      </c>
      <c r="F363" s="25"/>
      <c r="G363" s="25"/>
      <c r="H363" s="25"/>
      <c r="I363" s="25"/>
      <c r="J363" s="25"/>
      <c r="K363" s="21"/>
      <c r="L363" s="21"/>
      <c r="M363" s="21"/>
      <c r="N363" s="25"/>
      <c r="O363" s="25"/>
      <c r="P363" s="32"/>
      <c r="Q363" s="25"/>
      <c r="R363" s="25"/>
      <c r="S363" s="33"/>
      <c r="T363" s="33"/>
      <c r="U363" s="33"/>
      <c r="V363" s="33"/>
      <c r="W363" s="25"/>
      <c r="X363" s="25"/>
      <c r="Y363" s="25"/>
      <c r="Z363" s="33"/>
      <c r="AA363" s="34" t="str">
        <f aca="true">IF($T363="","",IF($T363&lt;TODAY(),"已过期 "&amp;TEXT(TODAY()-$T363,"0")&amp;" 天",IF($T363-TODAY()&lt;=年检提醒天,"还剩 "&amp;TEXT($T363-TODAY(),"0")&amp;" 天","")))</f>
        <v/>
      </c>
      <c r="AB363" s="34" t="str">
        <f aca="true">IF(COUNT($U363:$V363)=0,"",IF(MIN($U363:$V363)&lt;TODAY(),"已过期 "&amp;TEXT(TODAY()-MIN($U363:$V363),"0")&amp;" 天",IF(MIN($U363:$V363)-TODAY()&lt;=年检提醒天,"还剩 "&amp;TEXT(MIN($U363:$V363)-TODAY(),"0")&amp;" 天","")))</f>
        <v/>
      </c>
      <c r="AC363" s="34" t="str">
        <f aca="true">IF($C363="","",IF(OR($Y363="安装免保",$Y363="技术免保",$Y363="质保期内"),IF($Z363="","▲免保没填到期日",IF($Z363&lt;TODAY(),"▲免保已到期 该转收费了",IF($Z363-TODAY()&lt;=合同提醒天,"免保还剩 "&amp;TEXT($Z363-TODAY(),"0")&amp;" 天","免保中"))),IF($Y363="暂停维保","暂停中 不计费",IF($Y363="已解约","已解约",IF(COUNTIF(合同键,$E363)=0,"▲还没建合同行","")))))</f>
        <v/>
      </c>
      <c r="AD363" s="24"/>
      <c r="AE363" s="35" t="str">
        <f aca="false">IF($C363="","",IF($D363="","★项目名称没填",IF(N($P363)&lt;=0,"★台量要填",IF(AND(OR($Y363="安装免保",$Y363="技术免保",$Y363="质保期内"),$Z363=""),"★免保到期日没填",IF(COUNTIF(合同键,$E363)=0,"★还没建合同行","OK")))))</f>
        <v/>
      </c>
    </row>
    <row r="364" customFormat="false" ht="15" hidden="false" customHeight="false" outlineLevel="0" collapsed="false">
      <c r="A364" s="29" t="str">
        <f aca="false">IF($C364="","",ROW()-4)</f>
        <v/>
      </c>
      <c r="B364" s="25"/>
      <c r="C364" s="24"/>
      <c r="D364" s="24"/>
      <c r="E364" s="30" t="str">
        <f aca="false">IF($C364="","",$C364&amp;" ｜ "&amp;$D364)</f>
        <v/>
      </c>
      <c r="F364" s="25"/>
      <c r="G364" s="25"/>
      <c r="H364" s="25"/>
      <c r="I364" s="25"/>
      <c r="J364" s="25"/>
      <c r="K364" s="21"/>
      <c r="L364" s="21"/>
      <c r="M364" s="21"/>
      <c r="N364" s="25"/>
      <c r="O364" s="25"/>
      <c r="P364" s="32"/>
      <c r="Q364" s="25"/>
      <c r="R364" s="25"/>
      <c r="S364" s="33"/>
      <c r="T364" s="33"/>
      <c r="U364" s="33"/>
      <c r="V364" s="33"/>
      <c r="W364" s="25"/>
      <c r="X364" s="25"/>
      <c r="Y364" s="25"/>
      <c r="Z364" s="33"/>
      <c r="AA364" s="34" t="str">
        <f aca="true">IF($T364="","",IF($T364&lt;TODAY(),"已过期 "&amp;TEXT(TODAY()-$T364,"0")&amp;" 天",IF($T364-TODAY()&lt;=年检提醒天,"还剩 "&amp;TEXT($T364-TODAY(),"0")&amp;" 天","")))</f>
        <v/>
      </c>
      <c r="AB364" s="34" t="str">
        <f aca="true">IF(COUNT($U364:$V364)=0,"",IF(MIN($U364:$V364)&lt;TODAY(),"已过期 "&amp;TEXT(TODAY()-MIN($U364:$V364),"0")&amp;" 天",IF(MIN($U364:$V364)-TODAY()&lt;=年检提醒天,"还剩 "&amp;TEXT(MIN($U364:$V364)-TODAY(),"0")&amp;" 天","")))</f>
        <v/>
      </c>
      <c r="AC364" s="34" t="str">
        <f aca="true">IF($C364="","",IF(OR($Y364="安装免保",$Y364="技术免保",$Y364="质保期内"),IF($Z364="","▲免保没填到期日",IF($Z364&lt;TODAY(),"▲免保已到期 该转收费了",IF($Z364-TODAY()&lt;=合同提醒天,"免保还剩 "&amp;TEXT($Z364-TODAY(),"0")&amp;" 天","免保中"))),IF($Y364="暂停维保","暂停中 不计费",IF($Y364="已解约","已解约",IF(COUNTIF(合同键,$E364)=0,"▲还没建合同行","")))))</f>
        <v/>
      </c>
      <c r="AD364" s="24"/>
      <c r="AE364" s="35" t="str">
        <f aca="false">IF($C364="","",IF($D364="","★项目名称没填",IF(N($P364)&lt;=0,"★台量要填",IF(AND(OR($Y364="安装免保",$Y364="技术免保",$Y364="质保期内"),$Z364=""),"★免保到期日没填",IF(COUNTIF(合同键,$E364)=0,"★还没建合同行","OK")))))</f>
        <v/>
      </c>
    </row>
    <row r="365" customFormat="false" ht="15" hidden="false" customHeight="false" outlineLevel="0" collapsed="false">
      <c r="A365" s="29" t="str">
        <f aca="false">IF($C365="","",ROW()-4)</f>
        <v/>
      </c>
      <c r="B365" s="25"/>
      <c r="C365" s="24"/>
      <c r="D365" s="24"/>
      <c r="E365" s="30" t="str">
        <f aca="false">IF($C365="","",$C365&amp;" ｜ "&amp;$D365)</f>
        <v/>
      </c>
      <c r="F365" s="25"/>
      <c r="G365" s="25"/>
      <c r="H365" s="25"/>
      <c r="I365" s="25"/>
      <c r="J365" s="25"/>
      <c r="K365" s="21"/>
      <c r="L365" s="21"/>
      <c r="M365" s="21"/>
      <c r="N365" s="25"/>
      <c r="O365" s="25"/>
      <c r="P365" s="32"/>
      <c r="Q365" s="25"/>
      <c r="R365" s="25"/>
      <c r="S365" s="33"/>
      <c r="T365" s="33"/>
      <c r="U365" s="33"/>
      <c r="V365" s="33"/>
      <c r="W365" s="25"/>
      <c r="X365" s="25"/>
      <c r="Y365" s="25"/>
      <c r="Z365" s="33"/>
      <c r="AA365" s="34" t="str">
        <f aca="true">IF($T365="","",IF($T365&lt;TODAY(),"已过期 "&amp;TEXT(TODAY()-$T365,"0")&amp;" 天",IF($T365-TODAY()&lt;=年检提醒天,"还剩 "&amp;TEXT($T365-TODAY(),"0")&amp;" 天","")))</f>
        <v/>
      </c>
      <c r="AB365" s="34" t="str">
        <f aca="true">IF(COUNT($U365:$V365)=0,"",IF(MIN($U365:$V365)&lt;TODAY(),"已过期 "&amp;TEXT(TODAY()-MIN($U365:$V365),"0")&amp;" 天",IF(MIN($U365:$V365)-TODAY()&lt;=年检提醒天,"还剩 "&amp;TEXT(MIN($U365:$V365)-TODAY(),"0")&amp;" 天","")))</f>
        <v/>
      </c>
      <c r="AC365" s="34" t="str">
        <f aca="true">IF($C365="","",IF(OR($Y365="安装免保",$Y365="技术免保",$Y365="质保期内"),IF($Z365="","▲免保没填到期日",IF($Z365&lt;TODAY(),"▲免保已到期 该转收费了",IF($Z365-TODAY()&lt;=合同提醒天,"免保还剩 "&amp;TEXT($Z365-TODAY(),"0")&amp;" 天","免保中"))),IF($Y365="暂停维保","暂停中 不计费",IF($Y365="已解约","已解约",IF(COUNTIF(合同键,$E365)=0,"▲还没建合同行","")))))</f>
        <v/>
      </c>
      <c r="AD365" s="24"/>
      <c r="AE365" s="35" t="str">
        <f aca="false">IF($C365="","",IF($D365="","★项目名称没填",IF(N($P365)&lt;=0,"★台量要填",IF(AND(OR($Y365="安装免保",$Y365="技术免保",$Y365="质保期内"),$Z365=""),"★免保到期日没填",IF(COUNTIF(合同键,$E365)=0,"★还没建合同行","OK")))))</f>
        <v/>
      </c>
    </row>
    <row r="366" customFormat="false" ht="15" hidden="false" customHeight="false" outlineLevel="0" collapsed="false">
      <c r="A366" s="29" t="str">
        <f aca="false">IF($C366="","",ROW()-4)</f>
        <v/>
      </c>
      <c r="B366" s="25"/>
      <c r="C366" s="24"/>
      <c r="D366" s="24"/>
      <c r="E366" s="30" t="str">
        <f aca="false">IF($C366="","",$C366&amp;" ｜ "&amp;$D366)</f>
        <v/>
      </c>
      <c r="F366" s="25"/>
      <c r="G366" s="25"/>
      <c r="H366" s="25"/>
      <c r="I366" s="25"/>
      <c r="J366" s="25"/>
      <c r="K366" s="21"/>
      <c r="L366" s="21"/>
      <c r="M366" s="21"/>
      <c r="N366" s="25"/>
      <c r="O366" s="25"/>
      <c r="P366" s="32"/>
      <c r="Q366" s="25"/>
      <c r="R366" s="25"/>
      <c r="S366" s="33"/>
      <c r="T366" s="33"/>
      <c r="U366" s="33"/>
      <c r="V366" s="33"/>
      <c r="W366" s="25"/>
      <c r="X366" s="25"/>
      <c r="Y366" s="25"/>
      <c r="Z366" s="33"/>
      <c r="AA366" s="34" t="str">
        <f aca="true">IF($T366="","",IF($T366&lt;TODAY(),"已过期 "&amp;TEXT(TODAY()-$T366,"0")&amp;" 天",IF($T366-TODAY()&lt;=年检提醒天,"还剩 "&amp;TEXT($T366-TODAY(),"0")&amp;" 天","")))</f>
        <v/>
      </c>
      <c r="AB366" s="34" t="str">
        <f aca="true">IF(COUNT($U366:$V366)=0,"",IF(MIN($U366:$V366)&lt;TODAY(),"已过期 "&amp;TEXT(TODAY()-MIN($U366:$V366),"0")&amp;" 天",IF(MIN($U366:$V366)-TODAY()&lt;=年检提醒天,"还剩 "&amp;TEXT(MIN($U366:$V366)-TODAY(),"0")&amp;" 天","")))</f>
        <v/>
      </c>
      <c r="AC366" s="34" t="str">
        <f aca="true">IF($C366="","",IF(OR($Y366="安装免保",$Y366="技术免保",$Y366="质保期内"),IF($Z366="","▲免保没填到期日",IF($Z366&lt;TODAY(),"▲免保已到期 该转收费了",IF($Z366-TODAY()&lt;=合同提醒天,"免保还剩 "&amp;TEXT($Z366-TODAY(),"0")&amp;" 天","免保中"))),IF($Y366="暂停维保","暂停中 不计费",IF($Y366="已解约","已解约",IF(COUNTIF(合同键,$E366)=0,"▲还没建合同行","")))))</f>
        <v/>
      </c>
      <c r="AD366" s="24"/>
      <c r="AE366" s="35" t="str">
        <f aca="false">IF($C366="","",IF($D366="","★项目名称没填",IF(N($P366)&lt;=0,"★台量要填",IF(AND(OR($Y366="安装免保",$Y366="技术免保",$Y366="质保期内"),$Z366=""),"★免保到期日没填",IF(COUNTIF(合同键,$E366)=0,"★还没建合同行","OK")))))</f>
        <v/>
      </c>
    </row>
    <row r="367" customFormat="false" ht="15" hidden="false" customHeight="false" outlineLevel="0" collapsed="false">
      <c r="A367" s="29" t="str">
        <f aca="false">IF($C367="","",ROW()-4)</f>
        <v/>
      </c>
      <c r="B367" s="25"/>
      <c r="C367" s="24"/>
      <c r="D367" s="24"/>
      <c r="E367" s="30" t="str">
        <f aca="false">IF($C367="","",$C367&amp;" ｜ "&amp;$D367)</f>
        <v/>
      </c>
      <c r="F367" s="25"/>
      <c r="G367" s="25"/>
      <c r="H367" s="25"/>
      <c r="I367" s="25"/>
      <c r="J367" s="25"/>
      <c r="K367" s="21"/>
      <c r="L367" s="21"/>
      <c r="M367" s="21"/>
      <c r="N367" s="25"/>
      <c r="O367" s="25"/>
      <c r="P367" s="32"/>
      <c r="Q367" s="25"/>
      <c r="R367" s="25"/>
      <c r="S367" s="33"/>
      <c r="T367" s="33"/>
      <c r="U367" s="33"/>
      <c r="V367" s="33"/>
      <c r="W367" s="25"/>
      <c r="X367" s="25"/>
      <c r="Y367" s="25"/>
      <c r="Z367" s="33"/>
      <c r="AA367" s="34" t="str">
        <f aca="true">IF($T367="","",IF($T367&lt;TODAY(),"已过期 "&amp;TEXT(TODAY()-$T367,"0")&amp;" 天",IF($T367-TODAY()&lt;=年检提醒天,"还剩 "&amp;TEXT($T367-TODAY(),"0")&amp;" 天","")))</f>
        <v/>
      </c>
      <c r="AB367" s="34" t="str">
        <f aca="true">IF(COUNT($U367:$V367)=0,"",IF(MIN($U367:$V367)&lt;TODAY(),"已过期 "&amp;TEXT(TODAY()-MIN($U367:$V367),"0")&amp;" 天",IF(MIN($U367:$V367)-TODAY()&lt;=年检提醒天,"还剩 "&amp;TEXT(MIN($U367:$V367)-TODAY(),"0")&amp;" 天","")))</f>
        <v/>
      </c>
      <c r="AC367" s="34" t="str">
        <f aca="true">IF($C367="","",IF(OR($Y367="安装免保",$Y367="技术免保",$Y367="质保期内"),IF($Z367="","▲免保没填到期日",IF($Z367&lt;TODAY(),"▲免保已到期 该转收费了",IF($Z367-TODAY()&lt;=合同提醒天,"免保还剩 "&amp;TEXT($Z367-TODAY(),"0")&amp;" 天","免保中"))),IF($Y367="暂停维保","暂停中 不计费",IF($Y367="已解约","已解约",IF(COUNTIF(合同键,$E367)=0,"▲还没建合同行","")))))</f>
        <v/>
      </c>
      <c r="AD367" s="24"/>
      <c r="AE367" s="35" t="str">
        <f aca="false">IF($C367="","",IF($D367="","★项目名称没填",IF(N($P367)&lt;=0,"★台量要填",IF(AND(OR($Y367="安装免保",$Y367="技术免保",$Y367="质保期内"),$Z367=""),"★免保到期日没填",IF(COUNTIF(合同键,$E367)=0,"★还没建合同行","OK")))))</f>
        <v/>
      </c>
    </row>
    <row r="368" customFormat="false" ht="15" hidden="false" customHeight="false" outlineLevel="0" collapsed="false">
      <c r="A368" s="29" t="str">
        <f aca="false">IF($C368="","",ROW()-4)</f>
        <v/>
      </c>
      <c r="B368" s="25"/>
      <c r="C368" s="24"/>
      <c r="D368" s="24"/>
      <c r="E368" s="30" t="str">
        <f aca="false">IF($C368="","",$C368&amp;" ｜ "&amp;$D368)</f>
        <v/>
      </c>
      <c r="F368" s="25"/>
      <c r="G368" s="25"/>
      <c r="H368" s="25"/>
      <c r="I368" s="25"/>
      <c r="J368" s="25"/>
      <c r="K368" s="21"/>
      <c r="L368" s="21"/>
      <c r="M368" s="21"/>
      <c r="N368" s="25"/>
      <c r="O368" s="25"/>
      <c r="P368" s="32"/>
      <c r="Q368" s="25"/>
      <c r="R368" s="25"/>
      <c r="S368" s="33"/>
      <c r="T368" s="33"/>
      <c r="U368" s="33"/>
      <c r="V368" s="33"/>
      <c r="W368" s="25"/>
      <c r="X368" s="25"/>
      <c r="Y368" s="25"/>
      <c r="Z368" s="33"/>
      <c r="AA368" s="34" t="str">
        <f aca="true">IF($T368="","",IF($T368&lt;TODAY(),"已过期 "&amp;TEXT(TODAY()-$T368,"0")&amp;" 天",IF($T368-TODAY()&lt;=年检提醒天,"还剩 "&amp;TEXT($T368-TODAY(),"0")&amp;" 天","")))</f>
        <v/>
      </c>
      <c r="AB368" s="34" t="str">
        <f aca="true">IF(COUNT($U368:$V368)=0,"",IF(MIN($U368:$V368)&lt;TODAY(),"已过期 "&amp;TEXT(TODAY()-MIN($U368:$V368),"0")&amp;" 天",IF(MIN($U368:$V368)-TODAY()&lt;=年检提醒天,"还剩 "&amp;TEXT(MIN($U368:$V368)-TODAY(),"0")&amp;" 天","")))</f>
        <v/>
      </c>
      <c r="AC368" s="34" t="str">
        <f aca="true">IF($C368="","",IF(OR($Y368="安装免保",$Y368="技术免保",$Y368="质保期内"),IF($Z368="","▲免保没填到期日",IF($Z368&lt;TODAY(),"▲免保已到期 该转收费了",IF($Z368-TODAY()&lt;=合同提醒天,"免保还剩 "&amp;TEXT($Z368-TODAY(),"0")&amp;" 天","免保中"))),IF($Y368="暂停维保","暂停中 不计费",IF($Y368="已解约","已解约",IF(COUNTIF(合同键,$E368)=0,"▲还没建合同行","")))))</f>
        <v/>
      </c>
      <c r="AD368" s="24"/>
      <c r="AE368" s="35" t="str">
        <f aca="false">IF($C368="","",IF($D368="","★项目名称没填",IF(N($P368)&lt;=0,"★台量要填",IF(AND(OR($Y368="安装免保",$Y368="技术免保",$Y368="质保期内"),$Z368=""),"★免保到期日没填",IF(COUNTIF(合同键,$E368)=0,"★还没建合同行","OK")))))</f>
        <v/>
      </c>
    </row>
    <row r="369" customFormat="false" ht="15" hidden="false" customHeight="false" outlineLevel="0" collapsed="false">
      <c r="A369" s="29" t="str">
        <f aca="false">IF($C369="","",ROW()-4)</f>
        <v/>
      </c>
      <c r="B369" s="25"/>
      <c r="C369" s="24"/>
      <c r="D369" s="24"/>
      <c r="E369" s="30" t="str">
        <f aca="false">IF($C369="","",$C369&amp;" ｜ "&amp;$D369)</f>
        <v/>
      </c>
      <c r="F369" s="25"/>
      <c r="G369" s="25"/>
      <c r="H369" s="25"/>
      <c r="I369" s="25"/>
      <c r="J369" s="25"/>
      <c r="K369" s="21"/>
      <c r="L369" s="21"/>
      <c r="M369" s="21"/>
      <c r="N369" s="25"/>
      <c r="O369" s="25"/>
      <c r="P369" s="32"/>
      <c r="Q369" s="25"/>
      <c r="R369" s="25"/>
      <c r="S369" s="33"/>
      <c r="T369" s="33"/>
      <c r="U369" s="33"/>
      <c r="V369" s="33"/>
      <c r="W369" s="25"/>
      <c r="X369" s="25"/>
      <c r="Y369" s="25"/>
      <c r="Z369" s="33"/>
      <c r="AA369" s="34" t="str">
        <f aca="true">IF($T369="","",IF($T369&lt;TODAY(),"已过期 "&amp;TEXT(TODAY()-$T369,"0")&amp;" 天",IF($T369-TODAY()&lt;=年检提醒天,"还剩 "&amp;TEXT($T369-TODAY(),"0")&amp;" 天","")))</f>
        <v/>
      </c>
      <c r="AB369" s="34" t="str">
        <f aca="true">IF(COUNT($U369:$V369)=0,"",IF(MIN($U369:$V369)&lt;TODAY(),"已过期 "&amp;TEXT(TODAY()-MIN($U369:$V369),"0")&amp;" 天",IF(MIN($U369:$V369)-TODAY()&lt;=年检提醒天,"还剩 "&amp;TEXT(MIN($U369:$V369)-TODAY(),"0")&amp;" 天","")))</f>
        <v/>
      </c>
      <c r="AC369" s="34" t="str">
        <f aca="true">IF($C369="","",IF(OR($Y369="安装免保",$Y369="技术免保",$Y369="质保期内"),IF($Z369="","▲免保没填到期日",IF($Z369&lt;TODAY(),"▲免保已到期 该转收费了",IF($Z369-TODAY()&lt;=合同提醒天,"免保还剩 "&amp;TEXT($Z369-TODAY(),"0")&amp;" 天","免保中"))),IF($Y369="暂停维保","暂停中 不计费",IF($Y369="已解约","已解约",IF(COUNTIF(合同键,$E369)=0,"▲还没建合同行","")))))</f>
        <v/>
      </c>
      <c r="AD369" s="24"/>
      <c r="AE369" s="35" t="str">
        <f aca="false">IF($C369="","",IF($D369="","★项目名称没填",IF(N($P369)&lt;=0,"★台量要填",IF(AND(OR($Y369="安装免保",$Y369="技术免保",$Y369="质保期内"),$Z369=""),"★免保到期日没填",IF(COUNTIF(合同键,$E369)=0,"★还没建合同行","OK")))))</f>
        <v/>
      </c>
    </row>
    <row r="370" customFormat="false" ht="15" hidden="false" customHeight="false" outlineLevel="0" collapsed="false">
      <c r="A370" s="29" t="str">
        <f aca="false">IF($C370="","",ROW()-4)</f>
        <v/>
      </c>
      <c r="B370" s="25"/>
      <c r="C370" s="24"/>
      <c r="D370" s="24"/>
      <c r="E370" s="30" t="str">
        <f aca="false">IF($C370="","",$C370&amp;" ｜ "&amp;$D370)</f>
        <v/>
      </c>
      <c r="F370" s="25"/>
      <c r="G370" s="25"/>
      <c r="H370" s="25"/>
      <c r="I370" s="25"/>
      <c r="J370" s="25"/>
      <c r="K370" s="21"/>
      <c r="L370" s="21"/>
      <c r="M370" s="21"/>
      <c r="N370" s="25"/>
      <c r="O370" s="25"/>
      <c r="P370" s="32"/>
      <c r="Q370" s="25"/>
      <c r="R370" s="25"/>
      <c r="S370" s="33"/>
      <c r="T370" s="33"/>
      <c r="U370" s="33"/>
      <c r="V370" s="33"/>
      <c r="W370" s="25"/>
      <c r="X370" s="25"/>
      <c r="Y370" s="25"/>
      <c r="Z370" s="33"/>
      <c r="AA370" s="34" t="str">
        <f aca="true">IF($T370="","",IF($T370&lt;TODAY(),"已过期 "&amp;TEXT(TODAY()-$T370,"0")&amp;" 天",IF($T370-TODAY()&lt;=年检提醒天,"还剩 "&amp;TEXT($T370-TODAY(),"0")&amp;" 天","")))</f>
        <v/>
      </c>
      <c r="AB370" s="34" t="str">
        <f aca="true">IF(COUNT($U370:$V370)=0,"",IF(MIN($U370:$V370)&lt;TODAY(),"已过期 "&amp;TEXT(TODAY()-MIN($U370:$V370),"0")&amp;" 天",IF(MIN($U370:$V370)-TODAY()&lt;=年检提醒天,"还剩 "&amp;TEXT(MIN($U370:$V370)-TODAY(),"0")&amp;" 天","")))</f>
        <v/>
      </c>
      <c r="AC370" s="34" t="str">
        <f aca="true">IF($C370="","",IF(OR($Y370="安装免保",$Y370="技术免保",$Y370="质保期内"),IF($Z370="","▲免保没填到期日",IF($Z370&lt;TODAY(),"▲免保已到期 该转收费了",IF($Z370-TODAY()&lt;=合同提醒天,"免保还剩 "&amp;TEXT($Z370-TODAY(),"0")&amp;" 天","免保中"))),IF($Y370="暂停维保","暂停中 不计费",IF($Y370="已解约","已解约",IF(COUNTIF(合同键,$E370)=0,"▲还没建合同行","")))))</f>
        <v/>
      </c>
      <c r="AD370" s="24"/>
      <c r="AE370" s="35" t="str">
        <f aca="false">IF($C370="","",IF($D370="","★项目名称没填",IF(N($P370)&lt;=0,"★台量要填",IF(AND(OR($Y370="安装免保",$Y370="技术免保",$Y370="质保期内"),$Z370=""),"★免保到期日没填",IF(COUNTIF(合同键,$E370)=0,"★还没建合同行","OK")))))</f>
        <v/>
      </c>
    </row>
    <row r="371" customFormat="false" ht="15" hidden="false" customHeight="false" outlineLevel="0" collapsed="false">
      <c r="A371" s="29" t="str">
        <f aca="false">IF($C371="","",ROW()-4)</f>
        <v/>
      </c>
      <c r="B371" s="25"/>
      <c r="C371" s="24"/>
      <c r="D371" s="24"/>
      <c r="E371" s="30" t="str">
        <f aca="false">IF($C371="","",$C371&amp;" ｜ "&amp;$D371)</f>
        <v/>
      </c>
      <c r="F371" s="25"/>
      <c r="G371" s="25"/>
      <c r="H371" s="25"/>
      <c r="I371" s="25"/>
      <c r="J371" s="25"/>
      <c r="K371" s="21"/>
      <c r="L371" s="21"/>
      <c r="M371" s="21"/>
      <c r="N371" s="25"/>
      <c r="O371" s="25"/>
      <c r="P371" s="32"/>
      <c r="Q371" s="25"/>
      <c r="R371" s="25"/>
      <c r="S371" s="33"/>
      <c r="T371" s="33"/>
      <c r="U371" s="33"/>
      <c r="V371" s="33"/>
      <c r="W371" s="25"/>
      <c r="X371" s="25"/>
      <c r="Y371" s="25"/>
      <c r="Z371" s="33"/>
      <c r="AA371" s="34" t="str">
        <f aca="true">IF($T371="","",IF($T371&lt;TODAY(),"已过期 "&amp;TEXT(TODAY()-$T371,"0")&amp;" 天",IF($T371-TODAY()&lt;=年检提醒天,"还剩 "&amp;TEXT($T371-TODAY(),"0")&amp;" 天","")))</f>
        <v/>
      </c>
      <c r="AB371" s="34" t="str">
        <f aca="true">IF(COUNT($U371:$V371)=0,"",IF(MIN($U371:$V371)&lt;TODAY(),"已过期 "&amp;TEXT(TODAY()-MIN($U371:$V371),"0")&amp;" 天",IF(MIN($U371:$V371)-TODAY()&lt;=年检提醒天,"还剩 "&amp;TEXT(MIN($U371:$V371)-TODAY(),"0")&amp;" 天","")))</f>
        <v/>
      </c>
      <c r="AC371" s="34" t="str">
        <f aca="true">IF($C371="","",IF(OR($Y371="安装免保",$Y371="技术免保",$Y371="质保期内"),IF($Z371="","▲免保没填到期日",IF($Z371&lt;TODAY(),"▲免保已到期 该转收费了",IF($Z371-TODAY()&lt;=合同提醒天,"免保还剩 "&amp;TEXT($Z371-TODAY(),"0")&amp;" 天","免保中"))),IF($Y371="暂停维保","暂停中 不计费",IF($Y371="已解约","已解约",IF(COUNTIF(合同键,$E371)=0,"▲还没建合同行","")))))</f>
        <v/>
      </c>
      <c r="AD371" s="24"/>
      <c r="AE371" s="35" t="str">
        <f aca="false">IF($C371="","",IF($D371="","★项目名称没填",IF(N($P371)&lt;=0,"★台量要填",IF(AND(OR($Y371="安装免保",$Y371="技术免保",$Y371="质保期内"),$Z371=""),"★免保到期日没填",IF(COUNTIF(合同键,$E371)=0,"★还没建合同行","OK")))))</f>
        <v/>
      </c>
    </row>
    <row r="372" customFormat="false" ht="15" hidden="false" customHeight="false" outlineLevel="0" collapsed="false">
      <c r="A372" s="29" t="str">
        <f aca="false">IF($C372="","",ROW()-4)</f>
        <v/>
      </c>
      <c r="B372" s="25"/>
      <c r="C372" s="24"/>
      <c r="D372" s="24"/>
      <c r="E372" s="30" t="str">
        <f aca="false">IF($C372="","",$C372&amp;" ｜ "&amp;$D372)</f>
        <v/>
      </c>
      <c r="F372" s="25"/>
      <c r="G372" s="25"/>
      <c r="H372" s="25"/>
      <c r="I372" s="25"/>
      <c r="J372" s="25"/>
      <c r="K372" s="21"/>
      <c r="L372" s="21"/>
      <c r="M372" s="21"/>
      <c r="N372" s="25"/>
      <c r="O372" s="25"/>
      <c r="P372" s="32"/>
      <c r="Q372" s="25"/>
      <c r="R372" s="25"/>
      <c r="S372" s="33"/>
      <c r="T372" s="33"/>
      <c r="U372" s="33"/>
      <c r="V372" s="33"/>
      <c r="W372" s="25"/>
      <c r="X372" s="25"/>
      <c r="Y372" s="25"/>
      <c r="Z372" s="33"/>
      <c r="AA372" s="34" t="str">
        <f aca="true">IF($T372="","",IF($T372&lt;TODAY(),"已过期 "&amp;TEXT(TODAY()-$T372,"0")&amp;" 天",IF($T372-TODAY()&lt;=年检提醒天,"还剩 "&amp;TEXT($T372-TODAY(),"0")&amp;" 天","")))</f>
        <v/>
      </c>
      <c r="AB372" s="34" t="str">
        <f aca="true">IF(COUNT($U372:$V372)=0,"",IF(MIN($U372:$V372)&lt;TODAY(),"已过期 "&amp;TEXT(TODAY()-MIN($U372:$V372),"0")&amp;" 天",IF(MIN($U372:$V372)-TODAY()&lt;=年检提醒天,"还剩 "&amp;TEXT(MIN($U372:$V372)-TODAY(),"0")&amp;" 天","")))</f>
        <v/>
      </c>
      <c r="AC372" s="34" t="str">
        <f aca="true">IF($C372="","",IF(OR($Y372="安装免保",$Y372="技术免保",$Y372="质保期内"),IF($Z372="","▲免保没填到期日",IF($Z372&lt;TODAY(),"▲免保已到期 该转收费了",IF($Z372-TODAY()&lt;=合同提醒天,"免保还剩 "&amp;TEXT($Z372-TODAY(),"0")&amp;" 天","免保中"))),IF($Y372="暂停维保","暂停中 不计费",IF($Y372="已解约","已解约",IF(COUNTIF(合同键,$E372)=0,"▲还没建合同行","")))))</f>
        <v/>
      </c>
      <c r="AD372" s="24"/>
      <c r="AE372" s="35" t="str">
        <f aca="false">IF($C372="","",IF($D372="","★项目名称没填",IF(N($P372)&lt;=0,"★台量要填",IF(AND(OR($Y372="安装免保",$Y372="技术免保",$Y372="质保期内"),$Z372=""),"★免保到期日没填",IF(COUNTIF(合同键,$E372)=0,"★还没建合同行","OK")))))</f>
        <v/>
      </c>
    </row>
    <row r="373" customFormat="false" ht="15" hidden="false" customHeight="false" outlineLevel="0" collapsed="false">
      <c r="A373" s="29" t="str">
        <f aca="false">IF($C373="","",ROW()-4)</f>
        <v/>
      </c>
      <c r="B373" s="25"/>
      <c r="C373" s="24"/>
      <c r="D373" s="24"/>
      <c r="E373" s="30" t="str">
        <f aca="false">IF($C373="","",$C373&amp;" ｜ "&amp;$D373)</f>
        <v/>
      </c>
      <c r="F373" s="25"/>
      <c r="G373" s="25"/>
      <c r="H373" s="25"/>
      <c r="I373" s="25"/>
      <c r="J373" s="25"/>
      <c r="K373" s="21"/>
      <c r="L373" s="21"/>
      <c r="M373" s="21"/>
      <c r="N373" s="25"/>
      <c r="O373" s="25"/>
      <c r="P373" s="32"/>
      <c r="Q373" s="25"/>
      <c r="R373" s="25"/>
      <c r="S373" s="33"/>
      <c r="T373" s="33"/>
      <c r="U373" s="33"/>
      <c r="V373" s="33"/>
      <c r="W373" s="25"/>
      <c r="X373" s="25"/>
      <c r="Y373" s="25"/>
      <c r="Z373" s="33"/>
      <c r="AA373" s="34" t="str">
        <f aca="true">IF($T373="","",IF($T373&lt;TODAY(),"已过期 "&amp;TEXT(TODAY()-$T373,"0")&amp;" 天",IF($T373-TODAY()&lt;=年检提醒天,"还剩 "&amp;TEXT($T373-TODAY(),"0")&amp;" 天","")))</f>
        <v/>
      </c>
      <c r="AB373" s="34" t="str">
        <f aca="true">IF(COUNT($U373:$V373)=0,"",IF(MIN($U373:$V373)&lt;TODAY(),"已过期 "&amp;TEXT(TODAY()-MIN($U373:$V373),"0")&amp;" 天",IF(MIN($U373:$V373)-TODAY()&lt;=年检提醒天,"还剩 "&amp;TEXT(MIN($U373:$V373)-TODAY(),"0")&amp;" 天","")))</f>
        <v/>
      </c>
      <c r="AC373" s="34" t="str">
        <f aca="true">IF($C373="","",IF(OR($Y373="安装免保",$Y373="技术免保",$Y373="质保期内"),IF($Z373="","▲免保没填到期日",IF($Z373&lt;TODAY(),"▲免保已到期 该转收费了",IF($Z373-TODAY()&lt;=合同提醒天,"免保还剩 "&amp;TEXT($Z373-TODAY(),"0")&amp;" 天","免保中"))),IF($Y373="暂停维保","暂停中 不计费",IF($Y373="已解约","已解约",IF(COUNTIF(合同键,$E373)=0,"▲还没建合同行","")))))</f>
        <v/>
      </c>
      <c r="AD373" s="24"/>
      <c r="AE373" s="35" t="str">
        <f aca="false">IF($C373="","",IF($D373="","★项目名称没填",IF(N($P373)&lt;=0,"★台量要填",IF(AND(OR($Y373="安装免保",$Y373="技术免保",$Y373="质保期内"),$Z373=""),"★免保到期日没填",IF(COUNTIF(合同键,$E373)=0,"★还没建合同行","OK")))))</f>
        <v/>
      </c>
    </row>
    <row r="374" customFormat="false" ht="15" hidden="false" customHeight="false" outlineLevel="0" collapsed="false">
      <c r="A374" s="29" t="str">
        <f aca="false">IF($C374="","",ROW()-4)</f>
        <v/>
      </c>
      <c r="B374" s="25"/>
      <c r="C374" s="24"/>
      <c r="D374" s="24"/>
      <c r="E374" s="30" t="str">
        <f aca="false">IF($C374="","",$C374&amp;" ｜ "&amp;$D374)</f>
        <v/>
      </c>
      <c r="F374" s="25"/>
      <c r="G374" s="25"/>
      <c r="H374" s="25"/>
      <c r="I374" s="25"/>
      <c r="J374" s="25"/>
      <c r="K374" s="21"/>
      <c r="L374" s="21"/>
      <c r="M374" s="21"/>
      <c r="N374" s="25"/>
      <c r="O374" s="25"/>
      <c r="P374" s="32"/>
      <c r="Q374" s="25"/>
      <c r="R374" s="25"/>
      <c r="S374" s="33"/>
      <c r="T374" s="33"/>
      <c r="U374" s="33"/>
      <c r="V374" s="33"/>
      <c r="W374" s="25"/>
      <c r="X374" s="25"/>
      <c r="Y374" s="25"/>
      <c r="Z374" s="33"/>
      <c r="AA374" s="34" t="str">
        <f aca="true">IF($T374="","",IF($T374&lt;TODAY(),"已过期 "&amp;TEXT(TODAY()-$T374,"0")&amp;" 天",IF($T374-TODAY()&lt;=年检提醒天,"还剩 "&amp;TEXT($T374-TODAY(),"0")&amp;" 天","")))</f>
        <v/>
      </c>
      <c r="AB374" s="34" t="str">
        <f aca="true">IF(COUNT($U374:$V374)=0,"",IF(MIN($U374:$V374)&lt;TODAY(),"已过期 "&amp;TEXT(TODAY()-MIN($U374:$V374),"0")&amp;" 天",IF(MIN($U374:$V374)-TODAY()&lt;=年检提醒天,"还剩 "&amp;TEXT(MIN($U374:$V374)-TODAY(),"0")&amp;" 天","")))</f>
        <v/>
      </c>
      <c r="AC374" s="34" t="str">
        <f aca="true">IF($C374="","",IF(OR($Y374="安装免保",$Y374="技术免保",$Y374="质保期内"),IF($Z374="","▲免保没填到期日",IF($Z374&lt;TODAY(),"▲免保已到期 该转收费了",IF($Z374-TODAY()&lt;=合同提醒天,"免保还剩 "&amp;TEXT($Z374-TODAY(),"0")&amp;" 天","免保中"))),IF($Y374="暂停维保","暂停中 不计费",IF($Y374="已解约","已解约",IF(COUNTIF(合同键,$E374)=0,"▲还没建合同行","")))))</f>
        <v/>
      </c>
      <c r="AD374" s="24"/>
      <c r="AE374" s="35" t="str">
        <f aca="false">IF($C374="","",IF($D374="","★项目名称没填",IF(N($P374)&lt;=0,"★台量要填",IF(AND(OR($Y374="安装免保",$Y374="技术免保",$Y374="质保期内"),$Z374=""),"★免保到期日没填",IF(COUNTIF(合同键,$E374)=0,"★还没建合同行","OK")))))</f>
        <v/>
      </c>
    </row>
    <row r="375" customFormat="false" ht="15" hidden="false" customHeight="false" outlineLevel="0" collapsed="false">
      <c r="A375" s="29" t="str">
        <f aca="false">IF($C375="","",ROW()-4)</f>
        <v/>
      </c>
      <c r="B375" s="25"/>
      <c r="C375" s="24"/>
      <c r="D375" s="24"/>
      <c r="E375" s="30" t="str">
        <f aca="false">IF($C375="","",$C375&amp;" ｜ "&amp;$D375)</f>
        <v/>
      </c>
      <c r="F375" s="25"/>
      <c r="G375" s="25"/>
      <c r="H375" s="25"/>
      <c r="I375" s="25"/>
      <c r="J375" s="25"/>
      <c r="K375" s="21"/>
      <c r="L375" s="21"/>
      <c r="M375" s="21"/>
      <c r="N375" s="25"/>
      <c r="O375" s="25"/>
      <c r="P375" s="32"/>
      <c r="Q375" s="25"/>
      <c r="R375" s="25"/>
      <c r="S375" s="33"/>
      <c r="T375" s="33"/>
      <c r="U375" s="33"/>
      <c r="V375" s="33"/>
      <c r="W375" s="25"/>
      <c r="X375" s="25"/>
      <c r="Y375" s="25"/>
      <c r="Z375" s="33"/>
      <c r="AA375" s="34" t="str">
        <f aca="true">IF($T375="","",IF($T375&lt;TODAY(),"已过期 "&amp;TEXT(TODAY()-$T375,"0")&amp;" 天",IF($T375-TODAY()&lt;=年检提醒天,"还剩 "&amp;TEXT($T375-TODAY(),"0")&amp;" 天","")))</f>
        <v/>
      </c>
      <c r="AB375" s="34" t="str">
        <f aca="true">IF(COUNT($U375:$V375)=0,"",IF(MIN($U375:$V375)&lt;TODAY(),"已过期 "&amp;TEXT(TODAY()-MIN($U375:$V375),"0")&amp;" 天",IF(MIN($U375:$V375)-TODAY()&lt;=年检提醒天,"还剩 "&amp;TEXT(MIN($U375:$V375)-TODAY(),"0")&amp;" 天","")))</f>
        <v/>
      </c>
      <c r="AC375" s="34" t="str">
        <f aca="true">IF($C375="","",IF(OR($Y375="安装免保",$Y375="技术免保",$Y375="质保期内"),IF($Z375="","▲免保没填到期日",IF($Z375&lt;TODAY(),"▲免保已到期 该转收费了",IF($Z375-TODAY()&lt;=合同提醒天,"免保还剩 "&amp;TEXT($Z375-TODAY(),"0")&amp;" 天","免保中"))),IF($Y375="暂停维保","暂停中 不计费",IF($Y375="已解约","已解约",IF(COUNTIF(合同键,$E375)=0,"▲还没建合同行","")))))</f>
        <v/>
      </c>
      <c r="AD375" s="24"/>
      <c r="AE375" s="35" t="str">
        <f aca="false">IF($C375="","",IF($D375="","★项目名称没填",IF(N($P375)&lt;=0,"★台量要填",IF(AND(OR($Y375="安装免保",$Y375="技术免保",$Y375="质保期内"),$Z375=""),"★免保到期日没填",IF(COUNTIF(合同键,$E375)=0,"★还没建合同行","OK")))))</f>
        <v/>
      </c>
    </row>
    <row r="376" customFormat="false" ht="15" hidden="false" customHeight="false" outlineLevel="0" collapsed="false">
      <c r="A376" s="29" t="str">
        <f aca="false">IF($C376="","",ROW()-4)</f>
        <v/>
      </c>
      <c r="B376" s="25"/>
      <c r="C376" s="24"/>
      <c r="D376" s="24"/>
      <c r="E376" s="30" t="str">
        <f aca="false">IF($C376="","",$C376&amp;" ｜ "&amp;$D376)</f>
        <v/>
      </c>
      <c r="F376" s="25"/>
      <c r="G376" s="25"/>
      <c r="H376" s="25"/>
      <c r="I376" s="25"/>
      <c r="J376" s="25"/>
      <c r="K376" s="21"/>
      <c r="L376" s="21"/>
      <c r="M376" s="21"/>
      <c r="N376" s="25"/>
      <c r="O376" s="25"/>
      <c r="P376" s="32"/>
      <c r="Q376" s="25"/>
      <c r="R376" s="25"/>
      <c r="S376" s="33"/>
      <c r="T376" s="33"/>
      <c r="U376" s="33"/>
      <c r="V376" s="33"/>
      <c r="W376" s="25"/>
      <c r="X376" s="25"/>
      <c r="Y376" s="25"/>
      <c r="Z376" s="33"/>
      <c r="AA376" s="34" t="str">
        <f aca="true">IF($T376="","",IF($T376&lt;TODAY(),"已过期 "&amp;TEXT(TODAY()-$T376,"0")&amp;" 天",IF($T376-TODAY()&lt;=年检提醒天,"还剩 "&amp;TEXT($T376-TODAY(),"0")&amp;" 天","")))</f>
        <v/>
      </c>
      <c r="AB376" s="34" t="str">
        <f aca="true">IF(COUNT($U376:$V376)=0,"",IF(MIN($U376:$V376)&lt;TODAY(),"已过期 "&amp;TEXT(TODAY()-MIN($U376:$V376),"0")&amp;" 天",IF(MIN($U376:$V376)-TODAY()&lt;=年检提醒天,"还剩 "&amp;TEXT(MIN($U376:$V376)-TODAY(),"0")&amp;" 天","")))</f>
        <v/>
      </c>
      <c r="AC376" s="34" t="str">
        <f aca="true">IF($C376="","",IF(OR($Y376="安装免保",$Y376="技术免保",$Y376="质保期内"),IF($Z376="","▲免保没填到期日",IF($Z376&lt;TODAY(),"▲免保已到期 该转收费了",IF($Z376-TODAY()&lt;=合同提醒天,"免保还剩 "&amp;TEXT($Z376-TODAY(),"0")&amp;" 天","免保中"))),IF($Y376="暂停维保","暂停中 不计费",IF($Y376="已解约","已解约",IF(COUNTIF(合同键,$E376)=0,"▲还没建合同行","")))))</f>
        <v/>
      </c>
      <c r="AD376" s="24"/>
      <c r="AE376" s="35" t="str">
        <f aca="false">IF($C376="","",IF($D376="","★项目名称没填",IF(N($P376)&lt;=0,"★台量要填",IF(AND(OR($Y376="安装免保",$Y376="技术免保",$Y376="质保期内"),$Z376=""),"★免保到期日没填",IF(COUNTIF(合同键,$E376)=0,"★还没建合同行","OK")))))</f>
        <v/>
      </c>
    </row>
    <row r="377" customFormat="false" ht="15" hidden="false" customHeight="false" outlineLevel="0" collapsed="false">
      <c r="A377" s="29" t="str">
        <f aca="false">IF($C377="","",ROW()-4)</f>
        <v/>
      </c>
      <c r="B377" s="25"/>
      <c r="C377" s="24"/>
      <c r="D377" s="24"/>
      <c r="E377" s="30" t="str">
        <f aca="false">IF($C377="","",$C377&amp;" ｜ "&amp;$D377)</f>
        <v/>
      </c>
      <c r="F377" s="25"/>
      <c r="G377" s="25"/>
      <c r="H377" s="25"/>
      <c r="I377" s="25"/>
      <c r="J377" s="25"/>
      <c r="K377" s="21"/>
      <c r="L377" s="21"/>
      <c r="M377" s="21"/>
      <c r="N377" s="25"/>
      <c r="O377" s="25"/>
      <c r="P377" s="32"/>
      <c r="Q377" s="25"/>
      <c r="R377" s="25"/>
      <c r="S377" s="33"/>
      <c r="T377" s="33"/>
      <c r="U377" s="33"/>
      <c r="V377" s="33"/>
      <c r="W377" s="25"/>
      <c r="X377" s="25"/>
      <c r="Y377" s="25"/>
      <c r="Z377" s="33"/>
      <c r="AA377" s="34" t="str">
        <f aca="true">IF($T377="","",IF($T377&lt;TODAY(),"已过期 "&amp;TEXT(TODAY()-$T377,"0")&amp;" 天",IF($T377-TODAY()&lt;=年检提醒天,"还剩 "&amp;TEXT($T377-TODAY(),"0")&amp;" 天","")))</f>
        <v/>
      </c>
      <c r="AB377" s="34" t="str">
        <f aca="true">IF(COUNT($U377:$V377)=0,"",IF(MIN($U377:$V377)&lt;TODAY(),"已过期 "&amp;TEXT(TODAY()-MIN($U377:$V377),"0")&amp;" 天",IF(MIN($U377:$V377)-TODAY()&lt;=年检提醒天,"还剩 "&amp;TEXT(MIN($U377:$V377)-TODAY(),"0")&amp;" 天","")))</f>
        <v/>
      </c>
      <c r="AC377" s="34" t="str">
        <f aca="true">IF($C377="","",IF(OR($Y377="安装免保",$Y377="技术免保",$Y377="质保期内"),IF($Z377="","▲免保没填到期日",IF($Z377&lt;TODAY(),"▲免保已到期 该转收费了",IF($Z377-TODAY()&lt;=合同提醒天,"免保还剩 "&amp;TEXT($Z377-TODAY(),"0")&amp;" 天","免保中"))),IF($Y377="暂停维保","暂停中 不计费",IF($Y377="已解约","已解约",IF(COUNTIF(合同键,$E377)=0,"▲还没建合同行","")))))</f>
        <v/>
      </c>
      <c r="AD377" s="24"/>
      <c r="AE377" s="35" t="str">
        <f aca="false">IF($C377="","",IF($D377="","★项目名称没填",IF(N($P377)&lt;=0,"★台量要填",IF(AND(OR($Y377="安装免保",$Y377="技术免保",$Y377="质保期内"),$Z377=""),"★免保到期日没填",IF(COUNTIF(合同键,$E377)=0,"★还没建合同行","OK")))))</f>
        <v/>
      </c>
    </row>
    <row r="378" customFormat="false" ht="15" hidden="false" customHeight="false" outlineLevel="0" collapsed="false">
      <c r="A378" s="29" t="str">
        <f aca="false">IF($C378="","",ROW()-4)</f>
        <v/>
      </c>
      <c r="B378" s="25"/>
      <c r="C378" s="24"/>
      <c r="D378" s="24"/>
      <c r="E378" s="30" t="str">
        <f aca="false">IF($C378="","",$C378&amp;" ｜ "&amp;$D378)</f>
        <v/>
      </c>
      <c r="F378" s="25"/>
      <c r="G378" s="25"/>
      <c r="H378" s="25"/>
      <c r="I378" s="25"/>
      <c r="J378" s="25"/>
      <c r="K378" s="21"/>
      <c r="L378" s="21"/>
      <c r="M378" s="21"/>
      <c r="N378" s="25"/>
      <c r="O378" s="25"/>
      <c r="P378" s="32"/>
      <c r="Q378" s="25"/>
      <c r="R378" s="25"/>
      <c r="S378" s="33"/>
      <c r="T378" s="33"/>
      <c r="U378" s="33"/>
      <c r="V378" s="33"/>
      <c r="W378" s="25"/>
      <c r="X378" s="25"/>
      <c r="Y378" s="25"/>
      <c r="Z378" s="33"/>
      <c r="AA378" s="34" t="str">
        <f aca="true">IF($T378="","",IF($T378&lt;TODAY(),"已过期 "&amp;TEXT(TODAY()-$T378,"0")&amp;" 天",IF($T378-TODAY()&lt;=年检提醒天,"还剩 "&amp;TEXT($T378-TODAY(),"0")&amp;" 天","")))</f>
        <v/>
      </c>
      <c r="AB378" s="34" t="str">
        <f aca="true">IF(COUNT($U378:$V378)=0,"",IF(MIN($U378:$V378)&lt;TODAY(),"已过期 "&amp;TEXT(TODAY()-MIN($U378:$V378),"0")&amp;" 天",IF(MIN($U378:$V378)-TODAY()&lt;=年检提醒天,"还剩 "&amp;TEXT(MIN($U378:$V378)-TODAY(),"0")&amp;" 天","")))</f>
        <v/>
      </c>
      <c r="AC378" s="34" t="str">
        <f aca="true">IF($C378="","",IF(OR($Y378="安装免保",$Y378="技术免保",$Y378="质保期内"),IF($Z378="","▲免保没填到期日",IF($Z378&lt;TODAY(),"▲免保已到期 该转收费了",IF($Z378-TODAY()&lt;=合同提醒天,"免保还剩 "&amp;TEXT($Z378-TODAY(),"0")&amp;" 天","免保中"))),IF($Y378="暂停维保","暂停中 不计费",IF($Y378="已解约","已解约",IF(COUNTIF(合同键,$E378)=0,"▲还没建合同行","")))))</f>
        <v/>
      </c>
      <c r="AD378" s="24"/>
      <c r="AE378" s="35" t="str">
        <f aca="false">IF($C378="","",IF($D378="","★项目名称没填",IF(N($P378)&lt;=0,"★台量要填",IF(AND(OR($Y378="安装免保",$Y378="技术免保",$Y378="质保期内"),$Z378=""),"★免保到期日没填",IF(COUNTIF(合同键,$E378)=0,"★还没建合同行","OK")))))</f>
        <v/>
      </c>
    </row>
    <row r="379" customFormat="false" ht="15" hidden="false" customHeight="false" outlineLevel="0" collapsed="false">
      <c r="A379" s="29" t="str">
        <f aca="false">IF($C379="","",ROW()-4)</f>
        <v/>
      </c>
      <c r="B379" s="25"/>
      <c r="C379" s="24"/>
      <c r="D379" s="24"/>
      <c r="E379" s="30" t="str">
        <f aca="false">IF($C379="","",$C379&amp;" ｜ "&amp;$D379)</f>
        <v/>
      </c>
      <c r="F379" s="25"/>
      <c r="G379" s="25"/>
      <c r="H379" s="25"/>
      <c r="I379" s="25"/>
      <c r="J379" s="25"/>
      <c r="K379" s="21"/>
      <c r="L379" s="21"/>
      <c r="M379" s="21"/>
      <c r="N379" s="25"/>
      <c r="O379" s="25"/>
      <c r="P379" s="32"/>
      <c r="Q379" s="25"/>
      <c r="R379" s="25"/>
      <c r="S379" s="33"/>
      <c r="T379" s="33"/>
      <c r="U379" s="33"/>
      <c r="V379" s="33"/>
      <c r="W379" s="25"/>
      <c r="X379" s="25"/>
      <c r="Y379" s="25"/>
      <c r="Z379" s="33"/>
      <c r="AA379" s="34" t="str">
        <f aca="true">IF($T379="","",IF($T379&lt;TODAY(),"已过期 "&amp;TEXT(TODAY()-$T379,"0")&amp;" 天",IF($T379-TODAY()&lt;=年检提醒天,"还剩 "&amp;TEXT($T379-TODAY(),"0")&amp;" 天","")))</f>
        <v/>
      </c>
      <c r="AB379" s="34" t="str">
        <f aca="true">IF(COUNT($U379:$V379)=0,"",IF(MIN($U379:$V379)&lt;TODAY(),"已过期 "&amp;TEXT(TODAY()-MIN($U379:$V379),"0")&amp;" 天",IF(MIN($U379:$V379)-TODAY()&lt;=年检提醒天,"还剩 "&amp;TEXT(MIN($U379:$V379)-TODAY(),"0")&amp;" 天","")))</f>
        <v/>
      </c>
      <c r="AC379" s="34" t="str">
        <f aca="true">IF($C379="","",IF(OR($Y379="安装免保",$Y379="技术免保",$Y379="质保期内"),IF($Z379="","▲免保没填到期日",IF($Z379&lt;TODAY(),"▲免保已到期 该转收费了",IF($Z379-TODAY()&lt;=合同提醒天,"免保还剩 "&amp;TEXT($Z379-TODAY(),"0")&amp;" 天","免保中"))),IF($Y379="暂停维保","暂停中 不计费",IF($Y379="已解约","已解约",IF(COUNTIF(合同键,$E379)=0,"▲还没建合同行","")))))</f>
        <v/>
      </c>
      <c r="AD379" s="24"/>
      <c r="AE379" s="35" t="str">
        <f aca="false">IF($C379="","",IF($D379="","★项目名称没填",IF(N($P379)&lt;=0,"★台量要填",IF(AND(OR($Y379="安装免保",$Y379="技术免保",$Y379="质保期内"),$Z379=""),"★免保到期日没填",IF(COUNTIF(合同键,$E379)=0,"★还没建合同行","OK")))))</f>
        <v/>
      </c>
    </row>
    <row r="380" customFormat="false" ht="15" hidden="false" customHeight="false" outlineLevel="0" collapsed="false">
      <c r="A380" s="29" t="str">
        <f aca="false">IF($C380="","",ROW()-4)</f>
        <v/>
      </c>
      <c r="B380" s="25"/>
      <c r="C380" s="24"/>
      <c r="D380" s="24"/>
      <c r="E380" s="30" t="str">
        <f aca="false">IF($C380="","",$C380&amp;" ｜ "&amp;$D380)</f>
        <v/>
      </c>
      <c r="F380" s="25"/>
      <c r="G380" s="25"/>
      <c r="H380" s="25"/>
      <c r="I380" s="25"/>
      <c r="J380" s="25"/>
      <c r="K380" s="21"/>
      <c r="L380" s="21"/>
      <c r="M380" s="21"/>
      <c r="N380" s="25"/>
      <c r="O380" s="25"/>
      <c r="P380" s="32"/>
      <c r="Q380" s="25"/>
      <c r="R380" s="25"/>
      <c r="S380" s="33"/>
      <c r="T380" s="33"/>
      <c r="U380" s="33"/>
      <c r="V380" s="33"/>
      <c r="W380" s="25"/>
      <c r="X380" s="25"/>
      <c r="Y380" s="25"/>
      <c r="Z380" s="33"/>
      <c r="AA380" s="34" t="str">
        <f aca="true">IF($T380="","",IF($T380&lt;TODAY(),"已过期 "&amp;TEXT(TODAY()-$T380,"0")&amp;" 天",IF($T380-TODAY()&lt;=年检提醒天,"还剩 "&amp;TEXT($T380-TODAY(),"0")&amp;" 天","")))</f>
        <v/>
      </c>
      <c r="AB380" s="34" t="str">
        <f aca="true">IF(COUNT($U380:$V380)=0,"",IF(MIN($U380:$V380)&lt;TODAY(),"已过期 "&amp;TEXT(TODAY()-MIN($U380:$V380),"0")&amp;" 天",IF(MIN($U380:$V380)-TODAY()&lt;=年检提醒天,"还剩 "&amp;TEXT(MIN($U380:$V380)-TODAY(),"0")&amp;" 天","")))</f>
        <v/>
      </c>
      <c r="AC380" s="34" t="str">
        <f aca="true">IF($C380="","",IF(OR($Y380="安装免保",$Y380="技术免保",$Y380="质保期内"),IF($Z380="","▲免保没填到期日",IF($Z380&lt;TODAY(),"▲免保已到期 该转收费了",IF($Z380-TODAY()&lt;=合同提醒天,"免保还剩 "&amp;TEXT($Z380-TODAY(),"0")&amp;" 天","免保中"))),IF($Y380="暂停维保","暂停中 不计费",IF($Y380="已解约","已解约",IF(COUNTIF(合同键,$E380)=0,"▲还没建合同行","")))))</f>
        <v/>
      </c>
      <c r="AD380" s="24"/>
      <c r="AE380" s="35" t="str">
        <f aca="false">IF($C380="","",IF($D380="","★项目名称没填",IF(N($P380)&lt;=0,"★台量要填",IF(AND(OR($Y380="安装免保",$Y380="技术免保",$Y380="质保期内"),$Z380=""),"★免保到期日没填",IF(COUNTIF(合同键,$E380)=0,"★还没建合同行","OK")))))</f>
        <v/>
      </c>
    </row>
    <row r="381" customFormat="false" ht="15" hidden="false" customHeight="false" outlineLevel="0" collapsed="false">
      <c r="A381" s="29" t="str">
        <f aca="false">IF($C381="","",ROW()-4)</f>
        <v/>
      </c>
      <c r="B381" s="25"/>
      <c r="C381" s="24"/>
      <c r="D381" s="24"/>
      <c r="E381" s="30" t="str">
        <f aca="false">IF($C381="","",$C381&amp;" ｜ "&amp;$D381)</f>
        <v/>
      </c>
      <c r="F381" s="25"/>
      <c r="G381" s="25"/>
      <c r="H381" s="25"/>
      <c r="I381" s="25"/>
      <c r="J381" s="25"/>
      <c r="K381" s="21"/>
      <c r="L381" s="21"/>
      <c r="M381" s="21"/>
      <c r="N381" s="25"/>
      <c r="O381" s="25"/>
      <c r="P381" s="32"/>
      <c r="Q381" s="25"/>
      <c r="R381" s="25"/>
      <c r="S381" s="33"/>
      <c r="T381" s="33"/>
      <c r="U381" s="33"/>
      <c r="V381" s="33"/>
      <c r="W381" s="25"/>
      <c r="X381" s="25"/>
      <c r="Y381" s="25"/>
      <c r="Z381" s="33"/>
      <c r="AA381" s="34" t="str">
        <f aca="true">IF($T381="","",IF($T381&lt;TODAY(),"已过期 "&amp;TEXT(TODAY()-$T381,"0")&amp;" 天",IF($T381-TODAY()&lt;=年检提醒天,"还剩 "&amp;TEXT($T381-TODAY(),"0")&amp;" 天","")))</f>
        <v/>
      </c>
      <c r="AB381" s="34" t="str">
        <f aca="true">IF(COUNT($U381:$V381)=0,"",IF(MIN($U381:$V381)&lt;TODAY(),"已过期 "&amp;TEXT(TODAY()-MIN($U381:$V381),"0")&amp;" 天",IF(MIN($U381:$V381)-TODAY()&lt;=年检提醒天,"还剩 "&amp;TEXT(MIN($U381:$V381)-TODAY(),"0")&amp;" 天","")))</f>
        <v/>
      </c>
      <c r="AC381" s="34" t="str">
        <f aca="true">IF($C381="","",IF(OR($Y381="安装免保",$Y381="技术免保",$Y381="质保期内"),IF($Z381="","▲免保没填到期日",IF($Z381&lt;TODAY(),"▲免保已到期 该转收费了",IF($Z381-TODAY()&lt;=合同提醒天,"免保还剩 "&amp;TEXT($Z381-TODAY(),"0")&amp;" 天","免保中"))),IF($Y381="暂停维保","暂停中 不计费",IF($Y381="已解约","已解约",IF(COUNTIF(合同键,$E381)=0,"▲还没建合同行","")))))</f>
        <v/>
      </c>
      <c r="AD381" s="24"/>
      <c r="AE381" s="35" t="str">
        <f aca="false">IF($C381="","",IF($D381="","★项目名称没填",IF(N($P381)&lt;=0,"★台量要填",IF(AND(OR($Y381="安装免保",$Y381="技术免保",$Y381="质保期内"),$Z381=""),"★免保到期日没填",IF(COUNTIF(合同键,$E381)=0,"★还没建合同行","OK")))))</f>
        <v/>
      </c>
    </row>
    <row r="382" customFormat="false" ht="15" hidden="false" customHeight="false" outlineLevel="0" collapsed="false">
      <c r="A382" s="29" t="str">
        <f aca="false">IF($C382="","",ROW()-4)</f>
        <v/>
      </c>
      <c r="B382" s="25"/>
      <c r="C382" s="24"/>
      <c r="D382" s="24"/>
      <c r="E382" s="30" t="str">
        <f aca="false">IF($C382="","",$C382&amp;" ｜ "&amp;$D382)</f>
        <v/>
      </c>
      <c r="F382" s="25"/>
      <c r="G382" s="25"/>
      <c r="H382" s="25"/>
      <c r="I382" s="25"/>
      <c r="J382" s="25"/>
      <c r="K382" s="21"/>
      <c r="L382" s="21"/>
      <c r="M382" s="21"/>
      <c r="N382" s="25"/>
      <c r="O382" s="25"/>
      <c r="P382" s="32"/>
      <c r="Q382" s="25"/>
      <c r="R382" s="25"/>
      <c r="S382" s="33"/>
      <c r="T382" s="33"/>
      <c r="U382" s="33"/>
      <c r="V382" s="33"/>
      <c r="W382" s="25"/>
      <c r="X382" s="25"/>
      <c r="Y382" s="25"/>
      <c r="Z382" s="33"/>
      <c r="AA382" s="34" t="str">
        <f aca="true">IF($T382="","",IF($T382&lt;TODAY(),"已过期 "&amp;TEXT(TODAY()-$T382,"0")&amp;" 天",IF($T382-TODAY()&lt;=年检提醒天,"还剩 "&amp;TEXT($T382-TODAY(),"0")&amp;" 天","")))</f>
        <v/>
      </c>
      <c r="AB382" s="34" t="str">
        <f aca="true">IF(COUNT($U382:$V382)=0,"",IF(MIN($U382:$V382)&lt;TODAY(),"已过期 "&amp;TEXT(TODAY()-MIN($U382:$V382),"0")&amp;" 天",IF(MIN($U382:$V382)-TODAY()&lt;=年检提醒天,"还剩 "&amp;TEXT(MIN($U382:$V382)-TODAY(),"0")&amp;" 天","")))</f>
        <v/>
      </c>
      <c r="AC382" s="34" t="str">
        <f aca="true">IF($C382="","",IF(OR($Y382="安装免保",$Y382="技术免保",$Y382="质保期内"),IF($Z382="","▲免保没填到期日",IF($Z382&lt;TODAY(),"▲免保已到期 该转收费了",IF($Z382-TODAY()&lt;=合同提醒天,"免保还剩 "&amp;TEXT($Z382-TODAY(),"0")&amp;" 天","免保中"))),IF($Y382="暂停维保","暂停中 不计费",IF($Y382="已解约","已解约",IF(COUNTIF(合同键,$E382)=0,"▲还没建合同行","")))))</f>
        <v/>
      </c>
      <c r="AD382" s="24"/>
      <c r="AE382" s="35" t="str">
        <f aca="false">IF($C382="","",IF($D382="","★项目名称没填",IF(N($P382)&lt;=0,"★台量要填",IF(AND(OR($Y382="安装免保",$Y382="技术免保",$Y382="质保期内"),$Z382=""),"★免保到期日没填",IF(COUNTIF(合同键,$E382)=0,"★还没建合同行","OK")))))</f>
        <v/>
      </c>
    </row>
    <row r="383" customFormat="false" ht="15" hidden="false" customHeight="false" outlineLevel="0" collapsed="false">
      <c r="A383" s="29" t="str">
        <f aca="false">IF($C383="","",ROW()-4)</f>
        <v/>
      </c>
      <c r="B383" s="25"/>
      <c r="C383" s="24"/>
      <c r="D383" s="24"/>
      <c r="E383" s="30" t="str">
        <f aca="false">IF($C383="","",$C383&amp;" ｜ "&amp;$D383)</f>
        <v/>
      </c>
      <c r="F383" s="25"/>
      <c r="G383" s="25"/>
      <c r="H383" s="25"/>
      <c r="I383" s="25"/>
      <c r="J383" s="25"/>
      <c r="K383" s="21"/>
      <c r="L383" s="21"/>
      <c r="M383" s="21"/>
      <c r="N383" s="25"/>
      <c r="O383" s="25"/>
      <c r="P383" s="32"/>
      <c r="Q383" s="25"/>
      <c r="R383" s="25"/>
      <c r="S383" s="33"/>
      <c r="T383" s="33"/>
      <c r="U383" s="33"/>
      <c r="V383" s="33"/>
      <c r="W383" s="25"/>
      <c r="X383" s="25"/>
      <c r="Y383" s="25"/>
      <c r="Z383" s="33"/>
      <c r="AA383" s="34" t="str">
        <f aca="true">IF($T383="","",IF($T383&lt;TODAY(),"已过期 "&amp;TEXT(TODAY()-$T383,"0")&amp;" 天",IF($T383-TODAY()&lt;=年检提醒天,"还剩 "&amp;TEXT($T383-TODAY(),"0")&amp;" 天","")))</f>
        <v/>
      </c>
      <c r="AB383" s="34" t="str">
        <f aca="true">IF(COUNT($U383:$V383)=0,"",IF(MIN($U383:$V383)&lt;TODAY(),"已过期 "&amp;TEXT(TODAY()-MIN($U383:$V383),"0")&amp;" 天",IF(MIN($U383:$V383)-TODAY()&lt;=年检提醒天,"还剩 "&amp;TEXT(MIN($U383:$V383)-TODAY(),"0")&amp;" 天","")))</f>
        <v/>
      </c>
      <c r="AC383" s="34" t="str">
        <f aca="true">IF($C383="","",IF(OR($Y383="安装免保",$Y383="技术免保",$Y383="质保期内"),IF($Z383="","▲免保没填到期日",IF($Z383&lt;TODAY(),"▲免保已到期 该转收费了",IF($Z383-TODAY()&lt;=合同提醒天,"免保还剩 "&amp;TEXT($Z383-TODAY(),"0")&amp;" 天","免保中"))),IF($Y383="暂停维保","暂停中 不计费",IF($Y383="已解约","已解约",IF(COUNTIF(合同键,$E383)=0,"▲还没建合同行","")))))</f>
        <v/>
      </c>
      <c r="AD383" s="24"/>
      <c r="AE383" s="35" t="str">
        <f aca="false">IF($C383="","",IF($D383="","★项目名称没填",IF(N($P383)&lt;=0,"★台量要填",IF(AND(OR($Y383="安装免保",$Y383="技术免保",$Y383="质保期内"),$Z383=""),"★免保到期日没填",IF(COUNTIF(合同键,$E383)=0,"★还没建合同行","OK")))))</f>
        <v/>
      </c>
    </row>
    <row r="384" customFormat="false" ht="15" hidden="false" customHeight="false" outlineLevel="0" collapsed="false">
      <c r="A384" s="29" t="str">
        <f aca="false">IF($C384="","",ROW()-4)</f>
        <v/>
      </c>
      <c r="B384" s="25"/>
      <c r="C384" s="24"/>
      <c r="D384" s="24"/>
      <c r="E384" s="30" t="str">
        <f aca="false">IF($C384="","",$C384&amp;" ｜ "&amp;$D384)</f>
        <v/>
      </c>
      <c r="F384" s="25"/>
      <c r="G384" s="25"/>
      <c r="H384" s="25"/>
      <c r="I384" s="25"/>
      <c r="J384" s="25"/>
      <c r="K384" s="21"/>
      <c r="L384" s="21"/>
      <c r="M384" s="21"/>
      <c r="N384" s="25"/>
      <c r="O384" s="25"/>
      <c r="P384" s="32"/>
      <c r="Q384" s="25"/>
      <c r="R384" s="25"/>
      <c r="S384" s="33"/>
      <c r="T384" s="33"/>
      <c r="U384" s="33"/>
      <c r="V384" s="33"/>
      <c r="W384" s="25"/>
      <c r="X384" s="25"/>
      <c r="Y384" s="25"/>
      <c r="Z384" s="33"/>
      <c r="AA384" s="34" t="str">
        <f aca="true">IF($T384="","",IF($T384&lt;TODAY(),"已过期 "&amp;TEXT(TODAY()-$T384,"0")&amp;" 天",IF($T384-TODAY()&lt;=年检提醒天,"还剩 "&amp;TEXT($T384-TODAY(),"0")&amp;" 天","")))</f>
        <v/>
      </c>
      <c r="AB384" s="34" t="str">
        <f aca="true">IF(COUNT($U384:$V384)=0,"",IF(MIN($U384:$V384)&lt;TODAY(),"已过期 "&amp;TEXT(TODAY()-MIN($U384:$V384),"0")&amp;" 天",IF(MIN($U384:$V384)-TODAY()&lt;=年检提醒天,"还剩 "&amp;TEXT(MIN($U384:$V384)-TODAY(),"0")&amp;" 天","")))</f>
        <v/>
      </c>
      <c r="AC384" s="34" t="str">
        <f aca="true">IF($C384="","",IF(OR($Y384="安装免保",$Y384="技术免保",$Y384="质保期内"),IF($Z384="","▲免保没填到期日",IF($Z384&lt;TODAY(),"▲免保已到期 该转收费了",IF($Z384-TODAY()&lt;=合同提醒天,"免保还剩 "&amp;TEXT($Z384-TODAY(),"0")&amp;" 天","免保中"))),IF($Y384="暂停维保","暂停中 不计费",IF($Y384="已解约","已解约",IF(COUNTIF(合同键,$E384)=0,"▲还没建合同行","")))))</f>
        <v/>
      </c>
      <c r="AD384" s="24"/>
      <c r="AE384" s="35" t="str">
        <f aca="false">IF($C384="","",IF($D384="","★项目名称没填",IF(N($P384)&lt;=0,"★台量要填",IF(AND(OR($Y384="安装免保",$Y384="技术免保",$Y384="质保期内"),$Z384=""),"★免保到期日没填",IF(COUNTIF(合同键,$E384)=0,"★还没建合同行","OK")))))</f>
        <v/>
      </c>
    </row>
    <row r="385" customFormat="false" ht="15" hidden="false" customHeight="false" outlineLevel="0" collapsed="false">
      <c r="A385" s="29" t="str">
        <f aca="false">IF($C385="","",ROW()-4)</f>
        <v/>
      </c>
      <c r="B385" s="25"/>
      <c r="C385" s="24"/>
      <c r="D385" s="24"/>
      <c r="E385" s="30" t="str">
        <f aca="false">IF($C385="","",$C385&amp;" ｜ "&amp;$D385)</f>
        <v/>
      </c>
      <c r="F385" s="25"/>
      <c r="G385" s="25"/>
      <c r="H385" s="25"/>
      <c r="I385" s="25"/>
      <c r="J385" s="25"/>
      <c r="K385" s="21"/>
      <c r="L385" s="21"/>
      <c r="M385" s="21"/>
      <c r="N385" s="25"/>
      <c r="O385" s="25"/>
      <c r="P385" s="32"/>
      <c r="Q385" s="25"/>
      <c r="R385" s="25"/>
      <c r="S385" s="33"/>
      <c r="T385" s="33"/>
      <c r="U385" s="33"/>
      <c r="V385" s="33"/>
      <c r="W385" s="25"/>
      <c r="X385" s="25"/>
      <c r="Y385" s="25"/>
      <c r="Z385" s="33"/>
      <c r="AA385" s="34" t="str">
        <f aca="true">IF($T385="","",IF($T385&lt;TODAY(),"已过期 "&amp;TEXT(TODAY()-$T385,"0")&amp;" 天",IF($T385-TODAY()&lt;=年检提醒天,"还剩 "&amp;TEXT($T385-TODAY(),"0")&amp;" 天","")))</f>
        <v/>
      </c>
      <c r="AB385" s="34" t="str">
        <f aca="true">IF(COUNT($U385:$V385)=0,"",IF(MIN($U385:$V385)&lt;TODAY(),"已过期 "&amp;TEXT(TODAY()-MIN($U385:$V385),"0")&amp;" 天",IF(MIN($U385:$V385)-TODAY()&lt;=年检提醒天,"还剩 "&amp;TEXT(MIN($U385:$V385)-TODAY(),"0")&amp;" 天","")))</f>
        <v/>
      </c>
      <c r="AC385" s="34" t="str">
        <f aca="true">IF($C385="","",IF(OR($Y385="安装免保",$Y385="技术免保",$Y385="质保期内"),IF($Z385="","▲免保没填到期日",IF($Z385&lt;TODAY(),"▲免保已到期 该转收费了",IF($Z385-TODAY()&lt;=合同提醒天,"免保还剩 "&amp;TEXT($Z385-TODAY(),"0")&amp;" 天","免保中"))),IF($Y385="暂停维保","暂停中 不计费",IF($Y385="已解约","已解约",IF(COUNTIF(合同键,$E385)=0,"▲还没建合同行","")))))</f>
        <v/>
      </c>
      <c r="AD385" s="24"/>
      <c r="AE385" s="35" t="str">
        <f aca="false">IF($C385="","",IF($D385="","★项目名称没填",IF(N($P385)&lt;=0,"★台量要填",IF(AND(OR($Y385="安装免保",$Y385="技术免保",$Y385="质保期内"),$Z385=""),"★免保到期日没填",IF(COUNTIF(合同键,$E385)=0,"★还没建合同行","OK")))))</f>
        <v/>
      </c>
    </row>
    <row r="386" customFormat="false" ht="15" hidden="false" customHeight="false" outlineLevel="0" collapsed="false">
      <c r="A386" s="29" t="str">
        <f aca="false">IF($C386="","",ROW()-4)</f>
        <v/>
      </c>
      <c r="B386" s="25"/>
      <c r="C386" s="24"/>
      <c r="D386" s="24"/>
      <c r="E386" s="30" t="str">
        <f aca="false">IF($C386="","",$C386&amp;" ｜ "&amp;$D386)</f>
        <v/>
      </c>
      <c r="F386" s="25"/>
      <c r="G386" s="25"/>
      <c r="H386" s="25"/>
      <c r="I386" s="25"/>
      <c r="J386" s="25"/>
      <c r="K386" s="21"/>
      <c r="L386" s="21"/>
      <c r="M386" s="21"/>
      <c r="N386" s="25"/>
      <c r="O386" s="25"/>
      <c r="P386" s="32"/>
      <c r="Q386" s="25"/>
      <c r="R386" s="25"/>
      <c r="S386" s="33"/>
      <c r="T386" s="33"/>
      <c r="U386" s="33"/>
      <c r="V386" s="33"/>
      <c r="W386" s="25"/>
      <c r="X386" s="25"/>
      <c r="Y386" s="25"/>
      <c r="Z386" s="33"/>
      <c r="AA386" s="34" t="str">
        <f aca="true">IF($T386="","",IF($T386&lt;TODAY(),"已过期 "&amp;TEXT(TODAY()-$T386,"0")&amp;" 天",IF($T386-TODAY()&lt;=年检提醒天,"还剩 "&amp;TEXT($T386-TODAY(),"0")&amp;" 天","")))</f>
        <v/>
      </c>
      <c r="AB386" s="34" t="str">
        <f aca="true">IF(COUNT($U386:$V386)=0,"",IF(MIN($U386:$V386)&lt;TODAY(),"已过期 "&amp;TEXT(TODAY()-MIN($U386:$V386),"0")&amp;" 天",IF(MIN($U386:$V386)-TODAY()&lt;=年检提醒天,"还剩 "&amp;TEXT(MIN($U386:$V386)-TODAY(),"0")&amp;" 天","")))</f>
        <v/>
      </c>
      <c r="AC386" s="34" t="str">
        <f aca="true">IF($C386="","",IF(OR($Y386="安装免保",$Y386="技术免保",$Y386="质保期内"),IF($Z386="","▲免保没填到期日",IF($Z386&lt;TODAY(),"▲免保已到期 该转收费了",IF($Z386-TODAY()&lt;=合同提醒天,"免保还剩 "&amp;TEXT($Z386-TODAY(),"0")&amp;" 天","免保中"))),IF($Y386="暂停维保","暂停中 不计费",IF($Y386="已解约","已解约",IF(COUNTIF(合同键,$E386)=0,"▲还没建合同行","")))))</f>
        <v/>
      </c>
      <c r="AD386" s="24"/>
      <c r="AE386" s="35" t="str">
        <f aca="false">IF($C386="","",IF($D386="","★项目名称没填",IF(N($P386)&lt;=0,"★台量要填",IF(AND(OR($Y386="安装免保",$Y386="技术免保",$Y386="质保期内"),$Z386=""),"★免保到期日没填",IF(COUNTIF(合同键,$E386)=0,"★还没建合同行","OK")))))</f>
        <v/>
      </c>
    </row>
    <row r="387" customFormat="false" ht="15" hidden="false" customHeight="false" outlineLevel="0" collapsed="false">
      <c r="A387" s="29" t="str">
        <f aca="false">IF($C387="","",ROW()-4)</f>
        <v/>
      </c>
      <c r="B387" s="25"/>
      <c r="C387" s="24"/>
      <c r="D387" s="24"/>
      <c r="E387" s="30" t="str">
        <f aca="false">IF($C387="","",$C387&amp;" ｜ "&amp;$D387)</f>
        <v/>
      </c>
      <c r="F387" s="25"/>
      <c r="G387" s="25"/>
      <c r="H387" s="25"/>
      <c r="I387" s="25"/>
      <c r="J387" s="25"/>
      <c r="K387" s="21"/>
      <c r="L387" s="21"/>
      <c r="M387" s="21"/>
      <c r="N387" s="25"/>
      <c r="O387" s="25"/>
      <c r="P387" s="32"/>
      <c r="Q387" s="25"/>
      <c r="R387" s="25"/>
      <c r="S387" s="33"/>
      <c r="T387" s="33"/>
      <c r="U387" s="33"/>
      <c r="V387" s="33"/>
      <c r="W387" s="25"/>
      <c r="X387" s="25"/>
      <c r="Y387" s="25"/>
      <c r="Z387" s="33"/>
      <c r="AA387" s="34" t="str">
        <f aca="true">IF($T387="","",IF($T387&lt;TODAY(),"已过期 "&amp;TEXT(TODAY()-$T387,"0")&amp;" 天",IF($T387-TODAY()&lt;=年检提醒天,"还剩 "&amp;TEXT($T387-TODAY(),"0")&amp;" 天","")))</f>
        <v/>
      </c>
      <c r="AB387" s="34" t="str">
        <f aca="true">IF(COUNT($U387:$V387)=0,"",IF(MIN($U387:$V387)&lt;TODAY(),"已过期 "&amp;TEXT(TODAY()-MIN($U387:$V387),"0")&amp;" 天",IF(MIN($U387:$V387)-TODAY()&lt;=年检提醒天,"还剩 "&amp;TEXT(MIN($U387:$V387)-TODAY(),"0")&amp;" 天","")))</f>
        <v/>
      </c>
      <c r="AC387" s="34" t="str">
        <f aca="true">IF($C387="","",IF(OR($Y387="安装免保",$Y387="技术免保",$Y387="质保期内"),IF($Z387="","▲免保没填到期日",IF($Z387&lt;TODAY(),"▲免保已到期 该转收费了",IF($Z387-TODAY()&lt;=合同提醒天,"免保还剩 "&amp;TEXT($Z387-TODAY(),"0")&amp;" 天","免保中"))),IF($Y387="暂停维保","暂停中 不计费",IF($Y387="已解约","已解约",IF(COUNTIF(合同键,$E387)=0,"▲还没建合同行","")))))</f>
        <v/>
      </c>
      <c r="AD387" s="24"/>
      <c r="AE387" s="35" t="str">
        <f aca="false">IF($C387="","",IF($D387="","★项目名称没填",IF(N($P387)&lt;=0,"★台量要填",IF(AND(OR($Y387="安装免保",$Y387="技术免保",$Y387="质保期内"),$Z387=""),"★免保到期日没填",IF(COUNTIF(合同键,$E387)=0,"★还没建合同行","OK")))))</f>
        <v/>
      </c>
    </row>
    <row r="388" customFormat="false" ht="15" hidden="false" customHeight="false" outlineLevel="0" collapsed="false">
      <c r="A388" s="29" t="str">
        <f aca="false">IF($C388="","",ROW()-4)</f>
        <v/>
      </c>
      <c r="B388" s="25"/>
      <c r="C388" s="24"/>
      <c r="D388" s="24"/>
      <c r="E388" s="30" t="str">
        <f aca="false">IF($C388="","",$C388&amp;" ｜ "&amp;$D388)</f>
        <v/>
      </c>
      <c r="F388" s="25"/>
      <c r="G388" s="25"/>
      <c r="H388" s="25"/>
      <c r="I388" s="25"/>
      <c r="J388" s="25"/>
      <c r="K388" s="21"/>
      <c r="L388" s="21"/>
      <c r="M388" s="21"/>
      <c r="N388" s="25"/>
      <c r="O388" s="25"/>
      <c r="P388" s="32"/>
      <c r="Q388" s="25"/>
      <c r="R388" s="25"/>
      <c r="S388" s="33"/>
      <c r="T388" s="33"/>
      <c r="U388" s="33"/>
      <c r="V388" s="33"/>
      <c r="W388" s="25"/>
      <c r="X388" s="25"/>
      <c r="Y388" s="25"/>
      <c r="Z388" s="33"/>
      <c r="AA388" s="34" t="str">
        <f aca="true">IF($T388="","",IF($T388&lt;TODAY(),"已过期 "&amp;TEXT(TODAY()-$T388,"0")&amp;" 天",IF($T388-TODAY()&lt;=年检提醒天,"还剩 "&amp;TEXT($T388-TODAY(),"0")&amp;" 天","")))</f>
        <v/>
      </c>
      <c r="AB388" s="34" t="str">
        <f aca="true">IF(COUNT($U388:$V388)=0,"",IF(MIN($U388:$V388)&lt;TODAY(),"已过期 "&amp;TEXT(TODAY()-MIN($U388:$V388),"0")&amp;" 天",IF(MIN($U388:$V388)-TODAY()&lt;=年检提醒天,"还剩 "&amp;TEXT(MIN($U388:$V388)-TODAY(),"0")&amp;" 天","")))</f>
        <v/>
      </c>
      <c r="AC388" s="34" t="str">
        <f aca="true">IF($C388="","",IF(OR($Y388="安装免保",$Y388="技术免保",$Y388="质保期内"),IF($Z388="","▲免保没填到期日",IF($Z388&lt;TODAY(),"▲免保已到期 该转收费了",IF($Z388-TODAY()&lt;=合同提醒天,"免保还剩 "&amp;TEXT($Z388-TODAY(),"0")&amp;" 天","免保中"))),IF($Y388="暂停维保","暂停中 不计费",IF($Y388="已解约","已解约",IF(COUNTIF(合同键,$E388)=0,"▲还没建合同行","")))))</f>
        <v/>
      </c>
      <c r="AD388" s="24"/>
      <c r="AE388" s="35" t="str">
        <f aca="false">IF($C388="","",IF($D388="","★项目名称没填",IF(N($P388)&lt;=0,"★台量要填",IF(AND(OR($Y388="安装免保",$Y388="技术免保",$Y388="质保期内"),$Z388=""),"★免保到期日没填",IF(COUNTIF(合同键,$E388)=0,"★还没建合同行","OK")))))</f>
        <v/>
      </c>
    </row>
    <row r="389" customFormat="false" ht="15" hidden="false" customHeight="false" outlineLevel="0" collapsed="false">
      <c r="A389" s="29" t="str">
        <f aca="false">IF($C389="","",ROW()-4)</f>
        <v/>
      </c>
      <c r="B389" s="25"/>
      <c r="C389" s="24"/>
      <c r="D389" s="24"/>
      <c r="E389" s="30" t="str">
        <f aca="false">IF($C389="","",$C389&amp;" ｜ "&amp;$D389)</f>
        <v/>
      </c>
      <c r="F389" s="25"/>
      <c r="G389" s="25"/>
      <c r="H389" s="25"/>
      <c r="I389" s="25"/>
      <c r="J389" s="25"/>
      <c r="K389" s="21"/>
      <c r="L389" s="21"/>
      <c r="M389" s="21"/>
      <c r="N389" s="25"/>
      <c r="O389" s="25"/>
      <c r="P389" s="32"/>
      <c r="Q389" s="25"/>
      <c r="R389" s="25"/>
      <c r="S389" s="33"/>
      <c r="T389" s="33"/>
      <c r="U389" s="33"/>
      <c r="V389" s="33"/>
      <c r="W389" s="25"/>
      <c r="X389" s="25"/>
      <c r="Y389" s="25"/>
      <c r="Z389" s="33"/>
      <c r="AA389" s="34" t="str">
        <f aca="true">IF($T389="","",IF($T389&lt;TODAY(),"已过期 "&amp;TEXT(TODAY()-$T389,"0")&amp;" 天",IF($T389-TODAY()&lt;=年检提醒天,"还剩 "&amp;TEXT($T389-TODAY(),"0")&amp;" 天","")))</f>
        <v/>
      </c>
      <c r="AB389" s="34" t="str">
        <f aca="true">IF(COUNT($U389:$V389)=0,"",IF(MIN($U389:$V389)&lt;TODAY(),"已过期 "&amp;TEXT(TODAY()-MIN($U389:$V389),"0")&amp;" 天",IF(MIN($U389:$V389)-TODAY()&lt;=年检提醒天,"还剩 "&amp;TEXT(MIN($U389:$V389)-TODAY(),"0")&amp;" 天","")))</f>
        <v/>
      </c>
      <c r="AC389" s="34" t="str">
        <f aca="true">IF($C389="","",IF(OR($Y389="安装免保",$Y389="技术免保",$Y389="质保期内"),IF($Z389="","▲免保没填到期日",IF($Z389&lt;TODAY(),"▲免保已到期 该转收费了",IF($Z389-TODAY()&lt;=合同提醒天,"免保还剩 "&amp;TEXT($Z389-TODAY(),"0")&amp;" 天","免保中"))),IF($Y389="暂停维保","暂停中 不计费",IF($Y389="已解约","已解约",IF(COUNTIF(合同键,$E389)=0,"▲还没建合同行","")))))</f>
        <v/>
      </c>
      <c r="AD389" s="24"/>
      <c r="AE389" s="35" t="str">
        <f aca="false">IF($C389="","",IF($D389="","★项目名称没填",IF(N($P389)&lt;=0,"★台量要填",IF(AND(OR($Y389="安装免保",$Y389="技术免保",$Y389="质保期内"),$Z389=""),"★免保到期日没填",IF(COUNTIF(合同键,$E389)=0,"★还没建合同行","OK")))))</f>
        <v/>
      </c>
    </row>
    <row r="390" customFormat="false" ht="15" hidden="false" customHeight="false" outlineLevel="0" collapsed="false">
      <c r="A390" s="29" t="str">
        <f aca="false">IF($C390="","",ROW()-4)</f>
        <v/>
      </c>
      <c r="B390" s="25"/>
      <c r="C390" s="24"/>
      <c r="D390" s="24"/>
      <c r="E390" s="30" t="str">
        <f aca="false">IF($C390="","",$C390&amp;" ｜ "&amp;$D390)</f>
        <v/>
      </c>
      <c r="F390" s="25"/>
      <c r="G390" s="25"/>
      <c r="H390" s="25"/>
      <c r="I390" s="25"/>
      <c r="J390" s="25"/>
      <c r="K390" s="21"/>
      <c r="L390" s="21"/>
      <c r="M390" s="21"/>
      <c r="N390" s="25"/>
      <c r="O390" s="25"/>
      <c r="P390" s="32"/>
      <c r="Q390" s="25"/>
      <c r="R390" s="25"/>
      <c r="S390" s="33"/>
      <c r="T390" s="33"/>
      <c r="U390" s="33"/>
      <c r="V390" s="33"/>
      <c r="W390" s="25"/>
      <c r="X390" s="25"/>
      <c r="Y390" s="25"/>
      <c r="Z390" s="33"/>
      <c r="AA390" s="34" t="str">
        <f aca="true">IF($T390="","",IF($T390&lt;TODAY(),"已过期 "&amp;TEXT(TODAY()-$T390,"0")&amp;" 天",IF($T390-TODAY()&lt;=年检提醒天,"还剩 "&amp;TEXT($T390-TODAY(),"0")&amp;" 天","")))</f>
        <v/>
      </c>
      <c r="AB390" s="34" t="str">
        <f aca="true">IF(COUNT($U390:$V390)=0,"",IF(MIN($U390:$V390)&lt;TODAY(),"已过期 "&amp;TEXT(TODAY()-MIN($U390:$V390),"0")&amp;" 天",IF(MIN($U390:$V390)-TODAY()&lt;=年检提醒天,"还剩 "&amp;TEXT(MIN($U390:$V390)-TODAY(),"0")&amp;" 天","")))</f>
        <v/>
      </c>
      <c r="AC390" s="34" t="str">
        <f aca="true">IF($C390="","",IF(OR($Y390="安装免保",$Y390="技术免保",$Y390="质保期内"),IF($Z390="","▲免保没填到期日",IF($Z390&lt;TODAY(),"▲免保已到期 该转收费了",IF($Z390-TODAY()&lt;=合同提醒天,"免保还剩 "&amp;TEXT($Z390-TODAY(),"0")&amp;" 天","免保中"))),IF($Y390="暂停维保","暂停中 不计费",IF($Y390="已解约","已解约",IF(COUNTIF(合同键,$E390)=0,"▲还没建合同行","")))))</f>
        <v/>
      </c>
      <c r="AD390" s="24"/>
      <c r="AE390" s="35" t="str">
        <f aca="false">IF($C390="","",IF($D390="","★项目名称没填",IF(N($P390)&lt;=0,"★台量要填",IF(AND(OR($Y390="安装免保",$Y390="技术免保",$Y390="质保期内"),$Z390=""),"★免保到期日没填",IF(COUNTIF(合同键,$E390)=0,"★还没建合同行","OK")))))</f>
        <v/>
      </c>
    </row>
    <row r="391" customFormat="false" ht="15" hidden="false" customHeight="false" outlineLevel="0" collapsed="false">
      <c r="A391" s="29" t="str">
        <f aca="false">IF($C391="","",ROW()-4)</f>
        <v/>
      </c>
      <c r="B391" s="25"/>
      <c r="C391" s="24"/>
      <c r="D391" s="24"/>
      <c r="E391" s="30" t="str">
        <f aca="false">IF($C391="","",$C391&amp;" ｜ "&amp;$D391)</f>
        <v/>
      </c>
      <c r="F391" s="25"/>
      <c r="G391" s="25"/>
      <c r="H391" s="25"/>
      <c r="I391" s="25"/>
      <c r="J391" s="25"/>
      <c r="K391" s="21"/>
      <c r="L391" s="21"/>
      <c r="M391" s="21"/>
      <c r="N391" s="25"/>
      <c r="O391" s="25"/>
      <c r="P391" s="32"/>
      <c r="Q391" s="25"/>
      <c r="R391" s="25"/>
      <c r="S391" s="33"/>
      <c r="T391" s="33"/>
      <c r="U391" s="33"/>
      <c r="V391" s="33"/>
      <c r="W391" s="25"/>
      <c r="X391" s="25"/>
      <c r="Y391" s="25"/>
      <c r="Z391" s="33"/>
      <c r="AA391" s="34" t="str">
        <f aca="true">IF($T391="","",IF($T391&lt;TODAY(),"已过期 "&amp;TEXT(TODAY()-$T391,"0")&amp;" 天",IF($T391-TODAY()&lt;=年检提醒天,"还剩 "&amp;TEXT($T391-TODAY(),"0")&amp;" 天","")))</f>
        <v/>
      </c>
      <c r="AB391" s="34" t="str">
        <f aca="true">IF(COUNT($U391:$V391)=0,"",IF(MIN($U391:$V391)&lt;TODAY(),"已过期 "&amp;TEXT(TODAY()-MIN($U391:$V391),"0")&amp;" 天",IF(MIN($U391:$V391)-TODAY()&lt;=年检提醒天,"还剩 "&amp;TEXT(MIN($U391:$V391)-TODAY(),"0")&amp;" 天","")))</f>
        <v/>
      </c>
      <c r="AC391" s="34" t="str">
        <f aca="true">IF($C391="","",IF(OR($Y391="安装免保",$Y391="技术免保",$Y391="质保期内"),IF($Z391="","▲免保没填到期日",IF($Z391&lt;TODAY(),"▲免保已到期 该转收费了",IF($Z391-TODAY()&lt;=合同提醒天,"免保还剩 "&amp;TEXT($Z391-TODAY(),"0")&amp;" 天","免保中"))),IF($Y391="暂停维保","暂停中 不计费",IF($Y391="已解约","已解约",IF(COUNTIF(合同键,$E391)=0,"▲还没建合同行","")))))</f>
        <v/>
      </c>
      <c r="AD391" s="24"/>
      <c r="AE391" s="35" t="str">
        <f aca="false">IF($C391="","",IF($D391="","★项目名称没填",IF(N($P391)&lt;=0,"★台量要填",IF(AND(OR($Y391="安装免保",$Y391="技术免保",$Y391="质保期内"),$Z391=""),"★免保到期日没填",IF(COUNTIF(合同键,$E391)=0,"★还没建合同行","OK")))))</f>
        <v/>
      </c>
    </row>
    <row r="392" customFormat="false" ht="15" hidden="false" customHeight="false" outlineLevel="0" collapsed="false">
      <c r="A392" s="29" t="str">
        <f aca="false">IF($C392="","",ROW()-4)</f>
        <v/>
      </c>
      <c r="B392" s="25"/>
      <c r="C392" s="24"/>
      <c r="D392" s="24"/>
      <c r="E392" s="30" t="str">
        <f aca="false">IF($C392="","",$C392&amp;" ｜ "&amp;$D392)</f>
        <v/>
      </c>
      <c r="F392" s="25"/>
      <c r="G392" s="25"/>
      <c r="H392" s="25"/>
      <c r="I392" s="25"/>
      <c r="J392" s="25"/>
      <c r="K392" s="21"/>
      <c r="L392" s="21"/>
      <c r="M392" s="21"/>
      <c r="N392" s="25"/>
      <c r="O392" s="25"/>
      <c r="P392" s="32"/>
      <c r="Q392" s="25"/>
      <c r="R392" s="25"/>
      <c r="S392" s="33"/>
      <c r="T392" s="33"/>
      <c r="U392" s="33"/>
      <c r="V392" s="33"/>
      <c r="W392" s="25"/>
      <c r="X392" s="25"/>
      <c r="Y392" s="25"/>
      <c r="Z392" s="33"/>
      <c r="AA392" s="34" t="str">
        <f aca="true">IF($T392="","",IF($T392&lt;TODAY(),"已过期 "&amp;TEXT(TODAY()-$T392,"0")&amp;" 天",IF($T392-TODAY()&lt;=年检提醒天,"还剩 "&amp;TEXT($T392-TODAY(),"0")&amp;" 天","")))</f>
        <v/>
      </c>
      <c r="AB392" s="34" t="str">
        <f aca="true">IF(COUNT($U392:$V392)=0,"",IF(MIN($U392:$V392)&lt;TODAY(),"已过期 "&amp;TEXT(TODAY()-MIN($U392:$V392),"0")&amp;" 天",IF(MIN($U392:$V392)-TODAY()&lt;=年检提醒天,"还剩 "&amp;TEXT(MIN($U392:$V392)-TODAY(),"0")&amp;" 天","")))</f>
        <v/>
      </c>
      <c r="AC392" s="34" t="str">
        <f aca="true">IF($C392="","",IF(OR($Y392="安装免保",$Y392="技术免保",$Y392="质保期内"),IF($Z392="","▲免保没填到期日",IF($Z392&lt;TODAY(),"▲免保已到期 该转收费了",IF($Z392-TODAY()&lt;=合同提醒天,"免保还剩 "&amp;TEXT($Z392-TODAY(),"0")&amp;" 天","免保中"))),IF($Y392="暂停维保","暂停中 不计费",IF($Y392="已解约","已解约",IF(COUNTIF(合同键,$E392)=0,"▲还没建合同行","")))))</f>
        <v/>
      </c>
      <c r="AD392" s="24"/>
      <c r="AE392" s="35" t="str">
        <f aca="false">IF($C392="","",IF($D392="","★项目名称没填",IF(N($P392)&lt;=0,"★台量要填",IF(AND(OR($Y392="安装免保",$Y392="技术免保",$Y392="质保期内"),$Z392=""),"★免保到期日没填",IF(COUNTIF(合同键,$E392)=0,"★还没建合同行","OK")))))</f>
        <v/>
      </c>
    </row>
    <row r="393" customFormat="false" ht="15" hidden="false" customHeight="false" outlineLevel="0" collapsed="false">
      <c r="A393" s="29" t="str">
        <f aca="false">IF($C393="","",ROW()-4)</f>
        <v/>
      </c>
      <c r="B393" s="25"/>
      <c r="C393" s="24"/>
      <c r="D393" s="24"/>
      <c r="E393" s="30" t="str">
        <f aca="false">IF($C393="","",$C393&amp;" ｜ "&amp;$D393)</f>
        <v/>
      </c>
      <c r="F393" s="25"/>
      <c r="G393" s="25"/>
      <c r="H393" s="25"/>
      <c r="I393" s="25"/>
      <c r="J393" s="25"/>
      <c r="K393" s="21"/>
      <c r="L393" s="21"/>
      <c r="M393" s="21"/>
      <c r="N393" s="25"/>
      <c r="O393" s="25"/>
      <c r="P393" s="32"/>
      <c r="Q393" s="25"/>
      <c r="R393" s="25"/>
      <c r="S393" s="33"/>
      <c r="T393" s="33"/>
      <c r="U393" s="33"/>
      <c r="V393" s="33"/>
      <c r="W393" s="25"/>
      <c r="X393" s="25"/>
      <c r="Y393" s="25"/>
      <c r="Z393" s="33"/>
      <c r="AA393" s="34" t="str">
        <f aca="true">IF($T393="","",IF($T393&lt;TODAY(),"已过期 "&amp;TEXT(TODAY()-$T393,"0")&amp;" 天",IF($T393-TODAY()&lt;=年检提醒天,"还剩 "&amp;TEXT($T393-TODAY(),"0")&amp;" 天","")))</f>
        <v/>
      </c>
      <c r="AB393" s="34" t="str">
        <f aca="true">IF(COUNT($U393:$V393)=0,"",IF(MIN($U393:$V393)&lt;TODAY(),"已过期 "&amp;TEXT(TODAY()-MIN($U393:$V393),"0")&amp;" 天",IF(MIN($U393:$V393)-TODAY()&lt;=年检提醒天,"还剩 "&amp;TEXT(MIN($U393:$V393)-TODAY(),"0")&amp;" 天","")))</f>
        <v/>
      </c>
      <c r="AC393" s="34" t="str">
        <f aca="true">IF($C393="","",IF(OR($Y393="安装免保",$Y393="技术免保",$Y393="质保期内"),IF($Z393="","▲免保没填到期日",IF($Z393&lt;TODAY(),"▲免保已到期 该转收费了",IF($Z393-TODAY()&lt;=合同提醒天,"免保还剩 "&amp;TEXT($Z393-TODAY(),"0")&amp;" 天","免保中"))),IF($Y393="暂停维保","暂停中 不计费",IF($Y393="已解约","已解约",IF(COUNTIF(合同键,$E393)=0,"▲还没建合同行","")))))</f>
        <v/>
      </c>
      <c r="AD393" s="24"/>
      <c r="AE393" s="35" t="str">
        <f aca="false">IF($C393="","",IF($D393="","★项目名称没填",IF(N($P393)&lt;=0,"★台量要填",IF(AND(OR($Y393="安装免保",$Y393="技术免保",$Y393="质保期内"),$Z393=""),"★免保到期日没填",IF(COUNTIF(合同键,$E393)=0,"★还没建合同行","OK")))))</f>
        <v/>
      </c>
    </row>
    <row r="394" customFormat="false" ht="15" hidden="false" customHeight="false" outlineLevel="0" collapsed="false">
      <c r="A394" s="29" t="str">
        <f aca="false">IF($C394="","",ROW()-4)</f>
        <v/>
      </c>
      <c r="B394" s="25"/>
      <c r="C394" s="24"/>
      <c r="D394" s="24"/>
      <c r="E394" s="30" t="str">
        <f aca="false">IF($C394="","",$C394&amp;" ｜ "&amp;$D394)</f>
        <v/>
      </c>
      <c r="F394" s="25"/>
      <c r="G394" s="25"/>
      <c r="H394" s="25"/>
      <c r="I394" s="25"/>
      <c r="J394" s="25"/>
      <c r="K394" s="21"/>
      <c r="L394" s="21"/>
      <c r="M394" s="21"/>
      <c r="N394" s="25"/>
      <c r="O394" s="25"/>
      <c r="P394" s="32"/>
      <c r="Q394" s="25"/>
      <c r="R394" s="25"/>
      <c r="S394" s="33"/>
      <c r="T394" s="33"/>
      <c r="U394" s="33"/>
      <c r="V394" s="33"/>
      <c r="W394" s="25"/>
      <c r="X394" s="25"/>
      <c r="Y394" s="25"/>
      <c r="Z394" s="33"/>
      <c r="AA394" s="34" t="str">
        <f aca="true">IF($T394="","",IF($T394&lt;TODAY(),"已过期 "&amp;TEXT(TODAY()-$T394,"0")&amp;" 天",IF($T394-TODAY()&lt;=年检提醒天,"还剩 "&amp;TEXT($T394-TODAY(),"0")&amp;" 天","")))</f>
        <v/>
      </c>
      <c r="AB394" s="34" t="str">
        <f aca="true">IF(COUNT($U394:$V394)=0,"",IF(MIN($U394:$V394)&lt;TODAY(),"已过期 "&amp;TEXT(TODAY()-MIN($U394:$V394),"0")&amp;" 天",IF(MIN($U394:$V394)-TODAY()&lt;=年检提醒天,"还剩 "&amp;TEXT(MIN($U394:$V394)-TODAY(),"0")&amp;" 天","")))</f>
        <v/>
      </c>
      <c r="AC394" s="34" t="str">
        <f aca="true">IF($C394="","",IF(OR($Y394="安装免保",$Y394="技术免保",$Y394="质保期内"),IF($Z394="","▲免保没填到期日",IF($Z394&lt;TODAY(),"▲免保已到期 该转收费了",IF($Z394-TODAY()&lt;=合同提醒天,"免保还剩 "&amp;TEXT($Z394-TODAY(),"0")&amp;" 天","免保中"))),IF($Y394="暂停维保","暂停中 不计费",IF($Y394="已解约","已解约",IF(COUNTIF(合同键,$E394)=0,"▲还没建合同行","")))))</f>
        <v/>
      </c>
      <c r="AD394" s="24"/>
      <c r="AE394" s="35" t="str">
        <f aca="false">IF($C394="","",IF($D394="","★项目名称没填",IF(N($P394)&lt;=0,"★台量要填",IF(AND(OR($Y394="安装免保",$Y394="技术免保",$Y394="质保期内"),$Z394=""),"★免保到期日没填",IF(COUNTIF(合同键,$E394)=0,"★还没建合同行","OK")))))</f>
        <v/>
      </c>
    </row>
    <row r="395" customFormat="false" ht="15" hidden="false" customHeight="false" outlineLevel="0" collapsed="false">
      <c r="A395" s="29" t="str">
        <f aca="false">IF($C395="","",ROW()-4)</f>
        <v/>
      </c>
      <c r="B395" s="25"/>
      <c r="C395" s="24"/>
      <c r="D395" s="24"/>
      <c r="E395" s="30" t="str">
        <f aca="false">IF($C395="","",$C395&amp;" ｜ "&amp;$D395)</f>
        <v/>
      </c>
      <c r="F395" s="25"/>
      <c r="G395" s="25"/>
      <c r="H395" s="25"/>
      <c r="I395" s="25"/>
      <c r="J395" s="25"/>
      <c r="K395" s="21"/>
      <c r="L395" s="21"/>
      <c r="M395" s="21"/>
      <c r="N395" s="25"/>
      <c r="O395" s="25"/>
      <c r="P395" s="32"/>
      <c r="Q395" s="25"/>
      <c r="R395" s="25"/>
      <c r="S395" s="33"/>
      <c r="T395" s="33"/>
      <c r="U395" s="33"/>
      <c r="V395" s="33"/>
      <c r="W395" s="25"/>
      <c r="X395" s="25"/>
      <c r="Y395" s="25"/>
      <c r="Z395" s="33"/>
      <c r="AA395" s="34" t="str">
        <f aca="true">IF($T395="","",IF($T395&lt;TODAY(),"已过期 "&amp;TEXT(TODAY()-$T395,"0")&amp;" 天",IF($T395-TODAY()&lt;=年检提醒天,"还剩 "&amp;TEXT($T395-TODAY(),"0")&amp;" 天","")))</f>
        <v/>
      </c>
      <c r="AB395" s="34" t="str">
        <f aca="true">IF(COUNT($U395:$V395)=0,"",IF(MIN($U395:$V395)&lt;TODAY(),"已过期 "&amp;TEXT(TODAY()-MIN($U395:$V395),"0")&amp;" 天",IF(MIN($U395:$V395)-TODAY()&lt;=年检提醒天,"还剩 "&amp;TEXT(MIN($U395:$V395)-TODAY(),"0")&amp;" 天","")))</f>
        <v/>
      </c>
      <c r="AC395" s="34" t="str">
        <f aca="true">IF($C395="","",IF(OR($Y395="安装免保",$Y395="技术免保",$Y395="质保期内"),IF($Z395="","▲免保没填到期日",IF($Z395&lt;TODAY(),"▲免保已到期 该转收费了",IF($Z395-TODAY()&lt;=合同提醒天,"免保还剩 "&amp;TEXT($Z395-TODAY(),"0")&amp;" 天","免保中"))),IF($Y395="暂停维保","暂停中 不计费",IF($Y395="已解约","已解约",IF(COUNTIF(合同键,$E395)=0,"▲还没建合同行","")))))</f>
        <v/>
      </c>
      <c r="AD395" s="24"/>
      <c r="AE395" s="35" t="str">
        <f aca="false">IF($C395="","",IF($D395="","★项目名称没填",IF(N($P395)&lt;=0,"★台量要填",IF(AND(OR($Y395="安装免保",$Y395="技术免保",$Y395="质保期内"),$Z395=""),"★免保到期日没填",IF(COUNTIF(合同键,$E395)=0,"★还没建合同行","OK")))))</f>
        <v/>
      </c>
    </row>
    <row r="396" customFormat="false" ht="15" hidden="false" customHeight="false" outlineLevel="0" collapsed="false">
      <c r="A396" s="29" t="str">
        <f aca="false">IF($C396="","",ROW()-4)</f>
        <v/>
      </c>
      <c r="B396" s="25"/>
      <c r="C396" s="24"/>
      <c r="D396" s="24"/>
      <c r="E396" s="30" t="str">
        <f aca="false">IF($C396="","",$C396&amp;" ｜ "&amp;$D396)</f>
        <v/>
      </c>
      <c r="F396" s="25"/>
      <c r="G396" s="25"/>
      <c r="H396" s="25"/>
      <c r="I396" s="25"/>
      <c r="J396" s="25"/>
      <c r="K396" s="21"/>
      <c r="L396" s="21"/>
      <c r="M396" s="21"/>
      <c r="N396" s="25"/>
      <c r="O396" s="25"/>
      <c r="P396" s="32"/>
      <c r="Q396" s="25"/>
      <c r="R396" s="25"/>
      <c r="S396" s="33"/>
      <c r="T396" s="33"/>
      <c r="U396" s="33"/>
      <c r="V396" s="33"/>
      <c r="W396" s="25"/>
      <c r="X396" s="25"/>
      <c r="Y396" s="25"/>
      <c r="Z396" s="33"/>
      <c r="AA396" s="34" t="str">
        <f aca="true">IF($T396="","",IF($T396&lt;TODAY(),"已过期 "&amp;TEXT(TODAY()-$T396,"0")&amp;" 天",IF($T396-TODAY()&lt;=年检提醒天,"还剩 "&amp;TEXT($T396-TODAY(),"0")&amp;" 天","")))</f>
        <v/>
      </c>
      <c r="AB396" s="34" t="str">
        <f aca="true">IF(COUNT($U396:$V396)=0,"",IF(MIN($U396:$V396)&lt;TODAY(),"已过期 "&amp;TEXT(TODAY()-MIN($U396:$V396),"0")&amp;" 天",IF(MIN($U396:$V396)-TODAY()&lt;=年检提醒天,"还剩 "&amp;TEXT(MIN($U396:$V396)-TODAY(),"0")&amp;" 天","")))</f>
        <v/>
      </c>
      <c r="AC396" s="34" t="str">
        <f aca="true">IF($C396="","",IF(OR($Y396="安装免保",$Y396="技术免保",$Y396="质保期内"),IF($Z396="","▲免保没填到期日",IF($Z396&lt;TODAY(),"▲免保已到期 该转收费了",IF($Z396-TODAY()&lt;=合同提醒天,"免保还剩 "&amp;TEXT($Z396-TODAY(),"0")&amp;" 天","免保中"))),IF($Y396="暂停维保","暂停中 不计费",IF($Y396="已解约","已解约",IF(COUNTIF(合同键,$E396)=0,"▲还没建合同行","")))))</f>
        <v/>
      </c>
      <c r="AD396" s="24"/>
      <c r="AE396" s="35" t="str">
        <f aca="false">IF($C396="","",IF($D396="","★项目名称没填",IF(N($P396)&lt;=0,"★台量要填",IF(AND(OR($Y396="安装免保",$Y396="技术免保",$Y396="质保期内"),$Z396=""),"★免保到期日没填",IF(COUNTIF(合同键,$E396)=0,"★还没建合同行","OK")))))</f>
        <v/>
      </c>
    </row>
    <row r="397" customFormat="false" ht="15" hidden="false" customHeight="false" outlineLevel="0" collapsed="false">
      <c r="A397" s="29" t="str">
        <f aca="false">IF($C397="","",ROW()-4)</f>
        <v/>
      </c>
      <c r="B397" s="25"/>
      <c r="C397" s="24"/>
      <c r="D397" s="24"/>
      <c r="E397" s="30" t="str">
        <f aca="false">IF($C397="","",$C397&amp;" ｜ "&amp;$D397)</f>
        <v/>
      </c>
      <c r="F397" s="25"/>
      <c r="G397" s="25"/>
      <c r="H397" s="25"/>
      <c r="I397" s="25"/>
      <c r="J397" s="25"/>
      <c r="K397" s="21"/>
      <c r="L397" s="21"/>
      <c r="M397" s="21"/>
      <c r="N397" s="25"/>
      <c r="O397" s="25"/>
      <c r="P397" s="32"/>
      <c r="Q397" s="25"/>
      <c r="R397" s="25"/>
      <c r="S397" s="33"/>
      <c r="T397" s="33"/>
      <c r="U397" s="33"/>
      <c r="V397" s="33"/>
      <c r="W397" s="25"/>
      <c r="X397" s="25"/>
      <c r="Y397" s="25"/>
      <c r="Z397" s="33"/>
      <c r="AA397" s="34" t="str">
        <f aca="true">IF($T397="","",IF($T397&lt;TODAY(),"已过期 "&amp;TEXT(TODAY()-$T397,"0")&amp;" 天",IF($T397-TODAY()&lt;=年检提醒天,"还剩 "&amp;TEXT($T397-TODAY(),"0")&amp;" 天","")))</f>
        <v/>
      </c>
      <c r="AB397" s="34" t="str">
        <f aca="true">IF(COUNT($U397:$V397)=0,"",IF(MIN($U397:$V397)&lt;TODAY(),"已过期 "&amp;TEXT(TODAY()-MIN($U397:$V397),"0")&amp;" 天",IF(MIN($U397:$V397)-TODAY()&lt;=年检提醒天,"还剩 "&amp;TEXT(MIN($U397:$V397)-TODAY(),"0")&amp;" 天","")))</f>
        <v/>
      </c>
      <c r="AC397" s="34" t="str">
        <f aca="true">IF($C397="","",IF(OR($Y397="安装免保",$Y397="技术免保",$Y397="质保期内"),IF($Z397="","▲免保没填到期日",IF($Z397&lt;TODAY(),"▲免保已到期 该转收费了",IF($Z397-TODAY()&lt;=合同提醒天,"免保还剩 "&amp;TEXT($Z397-TODAY(),"0")&amp;" 天","免保中"))),IF($Y397="暂停维保","暂停中 不计费",IF($Y397="已解约","已解约",IF(COUNTIF(合同键,$E397)=0,"▲还没建合同行","")))))</f>
        <v/>
      </c>
      <c r="AD397" s="24"/>
      <c r="AE397" s="35" t="str">
        <f aca="false">IF($C397="","",IF($D397="","★项目名称没填",IF(N($P397)&lt;=0,"★台量要填",IF(AND(OR($Y397="安装免保",$Y397="技术免保",$Y397="质保期内"),$Z397=""),"★免保到期日没填",IF(COUNTIF(合同键,$E397)=0,"★还没建合同行","OK")))))</f>
        <v/>
      </c>
    </row>
    <row r="398" customFormat="false" ht="15" hidden="false" customHeight="false" outlineLevel="0" collapsed="false">
      <c r="A398" s="29" t="str">
        <f aca="false">IF($C398="","",ROW()-4)</f>
        <v/>
      </c>
      <c r="B398" s="25"/>
      <c r="C398" s="24"/>
      <c r="D398" s="24"/>
      <c r="E398" s="30" t="str">
        <f aca="false">IF($C398="","",$C398&amp;" ｜ "&amp;$D398)</f>
        <v/>
      </c>
      <c r="F398" s="25"/>
      <c r="G398" s="25"/>
      <c r="H398" s="25"/>
      <c r="I398" s="25"/>
      <c r="J398" s="25"/>
      <c r="K398" s="21"/>
      <c r="L398" s="21"/>
      <c r="M398" s="21"/>
      <c r="N398" s="25"/>
      <c r="O398" s="25"/>
      <c r="P398" s="32"/>
      <c r="Q398" s="25"/>
      <c r="R398" s="25"/>
      <c r="S398" s="33"/>
      <c r="T398" s="33"/>
      <c r="U398" s="33"/>
      <c r="V398" s="33"/>
      <c r="W398" s="25"/>
      <c r="X398" s="25"/>
      <c r="Y398" s="25"/>
      <c r="Z398" s="33"/>
      <c r="AA398" s="34" t="str">
        <f aca="true">IF($T398="","",IF($T398&lt;TODAY(),"已过期 "&amp;TEXT(TODAY()-$T398,"0")&amp;" 天",IF($T398-TODAY()&lt;=年检提醒天,"还剩 "&amp;TEXT($T398-TODAY(),"0")&amp;" 天","")))</f>
        <v/>
      </c>
      <c r="AB398" s="34" t="str">
        <f aca="true">IF(COUNT($U398:$V398)=0,"",IF(MIN($U398:$V398)&lt;TODAY(),"已过期 "&amp;TEXT(TODAY()-MIN($U398:$V398),"0")&amp;" 天",IF(MIN($U398:$V398)-TODAY()&lt;=年检提醒天,"还剩 "&amp;TEXT(MIN($U398:$V398)-TODAY(),"0")&amp;" 天","")))</f>
        <v/>
      </c>
      <c r="AC398" s="34" t="str">
        <f aca="true">IF($C398="","",IF(OR($Y398="安装免保",$Y398="技术免保",$Y398="质保期内"),IF($Z398="","▲免保没填到期日",IF($Z398&lt;TODAY(),"▲免保已到期 该转收费了",IF($Z398-TODAY()&lt;=合同提醒天,"免保还剩 "&amp;TEXT($Z398-TODAY(),"0")&amp;" 天","免保中"))),IF($Y398="暂停维保","暂停中 不计费",IF($Y398="已解约","已解约",IF(COUNTIF(合同键,$E398)=0,"▲还没建合同行","")))))</f>
        <v/>
      </c>
      <c r="AD398" s="24"/>
      <c r="AE398" s="35" t="str">
        <f aca="false">IF($C398="","",IF($D398="","★项目名称没填",IF(N($P398)&lt;=0,"★台量要填",IF(AND(OR($Y398="安装免保",$Y398="技术免保",$Y398="质保期内"),$Z398=""),"★免保到期日没填",IF(COUNTIF(合同键,$E398)=0,"★还没建合同行","OK")))))</f>
        <v/>
      </c>
    </row>
    <row r="399" customFormat="false" ht="15" hidden="false" customHeight="false" outlineLevel="0" collapsed="false">
      <c r="A399" s="29" t="str">
        <f aca="false">IF($C399="","",ROW()-4)</f>
        <v/>
      </c>
      <c r="B399" s="25"/>
      <c r="C399" s="24"/>
      <c r="D399" s="24"/>
      <c r="E399" s="30" t="str">
        <f aca="false">IF($C399="","",$C399&amp;" ｜ "&amp;$D399)</f>
        <v/>
      </c>
      <c r="F399" s="25"/>
      <c r="G399" s="25"/>
      <c r="H399" s="25"/>
      <c r="I399" s="25"/>
      <c r="J399" s="25"/>
      <c r="K399" s="21"/>
      <c r="L399" s="21"/>
      <c r="M399" s="21"/>
      <c r="N399" s="25"/>
      <c r="O399" s="25"/>
      <c r="P399" s="32"/>
      <c r="Q399" s="25"/>
      <c r="R399" s="25"/>
      <c r="S399" s="33"/>
      <c r="T399" s="33"/>
      <c r="U399" s="33"/>
      <c r="V399" s="33"/>
      <c r="W399" s="25"/>
      <c r="X399" s="25"/>
      <c r="Y399" s="25"/>
      <c r="Z399" s="33"/>
      <c r="AA399" s="34" t="str">
        <f aca="true">IF($T399="","",IF($T399&lt;TODAY(),"已过期 "&amp;TEXT(TODAY()-$T399,"0")&amp;" 天",IF($T399-TODAY()&lt;=年检提醒天,"还剩 "&amp;TEXT($T399-TODAY(),"0")&amp;" 天","")))</f>
        <v/>
      </c>
      <c r="AB399" s="34" t="str">
        <f aca="true">IF(COUNT($U399:$V399)=0,"",IF(MIN($U399:$V399)&lt;TODAY(),"已过期 "&amp;TEXT(TODAY()-MIN($U399:$V399),"0")&amp;" 天",IF(MIN($U399:$V399)-TODAY()&lt;=年检提醒天,"还剩 "&amp;TEXT(MIN($U399:$V399)-TODAY(),"0")&amp;" 天","")))</f>
        <v/>
      </c>
      <c r="AC399" s="34" t="str">
        <f aca="true">IF($C399="","",IF(OR($Y399="安装免保",$Y399="技术免保",$Y399="质保期内"),IF($Z399="","▲免保没填到期日",IF($Z399&lt;TODAY(),"▲免保已到期 该转收费了",IF($Z399-TODAY()&lt;=合同提醒天,"免保还剩 "&amp;TEXT($Z399-TODAY(),"0")&amp;" 天","免保中"))),IF($Y399="暂停维保","暂停中 不计费",IF($Y399="已解约","已解约",IF(COUNTIF(合同键,$E399)=0,"▲还没建合同行","")))))</f>
        <v/>
      </c>
      <c r="AD399" s="24"/>
      <c r="AE399" s="35" t="str">
        <f aca="false">IF($C399="","",IF($D399="","★项目名称没填",IF(N($P399)&lt;=0,"★台量要填",IF(AND(OR($Y399="安装免保",$Y399="技术免保",$Y399="质保期内"),$Z399=""),"★免保到期日没填",IF(COUNTIF(合同键,$E399)=0,"★还没建合同行","OK")))))</f>
        <v/>
      </c>
    </row>
    <row r="400" customFormat="false" ht="15" hidden="false" customHeight="false" outlineLevel="0" collapsed="false">
      <c r="A400" s="29" t="str">
        <f aca="false">IF($C400="","",ROW()-4)</f>
        <v/>
      </c>
      <c r="B400" s="25"/>
      <c r="C400" s="24"/>
      <c r="D400" s="24"/>
      <c r="E400" s="30" t="str">
        <f aca="false">IF($C400="","",$C400&amp;" ｜ "&amp;$D400)</f>
        <v/>
      </c>
      <c r="F400" s="25"/>
      <c r="G400" s="25"/>
      <c r="H400" s="25"/>
      <c r="I400" s="25"/>
      <c r="J400" s="25"/>
      <c r="K400" s="21"/>
      <c r="L400" s="21"/>
      <c r="M400" s="21"/>
      <c r="N400" s="25"/>
      <c r="O400" s="25"/>
      <c r="P400" s="32"/>
      <c r="Q400" s="25"/>
      <c r="R400" s="25"/>
      <c r="S400" s="33"/>
      <c r="T400" s="33"/>
      <c r="U400" s="33"/>
      <c r="V400" s="33"/>
      <c r="W400" s="25"/>
      <c r="X400" s="25"/>
      <c r="Y400" s="25"/>
      <c r="Z400" s="33"/>
      <c r="AA400" s="34" t="str">
        <f aca="true">IF($T400="","",IF($T400&lt;TODAY(),"已过期 "&amp;TEXT(TODAY()-$T400,"0")&amp;" 天",IF($T400-TODAY()&lt;=年检提醒天,"还剩 "&amp;TEXT($T400-TODAY(),"0")&amp;" 天","")))</f>
        <v/>
      </c>
      <c r="AB400" s="34" t="str">
        <f aca="true">IF(COUNT($U400:$V400)=0,"",IF(MIN($U400:$V400)&lt;TODAY(),"已过期 "&amp;TEXT(TODAY()-MIN($U400:$V400),"0")&amp;" 天",IF(MIN($U400:$V400)-TODAY()&lt;=年检提醒天,"还剩 "&amp;TEXT(MIN($U400:$V400)-TODAY(),"0")&amp;" 天","")))</f>
        <v/>
      </c>
      <c r="AC400" s="34" t="str">
        <f aca="true">IF($C400="","",IF(OR($Y400="安装免保",$Y400="技术免保",$Y400="质保期内"),IF($Z400="","▲免保没填到期日",IF($Z400&lt;TODAY(),"▲免保已到期 该转收费了",IF($Z400-TODAY()&lt;=合同提醒天,"免保还剩 "&amp;TEXT($Z400-TODAY(),"0")&amp;" 天","免保中"))),IF($Y400="暂停维保","暂停中 不计费",IF($Y400="已解约","已解约",IF(COUNTIF(合同键,$E400)=0,"▲还没建合同行","")))))</f>
        <v/>
      </c>
      <c r="AD400" s="24"/>
      <c r="AE400" s="35" t="str">
        <f aca="false">IF($C400="","",IF($D400="","★项目名称没填",IF(N($P400)&lt;=0,"★台量要填",IF(AND(OR($Y400="安装免保",$Y400="技术免保",$Y400="质保期内"),$Z400=""),"★免保到期日没填",IF(COUNTIF(合同键,$E400)=0,"★还没建合同行","OK")))))</f>
        <v/>
      </c>
    </row>
    <row r="401" customFormat="false" ht="15" hidden="false" customHeight="false" outlineLevel="0" collapsed="false">
      <c r="A401" s="29" t="str">
        <f aca="false">IF($C401="","",ROW()-4)</f>
        <v/>
      </c>
      <c r="B401" s="25"/>
      <c r="C401" s="24"/>
      <c r="D401" s="24"/>
      <c r="E401" s="30" t="str">
        <f aca="false">IF($C401="","",$C401&amp;" ｜ "&amp;$D401)</f>
        <v/>
      </c>
      <c r="F401" s="25"/>
      <c r="G401" s="25"/>
      <c r="H401" s="25"/>
      <c r="I401" s="25"/>
      <c r="J401" s="25"/>
      <c r="K401" s="21"/>
      <c r="L401" s="21"/>
      <c r="M401" s="21"/>
      <c r="N401" s="25"/>
      <c r="O401" s="25"/>
      <c r="P401" s="32"/>
      <c r="Q401" s="25"/>
      <c r="R401" s="25"/>
      <c r="S401" s="33"/>
      <c r="T401" s="33"/>
      <c r="U401" s="33"/>
      <c r="V401" s="33"/>
      <c r="W401" s="25"/>
      <c r="X401" s="25"/>
      <c r="Y401" s="25"/>
      <c r="Z401" s="33"/>
      <c r="AA401" s="34" t="str">
        <f aca="true">IF($T401="","",IF($T401&lt;TODAY(),"已过期 "&amp;TEXT(TODAY()-$T401,"0")&amp;" 天",IF($T401-TODAY()&lt;=年检提醒天,"还剩 "&amp;TEXT($T401-TODAY(),"0")&amp;" 天","")))</f>
        <v/>
      </c>
      <c r="AB401" s="34" t="str">
        <f aca="true">IF(COUNT($U401:$V401)=0,"",IF(MIN($U401:$V401)&lt;TODAY(),"已过期 "&amp;TEXT(TODAY()-MIN($U401:$V401),"0")&amp;" 天",IF(MIN($U401:$V401)-TODAY()&lt;=年检提醒天,"还剩 "&amp;TEXT(MIN($U401:$V401)-TODAY(),"0")&amp;" 天","")))</f>
        <v/>
      </c>
      <c r="AC401" s="34" t="str">
        <f aca="true">IF($C401="","",IF(OR($Y401="安装免保",$Y401="技术免保",$Y401="质保期内"),IF($Z401="","▲免保没填到期日",IF($Z401&lt;TODAY(),"▲免保已到期 该转收费了",IF($Z401-TODAY()&lt;=合同提醒天,"免保还剩 "&amp;TEXT($Z401-TODAY(),"0")&amp;" 天","免保中"))),IF($Y401="暂停维保","暂停中 不计费",IF($Y401="已解约","已解约",IF(COUNTIF(合同键,$E401)=0,"▲还没建合同行","")))))</f>
        <v/>
      </c>
      <c r="AD401" s="24"/>
      <c r="AE401" s="35" t="str">
        <f aca="false">IF($C401="","",IF($D401="","★项目名称没填",IF(N($P401)&lt;=0,"★台量要填",IF(AND(OR($Y401="安装免保",$Y401="技术免保",$Y401="质保期内"),$Z401=""),"★免保到期日没填",IF(COUNTIF(合同键,$E401)=0,"★还没建合同行","OK")))))</f>
        <v/>
      </c>
    </row>
    <row r="402" customFormat="false" ht="15" hidden="false" customHeight="false" outlineLevel="0" collapsed="false">
      <c r="A402" s="29" t="str">
        <f aca="false">IF($C402="","",ROW()-4)</f>
        <v/>
      </c>
      <c r="B402" s="25"/>
      <c r="C402" s="24"/>
      <c r="D402" s="24"/>
      <c r="E402" s="30" t="str">
        <f aca="false">IF($C402="","",$C402&amp;" ｜ "&amp;$D402)</f>
        <v/>
      </c>
      <c r="F402" s="25"/>
      <c r="G402" s="25"/>
      <c r="H402" s="25"/>
      <c r="I402" s="25"/>
      <c r="J402" s="25"/>
      <c r="K402" s="21"/>
      <c r="L402" s="21"/>
      <c r="M402" s="21"/>
      <c r="N402" s="25"/>
      <c r="O402" s="25"/>
      <c r="P402" s="32"/>
      <c r="Q402" s="25"/>
      <c r="R402" s="25"/>
      <c r="S402" s="33"/>
      <c r="T402" s="33"/>
      <c r="U402" s="33"/>
      <c r="V402" s="33"/>
      <c r="W402" s="25"/>
      <c r="X402" s="25"/>
      <c r="Y402" s="25"/>
      <c r="Z402" s="33"/>
      <c r="AA402" s="34" t="str">
        <f aca="true">IF($T402="","",IF($T402&lt;TODAY(),"已过期 "&amp;TEXT(TODAY()-$T402,"0")&amp;" 天",IF($T402-TODAY()&lt;=年检提醒天,"还剩 "&amp;TEXT($T402-TODAY(),"0")&amp;" 天","")))</f>
        <v/>
      </c>
      <c r="AB402" s="34" t="str">
        <f aca="true">IF(COUNT($U402:$V402)=0,"",IF(MIN($U402:$V402)&lt;TODAY(),"已过期 "&amp;TEXT(TODAY()-MIN($U402:$V402),"0")&amp;" 天",IF(MIN($U402:$V402)-TODAY()&lt;=年检提醒天,"还剩 "&amp;TEXT(MIN($U402:$V402)-TODAY(),"0")&amp;" 天","")))</f>
        <v/>
      </c>
      <c r="AC402" s="34" t="str">
        <f aca="true">IF($C402="","",IF(OR($Y402="安装免保",$Y402="技术免保",$Y402="质保期内"),IF($Z402="","▲免保没填到期日",IF($Z402&lt;TODAY(),"▲免保已到期 该转收费了",IF($Z402-TODAY()&lt;=合同提醒天,"免保还剩 "&amp;TEXT($Z402-TODAY(),"0")&amp;" 天","免保中"))),IF($Y402="暂停维保","暂停中 不计费",IF($Y402="已解约","已解约",IF(COUNTIF(合同键,$E402)=0,"▲还没建合同行","")))))</f>
        <v/>
      </c>
      <c r="AD402" s="24"/>
      <c r="AE402" s="35" t="str">
        <f aca="false">IF($C402="","",IF($D402="","★项目名称没填",IF(N($P402)&lt;=0,"★台量要填",IF(AND(OR($Y402="安装免保",$Y402="技术免保",$Y402="质保期内"),$Z402=""),"★免保到期日没填",IF(COUNTIF(合同键,$E402)=0,"★还没建合同行","OK")))))</f>
        <v/>
      </c>
    </row>
    <row r="403" customFormat="false" ht="15" hidden="false" customHeight="false" outlineLevel="0" collapsed="false">
      <c r="A403" s="29" t="str">
        <f aca="false">IF($C403="","",ROW()-4)</f>
        <v/>
      </c>
      <c r="B403" s="25"/>
      <c r="C403" s="24"/>
      <c r="D403" s="24"/>
      <c r="E403" s="30" t="str">
        <f aca="false">IF($C403="","",$C403&amp;" ｜ "&amp;$D403)</f>
        <v/>
      </c>
      <c r="F403" s="25"/>
      <c r="G403" s="25"/>
      <c r="H403" s="25"/>
      <c r="I403" s="25"/>
      <c r="J403" s="25"/>
      <c r="K403" s="21"/>
      <c r="L403" s="21"/>
      <c r="M403" s="21"/>
      <c r="N403" s="25"/>
      <c r="O403" s="25"/>
      <c r="P403" s="32"/>
      <c r="Q403" s="25"/>
      <c r="R403" s="25"/>
      <c r="S403" s="33"/>
      <c r="T403" s="33"/>
      <c r="U403" s="33"/>
      <c r="V403" s="33"/>
      <c r="W403" s="25"/>
      <c r="X403" s="25"/>
      <c r="Y403" s="25"/>
      <c r="Z403" s="33"/>
      <c r="AA403" s="34" t="str">
        <f aca="true">IF($T403="","",IF($T403&lt;TODAY(),"已过期 "&amp;TEXT(TODAY()-$T403,"0")&amp;" 天",IF($T403-TODAY()&lt;=年检提醒天,"还剩 "&amp;TEXT($T403-TODAY(),"0")&amp;" 天","")))</f>
        <v/>
      </c>
      <c r="AB403" s="34" t="str">
        <f aca="true">IF(COUNT($U403:$V403)=0,"",IF(MIN($U403:$V403)&lt;TODAY(),"已过期 "&amp;TEXT(TODAY()-MIN($U403:$V403),"0")&amp;" 天",IF(MIN($U403:$V403)-TODAY()&lt;=年检提醒天,"还剩 "&amp;TEXT(MIN($U403:$V403)-TODAY(),"0")&amp;" 天","")))</f>
        <v/>
      </c>
      <c r="AC403" s="34" t="str">
        <f aca="true">IF($C403="","",IF(OR($Y403="安装免保",$Y403="技术免保",$Y403="质保期内"),IF($Z403="","▲免保没填到期日",IF($Z403&lt;TODAY(),"▲免保已到期 该转收费了",IF($Z403-TODAY()&lt;=合同提醒天,"免保还剩 "&amp;TEXT($Z403-TODAY(),"0")&amp;" 天","免保中"))),IF($Y403="暂停维保","暂停中 不计费",IF($Y403="已解约","已解约",IF(COUNTIF(合同键,$E403)=0,"▲还没建合同行","")))))</f>
        <v/>
      </c>
      <c r="AD403" s="24"/>
      <c r="AE403" s="35" t="str">
        <f aca="false">IF($C403="","",IF($D403="","★项目名称没填",IF(N($P403)&lt;=0,"★台量要填",IF(AND(OR($Y403="安装免保",$Y403="技术免保",$Y403="质保期内"),$Z403=""),"★免保到期日没填",IF(COUNTIF(合同键,$E403)=0,"★还没建合同行","OK")))))</f>
        <v/>
      </c>
    </row>
    <row r="404" customFormat="false" ht="15" hidden="false" customHeight="false" outlineLevel="0" collapsed="false">
      <c r="A404" s="29" t="str">
        <f aca="false">IF($C404="","",ROW()-4)</f>
        <v/>
      </c>
      <c r="B404" s="25"/>
      <c r="C404" s="24"/>
      <c r="D404" s="24"/>
      <c r="E404" s="30" t="str">
        <f aca="false">IF($C404="","",$C404&amp;" ｜ "&amp;$D404)</f>
        <v/>
      </c>
      <c r="F404" s="25"/>
      <c r="G404" s="25"/>
      <c r="H404" s="25"/>
      <c r="I404" s="25"/>
      <c r="J404" s="25"/>
      <c r="K404" s="21"/>
      <c r="L404" s="21"/>
      <c r="M404" s="21"/>
      <c r="N404" s="25"/>
      <c r="O404" s="25"/>
      <c r="P404" s="32"/>
      <c r="Q404" s="25"/>
      <c r="R404" s="25"/>
      <c r="S404" s="33"/>
      <c r="T404" s="33"/>
      <c r="U404" s="33"/>
      <c r="V404" s="33"/>
      <c r="W404" s="25"/>
      <c r="X404" s="25"/>
      <c r="Y404" s="25"/>
      <c r="Z404" s="33"/>
      <c r="AA404" s="34" t="str">
        <f aca="true">IF($T404="","",IF($T404&lt;TODAY(),"已过期 "&amp;TEXT(TODAY()-$T404,"0")&amp;" 天",IF($T404-TODAY()&lt;=年检提醒天,"还剩 "&amp;TEXT($T404-TODAY(),"0")&amp;" 天","")))</f>
        <v/>
      </c>
      <c r="AB404" s="34" t="str">
        <f aca="true">IF(COUNT($U404:$V404)=0,"",IF(MIN($U404:$V404)&lt;TODAY(),"已过期 "&amp;TEXT(TODAY()-MIN($U404:$V404),"0")&amp;" 天",IF(MIN($U404:$V404)-TODAY()&lt;=年检提醒天,"还剩 "&amp;TEXT(MIN($U404:$V404)-TODAY(),"0")&amp;" 天","")))</f>
        <v/>
      </c>
      <c r="AC404" s="34" t="str">
        <f aca="true">IF($C404="","",IF(OR($Y404="安装免保",$Y404="技术免保",$Y404="质保期内"),IF($Z404="","▲免保没填到期日",IF($Z404&lt;TODAY(),"▲免保已到期 该转收费了",IF($Z404-TODAY()&lt;=合同提醒天,"免保还剩 "&amp;TEXT($Z404-TODAY(),"0")&amp;" 天","免保中"))),IF($Y404="暂停维保","暂停中 不计费",IF($Y404="已解约","已解约",IF(COUNTIF(合同键,$E404)=0,"▲还没建合同行","")))))</f>
        <v/>
      </c>
      <c r="AD404" s="24"/>
      <c r="AE404" s="35" t="str">
        <f aca="false">IF($C404="","",IF($D404="","★项目名称没填",IF(N($P404)&lt;=0,"★台量要填",IF(AND(OR($Y404="安装免保",$Y404="技术免保",$Y404="质保期内"),$Z404=""),"★免保到期日没填",IF(COUNTIF(合同键,$E404)=0,"★还没建合同行","OK")))))</f>
        <v/>
      </c>
    </row>
    <row r="405" customFormat="false" ht="15" hidden="false" customHeight="false" outlineLevel="0" collapsed="false">
      <c r="A405" s="29" t="str">
        <f aca="false">IF($C405="","",ROW()-4)</f>
        <v/>
      </c>
      <c r="B405" s="25"/>
      <c r="C405" s="24"/>
      <c r="D405" s="24"/>
      <c r="E405" s="30" t="str">
        <f aca="false">IF($C405="","",$C405&amp;" ｜ "&amp;$D405)</f>
        <v/>
      </c>
      <c r="F405" s="25"/>
      <c r="G405" s="25"/>
      <c r="H405" s="25"/>
      <c r="I405" s="25"/>
      <c r="J405" s="25"/>
      <c r="K405" s="21"/>
      <c r="L405" s="21"/>
      <c r="M405" s="21"/>
      <c r="N405" s="25"/>
      <c r="O405" s="25"/>
      <c r="P405" s="32"/>
      <c r="Q405" s="25"/>
      <c r="R405" s="25"/>
      <c r="S405" s="33"/>
      <c r="T405" s="33"/>
      <c r="U405" s="33"/>
      <c r="V405" s="33"/>
      <c r="W405" s="25"/>
      <c r="X405" s="25"/>
      <c r="Y405" s="25"/>
      <c r="Z405" s="33"/>
      <c r="AA405" s="34" t="str">
        <f aca="true">IF($T405="","",IF($T405&lt;TODAY(),"已过期 "&amp;TEXT(TODAY()-$T405,"0")&amp;" 天",IF($T405-TODAY()&lt;=年检提醒天,"还剩 "&amp;TEXT($T405-TODAY(),"0")&amp;" 天","")))</f>
        <v/>
      </c>
      <c r="AB405" s="34" t="str">
        <f aca="true">IF(COUNT($U405:$V405)=0,"",IF(MIN($U405:$V405)&lt;TODAY(),"已过期 "&amp;TEXT(TODAY()-MIN($U405:$V405),"0")&amp;" 天",IF(MIN($U405:$V405)-TODAY()&lt;=年检提醒天,"还剩 "&amp;TEXT(MIN($U405:$V405)-TODAY(),"0")&amp;" 天","")))</f>
        <v/>
      </c>
      <c r="AC405" s="34" t="str">
        <f aca="true">IF($C405="","",IF(OR($Y405="安装免保",$Y405="技术免保",$Y405="质保期内"),IF($Z405="","▲免保没填到期日",IF($Z405&lt;TODAY(),"▲免保已到期 该转收费了",IF($Z405-TODAY()&lt;=合同提醒天,"免保还剩 "&amp;TEXT($Z405-TODAY(),"0")&amp;" 天","免保中"))),IF($Y405="暂停维保","暂停中 不计费",IF($Y405="已解约","已解约",IF(COUNTIF(合同键,$E405)=0,"▲还没建合同行","")))))</f>
        <v/>
      </c>
      <c r="AD405" s="24"/>
      <c r="AE405" s="35" t="str">
        <f aca="false">IF($C405="","",IF($D405="","★项目名称没填",IF(N($P405)&lt;=0,"★台量要填",IF(AND(OR($Y405="安装免保",$Y405="技术免保",$Y405="质保期内"),$Z405=""),"★免保到期日没填",IF(COUNTIF(合同键,$E405)=0,"★还没建合同行","OK")))))</f>
        <v/>
      </c>
    </row>
    <row r="406" customFormat="false" ht="15" hidden="false" customHeight="false" outlineLevel="0" collapsed="false">
      <c r="A406" s="29" t="str">
        <f aca="false">IF($C406="","",ROW()-4)</f>
        <v/>
      </c>
      <c r="B406" s="25"/>
      <c r="C406" s="24"/>
      <c r="D406" s="24"/>
      <c r="E406" s="30" t="str">
        <f aca="false">IF($C406="","",$C406&amp;" ｜ "&amp;$D406)</f>
        <v/>
      </c>
      <c r="F406" s="25"/>
      <c r="G406" s="25"/>
      <c r="H406" s="25"/>
      <c r="I406" s="25"/>
      <c r="J406" s="25"/>
      <c r="K406" s="21"/>
      <c r="L406" s="21"/>
      <c r="M406" s="21"/>
      <c r="N406" s="25"/>
      <c r="O406" s="25"/>
      <c r="P406" s="32"/>
      <c r="Q406" s="25"/>
      <c r="R406" s="25"/>
      <c r="S406" s="33"/>
      <c r="T406" s="33"/>
      <c r="U406" s="33"/>
      <c r="V406" s="33"/>
      <c r="W406" s="25"/>
      <c r="X406" s="25"/>
      <c r="Y406" s="25"/>
      <c r="Z406" s="33"/>
      <c r="AA406" s="34" t="str">
        <f aca="true">IF($T406="","",IF($T406&lt;TODAY(),"已过期 "&amp;TEXT(TODAY()-$T406,"0")&amp;" 天",IF($T406-TODAY()&lt;=年检提醒天,"还剩 "&amp;TEXT($T406-TODAY(),"0")&amp;" 天","")))</f>
        <v/>
      </c>
      <c r="AB406" s="34" t="str">
        <f aca="true">IF(COUNT($U406:$V406)=0,"",IF(MIN($U406:$V406)&lt;TODAY(),"已过期 "&amp;TEXT(TODAY()-MIN($U406:$V406),"0")&amp;" 天",IF(MIN($U406:$V406)-TODAY()&lt;=年检提醒天,"还剩 "&amp;TEXT(MIN($U406:$V406)-TODAY(),"0")&amp;" 天","")))</f>
        <v/>
      </c>
      <c r="AC406" s="34" t="str">
        <f aca="true">IF($C406="","",IF(OR($Y406="安装免保",$Y406="技术免保",$Y406="质保期内"),IF($Z406="","▲免保没填到期日",IF($Z406&lt;TODAY(),"▲免保已到期 该转收费了",IF($Z406-TODAY()&lt;=合同提醒天,"免保还剩 "&amp;TEXT($Z406-TODAY(),"0")&amp;" 天","免保中"))),IF($Y406="暂停维保","暂停中 不计费",IF($Y406="已解约","已解约",IF(COUNTIF(合同键,$E406)=0,"▲还没建合同行","")))))</f>
        <v/>
      </c>
      <c r="AD406" s="24"/>
      <c r="AE406" s="35" t="str">
        <f aca="false">IF($C406="","",IF($D406="","★项目名称没填",IF(N($P406)&lt;=0,"★台量要填",IF(AND(OR($Y406="安装免保",$Y406="技术免保",$Y406="质保期内"),$Z406=""),"★免保到期日没填",IF(COUNTIF(合同键,$E406)=0,"★还没建合同行","OK")))))</f>
        <v/>
      </c>
    </row>
    <row r="407" customFormat="false" ht="15" hidden="false" customHeight="false" outlineLevel="0" collapsed="false">
      <c r="A407" s="29" t="str">
        <f aca="false">IF($C407="","",ROW()-4)</f>
        <v/>
      </c>
      <c r="B407" s="25"/>
      <c r="C407" s="24"/>
      <c r="D407" s="24"/>
      <c r="E407" s="30" t="str">
        <f aca="false">IF($C407="","",$C407&amp;" ｜ "&amp;$D407)</f>
        <v/>
      </c>
      <c r="F407" s="25"/>
      <c r="G407" s="25"/>
      <c r="H407" s="25"/>
      <c r="I407" s="25"/>
      <c r="J407" s="25"/>
      <c r="K407" s="21"/>
      <c r="L407" s="21"/>
      <c r="M407" s="21"/>
      <c r="N407" s="25"/>
      <c r="O407" s="25"/>
      <c r="P407" s="32"/>
      <c r="Q407" s="25"/>
      <c r="R407" s="25"/>
      <c r="S407" s="33"/>
      <c r="T407" s="33"/>
      <c r="U407" s="33"/>
      <c r="V407" s="33"/>
      <c r="W407" s="25"/>
      <c r="X407" s="25"/>
      <c r="Y407" s="25"/>
      <c r="Z407" s="33"/>
      <c r="AA407" s="34" t="str">
        <f aca="true">IF($T407="","",IF($T407&lt;TODAY(),"已过期 "&amp;TEXT(TODAY()-$T407,"0")&amp;" 天",IF($T407-TODAY()&lt;=年检提醒天,"还剩 "&amp;TEXT($T407-TODAY(),"0")&amp;" 天","")))</f>
        <v/>
      </c>
      <c r="AB407" s="34" t="str">
        <f aca="true">IF(COUNT($U407:$V407)=0,"",IF(MIN($U407:$V407)&lt;TODAY(),"已过期 "&amp;TEXT(TODAY()-MIN($U407:$V407),"0")&amp;" 天",IF(MIN($U407:$V407)-TODAY()&lt;=年检提醒天,"还剩 "&amp;TEXT(MIN($U407:$V407)-TODAY(),"0")&amp;" 天","")))</f>
        <v/>
      </c>
      <c r="AC407" s="34" t="str">
        <f aca="true">IF($C407="","",IF(OR($Y407="安装免保",$Y407="技术免保",$Y407="质保期内"),IF($Z407="","▲免保没填到期日",IF($Z407&lt;TODAY(),"▲免保已到期 该转收费了",IF($Z407-TODAY()&lt;=合同提醒天,"免保还剩 "&amp;TEXT($Z407-TODAY(),"0")&amp;" 天","免保中"))),IF($Y407="暂停维保","暂停中 不计费",IF($Y407="已解约","已解约",IF(COUNTIF(合同键,$E407)=0,"▲还没建合同行","")))))</f>
        <v/>
      </c>
      <c r="AD407" s="24"/>
      <c r="AE407" s="35" t="str">
        <f aca="false">IF($C407="","",IF($D407="","★项目名称没填",IF(N($P407)&lt;=0,"★台量要填",IF(AND(OR($Y407="安装免保",$Y407="技术免保",$Y407="质保期内"),$Z407=""),"★免保到期日没填",IF(COUNTIF(合同键,$E407)=0,"★还没建合同行","OK")))))</f>
        <v/>
      </c>
    </row>
    <row r="408" customFormat="false" ht="15" hidden="false" customHeight="false" outlineLevel="0" collapsed="false">
      <c r="A408" s="29" t="str">
        <f aca="false">IF($C408="","",ROW()-4)</f>
        <v/>
      </c>
      <c r="B408" s="25"/>
      <c r="C408" s="24"/>
      <c r="D408" s="24"/>
      <c r="E408" s="30" t="str">
        <f aca="false">IF($C408="","",$C408&amp;" ｜ "&amp;$D408)</f>
        <v/>
      </c>
      <c r="F408" s="25"/>
      <c r="G408" s="25"/>
      <c r="H408" s="25"/>
      <c r="I408" s="25"/>
      <c r="J408" s="25"/>
      <c r="K408" s="21"/>
      <c r="L408" s="21"/>
      <c r="M408" s="21"/>
      <c r="N408" s="25"/>
      <c r="O408" s="25"/>
      <c r="P408" s="32"/>
      <c r="Q408" s="25"/>
      <c r="R408" s="25"/>
      <c r="S408" s="33"/>
      <c r="T408" s="33"/>
      <c r="U408" s="33"/>
      <c r="V408" s="33"/>
      <c r="W408" s="25"/>
      <c r="X408" s="25"/>
      <c r="Y408" s="25"/>
      <c r="Z408" s="33"/>
      <c r="AA408" s="34" t="str">
        <f aca="true">IF($T408="","",IF($T408&lt;TODAY(),"已过期 "&amp;TEXT(TODAY()-$T408,"0")&amp;" 天",IF($T408-TODAY()&lt;=年检提醒天,"还剩 "&amp;TEXT($T408-TODAY(),"0")&amp;" 天","")))</f>
        <v/>
      </c>
      <c r="AB408" s="34" t="str">
        <f aca="true">IF(COUNT($U408:$V408)=0,"",IF(MIN($U408:$V408)&lt;TODAY(),"已过期 "&amp;TEXT(TODAY()-MIN($U408:$V408),"0")&amp;" 天",IF(MIN($U408:$V408)-TODAY()&lt;=年检提醒天,"还剩 "&amp;TEXT(MIN($U408:$V408)-TODAY(),"0")&amp;" 天","")))</f>
        <v/>
      </c>
      <c r="AC408" s="34" t="str">
        <f aca="true">IF($C408="","",IF(OR($Y408="安装免保",$Y408="技术免保",$Y408="质保期内"),IF($Z408="","▲免保没填到期日",IF($Z408&lt;TODAY(),"▲免保已到期 该转收费了",IF($Z408-TODAY()&lt;=合同提醒天,"免保还剩 "&amp;TEXT($Z408-TODAY(),"0")&amp;" 天","免保中"))),IF($Y408="暂停维保","暂停中 不计费",IF($Y408="已解约","已解约",IF(COUNTIF(合同键,$E408)=0,"▲还没建合同行","")))))</f>
        <v/>
      </c>
      <c r="AD408" s="24"/>
      <c r="AE408" s="35" t="str">
        <f aca="false">IF($C408="","",IF($D408="","★项目名称没填",IF(N($P408)&lt;=0,"★台量要填",IF(AND(OR($Y408="安装免保",$Y408="技术免保",$Y408="质保期内"),$Z408=""),"★免保到期日没填",IF(COUNTIF(合同键,$E408)=0,"★还没建合同行","OK")))))</f>
        <v/>
      </c>
    </row>
    <row r="409" customFormat="false" ht="15" hidden="false" customHeight="false" outlineLevel="0" collapsed="false">
      <c r="A409" s="29" t="str">
        <f aca="false">IF($C409="","",ROW()-4)</f>
        <v/>
      </c>
      <c r="B409" s="25"/>
      <c r="C409" s="24"/>
      <c r="D409" s="24"/>
      <c r="E409" s="30" t="str">
        <f aca="false">IF($C409="","",$C409&amp;" ｜ "&amp;$D409)</f>
        <v/>
      </c>
      <c r="F409" s="25"/>
      <c r="G409" s="25"/>
      <c r="H409" s="25"/>
      <c r="I409" s="25"/>
      <c r="J409" s="25"/>
      <c r="K409" s="21"/>
      <c r="L409" s="21"/>
      <c r="M409" s="21"/>
      <c r="N409" s="25"/>
      <c r="O409" s="25"/>
      <c r="P409" s="32"/>
      <c r="Q409" s="25"/>
      <c r="R409" s="25"/>
      <c r="S409" s="33"/>
      <c r="T409" s="33"/>
      <c r="U409" s="33"/>
      <c r="V409" s="33"/>
      <c r="W409" s="25"/>
      <c r="X409" s="25"/>
      <c r="Y409" s="25"/>
      <c r="Z409" s="33"/>
      <c r="AA409" s="34" t="str">
        <f aca="true">IF($T409="","",IF($T409&lt;TODAY(),"已过期 "&amp;TEXT(TODAY()-$T409,"0")&amp;" 天",IF($T409-TODAY()&lt;=年检提醒天,"还剩 "&amp;TEXT($T409-TODAY(),"0")&amp;" 天","")))</f>
        <v/>
      </c>
      <c r="AB409" s="34" t="str">
        <f aca="true">IF(COUNT($U409:$V409)=0,"",IF(MIN($U409:$V409)&lt;TODAY(),"已过期 "&amp;TEXT(TODAY()-MIN($U409:$V409),"0")&amp;" 天",IF(MIN($U409:$V409)-TODAY()&lt;=年检提醒天,"还剩 "&amp;TEXT(MIN($U409:$V409)-TODAY(),"0")&amp;" 天","")))</f>
        <v/>
      </c>
      <c r="AC409" s="34" t="str">
        <f aca="true">IF($C409="","",IF(OR($Y409="安装免保",$Y409="技术免保",$Y409="质保期内"),IF($Z409="","▲免保没填到期日",IF($Z409&lt;TODAY(),"▲免保已到期 该转收费了",IF($Z409-TODAY()&lt;=合同提醒天,"免保还剩 "&amp;TEXT($Z409-TODAY(),"0")&amp;" 天","免保中"))),IF($Y409="暂停维保","暂停中 不计费",IF($Y409="已解约","已解约",IF(COUNTIF(合同键,$E409)=0,"▲还没建合同行","")))))</f>
        <v/>
      </c>
      <c r="AD409" s="24"/>
      <c r="AE409" s="35" t="str">
        <f aca="false">IF($C409="","",IF($D409="","★项目名称没填",IF(N($P409)&lt;=0,"★台量要填",IF(AND(OR($Y409="安装免保",$Y409="技术免保",$Y409="质保期内"),$Z409=""),"★免保到期日没填",IF(COUNTIF(合同键,$E409)=0,"★还没建合同行","OK")))))</f>
        <v/>
      </c>
    </row>
    <row r="410" customFormat="false" ht="15" hidden="false" customHeight="false" outlineLevel="0" collapsed="false">
      <c r="A410" s="29" t="str">
        <f aca="false">IF($C410="","",ROW()-4)</f>
        <v/>
      </c>
      <c r="B410" s="25"/>
      <c r="C410" s="24"/>
      <c r="D410" s="24"/>
      <c r="E410" s="30" t="str">
        <f aca="false">IF($C410="","",$C410&amp;" ｜ "&amp;$D410)</f>
        <v/>
      </c>
      <c r="F410" s="25"/>
      <c r="G410" s="25"/>
      <c r="H410" s="25"/>
      <c r="I410" s="25"/>
      <c r="J410" s="25"/>
      <c r="K410" s="21"/>
      <c r="L410" s="21"/>
      <c r="M410" s="21"/>
      <c r="N410" s="25"/>
      <c r="O410" s="25"/>
      <c r="P410" s="32"/>
      <c r="Q410" s="25"/>
      <c r="R410" s="25"/>
      <c r="S410" s="33"/>
      <c r="T410" s="33"/>
      <c r="U410" s="33"/>
      <c r="V410" s="33"/>
      <c r="W410" s="25"/>
      <c r="X410" s="25"/>
      <c r="Y410" s="25"/>
      <c r="Z410" s="33"/>
      <c r="AA410" s="34" t="str">
        <f aca="true">IF($T410="","",IF($T410&lt;TODAY(),"已过期 "&amp;TEXT(TODAY()-$T410,"0")&amp;" 天",IF($T410-TODAY()&lt;=年检提醒天,"还剩 "&amp;TEXT($T410-TODAY(),"0")&amp;" 天","")))</f>
        <v/>
      </c>
      <c r="AB410" s="34" t="str">
        <f aca="true">IF(COUNT($U410:$V410)=0,"",IF(MIN($U410:$V410)&lt;TODAY(),"已过期 "&amp;TEXT(TODAY()-MIN($U410:$V410),"0")&amp;" 天",IF(MIN($U410:$V410)-TODAY()&lt;=年检提醒天,"还剩 "&amp;TEXT(MIN($U410:$V410)-TODAY(),"0")&amp;" 天","")))</f>
        <v/>
      </c>
      <c r="AC410" s="34" t="str">
        <f aca="true">IF($C410="","",IF(OR($Y410="安装免保",$Y410="技术免保",$Y410="质保期内"),IF($Z410="","▲免保没填到期日",IF($Z410&lt;TODAY(),"▲免保已到期 该转收费了",IF($Z410-TODAY()&lt;=合同提醒天,"免保还剩 "&amp;TEXT($Z410-TODAY(),"0")&amp;" 天","免保中"))),IF($Y410="暂停维保","暂停中 不计费",IF($Y410="已解约","已解约",IF(COUNTIF(合同键,$E410)=0,"▲还没建合同行","")))))</f>
        <v/>
      </c>
      <c r="AD410" s="24"/>
      <c r="AE410" s="35" t="str">
        <f aca="false">IF($C410="","",IF($D410="","★项目名称没填",IF(N($P410)&lt;=0,"★台量要填",IF(AND(OR($Y410="安装免保",$Y410="技术免保",$Y410="质保期内"),$Z410=""),"★免保到期日没填",IF(COUNTIF(合同键,$E410)=0,"★还没建合同行","OK")))))</f>
        <v/>
      </c>
    </row>
    <row r="411" customFormat="false" ht="15" hidden="false" customHeight="false" outlineLevel="0" collapsed="false">
      <c r="A411" s="29" t="str">
        <f aca="false">IF($C411="","",ROW()-4)</f>
        <v/>
      </c>
      <c r="B411" s="25"/>
      <c r="C411" s="24"/>
      <c r="D411" s="24"/>
      <c r="E411" s="30" t="str">
        <f aca="false">IF($C411="","",$C411&amp;" ｜ "&amp;$D411)</f>
        <v/>
      </c>
      <c r="F411" s="25"/>
      <c r="G411" s="25"/>
      <c r="H411" s="25"/>
      <c r="I411" s="25"/>
      <c r="J411" s="25"/>
      <c r="K411" s="21"/>
      <c r="L411" s="21"/>
      <c r="M411" s="21"/>
      <c r="N411" s="25"/>
      <c r="O411" s="25"/>
      <c r="P411" s="32"/>
      <c r="Q411" s="25"/>
      <c r="R411" s="25"/>
      <c r="S411" s="33"/>
      <c r="T411" s="33"/>
      <c r="U411" s="33"/>
      <c r="V411" s="33"/>
      <c r="W411" s="25"/>
      <c r="X411" s="25"/>
      <c r="Y411" s="25"/>
      <c r="Z411" s="33"/>
      <c r="AA411" s="34" t="str">
        <f aca="true">IF($T411="","",IF($T411&lt;TODAY(),"已过期 "&amp;TEXT(TODAY()-$T411,"0")&amp;" 天",IF($T411-TODAY()&lt;=年检提醒天,"还剩 "&amp;TEXT($T411-TODAY(),"0")&amp;" 天","")))</f>
        <v/>
      </c>
      <c r="AB411" s="34" t="str">
        <f aca="true">IF(COUNT($U411:$V411)=0,"",IF(MIN($U411:$V411)&lt;TODAY(),"已过期 "&amp;TEXT(TODAY()-MIN($U411:$V411),"0")&amp;" 天",IF(MIN($U411:$V411)-TODAY()&lt;=年检提醒天,"还剩 "&amp;TEXT(MIN($U411:$V411)-TODAY(),"0")&amp;" 天","")))</f>
        <v/>
      </c>
      <c r="AC411" s="34" t="str">
        <f aca="true">IF($C411="","",IF(OR($Y411="安装免保",$Y411="技术免保",$Y411="质保期内"),IF($Z411="","▲免保没填到期日",IF($Z411&lt;TODAY(),"▲免保已到期 该转收费了",IF($Z411-TODAY()&lt;=合同提醒天,"免保还剩 "&amp;TEXT($Z411-TODAY(),"0")&amp;" 天","免保中"))),IF($Y411="暂停维保","暂停中 不计费",IF($Y411="已解约","已解约",IF(COUNTIF(合同键,$E411)=0,"▲还没建合同行","")))))</f>
        <v/>
      </c>
      <c r="AD411" s="24"/>
      <c r="AE411" s="35" t="str">
        <f aca="false">IF($C411="","",IF($D411="","★项目名称没填",IF(N($P411)&lt;=0,"★台量要填",IF(AND(OR($Y411="安装免保",$Y411="技术免保",$Y411="质保期内"),$Z411=""),"★免保到期日没填",IF(COUNTIF(合同键,$E411)=0,"★还没建合同行","OK")))))</f>
        <v/>
      </c>
    </row>
    <row r="412" customFormat="false" ht="15" hidden="false" customHeight="false" outlineLevel="0" collapsed="false">
      <c r="A412" s="29" t="str">
        <f aca="false">IF($C412="","",ROW()-4)</f>
        <v/>
      </c>
      <c r="B412" s="25"/>
      <c r="C412" s="24"/>
      <c r="D412" s="24"/>
      <c r="E412" s="30" t="str">
        <f aca="false">IF($C412="","",$C412&amp;" ｜ "&amp;$D412)</f>
        <v/>
      </c>
      <c r="F412" s="25"/>
      <c r="G412" s="25"/>
      <c r="H412" s="25"/>
      <c r="I412" s="25"/>
      <c r="J412" s="25"/>
      <c r="K412" s="21"/>
      <c r="L412" s="21"/>
      <c r="M412" s="21"/>
      <c r="N412" s="25"/>
      <c r="O412" s="25"/>
      <c r="P412" s="32"/>
      <c r="Q412" s="25"/>
      <c r="R412" s="25"/>
      <c r="S412" s="33"/>
      <c r="T412" s="33"/>
      <c r="U412" s="33"/>
      <c r="V412" s="33"/>
      <c r="W412" s="25"/>
      <c r="X412" s="25"/>
      <c r="Y412" s="25"/>
      <c r="Z412" s="33"/>
      <c r="AA412" s="34" t="str">
        <f aca="true">IF($T412="","",IF($T412&lt;TODAY(),"已过期 "&amp;TEXT(TODAY()-$T412,"0")&amp;" 天",IF($T412-TODAY()&lt;=年检提醒天,"还剩 "&amp;TEXT($T412-TODAY(),"0")&amp;" 天","")))</f>
        <v/>
      </c>
      <c r="AB412" s="34" t="str">
        <f aca="true">IF(COUNT($U412:$V412)=0,"",IF(MIN($U412:$V412)&lt;TODAY(),"已过期 "&amp;TEXT(TODAY()-MIN($U412:$V412),"0")&amp;" 天",IF(MIN($U412:$V412)-TODAY()&lt;=年检提醒天,"还剩 "&amp;TEXT(MIN($U412:$V412)-TODAY(),"0")&amp;" 天","")))</f>
        <v/>
      </c>
      <c r="AC412" s="34" t="str">
        <f aca="true">IF($C412="","",IF(OR($Y412="安装免保",$Y412="技术免保",$Y412="质保期内"),IF($Z412="","▲免保没填到期日",IF($Z412&lt;TODAY(),"▲免保已到期 该转收费了",IF($Z412-TODAY()&lt;=合同提醒天,"免保还剩 "&amp;TEXT($Z412-TODAY(),"0")&amp;" 天","免保中"))),IF($Y412="暂停维保","暂停中 不计费",IF($Y412="已解约","已解约",IF(COUNTIF(合同键,$E412)=0,"▲还没建合同行","")))))</f>
        <v/>
      </c>
      <c r="AD412" s="24"/>
      <c r="AE412" s="35" t="str">
        <f aca="false">IF($C412="","",IF($D412="","★项目名称没填",IF(N($P412)&lt;=0,"★台量要填",IF(AND(OR($Y412="安装免保",$Y412="技术免保",$Y412="质保期内"),$Z412=""),"★免保到期日没填",IF(COUNTIF(合同键,$E412)=0,"★还没建合同行","OK")))))</f>
        <v/>
      </c>
    </row>
    <row r="413" customFormat="false" ht="15" hidden="false" customHeight="false" outlineLevel="0" collapsed="false">
      <c r="A413" s="29" t="str">
        <f aca="false">IF($C413="","",ROW()-4)</f>
        <v/>
      </c>
      <c r="B413" s="25"/>
      <c r="C413" s="24"/>
      <c r="D413" s="24"/>
      <c r="E413" s="30" t="str">
        <f aca="false">IF($C413="","",$C413&amp;" ｜ "&amp;$D413)</f>
        <v/>
      </c>
      <c r="F413" s="25"/>
      <c r="G413" s="25"/>
      <c r="H413" s="25"/>
      <c r="I413" s="25"/>
      <c r="J413" s="25"/>
      <c r="K413" s="21"/>
      <c r="L413" s="21"/>
      <c r="M413" s="21"/>
      <c r="N413" s="25"/>
      <c r="O413" s="25"/>
      <c r="P413" s="32"/>
      <c r="Q413" s="25"/>
      <c r="R413" s="25"/>
      <c r="S413" s="33"/>
      <c r="T413" s="33"/>
      <c r="U413" s="33"/>
      <c r="V413" s="33"/>
      <c r="W413" s="25"/>
      <c r="X413" s="25"/>
      <c r="Y413" s="25"/>
      <c r="Z413" s="33"/>
      <c r="AA413" s="34" t="str">
        <f aca="true">IF($T413="","",IF($T413&lt;TODAY(),"已过期 "&amp;TEXT(TODAY()-$T413,"0")&amp;" 天",IF($T413-TODAY()&lt;=年检提醒天,"还剩 "&amp;TEXT($T413-TODAY(),"0")&amp;" 天","")))</f>
        <v/>
      </c>
      <c r="AB413" s="34" t="str">
        <f aca="true">IF(COUNT($U413:$V413)=0,"",IF(MIN($U413:$V413)&lt;TODAY(),"已过期 "&amp;TEXT(TODAY()-MIN($U413:$V413),"0")&amp;" 天",IF(MIN($U413:$V413)-TODAY()&lt;=年检提醒天,"还剩 "&amp;TEXT(MIN($U413:$V413)-TODAY(),"0")&amp;" 天","")))</f>
        <v/>
      </c>
      <c r="AC413" s="34" t="str">
        <f aca="true">IF($C413="","",IF(OR($Y413="安装免保",$Y413="技术免保",$Y413="质保期内"),IF($Z413="","▲免保没填到期日",IF($Z413&lt;TODAY(),"▲免保已到期 该转收费了",IF($Z413-TODAY()&lt;=合同提醒天,"免保还剩 "&amp;TEXT($Z413-TODAY(),"0")&amp;" 天","免保中"))),IF($Y413="暂停维保","暂停中 不计费",IF($Y413="已解约","已解约",IF(COUNTIF(合同键,$E413)=0,"▲还没建合同行","")))))</f>
        <v/>
      </c>
      <c r="AD413" s="24"/>
      <c r="AE413" s="35" t="str">
        <f aca="false">IF($C413="","",IF($D413="","★项目名称没填",IF(N($P413)&lt;=0,"★台量要填",IF(AND(OR($Y413="安装免保",$Y413="技术免保",$Y413="质保期内"),$Z413=""),"★免保到期日没填",IF(COUNTIF(合同键,$E413)=0,"★还没建合同行","OK")))))</f>
        <v/>
      </c>
    </row>
    <row r="414" customFormat="false" ht="15" hidden="false" customHeight="false" outlineLevel="0" collapsed="false">
      <c r="A414" s="29" t="str">
        <f aca="false">IF($C414="","",ROW()-4)</f>
        <v/>
      </c>
      <c r="B414" s="25"/>
      <c r="C414" s="24"/>
      <c r="D414" s="24"/>
      <c r="E414" s="30" t="str">
        <f aca="false">IF($C414="","",$C414&amp;" ｜ "&amp;$D414)</f>
        <v/>
      </c>
      <c r="F414" s="25"/>
      <c r="G414" s="25"/>
      <c r="H414" s="25"/>
      <c r="I414" s="25"/>
      <c r="J414" s="25"/>
      <c r="K414" s="21"/>
      <c r="L414" s="21"/>
      <c r="M414" s="21"/>
      <c r="N414" s="25"/>
      <c r="O414" s="25"/>
      <c r="P414" s="32"/>
      <c r="Q414" s="25"/>
      <c r="R414" s="25"/>
      <c r="S414" s="33"/>
      <c r="T414" s="33"/>
      <c r="U414" s="33"/>
      <c r="V414" s="33"/>
      <c r="W414" s="25"/>
      <c r="X414" s="25"/>
      <c r="Y414" s="25"/>
      <c r="Z414" s="33"/>
      <c r="AA414" s="34" t="str">
        <f aca="true">IF($T414="","",IF($T414&lt;TODAY(),"已过期 "&amp;TEXT(TODAY()-$T414,"0")&amp;" 天",IF($T414-TODAY()&lt;=年检提醒天,"还剩 "&amp;TEXT($T414-TODAY(),"0")&amp;" 天","")))</f>
        <v/>
      </c>
      <c r="AB414" s="34" t="str">
        <f aca="true">IF(COUNT($U414:$V414)=0,"",IF(MIN($U414:$V414)&lt;TODAY(),"已过期 "&amp;TEXT(TODAY()-MIN($U414:$V414),"0")&amp;" 天",IF(MIN($U414:$V414)-TODAY()&lt;=年检提醒天,"还剩 "&amp;TEXT(MIN($U414:$V414)-TODAY(),"0")&amp;" 天","")))</f>
        <v/>
      </c>
      <c r="AC414" s="34" t="str">
        <f aca="true">IF($C414="","",IF(OR($Y414="安装免保",$Y414="技术免保",$Y414="质保期内"),IF($Z414="","▲免保没填到期日",IF($Z414&lt;TODAY(),"▲免保已到期 该转收费了",IF($Z414-TODAY()&lt;=合同提醒天,"免保还剩 "&amp;TEXT($Z414-TODAY(),"0")&amp;" 天","免保中"))),IF($Y414="暂停维保","暂停中 不计费",IF($Y414="已解约","已解约",IF(COUNTIF(合同键,$E414)=0,"▲还没建合同行","")))))</f>
        <v/>
      </c>
      <c r="AD414" s="24"/>
      <c r="AE414" s="35" t="str">
        <f aca="false">IF($C414="","",IF($D414="","★项目名称没填",IF(N($P414)&lt;=0,"★台量要填",IF(AND(OR($Y414="安装免保",$Y414="技术免保",$Y414="质保期内"),$Z414=""),"★免保到期日没填",IF(COUNTIF(合同键,$E414)=0,"★还没建合同行","OK")))))</f>
        <v/>
      </c>
    </row>
    <row r="415" customFormat="false" ht="15" hidden="false" customHeight="false" outlineLevel="0" collapsed="false">
      <c r="A415" s="29" t="str">
        <f aca="false">IF($C415="","",ROW()-4)</f>
        <v/>
      </c>
      <c r="B415" s="25"/>
      <c r="C415" s="24"/>
      <c r="D415" s="24"/>
      <c r="E415" s="30" t="str">
        <f aca="false">IF($C415="","",$C415&amp;" ｜ "&amp;$D415)</f>
        <v/>
      </c>
      <c r="F415" s="25"/>
      <c r="G415" s="25"/>
      <c r="H415" s="25"/>
      <c r="I415" s="25"/>
      <c r="J415" s="25"/>
      <c r="K415" s="21"/>
      <c r="L415" s="21"/>
      <c r="M415" s="21"/>
      <c r="N415" s="25"/>
      <c r="O415" s="25"/>
      <c r="P415" s="32"/>
      <c r="Q415" s="25"/>
      <c r="R415" s="25"/>
      <c r="S415" s="33"/>
      <c r="T415" s="33"/>
      <c r="U415" s="33"/>
      <c r="V415" s="33"/>
      <c r="W415" s="25"/>
      <c r="X415" s="25"/>
      <c r="Y415" s="25"/>
      <c r="Z415" s="33"/>
      <c r="AA415" s="34" t="str">
        <f aca="true">IF($T415="","",IF($T415&lt;TODAY(),"已过期 "&amp;TEXT(TODAY()-$T415,"0")&amp;" 天",IF($T415-TODAY()&lt;=年检提醒天,"还剩 "&amp;TEXT($T415-TODAY(),"0")&amp;" 天","")))</f>
        <v/>
      </c>
      <c r="AB415" s="34" t="str">
        <f aca="true">IF(COUNT($U415:$V415)=0,"",IF(MIN($U415:$V415)&lt;TODAY(),"已过期 "&amp;TEXT(TODAY()-MIN($U415:$V415),"0")&amp;" 天",IF(MIN($U415:$V415)-TODAY()&lt;=年检提醒天,"还剩 "&amp;TEXT(MIN($U415:$V415)-TODAY(),"0")&amp;" 天","")))</f>
        <v/>
      </c>
      <c r="AC415" s="34" t="str">
        <f aca="true">IF($C415="","",IF(OR($Y415="安装免保",$Y415="技术免保",$Y415="质保期内"),IF($Z415="","▲免保没填到期日",IF($Z415&lt;TODAY(),"▲免保已到期 该转收费了",IF($Z415-TODAY()&lt;=合同提醒天,"免保还剩 "&amp;TEXT($Z415-TODAY(),"0")&amp;" 天","免保中"))),IF($Y415="暂停维保","暂停中 不计费",IF($Y415="已解约","已解约",IF(COUNTIF(合同键,$E415)=0,"▲还没建合同行","")))))</f>
        <v/>
      </c>
      <c r="AD415" s="24"/>
      <c r="AE415" s="35" t="str">
        <f aca="false">IF($C415="","",IF($D415="","★项目名称没填",IF(N($P415)&lt;=0,"★台量要填",IF(AND(OR($Y415="安装免保",$Y415="技术免保",$Y415="质保期内"),$Z415=""),"★免保到期日没填",IF(COUNTIF(合同键,$E415)=0,"★还没建合同行","OK")))))</f>
        <v/>
      </c>
    </row>
    <row r="416" customFormat="false" ht="15" hidden="false" customHeight="false" outlineLevel="0" collapsed="false">
      <c r="A416" s="29" t="str">
        <f aca="false">IF($C416="","",ROW()-4)</f>
        <v/>
      </c>
      <c r="B416" s="25"/>
      <c r="C416" s="24"/>
      <c r="D416" s="24"/>
      <c r="E416" s="30" t="str">
        <f aca="false">IF($C416="","",$C416&amp;" ｜ "&amp;$D416)</f>
        <v/>
      </c>
      <c r="F416" s="25"/>
      <c r="G416" s="25"/>
      <c r="H416" s="25"/>
      <c r="I416" s="25"/>
      <c r="J416" s="25"/>
      <c r="K416" s="21"/>
      <c r="L416" s="21"/>
      <c r="M416" s="21"/>
      <c r="N416" s="25"/>
      <c r="O416" s="25"/>
      <c r="P416" s="32"/>
      <c r="Q416" s="25"/>
      <c r="R416" s="25"/>
      <c r="S416" s="33"/>
      <c r="T416" s="33"/>
      <c r="U416" s="33"/>
      <c r="V416" s="33"/>
      <c r="W416" s="25"/>
      <c r="X416" s="25"/>
      <c r="Y416" s="25"/>
      <c r="Z416" s="33"/>
      <c r="AA416" s="34" t="str">
        <f aca="true">IF($T416="","",IF($T416&lt;TODAY(),"已过期 "&amp;TEXT(TODAY()-$T416,"0")&amp;" 天",IF($T416-TODAY()&lt;=年检提醒天,"还剩 "&amp;TEXT($T416-TODAY(),"0")&amp;" 天","")))</f>
        <v/>
      </c>
      <c r="AB416" s="34" t="str">
        <f aca="true">IF(COUNT($U416:$V416)=0,"",IF(MIN($U416:$V416)&lt;TODAY(),"已过期 "&amp;TEXT(TODAY()-MIN($U416:$V416),"0")&amp;" 天",IF(MIN($U416:$V416)-TODAY()&lt;=年检提醒天,"还剩 "&amp;TEXT(MIN($U416:$V416)-TODAY(),"0")&amp;" 天","")))</f>
        <v/>
      </c>
      <c r="AC416" s="34" t="str">
        <f aca="true">IF($C416="","",IF(OR($Y416="安装免保",$Y416="技术免保",$Y416="质保期内"),IF($Z416="","▲免保没填到期日",IF($Z416&lt;TODAY(),"▲免保已到期 该转收费了",IF($Z416-TODAY()&lt;=合同提醒天,"免保还剩 "&amp;TEXT($Z416-TODAY(),"0")&amp;" 天","免保中"))),IF($Y416="暂停维保","暂停中 不计费",IF($Y416="已解约","已解约",IF(COUNTIF(合同键,$E416)=0,"▲还没建合同行","")))))</f>
        <v/>
      </c>
      <c r="AD416" s="24"/>
      <c r="AE416" s="35" t="str">
        <f aca="false">IF($C416="","",IF($D416="","★项目名称没填",IF(N($P416)&lt;=0,"★台量要填",IF(AND(OR($Y416="安装免保",$Y416="技术免保",$Y416="质保期内"),$Z416=""),"★免保到期日没填",IF(COUNTIF(合同键,$E416)=0,"★还没建合同行","OK")))))</f>
        <v/>
      </c>
    </row>
    <row r="417" customFormat="false" ht="15" hidden="false" customHeight="false" outlineLevel="0" collapsed="false">
      <c r="A417" s="29" t="str">
        <f aca="false">IF($C417="","",ROW()-4)</f>
        <v/>
      </c>
      <c r="B417" s="25"/>
      <c r="C417" s="24"/>
      <c r="D417" s="24"/>
      <c r="E417" s="30" t="str">
        <f aca="false">IF($C417="","",$C417&amp;" ｜ "&amp;$D417)</f>
        <v/>
      </c>
      <c r="F417" s="25"/>
      <c r="G417" s="25"/>
      <c r="H417" s="25"/>
      <c r="I417" s="25"/>
      <c r="J417" s="25"/>
      <c r="K417" s="21"/>
      <c r="L417" s="21"/>
      <c r="M417" s="21"/>
      <c r="N417" s="25"/>
      <c r="O417" s="25"/>
      <c r="P417" s="32"/>
      <c r="Q417" s="25"/>
      <c r="R417" s="25"/>
      <c r="S417" s="33"/>
      <c r="T417" s="33"/>
      <c r="U417" s="33"/>
      <c r="V417" s="33"/>
      <c r="W417" s="25"/>
      <c r="X417" s="25"/>
      <c r="Y417" s="25"/>
      <c r="Z417" s="33"/>
      <c r="AA417" s="34" t="str">
        <f aca="true">IF($T417="","",IF($T417&lt;TODAY(),"已过期 "&amp;TEXT(TODAY()-$T417,"0")&amp;" 天",IF($T417-TODAY()&lt;=年检提醒天,"还剩 "&amp;TEXT($T417-TODAY(),"0")&amp;" 天","")))</f>
        <v/>
      </c>
      <c r="AB417" s="34" t="str">
        <f aca="true">IF(COUNT($U417:$V417)=0,"",IF(MIN($U417:$V417)&lt;TODAY(),"已过期 "&amp;TEXT(TODAY()-MIN($U417:$V417),"0")&amp;" 天",IF(MIN($U417:$V417)-TODAY()&lt;=年检提醒天,"还剩 "&amp;TEXT(MIN($U417:$V417)-TODAY(),"0")&amp;" 天","")))</f>
        <v/>
      </c>
      <c r="AC417" s="34" t="str">
        <f aca="true">IF($C417="","",IF(OR($Y417="安装免保",$Y417="技术免保",$Y417="质保期内"),IF($Z417="","▲免保没填到期日",IF($Z417&lt;TODAY(),"▲免保已到期 该转收费了",IF($Z417-TODAY()&lt;=合同提醒天,"免保还剩 "&amp;TEXT($Z417-TODAY(),"0")&amp;" 天","免保中"))),IF($Y417="暂停维保","暂停中 不计费",IF($Y417="已解约","已解约",IF(COUNTIF(合同键,$E417)=0,"▲还没建合同行","")))))</f>
        <v/>
      </c>
      <c r="AD417" s="24"/>
      <c r="AE417" s="35" t="str">
        <f aca="false">IF($C417="","",IF($D417="","★项目名称没填",IF(N($P417)&lt;=0,"★台量要填",IF(AND(OR($Y417="安装免保",$Y417="技术免保",$Y417="质保期内"),$Z417=""),"★免保到期日没填",IF(COUNTIF(合同键,$E417)=0,"★还没建合同行","OK")))))</f>
        <v/>
      </c>
    </row>
    <row r="418" customFormat="false" ht="15" hidden="false" customHeight="false" outlineLevel="0" collapsed="false">
      <c r="A418" s="29" t="str">
        <f aca="false">IF($C418="","",ROW()-4)</f>
        <v/>
      </c>
      <c r="B418" s="25"/>
      <c r="C418" s="24"/>
      <c r="D418" s="24"/>
      <c r="E418" s="30" t="str">
        <f aca="false">IF($C418="","",$C418&amp;" ｜ "&amp;$D418)</f>
        <v/>
      </c>
      <c r="F418" s="25"/>
      <c r="G418" s="25"/>
      <c r="H418" s="25"/>
      <c r="I418" s="25"/>
      <c r="J418" s="25"/>
      <c r="K418" s="21"/>
      <c r="L418" s="21"/>
      <c r="M418" s="21"/>
      <c r="N418" s="25"/>
      <c r="O418" s="25"/>
      <c r="P418" s="32"/>
      <c r="Q418" s="25"/>
      <c r="R418" s="25"/>
      <c r="S418" s="33"/>
      <c r="T418" s="33"/>
      <c r="U418" s="33"/>
      <c r="V418" s="33"/>
      <c r="W418" s="25"/>
      <c r="X418" s="25"/>
      <c r="Y418" s="25"/>
      <c r="Z418" s="33"/>
      <c r="AA418" s="34" t="str">
        <f aca="true">IF($T418="","",IF($T418&lt;TODAY(),"已过期 "&amp;TEXT(TODAY()-$T418,"0")&amp;" 天",IF($T418-TODAY()&lt;=年检提醒天,"还剩 "&amp;TEXT($T418-TODAY(),"0")&amp;" 天","")))</f>
        <v/>
      </c>
      <c r="AB418" s="34" t="str">
        <f aca="true">IF(COUNT($U418:$V418)=0,"",IF(MIN($U418:$V418)&lt;TODAY(),"已过期 "&amp;TEXT(TODAY()-MIN($U418:$V418),"0")&amp;" 天",IF(MIN($U418:$V418)-TODAY()&lt;=年检提醒天,"还剩 "&amp;TEXT(MIN($U418:$V418)-TODAY(),"0")&amp;" 天","")))</f>
        <v/>
      </c>
      <c r="AC418" s="34" t="str">
        <f aca="true">IF($C418="","",IF(OR($Y418="安装免保",$Y418="技术免保",$Y418="质保期内"),IF($Z418="","▲免保没填到期日",IF($Z418&lt;TODAY(),"▲免保已到期 该转收费了",IF($Z418-TODAY()&lt;=合同提醒天,"免保还剩 "&amp;TEXT($Z418-TODAY(),"0")&amp;" 天","免保中"))),IF($Y418="暂停维保","暂停中 不计费",IF($Y418="已解约","已解约",IF(COUNTIF(合同键,$E418)=0,"▲还没建合同行","")))))</f>
        <v/>
      </c>
      <c r="AD418" s="24"/>
      <c r="AE418" s="35" t="str">
        <f aca="false">IF($C418="","",IF($D418="","★项目名称没填",IF(N($P418)&lt;=0,"★台量要填",IF(AND(OR($Y418="安装免保",$Y418="技术免保",$Y418="质保期内"),$Z418=""),"★免保到期日没填",IF(COUNTIF(合同键,$E418)=0,"★还没建合同行","OK")))))</f>
        <v/>
      </c>
    </row>
    <row r="419" customFormat="false" ht="15" hidden="false" customHeight="false" outlineLevel="0" collapsed="false">
      <c r="A419" s="29" t="str">
        <f aca="false">IF($C419="","",ROW()-4)</f>
        <v/>
      </c>
      <c r="B419" s="25"/>
      <c r="C419" s="24"/>
      <c r="D419" s="24"/>
      <c r="E419" s="30" t="str">
        <f aca="false">IF($C419="","",$C419&amp;" ｜ "&amp;$D419)</f>
        <v/>
      </c>
      <c r="F419" s="25"/>
      <c r="G419" s="25"/>
      <c r="H419" s="25"/>
      <c r="I419" s="25"/>
      <c r="J419" s="25"/>
      <c r="K419" s="21"/>
      <c r="L419" s="21"/>
      <c r="M419" s="21"/>
      <c r="N419" s="25"/>
      <c r="O419" s="25"/>
      <c r="P419" s="32"/>
      <c r="Q419" s="25"/>
      <c r="R419" s="25"/>
      <c r="S419" s="33"/>
      <c r="T419" s="33"/>
      <c r="U419" s="33"/>
      <c r="V419" s="33"/>
      <c r="W419" s="25"/>
      <c r="X419" s="25"/>
      <c r="Y419" s="25"/>
      <c r="Z419" s="33"/>
      <c r="AA419" s="34" t="str">
        <f aca="true">IF($T419="","",IF($T419&lt;TODAY(),"已过期 "&amp;TEXT(TODAY()-$T419,"0")&amp;" 天",IF($T419-TODAY()&lt;=年检提醒天,"还剩 "&amp;TEXT($T419-TODAY(),"0")&amp;" 天","")))</f>
        <v/>
      </c>
      <c r="AB419" s="34" t="str">
        <f aca="true">IF(COUNT($U419:$V419)=0,"",IF(MIN($U419:$V419)&lt;TODAY(),"已过期 "&amp;TEXT(TODAY()-MIN($U419:$V419),"0")&amp;" 天",IF(MIN($U419:$V419)-TODAY()&lt;=年检提醒天,"还剩 "&amp;TEXT(MIN($U419:$V419)-TODAY(),"0")&amp;" 天","")))</f>
        <v/>
      </c>
      <c r="AC419" s="34" t="str">
        <f aca="true">IF($C419="","",IF(OR($Y419="安装免保",$Y419="技术免保",$Y419="质保期内"),IF($Z419="","▲免保没填到期日",IF($Z419&lt;TODAY(),"▲免保已到期 该转收费了",IF($Z419-TODAY()&lt;=合同提醒天,"免保还剩 "&amp;TEXT($Z419-TODAY(),"0")&amp;" 天","免保中"))),IF($Y419="暂停维保","暂停中 不计费",IF($Y419="已解约","已解约",IF(COUNTIF(合同键,$E419)=0,"▲还没建合同行","")))))</f>
        <v/>
      </c>
      <c r="AD419" s="24"/>
      <c r="AE419" s="35" t="str">
        <f aca="false">IF($C419="","",IF($D419="","★项目名称没填",IF(N($P419)&lt;=0,"★台量要填",IF(AND(OR($Y419="安装免保",$Y419="技术免保",$Y419="质保期内"),$Z419=""),"★免保到期日没填",IF(COUNTIF(合同键,$E419)=0,"★还没建合同行","OK")))))</f>
        <v/>
      </c>
    </row>
    <row r="420" customFormat="false" ht="15" hidden="false" customHeight="false" outlineLevel="0" collapsed="false">
      <c r="A420" s="29" t="str">
        <f aca="false">IF($C420="","",ROW()-4)</f>
        <v/>
      </c>
      <c r="B420" s="25"/>
      <c r="C420" s="24"/>
      <c r="D420" s="24"/>
      <c r="E420" s="30" t="str">
        <f aca="false">IF($C420="","",$C420&amp;" ｜ "&amp;$D420)</f>
        <v/>
      </c>
      <c r="F420" s="25"/>
      <c r="G420" s="25"/>
      <c r="H420" s="25"/>
      <c r="I420" s="25"/>
      <c r="J420" s="25"/>
      <c r="K420" s="21"/>
      <c r="L420" s="21"/>
      <c r="M420" s="21"/>
      <c r="N420" s="25"/>
      <c r="O420" s="25"/>
      <c r="P420" s="32"/>
      <c r="Q420" s="25"/>
      <c r="R420" s="25"/>
      <c r="S420" s="33"/>
      <c r="T420" s="33"/>
      <c r="U420" s="33"/>
      <c r="V420" s="33"/>
      <c r="W420" s="25"/>
      <c r="X420" s="25"/>
      <c r="Y420" s="25"/>
      <c r="Z420" s="33"/>
      <c r="AA420" s="34" t="str">
        <f aca="true">IF($T420="","",IF($T420&lt;TODAY(),"已过期 "&amp;TEXT(TODAY()-$T420,"0")&amp;" 天",IF($T420-TODAY()&lt;=年检提醒天,"还剩 "&amp;TEXT($T420-TODAY(),"0")&amp;" 天","")))</f>
        <v/>
      </c>
      <c r="AB420" s="34" t="str">
        <f aca="true">IF(COUNT($U420:$V420)=0,"",IF(MIN($U420:$V420)&lt;TODAY(),"已过期 "&amp;TEXT(TODAY()-MIN($U420:$V420),"0")&amp;" 天",IF(MIN($U420:$V420)-TODAY()&lt;=年检提醒天,"还剩 "&amp;TEXT(MIN($U420:$V420)-TODAY(),"0")&amp;" 天","")))</f>
        <v/>
      </c>
      <c r="AC420" s="34" t="str">
        <f aca="true">IF($C420="","",IF(OR($Y420="安装免保",$Y420="技术免保",$Y420="质保期内"),IF($Z420="","▲免保没填到期日",IF($Z420&lt;TODAY(),"▲免保已到期 该转收费了",IF($Z420-TODAY()&lt;=合同提醒天,"免保还剩 "&amp;TEXT($Z420-TODAY(),"0")&amp;" 天","免保中"))),IF($Y420="暂停维保","暂停中 不计费",IF($Y420="已解约","已解约",IF(COUNTIF(合同键,$E420)=0,"▲还没建合同行","")))))</f>
        <v/>
      </c>
      <c r="AD420" s="24"/>
      <c r="AE420" s="35" t="str">
        <f aca="false">IF($C420="","",IF($D420="","★项目名称没填",IF(N($P420)&lt;=0,"★台量要填",IF(AND(OR($Y420="安装免保",$Y420="技术免保",$Y420="质保期内"),$Z420=""),"★免保到期日没填",IF(COUNTIF(合同键,$E420)=0,"★还没建合同行","OK")))))</f>
        <v/>
      </c>
    </row>
    <row r="421" customFormat="false" ht="15" hidden="false" customHeight="false" outlineLevel="0" collapsed="false">
      <c r="A421" s="29" t="str">
        <f aca="false">IF($C421="","",ROW()-4)</f>
        <v/>
      </c>
      <c r="B421" s="25"/>
      <c r="C421" s="24"/>
      <c r="D421" s="24"/>
      <c r="E421" s="30" t="str">
        <f aca="false">IF($C421="","",$C421&amp;" ｜ "&amp;$D421)</f>
        <v/>
      </c>
      <c r="F421" s="25"/>
      <c r="G421" s="25"/>
      <c r="H421" s="25"/>
      <c r="I421" s="25"/>
      <c r="J421" s="25"/>
      <c r="K421" s="21"/>
      <c r="L421" s="21"/>
      <c r="M421" s="21"/>
      <c r="N421" s="25"/>
      <c r="O421" s="25"/>
      <c r="P421" s="32"/>
      <c r="Q421" s="25"/>
      <c r="R421" s="25"/>
      <c r="S421" s="33"/>
      <c r="T421" s="33"/>
      <c r="U421" s="33"/>
      <c r="V421" s="33"/>
      <c r="W421" s="25"/>
      <c r="X421" s="25"/>
      <c r="Y421" s="25"/>
      <c r="Z421" s="33"/>
      <c r="AA421" s="34" t="str">
        <f aca="true">IF($T421="","",IF($T421&lt;TODAY(),"已过期 "&amp;TEXT(TODAY()-$T421,"0")&amp;" 天",IF($T421-TODAY()&lt;=年检提醒天,"还剩 "&amp;TEXT($T421-TODAY(),"0")&amp;" 天","")))</f>
        <v/>
      </c>
      <c r="AB421" s="34" t="str">
        <f aca="true">IF(COUNT($U421:$V421)=0,"",IF(MIN($U421:$V421)&lt;TODAY(),"已过期 "&amp;TEXT(TODAY()-MIN($U421:$V421),"0")&amp;" 天",IF(MIN($U421:$V421)-TODAY()&lt;=年检提醒天,"还剩 "&amp;TEXT(MIN($U421:$V421)-TODAY(),"0")&amp;" 天","")))</f>
        <v/>
      </c>
      <c r="AC421" s="34" t="str">
        <f aca="true">IF($C421="","",IF(OR($Y421="安装免保",$Y421="技术免保",$Y421="质保期内"),IF($Z421="","▲免保没填到期日",IF($Z421&lt;TODAY(),"▲免保已到期 该转收费了",IF($Z421-TODAY()&lt;=合同提醒天,"免保还剩 "&amp;TEXT($Z421-TODAY(),"0")&amp;" 天","免保中"))),IF($Y421="暂停维保","暂停中 不计费",IF($Y421="已解约","已解约",IF(COUNTIF(合同键,$E421)=0,"▲还没建合同行","")))))</f>
        <v/>
      </c>
      <c r="AD421" s="24"/>
      <c r="AE421" s="35" t="str">
        <f aca="false">IF($C421="","",IF($D421="","★项目名称没填",IF(N($P421)&lt;=0,"★台量要填",IF(AND(OR($Y421="安装免保",$Y421="技术免保",$Y421="质保期内"),$Z421=""),"★免保到期日没填",IF(COUNTIF(合同键,$E421)=0,"★还没建合同行","OK")))))</f>
        <v/>
      </c>
    </row>
    <row r="422" customFormat="false" ht="15" hidden="false" customHeight="false" outlineLevel="0" collapsed="false">
      <c r="A422" s="29" t="str">
        <f aca="false">IF($C422="","",ROW()-4)</f>
        <v/>
      </c>
      <c r="B422" s="25"/>
      <c r="C422" s="24"/>
      <c r="D422" s="24"/>
      <c r="E422" s="30" t="str">
        <f aca="false">IF($C422="","",$C422&amp;" ｜ "&amp;$D422)</f>
        <v/>
      </c>
      <c r="F422" s="25"/>
      <c r="G422" s="25"/>
      <c r="H422" s="25"/>
      <c r="I422" s="25"/>
      <c r="J422" s="25"/>
      <c r="K422" s="21"/>
      <c r="L422" s="21"/>
      <c r="M422" s="21"/>
      <c r="N422" s="25"/>
      <c r="O422" s="25"/>
      <c r="P422" s="32"/>
      <c r="Q422" s="25"/>
      <c r="R422" s="25"/>
      <c r="S422" s="33"/>
      <c r="T422" s="33"/>
      <c r="U422" s="33"/>
      <c r="V422" s="33"/>
      <c r="W422" s="25"/>
      <c r="X422" s="25"/>
      <c r="Y422" s="25"/>
      <c r="Z422" s="33"/>
      <c r="AA422" s="34" t="str">
        <f aca="true">IF($T422="","",IF($T422&lt;TODAY(),"已过期 "&amp;TEXT(TODAY()-$T422,"0")&amp;" 天",IF($T422-TODAY()&lt;=年检提醒天,"还剩 "&amp;TEXT($T422-TODAY(),"0")&amp;" 天","")))</f>
        <v/>
      </c>
      <c r="AB422" s="34" t="str">
        <f aca="true">IF(COUNT($U422:$V422)=0,"",IF(MIN($U422:$V422)&lt;TODAY(),"已过期 "&amp;TEXT(TODAY()-MIN($U422:$V422),"0")&amp;" 天",IF(MIN($U422:$V422)-TODAY()&lt;=年检提醒天,"还剩 "&amp;TEXT(MIN($U422:$V422)-TODAY(),"0")&amp;" 天","")))</f>
        <v/>
      </c>
      <c r="AC422" s="34" t="str">
        <f aca="true">IF($C422="","",IF(OR($Y422="安装免保",$Y422="技术免保",$Y422="质保期内"),IF($Z422="","▲免保没填到期日",IF($Z422&lt;TODAY(),"▲免保已到期 该转收费了",IF($Z422-TODAY()&lt;=合同提醒天,"免保还剩 "&amp;TEXT($Z422-TODAY(),"0")&amp;" 天","免保中"))),IF($Y422="暂停维保","暂停中 不计费",IF($Y422="已解约","已解约",IF(COUNTIF(合同键,$E422)=0,"▲还没建合同行","")))))</f>
        <v/>
      </c>
      <c r="AD422" s="24"/>
      <c r="AE422" s="35" t="str">
        <f aca="false">IF($C422="","",IF($D422="","★项目名称没填",IF(N($P422)&lt;=0,"★台量要填",IF(AND(OR($Y422="安装免保",$Y422="技术免保",$Y422="质保期内"),$Z422=""),"★免保到期日没填",IF(COUNTIF(合同键,$E422)=0,"★还没建合同行","OK")))))</f>
        <v/>
      </c>
    </row>
    <row r="423" customFormat="false" ht="15" hidden="false" customHeight="false" outlineLevel="0" collapsed="false">
      <c r="A423" s="29" t="str">
        <f aca="false">IF($C423="","",ROW()-4)</f>
        <v/>
      </c>
      <c r="B423" s="25"/>
      <c r="C423" s="24"/>
      <c r="D423" s="24"/>
      <c r="E423" s="30" t="str">
        <f aca="false">IF($C423="","",$C423&amp;" ｜ "&amp;$D423)</f>
        <v/>
      </c>
      <c r="F423" s="25"/>
      <c r="G423" s="25"/>
      <c r="H423" s="25"/>
      <c r="I423" s="25"/>
      <c r="J423" s="25"/>
      <c r="K423" s="21"/>
      <c r="L423" s="21"/>
      <c r="M423" s="21"/>
      <c r="N423" s="25"/>
      <c r="O423" s="25"/>
      <c r="P423" s="32"/>
      <c r="Q423" s="25"/>
      <c r="R423" s="25"/>
      <c r="S423" s="33"/>
      <c r="T423" s="33"/>
      <c r="U423" s="33"/>
      <c r="V423" s="33"/>
      <c r="W423" s="25"/>
      <c r="X423" s="25"/>
      <c r="Y423" s="25"/>
      <c r="Z423" s="33"/>
      <c r="AA423" s="34" t="str">
        <f aca="true">IF($T423="","",IF($T423&lt;TODAY(),"已过期 "&amp;TEXT(TODAY()-$T423,"0")&amp;" 天",IF($T423-TODAY()&lt;=年检提醒天,"还剩 "&amp;TEXT($T423-TODAY(),"0")&amp;" 天","")))</f>
        <v/>
      </c>
      <c r="AB423" s="34" t="str">
        <f aca="true">IF(COUNT($U423:$V423)=0,"",IF(MIN($U423:$V423)&lt;TODAY(),"已过期 "&amp;TEXT(TODAY()-MIN($U423:$V423),"0")&amp;" 天",IF(MIN($U423:$V423)-TODAY()&lt;=年检提醒天,"还剩 "&amp;TEXT(MIN($U423:$V423)-TODAY(),"0")&amp;" 天","")))</f>
        <v/>
      </c>
      <c r="AC423" s="34" t="str">
        <f aca="true">IF($C423="","",IF(OR($Y423="安装免保",$Y423="技术免保",$Y423="质保期内"),IF($Z423="","▲免保没填到期日",IF($Z423&lt;TODAY(),"▲免保已到期 该转收费了",IF($Z423-TODAY()&lt;=合同提醒天,"免保还剩 "&amp;TEXT($Z423-TODAY(),"0")&amp;" 天","免保中"))),IF($Y423="暂停维保","暂停中 不计费",IF($Y423="已解约","已解约",IF(COUNTIF(合同键,$E423)=0,"▲还没建合同行","")))))</f>
        <v/>
      </c>
      <c r="AD423" s="24"/>
      <c r="AE423" s="35" t="str">
        <f aca="false">IF($C423="","",IF($D423="","★项目名称没填",IF(N($P423)&lt;=0,"★台量要填",IF(AND(OR($Y423="安装免保",$Y423="技术免保",$Y423="质保期内"),$Z423=""),"★免保到期日没填",IF(COUNTIF(合同键,$E423)=0,"★还没建合同行","OK")))))</f>
        <v/>
      </c>
    </row>
    <row r="424" customFormat="false" ht="15" hidden="false" customHeight="false" outlineLevel="0" collapsed="false">
      <c r="A424" s="29" t="str">
        <f aca="false">IF($C424="","",ROW()-4)</f>
        <v/>
      </c>
      <c r="B424" s="25"/>
      <c r="C424" s="24"/>
      <c r="D424" s="24"/>
      <c r="E424" s="30" t="str">
        <f aca="false">IF($C424="","",$C424&amp;" ｜ "&amp;$D424)</f>
        <v/>
      </c>
      <c r="F424" s="25"/>
      <c r="G424" s="25"/>
      <c r="H424" s="25"/>
      <c r="I424" s="25"/>
      <c r="J424" s="25"/>
      <c r="K424" s="21"/>
      <c r="L424" s="21"/>
      <c r="M424" s="21"/>
      <c r="N424" s="25"/>
      <c r="O424" s="25"/>
      <c r="P424" s="32"/>
      <c r="Q424" s="25"/>
      <c r="R424" s="25"/>
      <c r="S424" s="33"/>
      <c r="T424" s="33"/>
      <c r="U424" s="33"/>
      <c r="V424" s="33"/>
      <c r="W424" s="25"/>
      <c r="X424" s="25"/>
      <c r="Y424" s="25"/>
      <c r="Z424" s="33"/>
      <c r="AA424" s="34" t="str">
        <f aca="true">IF($T424="","",IF($T424&lt;TODAY(),"已过期 "&amp;TEXT(TODAY()-$T424,"0")&amp;" 天",IF($T424-TODAY()&lt;=年检提醒天,"还剩 "&amp;TEXT($T424-TODAY(),"0")&amp;" 天","")))</f>
        <v/>
      </c>
      <c r="AB424" s="34" t="str">
        <f aca="true">IF(COUNT($U424:$V424)=0,"",IF(MIN($U424:$V424)&lt;TODAY(),"已过期 "&amp;TEXT(TODAY()-MIN($U424:$V424),"0")&amp;" 天",IF(MIN($U424:$V424)-TODAY()&lt;=年检提醒天,"还剩 "&amp;TEXT(MIN($U424:$V424)-TODAY(),"0")&amp;" 天","")))</f>
        <v/>
      </c>
      <c r="AC424" s="34" t="str">
        <f aca="true">IF($C424="","",IF(OR($Y424="安装免保",$Y424="技术免保",$Y424="质保期内"),IF($Z424="","▲免保没填到期日",IF($Z424&lt;TODAY(),"▲免保已到期 该转收费了",IF($Z424-TODAY()&lt;=合同提醒天,"免保还剩 "&amp;TEXT($Z424-TODAY(),"0")&amp;" 天","免保中"))),IF($Y424="暂停维保","暂停中 不计费",IF($Y424="已解约","已解约",IF(COUNTIF(合同键,$E424)=0,"▲还没建合同行","")))))</f>
        <v/>
      </c>
      <c r="AD424" s="24"/>
      <c r="AE424" s="35" t="str">
        <f aca="false">IF($C424="","",IF($D424="","★项目名称没填",IF(N($P424)&lt;=0,"★台量要填",IF(AND(OR($Y424="安装免保",$Y424="技术免保",$Y424="质保期内"),$Z424=""),"★免保到期日没填",IF(COUNTIF(合同键,$E424)=0,"★还没建合同行","OK")))))</f>
        <v/>
      </c>
    </row>
    <row r="425" customFormat="false" ht="15" hidden="false" customHeight="false" outlineLevel="0" collapsed="false">
      <c r="A425" s="29" t="str">
        <f aca="false">IF($C425="","",ROW()-4)</f>
        <v/>
      </c>
      <c r="B425" s="25"/>
      <c r="C425" s="24"/>
      <c r="D425" s="24"/>
      <c r="E425" s="30" t="str">
        <f aca="false">IF($C425="","",$C425&amp;" ｜ "&amp;$D425)</f>
        <v/>
      </c>
      <c r="F425" s="25"/>
      <c r="G425" s="25"/>
      <c r="H425" s="25"/>
      <c r="I425" s="25"/>
      <c r="J425" s="25"/>
      <c r="K425" s="21"/>
      <c r="L425" s="21"/>
      <c r="M425" s="21"/>
      <c r="N425" s="25"/>
      <c r="O425" s="25"/>
      <c r="P425" s="32"/>
      <c r="Q425" s="25"/>
      <c r="R425" s="25"/>
      <c r="S425" s="33"/>
      <c r="T425" s="33"/>
      <c r="U425" s="33"/>
      <c r="V425" s="33"/>
      <c r="W425" s="25"/>
      <c r="X425" s="25"/>
      <c r="Y425" s="25"/>
      <c r="Z425" s="33"/>
      <c r="AA425" s="34" t="str">
        <f aca="true">IF($T425="","",IF($T425&lt;TODAY(),"已过期 "&amp;TEXT(TODAY()-$T425,"0")&amp;" 天",IF($T425-TODAY()&lt;=年检提醒天,"还剩 "&amp;TEXT($T425-TODAY(),"0")&amp;" 天","")))</f>
        <v/>
      </c>
      <c r="AB425" s="34" t="str">
        <f aca="true">IF(COUNT($U425:$V425)=0,"",IF(MIN($U425:$V425)&lt;TODAY(),"已过期 "&amp;TEXT(TODAY()-MIN($U425:$V425),"0")&amp;" 天",IF(MIN($U425:$V425)-TODAY()&lt;=年检提醒天,"还剩 "&amp;TEXT(MIN($U425:$V425)-TODAY(),"0")&amp;" 天","")))</f>
        <v/>
      </c>
      <c r="AC425" s="34" t="str">
        <f aca="true">IF($C425="","",IF(OR($Y425="安装免保",$Y425="技术免保",$Y425="质保期内"),IF($Z425="","▲免保没填到期日",IF($Z425&lt;TODAY(),"▲免保已到期 该转收费了",IF($Z425-TODAY()&lt;=合同提醒天,"免保还剩 "&amp;TEXT($Z425-TODAY(),"0")&amp;" 天","免保中"))),IF($Y425="暂停维保","暂停中 不计费",IF($Y425="已解约","已解约",IF(COUNTIF(合同键,$E425)=0,"▲还没建合同行","")))))</f>
        <v/>
      </c>
      <c r="AD425" s="24"/>
      <c r="AE425" s="35" t="str">
        <f aca="false">IF($C425="","",IF($D425="","★项目名称没填",IF(N($P425)&lt;=0,"★台量要填",IF(AND(OR($Y425="安装免保",$Y425="技术免保",$Y425="质保期内"),$Z425=""),"★免保到期日没填",IF(COUNTIF(合同键,$E425)=0,"★还没建合同行","OK")))))</f>
        <v/>
      </c>
    </row>
    <row r="426" customFormat="false" ht="15" hidden="false" customHeight="false" outlineLevel="0" collapsed="false">
      <c r="A426" s="29" t="str">
        <f aca="false">IF($C426="","",ROW()-4)</f>
        <v/>
      </c>
      <c r="B426" s="25"/>
      <c r="C426" s="24"/>
      <c r="D426" s="24"/>
      <c r="E426" s="30" t="str">
        <f aca="false">IF($C426="","",$C426&amp;" ｜ "&amp;$D426)</f>
        <v/>
      </c>
      <c r="F426" s="25"/>
      <c r="G426" s="25"/>
      <c r="H426" s="25"/>
      <c r="I426" s="25"/>
      <c r="J426" s="25"/>
      <c r="K426" s="21"/>
      <c r="L426" s="21"/>
      <c r="M426" s="21"/>
      <c r="N426" s="25"/>
      <c r="O426" s="25"/>
      <c r="P426" s="32"/>
      <c r="Q426" s="25"/>
      <c r="R426" s="25"/>
      <c r="S426" s="33"/>
      <c r="T426" s="33"/>
      <c r="U426" s="33"/>
      <c r="V426" s="33"/>
      <c r="W426" s="25"/>
      <c r="X426" s="25"/>
      <c r="Y426" s="25"/>
      <c r="Z426" s="33"/>
      <c r="AA426" s="34" t="str">
        <f aca="true">IF($T426="","",IF($T426&lt;TODAY(),"已过期 "&amp;TEXT(TODAY()-$T426,"0")&amp;" 天",IF($T426-TODAY()&lt;=年检提醒天,"还剩 "&amp;TEXT($T426-TODAY(),"0")&amp;" 天","")))</f>
        <v/>
      </c>
      <c r="AB426" s="34" t="str">
        <f aca="true">IF(COUNT($U426:$V426)=0,"",IF(MIN($U426:$V426)&lt;TODAY(),"已过期 "&amp;TEXT(TODAY()-MIN($U426:$V426),"0")&amp;" 天",IF(MIN($U426:$V426)-TODAY()&lt;=年检提醒天,"还剩 "&amp;TEXT(MIN($U426:$V426)-TODAY(),"0")&amp;" 天","")))</f>
        <v/>
      </c>
      <c r="AC426" s="34" t="str">
        <f aca="true">IF($C426="","",IF(OR($Y426="安装免保",$Y426="技术免保",$Y426="质保期内"),IF($Z426="","▲免保没填到期日",IF($Z426&lt;TODAY(),"▲免保已到期 该转收费了",IF($Z426-TODAY()&lt;=合同提醒天,"免保还剩 "&amp;TEXT($Z426-TODAY(),"0")&amp;" 天","免保中"))),IF($Y426="暂停维保","暂停中 不计费",IF($Y426="已解约","已解约",IF(COUNTIF(合同键,$E426)=0,"▲还没建合同行","")))))</f>
        <v/>
      </c>
      <c r="AD426" s="24"/>
      <c r="AE426" s="35" t="str">
        <f aca="false">IF($C426="","",IF($D426="","★项目名称没填",IF(N($P426)&lt;=0,"★台量要填",IF(AND(OR($Y426="安装免保",$Y426="技术免保",$Y426="质保期内"),$Z426=""),"★免保到期日没填",IF(COUNTIF(合同键,$E426)=0,"★还没建合同行","OK")))))</f>
        <v/>
      </c>
    </row>
    <row r="427" customFormat="false" ht="15" hidden="false" customHeight="false" outlineLevel="0" collapsed="false">
      <c r="A427" s="29" t="str">
        <f aca="false">IF($C427="","",ROW()-4)</f>
        <v/>
      </c>
      <c r="B427" s="25"/>
      <c r="C427" s="24"/>
      <c r="D427" s="24"/>
      <c r="E427" s="30" t="str">
        <f aca="false">IF($C427="","",$C427&amp;" ｜ "&amp;$D427)</f>
        <v/>
      </c>
      <c r="F427" s="25"/>
      <c r="G427" s="25"/>
      <c r="H427" s="25"/>
      <c r="I427" s="25"/>
      <c r="J427" s="25"/>
      <c r="K427" s="21"/>
      <c r="L427" s="21"/>
      <c r="M427" s="21"/>
      <c r="N427" s="25"/>
      <c r="O427" s="25"/>
      <c r="P427" s="32"/>
      <c r="Q427" s="25"/>
      <c r="R427" s="25"/>
      <c r="S427" s="33"/>
      <c r="T427" s="33"/>
      <c r="U427" s="33"/>
      <c r="V427" s="33"/>
      <c r="W427" s="25"/>
      <c r="X427" s="25"/>
      <c r="Y427" s="25"/>
      <c r="Z427" s="33"/>
      <c r="AA427" s="34" t="str">
        <f aca="true">IF($T427="","",IF($T427&lt;TODAY(),"已过期 "&amp;TEXT(TODAY()-$T427,"0")&amp;" 天",IF($T427-TODAY()&lt;=年检提醒天,"还剩 "&amp;TEXT($T427-TODAY(),"0")&amp;" 天","")))</f>
        <v/>
      </c>
      <c r="AB427" s="34" t="str">
        <f aca="true">IF(COUNT($U427:$V427)=0,"",IF(MIN($U427:$V427)&lt;TODAY(),"已过期 "&amp;TEXT(TODAY()-MIN($U427:$V427),"0")&amp;" 天",IF(MIN($U427:$V427)-TODAY()&lt;=年检提醒天,"还剩 "&amp;TEXT(MIN($U427:$V427)-TODAY(),"0")&amp;" 天","")))</f>
        <v/>
      </c>
      <c r="AC427" s="34" t="str">
        <f aca="true">IF($C427="","",IF(OR($Y427="安装免保",$Y427="技术免保",$Y427="质保期内"),IF($Z427="","▲免保没填到期日",IF($Z427&lt;TODAY(),"▲免保已到期 该转收费了",IF($Z427-TODAY()&lt;=合同提醒天,"免保还剩 "&amp;TEXT($Z427-TODAY(),"0")&amp;" 天","免保中"))),IF($Y427="暂停维保","暂停中 不计费",IF($Y427="已解约","已解约",IF(COUNTIF(合同键,$E427)=0,"▲还没建合同行","")))))</f>
        <v/>
      </c>
      <c r="AD427" s="24"/>
      <c r="AE427" s="35" t="str">
        <f aca="false">IF($C427="","",IF($D427="","★项目名称没填",IF(N($P427)&lt;=0,"★台量要填",IF(AND(OR($Y427="安装免保",$Y427="技术免保",$Y427="质保期内"),$Z427=""),"★免保到期日没填",IF(COUNTIF(合同键,$E427)=0,"★还没建合同行","OK")))))</f>
        <v/>
      </c>
    </row>
    <row r="428" customFormat="false" ht="15" hidden="false" customHeight="false" outlineLevel="0" collapsed="false">
      <c r="A428" s="29" t="str">
        <f aca="false">IF($C428="","",ROW()-4)</f>
        <v/>
      </c>
      <c r="B428" s="25"/>
      <c r="C428" s="24"/>
      <c r="D428" s="24"/>
      <c r="E428" s="30" t="str">
        <f aca="false">IF($C428="","",$C428&amp;" ｜ "&amp;$D428)</f>
        <v/>
      </c>
      <c r="F428" s="25"/>
      <c r="G428" s="25"/>
      <c r="H428" s="25"/>
      <c r="I428" s="25"/>
      <c r="J428" s="25"/>
      <c r="K428" s="21"/>
      <c r="L428" s="21"/>
      <c r="M428" s="21"/>
      <c r="N428" s="25"/>
      <c r="O428" s="25"/>
      <c r="P428" s="32"/>
      <c r="Q428" s="25"/>
      <c r="R428" s="25"/>
      <c r="S428" s="33"/>
      <c r="T428" s="33"/>
      <c r="U428" s="33"/>
      <c r="V428" s="33"/>
      <c r="W428" s="25"/>
      <c r="X428" s="25"/>
      <c r="Y428" s="25"/>
      <c r="Z428" s="33"/>
      <c r="AA428" s="34" t="str">
        <f aca="true">IF($T428="","",IF($T428&lt;TODAY(),"已过期 "&amp;TEXT(TODAY()-$T428,"0")&amp;" 天",IF($T428-TODAY()&lt;=年检提醒天,"还剩 "&amp;TEXT($T428-TODAY(),"0")&amp;" 天","")))</f>
        <v/>
      </c>
      <c r="AB428" s="34" t="str">
        <f aca="true">IF(COUNT($U428:$V428)=0,"",IF(MIN($U428:$V428)&lt;TODAY(),"已过期 "&amp;TEXT(TODAY()-MIN($U428:$V428),"0")&amp;" 天",IF(MIN($U428:$V428)-TODAY()&lt;=年检提醒天,"还剩 "&amp;TEXT(MIN($U428:$V428)-TODAY(),"0")&amp;" 天","")))</f>
        <v/>
      </c>
      <c r="AC428" s="34" t="str">
        <f aca="true">IF($C428="","",IF(OR($Y428="安装免保",$Y428="技术免保",$Y428="质保期内"),IF($Z428="","▲免保没填到期日",IF($Z428&lt;TODAY(),"▲免保已到期 该转收费了",IF($Z428-TODAY()&lt;=合同提醒天,"免保还剩 "&amp;TEXT($Z428-TODAY(),"0")&amp;" 天","免保中"))),IF($Y428="暂停维保","暂停中 不计费",IF($Y428="已解约","已解约",IF(COUNTIF(合同键,$E428)=0,"▲还没建合同行","")))))</f>
        <v/>
      </c>
      <c r="AD428" s="24"/>
      <c r="AE428" s="35" t="str">
        <f aca="false">IF($C428="","",IF($D428="","★项目名称没填",IF(N($P428)&lt;=0,"★台量要填",IF(AND(OR($Y428="安装免保",$Y428="技术免保",$Y428="质保期内"),$Z428=""),"★免保到期日没填",IF(COUNTIF(合同键,$E428)=0,"★还没建合同行","OK")))))</f>
        <v/>
      </c>
    </row>
    <row r="429" customFormat="false" ht="15" hidden="false" customHeight="false" outlineLevel="0" collapsed="false">
      <c r="A429" s="29" t="str">
        <f aca="false">IF($C429="","",ROW()-4)</f>
        <v/>
      </c>
      <c r="B429" s="25"/>
      <c r="C429" s="24"/>
      <c r="D429" s="24"/>
      <c r="E429" s="30" t="str">
        <f aca="false">IF($C429="","",$C429&amp;" ｜ "&amp;$D429)</f>
        <v/>
      </c>
      <c r="F429" s="25"/>
      <c r="G429" s="25"/>
      <c r="H429" s="25"/>
      <c r="I429" s="25"/>
      <c r="J429" s="25"/>
      <c r="K429" s="21"/>
      <c r="L429" s="21"/>
      <c r="M429" s="21"/>
      <c r="N429" s="25"/>
      <c r="O429" s="25"/>
      <c r="P429" s="32"/>
      <c r="Q429" s="25"/>
      <c r="R429" s="25"/>
      <c r="S429" s="33"/>
      <c r="T429" s="33"/>
      <c r="U429" s="33"/>
      <c r="V429" s="33"/>
      <c r="W429" s="25"/>
      <c r="X429" s="25"/>
      <c r="Y429" s="25"/>
      <c r="Z429" s="33"/>
      <c r="AA429" s="34" t="str">
        <f aca="true">IF($T429="","",IF($T429&lt;TODAY(),"已过期 "&amp;TEXT(TODAY()-$T429,"0")&amp;" 天",IF($T429-TODAY()&lt;=年检提醒天,"还剩 "&amp;TEXT($T429-TODAY(),"0")&amp;" 天","")))</f>
        <v/>
      </c>
      <c r="AB429" s="34" t="str">
        <f aca="true">IF(COUNT($U429:$V429)=0,"",IF(MIN($U429:$V429)&lt;TODAY(),"已过期 "&amp;TEXT(TODAY()-MIN($U429:$V429),"0")&amp;" 天",IF(MIN($U429:$V429)-TODAY()&lt;=年检提醒天,"还剩 "&amp;TEXT(MIN($U429:$V429)-TODAY(),"0")&amp;" 天","")))</f>
        <v/>
      </c>
      <c r="AC429" s="34" t="str">
        <f aca="true">IF($C429="","",IF(OR($Y429="安装免保",$Y429="技术免保",$Y429="质保期内"),IF($Z429="","▲免保没填到期日",IF($Z429&lt;TODAY(),"▲免保已到期 该转收费了",IF($Z429-TODAY()&lt;=合同提醒天,"免保还剩 "&amp;TEXT($Z429-TODAY(),"0")&amp;" 天","免保中"))),IF($Y429="暂停维保","暂停中 不计费",IF($Y429="已解约","已解约",IF(COUNTIF(合同键,$E429)=0,"▲还没建合同行","")))))</f>
        <v/>
      </c>
      <c r="AD429" s="24"/>
      <c r="AE429" s="35" t="str">
        <f aca="false">IF($C429="","",IF($D429="","★项目名称没填",IF(N($P429)&lt;=0,"★台量要填",IF(AND(OR($Y429="安装免保",$Y429="技术免保",$Y429="质保期内"),$Z429=""),"★免保到期日没填",IF(COUNTIF(合同键,$E429)=0,"★还没建合同行","OK")))))</f>
        <v/>
      </c>
    </row>
    <row r="430" customFormat="false" ht="15" hidden="false" customHeight="false" outlineLevel="0" collapsed="false">
      <c r="A430" s="29" t="str">
        <f aca="false">IF($C430="","",ROW()-4)</f>
        <v/>
      </c>
      <c r="B430" s="25"/>
      <c r="C430" s="24"/>
      <c r="D430" s="24"/>
      <c r="E430" s="30" t="str">
        <f aca="false">IF($C430="","",$C430&amp;" ｜ "&amp;$D430)</f>
        <v/>
      </c>
      <c r="F430" s="25"/>
      <c r="G430" s="25"/>
      <c r="H430" s="25"/>
      <c r="I430" s="25"/>
      <c r="J430" s="25"/>
      <c r="K430" s="21"/>
      <c r="L430" s="21"/>
      <c r="M430" s="21"/>
      <c r="N430" s="25"/>
      <c r="O430" s="25"/>
      <c r="P430" s="32"/>
      <c r="Q430" s="25"/>
      <c r="R430" s="25"/>
      <c r="S430" s="33"/>
      <c r="T430" s="33"/>
      <c r="U430" s="33"/>
      <c r="V430" s="33"/>
      <c r="W430" s="25"/>
      <c r="X430" s="25"/>
      <c r="Y430" s="25"/>
      <c r="Z430" s="33"/>
      <c r="AA430" s="34" t="str">
        <f aca="true">IF($T430="","",IF($T430&lt;TODAY(),"已过期 "&amp;TEXT(TODAY()-$T430,"0")&amp;" 天",IF($T430-TODAY()&lt;=年检提醒天,"还剩 "&amp;TEXT($T430-TODAY(),"0")&amp;" 天","")))</f>
        <v/>
      </c>
      <c r="AB430" s="34" t="str">
        <f aca="true">IF(COUNT($U430:$V430)=0,"",IF(MIN($U430:$V430)&lt;TODAY(),"已过期 "&amp;TEXT(TODAY()-MIN($U430:$V430),"0")&amp;" 天",IF(MIN($U430:$V430)-TODAY()&lt;=年检提醒天,"还剩 "&amp;TEXT(MIN($U430:$V430)-TODAY(),"0")&amp;" 天","")))</f>
        <v/>
      </c>
      <c r="AC430" s="34" t="str">
        <f aca="true">IF($C430="","",IF(OR($Y430="安装免保",$Y430="技术免保",$Y430="质保期内"),IF($Z430="","▲免保没填到期日",IF($Z430&lt;TODAY(),"▲免保已到期 该转收费了",IF($Z430-TODAY()&lt;=合同提醒天,"免保还剩 "&amp;TEXT($Z430-TODAY(),"0")&amp;" 天","免保中"))),IF($Y430="暂停维保","暂停中 不计费",IF($Y430="已解约","已解约",IF(COUNTIF(合同键,$E430)=0,"▲还没建合同行","")))))</f>
        <v/>
      </c>
      <c r="AD430" s="24"/>
      <c r="AE430" s="35" t="str">
        <f aca="false">IF($C430="","",IF($D430="","★项目名称没填",IF(N($P430)&lt;=0,"★台量要填",IF(AND(OR($Y430="安装免保",$Y430="技术免保",$Y430="质保期内"),$Z430=""),"★免保到期日没填",IF(COUNTIF(合同键,$E430)=0,"★还没建合同行","OK")))))</f>
        <v/>
      </c>
    </row>
    <row r="431" customFormat="false" ht="15" hidden="false" customHeight="false" outlineLevel="0" collapsed="false">
      <c r="A431" s="29" t="str">
        <f aca="false">IF($C431="","",ROW()-4)</f>
        <v/>
      </c>
      <c r="B431" s="25"/>
      <c r="C431" s="24"/>
      <c r="D431" s="24"/>
      <c r="E431" s="30" t="str">
        <f aca="false">IF($C431="","",$C431&amp;" ｜ "&amp;$D431)</f>
        <v/>
      </c>
      <c r="F431" s="25"/>
      <c r="G431" s="25"/>
      <c r="H431" s="25"/>
      <c r="I431" s="25"/>
      <c r="J431" s="25"/>
      <c r="K431" s="21"/>
      <c r="L431" s="21"/>
      <c r="M431" s="21"/>
      <c r="N431" s="25"/>
      <c r="O431" s="25"/>
      <c r="P431" s="32"/>
      <c r="Q431" s="25"/>
      <c r="R431" s="25"/>
      <c r="S431" s="33"/>
      <c r="T431" s="33"/>
      <c r="U431" s="33"/>
      <c r="V431" s="33"/>
      <c r="W431" s="25"/>
      <c r="X431" s="25"/>
      <c r="Y431" s="25"/>
      <c r="Z431" s="33"/>
      <c r="AA431" s="34" t="str">
        <f aca="true">IF($T431="","",IF($T431&lt;TODAY(),"已过期 "&amp;TEXT(TODAY()-$T431,"0")&amp;" 天",IF($T431-TODAY()&lt;=年检提醒天,"还剩 "&amp;TEXT($T431-TODAY(),"0")&amp;" 天","")))</f>
        <v/>
      </c>
      <c r="AB431" s="34" t="str">
        <f aca="true">IF(COUNT($U431:$V431)=0,"",IF(MIN($U431:$V431)&lt;TODAY(),"已过期 "&amp;TEXT(TODAY()-MIN($U431:$V431),"0")&amp;" 天",IF(MIN($U431:$V431)-TODAY()&lt;=年检提醒天,"还剩 "&amp;TEXT(MIN($U431:$V431)-TODAY(),"0")&amp;" 天","")))</f>
        <v/>
      </c>
      <c r="AC431" s="34" t="str">
        <f aca="true">IF($C431="","",IF(OR($Y431="安装免保",$Y431="技术免保",$Y431="质保期内"),IF($Z431="","▲免保没填到期日",IF($Z431&lt;TODAY(),"▲免保已到期 该转收费了",IF($Z431-TODAY()&lt;=合同提醒天,"免保还剩 "&amp;TEXT($Z431-TODAY(),"0")&amp;" 天","免保中"))),IF($Y431="暂停维保","暂停中 不计费",IF($Y431="已解约","已解约",IF(COUNTIF(合同键,$E431)=0,"▲还没建合同行","")))))</f>
        <v/>
      </c>
      <c r="AD431" s="24"/>
      <c r="AE431" s="35" t="str">
        <f aca="false">IF($C431="","",IF($D431="","★项目名称没填",IF(N($P431)&lt;=0,"★台量要填",IF(AND(OR($Y431="安装免保",$Y431="技术免保",$Y431="质保期内"),$Z431=""),"★免保到期日没填",IF(COUNTIF(合同键,$E431)=0,"★还没建合同行","OK")))))</f>
        <v/>
      </c>
    </row>
    <row r="432" customFormat="false" ht="15" hidden="false" customHeight="false" outlineLevel="0" collapsed="false">
      <c r="A432" s="29" t="str">
        <f aca="false">IF($C432="","",ROW()-4)</f>
        <v/>
      </c>
      <c r="B432" s="25"/>
      <c r="C432" s="24"/>
      <c r="D432" s="24"/>
      <c r="E432" s="30" t="str">
        <f aca="false">IF($C432="","",$C432&amp;" ｜ "&amp;$D432)</f>
        <v/>
      </c>
      <c r="F432" s="25"/>
      <c r="G432" s="25"/>
      <c r="H432" s="25"/>
      <c r="I432" s="25"/>
      <c r="J432" s="25"/>
      <c r="K432" s="21"/>
      <c r="L432" s="21"/>
      <c r="M432" s="21"/>
      <c r="N432" s="25"/>
      <c r="O432" s="25"/>
      <c r="P432" s="32"/>
      <c r="Q432" s="25"/>
      <c r="R432" s="25"/>
      <c r="S432" s="33"/>
      <c r="T432" s="33"/>
      <c r="U432" s="33"/>
      <c r="V432" s="33"/>
      <c r="W432" s="25"/>
      <c r="X432" s="25"/>
      <c r="Y432" s="25"/>
      <c r="Z432" s="33"/>
      <c r="AA432" s="34" t="str">
        <f aca="true">IF($T432="","",IF($T432&lt;TODAY(),"已过期 "&amp;TEXT(TODAY()-$T432,"0")&amp;" 天",IF($T432-TODAY()&lt;=年检提醒天,"还剩 "&amp;TEXT($T432-TODAY(),"0")&amp;" 天","")))</f>
        <v/>
      </c>
      <c r="AB432" s="34" t="str">
        <f aca="true">IF(COUNT($U432:$V432)=0,"",IF(MIN($U432:$V432)&lt;TODAY(),"已过期 "&amp;TEXT(TODAY()-MIN($U432:$V432),"0")&amp;" 天",IF(MIN($U432:$V432)-TODAY()&lt;=年检提醒天,"还剩 "&amp;TEXT(MIN($U432:$V432)-TODAY(),"0")&amp;" 天","")))</f>
        <v/>
      </c>
      <c r="AC432" s="34" t="str">
        <f aca="true">IF($C432="","",IF(OR($Y432="安装免保",$Y432="技术免保",$Y432="质保期内"),IF($Z432="","▲免保没填到期日",IF($Z432&lt;TODAY(),"▲免保已到期 该转收费了",IF($Z432-TODAY()&lt;=合同提醒天,"免保还剩 "&amp;TEXT($Z432-TODAY(),"0")&amp;" 天","免保中"))),IF($Y432="暂停维保","暂停中 不计费",IF($Y432="已解约","已解约",IF(COUNTIF(合同键,$E432)=0,"▲还没建合同行","")))))</f>
        <v/>
      </c>
      <c r="AD432" s="24"/>
      <c r="AE432" s="35" t="str">
        <f aca="false">IF($C432="","",IF($D432="","★项目名称没填",IF(N($P432)&lt;=0,"★台量要填",IF(AND(OR($Y432="安装免保",$Y432="技术免保",$Y432="质保期内"),$Z432=""),"★免保到期日没填",IF(COUNTIF(合同键,$E432)=0,"★还没建合同行","OK")))))</f>
        <v/>
      </c>
    </row>
    <row r="433" customFormat="false" ht="15" hidden="false" customHeight="false" outlineLevel="0" collapsed="false">
      <c r="A433" s="29" t="str">
        <f aca="false">IF($C433="","",ROW()-4)</f>
        <v/>
      </c>
      <c r="B433" s="25"/>
      <c r="C433" s="24"/>
      <c r="D433" s="24"/>
      <c r="E433" s="30" t="str">
        <f aca="false">IF($C433="","",$C433&amp;" ｜ "&amp;$D433)</f>
        <v/>
      </c>
      <c r="F433" s="25"/>
      <c r="G433" s="25"/>
      <c r="H433" s="25"/>
      <c r="I433" s="25"/>
      <c r="J433" s="25"/>
      <c r="K433" s="21"/>
      <c r="L433" s="21"/>
      <c r="M433" s="21"/>
      <c r="N433" s="25"/>
      <c r="O433" s="25"/>
      <c r="P433" s="32"/>
      <c r="Q433" s="25"/>
      <c r="R433" s="25"/>
      <c r="S433" s="33"/>
      <c r="T433" s="33"/>
      <c r="U433" s="33"/>
      <c r="V433" s="33"/>
      <c r="W433" s="25"/>
      <c r="X433" s="25"/>
      <c r="Y433" s="25"/>
      <c r="Z433" s="33"/>
      <c r="AA433" s="34" t="str">
        <f aca="true">IF($T433="","",IF($T433&lt;TODAY(),"已过期 "&amp;TEXT(TODAY()-$T433,"0")&amp;" 天",IF($T433-TODAY()&lt;=年检提醒天,"还剩 "&amp;TEXT($T433-TODAY(),"0")&amp;" 天","")))</f>
        <v/>
      </c>
      <c r="AB433" s="34" t="str">
        <f aca="true">IF(COUNT($U433:$V433)=0,"",IF(MIN($U433:$V433)&lt;TODAY(),"已过期 "&amp;TEXT(TODAY()-MIN($U433:$V433),"0")&amp;" 天",IF(MIN($U433:$V433)-TODAY()&lt;=年检提醒天,"还剩 "&amp;TEXT(MIN($U433:$V433)-TODAY(),"0")&amp;" 天","")))</f>
        <v/>
      </c>
      <c r="AC433" s="34" t="str">
        <f aca="true">IF($C433="","",IF(OR($Y433="安装免保",$Y433="技术免保",$Y433="质保期内"),IF($Z433="","▲免保没填到期日",IF($Z433&lt;TODAY(),"▲免保已到期 该转收费了",IF($Z433-TODAY()&lt;=合同提醒天,"免保还剩 "&amp;TEXT($Z433-TODAY(),"0")&amp;" 天","免保中"))),IF($Y433="暂停维保","暂停中 不计费",IF($Y433="已解约","已解约",IF(COUNTIF(合同键,$E433)=0,"▲还没建合同行","")))))</f>
        <v/>
      </c>
      <c r="AD433" s="24"/>
      <c r="AE433" s="35" t="str">
        <f aca="false">IF($C433="","",IF($D433="","★项目名称没填",IF(N($P433)&lt;=0,"★台量要填",IF(AND(OR($Y433="安装免保",$Y433="技术免保",$Y433="质保期内"),$Z433=""),"★免保到期日没填",IF(COUNTIF(合同键,$E433)=0,"★还没建合同行","OK")))))</f>
        <v/>
      </c>
    </row>
    <row r="434" customFormat="false" ht="15" hidden="false" customHeight="false" outlineLevel="0" collapsed="false">
      <c r="A434" s="29" t="str">
        <f aca="false">IF($C434="","",ROW()-4)</f>
        <v/>
      </c>
      <c r="B434" s="25"/>
      <c r="C434" s="24"/>
      <c r="D434" s="24"/>
      <c r="E434" s="30" t="str">
        <f aca="false">IF($C434="","",$C434&amp;" ｜ "&amp;$D434)</f>
        <v/>
      </c>
      <c r="F434" s="25"/>
      <c r="G434" s="25"/>
      <c r="H434" s="25"/>
      <c r="I434" s="25"/>
      <c r="J434" s="25"/>
      <c r="K434" s="21"/>
      <c r="L434" s="21"/>
      <c r="M434" s="21"/>
      <c r="N434" s="25"/>
      <c r="O434" s="25"/>
      <c r="P434" s="32"/>
      <c r="Q434" s="25"/>
      <c r="R434" s="25"/>
      <c r="S434" s="33"/>
      <c r="T434" s="33"/>
      <c r="U434" s="33"/>
      <c r="V434" s="33"/>
      <c r="W434" s="25"/>
      <c r="X434" s="25"/>
      <c r="Y434" s="25"/>
      <c r="Z434" s="33"/>
      <c r="AA434" s="34" t="str">
        <f aca="true">IF($T434="","",IF($T434&lt;TODAY(),"已过期 "&amp;TEXT(TODAY()-$T434,"0")&amp;" 天",IF($T434-TODAY()&lt;=年检提醒天,"还剩 "&amp;TEXT($T434-TODAY(),"0")&amp;" 天","")))</f>
        <v/>
      </c>
      <c r="AB434" s="34" t="str">
        <f aca="true">IF(COUNT($U434:$V434)=0,"",IF(MIN($U434:$V434)&lt;TODAY(),"已过期 "&amp;TEXT(TODAY()-MIN($U434:$V434),"0")&amp;" 天",IF(MIN($U434:$V434)-TODAY()&lt;=年检提醒天,"还剩 "&amp;TEXT(MIN($U434:$V434)-TODAY(),"0")&amp;" 天","")))</f>
        <v/>
      </c>
      <c r="AC434" s="34" t="str">
        <f aca="true">IF($C434="","",IF(OR($Y434="安装免保",$Y434="技术免保",$Y434="质保期内"),IF($Z434="","▲免保没填到期日",IF($Z434&lt;TODAY(),"▲免保已到期 该转收费了",IF($Z434-TODAY()&lt;=合同提醒天,"免保还剩 "&amp;TEXT($Z434-TODAY(),"0")&amp;" 天","免保中"))),IF($Y434="暂停维保","暂停中 不计费",IF($Y434="已解约","已解约",IF(COUNTIF(合同键,$E434)=0,"▲还没建合同行","")))))</f>
        <v/>
      </c>
      <c r="AD434" s="24"/>
      <c r="AE434" s="35" t="str">
        <f aca="false">IF($C434="","",IF($D434="","★项目名称没填",IF(N($P434)&lt;=0,"★台量要填",IF(AND(OR($Y434="安装免保",$Y434="技术免保",$Y434="质保期内"),$Z434=""),"★免保到期日没填",IF(COUNTIF(合同键,$E434)=0,"★还没建合同行","OK")))))</f>
        <v/>
      </c>
    </row>
    <row r="435" customFormat="false" ht="15" hidden="false" customHeight="false" outlineLevel="0" collapsed="false">
      <c r="A435" s="29" t="str">
        <f aca="false">IF($C435="","",ROW()-4)</f>
        <v/>
      </c>
      <c r="B435" s="25"/>
      <c r="C435" s="24"/>
      <c r="D435" s="24"/>
      <c r="E435" s="30" t="str">
        <f aca="false">IF($C435="","",$C435&amp;" ｜ "&amp;$D435)</f>
        <v/>
      </c>
      <c r="F435" s="25"/>
      <c r="G435" s="25"/>
      <c r="H435" s="25"/>
      <c r="I435" s="25"/>
      <c r="J435" s="25"/>
      <c r="K435" s="21"/>
      <c r="L435" s="21"/>
      <c r="M435" s="21"/>
      <c r="N435" s="25"/>
      <c r="O435" s="25"/>
      <c r="P435" s="32"/>
      <c r="Q435" s="25"/>
      <c r="R435" s="25"/>
      <c r="S435" s="33"/>
      <c r="T435" s="33"/>
      <c r="U435" s="33"/>
      <c r="V435" s="33"/>
      <c r="W435" s="25"/>
      <c r="X435" s="25"/>
      <c r="Y435" s="25"/>
      <c r="Z435" s="33"/>
      <c r="AA435" s="34" t="str">
        <f aca="true">IF($T435="","",IF($T435&lt;TODAY(),"已过期 "&amp;TEXT(TODAY()-$T435,"0")&amp;" 天",IF($T435-TODAY()&lt;=年检提醒天,"还剩 "&amp;TEXT($T435-TODAY(),"0")&amp;" 天","")))</f>
        <v/>
      </c>
      <c r="AB435" s="34" t="str">
        <f aca="true">IF(COUNT($U435:$V435)=0,"",IF(MIN($U435:$V435)&lt;TODAY(),"已过期 "&amp;TEXT(TODAY()-MIN($U435:$V435),"0")&amp;" 天",IF(MIN($U435:$V435)-TODAY()&lt;=年检提醒天,"还剩 "&amp;TEXT(MIN($U435:$V435)-TODAY(),"0")&amp;" 天","")))</f>
        <v/>
      </c>
      <c r="AC435" s="34" t="str">
        <f aca="true">IF($C435="","",IF(OR($Y435="安装免保",$Y435="技术免保",$Y435="质保期内"),IF($Z435="","▲免保没填到期日",IF($Z435&lt;TODAY(),"▲免保已到期 该转收费了",IF($Z435-TODAY()&lt;=合同提醒天,"免保还剩 "&amp;TEXT($Z435-TODAY(),"0")&amp;" 天","免保中"))),IF($Y435="暂停维保","暂停中 不计费",IF($Y435="已解约","已解约",IF(COUNTIF(合同键,$E435)=0,"▲还没建合同行","")))))</f>
        <v/>
      </c>
      <c r="AD435" s="24"/>
      <c r="AE435" s="35" t="str">
        <f aca="false">IF($C435="","",IF($D435="","★项目名称没填",IF(N($P435)&lt;=0,"★台量要填",IF(AND(OR($Y435="安装免保",$Y435="技术免保",$Y435="质保期内"),$Z435=""),"★免保到期日没填",IF(COUNTIF(合同键,$E435)=0,"★还没建合同行","OK")))))</f>
        <v/>
      </c>
    </row>
    <row r="436" customFormat="false" ht="15" hidden="false" customHeight="false" outlineLevel="0" collapsed="false">
      <c r="A436" s="29" t="str">
        <f aca="false">IF($C436="","",ROW()-4)</f>
        <v/>
      </c>
      <c r="B436" s="25"/>
      <c r="C436" s="24"/>
      <c r="D436" s="24"/>
      <c r="E436" s="30" t="str">
        <f aca="false">IF($C436="","",$C436&amp;" ｜ "&amp;$D436)</f>
        <v/>
      </c>
      <c r="F436" s="25"/>
      <c r="G436" s="25"/>
      <c r="H436" s="25"/>
      <c r="I436" s="25"/>
      <c r="J436" s="25"/>
      <c r="K436" s="21"/>
      <c r="L436" s="21"/>
      <c r="M436" s="21"/>
      <c r="N436" s="25"/>
      <c r="O436" s="25"/>
      <c r="P436" s="32"/>
      <c r="Q436" s="25"/>
      <c r="R436" s="25"/>
      <c r="S436" s="33"/>
      <c r="T436" s="33"/>
      <c r="U436" s="33"/>
      <c r="V436" s="33"/>
      <c r="W436" s="25"/>
      <c r="X436" s="25"/>
      <c r="Y436" s="25"/>
      <c r="Z436" s="33"/>
      <c r="AA436" s="34" t="str">
        <f aca="true">IF($T436="","",IF($T436&lt;TODAY(),"已过期 "&amp;TEXT(TODAY()-$T436,"0")&amp;" 天",IF($T436-TODAY()&lt;=年检提醒天,"还剩 "&amp;TEXT($T436-TODAY(),"0")&amp;" 天","")))</f>
        <v/>
      </c>
      <c r="AB436" s="34" t="str">
        <f aca="true">IF(COUNT($U436:$V436)=0,"",IF(MIN($U436:$V436)&lt;TODAY(),"已过期 "&amp;TEXT(TODAY()-MIN($U436:$V436),"0")&amp;" 天",IF(MIN($U436:$V436)-TODAY()&lt;=年检提醒天,"还剩 "&amp;TEXT(MIN($U436:$V436)-TODAY(),"0")&amp;" 天","")))</f>
        <v/>
      </c>
      <c r="AC436" s="34" t="str">
        <f aca="true">IF($C436="","",IF(OR($Y436="安装免保",$Y436="技术免保",$Y436="质保期内"),IF($Z436="","▲免保没填到期日",IF($Z436&lt;TODAY(),"▲免保已到期 该转收费了",IF($Z436-TODAY()&lt;=合同提醒天,"免保还剩 "&amp;TEXT($Z436-TODAY(),"0")&amp;" 天","免保中"))),IF($Y436="暂停维保","暂停中 不计费",IF($Y436="已解约","已解约",IF(COUNTIF(合同键,$E436)=0,"▲还没建合同行","")))))</f>
        <v/>
      </c>
      <c r="AD436" s="24"/>
      <c r="AE436" s="35" t="str">
        <f aca="false">IF($C436="","",IF($D436="","★项目名称没填",IF(N($P436)&lt;=0,"★台量要填",IF(AND(OR($Y436="安装免保",$Y436="技术免保",$Y436="质保期内"),$Z436=""),"★免保到期日没填",IF(COUNTIF(合同键,$E436)=0,"★还没建合同行","OK")))))</f>
        <v/>
      </c>
    </row>
    <row r="437" customFormat="false" ht="15" hidden="false" customHeight="false" outlineLevel="0" collapsed="false">
      <c r="A437" s="29" t="str">
        <f aca="false">IF($C437="","",ROW()-4)</f>
        <v/>
      </c>
      <c r="B437" s="25"/>
      <c r="C437" s="24"/>
      <c r="D437" s="24"/>
      <c r="E437" s="30" t="str">
        <f aca="false">IF($C437="","",$C437&amp;" ｜ "&amp;$D437)</f>
        <v/>
      </c>
      <c r="F437" s="25"/>
      <c r="G437" s="25"/>
      <c r="H437" s="25"/>
      <c r="I437" s="25"/>
      <c r="J437" s="25"/>
      <c r="K437" s="21"/>
      <c r="L437" s="21"/>
      <c r="M437" s="21"/>
      <c r="N437" s="25"/>
      <c r="O437" s="25"/>
      <c r="P437" s="32"/>
      <c r="Q437" s="25"/>
      <c r="R437" s="25"/>
      <c r="S437" s="33"/>
      <c r="T437" s="33"/>
      <c r="U437" s="33"/>
      <c r="V437" s="33"/>
      <c r="W437" s="25"/>
      <c r="X437" s="25"/>
      <c r="Y437" s="25"/>
      <c r="Z437" s="33"/>
      <c r="AA437" s="34" t="str">
        <f aca="true">IF($T437="","",IF($T437&lt;TODAY(),"已过期 "&amp;TEXT(TODAY()-$T437,"0")&amp;" 天",IF($T437-TODAY()&lt;=年检提醒天,"还剩 "&amp;TEXT($T437-TODAY(),"0")&amp;" 天","")))</f>
        <v/>
      </c>
      <c r="AB437" s="34" t="str">
        <f aca="true">IF(COUNT($U437:$V437)=0,"",IF(MIN($U437:$V437)&lt;TODAY(),"已过期 "&amp;TEXT(TODAY()-MIN($U437:$V437),"0")&amp;" 天",IF(MIN($U437:$V437)-TODAY()&lt;=年检提醒天,"还剩 "&amp;TEXT(MIN($U437:$V437)-TODAY(),"0")&amp;" 天","")))</f>
        <v/>
      </c>
      <c r="AC437" s="34" t="str">
        <f aca="true">IF($C437="","",IF(OR($Y437="安装免保",$Y437="技术免保",$Y437="质保期内"),IF($Z437="","▲免保没填到期日",IF($Z437&lt;TODAY(),"▲免保已到期 该转收费了",IF($Z437-TODAY()&lt;=合同提醒天,"免保还剩 "&amp;TEXT($Z437-TODAY(),"0")&amp;" 天","免保中"))),IF($Y437="暂停维保","暂停中 不计费",IF($Y437="已解约","已解约",IF(COUNTIF(合同键,$E437)=0,"▲还没建合同行","")))))</f>
        <v/>
      </c>
      <c r="AD437" s="24"/>
      <c r="AE437" s="35" t="str">
        <f aca="false">IF($C437="","",IF($D437="","★项目名称没填",IF(N($P437)&lt;=0,"★台量要填",IF(AND(OR($Y437="安装免保",$Y437="技术免保",$Y437="质保期内"),$Z437=""),"★免保到期日没填",IF(COUNTIF(合同键,$E437)=0,"★还没建合同行","OK")))))</f>
        <v/>
      </c>
    </row>
    <row r="438" customFormat="false" ht="15" hidden="false" customHeight="false" outlineLevel="0" collapsed="false">
      <c r="A438" s="29" t="str">
        <f aca="false">IF($C438="","",ROW()-4)</f>
        <v/>
      </c>
      <c r="B438" s="25"/>
      <c r="C438" s="24"/>
      <c r="D438" s="24"/>
      <c r="E438" s="30" t="str">
        <f aca="false">IF($C438="","",$C438&amp;" ｜ "&amp;$D438)</f>
        <v/>
      </c>
      <c r="F438" s="25"/>
      <c r="G438" s="25"/>
      <c r="H438" s="25"/>
      <c r="I438" s="25"/>
      <c r="J438" s="25"/>
      <c r="K438" s="21"/>
      <c r="L438" s="21"/>
      <c r="M438" s="21"/>
      <c r="N438" s="25"/>
      <c r="O438" s="25"/>
      <c r="P438" s="32"/>
      <c r="Q438" s="25"/>
      <c r="R438" s="25"/>
      <c r="S438" s="33"/>
      <c r="T438" s="33"/>
      <c r="U438" s="33"/>
      <c r="V438" s="33"/>
      <c r="W438" s="25"/>
      <c r="X438" s="25"/>
      <c r="Y438" s="25"/>
      <c r="Z438" s="33"/>
      <c r="AA438" s="34" t="str">
        <f aca="true">IF($T438="","",IF($T438&lt;TODAY(),"已过期 "&amp;TEXT(TODAY()-$T438,"0")&amp;" 天",IF($T438-TODAY()&lt;=年检提醒天,"还剩 "&amp;TEXT($T438-TODAY(),"0")&amp;" 天","")))</f>
        <v/>
      </c>
      <c r="AB438" s="34" t="str">
        <f aca="true">IF(COUNT($U438:$V438)=0,"",IF(MIN($U438:$V438)&lt;TODAY(),"已过期 "&amp;TEXT(TODAY()-MIN($U438:$V438),"0")&amp;" 天",IF(MIN($U438:$V438)-TODAY()&lt;=年检提醒天,"还剩 "&amp;TEXT(MIN($U438:$V438)-TODAY(),"0")&amp;" 天","")))</f>
        <v/>
      </c>
      <c r="AC438" s="34" t="str">
        <f aca="true">IF($C438="","",IF(OR($Y438="安装免保",$Y438="技术免保",$Y438="质保期内"),IF($Z438="","▲免保没填到期日",IF($Z438&lt;TODAY(),"▲免保已到期 该转收费了",IF($Z438-TODAY()&lt;=合同提醒天,"免保还剩 "&amp;TEXT($Z438-TODAY(),"0")&amp;" 天","免保中"))),IF($Y438="暂停维保","暂停中 不计费",IF($Y438="已解约","已解约",IF(COUNTIF(合同键,$E438)=0,"▲还没建合同行","")))))</f>
        <v/>
      </c>
      <c r="AD438" s="24"/>
      <c r="AE438" s="35" t="str">
        <f aca="false">IF($C438="","",IF($D438="","★项目名称没填",IF(N($P438)&lt;=0,"★台量要填",IF(AND(OR($Y438="安装免保",$Y438="技术免保",$Y438="质保期内"),$Z438=""),"★免保到期日没填",IF(COUNTIF(合同键,$E438)=0,"★还没建合同行","OK")))))</f>
        <v/>
      </c>
    </row>
    <row r="439" customFormat="false" ht="15" hidden="false" customHeight="false" outlineLevel="0" collapsed="false">
      <c r="A439" s="29" t="str">
        <f aca="false">IF($C439="","",ROW()-4)</f>
        <v/>
      </c>
      <c r="B439" s="25"/>
      <c r="C439" s="24"/>
      <c r="D439" s="24"/>
      <c r="E439" s="30" t="str">
        <f aca="false">IF($C439="","",$C439&amp;" ｜ "&amp;$D439)</f>
        <v/>
      </c>
      <c r="F439" s="25"/>
      <c r="G439" s="25"/>
      <c r="H439" s="25"/>
      <c r="I439" s="25"/>
      <c r="J439" s="25"/>
      <c r="K439" s="21"/>
      <c r="L439" s="21"/>
      <c r="M439" s="21"/>
      <c r="N439" s="25"/>
      <c r="O439" s="25"/>
      <c r="P439" s="32"/>
      <c r="Q439" s="25"/>
      <c r="R439" s="25"/>
      <c r="S439" s="33"/>
      <c r="T439" s="33"/>
      <c r="U439" s="33"/>
      <c r="V439" s="33"/>
      <c r="W439" s="25"/>
      <c r="X439" s="25"/>
      <c r="Y439" s="25"/>
      <c r="Z439" s="33"/>
      <c r="AA439" s="34" t="str">
        <f aca="true">IF($T439="","",IF($T439&lt;TODAY(),"已过期 "&amp;TEXT(TODAY()-$T439,"0")&amp;" 天",IF($T439-TODAY()&lt;=年检提醒天,"还剩 "&amp;TEXT($T439-TODAY(),"0")&amp;" 天","")))</f>
        <v/>
      </c>
      <c r="AB439" s="34" t="str">
        <f aca="true">IF(COUNT($U439:$V439)=0,"",IF(MIN($U439:$V439)&lt;TODAY(),"已过期 "&amp;TEXT(TODAY()-MIN($U439:$V439),"0")&amp;" 天",IF(MIN($U439:$V439)-TODAY()&lt;=年检提醒天,"还剩 "&amp;TEXT(MIN($U439:$V439)-TODAY(),"0")&amp;" 天","")))</f>
        <v/>
      </c>
      <c r="AC439" s="34" t="str">
        <f aca="true">IF($C439="","",IF(OR($Y439="安装免保",$Y439="技术免保",$Y439="质保期内"),IF($Z439="","▲免保没填到期日",IF($Z439&lt;TODAY(),"▲免保已到期 该转收费了",IF($Z439-TODAY()&lt;=合同提醒天,"免保还剩 "&amp;TEXT($Z439-TODAY(),"0")&amp;" 天","免保中"))),IF($Y439="暂停维保","暂停中 不计费",IF($Y439="已解约","已解约",IF(COUNTIF(合同键,$E439)=0,"▲还没建合同行","")))))</f>
        <v/>
      </c>
      <c r="AD439" s="24"/>
      <c r="AE439" s="35" t="str">
        <f aca="false">IF($C439="","",IF($D439="","★项目名称没填",IF(N($P439)&lt;=0,"★台量要填",IF(AND(OR($Y439="安装免保",$Y439="技术免保",$Y439="质保期内"),$Z439=""),"★免保到期日没填",IF(COUNTIF(合同键,$E439)=0,"★还没建合同行","OK")))))</f>
        <v/>
      </c>
    </row>
    <row r="440" customFormat="false" ht="15" hidden="false" customHeight="false" outlineLevel="0" collapsed="false">
      <c r="A440" s="29" t="str">
        <f aca="false">IF($C440="","",ROW()-4)</f>
        <v/>
      </c>
      <c r="B440" s="25"/>
      <c r="C440" s="24"/>
      <c r="D440" s="24"/>
      <c r="E440" s="30" t="str">
        <f aca="false">IF($C440="","",$C440&amp;" ｜ "&amp;$D440)</f>
        <v/>
      </c>
      <c r="F440" s="25"/>
      <c r="G440" s="25"/>
      <c r="H440" s="25"/>
      <c r="I440" s="25"/>
      <c r="J440" s="25"/>
      <c r="K440" s="21"/>
      <c r="L440" s="21"/>
      <c r="M440" s="21"/>
      <c r="N440" s="25"/>
      <c r="O440" s="25"/>
      <c r="P440" s="32"/>
      <c r="Q440" s="25"/>
      <c r="R440" s="25"/>
      <c r="S440" s="33"/>
      <c r="T440" s="33"/>
      <c r="U440" s="33"/>
      <c r="V440" s="33"/>
      <c r="W440" s="25"/>
      <c r="X440" s="25"/>
      <c r="Y440" s="25"/>
      <c r="Z440" s="33"/>
      <c r="AA440" s="34" t="str">
        <f aca="true">IF($T440="","",IF($T440&lt;TODAY(),"已过期 "&amp;TEXT(TODAY()-$T440,"0")&amp;" 天",IF($T440-TODAY()&lt;=年检提醒天,"还剩 "&amp;TEXT($T440-TODAY(),"0")&amp;" 天","")))</f>
        <v/>
      </c>
      <c r="AB440" s="34" t="str">
        <f aca="true">IF(COUNT($U440:$V440)=0,"",IF(MIN($U440:$V440)&lt;TODAY(),"已过期 "&amp;TEXT(TODAY()-MIN($U440:$V440),"0")&amp;" 天",IF(MIN($U440:$V440)-TODAY()&lt;=年检提醒天,"还剩 "&amp;TEXT(MIN($U440:$V440)-TODAY(),"0")&amp;" 天","")))</f>
        <v/>
      </c>
      <c r="AC440" s="34" t="str">
        <f aca="true">IF($C440="","",IF(OR($Y440="安装免保",$Y440="技术免保",$Y440="质保期内"),IF($Z440="","▲免保没填到期日",IF($Z440&lt;TODAY(),"▲免保已到期 该转收费了",IF($Z440-TODAY()&lt;=合同提醒天,"免保还剩 "&amp;TEXT($Z440-TODAY(),"0")&amp;" 天","免保中"))),IF($Y440="暂停维保","暂停中 不计费",IF($Y440="已解约","已解约",IF(COUNTIF(合同键,$E440)=0,"▲还没建合同行","")))))</f>
        <v/>
      </c>
      <c r="AD440" s="24"/>
      <c r="AE440" s="35" t="str">
        <f aca="false">IF($C440="","",IF($D440="","★项目名称没填",IF(N($P440)&lt;=0,"★台量要填",IF(AND(OR($Y440="安装免保",$Y440="技术免保",$Y440="质保期内"),$Z440=""),"★免保到期日没填",IF(COUNTIF(合同键,$E440)=0,"★还没建合同行","OK")))))</f>
        <v/>
      </c>
    </row>
    <row r="441" customFormat="false" ht="15" hidden="false" customHeight="false" outlineLevel="0" collapsed="false">
      <c r="A441" s="29" t="str">
        <f aca="false">IF($C441="","",ROW()-4)</f>
        <v/>
      </c>
      <c r="B441" s="25"/>
      <c r="C441" s="24"/>
      <c r="D441" s="24"/>
      <c r="E441" s="30" t="str">
        <f aca="false">IF($C441="","",$C441&amp;" ｜ "&amp;$D441)</f>
        <v/>
      </c>
      <c r="F441" s="25"/>
      <c r="G441" s="25"/>
      <c r="H441" s="25"/>
      <c r="I441" s="25"/>
      <c r="J441" s="25"/>
      <c r="K441" s="21"/>
      <c r="L441" s="21"/>
      <c r="M441" s="21"/>
      <c r="N441" s="25"/>
      <c r="O441" s="25"/>
      <c r="P441" s="32"/>
      <c r="Q441" s="25"/>
      <c r="R441" s="25"/>
      <c r="S441" s="33"/>
      <c r="T441" s="33"/>
      <c r="U441" s="33"/>
      <c r="V441" s="33"/>
      <c r="W441" s="25"/>
      <c r="X441" s="25"/>
      <c r="Y441" s="25"/>
      <c r="Z441" s="33"/>
      <c r="AA441" s="34" t="str">
        <f aca="true">IF($T441="","",IF($T441&lt;TODAY(),"已过期 "&amp;TEXT(TODAY()-$T441,"0")&amp;" 天",IF($T441-TODAY()&lt;=年检提醒天,"还剩 "&amp;TEXT($T441-TODAY(),"0")&amp;" 天","")))</f>
        <v/>
      </c>
      <c r="AB441" s="34" t="str">
        <f aca="true">IF(COUNT($U441:$V441)=0,"",IF(MIN($U441:$V441)&lt;TODAY(),"已过期 "&amp;TEXT(TODAY()-MIN($U441:$V441),"0")&amp;" 天",IF(MIN($U441:$V441)-TODAY()&lt;=年检提醒天,"还剩 "&amp;TEXT(MIN($U441:$V441)-TODAY(),"0")&amp;" 天","")))</f>
        <v/>
      </c>
      <c r="AC441" s="34" t="str">
        <f aca="true">IF($C441="","",IF(OR($Y441="安装免保",$Y441="技术免保",$Y441="质保期内"),IF($Z441="","▲免保没填到期日",IF($Z441&lt;TODAY(),"▲免保已到期 该转收费了",IF($Z441-TODAY()&lt;=合同提醒天,"免保还剩 "&amp;TEXT($Z441-TODAY(),"0")&amp;" 天","免保中"))),IF($Y441="暂停维保","暂停中 不计费",IF($Y441="已解约","已解约",IF(COUNTIF(合同键,$E441)=0,"▲还没建合同行","")))))</f>
        <v/>
      </c>
      <c r="AD441" s="24"/>
      <c r="AE441" s="35" t="str">
        <f aca="false">IF($C441="","",IF($D441="","★项目名称没填",IF(N($P441)&lt;=0,"★台量要填",IF(AND(OR($Y441="安装免保",$Y441="技术免保",$Y441="质保期内"),$Z441=""),"★免保到期日没填",IF(COUNTIF(合同键,$E441)=0,"★还没建合同行","OK")))))</f>
        <v/>
      </c>
    </row>
    <row r="442" customFormat="false" ht="15" hidden="false" customHeight="false" outlineLevel="0" collapsed="false">
      <c r="A442" s="29" t="str">
        <f aca="false">IF($C442="","",ROW()-4)</f>
        <v/>
      </c>
      <c r="B442" s="25"/>
      <c r="C442" s="24"/>
      <c r="D442" s="24"/>
      <c r="E442" s="30" t="str">
        <f aca="false">IF($C442="","",$C442&amp;" ｜ "&amp;$D442)</f>
        <v/>
      </c>
      <c r="F442" s="25"/>
      <c r="G442" s="25"/>
      <c r="H442" s="25"/>
      <c r="I442" s="25"/>
      <c r="J442" s="25"/>
      <c r="K442" s="21"/>
      <c r="L442" s="21"/>
      <c r="M442" s="21"/>
      <c r="N442" s="25"/>
      <c r="O442" s="25"/>
      <c r="P442" s="32"/>
      <c r="Q442" s="25"/>
      <c r="R442" s="25"/>
      <c r="S442" s="33"/>
      <c r="T442" s="33"/>
      <c r="U442" s="33"/>
      <c r="V442" s="33"/>
      <c r="W442" s="25"/>
      <c r="X442" s="25"/>
      <c r="Y442" s="25"/>
      <c r="Z442" s="33"/>
      <c r="AA442" s="34" t="str">
        <f aca="true">IF($T442="","",IF($T442&lt;TODAY(),"已过期 "&amp;TEXT(TODAY()-$T442,"0")&amp;" 天",IF($T442-TODAY()&lt;=年检提醒天,"还剩 "&amp;TEXT($T442-TODAY(),"0")&amp;" 天","")))</f>
        <v/>
      </c>
      <c r="AB442" s="34" t="str">
        <f aca="true">IF(COUNT($U442:$V442)=0,"",IF(MIN($U442:$V442)&lt;TODAY(),"已过期 "&amp;TEXT(TODAY()-MIN($U442:$V442),"0")&amp;" 天",IF(MIN($U442:$V442)-TODAY()&lt;=年检提醒天,"还剩 "&amp;TEXT(MIN($U442:$V442)-TODAY(),"0")&amp;" 天","")))</f>
        <v/>
      </c>
      <c r="AC442" s="34" t="str">
        <f aca="true">IF($C442="","",IF(OR($Y442="安装免保",$Y442="技术免保",$Y442="质保期内"),IF($Z442="","▲免保没填到期日",IF($Z442&lt;TODAY(),"▲免保已到期 该转收费了",IF($Z442-TODAY()&lt;=合同提醒天,"免保还剩 "&amp;TEXT($Z442-TODAY(),"0")&amp;" 天","免保中"))),IF($Y442="暂停维保","暂停中 不计费",IF($Y442="已解约","已解约",IF(COUNTIF(合同键,$E442)=0,"▲还没建合同行","")))))</f>
        <v/>
      </c>
      <c r="AD442" s="24"/>
      <c r="AE442" s="35" t="str">
        <f aca="false">IF($C442="","",IF($D442="","★项目名称没填",IF(N($P442)&lt;=0,"★台量要填",IF(AND(OR($Y442="安装免保",$Y442="技术免保",$Y442="质保期内"),$Z442=""),"★免保到期日没填",IF(COUNTIF(合同键,$E442)=0,"★还没建合同行","OK")))))</f>
        <v/>
      </c>
    </row>
    <row r="443" customFormat="false" ht="15" hidden="false" customHeight="false" outlineLevel="0" collapsed="false">
      <c r="A443" s="29" t="str">
        <f aca="false">IF($C443="","",ROW()-4)</f>
        <v/>
      </c>
      <c r="B443" s="25"/>
      <c r="C443" s="24"/>
      <c r="D443" s="24"/>
      <c r="E443" s="30" t="str">
        <f aca="false">IF($C443="","",$C443&amp;" ｜ "&amp;$D443)</f>
        <v/>
      </c>
      <c r="F443" s="25"/>
      <c r="G443" s="25"/>
      <c r="H443" s="25"/>
      <c r="I443" s="25"/>
      <c r="J443" s="25"/>
      <c r="K443" s="21"/>
      <c r="L443" s="21"/>
      <c r="M443" s="21"/>
      <c r="N443" s="25"/>
      <c r="O443" s="25"/>
      <c r="P443" s="32"/>
      <c r="Q443" s="25"/>
      <c r="R443" s="25"/>
      <c r="S443" s="33"/>
      <c r="T443" s="33"/>
      <c r="U443" s="33"/>
      <c r="V443" s="33"/>
      <c r="W443" s="25"/>
      <c r="X443" s="25"/>
      <c r="Y443" s="25"/>
      <c r="Z443" s="33"/>
      <c r="AA443" s="34" t="str">
        <f aca="true">IF($T443="","",IF($T443&lt;TODAY(),"已过期 "&amp;TEXT(TODAY()-$T443,"0")&amp;" 天",IF($T443-TODAY()&lt;=年检提醒天,"还剩 "&amp;TEXT($T443-TODAY(),"0")&amp;" 天","")))</f>
        <v/>
      </c>
      <c r="AB443" s="34" t="str">
        <f aca="true">IF(COUNT($U443:$V443)=0,"",IF(MIN($U443:$V443)&lt;TODAY(),"已过期 "&amp;TEXT(TODAY()-MIN($U443:$V443),"0")&amp;" 天",IF(MIN($U443:$V443)-TODAY()&lt;=年检提醒天,"还剩 "&amp;TEXT(MIN($U443:$V443)-TODAY(),"0")&amp;" 天","")))</f>
        <v/>
      </c>
      <c r="AC443" s="34" t="str">
        <f aca="true">IF($C443="","",IF(OR($Y443="安装免保",$Y443="技术免保",$Y443="质保期内"),IF($Z443="","▲免保没填到期日",IF($Z443&lt;TODAY(),"▲免保已到期 该转收费了",IF($Z443-TODAY()&lt;=合同提醒天,"免保还剩 "&amp;TEXT($Z443-TODAY(),"0")&amp;" 天","免保中"))),IF($Y443="暂停维保","暂停中 不计费",IF($Y443="已解约","已解约",IF(COUNTIF(合同键,$E443)=0,"▲还没建合同行","")))))</f>
        <v/>
      </c>
      <c r="AD443" s="24"/>
      <c r="AE443" s="35" t="str">
        <f aca="false">IF($C443="","",IF($D443="","★项目名称没填",IF(N($P443)&lt;=0,"★台量要填",IF(AND(OR($Y443="安装免保",$Y443="技术免保",$Y443="质保期内"),$Z443=""),"★免保到期日没填",IF(COUNTIF(合同键,$E443)=0,"★还没建合同行","OK")))))</f>
        <v/>
      </c>
    </row>
    <row r="444" customFormat="false" ht="15" hidden="false" customHeight="false" outlineLevel="0" collapsed="false">
      <c r="A444" s="29" t="str">
        <f aca="false">IF($C444="","",ROW()-4)</f>
        <v/>
      </c>
      <c r="B444" s="25"/>
      <c r="C444" s="24"/>
      <c r="D444" s="24"/>
      <c r="E444" s="30" t="str">
        <f aca="false">IF($C444="","",$C444&amp;" ｜ "&amp;$D444)</f>
        <v/>
      </c>
      <c r="F444" s="25"/>
      <c r="G444" s="25"/>
      <c r="H444" s="25"/>
      <c r="I444" s="25"/>
      <c r="J444" s="25"/>
      <c r="K444" s="21"/>
      <c r="L444" s="21"/>
      <c r="M444" s="21"/>
      <c r="N444" s="25"/>
      <c r="O444" s="25"/>
      <c r="P444" s="32"/>
      <c r="Q444" s="25"/>
      <c r="R444" s="25"/>
      <c r="S444" s="33"/>
      <c r="T444" s="33"/>
      <c r="U444" s="33"/>
      <c r="V444" s="33"/>
      <c r="W444" s="25"/>
      <c r="X444" s="25"/>
      <c r="Y444" s="25"/>
      <c r="Z444" s="33"/>
      <c r="AA444" s="34" t="str">
        <f aca="true">IF($T444="","",IF($T444&lt;TODAY(),"已过期 "&amp;TEXT(TODAY()-$T444,"0")&amp;" 天",IF($T444-TODAY()&lt;=年检提醒天,"还剩 "&amp;TEXT($T444-TODAY(),"0")&amp;" 天","")))</f>
        <v/>
      </c>
      <c r="AB444" s="34" t="str">
        <f aca="true">IF(COUNT($U444:$V444)=0,"",IF(MIN($U444:$V444)&lt;TODAY(),"已过期 "&amp;TEXT(TODAY()-MIN($U444:$V444),"0")&amp;" 天",IF(MIN($U444:$V444)-TODAY()&lt;=年检提醒天,"还剩 "&amp;TEXT(MIN($U444:$V444)-TODAY(),"0")&amp;" 天","")))</f>
        <v/>
      </c>
      <c r="AC444" s="34" t="str">
        <f aca="true">IF($C444="","",IF(OR($Y444="安装免保",$Y444="技术免保",$Y444="质保期内"),IF($Z444="","▲免保没填到期日",IF($Z444&lt;TODAY(),"▲免保已到期 该转收费了",IF($Z444-TODAY()&lt;=合同提醒天,"免保还剩 "&amp;TEXT($Z444-TODAY(),"0")&amp;" 天","免保中"))),IF($Y444="暂停维保","暂停中 不计费",IF($Y444="已解约","已解约",IF(COUNTIF(合同键,$E444)=0,"▲还没建合同行","")))))</f>
        <v/>
      </c>
      <c r="AD444" s="24"/>
      <c r="AE444" s="35" t="str">
        <f aca="false">IF($C444="","",IF($D444="","★项目名称没填",IF(N($P444)&lt;=0,"★台量要填",IF(AND(OR($Y444="安装免保",$Y444="技术免保",$Y444="质保期内"),$Z444=""),"★免保到期日没填",IF(COUNTIF(合同键,$E444)=0,"★还没建合同行","OK")))))</f>
        <v/>
      </c>
    </row>
    <row r="445" customFormat="false" ht="15" hidden="false" customHeight="false" outlineLevel="0" collapsed="false">
      <c r="A445" s="29" t="str">
        <f aca="false">IF($C445="","",ROW()-4)</f>
        <v/>
      </c>
      <c r="B445" s="25"/>
      <c r="C445" s="24"/>
      <c r="D445" s="24"/>
      <c r="E445" s="30" t="str">
        <f aca="false">IF($C445="","",$C445&amp;" ｜ "&amp;$D445)</f>
        <v/>
      </c>
      <c r="F445" s="25"/>
      <c r="G445" s="25"/>
      <c r="H445" s="25"/>
      <c r="I445" s="25"/>
      <c r="J445" s="25"/>
      <c r="K445" s="21"/>
      <c r="L445" s="21"/>
      <c r="M445" s="21"/>
      <c r="N445" s="25"/>
      <c r="O445" s="25"/>
      <c r="P445" s="32"/>
      <c r="Q445" s="25"/>
      <c r="R445" s="25"/>
      <c r="S445" s="33"/>
      <c r="T445" s="33"/>
      <c r="U445" s="33"/>
      <c r="V445" s="33"/>
      <c r="W445" s="25"/>
      <c r="X445" s="25"/>
      <c r="Y445" s="25"/>
      <c r="Z445" s="33"/>
      <c r="AA445" s="34" t="str">
        <f aca="true">IF($T445="","",IF($T445&lt;TODAY(),"已过期 "&amp;TEXT(TODAY()-$T445,"0")&amp;" 天",IF($T445-TODAY()&lt;=年检提醒天,"还剩 "&amp;TEXT($T445-TODAY(),"0")&amp;" 天","")))</f>
        <v/>
      </c>
      <c r="AB445" s="34" t="str">
        <f aca="true">IF(COUNT($U445:$V445)=0,"",IF(MIN($U445:$V445)&lt;TODAY(),"已过期 "&amp;TEXT(TODAY()-MIN($U445:$V445),"0")&amp;" 天",IF(MIN($U445:$V445)-TODAY()&lt;=年检提醒天,"还剩 "&amp;TEXT(MIN($U445:$V445)-TODAY(),"0")&amp;" 天","")))</f>
        <v/>
      </c>
      <c r="AC445" s="34" t="str">
        <f aca="true">IF($C445="","",IF(OR($Y445="安装免保",$Y445="技术免保",$Y445="质保期内"),IF($Z445="","▲免保没填到期日",IF($Z445&lt;TODAY(),"▲免保已到期 该转收费了",IF($Z445-TODAY()&lt;=合同提醒天,"免保还剩 "&amp;TEXT($Z445-TODAY(),"0")&amp;" 天","免保中"))),IF($Y445="暂停维保","暂停中 不计费",IF($Y445="已解约","已解约",IF(COUNTIF(合同键,$E445)=0,"▲还没建合同行","")))))</f>
        <v/>
      </c>
      <c r="AD445" s="24"/>
      <c r="AE445" s="35" t="str">
        <f aca="false">IF($C445="","",IF($D445="","★项目名称没填",IF(N($P445)&lt;=0,"★台量要填",IF(AND(OR($Y445="安装免保",$Y445="技术免保",$Y445="质保期内"),$Z445=""),"★免保到期日没填",IF(COUNTIF(合同键,$E445)=0,"★还没建合同行","OK")))))</f>
        <v/>
      </c>
    </row>
    <row r="446" customFormat="false" ht="15" hidden="false" customHeight="false" outlineLevel="0" collapsed="false">
      <c r="A446" s="29" t="str">
        <f aca="false">IF($C446="","",ROW()-4)</f>
        <v/>
      </c>
      <c r="B446" s="25"/>
      <c r="C446" s="24"/>
      <c r="D446" s="24"/>
      <c r="E446" s="30" t="str">
        <f aca="false">IF($C446="","",$C446&amp;" ｜ "&amp;$D446)</f>
        <v/>
      </c>
      <c r="F446" s="25"/>
      <c r="G446" s="25"/>
      <c r="H446" s="25"/>
      <c r="I446" s="25"/>
      <c r="J446" s="25"/>
      <c r="K446" s="21"/>
      <c r="L446" s="21"/>
      <c r="M446" s="21"/>
      <c r="N446" s="25"/>
      <c r="O446" s="25"/>
      <c r="P446" s="32"/>
      <c r="Q446" s="25"/>
      <c r="R446" s="25"/>
      <c r="S446" s="33"/>
      <c r="T446" s="33"/>
      <c r="U446" s="33"/>
      <c r="V446" s="33"/>
      <c r="W446" s="25"/>
      <c r="X446" s="25"/>
      <c r="Y446" s="25"/>
      <c r="Z446" s="33"/>
      <c r="AA446" s="34" t="str">
        <f aca="true">IF($T446="","",IF($T446&lt;TODAY(),"已过期 "&amp;TEXT(TODAY()-$T446,"0")&amp;" 天",IF($T446-TODAY()&lt;=年检提醒天,"还剩 "&amp;TEXT($T446-TODAY(),"0")&amp;" 天","")))</f>
        <v/>
      </c>
      <c r="AB446" s="34" t="str">
        <f aca="true">IF(COUNT($U446:$V446)=0,"",IF(MIN($U446:$V446)&lt;TODAY(),"已过期 "&amp;TEXT(TODAY()-MIN($U446:$V446),"0")&amp;" 天",IF(MIN($U446:$V446)-TODAY()&lt;=年检提醒天,"还剩 "&amp;TEXT(MIN($U446:$V446)-TODAY(),"0")&amp;" 天","")))</f>
        <v/>
      </c>
      <c r="AC446" s="34" t="str">
        <f aca="true">IF($C446="","",IF(OR($Y446="安装免保",$Y446="技术免保",$Y446="质保期内"),IF($Z446="","▲免保没填到期日",IF($Z446&lt;TODAY(),"▲免保已到期 该转收费了",IF($Z446-TODAY()&lt;=合同提醒天,"免保还剩 "&amp;TEXT($Z446-TODAY(),"0")&amp;" 天","免保中"))),IF($Y446="暂停维保","暂停中 不计费",IF($Y446="已解约","已解约",IF(COUNTIF(合同键,$E446)=0,"▲还没建合同行","")))))</f>
        <v/>
      </c>
      <c r="AD446" s="24"/>
      <c r="AE446" s="35" t="str">
        <f aca="false">IF($C446="","",IF($D446="","★项目名称没填",IF(N($P446)&lt;=0,"★台量要填",IF(AND(OR($Y446="安装免保",$Y446="技术免保",$Y446="质保期内"),$Z446=""),"★免保到期日没填",IF(COUNTIF(合同键,$E446)=0,"★还没建合同行","OK")))))</f>
        <v/>
      </c>
    </row>
    <row r="447" customFormat="false" ht="15" hidden="false" customHeight="false" outlineLevel="0" collapsed="false">
      <c r="A447" s="29" t="str">
        <f aca="false">IF($C447="","",ROW()-4)</f>
        <v/>
      </c>
      <c r="B447" s="25"/>
      <c r="C447" s="24"/>
      <c r="D447" s="24"/>
      <c r="E447" s="30" t="str">
        <f aca="false">IF($C447="","",$C447&amp;" ｜ "&amp;$D447)</f>
        <v/>
      </c>
      <c r="F447" s="25"/>
      <c r="G447" s="25"/>
      <c r="H447" s="25"/>
      <c r="I447" s="25"/>
      <c r="J447" s="25"/>
      <c r="K447" s="21"/>
      <c r="L447" s="21"/>
      <c r="M447" s="21"/>
      <c r="N447" s="25"/>
      <c r="O447" s="25"/>
      <c r="P447" s="32"/>
      <c r="Q447" s="25"/>
      <c r="R447" s="25"/>
      <c r="S447" s="33"/>
      <c r="T447" s="33"/>
      <c r="U447" s="33"/>
      <c r="V447" s="33"/>
      <c r="W447" s="25"/>
      <c r="X447" s="25"/>
      <c r="Y447" s="25"/>
      <c r="Z447" s="33"/>
      <c r="AA447" s="34" t="str">
        <f aca="true">IF($T447="","",IF($T447&lt;TODAY(),"已过期 "&amp;TEXT(TODAY()-$T447,"0")&amp;" 天",IF($T447-TODAY()&lt;=年检提醒天,"还剩 "&amp;TEXT($T447-TODAY(),"0")&amp;" 天","")))</f>
        <v/>
      </c>
      <c r="AB447" s="34" t="str">
        <f aca="true">IF(COUNT($U447:$V447)=0,"",IF(MIN($U447:$V447)&lt;TODAY(),"已过期 "&amp;TEXT(TODAY()-MIN($U447:$V447),"0")&amp;" 天",IF(MIN($U447:$V447)-TODAY()&lt;=年检提醒天,"还剩 "&amp;TEXT(MIN($U447:$V447)-TODAY(),"0")&amp;" 天","")))</f>
        <v/>
      </c>
      <c r="AC447" s="34" t="str">
        <f aca="true">IF($C447="","",IF(OR($Y447="安装免保",$Y447="技术免保",$Y447="质保期内"),IF($Z447="","▲免保没填到期日",IF($Z447&lt;TODAY(),"▲免保已到期 该转收费了",IF($Z447-TODAY()&lt;=合同提醒天,"免保还剩 "&amp;TEXT($Z447-TODAY(),"0")&amp;" 天","免保中"))),IF($Y447="暂停维保","暂停中 不计费",IF($Y447="已解约","已解约",IF(COUNTIF(合同键,$E447)=0,"▲还没建合同行","")))))</f>
        <v/>
      </c>
      <c r="AD447" s="24"/>
      <c r="AE447" s="35" t="str">
        <f aca="false">IF($C447="","",IF($D447="","★项目名称没填",IF(N($P447)&lt;=0,"★台量要填",IF(AND(OR($Y447="安装免保",$Y447="技术免保",$Y447="质保期内"),$Z447=""),"★免保到期日没填",IF(COUNTIF(合同键,$E447)=0,"★还没建合同行","OK")))))</f>
        <v/>
      </c>
    </row>
    <row r="448" customFormat="false" ht="15" hidden="false" customHeight="false" outlineLevel="0" collapsed="false">
      <c r="A448" s="29" t="str">
        <f aca="false">IF($C448="","",ROW()-4)</f>
        <v/>
      </c>
      <c r="B448" s="25"/>
      <c r="C448" s="24"/>
      <c r="D448" s="24"/>
      <c r="E448" s="30" t="str">
        <f aca="false">IF($C448="","",$C448&amp;" ｜ "&amp;$D448)</f>
        <v/>
      </c>
      <c r="F448" s="25"/>
      <c r="G448" s="25"/>
      <c r="H448" s="25"/>
      <c r="I448" s="25"/>
      <c r="J448" s="25"/>
      <c r="K448" s="21"/>
      <c r="L448" s="21"/>
      <c r="M448" s="21"/>
      <c r="N448" s="25"/>
      <c r="O448" s="25"/>
      <c r="P448" s="32"/>
      <c r="Q448" s="25"/>
      <c r="R448" s="25"/>
      <c r="S448" s="33"/>
      <c r="T448" s="33"/>
      <c r="U448" s="33"/>
      <c r="V448" s="33"/>
      <c r="W448" s="25"/>
      <c r="X448" s="25"/>
      <c r="Y448" s="25"/>
      <c r="Z448" s="33"/>
      <c r="AA448" s="34" t="str">
        <f aca="true">IF($T448="","",IF($T448&lt;TODAY(),"已过期 "&amp;TEXT(TODAY()-$T448,"0")&amp;" 天",IF($T448-TODAY()&lt;=年检提醒天,"还剩 "&amp;TEXT($T448-TODAY(),"0")&amp;" 天","")))</f>
        <v/>
      </c>
      <c r="AB448" s="34" t="str">
        <f aca="true">IF(COUNT($U448:$V448)=0,"",IF(MIN($U448:$V448)&lt;TODAY(),"已过期 "&amp;TEXT(TODAY()-MIN($U448:$V448),"0")&amp;" 天",IF(MIN($U448:$V448)-TODAY()&lt;=年检提醒天,"还剩 "&amp;TEXT(MIN($U448:$V448)-TODAY(),"0")&amp;" 天","")))</f>
        <v/>
      </c>
      <c r="AC448" s="34" t="str">
        <f aca="true">IF($C448="","",IF(OR($Y448="安装免保",$Y448="技术免保",$Y448="质保期内"),IF($Z448="","▲免保没填到期日",IF($Z448&lt;TODAY(),"▲免保已到期 该转收费了",IF($Z448-TODAY()&lt;=合同提醒天,"免保还剩 "&amp;TEXT($Z448-TODAY(),"0")&amp;" 天","免保中"))),IF($Y448="暂停维保","暂停中 不计费",IF($Y448="已解约","已解约",IF(COUNTIF(合同键,$E448)=0,"▲还没建合同行","")))))</f>
        <v/>
      </c>
      <c r="AD448" s="24"/>
      <c r="AE448" s="35" t="str">
        <f aca="false">IF($C448="","",IF($D448="","★项目名称没填",IF(N($P448)&lt;=0,"★台量要填",IF(AND(OR($Y448="安装免保",$Y448="技术免保",$Y448="质保期内"),$Z448=""),"★免保到期日没填",IF(COUNTIF(合同键,$E448)=0,"★还没建合同行","OK")))))</f>
        <v/>
      </c>
    </row>
    <row r="449" customFormat="false" ht="15" hidden="false" customHeight="false" outlineLevel="0" collapsed="false">
      <c r="A449" s="29" t="str">
        <f aca="false">IF($C449="","",ROW()-4)</f>
        <v/>
      </c>
      <c r="B449" s="25"/>
      <c r="C449" s="24"/>
      <c r="D449" s="24"/>
      <c r="E449" s="30" t="str">
        <f aca="false">IF($C449="","",$C449&amp;" ｜ "&amp;$D449)</f>
        <v/>
      </c>
      <c r="F449" s="25"/>
      <c r="G449" s="25"/>
      <c r="H449" s="25"/>
      <c r="I449" s="25"/>
      <c r="J449" s="25"/>
      <c r="K449" s="21"/>
      <c r="L449" s="21"/>
      <c r="M449" s="21"/>
      <c r="N449" s="25"/>
      <c r="O449" s="25"/>
      <c r="P449" s="32"/>
      <c r="Q449" s="25"/>
      <c r="R449" s="25"/>
      <c r="S449" s="33"/>
      <c r="T449" s="33"/>
      <c r="U449" s="33"/>
      <c r="V449" s="33"/>
      <c r="W449" s="25"/>
      <c r="X449" s="25"/>
      <c r="Y449" s="25"/>
      <c r="Z449" s="33"/>
      <c r="AA449" s="34" t="str">
        <f aca="true">IF($T449="","",IF($T449&lt;TODAY(),"已过期 "&amp;TEXT(TODAY()-$T449,"0")&amp;" 天",IF($T449-TODAY()&lt;=年检提醒天,"还剩 "&amp;TEXT($T449-TODAY(),"0")&amp;" 天","")))</f>
        <v/>
      </c>
      <c r="AB449" s="34" t="str">
        <f aca="true">IF(COUNT($U449:$V449)=0,"",IF(MIN($U449:$V449)&lt;TODAY(),"已过期 "&amp;TEXT(TODAY()-MIN($U449:$V449),"0")&amp;" 天",IF(MIN($U449:$V449)-TODAY()&lt;=年检提醒天,"还剩 "&amp;TEXT(MIN($U449:$V449)-TODAY(),"0")&amp;" 天","")))</f>
        <v/>
      </c>
      <c r="AC449" s="34" t="str">
        <f aca="true">IF($C449="","",IF(OR($Y449="安装免保",$Y449="技术免保",$Y449="质保期内"),IF($Z449="","▲免保没填到期日",IF($Z449&lt;TODAY(),"▲免保已到期 该转收费了",IF($Z449-TODAY()&lt;=合同提醒天,"免保还剩 "&amp;TEXT($Z449-TODAY(),"0")&amp;" 天","免保中"))),IF($Y449="暂停维保","暂停中 不计费",IF($Y449="已解约","已解约",IF(COUNTIF(合同键,$E449)=0,"▲还没建合同行","")))))</f>
        <v/>
      </c>
      <c r="AD449" s="24"/>
      <c r="AE449" s="35" t="str">
        <f aca="false">IF($C449="","",IF($D449="","★项目名称没填",IF(N($P449)&lt;=0,"★台量要填",IF(AND(OR($Y449="安装免保",$Y449="技术免保",$Y449="质保期内"),$Z449=""),"★免保到期日没填",IF(COUNTIF(合同键,$E449)=0,"★还没建合同行","OK")))))</f>
        <v/>
      </c>
    </row>
    <row r="450" customFormat="false" ht="15" hidden="false" customHeight="false" outlineLevel="0" collapsed="false">
      <c r="A450" s="29" t="str">
        <f aca="false">IF($C450="","",ROW()-4)</f>
        <v/>
      </c>
      <c r="B450" s="25"/>
      <c r="C450" s="24"/>
      <c r="D450" s="24"/>
      <c r="E450" s="30" t="str">
        <f aca="false">IF($C450="","",$C450&amp;" ｜ "&amp;$D450)</f>
        <v/>
      </c>
      <c r="F450" s="25"/>
      <c r="G450" s="25"/>
      <c r="H450" s="25"/>
      <c r="I450" s="25"/>
      <c r="J450" s="25"/>
      <c r="K450" s="21"/>
      <c r="L450" s="21"/>
      <c r="M450" s="21"/>
      <c r="N450" s="25"/>
      <c r="O450" s="25"/>
      <c r="P450" s="32"/>
      <c r="Q450" s="25"/>
      <c r="R450" s="25"/>
      <c r="S450" s="33"/>
      <c r="T450" s="33"/>
      <c r="U450" s="33"/>
      <c r="V450" s="33"/>
      <c r="W450" s="25"/>
      <c r="X450" s="25"/>
      <c r="Y450" s="25"/>
      <c r="Z450" s="33"/>
      <c r="AA450" s="34" t="str">
        <f aca="true">IF($T450="","",IF($T450&lt;TODAY(),"已过期 "&amp;TEXT(TODAY()-$T450,"0")&amp;" 天",IF($T450-TODAY()&lt;=年检提醒天,"还剩 "&amp;TEXT($T450-TODAY(),"0")&amp;" 天","")))</f>
        <v/>
      </c>
      <c r="AB450" s="34" t="str">
        <f aca="true">IF(COUNT($U450:$V450)=0,"",IF(MIN($U450:$V450)&lt;TODAY(),"已过期 "&amp;TEXT(TODAY()-MIN($U450:$V450),"0")&amp;" 天",IF(MIN($U450:$V450)-TODAY()&lt;=年检提醒天,"还剩 "&amp;TEXT(MIN($U450:$V450)-TODAY(),"0")&amp;" 天","")))</f>
        <v/>
      </c>
      <c r="AC450" s="34" t="str">
        <f aca="true">IF($C450="","",IF(OR($Y450="安装免保",$Y450="技术免保",$Y450="质保期内"),IF($Z450="","▲免保没填到期日",IF($Z450&lt;TODAY(),"▲免保已到期 该转收费了",IF($Z450-TODAY()&lt;=合同提醒天,"免保还剩 "&amp;TEXT($Z450-TODAY(),"0")&amp;" 天","免保中"))),IF($Y450="暂停维保","暂停中 不计费",IF($Y450="已解约","已解约",IF(COUNTIF(合同键,$E450)=0,"▲还没建合同行","")))))</f>
        <v/>
      </c>
      <c r="AD450" s="24"/>
      <c r="AE450" s="35" t="str">
        <f aca="false">IF($C450="","",IF($D450="","★项目名称没填",IF(N($P450)&lt;=0,"★台量要填",IF(AND(OR($Y450="安装免保",$Y450="技术免保",$Y450="质保期内"),$Z450=""),"★免保到期日没填",IF(COUNTIF(合同键,$E450)=0,"★还没建合同行","OK")))))</f>
        <v/>
      </c>
    </row>
    <row r="451" customFormat="false" ht="15" hidden="false" customHeight="false" outlineLevel="0" collapsed="false">
      <c r="A451" s="29" t="str">
        <f aca="false">IF($C451="","",ROW()-4)</f>
        <v/>
      </c>
      <c r="B451" s="25"/>
      <c r="C451" s="24"/>
      <c r="D451" s="24"/>
      <c r="E451" s="30" t="str">
        <f aca="false">IF($C451="","",$C451&amp;" ｜ "&amp;$D451)</f>
        <v/>
      </c>
      <c r="F451" s="25"/>
      <c r="G451" s="25"/>
      <c r="H451" s="25"/>
      <c r="I451" s="25"/>
      <c r="J451" s="25"/>
      <c r="K451" s="21"/>
      <c r="L451" s="21"/>
      <c r="M451" s="21"/>
      <c r="N451" s="25"/>
      <c r="O451" s="25"/>
      <c r="P451" s="32"/>
      <c r="Q451" s="25"/>
      <c r="R451" s="25"/>
      <c r="S451" s="33"/>
      <c r="T451" s="33"/>
      <c r="U451" s="33"/>
      <c r="V451" s="33"/>
      <c r="W451" s="25"/>
      <c r="X451" s="25"/>
      <c r="Y451" s="25"/>
      <c r="Z451" s="33"/>
      <c r="AA451" s="34" t="str">
        <f aca="true">IF($T451="","",IF($T451&lt;TODAY(),"已过期 "&amp;TEXT(TODAY()-$T451,"0")&amp;" 天",IF($T451-TODAY()&lt;=年检提醒天,"还剩 "&amp;TEXT($T451-TODAY(),"0")&amp;" 天","")))</f>
        <v/>
      </c>
      <c r="AB451" s="34" t="str">
        <f aca="true">IF(COUNT($U451:$V451)=0,"",IF(MIN($U451:$V451)&lt;TODAY(),"已过期 "&amp;TEXT(TODAY()-MIN($U451:$V451),"0")&amp;" 天",IF(MIN($U451:$V451)-TODAY()&lt;=年检提醒天,"还剩 "&amp;TEXT(MIN($U451:$V451)-TODAY(),"0")&amp;" 天","")))</f>
        <v/>
      </c>
      <c r="AC451" s="34" t="str">
        <f aca="true">IF($C451="","",IF(OR($Y451="安装免保",$Y451="技术免保",$Y451="质保期内"),IF($Z451="","▲免保没填到期日",IF($Z451&lt;TODAY(),"▲免保已到期 该转收费了",IF($Z451-TODAY()&lt;=合同提醒天,"免保还剩 "&amp;TEXT($Z451-TODAY(),"0")&amp;" 天","免保中"))),IF($Y451="暂停维保","暂停中 不计费",IF($Y451="已解约","已解约",IF(COUNTIF(合同键,$E451)=0,"▲还没建合同行","")))))</f>
        <v/>
      </c>
      <c r="AD451" s="24"/>
      <c r="AE451" s="35" t="str">
        <f aca="false">IF($C451="","",IF($D451="","★项目名称没填",IF(N($P451)&lt;=0,"★台量要填",IF(AND(OR($Y451="安装免保",$Y451="技术免保",$Y451="质保期内"),$Z451=""),"★免保到期日没填",IF(COUNTIF(合同键,$E451)=0,"★还没建合同行","OK")))))</f>
        <v/>
      </c>
    </row>
    <row r="452" customFormat="false" ht="15" hidden="false" customHeight="false" outlineLevel="0" collapsed="false">
      <c r="A452" s="29" t="str">
        <f aca="false">IF($C452="","",ROW()-4)</f>
        <v/>
      </c>
      <c r="B452" s="25"/>
      <c r="C452" s="24"/>
      <c r="D452" s="24"/>
      <c r="E452" s="30" t="str">
        <f aca="false">IF($C452="","",$C452&amp;" ｜ "&amp;$D452)</f>
        <v/>
      </c>
      <c r="F452" s="25"/>
      <c r="G452" s="25"/>
      <c r="H452" s="25"/>
      <c r="I452" s="25"/>
      <c r="J452" s="25"/>
      <c r="K452" s="21"/>
      <c r="L452" s="21"/>
      <c r="M452" s="21"/>
      <c r="N452" s="25"/>
      <c r="O452" s="25"/>
      <c r="P452" s="32"/>
      <c r="Q452" s="25"/>
      <c r="R452" s="25"/>
      <c r="S452" s="33"/>
      <c r="T452" s="33"/>
      <c r="U452" s="33"/>
      <c r="V452" s="33"/>
      <c r="W452" s="25"/>
      <c r="X452" s="25"/>
      <c r="Y452" s="25"/>
      <c r="Z452" s="33"/>
      <c r="AA452" s="34" t="str">
        <f aca="true">IF($T452="","",IF($T452&lt;TODAY(),"已过期 "&amp;TEXT(TODAY()-$T452,"0")&amp;" 天",IF($T452-TODAY()&lt;=年检提醒天,"还剩 "&amp;TEXT($T452-TODAY(),"0")&amp;" 天","")))</f>
        <v/>
      </c>
      <c r="AB452" s="34" t="str">
        <f aca="true">IF(COUNT($U452:$V452)=0,"",IF(MIN($U452:$V452)&lt;TODAY(),"已过期 "&amp;TEXT(TODAY()-MIN($U452:$V452),"0")&amp;" 天",IF(MIN($U452:$V452)-TODAY()&lt;=年检提醒天,"还剩 "&amp;TEXT(MIN($U452:$V452)-TODAY(),"0")&amp;" 天","")))</f>
        <v/>
      </c>
      <c r="AC452" s="34" t="str">
        <f aca="true">IF($C452="","",IF(OR($Y452="安装免保",$Y452="技术免保",$Y452="质保期内"),IF($Z452="","▲免保没填到期日",IF($Z452&lt;TODAY(),"▲免保已到期 该转收费了",IF($Z452-TODAY()&lt;=合同提醒天,"免保还剩 "&amp;TEXT($Z452-TODAY(),"0")&amp;" 天","免保中"))),IF($Y452="暂停维保","暂停中 不计费",IF($Y452="已解约","已解约",IF(COUNTIF(合同键,$E452)=0,"▲还没建合同行","")))))</f>
        <v/>
      </c>
      <c r="AD452" s="24"/>
      <c r="AE452" s="35" t="str">
        <f aca="false">IF($C452="","",IF($D452="","★项目名称没填",IF(N($P452)&lt;=0,"★台量要填",IF(AND(OR($Y452="安装免保",$Y452="技术免保",$Y452="质保期内"),$Z452=""),"★免保到期日没填",IF(COUNTIF(合同键,$E452)=0,"★还没建合同行","OK")))))</f>
        <v/>
      </c>
    </row>
    <row r="453" customFormat="false" ht="15" hidden="false" customHeight="false" outlineLevel="0" collapsed="false">
      <c r="A453" s="29" t="str">
        <f aca="false">IF($C453="","",ROW()-4)</f>
        <v/>
      </c>
      <c r="B453" s="25"/>
      <c r="C453" s="24"/>
      <c r="D453" s="24"/>
      <c r="E453" s="30" t="str">
        <f aca="false">IF($C453="","",$C453&amp;" ｜ "&amp;$D453)</f>
        <v/>
      </c>
      <c r="F453" s="25"/>
      <c r="G453" s="25"/>
      <c r="H453" s="25"/>
      <c r="I453" s="25"/>
      <c r="J453" s="25"/>
      <c r="K453" s="21"/>
      <c r="L453" s="21"/>
      <c r="M453" s="21"/>
      <c r="N453" s="25"/>
      <c r="O453" s="25"/>
      <c r="P453" s="32"/>
      <c r="Q453" s="25"/>
      <c r="R453" s="25"/>
      <c r="S453" s="33"/>
      <c r="T453" s="33"/>
      <c r="U453" s="33"/>
      <c r="V453" s="33"/>
      <c r="W453" s="25"/>
      <c r="X453" s="25"/>
      <c r="Y453" s="25"/>
      <c r="Z453" s="33"/>
      <c r="AA453" s="34" t="str">
        <f aca="true">IF($T453="","",IF($T453&lt;TODAY(),"已过期 "&amp;TEXT(TODAY()-$T453,"0")&amp;" 天",IF($T453-TODAY()&lt;=年检提醒天,"还剩 "&amp;TEXT($T453-TODAY(),"0")&amp;" 天","")))</f>
        <v/>
      </c>
      <c r="AB453" s="34" t="str">
        <f aca="true">IF(COUNT($U453:$V453)=0,"",IF(MIN($U453:$V453)&lt;TODAY(),"已过期 "&amp;TEXT(TODAY()-MIN($U453:$V453),"0")&amp;" 天",IF(MIN($U453:$V453)-TODAY()&lt;=年检提醒天,"还剩 "&amp;TEXT(MIN($U453:$V453)-TODAY(),"0")&amp;" 天","")))</f>
        <v/>
      </c>
      <c r="AC453" s="34" t="str">
        <f aca="true">IF($C453="","",IF(OR($Y453="安装免保",$Y453="技术免保",$Y453="质保期内"),IF($Z453="","▲免保没填到期日",IF($Z453&lt;TODAY(),"▲免保已到期 该转收费了",IF($Z453-TODAY()&lt;=合同提醒天,"免保还剩 "&amp;TEXT($Z453-TODAY(),"0")&amp;" 天","免保中"))),IF($Y453="暂停维保","暂停中 不计费",IF($Y453="已解约","已解约",IF(COUNTIF(合同键,$E453)=0,"▲还没建合同行","")))))</f>
        <v/>
      </c>
      <c r="AD453" s="24"/>
      <c r="AE453" s="35" t="str">
        <f aca="false">IF($C453="","",IF($D453="","★项目名称没填",IF(N($P453)&lt;=0,"★台量要填",IF(AND(OR($Y453="安装免保",$Y453="技术免保",$Y453="质保期内"),$Z453=""),"★免保到期日没填",IF(COUNTIF(合同键,$E453)=0,"★还没建合同行","OK")))))</f>
        <v/>
      </c>
    </row>
    <row r="454" customFormat="false" ht="15" hidden="false" customHeight="false" outlineLevel="0" collapsed="false">
      <c r="A454" s="29" t="str">
        <f aca="false">IF($C454="","",ROW()-4)</f>
        <v/>
      </c>
      <c r="B454" s="25"/>
      <c r="C454" s="24"/>
      <c r="D454" s="24"/>
      <c r="E454" s="30" t="str">
        <f aca="false">IF($C454="","",$C454&amp;" ｜ "&amp;$D454)</f>
        <v/>
      </c>
      <c r="F454" s="25"/>
      <c r="G454" s="25"/>
      <c r="H454" s="25"/>
      <c r="I454" s="25"/>
      <c r="J454" s="25"/>
      <c r="K454" s="21"/>
      <c r="L454" s="21"/>
      <c r="M454" s="21"/>
      <c r="N454" s="25"/>
      <c r="O454" s="25"/>
      <c r="P454" s="32"/>
      <c r="Q454" s="25"/>
      <c r="R454" s="25"/>
      <c r="S454" s="33"/>
      <c r="T454" s="33"/>
      <c r="U454" s="33"/>
      <c r="V454" s="33"/>
      <c r="W454" s="25"/>
      <c r="X454" s="25"/>
      <c r="Y454" s="25"/>
      <c r="Z454" s="33"/>
      <c r="AA454" s="34" t="str">
        <f aca="true">IF($T454="","",IF($T454&lt;TODAY(),"已过期 "&amp;TEXT(TODAY()-$T454,"0")&amp;" 天",IF($T454-TODAY()&lt;=年检提醒天,"还剩 "&amp;TEXT($T454-TODAY(),"0")&amp;" 天","")))</f>
        <v/>
      </c>
      <c r="AB454" s="34" t="str">
        <f aca="true">IF(COUNT($U454:$V454)=0,"",IF(MIN($U454:$V454)&lt;TODAY(),"已过期 "&amp;TEXT(TODAY()-MIN($U454:$V454),"0")&amp;" 天",IF(MIN($U454:$V454)-TODAY()&lt;=年检提醒天,"还剩 "&amp;TEXT(MIN($U454:$V454)-TODAY(),"0")&amp;" 天","")))</f>
        <v/>
      </c>
      <c r="AC454" s="34" t="str">
        <f aca="true">IF($C454="","",IF(OR($Y454="安装免保",$Y454="技术免保",$Y454="质保期内"),IF($Z454="","▲免保没填到期日",IF($Z454&lt;TODAY(),"▲免保已到期 该转收费了",IF($Z454-TODAY()&lt;=合同提醒天,"免保还剩 "&amp;TEXT($Z454-TODAY(),"0")&amp;" 天","免保中"))),IF($Y454="暂停维保","暂停中 不计费",IF($Y454="已解约","已解约",IF(COUNTIF(合同键,$E454)=0,"▲还没建合同行","")))))</f>
        <v/>
      </c>
      <c r="AD454" s="24"/>
      <c r="AE454" s="35" t="str">
        <f aca="false">IF($C454="","",IF($D454="","★项目名称没填",IF(N($P454)&lt;=0,"★台量要填",IF(AND(OR($Y454="安装免保",$Y454="技术免保",$Y454="质保期内"),$Z454=""),"★免保到期日没填",IF(COUNTIF(合同键,$E454)=0,"★还没建合同行","OK")))))</f>
        <v/>
      </c>
    </row>
    <row r="455" customFormat="false" ht="15" hidden="false" customHeight="false" outlineLevel="0" collapsed="false">
      <c r="A455" s="29" t="str">
        <f aca="false">IF($C455="","",ROW()-4)</f>
        <v/>
      </c>
      <c r="B455" s="25"/>
      <c r="C455" s="24"/>
      <c r="D455" s="24"/>
      <c r="E455" s="30" t="str">
        <f aca="false">IF($C455="","",$C455&amp;" ｜ "&amp;$D455)</f>
        <v/>
      </c>
      <c r="F455" s="25"/>
      <c r="G455" s="25"/>
      <c r="H455" s="25"/>
      <c r="I455" s="25"/>
      <c r="J455" s="25"/>
      <c r="K455" s="21"/>
      <c r="L455" s="21"/>
      <c r="M455" s="21"/>
      <c r="N455" s="25"/>
      <c r="O455" s="25"/>
      <c r="P455" s="32"/>
      <c r="Q455" s="25"/>
      <c r="R455" s="25"/>
      <c r="S455" s="33"/>
      <c r="T455" s="33"/>
      <c r="U455" s="33"/>
      <c r="V455" s="33"/>
      <c r="W455" s="25"/>
      <c r="X455" s="25"/>
      <c r="Y455" s="25"/>
      <c r="Z455" s="33"/>
      <c r="AA455" s="34" t="str">
        <f aca="true">IF($T455="","",IF($T455&lt;TODAY(),"已过期 "&amp;TEXT(TODAY()-$T455,"0")&amp;" 天",IF($T455-TODAY()&lt;=年检提醒天,"还剩 "&amp;TEXT($T455-TODAY(),"0")&amp;" 天","")))</f>
        <v/>
      </c>
      <c r="AB455" s="34" t="str">
        <f aca="true">IF(COUNT($U455:$V455)=0,"",IF(MIN($U455:$V455)&lt;TODAY(),"已过期 "&amp;TEXT(TODAY()-MIN($U455:$V455),"0")&amp;" 天",IF(MIN($U455:$V455)-TODAY()&lt;=年检提醒天,"还剩 "&amp;TEXT(MIN($U455:$V455)-TODAY(),"0")&amp;" 天","")))</f>
        <v/>
      </c>
      <c r="AC455" s="34" t="str">
        <f aca="true">IF($C455="","",IF(OR($Y455="安装免保",$Y455="技术免保",$Y455="质保期内"),IF($Z455="","▲免保没填到期日",IF($Z455&lt;TODAY(),"▲免保已到期 该转收费了",IF($Z455-TODAY()&lt;=合同提醒天,"免保还剩 "&amp;TEXT($Z455-TODAY(),"0")&amp;" 天","免保中"))),IF($Y455="暂停维保","暂停中 不计费",IF($Y455="已解约","已解约",IF(COUNTIF(合同键,$E455)=0,"▲还没建合同行","")))))</f>
        <v/>
      </c>
      <c r="AD455" s="24"/>
      <c r="AE455" s="35" t="str">
        <f aca="false">IF($C455="","",IF($D455="","★项目名称没填",IF(N($P455)&lt;=0,"★台量要填",IF(AND(OR($Y455="安装免保",$Y455="技术免保",$Y455="质保期内"),$Z455=""),"★免保到期日没填",IF(COUNTIF(合同键,$E455)=0,"★还没建合同行","OK")))))</f>
        <v/>
      </c>
    </row>
    <row r="456" customFormat="false" ht="15" hidden="false" customHeight="false" outlineLevel="0" collapsed="false">
      <c r="A456" s="29" t="str">
        <f aca="false">IF($C456="","",ROW()-4)</f>
        <v/>
      </c>
      <c r="B456" s="25"/>
      <c r="C456" s="24"/>
      <c r="D456" s="24"/>
      <c r="E456" s="30" t="str">
        <f aca="false">IF($C456="","",$C456&amp;" ｜ "&amp;$D456)</f>
        <v/>
      </c>
      <c r="F456" s="25"/>
      <c r="G456" s="25"/>
      <c r="H456" s="25"/>
      <c r="I456" s="25"/>
      <c r="J456" s="25"/>
      <c r="K456" s="21"/>
      <c r="L456" s="21"/>
      <c r="M456" s="21"/>
      <c r="N456" s="25"/>
      <c r="O456" s="25"/>
      <c r="P456" s="32"/>
      <c r="Q456" s="25"/>
      <c r="R456" s="25"/>
      <c r="S456" s="33"/>
      <c r="T456" s="33"/>
      <c r="U456" s="33"/>
      <c r="V456" s="33"/>
      <c r="W456" s="25"/>
      <c r="X456" s="25"/>
      <c r="Y456" s="25"/>
      <c r="Z456" s="33"/>
      <c r="AA456" s="34" t="str">
        <f aca="true">IF($T456="","",IF($T456&lt;TODAY(),"已过期 "&amp;TEXT(TODAY()-$T456,"0")&amp;" 天",IF($T456-TODAY()&lt;=年检提醒天,"还剩 "&amp;TEXT($T456-TODAY(),"0")&amp;" 天","")))</f>
        <v/>
      </c>
      <c r="AB456" s="34" t="str">
        <f aca="true">IF(COUNT($U456:$V456)=0,"",IF(MIN($U456:$V456)&lt;TODAY(),"已过期 "&amp;TEXT(TODAY()-MIN($U456:$V456),"0")&amp;" 天",IF(MIN($U456:$V456)-TODAY()&lt;=年检提醒天,"还剩 "&amp;TEXT(MIN($U456:$V456)-TODAY(),"0")&amp;" 天","")))</f>
        <v/>
      </c>
      <c r="AC456" s="34" t="str">
        <f aca="true">IF($C456="","",IF(OR($Y456="安装免保",$Y456="技术免保",$Y456="质保期内"),IF($Z456="","▲免保没填到期日",IF($Z456&lt;TODAY(),"▲免保已到期 该转收费了",IF($Z456-TODAY()&lt;=合同提醒天,"免保还剩 "&amp;TEXT($Z456-TODAY(),"0")&amp;" 天","免保中"))),IF($Y456="暂停维保","暂停中 不计费",IF($Y456="已解约","已解约",IF(COUNTIF(合同键,$E456)=0,"▲还没建合同行","")))))</f>
        <v/>
      </c>
      <c r="AD456" s="24"/>
      <c r="AE456" s="35" t="str">
        <f aca="false">IF($C456="","",IF($D456="","★项目名称没填",IF(N($P456)&lt;=0,"★台量要填",IF(AND(OR($Y456="安装免保",$Y456="技术免保",$Y456="质保期内"),$Z456=""),"★免保到期日没填",IF(COUNTIF(合同键,$E456)=0,"★还没建合同行","OK")))))</f>
        <v/>
      </c>
    </row>
    <row r="457" customFormat="false" ht="15" hidden="false" customHeight="false" outlineLevel="0" collapsed="false">
      <c r="A457" s="29" t="str">
        <f aca="false">IF($C457="","",ROW()-4)</f>
        <v/>
      </c>
      <c r="B457" s="25"/>
      <c r="C457" s="24"/>
      <c r="D457" s="24"/>
      <c r="E457" s="30" t="str">
        <f aca="false">IF($C457="","",$C457&amp;" ｜ "&amp;$D457)</f>
        <v/>
      </c>
      <c r="F457" s="25"/>
      <c r="G457" s="25"/>
      <c r="H457" s="25"/>
      <c r="I457" s="25"/>
      <c r="J457" s="25"/>
      <c r="K457" s="21"/>
      <c r="L457" s="21"/>
      <c r="M457" s="21"/>
      <c r="N457" s="25"/>
      <c r="O457" s="25"/>
      <c r="P457" s="32"/>
      <c r="Q457" s="25"/>
      <c r="R457" s="25"/>
      <c r="S457" s="33"/>
      <c r="T457" s="33"/>
      <c r="U457" s="33"/>
      <c r="V457" s="33"/>
      <c r="W457" s="25"/>
      <c r="X457" s="25"/>
      <c r="Y457" s="25"/>
      <c r="Z457" s="33"/>
      <c r="AA457" s="34" t="str">
        <f aca="true">IF($T457="","",IF($T457&lt;TODAY(),"已过期 "&amp;TEXT(TODAY()-$T457,"0")&amp;" 天",IF($T457-TODAY()&lt;=年检提醒天,"还剩 "&amp;TEXT($T457-TODAY(),"0")&amp;" 天","")))</f>
        <v/>
      </c>
      <c r="AB457" s="34" t="str">
        <f aca="true">IF(COUNT($U457:$V457)=0,"",IF(MIN($U457:$V457)&lt;TODAY(),"已过期 "&amp;TEXT(TODAY()-MIN($U457:$V457),"0")&amp;" 天",IF(MIN($U457:$V457)-TODAY()&lt;=年检提醒天,"还剩 "&amp;TEXT(MIN($U457:$V457)-TODAY(),"0")&amp;" 天","")))</f>
        <v/>
      </c>
      <c r="AC457" s="34" t="str">
        <f aca="true">IF($C457="","",IF(OR($Y457="安装免保",$Y457="技术免保",$Y457="质保期内"),IF($Z457="","▲免保没填到期日",IF($Z457&lt;TODAY(),"▲免保已到期 该转收费了",IF($Z457-TODAY()&lt;=合同提醒天,"免保还剩 "&amp;TEXT($Z457-TODAY(),"0")&amp;" 天","免保中"))),IF($Y457="暂停维保","暂停中 不计费",IF($Y457="已解约","已解约",IF(COUNTIF(合同键,$E457)=0,"▲还没建合同行","")))))</f>
        <v/>
      </c>
      <c r="AD457" s="24"/>
      <c r="AE457" s="35" t="str">
        <f aca="false">IF($C457="","",IF($D457="","★项目名称没填",IF(N($P457)&lt;=0,"★台量要填",IF(AND(OR($Y457="安装免保",$Y457="技术免保",$Y457="质保期内"),$Z457=""),"★免保到期日没填",IF(COUNTIF(合同键,$E457)=0,"★还没建合同行","OK")))))</f>
        <v/>
      </c>
    </row>
    <row r="458" customFormat="false" ht="15" hidden="false" customHeight="false" outlineLevel="0" collapsed="false">
      <c r="A458" s="29" t="str">
        <f aca="false">IF($C458="","",ROW()-4)</f>
        <v/>
      </c>
      <c r="B458" s="25"/>
      <c r="C458" s="24"/>
      <c r="D458" s="24"/>
      <c r="E458" s="30" t="str">
        <f aca="false">IF($C458="","",$C458&amp;" ｜ "&amp;$D458)</f>
        <v/>
      </c>
      <c r="F458" s="25"/>
      <c r="G458" s="25"/>
      <c r="H458" s="25"/>
      <c r="I458" s="25"/>
      <c r="J458" s="25"/>
      <c r="K458" s="21"/>
      <c r="L458" s="21"/>
      <c r="M458" s="21"/>
      <c r="N458" s="25"/>
      <c r="O458" s="25"/>
      <c r="P458" s="32"/>
      <c r="Q458" s="25"/>
      <c r="R458" s="25"/>
      <c r="S458" s="33"/>
      <c r="T458" s="33"/>
      <c r="U458" s="33"/>
      <c r="V458" s="33"/>
      <c r="W458" s="25"/>
      <c r="X458" s="25"/>
      <c r="Y458" s="25"/>
      <c r="Z458" s="33"/>
      <c r="AA458" s="34" t="str">
        <f aca="true">IF($T458="","",IF($T458&lt;TODAY(),"已过期 "&amp;TEXT(TODAY()-$T458,"0")&amp;" 天",IF($T458-TODAY()&lt;=年检提醒天,"还剩 "&amp;TEXT($T458-TODAY(),"0")&amp;" 天","")))</f>
        <v/>
      </c>
      <c r="AB458" s="34" t="str">
        <f aca="true">IF(COUNT($U458:$V458)=0,"",IF(MIN($U458:$V458)&lt;TODAY(),"已过期 "&amp;TEXT(TODAY()-MIN($U458:$V458),"0")&amp;" 天",IF(MIN($U458:$V458)-TODAY()&lt;=年检提醒天,"还剩 "&amp;TEXT(MIN($U458:$V458)-TODAY(),"0")&amp;" 天","")))</f>
        <v/>
      </c>
      <c r="AC458" s="34" t="str">
        <f aca="true">IF($C458="","",IF(OR($Y458="安装免保",$Y458="技术免保",$Y458="质保期内"),IF($Z458="","▲免保没填到期日",IF($Z458&lt;TODAY(),"▲免保已到期 该转收费了",IF($Z458-TODAY()&lt;=合同提醒天,"免保还剩 "&amp;TEXT($Z458-TODAY(),"0")&amp;" 天","免保中"))),IF($Y458="暂停维保","暂停中 不计费",IF($Y458="已解约","已解约",IF(COUNTIF(合同键,$E458)=0,"▲还没建合同行","")))))</f>
        <v/>
      </c>
      <c r="AD458" s="24"/>
      <c r="AE458" s="35" t="str">
        <f aca="false">IF($C458="","",IF($D458="","★项目名称没填",IF(N($P458)&lt;=0,"★台量要填",IF(AND(OR($Y458="安装免保",$Y458="技术免保",$Y458="质保期内"),$Z458=""),"★免保到期日没填",IF(COUNTIF(合同键,$E458)=0,"★还没建合同行","OK")))))</f>
        <v/>
      </c>
    </row>
    <row r="459" customFormat="false" ht="15" hidden="false" customHeight="false" outlineLevel="0" collapsed="false">
      <c r="A459" s="29" t="str">
        <f aca="false">IF($C459="","",ROW()-4)</f>
        <v/>
      </c>
      <c r="B459" s="25"/>
      <c r="C459" s="24"/>
      <c r="D459" s="24"/>
      <c r="E459" s="30" t="str">
        <f aca="false">IF($C459="","",$C459&amp;" ｜ "&amp;$D459)</f>
        <v/>
      </c>
      <c r="F459" s="25"/>
      <c r="G459" s="25"/>
      <c r="H459" s="25"/>
      <c r="I459" s="25"/>
      <c r="J459" s="25"/>
      <c r="K459" s="21"/>
      <c r="L459" s="21"/>
      <c r="M459" s="21"/>
      <c r="N459" s="25"/>
      <c r="O459" s="25"/>
      <c r="P459" s="32"/>
      <c r="Q459" s="25"/>
      <c r="R459" s="25"/>
      <c r="S459" s="33"/>
      <c r="T459" s="33"/>
      <c r="U459" s="33"/>
      <c r="V459" s="33"/>
      <c r="W459" s="25"/>
      <c r="X459" s="25"/>
      <c r="Y459" s="25"/>
      <c r="Z459" s="33"/>
      <c r="AA459" s="34" t="str">
        <f aca="true">IF($T459="","",IF($T459&lt;TODAY(),"已过期 "&amp;TEXT(TODAY()-$T459,"0")&amp;" 天",IF($T459-TODAY()&lt;=年检提醒天,"还剩 "&amp;TEXT($T459-TODAY(),"0")&amp;" 天","")))</f>
        <v/>
      </c>
      <c r="AB459" s="34" t="str">
        <f aca="true">IF(COUNT($U459:$V459)=0,"",IF(MIN($U459:$V459)&lt;TODAY(),"已过期 "&amp;TEXT(TODAY()-MIN($U459:$V459),"0")&amp;" 天",IF(MIN($U459:$V459)-TODAY()&lt;=年检提醒天,"还剩 "&amp;TEXT(MIN($U459:$V459)-TODAY(),"0")&amp;" 天","")))</f>
        <v/>
      </c>
      <c r="AC459" s="34" t="str">
        <f aca="true">IF($C459="","",IF(OR($Y459="安装免保",$Y459="技术免保",$Y459="质保期内"),IF($Z459="","▲免保没填到期日",IF($Z459&lt;TODAY(),"▲免保已到期 该转收费了",IF($Z459-TODAY()&lt;=合同提醒天,"免保还剩 "&amp;TEXT($Z459-TODAY(),"0")&amp;" 天","免保中"))),IF($Y459="暂停维保","暂停中 不计费",IF($Y459="已解约","已解约",IF(COUNTIF(合同键,$E459)=0,"▲还没建合同行","")))))</f>
        <v/>
      </c>
      <c r="AD459" s="24"/>
      <c r="AE459" s="35" t="str">
        <f aca="false">IF($C459="","",IF($D459="","★项目名称没填",IF(N($P459)&lt;=0,"★台量要填",IF(AND(OR($Y459="安装免保",$Y459="技术免保",$Y459="质保期内"),$Z459=""),"★免保到期日没填",IF(COUNTIF(合同键,$E459)=0,"★还没建合同行","OK")))))</f>
        <v/>
      </c>
    </row>
    <row r="460" customFormat="false" ht="15" hidden="false" customHeight="false" outlineLevel="0" collapsed="false">
      <c r="A460" s="29" t="str">
        <f aca="false">IF($C460="","",ROW()-4)</f>
        <v/>
      </c>
      <c r="B460" s="25"/>
      <c r="C460" s="24"/>
      <c r="D460" s="24"/>
      <c r="E460" s="30" t="str">
        <f aca="false">IF($C460="","",$C460&amp;" ｜ "&amp;$D460)</f>
        <v/>
      </c>
      <c r="F460" s="25"/>
      <c r="G460" s="25"/>
      <c r="H460" s="25"/>
      <c r="I460" s="25"/>
      <c r="J460" s="25"/>
      <c r="K460" s="21"/>
      <c r="L460" s="21"/>
      <c r="M460" s="21"/>
      <c r="N460" s="25"/>
      <c r="O460" s="25"/>
      <c r="P460" s="32"/>
      <c r="Q460" s="25"/>
      <c r="R460" s="25"/>
      <c r="S460" s="33"/>
      <c r="T460" s="33"/>
      <c r="U460" s="33"/>
      <c r="V460" s="33"/>
      <c r="W460" s="25"/>
      <c r="X460" s="25"/>
      <c r="Y460" s="25"/>
      <c r="Z460" s="33"/>
      <c r="AA460" s="34" t="str">
        <f aca="true">IF($T460="","",IF($T460&lt;TODAY(),"已过期 "&amp;TEXT(TODAY()-$T460,"0")&amp;" 天",IF($T460-TODAY()&lt;=年检提醒天,"还剩 "&amp;TEXT($T460-TODAY(),"0")&amp;" 天","")))</f>
        <v/>
      </c>
      <c r="AB460" s="34" t="str">
        <f aca="true">IF(COUNT($U460:$V460)=0,"",IF(MIN($U460:$V460)&lt;TODAY(),"已过期 "&amp;TEXT(TODAY()-MIN($U460:$V460),"0")&amp;" 天",IF(MIN($U460:$V460)-TODAY()&lt;=年检提醒天,"还剩 "&amp;TEXT(MIN($U460:$V460)-TODAY(),"0")&amp;" 天","")))</f>
        <v/>
      </c>
      <c r="AC460" s="34" t="str">
        <f aca="true">IF($C460="","",IF(OR($Y460="安装免保",$Y460="技术免保",$Y460="质保期内"),IF($Z460="","▲免保没填到期日",IF($Z460&lt;TODAY(),"▲免保已到期 该转收费了",IF($Z460-TODAY()&lt;=合同提醒天,"免保还剩 "&amp;TEXT($Z460-TODAY(),"0")&amp;" 天","免保中"))),IF($Y460="暂停维保","暂停中 不计费",IF($Y460="已解约","已解约",IF(COUNTIF(合同键,$E460)=0,"▲还没建合同行","")))))</f>
        <v/>
      </c>
      <c r="AD460" s="24"/>
      <c r="AE460" s="35" t="str">
        <f aca="false">IF($C460="","",IF($D460="","★项目名称没填",IF(N($P460)&lt;=0,"★台量要填",IF(AND(OR($Y460="安装免保",$Y460="技术免保",$Y460="质保期内"),$Z460=""),"★免保到期日没填",IF(COUNTIF(合同键,$E460)=0,"★还没建合同行","OK")))))</f>
        <v/>
      </c>
    </row>
    <row r="461" customFormat="false" ht="15" hidden="false" customHeight="false" outlineLevel="0" collapsed="false">
      <c r="A461" s="29" t="str">
        <f aca="false">IF($C461="","",ROW()-4)</f>
        <v/>
      </c>
      <c r="B461" s="25"/>
      <c r="C461" s="24"/>
      <c r="D461" s="24"/>
      <c r="E461" s="30" t="str">
        <f aca="false">IF($C461="","",$C461&amp;" ｜ "&amp;$D461)</f>
        <v/>
      </c>
      <c r="F461" s="25"/>
      <c r="G461" s="25"/>
      <c r="H461" s="25"/>
      <c r="I461" s="25"/>
      <c r="J461" s="25"/>
      <c r="K461" s="21"/>
      <c r="L461" s="21"/>
      <c r="M461" s="21"/>
      <c r="N461" s="25"/>
      <c r="O461" s="25"/>
      <c r="P461" s="32"/>
      <c r="Q461" s="25"/>
      <c r="R461" s="25"/>
      <c r="S461" s="33"/>
      <c r="T461" s="33"/>
      <c r="U461" s="33"/>
      <c r="V461" s="33"/>
      <c r="W461" s="25"/>
      <c r="X461" s="25"/>
      <c r="Y461" s="25"/>
      <c r="Z461" s="33"/>
      <c r="AA461" s="34" t="str">
        <f aca="true">IF($T461="","",IF($T461&lt;TODAY(),"已过期 "&amp;TEXT(TODAY()-$T461,"0")&amp;" 天",IF($T461-TODAY()&lt;=年检提醒天,"还剩 "&amp;TEXT($T461-TODAY(),"0")&amp;" 天","")))</f>
        <v/>
      </c>
      <c r="AB461" s="34" t="str">
        <f aca="true">IF(COUNT($U461:$V461)=0,"",IF(MIN($U461:$V461)&lt;TODAY(),"已过期 "&amp;TEXT(TODAY()-MIN($U461:$V461),"0")&amp;" 天",IF(MIN($U461:$V461)-TODAY()&lt;=年检提醒天,"还剩 "&amp;TEXT(MIN($U461:$V461)-TODAY(),"0")&amp;" 天","")))</f>
        <v/>
      </c>
      <c r="AC461" s="34" t="str">
        <f aca="true">IF($C461="","",IF(OR($Y461="安装免保",$Y461="技术免保",$Y461="质保期内"),IF($Z461="","▲免保没填到期日",IF($Z461&lt;TODAY(),"▲免保已到期 该转收费了",IF($Z461-TODAY()&lt;=合同提醒天,"免保还剩 "&amp;TEXT($Z461-TODAY(),"0")&amp;" 天","免保中"))),IF($Y461="暂停维保","暂停中 不计费",IF($Y461="已解约","已解约",IF(COUNTIF(合同键,$E461)=0,"▲还没建合同行","")))))</f>
        <v/>
      </c>
      <c r="AD461" s="24"/>
      <c r="AE461" s="35" t="str">
        <f aca="false">IF($C461="","",IF($D461="","★项目名称没填",IF(N($P461)&lt;=0,"★台量要填",IF(AND(OR($Y461="安装免保",$Y461="技术免保",$Y461="质保期内"),$Z461=""),"★免保到期日没填",IF(COUNTIF(合同键,$E461)=0,"★还没建合同行","OK")))))</f>
        <v/>
      </c>
    </row>
    <row r="462" customFormat="false" ht="15" hidden="false" customHeight="false" outlineLevel="0" collapsed="false">
      <c r="A462" s="29" t="str">
        <f aca="false">IF($C462="","",ROW()-4)</f>
        <v/>
      </c>
      <c r="B462" s="25"/>
      <c r="C462" s="24"/>
      <c r="D462" s="24"/>
      <c r="E462" s="30" t="str">
        <f aca="false">IF($C462="","",$C462&amp;" ｜ "&amp;$D462)</f>
        <v/>
      </c>
      <c r="F462" s="25"/>
      <c r="G462" s="25"/>
      <c r="H462" s="25"/>
      <c r="I462" s="25"/>
      <c r="J462" s="25"/>
      <c r="K462" s="21"/>
      <c r="L462" s="21"/>
      <c r="M462" s="21"/>
      <c r="N462" s="25"/>
      <c r="O462" s="25"/>
      <c r="P462" s="32"/>
      <c r="Q462" s="25"/>
      <c r="R462" s="25"/>
      <c r="S462" s="33"/>
      <c r="T462" s="33"/>
      <c r="U462" s="33"/>
      <c r="V462" s="33"/>
      <c r="W462" s="25"/>
      <c r="X462" s="25"/>
      <c r="Y462" s="25"/>
      <c r="Z462" s="33"/>
      <c r="AA462" s="34" t="str">
        <f aca="true">IF($T462="","",IF($T462&lt;TODAY(),"已过期 "&amp;TEXT(TODAY()-$T462,"0")&amp;" 天",IF($T462-TODAY()&lt;=年检提醒天,"还剩 "&amp;TEXT($T462-TODAY(),"0")&amp;" 天","")))</f>
        <v/>
      </c>
      <c r="AB462" s="34" t="str">
        <f aca="true">IF(COUNT($U462:$V462)=0,"",IF(MIN($U462:$V462)&lt;TODAY(),"已过期 "&amp;TEXT(TODAY()-MIN($U462:$V462),"0")&amp;" 天",IF(MIN($U462:$V462)-TODAY()&lt;=年检提醒天,"还剩 "&amp;TEXT(MIN($U462:$V462)-TODAY(),"0")&amp;" 天","")))</f>
        <v/>
      </c>
      <c r="AC462" s="34" t="str">
        <f aca="true">IF($C462="","",IF(OR($Y462="安装免保",$Y462="技术免保",$Y462="质保期内"),IF($Z462="","▲免保没填到期日",IF($Z462&lt;TODAY(),"▲免保已到期 该转收费了",IF($Z462-TODAY()&lt;=合同提醒天,"免保还剩 "&amp;TEXT($Z462-TODAY(),"0")&amp;" 天","免保中"))),IF($Y462="暂停维保","暂停中 不计费",IF($Y462="已解约","已解约",IF(COUNTIF(合同键,$E462)=0,"▲还没建合同行","")))))</f>
        <v/>
      </c>
      <c r="AD462" s="24"/>
      <c r="AE462" s="35" t="str">
        <f aca="false">IF($C462="","",IF($D462="","★项目名称没填",IF(N($P462)&lt;=0,"★台量要填",IF(AND(OR($Y462="安装免保",$Y462="技术免保",$Y462="质保期内"),$Z462=""),"★免保到期日没填",IF(COUNTIF(合同键,$E462)=0,"★还没建合同行","OK")))))</f>
        <v/>
      </c>
    </row>
    <row r="463" customFormat="false" ht="15" hidden="false" customHeight="false" outlineLevel="0" collapsed="false">
      <c r="A463" s="29" t="str">
        <f aca="false">IF($C463="","",ROW()-4)</f>
        <v/>
      </c>
      <c r="B463" s="25"/>
      <c r="C463" s="24"/>
      <c r="D463" s="24"/>
      <c r="E463" s="30" t="str">
        <f aca="false">IF($C463="","",$C463&amp;" ｜ "&amp;$D463)</f>
        <v/>
      </c>
      <c r="F463" s="25"/>
      <c r="G463" s="25"/>
      <c r="H463" s="25"/>
      <c r="I463" s="25"/>
      <c r="J463" s="25"/>
      <c r="K463" s="21"/>
      <c r="L463" s="21"/>
      <c r="M463" s="21"/>
      <c r="N463" s="25"/>
      <c r="O463" s="25"/>
      <c r="P463" s="32"/>
      <c r="Q463" s="25"/>
      <c r="R463" s="25"/>
      <c r="S463" s="33"/>
      <c r="T463" s="33"/>
      <c r="U463" s="33"/>
      <c r="V463" s="33"/>
      <c r="W463" s="25"/>
      <c r="X463" s="25"/>
      <c r="Y463" s="25"/>
      <c r="Z463" s="33"/>
      <c r="AA463" s="34" t="str">
        <f aca="true">IF($T463="","",IF($T463&lt;TODAY(),"已过期 "&amp;TEXT(TODAY()-$T463,"0")&amp;" 天",IF($T463-TODAY()&lt;=年检提醒天,"还剩 "&amp;TEXT($T463-TODAY(),"0")&amp;" 天","")))</f>
        <v/>
      </c>
      <c r="AB463" s="34" t="str">
        <f aca="true">IF(COUNT($U463:$V463)=0,"",IF(MIN($U463:$V463)&lt;TODAY(),"已过期 "&amp;TEXT(TODAY()-MIN($U463:$V463),"0")&amp;" 天",IF(MIN($U463:$V463)-TODAY()&lt;=年检提醒天,"还剩 "&amp;TEXT(MIN($U463:$V463)-TODAY(),"0")&amp;" 天","")))</f>
        <v/>
      </c>
      <c r="AC463" s="34" t="str">
        <f aca="true">IF($C463="","",IF(OR($Y463="安装免保",$Y463="技术免保",$Y463="质保期内"),IF($Z463="","▲免保没填到期日",IF($Z463&lt;TODAY(),"▲免保已到期 该转收费了",IF($Z463-TODAY()&lt;=合同提醒天,"免保还剩 "&amp;TEXT($Z463-TODAY(),"0")&amp;" 天","免保中"))),IF($Y463="暂停维保","暂停中 不计费",IF($Y463="已解约","已解约",IF(COUNTIF(合同键,$E463)=0,"▲还没建合同行","")))))</f>
        <v/>
      </c>
      <c r="AD463" s="24"/>
      <c r="AE463" s="35" t="str">
        <f aca="false">IF($C463="","",IF($D463="","★项目名称没填",IF(N($P463)&lt;=0,"★台量要填",IF(AND(OR($Y463="安装免保",$Y463="技术免保",$Y463="质保期内"),$Z463=""),"★免保到期日没填",IF(COUNTIF(合同键,$E463)=0,"★还没建合同行","OK")))))</f>
        <v/>
      </c>
    </row>
    <row r="464" customFormat="false" ht="15" hidden="false" customHeight="false" outlineLevel="0" collapsed="false">
      <c r="A464" s="29" t="str">
        <f aca="false">IF($C464="","",ROW()-4)</f>
        <v/>
      </c>
      <c r="B464" s="25"/>
      <c r="C464" s="24"/>
      <c r="D464" s="24"/>
      <c r="E464" s="30" t="str">
        <f aca="false">IF($C464="","",$C464&amp;" ｜ "&amp;$D464)</f>
        <v/>
      </c>
      <c r="F464" s="25"/>
      <c r="G464" s="25"/>
      <c r="H464" s="25"/>
      <c r="I464" s="25"/>
      <c r="J464" s="25"/>
      <c r="K464" s="21"/>
      <c r="L464" s="21"/>
      <c r="M464" s="21"/>
      <c r="N464" s="25"/>
      <c r="O464" s="25"/>
      <c r="P464" s="32"/>
      <c r="Q464" s="25"/>
      <c r="R464" s="25"/>
      <c r="S464" s="33"/>
      <c r="T464" s="33"/>
      <c r="U464" s="33"/>
      <c r="V464" s="33"/>
      <c r="W464" s="25"/>
      <c r="X464" s="25"/>
      <c r="Y464" s="25"/>
      <c r="Z464" s="33"/>
      <c r="AA464" s="34" t="str">
        <f aca="true">IF($T464="","",IF($T464&lt;TODAY(),"已过期 "&amp;TEXT(TODAY()-$T464,"0")&amp;" 天",IF($T464-TODAY()&lt;=年检提醒天,"还剩 "&amp;TEXT($T464-TODAY(),"0")&amp;" 天","")))</f>
        <v/>
      </c>
      <c r="AB464" s="34" t="str">
        <f aca="true">IF(COUNT($U464:$V464)=0,"",IF(MIN($U464:$V464)&lt;TODAY(),"已过期 "&amp;TEXT(TODAY()-MIN($U464:$V464),"0")&amp;" 天",IF(MIN($U464:$V464)-TODAY()&lt;=年检提醒天,"还剩 "&amp;TEXT(MIN($U464:$V464)-TODAY(),"0")&amp;" 天","")))</f>
        <v/>
      </c>
      <c r="AC464" s="34" t="str">
        <f aca="true">IF($C464="","",IF(OR($Y464="安装免保",$Y464="技术免保",$Y464="质保期内"),IF($Z464="","▲免保没填到期日",IF($Z464&lt;TODAY(),"▲免保已到期 该转收费了",IF($Z464-TODAY()&lt;=合同提醒天,"免保还剩 "&amp;TEXT($Z464-TODAY(),"0")&amp;" 天","免保中"))),IF($Y464="暂停维保","暂停中 不计费",IF($Y464="已解约","已解约",IF(COUNTIF(合同键,$E464)=0,"▲还没建合同行","")))))</f>
        <v/>
      </c>
      <c r="AD464" s="24"/>
      <c r="AE464" s="35" t="str">
        <f aca="false">IF($C464="","",IF($D464="","★项目名称没填",IF(N($P464)&lt;=0,"★台量要填",IF(AND(OR($Y464="安装免保",$Y464="技术免保",$Y464="质保期内"),$Z464=""),"★免保到期日没填",IF(COUNTIF(合同键,$E464)=0,"★还没建合同行","OK")))))</f>
        <v/>
      </c>
    </row>
    <row r="465" customFormat="false" ht="15" hidden="false" customHeight="false" outlineLevel="0" collapsed="false">
      <c r="A465" s="29" t="str">
        <f aca="false">IF($C465="","",ROW()-4)</f>
        <v/>
      </c>
      <c r="B465" s="25"/>
      <c r="C465" s="24"/>
      <c r="D465" s="24"/>
      <c r="E465" s="30" t="str">
        <f aca="false">IF($C465="","",$C465&amp;" ｜ "&amp;$D465)</f>
        <v/>
      </c>
      <c r="F465" s="25"/>
      <c r="G465" s="25"/>
      <c r="H465" s="25"/>
      <c r="I465" s="25"/>
      <c r="J465" s="25"/>
      <c r="K465" s="21"/>
      <c r="L465" s="21"/>
      <c r="M465" s="21"/>
      <c r="N465" s="25"/>
      <c r="O465" s="25"/>
      <c r="P465" s="32"/>
      <c r="Q465" s="25"/>
      <c r="R465" s="25"/>
      <c r="S465" s="33"/>
      <c r="T465" s="33"/>
      <c r="U465" s="33"/>
      <c r="V465" s="33"/>
      <c r="W465" s="25"/>
      <c r="X465" s="25"/>
      <c r="Y465" s="25"/>
      <c r="Z465" s="33"/>
      <c r="AA465" s="34" t="str">
        <f aca="true">IF($T465="","",IF($T465&lt;TODAY(),"已过期 "&amp;TEXT(TODAY()-$T465,"0")&amp;" 天",IF($T465-TODAY()&lt;=年检提醒天,"还剩 "&amp;TEXT($T465-TODAY(),"0")&amp;" 天","")))</f>
        <v/>
      </c>
      <c r="AB465" s="34" t="str">
        <f aca="true">IF(COUNT($U465:$V465)=0,"",IF(MIN($U465:$V465)&lt;TODAY(),"已过期 "&amp;TEXT(TODAY()-MIN($U465:$V465),"0")&amp;" 天",IF(MIN($U465:$V465)-TODAY()&lt;=年检提醒天,"还剩 "&amp;TEXT(MIN($U465:$V465)-TODAY(),"0")&amp;" 天","")))</f>
        <v/>
      </c>
      <c r="AC465" s="34" t="str">
        <f aca="true">IF($C465="","",IF(OR($Y465="安装免保",$Y465="技术免保",$Y465="质保期内"),IF($Z465="","▲免保没填到期日",IF($Z465&lt;TODAY(),"▲免保已到期 该转收费了",IF($Z465-TODAY()&lt;=合同提醒天,"免保还剩 "&amp;TEXT($Z465-TODAY(),"0")&amp;" 天","免保中"))),IF($Y465="暂停维保","暂停中 不计费",IF($Y465="已解约","已解约",IF(COUNTIF(合同键,$E465)=0,"▲还没建合同行","")))))</f>
        <v/>
      </c>
      <c r="AD465" s="24"/>
      <c r="AE465" s="35" t="str">
        <f aca="false">IF($C465="","",IF($D465="","★项目名称没填",IF(N($P465)&lt;=0,"★台量要填",IF(AND(OR($Y465="安装免保",$Y465="技术免保",$Y465="质保期内"),$Z465=""),"★免保到期日没填",IF(COUNTIF(合同键,$E465)=0,"★还没建合同行","OK")))))</f>
        <v/>
      </c>
    </row>
    <row r="466" customFormat="false" ht="15" hidden="false" customHeight="false" outlineLevel="0" collapsed="false">
      <c r="A466" s="29" t="str">
        <f aca="false">IF($C466="","",ROW()-4)</f>
        <v/>
      </c>
      <c r="B466" s="25"/>
      <c r="C466" s="24"/>
      <c r="D466" s="24"/>
      <c r="E466" s="30" t="str">
        <f aca="false">IF($C466="","",$C466&amp;" ｜ "&amp;$D466)</f>
        <v/>
      </c>
      <c r="F466" s="25"/>
      <c r="G466" s="25"/>
      <c r="H466" s="25"/>
      <c r="I466" s="25"/>
      <c r="J466" s="25"/>
      <c r="K466" s="21"/>
      <c r="L466" s="21"/>
      <c r="M466" s="21"/>
      <c r="N466" s="25"/>
      <c r="O466" s="25"/>
      <c r="P466" s="32"/>
      <c r="Q466" s="25"/>
      <c r="R466" s="25"/>
      <c r="S466" s="33"/>
      <c r="T466" s="33"/>
      <c r="U466" s="33"/>
      <c r="V466" s="33"/>
      <c r="W466" s="25"/>
      <c r="X466" s="25"/>
      <c r="Y466" s="25"/>
      <c r="Z466" s="33"/>
      <c r="AA466" s="34" t="str">
        <f aca="true">IF($T466="","",IF($T466&lt;TODAY(),"已过期 "&amp;TEXT(TODAY()-$T466,"0")&amp;" 天",IF($T466-TODAY()&lt;=年检提醒天,"还剩 "&amp;TEXT($T466-TODAY(),"0")&amp;" 天","")))</f>
        <v/>
      </c>
      <c r="AB466" s="34" t="str">
        <f aca="true">IF(COUNT($U466:$V466)=0,"",IF(MIN($U466:$V466)&lt;TODAY(),"已过期 "&amp;TEXT(TODAY()-MIN($U466:$V466),"0")&amp;" 天",IF(MIN($U466:$V466)-TODAY()&lt;=年检提醒天,"还剩 "&amp;TEXT(MIN($U466:$V466)-TODAY(),"0")&amp;" 天","")))</f>
        <v/>
      </c>
      <c r="AC466" s="34" t="str">
        <f aca="true">IF($C466="","",IF(OR($Y466="安装免保",$Y466="技术免保",$Y466="质保期内"),IF($Z466="","▲免保没填到期日",IF($Z466&lt;TODAY(),"▲免保已到期 该转收费了",IF($Z466-TODAY()&lt;=合同提醒天,"免保还剩 "&amp;TEXT($Z466-TODAY(),"0")&amp;" 天","免保中"))),IF($Y466="暂停维保","暂停中 不计费",IF($Y466="已解约","已解约",IF(COUNTIF(合同键,$E466)=0,"▲还没建合同行","")))))</f>
        <v/>
      </c>
      <c r="AD466" s="24"/>
      <c r="AE466" s="35" t="str">
        <f aca="false">IF($C466="","",IF($D466="","★项目名称没填",IF(N($P466)&lt;=0,"★台量要填",IF(AND(OR($Y466="安装免保",$Y466="技术免保",$Y466="质保期内"),$Z466=""),"★免保到期日没填",IF(COUNTIF(合同键,$E466)=0,"★还没建合同行","OK")))))</f>
        <v/>
      </c>
    </row>
    <row r="467" customFormat="false" ht="15" hidden="false" customHeight="false" outlineLevel="0" collapsed="false">
      <c r="A467" s="29" t="str">
        <f aca="false">IF($C467="","",ROW()-4)</f>
        <v/>
      </c>
      <c r="B467" s="25"/>
      <c r="C467" s="24"/>
      <c r="D467" s="24"/>
      <c r="E467" s="30" t="str">
        <f aca="false">IF($C467="","",$C467&amp;" ｜ "&amp;$D467)</f>
        <v/>
      </c>
      <c r="F467" s="25"/>
      <c r="G467" s="25"/>
      <c r="H467" s="25"/>
      <c r="I467" s="25"/>
      <c r="J467" s="25"/>
      <c r="K467" s="21"/>
      <c r="L467" s="21"/>
      <c r="M467" s="21"/>
      <c r="N467" s="25"/>
      <c r="O467" s="25"/>
      <c r="P467" s="32"/>
      <c r="Q467" s="25"/>
      <c r="R467" s="25"/>
      <c r="S467" s="33"/>
      <c r="T467" s="33"/>
      <c r="U467" s="33"/>
      <c r="V467" s="33"/>
      <c r="W467" s="25"/>
      <c r="X467" s="25"/>
      <c r="Y467" s="25"/>
      <c r="Z467" s="33"/>
      <c r="AA467" s="34" t="str">
        <f aca="true">IF($T467="","",IF($T467&lt;TODAY(),"已过期 "&amp;TEXT(TODAY()-$T467,"0")&amp;" 天",IF($T467-TODAY()&lt;=年检提醒天,"还剩 "&amp;TEXT($T467-TODAY(),"0")&amp;" 天","")))</f>
        <v/>
      </c>
      <c r="AB467" s="34" t="str">
        <f aca="true">IF(COUNT($U467:$V467)=0,"",IF(MIN($U467:$V467)&lt;TODAY(),"已过期 "&amp;TEXT(TODAY()-MIN($U467:$V467),"0")&amp;" 天",IF(MIN($U467:$V467)-TODAY()&lt;=年检提醒天,"还剩 "&amp;TEXT(MIN($U467:$V467)-TODAY(),"0")&amp;" 天","")))</f>
        <v/>
      </c>
      <c r="AC467" s="34" t="str">
        <f aca="true">IF($C467="","",IF(OR($Y467="安装免保",$Y467="技术免保",$Y467="质保期内"),IF($Z467="","▲免保没填到期日",IF($Z467&lt;TODAY(),"▲免保已到期 该转收费了",IF($Z467-TODAY()&lt;=合同提醒天,"免保还剩 "&amp;TEXT($Z467-TODAY(),"0")&amp;" 天","免保中"))),IF($Y467="暂停维保","暂停中 不计费",IF($Y467="已解约","已解约",IF(COUNTIF(合同键,$E467)=0,"▲还没建合同行","")))))</f>
        <v/>
      </c>
      <c r="AD467" s="24"/>
      <c r="AE467" s="35" t="str">
        <f aca="false">IF($C467="","",IF($D467="","★项目名称没填",IF(N($P467)&lt;=0,"★台量要填",IF(AND(OR($Y467="安装免保",$Y467="技术免保",$Y467="质保期内"),$Z467=""),"★免保到期日没填",IF(COUNTIF(合同键,$E467)=0,"★还没建合同行","OK")))))</f>
        <v/>
      </c>
    </row>
    <row r="468" customFormat="false" ht="15" hidden="false" customHeight="false" outlineLevel="0" collapsed="false">
      <c r="A468" s="29" t="str">
        <f aca="false">IF($C468="","",ROW()-4)</f>
        <v/>
      </c>
      <c r="B468" s="25"/>
      <c r="C468" s="24"/>
      <c r="D468" s="24"/>
      <c r="E468" s="30" t="str">
        <f aca="false">IF($C468="","",$C468&amp;" ｜ "&amp;$D468)</f>
        <v/>
      </c>
      <c r="F468" s="25"/>
      <c r="G468" s="25"/>
      <c r="H468" s="25"/>
      <c r="I468" s="25"/>
      <c r="J468" s="25"/>
      <c r="K468" s="21"/>
      <c r="L468" s="21"/>
      <c r="M468" s="21"/>
      <c r="N468" s="25"/>
      <c r="O468" s="25"/>
      <c r="P468" s="32"/>
      <c r="Q468" s="25"/>
      <c r="R468" s="25"/>
      <c r="S468" s="33"/>
      <c r="T468" s="33"/>
      <c r="U468" s="33"/>
      <c r="V468" s="33"/>
      <c r="W468" s="25"/>
      <c r="X468" s="25"/>
      <c r="Y468" s="25"/>
      <c r="Z468" s="33"/>
      <c r="AA468" s="34" t="str">
        <f aca="true">IF($T468="","",IF($T468&lt;TODAY(),"已过期 "&amp;TEXT(TODAY()-$T468,"0")&amp;" 天",IF($T468-TODAY()&lt;=年检提醒天,"还剩 "&amp;TEXT($T468-TODAY(),"0")&amp;" 天","")))</f>
        <v/>
      </c>
      <c r="AB468" s="34" t="str">
        <f aca="true">IF(COUNT($U468:$V468)=0,"",IF(MIN($U468:$V468)&lt;TODAY(),"已过期 "&amp;TEXT(TODAY()-MIN($U468:$V468),"0")&amp;" 天",IF(MIN($U468:$V468)-TODAY()&lt;=年检提醒天,"还剩 "&amp;TEXT(MIN($U468:$V468)-TODAY(),"0")&amp;" 天","")))</f>
        <v/>
      </c>
      <c r="AC468" s="34" t="str">
        <f aca="true">IF($C468="","",IF(OR($Y468="安装免保",$Y468="技术免保",$Y468="质保期内"),IF($Z468="","▲免保没填到期日",IF($Z468&lt;TODAY(),"▲免保已到期 该转收费了",IF($Z468-TODAY()&lt;=合同提醒天,"免保还剩 "&amp;TEXT($Z468-TODAY(),"0")&amp;" 天","免保中"))),IF($Y468="暂停维保","暂停中 不计费",IF($Y468="已解约","已解约",IF(COUNTIF(合同键,$E468)=0,"▲还没建合同行","")))))</f>
        <v/>
      </c>
      <c r="AD468" s="24"/>
      <c r="AE468" s="35" t="str">
        <f aca="false">IF($C468="","",IF($D468="","★项目名称没填",IF(N($P468)&lt;=0,"★台量要填",IF(AND(OR($Y468="安装免保",$Y468="技术免保",$Y468="质保期内"),$Z468=""),"★免保到期日没填",IF(COUNTIF(合同键,$E468)=0,"★还没建合同行","OK")))))</f>
        <v/>
      </c>
    </row>
    <row r="469" customFormat="false" ht="15" hidden="false" customHeight="false" outlineLevel="0" collapsed="false">
      <c r="A469" s="29" t="str">
        <f aca="false">IF($C469="","",ROW()-4)</f>
        <v/>
      </c>
      <c r="B469" s="25"/>
      <c r="C469" s="24"/>
      <c r="D469" s="24"/>
      <c r="E469" s="30" t="str">
        <f aca="false">IF($C469="","",$C469&amp;" ｜ "&amp;$D469)</f>
        <v/>
      </c>
      <c r="F469" s="25"/>
      <c r="G469" s="25"/>
      <c r="H469" s="25"/>
      <c r="I469" s="25"/>
      <c r="J469" s="25"/>
      <c r="K469" s="21"/>
      <c r="L469" s="21"/>
      <c r="M469" s="21"/>
      <c r="N469" s="25"/>
      <c r="O469" s="25"/>
      <c r="P469" s="32"/>
      <c r="Q469" s="25"/>
      <c r="R469" s="25"/>
      <c r="S469" s="33"/>
      <c r="T469" s="33"/>
      <c r="U469" s="33"/>
      <c r="V469" s="33"/>
      <c r="W469" s="25"/>
      <c r="X469" s="25"/>
      <c r="Y469" s="25"/>
      <c r="Z469" s="33"/>
      <c r="AA469" s="34" t="str">
        <f aca="true">IF($T469="","",IF($T469&lt;TODAY(),"已过期 "&amp;TEXT(TODAY()-$T469,"0")&amp;" 天",IF($T469-TODAY()&lt;=年检提醒天,"还剩 "&amp;TEXT($T469-TODAY(),"0")&amp;" 天","")))</f>
        <v/>
      </c>
      <c r="AB469" s="34" t="str">
        <f aca="true">IF(COUNT($U469:$V469)=0,"",IF(MIN($U469:$V469)&lt;TODAY(),"已过期 "&amp;TEXT(TODAY()-MIN($U469:$V469),"0")&amp;" 天",IF(MIN($U469:$V469)-TODAY()&lt;=年检提醒天,"还剩 "&amp;TEXT(MIN($U469:$V469)-TODAY(),"0")&amp;" 天","")))</f>
        <v/>
      </c>
      <c r="AC469" s="34" t="str">
        <f aca="true">IF($C469="","",IF(OR($Y469="安装免保",$Y469="技术免保",$Y469="质保期内"),IF($Z469="","▲免保没填到期日",IF($Z469&lt;TODAY(),"▲免保已到期 该转收费了",IF($Z469-TODAY()&lt;=合同提醒天,"免保还剩 "&amp;TEXT($Z469-TODAY(),"0")&amp;" 天","免保中"))),IF($Y469="暂停维保","暂停中 不计费",IF($Y469="已解约","已解约",IF(COUNTIF(合同键,$E469)=0,"▲还没建合同行","")))))</f>
        <v/>
      </c>
      <c r="AD469" s="24"/>
      <c r="AE469" s="35" t="str">
        <f aca="false">IF($C469="","",IF($D469="","★项目名称没填",IF(N($P469)&lt;=0,"★台量要填",IF(AND(OR($Y469="安装免保",$Y469="技术免保",$Y469="质保期内"),$Z469=""),"★免保到期日没填",IF(COUNTIF(合同键,$E469)=0,"★还没建合同行","OK")))))</f>
        <v/>
      </c>
    </row>
    <row r="470" customFormat="false" ht="15" hidden="false" customHeight="false" outlineLevel="0" collapsed="false">
      <c r="A470" s="29" t="str">
        <f aca="false">IF($C470="","",ROW()-4)</f>
        <v/>
      </c>
      <c r="B470" s="25"/>
      <c r="C470" s="24"/>
      <c r="D470" s="24"/>
      <c r="E470" s="30" t="str">
        <f aca="false">IF($C470="","",$C470&amp;" ｜ "&amp;$D470)</f>
        <v/>
      </c>
      <c r="F470" s="25"/>
      <c r="G470" s="25"/>
      <c r="H470" s="25"/>
      <c r="I470" s="25"/>
      <c r="J470" s="25"/>
      <c r="K470" s="21"/>
      <c r="L470" s="21"/>
      <c r="M470" s="21"/>
      <c r="N470" s="25"/>
      <c r="O470" s="25"/>
      <c r="P470" s="32"/>
      <c r="Q470" s="25"/>
      <c r="R470" s="25"/>
      <c r="S470" s="33"/>
      <c r="T470" s="33"/>
      <c r="U470" s="33"/>
      <c r="V470" s="33"/>
      <c r="W470" s="25"/>
      <c r="X470" s="25"/>
      <c r="Y470" s="25"/>
      <c r="Z470" s="33"/>
      <c r="AA470" s="34" t="str">
        <f aca="true">IF($T470="","",IF($T470&lt;TODAY(),"已过期 "&amp;TEXT(TODAY()-$T470,"0")&amp;" 天",IF($T470-TODAY()&lt;=年检提醒天,"还剩 "&amp;TEXT($T470-TODAY(),"0")&amp;" 天","")))</f>
        <v/>
      </c>
      <c r="AB470" s="34" t="str">
        <f aca="true">IF(COUNT($U470:$V470)=0,"",IF(MIN($U470:$V470)&lt;TODAY(),"已过期 "&amp;TEXT(TODAY()-MIN($U470:$V470),"0")&amp;" 天",IF(MIN($U470:$V470)-TODAY()&lt;=年检提醒天,"还剩 "&amp;TEXT(MIN($U470:$V470)-TODAY(),"0")&amp;" 天","")))</f>
        <v/>
      </c>
      <c r="AC470" s="34" t="str">
        <f aca="true">IF($C470="","",IF(OR($Y470="安装免保",$Y470="技术免保",$Y470="质保期内"),IF($Z470="","▲免保没填到期日",IF($Z470&lt;TODAY(),"▲免保已到期 该转收费了",IF($Z470-TODAY()&lt;=合同提醒天,"免保还剩 "&amp;TEXT($Z470-TODAY(),"0")&amp;" 天","免保中"))),IF($Y470="暂停维保","暂停中 不计费",IF($Y470="已解约","已解约",IF(COUNTIF(合同键,$E470)=0,"▲还没建合同行","")))))</f>
        <v/>
      </c>
      <c r="AD470" s="24"/>
      <c r="AE470" s="35" t="str">
        <f aca="false">IF($C470="","",IF($D470="","★项目名称没填",IF(N($P470)&lt;=0,"★台量要填",IF(AND(OR($Y470="安装免保",$Y470="技术免保",$Y470="质保期内"),$Z470=""),"★免保到期日没填",IF(COUNTIF(合同键,$E470)=0,"★还没建合同行","OK")))))</f>
        <v/>
      </c>
    </row>
    <row r="471" customFormat="false" ht="15" hidden="false" customHeight="false" outlineLevel="0" collapsed="false">
      <c r="A471" s="29" t="str">
        <f aca="false">IF($C471="","",ROW()-4)</f>
        <v/>
      </c>
      <c r="B471" s="25"/>
      <c r="C471" s="24"/>
      <c r="D471" s="24"/>
      <c r="E471" s="30" t="str">
        <f aca="false">IF($C471="","",$C471&amp;" ｜ "&amp;$D471)</f>
        <v/>
      </c>
      <c r="F471" s="25"/>
      <c r="G471" s="25"/>
      <c r="H471" s="25"/>
      <c r="I471" s="25"/>
      <c r="J471" s="25"/>
      <c r="K471" s="21"/>
      <c r="L471" s="21"/>
      <c r="M471" s="21"/>
      <c r="N471" s="25"/>
      <c r="O471" s="25"/>
      <c r="P471" s="32"/>
      <c r="Q471" s="25"/>
      <c r="R471" s="25"/>
      <c r="S471" s="33"/>
      <c r="T471" s="33"/>
      <c r="U471" s="33"/>
      <c r="V471" s="33"/>
      <c r="W471" s="25"/>
      <c r="X471" s="25"/>
      <c r="Y471" s="25"/>
      <c r="Z471" s="33"/>
      <c r="AA471" s="34" t="str">
        <f aca="true">IF($T471="","",IF($T471&lt;TODAY(),"已过期 "&amp;TEXT(TODAY()-$T471,"0")&amp;" 天",IF($T471-TODAY()&lt;=年检提醒天,"还剩 "&amp;TEXT($T471-TODAY(),"0")&amp;" 天","")))</f>
        <v/>
      </c>
      <c r="AB471" s="34" t="str">
        <f aca="true">IF(COUNT($U471:$V471)=0,"",IF(MIN($U471:$V471)&lt;TODAY(),"已过期 "&amp;TEXT(TODAY()-MIN($U471:$V471),"0")&amp;" 天",IF(MIN($U471:$V471)-TODAY()&lt;=年检提醒天,"还剩 "&amp;TEXT(MIN($U471:$V471)-TODAY(),"0")&amp;" 天","")))</f>
        <v/>
      </c>
      <c r="AC471" s="34" t="str">
        <f aca="true">IF($C471="","",IF(OR($Y471="安装免保",$Y471="技术免保",$Y471="质保期内"),IF($Z471="","▲免保没填到期日",IF($Z471&lt;TODAY(),"▲免保已到期 该转收费了",IF($Z471-TODAY()&lt;=合同提醒天,"免保还剩 "&amp;TEXT($Z471-TODAY(),"0")&amp;" 天","免保中"))),IF($Y471="暂停维保","暂停中 不计费",IF($Y471="已解约","已解约",IF(COUNTIF(合同键,$E471)=0,"▲还没建合同行","")))))</f>
        <v/>
      </c>
      <c r="AD471" s="24"/>
      <c r="AE471" s="35" t="str">
        <f aca="false">IF($C471="","",IF($D471="","★项目名称没填",IF(N($P471)&lt;=0,"★台量要填",IF(AND(OR($Y471="安装免保",$Y471="技术免保",$Y471="质保期内"),$Z471=""),"★免保到期日没填",IF(COUNTIF(合同键,$E471)=0,"★还没建合同行","OK")))))</f>
        <v/>
      </c>
    </row>
    <row r="472" customFormat="false" ht="15" hidden="false" customHeight="false" outlineLevel="0" collapsed="false">
      <c r="A472" s="29" t="str">
        <f aca="false">IF($C472="","",ROW()-4)</f>
        <v/>
      </c>
      <c r="B472" s="25"/>
      <c r="C472" s="24"/>
      <c r="D472" s="24"/>
      <c r="E472" s="30" t="str">
        <f aca="false">IF($C472="","",$C472&amp;" ｜ "&amp;$D472)</f>
        <v/>
      </c>
      <c r="F472" s="25"/>
      <c r="G472" s="25"/>
      <c r="H472" s="25"/>
      <c r="I472" s="25"/>
      <c r="J472" s="25"/>
      <c r="K472" s="21"/>
      <c r="L472" s="21"/>
      <c r="M472" s="21"/>
      <c r="N472" s="25"/>
      <c r="O472" s="25"/>
      <c r="P472" s="32"/>
      <c r="Q472" s="25"/>
      <c r="R472" s="25"/>
      <c r="S472" s="33"/>
      <c r="T472" s="33"/>
      <c r="U472" s="33"/>
      <c r="V472" s="33"/>
      <c r="W472" s="25"/>
      <c r="X472" s="25"/>
      <c r="Y472" s="25"/>
      <c r="Z472" s="33"/>
      <c r="AA472" s="34" t="str">
        <f aca="true">IF($T472="","",IF($T472&lt;TODAY(),"已过期 "&amp;TEXT(TODAY()-$T472,"0")&amp;" 天",IF($T472-TODAY()&lt;=年检提醒天,"还剩 "&amp;TEXT($T472-TODAY(),"0")&amp;" 天","")))</f>
        <v/>
      </c>
      <c r="AB472" s="34" t="str">
        <f aca="true">IF(COUNT($U472:$V472)=0,"",IF(MIN($U472:$V472)&lt;TODAY(),"已过期 "&amp;TEXT(TODAY()-MIN($U472:$V472),"0")&amp;" 天",IF(MIN($U472:$V472)-TODAY()&lt;=年检提醒天,"还剩 "&amp;TEXT(MIN($U472:$V472)-TODAY(),"0")&amp;" 天","")))</f>
        <v/>
      </c>
      <c r="AC472" s="34" t="str">
        <f aca="true">IF($C472="","",IF(OR($Y472="安装免保",$Y472="技术免保",$Y472="质保期内"),IF($Z472="","▲免保没填到期日",IF($Z472&lt;TODAY(),"▲免保已到期 该转收费了",IF($Z472-TODAY()&lt;=合同提醒天,"免保还剩 "&amp;TEXT($Z472-TODAY(),"0")&amp;" 天","免保中"))),IF($Y472="暂停维保","暂停中 不计费",IF($Y472="已解约","已解约",IF(COUNTIF(合同键,$E472)=0,"▲还没建合同行","")))))</f>
        <v/>
      </c>
      <c r="AD472" s="24"/>
      <c r="AE472" s="35" t="str">
        <f aca="false">IF($C472="","",IF($D472="","★项目名称没填",IF(N($P472)&lt;=0,"★台量要填",IF(AND(OR($Y472="安装免保",$Y472="技术免保",$Y472="质保期内"),$Z472=""),"★免保到期日没填",IF(COUNTIF(合同键,$E472)=0,"★还没建合同行","OK")))))</f>
        <v/>
      </c>
    </row>
    <row r="473" customFormat="false" ht="15" hidden="false" customHeight="false" outlineLevel="0" collapsed="false">
      <c r="A473" s="29" t="str">
        <f aca="false">IF($C473="","",ROW()-4)</f>
        <v/>
      </c>
      <c r="B473" s="25"/>
      <c r="C473" s="24"/>
      <c r="D473" s="24"/>
      <c r="E473" s="30" t="str">
        <f aca="false">IF($C473="","",$C473&amp;" ｜ "&amp;$D473)</f>
        <v/>
      </c>
      <c r="F473" s="25"/>
      <c r="G473" s="25"/>
      <c r="H473" s="25"/>
      <c r="I473" s="25"/>
      <c r="J473" s="25"/>
      <c r="K473" s="21"/>
      <c r="L473" s="21"/>
      <c r="M473" s="21"/>
      <c r="N473" s="25"/>
      <c r="O473" s="25"/>
      <c r="P473" s="32"/>
      <c r="Q473" s="25"/>
      <c r="R473" s="25"/>
      <c r="S473" s="33"/>
      <c r="T473" s="33"/>
      <c r="U473" s="33"/>
      <c r="V473" s="33"/>
      <c r="W473" s="25"/>
      <c r="X473" s="25"/>
      <c r="Y473" s="25"/>
      <c r="Z473" s="33"/>
      <c r="AA473" s="34" t="str">
        <f aca="true">IF($T473="","",IF($T473&lt;TODAY(),"已过期 "&amp;TEXT(TODAY()-$T473,"0")&amp;" 天",IF($T473-TODAY()&lt;=年检提醒天,"还剩 "&amp;TEXT($T473-TODAY(),"0")&amp;" 天","")))</f>
        <v/>
      </c>
      <c r="AB473" s="34" t="str">
        <f aca="true">IF(COUNT($U473:$V473)=0,"",IF(MIN($U473:$V473)&lt;TODAY(),"已过期 "&amp;TEXT(TODAY()-MIN($U473:$V473),"0")&amp;" 天",IF(MIN($U473:$V473)-TODAY()&lt;=年检提醒天,"还剩 "&amp;TEXT(MIN($U473:$V473)-TODAY(),"0")&amp;" 天","")))</f>
        <v/>
      </c>
      <c r="AC473" s="34" t="str">
        <f aca="true">IF($C473="","",IF(OR($Y473="安装免保",$Y473="技术免保",$Y473="质保期内"),IF($Z473="","▲免保没填到期日",IF($Z473&lt;TODAY(),"▲免保已到期 该转收费了",IF($Z473-TODAY()&lt;=合同提醒天,"免保还剩 "&amp;TEXT($Z473-TODAY(),"0")&amp;" 天","免保中"))),IF($Y473="暂停维保","暂停中 不计费",IF($Y473="已解约","已解约",IF(COUNTIF(合同键,$E473)=0,"▲还没建合同行","")))))</f>
        <v/>
      </c>
      <c r="AD473" s="24"/>
      <c r="AE473" s="35" t="str">
        <f aca="false">IF($C473="","",IF($D473="","★项目名称没填",IF(N($P473)&lt;=0,"★台量要填",IF(AND(OR($Y473="安装免保",$Y473="技术免保",$Y473="质保期内"),$Z473=""),"★免保到期日没填",IF(COUNTIF(合同键,$E473)=0,"★还没建合同行","OK")))))</f>
        <v/>
      </c>
    </row>
    <row r="474" customFormat="false" ht="15" hidden="false" customHeight="false" outlineLevel="0" collapsed="false">
      <c r="A474" s="29" t="str">
        <f aca="false">IF($C474="","",ROW()-4)</f>
        <v/>
      </c>
      <c r="B474" s="25"/>
      <c r="C474" s="24"/>
      <c r="D474" s="24"/>
      <c r="E474" s="30" t="str">
        <f aca="false">IF($C474="","",$C474&amp;" ｜ "&amp;$D474)</f>
        <v/>
      </c>
      <c r="F474" s="25"/>
      <c r="G474" s="25"/>
      <c r="H474" s="25"/>
      <c r="I474" s="25"/>
      <c r="J474" s="25"/>
      <c r="K474" s="21"/>
      <c r="L474" s="21"/>
      <c r="M474" s="21"/>
      <c r="N474" s="25"/>
      <c r="O474" s="25"/>
      <c r="P474" s="32"/>
      <c r="Q474" s="25"/>
      <c r="R474" s="25"/>
      <c r="S474" s="33"/>
      <c r="T474" s="33"/>
      <c r="U474" s="33"/>
      <c r="V474" s="33"/>
      <c r="W474" s="25"/>
      <c r="X474" s="25"/>
      <c r="Y474" s="25"/>
      <c r="Z474" s="33"/>
      <c r="AA474" s="34" t="str">
        <f aca="true">IF($T474="","",IF($T474&lt;TODAY(),"已过期 "&amp;TEXT(TODAY()-$T474,"0")&amp;" 天",IF($T474-TODAY()&lt;=年检提醒天,"还剩 "&amp;TEXT($T474-TODAY(),"0")&amp;" 天","")))</f>
        <v/>
      </c>
      <c r="AB474" s="34" t="str">
        <f aca="true">IF(COUNT($U474:$V474)=0,"",IF(MIN($U474:$V474)&lt;TODAY(),"已过期 "&amp;TEXT(TODAY()-MIN($U474:$V474),"0")&amp;" 天",IF(MIN($U474:$V474)-TODAY()&lt;=年检提醒天,"还剩 "&amp;TEXT(MIN($U474:$V474)-TODAY(),"0")&amp;" 天","")))</f>
        <v/>
      </c>
      <c r="AC474" s="34" t="str">
        <f aca="true">IF($C474="","",IF(OR($Y474="安装免保",$Y474="技术免保",$Y474="质保期内"),IF($Z474="","▲免保没填到期日",IF($Z474&lt;TODAY(),"▲免保已到期 该转收费了",IF($Z474-TODAY()&lt;=合同提醒天,"免保还剩 "&amp;TEXT($Z474-TODAY(),"0")&amp;" 天","免保中"))),IF($Y474="暂停维保","暂停中 不计费",IF($Y474="已解约","已解约",IF(COUNTIF(合同键,$E474)=0,"▲还没建合同行","")))))</f>
        <v/>
      </c>
      <c r="AD474" s="24"/>
      <c r="AE474" s="35" t="str">
        <f aca="false">IF($C474="","",IF($D474="","★项目名称没填",IF(N($P474)&lt;=0,"★台量要填",IF(AND(OR($Y474="安装免保",$Y474="技术免保",$Y474="质保期内"),$Z474=""),"★免保到期日没填",IF(COUNTIF(合同键,$E474)=0,"★还没建合同行","OK")))))</f>
        <v/>
      </c>
    </row>
    <row r="475" customFormat="false" ht="15" hidden="false" customHeight="false" outlineLevel="0" collapsed="false">
      <c r="A475" s="29" t="str">
        <f aca="false">IF($C475="","",ROW()-4)</f>
        <v/>
      </c>
      <c r="B475" s="25"/>
      <c r="C475" s="24"/>
      <c r="D475" s="24"/>
      <c r="E475" s="30" t="str">
        <f aca="false">IF($C475="","",$C475&amp;" ｜ "&amp;$D475)</f>
        <v/>
      </c>
      <c r="F475" s="25"/>
      <c r="G475" s="25"/>
      <c r="H475" s="25"/>
      <c r="I475" s="25"/>
      <c r="J475" s="25"/>
      <c r="K475" s="21"/>
      <c r="L475" s="21"/>
      <c r="M475" s="21"/>
      <c r="N475" s="25"/>
      <c r="O475" s="25"/>
      <c r="P475" s="32"/>
      <c r="Q475" s="25"/>
      <c r="R475" s="25"/>
      <c r="S475" s="33"/>
      <c r="T475" s="33"/>
      <c r="U475" s="33"/>
      <c r="V475" s="33"/>
      <c r="W475" s="25"/>
      <c r="X475" s="25"/>
      <c r="Y475" s="25"/>
      <c r="Z475" s="33"/>
      <c r="AA475" s="34" t="str">
        <f aca="true">IF($T475="","",IF($T475&lt;TODAY(),"已过期 "&amp;TEXT(TODAY()-$T475,"0")&amp;" 天",IF($T475-TODAY()&lt;=年检提醒天,"还剩 "&amp;TEXT($T475-TODAY(),"0")&amp;" 天","")))</f>
        <v/>
      </c>
      <c r="AB475" s="34" t="str">
        <f aca="true">IF(COUNT($U475:$V475)=0,"",IF(MIN($U475:$V475)&lt;TODAY(),"已过期 "&amp;TEXT(TODAY()-MIN($U475:$V475),"0")&amp;" 天",IF(MIN($U475:$V475)-TODAY()&lt;=年检提醒天,"还剩 "&amp;TEXT(MIN($U475:$V475)-TODAY(),"0")&amp;" 天","")))</f>
        <v/>
      </c>
      <c r="AC475" s="34" t="str">
        <f aca="true">IF($C475="","",IF(OR($Y475="安装免保",$Y475="技术免保",$Y475="质保期内"),IF($Z475="","▲免保没填到期日",IF($Z475&lt;TODAY(),"▲免保已到期 该转收费了",IF($Z475-TODAY()&lt;=合同提醒天,"免保还剩 "&amp;TEXT($Z475-TODAY(),"0")&amp;" 天","免保中"))),IF($Y475="暂停维保","暂停中 不计费",IF($Y475="已解约","已解约",IF(COUNTIF(合同键,$E475)=0,"▲还没建合同行","")))))</f>
        <v/>
      </c>
      <c r="AD475" s="24"/>
      <c r="AE475" s="35" t="str">
        <f aca="false">IF($C475="","",IF($D475="","★项目名称没填",IF(N($P475)&lt;=0,"★台量要填",IF(AND(OR($Y475="安装免保",$Y475="技术免保",$Y475="质保期内"),$Z475=""),"★免保到期日没填",IF(COUNTIF(合同键,$E475)=0,"★还没建合同行","OK")))))</f>
        <v/>
      </c>
    </row>
    <row r="476" customFormat="false" ht="15" hidden="false" customHeight="false" outlineLevel="0" collapsed="false">
      <c r="A476" s="29" t="str">
        <f aca="false">IF($C476="","",ROW()-4)</f>
        <v/>
      </c>
      <c r="B476" s="25"/>
      <c r="C476" s="24"/>
      <c r="D476" s="24"/>
      <c r="E476" s="30" t="str">
        <f aca="false">IF($C476="","",$C476&amp;" ｜ "&amp;$D476)</f>
        <v/>
      </c>
      <c r="F476" s="25"/>
      <c r="G476" s="25"/>
      <c r="H476" s="25"/>
      <c r="I476" s="25"/>
      <c r="J476" s="25"/>
      <c r="K476" s="21"/>
      <c r="L476" s="21"/>
      <c r="M476" s="21"/>
      <c r="N476" s="25"/>
      <c r="O476" s="25"/>
      <c r="P476" s="32"/>
      <c r="Q476" s="25"/>
      <c r="R476" s="25"/>
      <c r="S476" s="33"/>
      <c r="T476" s="33"/>
      <c r="U476" s="33"/>
      <c r="V476" s="33"/>
      <c r="W476" s="25"/>
      <c r="X476" s="25"/>
      <c r="Y476" s="25"/>
      <c r="Z476" s="33"/>
      <c r="AA476" s="34" t="str">
        <f aca="true">IF($T476="","",IF($T476&lt;TODAY(),"已过期 "&amp;TEXT(TODAY()-$T476,"0")&amp;" 天",IF($T476-TODAY()&lt;=年检提醒天,"还剩 "&amp;TEXT($T476-TODAY(),"0")&amp;" 天","")))</f>
        <v/>
      </c>
      <c r="AB476" s="34" t="str">
        <f aca="true">IF(COUNT($U476:$V476)=0,"",IF(MIN($U476:$V476)&lt;TODAY(),"已过期 "&amp;TEXT(TODAY()-MIN($U476:$V476),"0")&amp;" 天",IF(MIN($U476:$V476)-TODAY()&lt;=年检提醒天,"还剩 "&amp;TEXT(MIN($U476:$V476)-TODAY(),"0")&amp;" 天","")))</f>
        <v/>
      </c>
      <c r="AC476" s="34" t="str">
        <f aca="true">IF($C476="","",IF(OR($Y476="安装免保",$Y476="技术免保",$Y476="质保期内"),IF($Z476="","▲免保没填到期日",IF($Z476&lt;TODAY(),"▲免保已到期 该转收费了",IF($Z476-TODAY()&lt;=合同提醒天,"免保还剩 "&amp;TEXT($Z476-TODAY(),"0")&amp;" 天","免保中"))),IF($Y476="暂停维保","暂停中 不计费",IF($Y476="已解约","已解约",IF(COUNTIF(合同键,$E476)=0,"▲还没建合同行","")))))</f>
        <v/>
      </c>
      <c r="AD476" s="24"/>
      <c r="AE476" s="35" t="str">
        <f aca="false">IF($C476="","",IF($D476="","★项目名称没填",IF(N($P476)&lt;=0,"★台量要填",IF(AND(OR($Y476="安装免保",$Y476="技术免保",$Y476="质保期内"),$Z476=""),"★免保到期日没填",IF(COUNTIF(合同键,$E476)=0,"★还没建合同行","OK")))))</f>
        <v/>
      </c>
    </row>
    <row r="477" customFormat="false" ht="15" hidden="false" customHeight="false" outlineLevel="0" collapsed="false">
      <c r="A477" s="29" t="str">
        <f aca="false">IF($C477="","",ROW()-4)</f>
        <v/>
      </c>
      <c r="B477" s="25"/>
      <c r="C477" s="24"/>
      <c r="D477" s="24"/>
      <c r="E477" s="30" t="str">
        <f aca="false">IF($C477="","",$C477&amp;" ｜ "&amp;$D477)</f>
        <v/>
      </c>
      <c r="F477" s="25"/>
      <c r="G477" s="25"/>
      <c r="H477" s="25"/>
      <c r="I477" s="25"/>
      <c r="J477" s="25"/>
      <c r="K477" s="21"/>
      <c r="L477" s="21"/>
      <c r="M477" s="21"/>
      <c r="N477" s="25"/>
      <c r="O477" s="25"/>
      <c r="P477" s="32"/>
      <c r="Q477" s="25"/>
      <c r="R477" s="25"/>
      <c r="S477" s="33"/>
      <c r="T477" s="33"/>
      <c r="U477" s="33"/>
      <c r="V477" s="33"/>
      <c r="W477" s="25"/>
      <c r="X477" s="25"/>
      <c r="Y477" s="25"/>
      <c r="Z477" s="33"/>
      <c r="AA477" s="34" t="str">
        <f aca="true">IF($T477="","",IF($T477&lt;TODAY(),"已过期 "&amp;TEXT(TODAY()-$T477,"0")&amp;" 天",IF($T477-TODAY()&lt;=年检提醒天,"还剩 "&amp;TEXT($T477-TODAY(),"0")&amp;" 天","")))</f>
        <v/>
      </c>
      <c r="AB477" s="34" t="str">
        <f aca="true">IF(COUNT($U477:$V477)=0,"",IF(MIN($U477:$V477)&lt;TODAY(),"已过期 "&amp;TEXT(TODAY()-MIN($U477:$V477),"0")&amp;" 天",IF(MIN($U477:$V477)-TODAY()&lt;=年检提醒天,"还剩 "&amp;TEXT(MIN($U477:$V477)-TODAY(),"0")&amp;" 天","")))</f>
        <v/>
      </c>
      <c r="AC477" s="34" t="str">
        <f aca="true">IF($C477="","",IF(OR($Y477="安装免保",$Y477="技术免保",$Y477="质保期内"),IF($Z477="","▲免保没填到期日",IF($Z477&lt;TODAY(),"▲免保已到期 该转收费了",IF($Z477-TODAY()&lt;=合同提醒天,"免保还剩 "&amp;TEXT($Z477-TODAY(),"0")&amp;" 天","免保中"))),IF($Y477="暂停维保","暂停中 不计费",IF($Y477="已解约","已解约",IF(COUNTIF(合同键,$E477)=0,"▲还没建合同行","")))))</f>
        <v/>
      </c>
      <c r="AD477" s="24"/>
      <c r="AE477" s="35" t="str">
        <f aca="false">IF($C477="","",IF($D477="","★项目名称没填",IF(N($P477)&lt;=0,"★台量要填",IF(AND(OR($Y477="安装免保",$Y477="技术免保",$Y477="质保期内"),$Z477=""),"★免保到期日没填",IF(COUNTIF(合同键,$E477)=0,"★还没建合同行","OK")))))</f>
        <v/>
      </c>
    </row>
    <row r="478" customFormat="false" ht="15" hidden="false" customHeight="false" outlineLevel="0" collapsed="false">
      <c r="A478" s="29" t="str">
        <f aca="false">IF($C478="","",ROW()-4)</f>
        <v/>
      </c>
      <c r="B478" s="25"/>
      <c r="C478" s="24"/>
      <c r="D478" s="24"/>
      <c r="E478" s="30" t="str">
        <f aca="false">IF($C478="","",$C478&amp;" ｜ "&amp;$D478)</f>
        <v/>
      </c>
      <c r="F478" s="25"/>
      <c r="G478" s="25"/>
      <c r="H478" s="25"/>
      <c r="I478" s="25"/>
      <c r="J478" s="25"/>
      <c r="K478" s="21"/>
      <c r="L478" s="21"/>
      <c r="M478" s="21"/>
      <c r="N478" s="25"/>
      <c r="O478" s="25"/>
      <c r="P478" s="32"/>
      <c r="Q478" s="25"/>
      <c r="R478" s="25"/>
      <c r="S478" s="33"/>
      <c r="T478" s="33"/>
      <c r="U478" s="33"/>
      <c r="V478" s="33"/>
      <c r="W478" s="25"/>
      <c r="X478" s="25"/>
      <c r="Y478" s="25"/>
      <c r="Z478" s="33"/>
      <c r="AA478" s="34" t="str">
        <f aca="true">IF($T478="","",IF($T478&lt;TODAY(),"已过期 "&amp;TEXT(TODAY()-$T478,"0")&amp;" 天",IF($T478-TODAY()&lt;=年检提醒天,"还剩 "&amp;TEXT($T478-TODAY(),"0")&amp;" 天","")))</f>
        <v/>
      </c>
      <c r="AB478" s="34" t="str">
        <f aca="true">IF(COUNT($U478:$V478)=0,"",IF(MIN($U478:$V478)&lt;TODAY(),"已过期 "&amp;TEXT(TODAY()-MIN($U478:$V478),"0")&amp;" 天",IF(MIN($U478:$V478)-TODAY()&lt;=年检提醒天,"还剩 "&amp;TEXT(MIN($U478:$V478)-TODAY(),"0")&amp;" 天","")))</f>
        <v/>
      </c>
      <c r="AC478" s="34" t="str">
        <f aca="true">IF($C478="","",IF(OR($Y478="安装免保",$Y478="技术免保",$Y478="质保期内"),IF($Z478="","▲免保没填到期日",IF($Z478&lt;TODAY(),"▲免保已到期 该转收费了",IF($Z478-TODAY()&lt;=合同提醒天,"免保还剩 "&amp;TEXT($Z478-TODAY(),"0")&amp;" 天","免保中"))),IF($Y478="暂停维保","暂停中 不计费",IF($Y478="已解约","已解约",IF(COUNTIF(合同键,$E478)=0,"▲还没建合同行","")))))</f>
        <v/>
      </c>
      <c r="AD478" s="24"/>
      <c r="AE478" s="35" t="str">
        <f aca="false">IF($C478="","",IF($D478="","★项目名称没填",IF(N($P478)&lt;=0,"★台量要填",IF(AND(OR($Y478="安装免保",$Y478="技术免保",$Y478="质保期内"),$Z478=""),"★免保到期日没填",IF(COUNTIF(合同键,$E478)=0,"★还没建合同行","OK")))))</f>
        <v/>
      </c>
    </row>
    <row r="479" customFormat="false" ht="15" hidden="false" customHeight="false" outlineLevel="0" collapsed="false">
      <c r="A479" s="29" t="str">
        <f aca="false">IF($C479="","",ROW()-4)</f>
        <v/>
      </c>
      <c r="B479" s="25"/>
      <c r="C479" s="24"/>
      <c r="D479" s="24"/>
      <c r="E479" s="30" t="str">
        <f aca="false">IF($C479="","",$C479&amp;" ｜ "&amp;$D479)</f>
        <v/>
      </c>
      <c r="F479" s="25"/>
      <c r="G479" s="25"/>
      <c r="H479" s="25"/>
      <c r="I479" s="25"/>
      <c r="J479" s="25"/>
      <c r="K479" s="21"/>
      <c r="L479" s="21"/>
      <c r="M479" s="21"/>
      <c r="N479" s="25"/>
      <c r="O479" s="25"/>
      <c r="P479" s="32"/>
      <c r="Q479" s="25"/>
      <c r="R479" s="25"/>
      <c r="S479" s="33"/>
      <c r="T479" s="33"/>
      <c r="U479" s="33"/>
      <c r="V479" s="33"/>
      <c r="W479" s="25"/>
      <c r="X479" s="25"/>
      <c r="Y479" s="25"/>
      <c r="Z479" s="33"/>
      <c r="AA479" s="34" t="str">
        <f aca="true">IF($T479="","",IF($T479&lt;TODAY(),"已过期 "&amp;TEXT(TODAY()-$T479,"0")&amp;" 天",IF($T479-TODAY()&lt;=年检提醒天,"还剩 "&amp;TEXT($T479-TODAY(),"0")&amp;" 天","")))</f>
        <v/>
      </c>
      <c r="AB479" s="34" t="str">
        <f aca="true">IF(COUNT($U479:$V479)=0,"",IF(MIN($U479:$V479)&lt;TODAY(),"已过期 "&amp;TEXT(TODAY()-MIN($U479:$V479),"0")&amp;" 天",IF(MIN($U479:$V479)-TODAY()&lt;=年检提醒天,"还剩 "&amp;TEXT(MIN($U479:$V479)-TODAY(),"0")&amp;" 天","")))</f>
        <v/>
      </c>
      <c r="AC479" s="34" t="str">
        <f aca="true">IF($C479="","",IF(OR($Y479="安装免保",$Y479="技术免保",$Y479="质保期内"),IF($Z479="","▲免保没填到期日",IF($Z479&lt;TODAY(),"▲免保已到期 该转收费了",IF($Z479-TODAY()&lt;=合同提醒天,"免保还剩 "&amp;TEXT($Z479-TODAY(),"0")&amp;" 天","免保中"))),IF($Y479="暂停维保","暂停中 不计费",IF($Y479="已解约","已解约",IF(COUNTIF(合同键,$E479)=0,"▲还没建合同行","")))))</f>
        <v/>
      </c>
      <c r="AD479" s="24"/>
      <c r="AE479" s="35" t="str">
        <f aca="false">IF($C479="","",IF($D479="","★项目名称没填",IF(N($P479)&lt;=0,"★台量要填",IF(AND(OR($Y479="安装免保",$Y479="技术免保",$Y479="质保期内"),$Z479=""),"★免保到期日没填",IF(COUNTIF(合同键,$E479)=0,"★还没建合同行","OK")))))</f>
        <v/>
      </c>
    </row>
    <row r="480" customFormat="false" ht="15" hidden="false" customHeight="false" outlineLevel="0" collapsed="false">
      <c r="A480" s="29" t="str">
        <f aca="false">IF($C480="","",ROW()-4)</f>
        <v/>
      </c>
      <c r="B480" s="25"/>
      <c r="C480" s="24"/>
      <c r="D480" s="24"/>
      <c r="E480" s="30" t="str">
        <f aca="false">IF($C480="","",$C480&amp;" ｜ "&amp;$D480)</f>
        <v/>
      </c>
      <c r="F480" s="25"/>
      <c r="G480" s="25"/>
      <c r="H480" s="25"/>
      <c r="I480" s="25"/>
      <c r="J480" s="25"/>
      <c r="K480" s="21"/>
      <c r="L480" s="21"/>
      <c r="M480" s="21"/>
      <c r="N480" s="25"/>
      <c r="O480" s="25"/>
      <c r="P480" s="32"/>
      <c r="Q480" s="25"/>
      <c r="R480" s="25"/>
      <c r="S480" s="33"/>
      <c r="T480" s="33"/>
      <c r="U480" s="33"/>
      <c r="V480" s="33"/>
      <c r="W480" s="25"/>
      <c r="X480" s="25"/>
      <c r="Y480" s="25"/>
      <c r="Z480" s="33"/>
      <c r="AA480" s="34" t="str">
        <f aca="true">IF($T480="","",IF($T480&lt;TODAY(),"已过期 "&amp;TEXT(TODAY()-$T480,"0")&amp;" 天",IF($T480-TODAY()&lt;=年检提醒天,"还剩 "&amp;TEXT($T480-TODAY(),"0")&amp;" 天","")))</f>
        <v/>
      </c>
      <c r="AB480" s="34" t="str">
        <f aca="true">IF(COUNT($U480:$V480)=0,"",IF(MIN($U480:$V480)&lt;TODAY(),"已过期 "&amp;TEXT(TODAY()-MIN($U480:$V480),"0")&amp;" 天",IF(MIN($U480:$V480)-TODAY()&lt;=年检提醒天,"还剩 "&amp;TEXT(MIN($U480:$V480)-TODAY(),"0")&amp;" 天","")))</f>
        <v/>
      </c>
      <c r="AC480" s="34" t="str">
        <f aca="true">IF($C480="","",IF(OR($Y480="安装免保",$Y480="技术免保",$Y480="质保期内"),IF($Z480="","▲免保没填到期日",IF($Z480&lt;TODAY(),"▲免保已到期 该转收费了",IF($Z480-TODAY()&lt;=合同提醒天,"免保还剩 "&amp;TEXT($Z480-TODAY(),"0")&amp;" 天","免保中"))),IF($Y480="暂停维保","暂停中 不计费",IF($Y480="已解约","已解约",IF(COUNTIF(合同键,$E480)=0,"▲还没建合同行","")))))</f>
        <v/>
      </c>
      <c r="AD480" s="24"/>
      <c r="AE480" s="35" t="str">
        <f aca="false">IF($C480="","",IF($D480="","★项目名称没填",IF(N($P480)&lt;=0,"★台量要填",IF(AND(OR($Y480="安装免保",$Y480="技术免保",$Y480="质保期内"),$Z480=""),"★免保到期日没填",IF(COUNTIF(合同键,$E480)=0,"★还没建合同行","OK")))))</f>
        <v/>
      </c>
    </row>
    <row r="481" customFormat="false" ht="15" hidden="false" customHeight="false" outlineLevel="0" collapsed="false">
      <c r="A481" s="29" t="str">
        <f aca="false">IF($C481="","",ROW()-4)</f>
        <v/>
      </c>
      <c r="B481" s="25"/>
      <c r="C481" s="24"/>
      <c r="D481" s="24"/>
      <c r="E481" s="30" t="str">
        <f aca="false">IF($C481="","",$C481&amp;" ｜ "&amp;$D481)</f>
        <v/>
      </c>
      <c r="F481" s="25"/>
      <c r="G481" s="25"/>
      <c r="H481" s="25"/>
      <c r="I481" s="25"/>
      <c r="J481" s="25"/>
      <c r="K481" s="21"/>
      <c r="L481" s="21"/>
      <c r="M481" s="21"/>
      <c r="N481" s="25"/>
      <c r="O481" s="25"/>
      <c r="P481" s="32"/>
      <c r="Q481" s="25"/>
      <c r="R481" s="25"/>
      <c r="S481" s="33"/>
      <c r="T481" s="33"/>
      <c r="U481" s="33"/>
      <c r="V481" s="33"/>
      <c r="W481" s="25"/>
      <c r="X481" s="25"/>
      <c r="Y481" s="25"/>
      <c r="Z481" s="33"/>
      <c r="AA481" s="34" t="str">
        <f aca="true">IF($T481="","",IF($T481&lt;TODAY(),"已过期 "&amp;TEXT(TODAY()-$T481,"0")&amp;" 天",IF($T481-TODAY()&lt;=年检提醒天,"还剩 "&amp;TEXT($T481-TODAY(),"0")&amp;" 天","")))</f>
        <v/>
      </c>
      <c r="AB481" s="34" t="str">
        <f aca="true">IF(COUNT($U481:$V481)=0,"",IF(MIN($U481:$V481)&lt;TODAY(),"已过期 "&amp;TEXT(TODAY()-MIN($U481:$V481),"0")&amp;" 天",IF(MIN($U481:$V481)-TODAY()&lt;=年检提醒天,"还剩 "&amp;TEXT(MIN($U481:$V481)-TODAY(),"0")&amp;" 天","")))</f>
        <v/>
      </c>
      <c r="AC481" s="34" t="str">
        <f aca="true">IF($C481="","",IF(OR($Y481="安装免保",$Y481="技术免保",$Y481="质保期内"),IF($Z481="","▲免保没填到期日",IF($Z481&lt;TODAY(),"▲免保已到期 该转收费了",IF($Z481-TODAY()&lt;=合同提醒天,"免保还剩 "&amp;TEXT($Z481-TODAY(),"0")&amp;" 天","免保中"))),IF($Y481="暂停维保","暂停中 不计费",IF($Y481="已解约","已解约",IF(COUNTIF(合同键,$E481)=0,"▲还没建合同行","")))))</f>
        <v/>
      </c>
      <c r="AD481" s="24"/>
      <c r="AE481" s="35" t="str">
        <f aca="false">IF($C481="","",IF($D481="","★项目名称没填",IF(N($P481)&lt;=0,"★台量要填",IF(AND(OR($Y481="安装免保",$Y481="技术免保",$Y481="质保期内"),$Z481=""),"★免保到期日没填",IF(COUNTIF(合同键,$E481)=0,"★还没建合同行","OK")))))</f>
        <v/>
      </c>
    </row>
    <row r="482" customFormat="false" ht="15" hidden="false" customHeight="false" outlineLevel="0" collapsed="false">
      <c r="A482" s="29" t="str">
        <f aca="false">IF($C482="","",ROW()-4)</f>
        <v/>
      </c>
      <c r="B482" s="25"/>
      <c r="C482" s="24"/>
      <c r="D482" s="24"/>
      <c r="E482" s="30" t="str">
        <f aca="false">IF($C482="","",$C482&amp;" ｜ "&amp;$D482)</f>
        <v/>
      </c>
      <c r="F482" s="25"/>
      <c r="G482" s="25"/>
      <c r="H482" s="25"/>
      <c r="I482" s="25"/>
      <c r="J482" s="25"/>
      <c r="K482" s="21"/>
      <c r="L482" s="21"/>
      <c r="M482" s="21"/>
      <c r="N482" s="25"/>
      <c r="O482" s="25"/>
      <c r="P482" s="32"/>
      <c r="Q482" s="25"/>
      <c r="R482" s="25"/>
      <c r="S482" s="33"/>
      <c r="T482" s="33"/>
      <c r="U482" s="33"/>
      <c r="V482" s="33"/>
      <c r="W482" s="25"/>
      <c r="X482" s="25"/>
      <c r="Y482" s="25"/>
      <c r="Z482" s="33"/>
      <c r="AA482" s="34" t="str">
        <f aca="true">IF($T482="","",IF($T482&lt;TODAY(),"已过期 "&amp;TEXT(TODAY()-$T482,"0")&amp;" 天",IF($T482-TODAY()&lt;=年检提醒天,"还剩 "&amp;TEXT($T482-TODAY(),"0")&amp;" 天","")))</f>
        <v/>
      </c>
      <c r="AB482" s="34" t="str">
        <f aca="true">IF(COUNT($U482:$V482)=0,"",IF(MIN($U482:$V482)&lt;TODAY(),"已过期 "&amp;TEXT(TODAY()-MIN($U482:$V482),"0")&amp;" 天",IF(MIN($U482:$V482)-TODAY()&lt;=年检提醒天,"还剩 "&amp;TEXT(MIN($U482:$V482)-TODAY(),"0")&amp;" 天","")))</f>
        <v/>
      </c>
      <c r="AC482" s="34" t="str">
        <f aca="true">IF($C482="","",IF(OR($Y482="安装免保",$Y482="技术免保",$Y482="质保期内"),IF($Z482="","▲免保没填到期日",IF($Z482&lt;TODAY(),"▲免保已到期 该转收费了",IF($Z482-TODAY()&lt;=合同提醒天,"免保还剩 "&amp;TEXT($Z482-TODAY(),"0")&amp;" 天","免保中"))),IF($Y482="暂停维保","暂停中 不计费",IF($Y482="已解约","已解约",IF(COUNTIF(合同键,$E482)=0,"▲还没建合同行","")))))</f>
        <v/>
      </c>
      <c r="AD482" s="24"/>
      <c r="AE482" s="35" t="str">
        <f aca="false">IF($C482="","",IF($D482="","★项目名称没填",IF(N($P482)&lt;=0,"★台量要填",IF(AND(OR($Y482="安装免保",$Y482="技术免保",$Y482="质保期内"),$Z482=""),"★免保到期日没填",IF(COUNTIF(合同键,$E482)=0,"★还没建合同行","OK")))))</f>
        <v/>
      </c>
    </row>
    <row r="483" customFormat="false" ht="15" hidden="false" customHeight="false" outlineLevel="0" collapsed="false">
      <c r="A483" s="29" t="str">
        <f aca="false">IF($C483="","",ROW()-4)</f>
        <v/>
      </c>
      <c r="B483" s="25"/>
      <c r="C483" s="24"/>
      <c r="D483" s="24"/>
      <c r="E483" s="30" t="str">
        <f aca="false">IF($C483="","",$C483&amp;" ｜ "&amp;$D483)</f>
        <v/>
      </c>
      <c r="F483" s="25"/>
      <c r="G483" s="25"/>
      <c r="H483" s="25"/>
      <c r="I483" s="25"/>
      <c r="J483" s="25"/>
      <c r="K483" s="21"/>
      <c r="L483" s="21"/>
      <c r="M483" s="21"/>
      <c r="N483" s="25"/>
      <c r="O483" s="25"/>
      <c r="P483" s="32"/>
      <c r="Q483" s="25"/>
      <c r="R483" s="25"/>
      <c r="S483" s="33"/>
      <c r="T483" s="33"/>
      <c r="U483" s="33"/>
      <c r="V483" s="33"/>
      <c r="W483" s="25"/>
      <c r="X483" s="25"/>
      <c r="Y483" s="25"/>
      <c r="Z483" s="33"/>
      <c r="AA483" s="34" t="str">
        <f aca="true">IF($T483="","",IF($T483&lt;TODAY(),"已过期 "&amp;TEXT(TODAY()-$T483,"0")&amp;" 天",IF($T483-TODAY()&lt;=年检提醒天,"还剩 "&amp;TEXT($T483-TODAY(),"0")&amp;" 天","")))</f>
        <v/>
      </c>
      <c r="AB483" s="34" t="str">
        <f aca="true">IF(COUNT($U483:$V483)=0,"",IF(MIN($U483:$V483)&lt;TODAY(),"已过期 "&amp;TEXT(TODAY()-MIN($U483:$V483),"0")&amp;" 天",IF(MIN($U483:$V483)-TODAY()&lt;=年检提醒天,"还剩 "&amp;TEXT(MIN($U483:$V483)-TODAY(),"0")&amp;" 天","")))</f>
        <v/>
      </c>
      <c r="AC483" s="34" t="str">
        <f aca="true">IF($C483="","",IF(OR($Y483="安装免保",$Y483="技术免保",$Y483="质保期内"),IF($Z483="","▲免保没填到期日",IF($Z483&lt;TODAY(),"▲免保已到期 该转收费了",IF($Z483-TODAY()&lt;=合同提醒天,"免保还剩 "&amp;TEXT($Z483-TODAY(),"0")&amp;" 天","免保中"))),IF($Y483="暂停维保","暂停中 不计费",IF($Y483="已解约","已解约",IF(COUNTIF(合同键,$E483)=0,"▲还没建合同行","")))))</f>
        <v/>
      </c>
      <c r="AD483" s="24"/>
      <c r="AE483" s="35" t="str">
        <f aca="false">IF($C483="","",IF($D483="","★项目名称没填",IF(N($P483)&lt;=0,"★台量要填",IF(AND(OR($Y483="安装免保",$Y483="技术免保",$Y483="质保期内"),$Z483=""),"★免保到期日没填",IF(COUNTIF(合同键,$E483)=0,"★还没建合同行","OK")))))</f>
        <v/>
      </c>
    </row>
    <row r="484" customFormat="false" ht="15" hidden="false" customHeight="false" outlineLevel="0" collapsed="false">
      <c r="A484" s="29" t="str">
        <f aca="false">IF($C484="","",ROW()-4)</f>
        <v/>
      </c>
      <c r="B484" s="25"/>
      <c r="C484" s="24"/>
      <c r="D484" s="24"/>
      <c r="E484" s="30" t="str">
        <f aca="false">IF($C484="","",$C484&amp;" ｜ "&amp;$D484)</f>
        <v/>
      </c>
      <c r="F484" s="25"/>
      <c r="G484" s="25"/>
      <c r="H484" s="25"/>
      <c r="I484" s="25"/>
      <c r="J484" s="25"/>
      <c r="K484" s="21"/>
      <c r="L484" s="21"/>
      <c r="M484" s="21"/>
      <c r="N484" s="25"/>
      <c r="O484" s="25"/>
      <c r="P484" s="32"/>
      <c r="Q484" s="25"/>
      <c r="R484" s="25"/>
      <c r="S484" s="33"/>
      <c r="T484" s="33"/>
      <c r="U484" s="33"/>
      <c r="V484" s="33"/>
      <c r="W484" s="25"/>
      <c r="X484" s="25"/>
      <c r="Y484" s="25"/>
      <c r="Z484" s="33"/>
      <c r="AA484" s="34" t="str">
        <f aca="true">IF($T484="","",IF($T484&lt;TODAY(),"已过期 "&amp;TEXT(TODAY()-$T484,"0")&amp;" 天",IF($T484-TODAY()&lt;=年检提醒天,"还剩 "&amp;TEXT($T484-TODAY(),"0")&amp;" 天","")))</f>
        <v/>
      </c>
      <c r="AB484" s="34" t="str">
        <f aca="true">IF(COUNT($U484:$V484)=0,"",IF(MIN($U484:$V484)&lt;TODAY(),"已过期 "&amp;TEXT(TODAY()-MIN($U484:$V484),"0")&amp;" 天",IF(MIN($U484:$V484)-TODAY()&lt;=年检提醒天,"还剩 "&amp;TEXT(MIN($U484:$V484)-TODAY(),"0")&amp;" 天","")))</f>
        <v/>
      </c>
      <c r="AC484" s="34" t="str">
        <f aca="true">IF($C484="","",IF(OR($Y484="安装免保",$Y484="技术免保",$Y484="质保期内"),IF($Z484="","▲免保没填到期日",IF($Z484&lt;TODAY(),"▲免保已到期 该转收费了",IF($Z484-TODAY()&lt;=合同提醒天,"免保还剩 "&amp;TEXT($Z484-TODAY(),"0")&amp;" 天","免保中"))),IF($Y484="暂停维保","暂停中 不计费",IF($Y484="已解约","已解约",IF(COUNTIF(合同键,$E484)=0,"▲还没建合同行","")))))</f>
        <v/>
      </c>
      <c r="AD484" s="24"/>
      <c r="AE484" s="35" t="str">
        <f aca="false">IF($C484="","",IF($D484="","★项目名称没填",IF(N($P484)&lt;=0,"★台量要填",IF(AND(OR($Y484="安装免保",$Y484="技术免保",$Y484="质保期内"),$Z484=""),"★免保到期日没填",IF(COUNTIF(合同键,$E484)=0,"★还没建合同行","OK")))))</f>
        <v/>
      </c>
    </row>
    <row r="485" customFormat="false" ht="15" hidden="false" customHeight="false" outlineLevel="0" collapsed="false">
      <c r="A485" s="29" t="str">
        <f aca="false">IF($C485="","",ROW()-4)</f>
        <v/>
      </c>
      <c r="B485" s="25"/>
      <c r="C485" s="24"/>
      <c r="D485" s="24"/>
      <c r="E485" s="30" t="str">
        <f aca="false">IF($C485="","",$C485&amp;" ｜ "&amp;$D485)</f>
        <v/>
      </c>
      <c r="F485" s="25"/>
      <c r="G485" s="25"/>
      <c r="H485" s="25"/>
      <c r="I485" s="25"/>
      <c r="J485" s="25"/>
      <c r="K485" s="21"/>
      <c r="L485" s="21"/>
      <c r="M485" s="21"/>
      <c r="N485" s="25"/>
      <c r="O485" s="25"/>
      <c r="P485" s="32"/>
      <c r="Q485" s="25"/>
      <c r="R485" s="25"/>
      <c r="S485" s="33"/>
      <c r="T485" s="33"/>
      <c r="U485" s="33"/>
      <c r="V485" s="33"/>
      <c r="W485" s="25"/>
      <c r="X485" s="25"/>
      <c r="Y485" s="25"/>
      <c r="Z485" s="33"/>
      <c r="AA485" s="34" t="str">
        <f aca="true">IF($T485="","",IF($T485&lt;TODAY(),"已过期 "&amp;TEXT(TODAY()-$T485,"0")&amp;" 天",IF($T485-TODAY()&lt;=年检提醒天,"还剩 "&amp;TEXT($T485-TODAY(),"0")&amp;" 天","")))</f>
        <v/>
      </c>
      <c r="AB485" s="34" t="str">
        <f aca="true">IF(COUNT($U485:$V485)=0,"",IF(MIN($U485:$V485)&lt;TODAY(),"已过期 "&amp;TEXT(TODAY()-MIN($U485:$V485),"0")&amp;" 天",IF(MIN($U485:$V485)-TODAY()&lt;=年检提醒天,"还剩 "&amp;TEXT(MIN($U485:$V485)-TODAY(),"0")&amp;" 天","")))</f>
        <v/>
      </c>
      <c r="AC485" s="34" t="str">
        <f aca="true">IF($C485="","",IF(OR($Y485="安装免保",$Y485="技术免保",$Y485="质保期内"),IF($Z485="","▲免保没填到期日",IF($Z485&lt;TODAY(),"▲免保已到期 该转收费了",IF($Z485-TODAY()&lt;=合同提醒天,"免保还剩 "&amp;TEXT($Z485-TODAY(),"0")&amp;" 天","免保中"))),IF($Y485="暂停维保","暂停中 不计费",IF($Y485="已解约","已解约",IF(COUNTIF(合同键,$E485)=0,"▲还没建合同行","")))))</f>
        <v/>
      </c>
      <c r="AD485" s="24"/>
      <c r="AE485" s="35" t="str">
        <f aca="false">IF($C485="","",IF($D485="","★项目名称没填",IF(N($P485)&lt;=0,"★台量要填",IF(AND(OR($Y485="安装免保",$Y485="技术免保",$Y485="质保期内"),$Z485=""),"★免保到期日没填",IF(COUNTIF(合同键,$E485)=0,"★还没建合同行","OK")))))</f>
        <v/>
      </c>
    </row>
    <row r="486" customFormat="false" ht="15" hidden="false" customHeight="false" outlineLevel="0" collapsed="false">
      <c r="A486" s="29" t="str">
        <f aca="false">IF($C486="","",ROW()-4)</f>
        <v/>
      </c>
      <c r="B486" s="25"/>
      <c r="C486" s="24"/>
      <c r="D486" s="24"/>
      <c r="E486" s="30" t="str">
        <f aca="false">IF($C486="","",$C486&amp;" ｜ "&amp;$D486)</f>
        <v/>
      </c>
      <c r="F486" s="25"/>
      <c r="G486" s="25"/>
      <c r="H486" s="25"/>
      <c r="I486" s="25"/>
      <c r="J486" s="25"/>
      <c r="K486" s="21"/>
      <c r="L486" s="21"/>
      <c r="M486" s="21"/>
      <c r="N486" s="25"/>
      <c r="O486" s="25"/>
      <c r="P486" s="32"/>
      <c r="Q486" s="25"/>
      <c r="R486" s="25"/>
      <c r="S486" s="33"/>
      <c r="T486" s="33"/>
      <c r="U486" s="33"/>
      <c r="V486" s="33"/>
      <c r="W486" s="25"/>
      <c r="X486" s="25"/>
      <c r="Y486" s="25"/>
      <c r="Z486" s="33"/>
      <c r="AA486" s="34" t="str">
        <f aca="true">IF($T486="","",IF($T486&lt;TODAY(),"已过期 "&amp;TEXT(TODAY()-$T486,"0")&amp;" 天",IF($T486-TODAY()&lt;=年检提醒天,"还剩 "&amp;TEXT($T486-TODAY(),"0")&amp;" 天","")))</f>
        <v/>
      </c>
      <c r="AB486" s="34" t="str">
        <f aca="true">IF(COUNT($U486:$V486)=0,"",IF(MIN($U486:$V486)&lt;TODAY(),"已过期 "&amp;TEXT(TODAY()-MIN($U486:$V486),"0")&amp;" 天",IF(MIN($U486:$V486)-TODAY()&lt;=年检提醒天,"还剩 "&amp;TEXT(MIN($U486:$V486)-TODAY(),"0")&amp;" 天","")))</f>
        <v/>
      </c>
      <c r="AC486" s="34" t="str">
        <f aca="true">IF($C486="","",IF(OR($Y486="安装免保",$Y486="技术免保",$Y486="质保期内"),IF($Z486="","▲免保没填到期日",IF($Z486&lt;TODAY(),"▲免保已到期 该转收费了",IF($Z486-TODAY()&lt;=合同提醒天,"免保还剩 "&amp;TEXT($Z486-TODAY(),"0")&amp;" 天","免保中"))),IF($Y486="暂停维保","暂停中 不计费",IF($Y486="已解约","已解约",IF(COUNTIF(合同键,$E486)=0,"▲还没建合同行","")))))</f>
        <v/>
      </c>
      <c r="AD486" s="24"/>
      <c r="AE486" s="35" t="str">
        <f aca="false">IF($C486="","",IF($D486="","★项目名称没填",IF(N($P486)&lt;=0,"★台量要填",IF(AND(OR($Y486="安装免保",$Y486="技术免保",$Y486="质保期内"),$Z486=""),"★免保到期日没填",IF(COUNTIF(合同键,$E486)=0,"★还没建合同行","OK")))))</f>
        <v/>
      </c>
    </row>
    <row r="487" customFormat="false" ht="15" hidden="false" customHeight="false" outlineLevel="0" collapsed="false">
      <c r="A487" s="29" t="str">
        <f aca="false">IF($C487="","",ROW()-4)</f>
        <v/>
      </c>
      <c r="B487" s="25"/>
      <c r="C487" s="24"/>
      <c r="D487" s="24"/>
      <c r="E487" s="30" t="str">
        <f aca="false">IF($C487="","",$C487&amp;" ｜ "&amp;$D487)</f>
        <v/>
      </c>
      <c r="F487" s="25"/>
      <c r="G487" s="25"/>
      <c r="H487" s="25"/>
      <c r="I487" s="25"/>
      <c r="J487" s="25"/>
      <c r="K487" s="21"/>
      <c r="L487" s="21"/>
      <c r="M487" s="21"/>
      <c r="N487" s="25"/>
      <c r="O487" s="25"/>
      <c r="P487" s="32"/>
      <c r="Q487" s="25"/>
      <c r="R487" s="25"/>
      <c r="S487" s="33"/>
      <c r="T487" s="33"/>
      <c r="U487" s="33"/>
      <c r="V487" s="33"/>
      <c r="W487" s="25"/>
      <c r="X487" s="25"/>
      <c r="Y487" s="25"/>
      <c r="Z487" s="33"/>
      <c r="AA487" s="34" t="str">
        <f aca="true">IF($T487="","",IF($T487&lt;TODAY(),"已过期 "&amp;TEXT(TODAY()-$T487,"0")&amp;" 天",IF($T487-TODAY()&lt;=年检提醒天,"还剩 "&amp;TEXT($T487-TODAY(),"0")&amp;" 天","")))</f>
        <v/>
      </c>
      <c r="AB487" s="34" t="str">
        <f aca="true">IF(COUNT($U487:$V487)=0,"",IF(MIN($U487:$V487)&lt;TODAY(),"已过期 "&amp;TEXT(TODAY()-MIN($U487:$V487),"0")&amp;" 天",IF(MIN($U487:$V487)-TODAY()&lt;=年检提醒天,"还剩 "&amp;TEXT(MIN($U487:$V487)-TODAY(),"0")&amp;" 天","")))</f>
        <v/>
      </c>
      <c r="AC487" s="34" t="str">
        <f aca="true">IF($C487="","",IF(OR($Y487="安装免保",$Y487="技术免保",$Y487="质保期内"),IF($Z487="","▲免保没填到期日",IF($Z487&lt;TODAY(),"▲免保已到期 该转收费了",IF($Z487-TODAY()&lt;=合同提醒天,"免保还剩 "&amp;TEXT($Z487-TODAY(),"0")&amp;" 天","免保中"))),IF($Y487="暂停维保","暂停中 不计费",IF($Y487="已解约","已解约",IF(COUNTIF(合同键,$E487)=0,"▲还没建合同行","")))))</f>
        <v/>
      </c>
      <c r="AD487" s="24"/>
      <c r="AE487" s="35" t="str">
        <f aca="false">IF($C487="","",IF($D487="","★项目名称没填",IF(N($P487)&lt;=0,"★台量要填",IF(AND(OR($Y487="安装免保",$Y487="技术免保",$Y487="质保期内"),$Z487=""),"★免保到期日没填",IF(COUNTIF(合同键,$E487)=0,"★还没建合同行","OK")))))</f>
        <v/>
      </c>
    </row>
    <row r="488" customFormat="false" ht="15" hidden="false" customHeight="false" outlineLevel="0" collapsed="false">
      <c r="A488" s="29" t="str">
        <f aca="false">IF($C488="","",ROW()-4)</f>
        <v/>
      </c>
      <c r="B488" s="25"/>
      <c r="C488" s="24"/>
      <c r="D488" s="24"/>
      <c r="E488" s="30" t="str">
        <f aca="false">IF($C488="","",$C488&amp;" ｜ "&amp;$D488)</f>
        <v/>
      </c>
      <c r="F488" s="25"/>
      <c r="G488" s="25"/>
      <c r="H488" s="25"/>
      <c r="I488" s="25"/>
      <c r="J488" s="25"/>
      <c r="K488" s="21"/>
      <c r="L488" s="21"/>
      <c r="M488" s="21"/>
      <c r="N488" s="25"/>
      <c r="O488" s="25"/>
      <c r="P488" s="32"/>
      <c r="Q488" s="25"/>
      <c r="R488" s="25"/>
      <c r="S488" s="33"/>
      <c r="T488" s="33"/>
      <c r="U488" s="33"/>
      <c r="V488" s="33"/>
      <c r="W488" s="25"/>
      <c r="X488" s="25"/>
      <c r="Y488" s="25"/>
      <c r="Z488" s="33"/>
      <c r="AA488" s="34" t="str">
        <f aca="true">IF($T488="","",IF($T488&lt;TODAY(),"已过期 "&amp;TEXT(TODAY()-$T488,"0")&amp;" 天",IF($T488-TODAY()&lt;=年检提醒天,"还剩 "&amp;TEXT($T488-TODAY(),"0")&amp;" 天","")))</f>
        <v/>
      </c>
      <c r="AB488" s="34" t="str">
        <f aca="true">IF(COUNT($U488:$V488)=0,"",IF(MIN($U488:$V488)&lt;TODAY(),"已过期 "&amp;TEXT(TODAY()-MIN($U488:$V488),"0")&amp;" 天",IF(MIN($U488:$V488)-TODAY()&lt;=年检提醒天,"还剩 "&amp;TEXT(MIN($U488:$V488)-TODAY(),"0")&amp;" 天","")))</f>
        <v/>
      </c>
      <c r="AC488" s="34" t="str">
        <f aca="true">IF($C488="","",IF(OR($Y488="安装免保",$Y488="技术免保",$Y488="质保期内"),IF($Z488="","▲免保没填到期日",IF($Z488&lt;TODAY(),"▲免保已到期 该转收费了",IF($Z488-TODAY()&lt;=合同提醒天,"免保还剩 "&amp;TEXT($Z488-TODAY(),"0")&amp;" 天","免保中"))),IF($Y488="暂停维保","暂停中 不计费",IF($Y488="已解约","已解约",IF(COUNTIF(合同键,$E488)=0,"▲还没建合同行","")))))</f>
        <v/>
      </c>
      <c r="AD488" s="24"/>
      <c r="AE488" s="35" t="str">
        <f aca="false">IF($C488="","",IF($D488="","★项目名称没填",IF(N($P488)&lt;=0,"★台量要填",IF(AND(OR($Y488="安装免保",$Y488="技术免保",$Y488="质保期内"),$Z488=""),"★免保到期日没填",IF(COUNTIF(合同键,$E488)=0,"★还没建合同行","OK")))))</f>
        <v/>
      </c>
    </row>
    <row r="489" customFormat="false" ht="15" hidden="false" customHeight="false" outlineLevel="0" collapsed="false">
      <c r="A489" s="29" t="str">
        <f aca="false">IF($C489="","",ROW()-4)</f>
        <v/>
      </c>
      <c r="B489" s="25"/>
      <c r="C489" s="24"/>
      <c r="D489" s="24"/>
      <c r="E489" s="30" t="str">
        <f aca="false">IF($C489="","",$C489&amp;" ｜ "&amp;$D489)</f>
        <v/>
      </c>
      <c r="F489" s="25"/>
      <c r="G489" s="25"/>
      <c r="H489" s="25"/>
      <c r="I489" s="25"/>
      <c r="J489" s="25"/>
      <c r="K489" s="21"/>
      <c r="L489" s="21"/>
      <c r="M489" s="21"/>
      <c r="N489" s="25"/>
      <c r="O489" s="25"/>
      <c r="P489" s="32"/>
      <c r="Q489" s="25"/>
      <c r="R489" s="25"/>
      <c r="S489" s="33"/>
      <c r="T489" s="33"/>
      <c r="U489" s="33"/>
      <c r="V489" s="33"/>
      <c r="W489" s="25"/>
      <c r="X489" s="25"/>
      <c r="Y489" s="25"/>
      <c r="Z489" s="33"/>
      <c r="AA489" s="34" t="str">
        <f aca="true">IF($T489="","",IF($T489&lt;TODAY(),"已过期 "&amp;TEXT(TODAY()-$T489,"0")&amp;" 天",IF($T489-TODAY()&lt;=年检提醒天,"还剩 "&amp;TEXT($T489-TODAY(),"0")&amp;" 天","")))</f>
        <v/>
      </c>
      <c r="AB489" s="34" t="str">
        <f aca="true">IF(COUNT($U489:$V489)=0,"",IF(MIN($U489:$V489)&lt;TODAY(),"已过期 "&amp;TEXT(TODAY()-MIN($U489:$V489),"0")&amp;" 天",IF(MIN($U489:$V489)-TODAY()&lt;=年检提醒天,"还剩 "&amp;TEXT(MIN($U489:$V489)-TODAY(),"0")&amp;" 天","")))</f>
        <v/>
      </c>
      <c r="AC489" s="34" t="str">
        <f aca="true">IF($C489="","",IF(OR($Y489="安装免保",$Y489="技术免保",$Y489="质保期内"),IF($Z489="","▲免保没填到期日",IF($Z489&lt;TODAY(),"▲免保已到期 该转收费了",IF($Z489-TODAY()&lt;=合同提醒天,"免保还剩 "&amp;TEXT($Z489-TODAY(),"0")&amp;" 天","免保中"))),IF($Y489="暂停维保","暂停中 不计费",IF($Y489="已解约","已解约",IF(COUNTIF(合同键,$E489)=0,"▲还没建合同行","")))))</f>
        <v/>
      </c>
      <c r="AD489" s="24"/>
      <c r="AE489" s="35" t="str">
        <f aca="false">IF($C489="","",IF($D489="","★项目名称没填",IF(N($P489)&lt;=0,"★台量要填",IF(AND(OR($Y489="安装免保",$Y489="技术免保",$Y489="质保期内"),$Z489=""),"★免保到期日没填",IF(COUNTIF(合同键,$E489)=0,"★还没建合同行","OK")))))</f>
        <v/>
      </c>
    </row>
    <row r="490" customFormat="false" ht="15" hidden="false" customHeight="false" outlineLevel="0" collapsed="false">
      <c r="A490" s="29" t="str">
        <f aca="false">IF($C490="","",ROW()-4)</f>
        <v/>
      </c>
      <c r="B490" s="25"/>
      <c r="C490" s="24"/>
      <c r="D490" s="24"/>
      <c r="E490" s="30" t="str">
        <f aca="false">IF($C490="","",$C490&amp;" ｜ "&amp;$D490)</f>
        <v/>
      </c>
      <c r="F490" s="25"/>
      <c r="G490" s="25"/>
      <c r="H490" s="25"/>
      <c r="I490" s="25"/>
      <c r="J490" s="25"/>
      <c r="K490" s="21"/>
      <c r="L490" s="21"/>
      <c r="M490" s="21"/>
      <c r="N490" s="25"/>
      <c r="O490" s="25"/>
      <c r="P490" s="32"/>
      <c r="Q490" s="25"/>
      <c r="R490" s="25"/>
      <c r="S490" s="33"/>
      <c r="T490" s="33"/>
      <c r="U490" s="33"/>
      <c r="V490" s="33"/>
      <c r="W490" s="25"/>
      <c r="X490" s="25"/>
      <c r="Y490" s="25"/>
      <c r="Z490" s="33"/>
      <c r="AA490" s="34" t="str">
        <f aca="true">IF($T490="","",IF($T490&lt;TODAY(),"已过期 "&amp;TEXT(TODAY()-$T490,"0")&amp;" 天",IF($T490-TODAY()&lt;=年检提醒天,"还剩 "&amp;TEXT($T490-TODAY(),"0")&amp;" 天","")))</f>
        <v/>
      </c>
      <c r="AB490" s="34" t="str">
        <f aca="true">IF(COUNT($U490:$V490)=0,"",IF(MIN($U490:$V490)&lt;TODAY(),"已过期 "&amp;TEXT(TODAY()-MIN($U490:$V490),"0")&amp;" 天",IF(MIN($U490:$V490)-TODAY()&lt;=年检提醒天,"还剩 "&amp;TEXT(MIN($U490:$V490)-TODAY(),"0")&amp;" 天","")))</f>
        <v/>
      </c>
      <c r="AC490" s="34" t="str">
        <f aca="true">IF($C490="","",IF(OR($Y490="安装免保",$Y490="技术免保",$Y490="质保期内"),IF($Z490="","▲免保没填到期日",IF($Z490&lt;TODAY(),"▲免保已到期 该转收费了",IF($Z490-TODAY()&lt;=合同提醒天,"免保还剩 "&amp;TEXT($Z490-TODAY(),"0")&amp;" 天","免保中"))),IF($Y490="暂停维保","暂停中 不计费",IF($Y490="已解约","已解约",IF(COUNTIF(合同键,$E490)=0,"▲还没建合同行","")))))</f>
        <v/>
      </c>
      <c r="AD490" s="24"/>
      <c r="AE490" s="35" t="str">
        <f aca="false">IF($C490="","",IF($D490="","★项目名称没填",IF(N($P490)&lt;=0,"★台量要填",IF(AND(OR($Y490="安装免保",$Y490="技术免保",$Y490="质保期内"),$Z490=""),"★免保到期日没填",IF(COUNTIF(合同键,$E490)=0,"★还没建合同行","OK")))))</f>
        <v/>
      </c>
    </row>
    <row r="491" customFormat="false" ht="15" hidden="false" customHeight="false" outlineLevel="0" collapsed="false">
      <c r="A491" s="29" t="str">
        <f aca="false">IF($C491="","",ROW()-4)</f>
        <v/>
      </c>
      <c r="B491" s="25"/>
      <c r="C491" s="24"/>
      <c r="D491" s="24"/>
      <c r="E491" s="30" t="str">
        <f aca="false">IF($C491="","",$C491&amp;" ｜ "&amp;$D491)</f>
        <v/>
      </c>
      <c r="F491" s="25"/>
      <c r="G491" s="25"/>
      <c r="H491" s="25"/>
      <c r="I491" s="25"/>
      <c r="J491" s="25"/>
      <c r="K491" s="21"/>
      <c r="L491" s="21"/>
      <c r="M491" s="21"/>
      <c r="N491" s="25"/>
      <c r="O491" s="25"/>
      <c r="P491" s="32"/>
      <c r="Q491" s="25"/>
      <c r="R491" s="25"/>
      <c r="S491" s="33"/>
      <c r="T491" s="33"/>
      <c r="U491" s="33"/>
      <c r="V491" s="33"/>
      <c r="W491" s="25"/>
      <c r="X491" s="25"/>
      <c r="Y491" s="25"/>
      <c r="Z491" s="33"/>
      <c r="AA491" s="34" t="str">
        <f aca="true">IF($T491="","",IF($T491&lt;TODAY(),"已过期 "&amp;TEXT(TODAY()-$T491,"0")&amp;" 天",IF($T491-TODAY()&lt;=年检提醒天,"还剩 "&amp;TEXT($T491-TODAY(),"0")&amp;" 天","")))</f>
        <v/>
      </c>
      <c r="AB491" s="34" t="str">
        <f aca="true">IF(COUNT($U491:$V491)=0,"",IF(MIN($U491:$V491)&lt;TODAY(),"已过期 "&amp;TEXT(TODAY()-MIN($U491:$V491),"0")&amp;" 天",IF(MIN($U491:$V491)-TODAY()&lt;=年检提醒天,"还剩 "&amp;TEXT(MIN($U491:$V491)-TODAY(),"0")&amp;" 天","")))</f>
        <v/>
      </c>
      <c r="AC491" s="34" t="str">
        <f aca="true">IF($C491="","",IF(OR($Y491="安装免保",$Y491="技术免保",$Y491="质保期内"),IF($Z491="","▲免保没填到期日",IF($Z491&lt;TODAY(),"▲免保已到期 该转收费了",IF($Z491-TODAY()&lt;=合同提醒天,"免保还剩 "&amp;TEXT($Z491-TODAY(),"0")&amp;" 天","免保中"))),IF($Y491="暂停维保","暂停中 不计费",IF($Y491="已解约","已解约",IF(COUNTIF(合同键,$E491)=0,"▲还没建合同行","")))))</f>
        <v/>
      </c>
      <c r="AD491" s="24"/>
      <c r="AE491" s="35" t="str">
        <f aca="false">IF($C491="","",IF($D491="","★项目名称没填",IF(N($P491)&lt;=0,"★台量要填",IF(AND(OR($Y491="安装免保",$Y491="技术免保",$Y491="质保期内"),$Z491=""),"★免保到期日没填",IF(COUNTIF(合同键,$E491)=0,"★还没建合同行","OK")))))</f>
        <v/>
      </c>
    </row>
    <row r="492" customFormat="false" ht="15" hidden="false" customHeight="false" outlineLevel="0" collapsed="false">
      <c r="A492" s="29" t="str">
        <f aca="false">IF($C492="","",ROW()-4)</f>
        <v/>
      </c>
      <c r="B492" s="25"/>
      <c r="C492" s="24"/>
      <c r="D492" s="24"/>
      <c r="E492" s="30" t="str">
        <f aca="false">IF($C492="","",$C492&amp;" ｜ "&amp;$D492)</f>
        <v/>
      </c>
      <c r="F492" s="25"/>
      <c r="G492" s="25"/>
      <c r="H492" s="25"/>
      <c r="I492" s="25"/>
      <c r="J492" s="25"/>
      <c r="K492" s="21"/>
      <c r="L492" s="21"/>
      <c r="M492" s="21"/>
      <c r="N492" s="25"/>
      <c r="O492" s="25"/>
      <c r="P492" s="32"/>
      <c r="Q492" s="25"/>
      <c r="R492" s="25"/>
      <c r="S492" s="33"/>
      <c r="T492" s="33"/>
      <c r="U492" s="33"/>
      <c r="V492" s="33"/>
      <c r="W492" s="25"/>
      <c r="X492" s="25"/>
      <c r="Y492" s="25"/>
      <c r="Z492" s="33"/>
      <c r="AA492" s="34" t="str">
        <f aca="true">IF($T492="","",IF($T492&lt;TODAY(),"已过期 "&amp;TEXT(TODAY()-$T492,"0")&amp;" 天",IF($T492-TODAY()&lt;=年检提醒天,"还剩 "&amp;TEXT($T492-TODAY(),"0")&amp;" 天","")))</f>
        <v/>
      </c>
      <c r="AB492" s="34" t="str">
        <f aca="true">IF(COUNT($U492:$V492)=0,"",IF(MIN($U492:$V492)&lt;TODAY(),"已过期 "&amp;TEXT(TODAY()-MIN($U492:$V492),"0")&amp;" 天",IF(MIN($U492:$V492)-TODAY()&lt;=年检提醒天,"还剩 "&amp;TEXT(MIN($U492:$V492)-TODAY(),"0")&amp;" 天","")))</f>
        <v/>
      </c>
      <c r="AC492" s="34" t="str">
        <f aca="true">IF($C492="","",IF(OR($Y492="安装免保",$Y492="技术免保",$Y492="质保期内"),IF($Z492="","▲免保没填到期日",IF($Z492&lt;TODAY(),"▲免保已到期 该转收费了",IF($Z492-TODAY()&lt;=合同提醒天,"免保还剩 "&amp;TEXT($Z492-TODAY(),"0")&amp;" 天","免保中"))),IF($Y492="暂停维保","暂停中 不计费",IF($Y492="已解约","已解约",IF(COUNTIF(合同键,$E492)=0,"▲还没建合同行","")))))</f>
        <v/>
      </c>
      <c r="AD492" s="24"/>
      <c r="AE492" s="35" t="str">
        <f aca="false">IF($C492="","",IF($D492="","★项目名称没填",IF(N($P492)&lt;=0,"★台量要填",IF(AND(OR($Y492="安装免保",$Y492="技术免保",$Y492="质保期内"),$Z492=""),"★免保到期日没填",IF(COUNTIF(合同键,$E492)=0,"★还没建合同行","OK")))))</f>
        <v/>
      </c>
    </row>
    <row r="493" customFormat="false" ht="15" hidden="false" customHeight="false" outlineLevel="0" collapsed="false">
      <c r="A493" s="29" t="str">
        <f aca="false">IF($C493="","",ROW()-4)</f>
        <v/>
      </c>
      <c r="B493" s="25"/>
      <c r="C493" s="24"/>
      <c r="D493" s="24"/>
      <c r="E493" s="30" t="str">
        <f aca="false">IF($C493="","",$C493&amp;" ｜ "&amp;$D493)</f>
        <v/>
      </c>
      <c r="F493" s="25"/>
      <c r="G493" s="25"/>
      <c r="H493" s="25"/>
      <c r="I493" s="25"/>
      <c r="J493" s="25"/>
      <c r="K493" s="21"/>
      <c r="L493" s="21"/>
      <c r="M493" s="21"/>
      <c r="N493" s="25"/>
      <c r="O493" s="25"/>
      <c r="P493" s="32"/>
      <c r="Q493" s="25"/>
      <c r="R493" s="25"/>
      <c r="S493" s="33"/>
      <c r="T493" s="33"/>
      <c r="U493" s="33"/>
      <c r="V493" s="33"/>
      <c r="W493" s="25"/>
      <c r="X493" s="25"/>
      <c r="Y493" s="25"/>
      <c r="Z493" s="33"/>
      <c r="AA493" s="34" t="str">
        <f aca="true">IF($T493="","",IF($T493&lt;TODAY(),"已过期 "&amp;TEXT(TODAY()-$T493,"0")&amp;" 天",IF($T493-TODAY()&lt;=年检提醒天,"还剩 "&amp;TEXT($T493-TODAY(),"0")&amp;" 天","")))</f>
        <v/>
      </c>
      <c r="AB493" s="34" t="str">
        <f aca="true">IF(COUNT($U493:$V493)=0,"",IF(MIN($U493:$V493)&lt;TODAY(),"已过期 "&amp;TEXT(TODAY()-MIN($U493:$V493),"0")&amp;" 天",IF(MIN($U493:$V493)-TODAY()&lt;=年检提醒天,"还剩 "&amp;TEXT(MIN($U493:$V493)-TODAY(),"0")&amp;" 天","")))</f>
        <v/>
      </c>
      <c r="AC493" s="34" t="str">
        <f aca="true">IF($C493="","",IF(OR($Y493="安装免保",$Y493="技术免保",$Y493="质保期内"),IF($Z493="","▲免保没填到期日",IF($Z493&lt;TODAY(),"▲免保已到期 该转收费了",IF($Z493-TODAY()&lt;=合同提醒天,"免保还剩 "&amp;TEXT($Z493-TODAY(),"0")&amp;" 天","免保中"))),IF($Y493="暂停维保","暂停中 不计费",IF($Y493="已解约","已解约",IF(COUNTIF(合同键,$E493)=0,"▲还没建合同行","")))))</f>
        <v/>
      </c>
      <c r="AD493" s="24"/>
      <c r="AE493" s="35" t="str">
        <f aca="false">IF($C493="","",IF($D493="","★项目名称没填",IF(N($P493)&lt;=0,"★台量要填",IF(AND(OR($Y493="安装免保",$Y493="技术免保",$Y493="质保期内"),$Z493=""),"★免保到期日没填",IF(COUNTIF(合同键,$E493)=0,"★还没建合同行","OK")))))</f>
        <v/>
      </c>
    </row>
    <row r="494" customFormat="false" ht="15" hidden="false" customHeight="false" outlineLevel="0" collapsed="false">
      <c r="A494" s="29" t="str">
        <f aca="false">IF($C494="","",ROW()-4)</f>
        <v/>
      </c>
      <c r="B494" s="25"/>
      <c r="C494" s="24"/>
      <c r="D494" s="24"/>
      <c r="E494" s="30" t="str">
        <f aca="false">IF($C494="","",$C494&amp;" ｜ "&amp;$D494)</f>
        <v/>
      </c>
      <c r="F494" s="25"/>
      <c r="G494" s="25"/>
      <c r="H494" s="25"/>
      <c r="I494" s="25"/>
      <c r="J494" s="25"/>
      <c r="K494" s="21"/>
      <c r="L494" s="21"/>
      <c r="M494" s="21"/>
      <c r="N494" s="25"/>
      <c r="O494" s="25"/>
      <c r="P494" s="32"/>
      <c r="Q494" s="25"/>
      <c r="R494" s="25"/>
      <c r="S494" s="33"/>
      <c r="T494" s="33"/>
      <c r="U494" s="33"/>
      <c r="V494" s="33"/>
      <c r="W494" s="25"/>
      <c r="X494" s="25"/>
      <c r="Y494" s="25"/>
      <c r="Z494" s="33"/>
      <c r="AA494" s="34" t="str">
        <f aca="true">IF($T494="","",IF($T494&lt;TODAY(),"已过期 "&amp;TEXT(TODAY()-$T494,"0")&amp;" 天",IF($T494-TODAY()&lt;=年检提醒天,"还剩 "&amp;TEXT($T494-TODAY(),"0")&amp;" 天","")))</f>
        <v/>
      </c>
      <c r="AB494" s="34" t="str">
        <f aca="true">IF(COUNT($U494:$V494)=0,"",IF(MIN($U494:$V494)&lt;TODAY(),"已过期 "&amp;TEXT(TODAY()-MIN($U494:$V494),"0")&amp;" 天",IF(MIN($U494:$V494)-TODAY()&lt;=年检提醒天,"还剩 "&amp;TEXT(MIN($U494:$V494)-TODAY(),"0")&amp;" 天","")))</f>
        <v/>
      </c>
      <c r="AC494" s="34" t="str">
        <f aca="true">IF($C494="","",IF(OR($Y494="安装免保",$Y494="技术免保",$Y494="质保期内"),IF($Z494="","▲免保没填到期日",IF($Z494&lt;TODAY(),"▲免保已到期 该转收费了",IF($Z494-TODAY()&lt;=合同提醒天,"免保还剩 "&amp;TEXT($Z494-TODAY(),"0")&amp;" 天","免保中"))),IF($Y494="暂停维保","暂停中 不计费",IF($Y494="已解约","已解约",IF(COUNTIF(合同键,$E494)=0,"▲还没建合同行","")))))</f>
        <v/>
      </c>
      <c r="AD494" s="24"/>
      <c r="AE494" s="35" t="str">
        <f aca="false">IF($C494="","",IF($D494="","★项目名称没填",IF(N($P494)&lt;=0,"★台量要填",IF(AND(OR($Y494="安装免保",$Y494="技术免保",$Y494="质保期内"),$Z494=""),"★免保到期日没填",IF(COUNTIF(合同键,$E494)=0,"★还没建合同行","OK")))))</f>
        <v/>
      </c>
    </row>
    <row r="495" customFormat="false" ht="15" hidden="false" customHeight="false" outlineLevel="0" collapsed="false">
      <c r="A495" s="29" t="str">
        <f aca="false">IF($C495="","",ROW()-4)</f>
        <v/>
      </c>
      <c r="B495" s="25"/>
      <c r="C495" s="24"/>
      <c r="D495" s="24"/>
      <c r="E495" s="30" t="str">
        <f aca="false">IF($C495="","",$C495&amp;" ｜ "&amp;$D495)</f>
        <v/>
      </c>
      <c r="F495" s="25"/>
      <c r="G495" s="25"/>
      <c r="H495" s="25"/>
      <c r="I495" s="25"/>
      <c r="J495" s="25"/>
      <c r="K495" s="21"/>
      <c r="L495" s="21"/>
      <c r="M495" s="21"/>
      <c r="N495" s="25"/>
      <c r="O495" s="25"/>
      <c r="P495" s="32"/>
      <c r="Q495" s="25"/>
      <c r="R495" s="25"/>
      <c r="S495" s="33"/>
      <c r="T495" s="33"/>
      <c r="U495" s="33"/>
      <c r="V495" s="33"/>
      <c r="W495" s="25"/>
      <c r="X495" s="25"/>
      <c r="Y495" s="25"/>
      <c r="Z495" s="33"/>
      <c r="AA495" s="34" t="str">
        <f aca="true">IF($T495="","",IF($T495&lt;TODAY(),"已过期 "&amp;TEXT(TODAY()-$T495,"0")&amp;" 天",IF($T495-TODAY()&lt;=年检提醒天,"还剩 "&amp;TEXT($T495-TODAY(),"0")&amp;" 天","")))</f>
        <v/>
      </c>
      <c r="AB495" s="34" t="str">
        <f aca="true">IF(COUNT($U495:$V495)=0,"",IF(MIN($U495:$V495)&lt;TODAY(),"已过期 "&amp;TEXT(TODAY()-MIN($U495:$V495),"0")&amp;" 天",IF(MIN($U495:$V495)-TODAY()&lt;=年检提醒天,"还剩 "&amp;TEXT(MIN($U495:$V495)-TODAY(),"0")&amp;" 天","")))</f>
        <v/>
      </c>
      <c r="AC495" s="34" t="str">
        <f aca="true">IF($C495="","",IF(OR($Y495="安装免保",$Y495="技术免保",$Y495="质保期内"),IF($Z495="","▲免保没填到期日",IF($Z495&lt;TODAY(),"▲免保已到期 该转收费了",IF($Z495-TODAY()&lt;=合同提醒天,"免保还剩 "&amp;TEXT($Z495-TODAY(),"0")&amp;" 天","免保中"))),IF($Y495="暂停维保","暂停中 不计费",IF($Y495="已解约","已解约",IF(COUNTIF(合同键,$E495)=0,"▲还没建合同行","")))))</f>
        <v/>
      </c>
      <c r="AD495" s="24"/>
      <c r="AE495" s="35" t="str">
        <f aca="false">IF($C495="","",IF($D495="","★项目名称没填",IF(N($P495)&lt;=0,"★台量要填",IF(AND(OR($Y495="安装免保",$Y495="技术免保",$Y495="质保期内"),$Z495=""),"★免保到期日没填",IF(COUNTIF(合同键,$E495)=0,"★还没建合同行","OK")))))</f>
        <v/>
      </c>
    </row>
    <row r="496" customFormat="false" ht="15" hidden="false" customHeight="false" outlineLevel="0" collapsed="false">
      <c r="A496" s="29" t="str">
        <f aca="false">IF($C496="","",ROW()-4)</f>
        <v/>
      </c>
      <c r="B496" s="25"/>
      <c r="C496" s="24"/>
      <c r="D496" s="24"/>
      <c r="E496" s="30" t="str">
        <f aca="false">IF($C496="","",$C496&amp;" ｜ "&amp;$D496)</f>
        <v/>
      </c>
      <c r="F496" s="25"/>
      <c r="G496" s="25"/>
      <c r="H496" s="25"/>
      <c r="I496" s="25"/>
      <c r="J496" s="25"/>
      <c r="K496" s="21"/>
      <c r="L496" s="21"/>
      <c r="M496" s="21"/>
      <c r="N496" s="25"/>
      <c r="O496" s="25"/>
      <c r="P496" s="32"/>
      <c r="Q496" s="25"/>
      <c r="R496" s="25"/>
      <c r="S496" s="33"/>
      <c r="T496" s="33"/>
      <c r="U496" s="33"/>
      <c r="V496" s="33"/>
      <c r="W496" s="25"/>
      <c r="X496" s="25"/>
      <c r="Y496" s="25"/>
      <c r="Z496" s="33"/>
      <c r="AA496" s="34" t="str">
        <f aca="true">IF($T496="","",IF($T496&lt;TODAY(),"已过期 "&amp;TEXT(TODAY()-$T496,"0")&amp;" 天",IF($T496-TODAY()&lt;=年检提醒天,"还剩 "&amp;TEXT($T496-TODAY(),"0")&amp;" 天","")))</f>
        <v/>
      </c>
      <c r="AB496" s="34" t="str">
        <f aca="true">IF(COUNT($U496:$V496)=0,"",IF(MIN($U496:$V496)&lt;TODAY(),"已过期 "&amp;TEXT(TODAY()-MIN($U496:$V496),"0")&amp;" 天",IF(MIN($U496:$V496)-TODAY()&lt;=年检提醒天,"还剩 "&amp;TEXT(MIN($U496:$V496)-TODAY(),"0")&amp;" 天","")))</f>
        <v/>
      </c>
      <c r="AC496" s="34" t="str">
        <f aca="true">IF($C496="","",IF(OR($Y496="安装免保",$Y496="技术免保",$Y496="质保期内"),IF($Z496="","▲免保没填到期日",IF($Z496&lt;TODAY(),"▲免保已到期 该转收费了",IF($Z496-TODAY()&lt;=合同提醒天,"免保还剩 "&amp;TEXT($Z496-TODAY(),"0")&amp;" 天","免保中"))),IF($Y496="暂停维保","暂停中 不计费",IF($Y496="已解约","已解约",IF(COUNTIF(合同键,$E496)=0,"▲还没建合同行","")))))</f>
        <v/>
      </c>
      <c r="AD496" s="24"/>
      <c r="AE496" s="35" t="str">
        <f aca="false">IF($C496="","",IF($D496="","★项目名称没填",IF(N($P496)&lt;=0,"★台量要填",IF(AND(OR($Y496="安装免保",$Y496="技术免保",$Y496="质保期内"),$Z496=""),"★免保到期日没填",IF(COUNTIF(合同键,$E496)=0,"★还没建合同行","OK")))))</f>
        <v/>
      </c>
    </row>
    <row r="497" customFormat="false" ht="15" hidden="false" customHeight="false" outlineLevel="0" collapsed="false">
      <c r="A497" s="29" t="str">
        <f aca="false">IF($C497="","",ROW()-4)</f>
        <v/>
      </c>
      <c r="B497" s="25"/>
      <c r="C497" s="24"/>
      <c r="D497" s="24"/>
      <c r="E497" s="30" t="str">
        <f aca="false">IF($C497="","",$C497&amp;" ｜ "&amp;$D497)</f>
        <v/>
      </c>
      <c r="F497" s="25"/>
      <c r="G497" s="25"/>
      <c r="H497" s="25"/>
      <c r="I497" s="25"/>
      <c r="J497" s="25"/>
      <c r="K497" s="21"/>
      <c r="L497" s="21"/>
      <c r="M497" s="21"/>
      <c r="N497" s="25"/>
      <c r="O497" s="25"/>
      <c r="P497" s="32"/>
      <c r="Q497" s="25"/>
      <c r="R497" s="25"/>
      <c r="S497" s="33"/>
      <c r="T497" s="33"/>
      <c r="U497" s="33"/>
      <c r="V497" s="33"/>
      <c r="W497" s="25"/>
      <c r="X497" s="25"/>
      <c r="Y497" s="25"/>
      <c r="Z497" s="33"/>
      <c r="AA497" s="34" t="str">
        <f aca="true">IF($T497="","",IF($T497&lt;TODAY(),"已过期 "&amp;TEXT(TODAY()-$T497,"0")&amp;" 天",IF($T497-TODAY()&lt;=年检提醒天,"还剩 "&amp;TEXT($T497-TODAY(),"0")&amp;" 天","")))</f>
        <v/>
      </c>
      <c r="AB497" s="34" t="str">
        <f aca="true">IF(COUNT($U497:$V497)=0,"",IF(MIN($U497:$V497)&lt;TODAY(),"已过期 "&amp;TEXT(TODAY()-MIN($U497:$V497),"0")&amp;" 天",IF(MIN($U497:$V497)-TODAY()&lt;=年检提醒天,"还剩 "&amp;TEXT(MIN($U497:$V497)-TODAY(),"0")&amp;" 天","")))</f>
        <v/>
      </c>
      <c r="AC497" s="34" t="str">
        <f aca="true">IF($C497="","",IF(OR($Y497="安装免保",$Y497="技术免保",$Y497="质保期内"),IF($Z497="","▲免保没填到期日",IF($Z497&lt;TODAY(),"▲免保已到期 该转收费了",IF($Z497-TODAY()&lt;=合同提醒天,"免保还剩 "&amp;TEXT($Z497-TODAY(),"0")&amp;" 天","免保中"))),IF($Y497="暂停维保","暂停中 不计费",IF($Y497="已解约","已解约",IF(COUNTIF(合同键,$E497)=0,"▲还没建合同行","")))))</f>
        <v/>
      </c>
      <c r="AD497" s="24"/>
      <c r="AE497" s="35" t="str">
        <f aca="false">IF($C497="","",IF($D497="","★项目名称没填",IF(N($P497)&lt;=0,"★台量要填",IF(AND(OR($Y497="安装免保",$Y497="技术免保",$Y497="质保期内"),$Z497=""),"★免保到期日没填",IF(COUNTIF(合同键,$E497)=0,"★还没建合同行","OK")))))</f>
        <v/>
      </c>
    </row>
    <row r="498" customFormat="false" ht="15" hidden="false" customHeight="false" outlineLevel="0" collapsed="false">
      <c r="A498" s="29" t="str">
        <f aca="false">IF($C498="","",ROW()-4)</f>
        <v/>
      </c>
      <c r="B498" s="25"/>
      <c r="C498" s="24"/>
      <c r="D498" s="24"/>
      <c r="E498" s="30" t="str">
        <f aca="false">IF($C498="","",$C498&amp;" ｜ "&amp;$D498)</f>
        <v/>
      </c>
      <c r="F498" s="25"/>
      <c r="G498" s="25"/>
      <c r="H498" s="25"/>
      <c r="I498" s="25"/>
      <c r="J498" s="25"/>
      <c r="K498" s="21"/>
      <c r="L498" s="21"/>
      <c r="M498" s="21"/>
      <c r="N498" s="25"/>
      <c r="O498" s="25"/>
      <c r="P498" s="32"/>
      <c r="Q498" s="25"/>
      <c r="R498" s="25"/>
      <c r="S498" s="33"/>
      <c r="T498" s="33"/>
      <c r="U498" s="33"/>
      <c r="V498" s="33"/>
      <c r="W498" s="25"/>
      <c r="X498" s="25"/>
      <c r="Y498" s="25"/>
      <c r="Z498" s="33"/>
      <c r="AA498" s="34" t="str">
        <f aca="true">IF($T498="","",IF($T498&lt;TODAY(),"已过期 "&amp;TEXT(TODAY()-$T498,"0")&amp;" 天",IF($T498-TODAY()&lt;=年检提醒天,"还剩 "&amp;TEXT($T498-TODAY(),"0")&amp;" 天","")))</f>
        <v/>
      </c>
      <c r="AB498" s="34" t="str">
        <f aca="true">IF(COUNT($U498:$V498)=0,"",IF(MIN($U498:$V498)&lt;TODAY(),"已过期 "&amp;TEXT(TODAY()-MIN($U498:$V498),"0")&amp;" 天",IF(MIN($U498:$V498)-TODAY()&lt;=年检提醒天,"还剩 "&amp;TEXT(MIN($U498:$V498)-TODAY(),"0")&amp;" 天","")))</f>
        <v/>
      </c>
      <c r="AC498" s="34" t="str">
        <f aca="true">IF($C498="","",IF(OR($Y498="安装免保",$Y498="技术免保",$Y498="质保期内"),IF($Z498="","▲免保没填到期日",IF($Z498&lt;TODAY(),"▲免保已到期 该转收费了",IF($Z498-TODAY()&lt;=合同提醒天,"免保还剩 "&amp;TEXT($Z498-TODAY(),"0")&amp;" 天","免保中"))),IF($Y498="暂停维保","暂停中 不计费",IF($Y498="已解约","已解约",IF(COUNTIF(合同键,$E498)=0,"▲还没建合同行","")))))</f>
        <v/>
      </c>
      <c r="AD498" s="24"/>
      <c r="AE498" s="35" t="str">
        <f aca="false">IF($C498="","",IF($D498="","★项目名称没填",IF(N($P498)&lt;=0,"★台量要填",IF(AND(OR($Y498="安装免保",$Y498="技术免保",$Y498="质保期内"),$Z498=""),"★免保到期日没填",IF(COUNTIF(合同键,$E498)=0,"★还没建合同行","OK")))))</f>
        <v/>
      </c>
    </row>
    <row r="499" customFormat="false" ht="15" hidden="false" customHeight="false" outlineLevel="0" collapsed="false">
      <c r="A499" s="29" t="str">
        <f aca="false">IF($C499="","",ROW()-4)</f>
        <v/>
      </c>
      <c r="B499" s="25"/>
      <c r="C499" s="24"/>
      <c r="D499" s="24"/>
      <c r="E499" s="30" t="str">
        <f aca="false">IF($C499="","",$C499&amp;" ｜ "&amp;$D499)</f>
        <v/>
      </c>
      <c r="F499" s="25"/>
      <c r="G499" s="25"/>
      <c r="H499" s="25"/>
      <c r="I499" s="25"/>
      <c r="J499" s="25"/>
      <c r="K499" s="21"/>
      <c r="L499" s="21"/>
      <c r="M499" s="21"/>
      <c r="N499" s="25"/>
      <c r="O499" s="25"/>
      <c r="P499" s="32"/>
      <c r="Q499" s="25"/>
      <c r="R499" s="25"/>
      <c r="S499" s="33"/>
      <c r="T499" s="33"/>
      <c r="U499" s="33"/>
      <c r="V499" s="33"/>
      <c r="W499" s="25"/>
      <c r="X499" s="25"/>
      <c r="Y499" s="25"/>
      <c r="Z499" s="33"/>
      <c r="AA499" s="34" t="str">
        <f aca="true">IF($T499="","",IF($T499&lt;TODAY(),"已过期 "&amp;TEXT(TODAY()-$T499,"0")&amp;" 天",IF($T499-TODAY()&lt;=年检提醒天,"还剩 "&amp;TEXT($T499-TODAY(),"0")&amp;" 天","")))</f>
        <v/>
      </c>
      <c r="AB499" s="34" t="str">
        <f aca="true">IF(COUNT($U499:$V499)=0,"",IF(MIN($U499:$V499)&lt;TODAY(),"已过期 "&amp;TEXT(TODAY()-MIN($U499:$V499),"0")&amp;" 天",IF(MIN($U499:$V499)-TODAY()&lt;=年检提醒天,"还剩 "&amp;TEXT(MIN($U499:$V499)-TODAY(),"0")&amp;" 天","")))</f>
        <v/>
      </c>
      <c r="AC499" s="34" t="str">
        <f aca="true">IF($C499="","",IF(OR($Y499="安装免保",$Y499="技术免保",$Y499="质保期内"),IF($Z499="","▲免保没填到期日",IF($Z499&lt;TODAY(),"▲免保已到期 该转收费了",IF($Z499-TODAY()&lt;=合同提醒天,"免保还剩 "&amp;TEXT($Z499-TODAY(),"0")&amp;" 天","免保中"))),IF($Y499="暂停维保","暂停中 不计费",IF($Y499="已解约","已解约",IF(COUNTIF(合同键,$E499)=0,"▲还没建合同行","")))))</f>
        <v/>
      </c>
      <c r="AD499" s="24"/>
      <c r="AE499" s="35" t="str">
        <f aca="false">IF($C499="","",IF($D499="","★项目名称没填",IF(N($P499)&lt;=0,"★台量要填",IF(AND(OR($Y499="安装免保",$Y499="技术免保",$Y499="质保期内"),$Z499=""),"★免保到期日没填",IF(COUNTIF(合同键,$E499)=0,"★还没建合同行","OK")))))</f>
        <v/>
      </c>
    </row>
    <row r="500" customFormat="false" ht="15" hidden="false" customHeight="false" outlineLevel="0" collapsed="false">
      <c r="A500" s="29" t="str">
        <f aca="false">IF($C500="","",ROW()-4)</f>
        <v/>
      </c>
      <c r="B500" s="25"/>
      <c r="C500" s="24"/>
      <c r="D500" s="24"/>
      <c r="E500" s="30" t="str">
        <f aca="false">IF($C500="","",$C500&amp;" ｜ "&amp;$D500)</f>
        <v/>
      </c>
      <c r="F500" s="25"/>
      <c r="G500" s="25"/>
      <c r="H500" s="25"/>
      <c r="I500" s="25"/>
      <c r="J500" s="25"/>
      <c r="K500" s="21"/>
      <c r="L500" s="21"/>
      <c r="M500" s="21"/>
      <c r="N500" s="25"/>
      <c r="O500" s="25"/>
      <c r="P500" s="32"/>
      <c r="Q500" s="25"/>
      <c r="R500" s="25"/>
      <c r="S500" s="33"/>
      <c r="T500" s="33"/>
      <c r="U500" s="33"/>
      <c r="V500" s="33"/>
      <c r="W500" s="25"/>
      <c r="X500" s="25"/>
      <c r="Y500" s="25"/>
      <c r="Z500" s="33"/>
      <c r="AA500" s="34" t="str">
        <f aca="true">IF($T500="","",IF($T500&lt;TODAY(),"已过期 "&amp;TEXT(TODAY()-$T500,"0")&amp;" 天",IF($T500-TODAY()&lt;=年检提醒天,"还剩 "&amp;TEXT($T500-TODAY(),"0")&amp;" 天","")))</f>
        <v/>
      </c>
      <c r="AB500" s="34" t="str">
        <f aca="true">IF(COUNT($U500:$V500)=0,"",IF(MIN($U500:$V500)&lt;TODAY(),"已过期 "&amp;TEXT(TODAY()-MIN($U500:$V500),"0")&amp;" 天",IF(MIN($U500:$V500)-TODAY()&lt;=年检提醒天,"还剩 "&amp;TEXT(MIN($U500:$V500)-TODAY(),"0")&amp;" 天","")))</f>
        <v/>
      </c>
      <c r="AC500" s="34" t="str">
        <f aca="true">IF($C500="","",IF(OR($Y500="安装免保",$Y500="技术免保",$Y500="质保期内"),IF($Z500="","▲免保没填到期日",IF($Z500&lt;TODAY(),"▲免保已到期 该转收费了",IF($Z500-TODAY()&lt;=合同提醒天,"免保还剩 "&amp;TEXT($Z500-TODAY(),"0")&amp;" 天","免保中"))),IF($Y500="暂停维保","暂停中 不计费",IF($Y500="已解约","已解约",IF(COUNTIF(合同键,$E500)=0,"▲还没建合同行","")))))</f>
        <v/>
      </c>
      <c r="AD500" s="24"/>
      <c r="AE500" s="35" t="str">
        <f aca="false">IF($C500="","",IF($D500="","★项目名称没填",IF(N($P500)&lt;=0,"★台量要填",IF(AND(OR($Y500="安装免保",$Y500="技术免保",$Y500="质保期内"),$Z500=""),"★免保到期日没填",IF(COUNTIF(合同键,$E500)=0,"★还没建合同行","OK")))))</f>
        <v/>
      </c>
    </row>
    <row r="501" customFormat="false" ht="15" hidden="false" customHeight="false" outlineLevel="0" collapsed="false">
      <c r="A501" s="29" t="str">
        <f aca="false">IF($C501="","",ROW()-4)</f>
        <v/>
      </c>
      <c r="B501" s="25"/>
      <c r="C501" s="24"/>
      <c r="D501" s="24"/>
      <c r="E501" s="30" t="str">
        <f aca="false">IF($C501="","",$C501&amp;" ｜ "&amp;$D501)</f>
        <v/>
      </c>
      <c r="F501" s="25"/>
      <c r="G501" s="25"/>
      <c r="H501" s="25"/>
      <c r="I501" s="25"/>
      <c r="J501" s="25"/>
      <c r="K501" s="21"/>
      <c r="L501" s="21"/>
      <c r="M501" s="21"/>
      <c r="N501" s="25"/>
      <c r="O501" s="25"/>
      <c r="P501" s="32"/>
      <c r="Q501" s="25"/>
      <c r="R501" s="25"/>
      <c r="S501" s="33"/>
      <c r="T501" s="33"/>
      <c r="U501" s="33"/>
      <c r="V501" s="33"/>
      <c r="W501" s="25"/>
      <c r="X501" s="25"/>
      <c r="Y501" s="25"/>
      <c r="Z501" s="33"/>
      <c r="AA501" s="34" t="str">
        <f aca="true">IF($T501="","",IF($T501&lt;TODAY(),"已过期 "&amp;TEXT(TODAY()-$T501,"0")&amp;" 天",IF($T501-TODAY()&lt;=年检提醒天,"还剩 "&amp;TEXT($T501-TODAY(),"0")&amp;" 天","")))</f>
        <v/>
      </c>
      <c r="AB501" s="34" t="str">
        <f aca="true">IF(COUNT($U501:$V501)=0,"",IF(MIN($U501:$V501)&lt;TODAY(),"已过期 "&amp;TEXT(TODAY()-MIN($U501:$V501),"0")&amp;" 天",IF(MIN($U501:$V501)-TODAY()&lt;=年检提醒天,"还剩 "&amp;TEXT(MIN($U501:$V501)-TODAY(),"0")&amp;" 天","")))</f>
        <v/>
      </c>
      <c r="AC501" s="34" t="str">
        <f aca="true">IF($C501="","",IF(OR($Y501="安装免保",$Y501="技术免保",$Y501="质保期内"),IF($Z501="","▲免保没填到期日",IF($Z501&lt;TODAY(),"▲免保已到期 该转收费了",IF($Z501-TODAY()&lt;=合同提醒天,"免保还剩 "&amp;TEXT($Z501-TODAY(),"0")&amp;" 天","免保中"))),IF($Y501="暂停维保","暂停中 不计费",IF($Y501="已解约","已解约",IF(COUNTIF(合同键,$E501)=0,"▲还没建合同行","")))))</f>
        <v/>
      </c>
      <c r="AD501" s="24"/>
      <c r="AE501" s="35" t="str">
        <f aca="false">IF($C501="","",IF($D501="","★项目名称没填",IF(N($P501)&lt;=0,"★台量要填",IF(AND(OR($Y501="安装免保",$Y501="技术免保",$Y501="质保期内"),$Z501=""),"★免保到期日没填",IF(COUNTIF(合同键,$E501)=0,"★还没建合同行","OK")))))</f>
        <v/>
      </c>
    </row>
    <row r="502" customFormat="false" ht="15" hidden="false" customHeight="false" outlineLevel="0" collapsed="false">
      <c r="A502" s="29" t="str">
        <f aca="false">IF($C502="","",ROW()-4)</f>
        <v/>
      </c>
      <c r="B502" s="25"/>
      <c r="C502" s="24"/>
      <c r="D502" s="24"/>
      <c r="E502" s="30" t="str">
        <f aca="false">IF($C502="","",$C502&amp;" ｜ "&amp;$D502)</f>
        <v/>
      </c>
      <c r="F502" s="25"/>
      <c r="G502" s="25"/>
      <c r="H502" s="25"/>
      <c r="I502" s="25"/>
      <c r="J502" s="25"/>
      <c r="K502" s="21"/>
      <c r="L502" s="21"/>
      <c r="M502" s="21"/>
      <c r="N502" s="25"/>
      <c r="O502" s="25"/>
      <c r="P502" s="32"/>
      <c r="Q502" s="25"/>
      <c r="R502" s="25"/>
      <c r="S502" s="33"/>
      <c r="T502" s="33"/>
      <c r="U502" s="33"/>
      <c r="V502" s="33"/>
      <c r="W502" s="25"/>
      <c r="X502" s="25"/>
      <c r="Y502" s="25"/>
      <c r="Z502" s="33"/>
      <c r="AA502" s="34" t="str">
        <f aca="true">IF($T502="","",IF($T502&lt;TODAY(),"已过期 "&amp;TEXT(TODAY()-$T502,"0")&amp;" 天",IF($T502-TODAY()&lt;=年检提醒天,"还剩 "&amp;TEXT($T502-TODAY(),"0")&amp;" 天","")))</f>
        <v/>
      </c>
      <c r="AB502" s="34" t="str">
        <f aca="true">IF(COUNT($U502:$V502)=0,"",IF(MIN($U502:$V502)&lt;TODAY(),"已过期 "&amp;TEXT(TODAY()-MIN($U502:$V502),"0")&amp;" 天",IF(MIN($U502:$V502)-TODAY()&lt;=年检提醒天,"还剩 "&amp;TEXT(MIN($U502:$V502)-TODAY(),"0")&amp;" 天","")))</f>
        <v/>
      </c>
      <c r="AC502" s="34" t="str">
        <f aca="true">IF($C502="","",IF(OR($Y502="安装免保",$Y502="技术免保",$Y502="质保期内"),IF($Z502="","▲免保没填到期日",IF($Z502&lt;TODAY(),"▲免保已到期 该转收费了",IF($Z502-TODAY()&lt;=合同提醒天,"免保还剩 "&amp;TEXT($Z502-TODAY(),"0")&amp;" 天","免保中"))),IF($Y502="暂停维保","暂停中 不计费",IF($Y502="已解约","已解约",IF(COUNTIF(合同键,$E502)=0,"▲还没建合同行","")))))</f>
        <v/>
      </c>
      <c r="AD502" s="24"/>
      <c r="AE502" s="35" t="str">
        <f aca="false">IF($C502="","",IF($D502="","★项目名称没填",IF(N($P502)&lt;=0,"★台量要填",IF(AND(OR($Y502="安装免保",$Y502="技术免保",$Y502="质保期内"),$Z502=""),"★免保到期日没填",IF(COUNTIF(合同键,$E502)=0,"★还没建合同行","OK")))))</f>
        <v/>
      </c>
    </row>
    <row r="503" customFormat="false" ht="15" hidden="false" customHeight="false" outlineLevel="0" collapsed="false">
      <c r="A503" s="29" t="str">
        <f aca="false">IF($C503="","",ROW()-4)</f>
        <v/>
      </c>
      <c r="B503" s="25"/>
      <c r="C503" s="24"/>
      <c r="D503" s="24"/>
      <c r="E503" s="30" t="str">
        <f aca="false">IF($C503="","",$C503&amp;" ｜ "&amp;$D503)</f>
        <v/>
      </c>
      <c r="F503" s="25"/>
      <c r="G503" s="25"/>
      <c r="H503" s="25"/>
      <c r="I503" s="25"/>
      <c r="J503" s="25"/>
      <c r="K503" s="21"/>
      <c r="L503" s="21"/>
      <c r="M503" s="21"/>
      <c r="N503" s="25"/>
      <c r="O503" s="25"/>
      <c r="P503" s="32"/>
      <c r="Q503" s="25"/>
      <c r="R503" s="25"/>
      <c r="S503" s="33"/>
      <c r="T503" s="33"/>
      <c r="U503" s="33"/>
      <c r="V503" s="33"/>
      <c r="W503" s="25"/>
      <c r="X503" s="25"/>
      <c r="Y503" s="25"/>
      <c r="Z503" s="33"/>
      <c r="AA503" s="34" t="str">
        <f aca="true">IF($T503="","",IF($T503&lt;TODAY(),"已过期 "&amp;TEXT(TODAY()-$T503,"0")&amp;" 天",IF($T503-TODAY()&lt;=年检提醒天,"还剩 "&amp;TEXT($T503-TODAY(),"0")&amp;" 天","")))</f>
        <v/>
      </c>
      <c r="AB503" s="34" t="str">
        <f aca="true">IF(COUNT($U503:$V503)=0,"",IF(MIN($U503:$V503)&lt;TODAY(),"已过期 "&amp;TEXT(TODAY()-MIN($U503:$V503),"0")&amp;" 天",IF(MIN($U503:$V503)-TODAY()&lt;=年检提醒天,"还剩 "&amp;TEXT(MIN($U503:$V503)-TODAY(),"0")&amp;" 天","")))</f>
        <v/>
      </c>
      <c r="AC503" s="34" t="str">
        <f aca="true">IF($C503="","",IF(OR($Y503="安装免保",$Y503="技术免保",$Y503="质保期内"),IF($Z503="","▲免保没填到期日",IF($Z503&lt;TODAY(),"▲免保已到期 该转收费了",IF($Z503-TODAY()&lt;=合同提醒天,"免保还剩 "&amp;TEXT($Z503-TODAY(),"0")&amp;" 天","免保中"))),IF($Y503="暂停维保","暂停中 不计费",IF($Y503="已解约","已解约",IF(COUNTIF(合同键,$E503)=0,"▲还没建合同行","")))))</f>
        <v/>
      </c>
      <c r="AD503" s="24"/>
      <c r="AE503" s="35" t="str">
        <f aca="false">IF($C503="","",IF($D503="","★项目名称没填",IF(N($P503)&lt;=0,"★台量要填",IF(AND(OR($Y503="安装免保",$Y503="技术免保",$Y503="质保期内"),$Z503=""),"★免保到期日没填",IF(COUNTIF(合同键,$E503)=0,"★还没建合同行","OK")))))</f>
        <v/>
      </c>
    </row>
    <row r="504" customFormat="false" ht="15" hidden="false" customHeight="false" outlineLevel="0" collapsed="false">
      <c r="A504" s="29" t="str">
        <f aca="false">IF($C504="","",ROW()-4)</f>
        <v/>
      </c>
      <c r="B504" s="25"/>
      <c r="C504" s="24"/>
      <c r="D504" s="24"/>
      <c r="E504" s="30" t="str">
        <f aca="false">IF($C504="","",$C504&amp;" ｜ "&amp;$D504)</f>
        <v/>
      </c>
      <c r="F504" s="25"/>
      <c r="G504" s="25"/>
      <c r="H504" s="25"/>
      <c r="I504" s="25"/>
      <c r="J504" s="25"/>
      <c r="K504" s="21"/>
      <c r="L504" s="21"/>
      <c r="M504" s="21"/>
      <c r="N504" s="25"/>
      <c r="O504" s="25"/>
      <c r="P504" s="32"/>
      <c r="Q504" s="25"/>
      <c r="R504" s="25"/>
      <c r="S504" s="33"/>
      <c r="T504" s="33"/>
      <c r="U504" s="33"/>
      <c r="V504" s="33"/>
      <c r="W504" s="25"/>
      <c r="X504" s="25"/>
      <c r="Y504" s="25"/>
      <c r="Z504" s="33"/>
      <c r="AA504" s="34" t="str">
        <f aca="true">IF($T504="","",IF($T504&lt;TODAY(),"已过期 "&amp;TEXT(TODAY()-$T504,"0")&amp;" 天",IF($T504-TODAY()&lt;=年检提醒天,"还剩 "&amp;TEXT($T504-TODAY(),"0")&amp;" 天","")))</f>
        <v/>
      </c>
      <c r="AB504" s="34" t="str">
        <f aca="true">IF(COUNT($U504:$V504)=0,"",IF(MIN($U504:$V504)&lt;TODAY(),"已过期 "&amp;TEXT(TODAY()-MIN($U504:$V504),"0")&amp;" 天",IF(MIN($U504:$V504)-TODAY()&lt;=年检提醒天,"还剩 "&amp;TEXT(MIN($U504:$V504)-TODAY(),"0")&amp;" 天","")))</f>
        <v/>
      </c>
      <c r="AC504" s="34" t="str">
        <f aca="true">IF($C504="","",IF(OR($Y504="安装免保",$Y504="技术免保",$Y504="质保期内"),IF($Z504="","▲免保没填到期日",IF($Z504&lt;TODAY(),"▲免保已到期 该转收费了",IF($Z504-TODAY()&lt;=合同提醒天,"免保还剩 "&amp;TEXT($Z504-TODAY(),"0")&amp;" 天","免保中"))),IF($Y504="暂停维保","暂停中 不计费",IF($Y504="已解约","已解约",IF(COUNTIF(合同键,$E504)=0,"▲还没建合同行","")))))</f>
        <v/>
      </c>
      <c r="AD504" s="24"/>
      <c r="AE504" s="35" t="str">
        <f aca="false">IF($C504="","",IF($D504="","★项目名称没填",IF(N($P504)&lt;=0,"★台量要填",IF(AND(OR($Y504="安装免保",$Y504="技术免保",$Y504="质保期内"),$Z504=""),"★免保到期日没填",IF(COUNTIF(合同键,$E504)=0,"★还没建合同行","OK")))))</f>
        <v/>
      </c>
    </row>
    <row r="505" customFormat="false" ht="15" hidden="false" customHeight="false" outlineLevel="0" collapsed="false">
      <c r="A505" s="29" t="str">
        <f aca="false">IF($C505="","",ROW()-4)</f>
        <v/>
      </c>
      <c r="B505" s="25"/>
      <c r="C505" s="24"/>
      <c r="D505" s="24"/>
      <c r="E505" s="30" t="str">
        <f aca="false">IF($C505="","",$C505&amp;" ｜ "&amp;$D505)</f>
        <v/>
      </c>
      <c r="F505" s="25"/>
      <c r="G505" s="25"/>
      <c r="H505" s="25"/>
      <c r="I505" s="25"/>
      <c r="J505" s="25"/>
      <c r="K505" s="21"/>
      <c r="L505" s="21"/>
      <c r="M505" s="21"/>
      <c r="N505" s="25"/>
      <c r="O505" s="25"/>
      <c r="P505" s="32"/>
      <c r="Q505" s="25"/>
      <c r="R505" s="25"/>
      <c r="S505" s="33"/>
      <c r="T505" s="33"/>
      <c r="U505" s="33"/>
      <c r="V505" s="33"/>
      <c r="W505" s="25"/>
      <c r="X505" s="25"/>
      <c r="Y505" s="25"/>
      <c r="Z505" s="33"/>
      <c r="AA505" s="34" t="str">
        <f aca="true">IF($T505="","",IF($T505&lt;TODAY(),"已过期 "&amp;TEXT(TODAY()-$T505,"0")&amp;" 天",IF($T505-TODAY()&lt;=年检提醒天,"还剩 "&amp;TEXT($T505-TODAY(),"0")&amp;" 天","")))</f>
        <v/>
      </c>
      <c r="AB505" s="34" t="str">
        <f aca="true">IF(COUNT($U505:$V505)=0,"",IF(MIN($U505:$V505)&lt;TODAY(),"已过期 "&amp;TEXT(TODAY()-MIN($U505:$V505),"0")&amp;" 天",IF(MIN($U505:$V505)-TODAY()&lt;=年检提醒天,"还剩 "&amp;TEXT(MIN($U505:$V505)-TODAY(),"0")&amp;" 天","")))</f>
        <v/>
      </c>
      <c r="AC505" s="34" t="str">
        <f aca="true">IF($C505="","",IF(OR($Y505="安装免保",$Y505="技术免保",$Y505="质保期内"),IF($Z505="","▲免保没填到期日",IF($Z505&lt;TODAY(),"▲免保已到期 该转收费了",IF($Z505-TODAY()&lt;=合同提醒天,"免保还剩 "&amp;TEXT($Z505-TODAY(),"0")&amp;" 天","免保中"))),IF($Y505="暂停维保","暂停中 不计费",IF($Y505="已解约","已解约",IF(COUNTIF(合同键,$E505)=0,"▲还没建合同行","")))))</f>
        <v/>
      </c>
      <c r="AD505" s="24"/>
      <c r="AE505" s="35" t="str">
        <f aca="false">IF($C505="","",IF($D505="","★项目名称没填",IF(N($P505)&lt;=0,"★台量要填",IF(AND(OR($Y505="安装免保",$Y505="技术免保",$Y505="质保期内"),$Z505=""),"★免保到期日没填",IF(COUNTIF(合同键,$E505)=0,"★还没建合同行","OK")))))</f>
        <v/>
      </c>
    </row>
    <row r="506" customFormat="false" ht="15" hidden="false" customHeight="false" outlineLevel="0" collapsed="false">
      <c r="A506" s="29" t="str">
        <f aca="false">IF($C506="","",ROW()-4)</f>
        <v/>
      </c>
      <c r="B506" s="25"/>
      <c r="C506" s="24"/>
      <c r="D506" s="24"/>
      <c r="E506" s="30" t="str">
        <f aca="false">IF($C506="","",$C506&amp;" ｜ "&amp;$D506)</f>
        <v/>
      </c>
      <c r="F506" s="25"/>
      <c r="G506" s="25"/>
      <c r="H506" s="25"/>
      <c r="I506" s="25"/>
      <c r="J506" s="25"/>
      <c r="K506" s="21"/>
      <c r="L506" s="21"/>
      <c r="M506" s="21"/>
      <c r="N506" s="25"/>
      <c r="O506" s="25"/>
      <c r="P506" s="32"/>
      <c r="Q506" s="25"/>
      <c r="R506" s="25"/>
      <c r="S506" s="33"/>
      <c r="T506" s="33"/>
      <c r="U506" s="33"/>
      <c r="V506" s="33"/>
      <c r="W506" s="25"/>
      <c r="X506" s="25"/>
      <c r="Y506" s="25"/>
      <c r="Z506" s="33"/>
      <c r="AA506" s="34" t="str">
        <f aca="true">IF($T506="","",IF($T506&lt;TODAY(),"已过期 "&amp;TEXT(TODAY()-$T506,"0")&amp;" 天",IF($T506-TODAY()&lt;=年检提醒天,"还剩 "&amp;TEXT($T506-TODAY(),"0")&amp;" 天","")))</f>
        <v/>
      </c>
      <c r="AB506" s="34" t="str">
        <f aca="true">IF(COUNT($U506:$V506)=0,"",IF(MIN($U506:$V506)&lt;TODAY(),"已过期 "&amp;TEXT(TODAY()-MIN($U506:$V506),"0")&amp;" 天",IF(MIN($U506:$V506)-TODAY()&lt;=年检提醒天,"还剩 "&amp;TEXT(MIN($U506:$V506)-TODAY(),"0")&amp;" 天","")))</f>
        <v/>
      </c>
      <c r="AC506" s="34" t="str">
        <f aca="true">IF($C506="","",IF(OR($Y506="安装免保",$Y506="技术免保",$Y506="质保期内"),IF($Z506="","▲免保没填到期日",IF($Z506&lt;TODAY(),"▲免保已到期 该转收费了",IF($Z506-TODAY()&lt;=合同提醒天,"免保还剩 "&amp;TEXT($Z506-TODAY(),"0")&amp;" 天","免保中"))),IF($Y506="暂停维保","暂停中 不计费",IF($Y506="已解约","已解约",IF(COUNTIF(合同键,$E506)=0,"▲还没建合同行","")))))</f>
        <v/>
      </c>
      <c r="AD506" s="24"/>
      <c r="AE506" s="35" t="str">
        <f aca="false">IF($C506="","",IF($D506="","★项目名称没填",IF(N($P506)&lt;=0,"★台量要填",IF(AND(OR($Y506="安装免保",$Y506="技术免保",$Y506="质保期内"),$Z506=""),"★免保到期日没填",IF(COUNTIF(合同键,$E506)=0,"★还没建合同行","OK")))))</f>
        <v/>
      </c>
    </row>
    <row r="507" customFormat="false" ht="15" hidden="false" customHeight="false" outlineLevel="0" collapsed="false">
      <c r="A507" s="29" t="str">
        <f aca="false">IF($C507="","",ROW()-4)</f>
        <v/>
      </c>
      <c r="B507" s="25"/>
      <c r="C507" s="24"/>
      <c r="D507" s="24"/>
      <c r="E507" s="30" t="str">
        <f aca="false">IF($C507="","",$C507&amp;" ｜ "&amp;$D507)</f>
        <v/>
      </c>
      <c r="F507" s="25"/>
      <c r="G507" s="25"/>
      <c r="H507" s="25"/>
      <c r="I507" s="25"/>
      <c r="J507" s="25"/>
      <c r="K507" s="21"/>
      <c r="L507" s="21"/>
      <c r="M507" s="21"/>
      <c r="N507" s="25"/>
      <c r="O507" s="25"/>
      <c r="P507" s="32"/>
      <c r="Q507" s="25"/>
      <c r="R507" s="25"/>
      <c r="S507" s="33"/>
      <c r="T507" s="33"/>
      <c r="U507" s="33"/>
      <c r="V507" s="33"/>
      <c r="W507" s="25"/>
      <c r="X507" s="25"/>
      <c r="Y507" s="25"/>
      <c r="Z507" s="33"/>
      <c r="AA507" s="34" t="str">
        <f aca="true">IF($T507="","",IF($T507&lt;TODAY(),"已过期 "&amp;TEXT(TODAY()-$T507,"0")&amp;" 天",IF($T507-TODAY()&lt;=年检提醒天,"还剩 "&amp;TEXT($T507-TODAY(),"0")&amp;" 天","")))</f>
        <v/>
      </c>
      <c r="AB507" s="34" t="str">
        <f aca="true">IF(COUNT($U507:$V507)=0,"",IF(MIN($U507:$V507)&lt;TODAY(),"已过期 "&amp;TEXT(TODAY()-MIN($U507:$V507),"0")&amp;" 天",IF(MIN($U507:$V507)-TODAY()&lt;=年检提醒天,"还剩 "&amp;TEXT(MIN($U507:$V507)-TODAY(),"0")&amp;" 天","")))</f>
        <v/>
      </c>
      <c r="AC507" s="34" t="str">
        <f aca="true">IF($C507="","",IF(OR($Y507="安装免保",$Y507="技术免保",$Y507="质保期内"),IF($Z507="","▲免保没填到期日",IF($Z507&lt;TODAY(),"▲免保已到期 该转收费了",IF($Z507-TODAY()&lt;=合同提醒天,"免保还剩 "&amp;TEXT($Z507-TODAY(),"0")&amp;" 天","免保中"))),IF($Y507="暂停维保","暂停中 不计费",IF($Y507="已解约","已解约",IF(COUNTIF(合同键,$E507)=0,"▲还没建合同行","")))))</f>
        <v/>
      </c>
      <c r="AD507" s="24"/>
      <c r="AE507" s="35" t="str">
        <f aca="false">IF($C507="","",IF($D507="","★项目名称没填",IF(N($P507)&lt;=0,"★台量要填",IF(AND(OR($Y507="安装免保",$Y507="技术免保",$Y507="质保期内"),$Z507=""),"★免保到期日没填",IF(COUNTIF(合同键,$E507)=0,"★还没建合同行","OK")))))</f>
        <v/>
      </c>
    </row>
    <row r="508" customFormat="false" ht="15" hidden="false" customHeight="false" outlineLevel="0" collapsed="false">
      <c r="A508" s="29" t="str">
        <f aca="false">IF($C508="","",ROW()-4)</f>
        <v/>
      </c>
      <c r="B508" s="25"/>
      <c r="C508" s="24"/>
      <c r="D508" s="24"/>
      <c r="E508" s="30" t="str">
        <f aca="false">IF($C508="","",$C508&amp;" ｜ "&amp;$D508)</f>
        <v/>
      </c>
      <c r="F508" s="25"/>
      <c r="G508" s="25"/>
      <c r="H508" s="25"/>
      <c r="I508" s="25"/>
      <c r="J508" s="25"/>
      <c r="K508" s="21"/>
      <c r="L508" s="21"/>
      <c r="M508" s="21"/>
      <c r="N508" s="25"/>
      <c r="O508" s="25"/>
      <c r="P508" s="32"/>
      <c r="Q508" s="25"/>
      <c r="R508" s="25"/>
      <c r="S508" s="33"/>
      <c r="T508" s="33"/>
      <c r="U508" s="33"/>
      <c r="V508" s="33"/>
      <c r="W508" s="25"/>
      <c r="X508" s="25"/>
      <c r="Y508" s="25"/>
      <c r="Z508" s="33"/>
      <c r="AA508" s="34" t="str">
        <f aca="true">IF($T508="","",IF($T508&lt;TODAY(),"已过期 "&amp;TEXT(TODAY()-$T508,"0")&amp;" 天",IF($T508-TODAY()&lt;=年检提醒天,"还剩 "&amp;TEXT($T508-TODAY(),"0")&amp;" 天","")))</f>
        <v/>
      </c>
      <c r="AB508" s="34" t="str">
        <f aca="true">IF(COUNT($U508:$V508)=0,"",IF(MIN($U508:$V508)&lt;TODAY(),"已过期 "&amp;TEXT(TODAY()-MIN($U508:$V508),"0")&amp;" 天",IF(MIN($U508:$V508)-TODAY()&lt;=年检提醒天,"还剩 "&amp;TEXT(MIN($U508:$V508)-TODAY(),"0")&amp;" 天","")))</f>
        <v/>
      </c>
      <c r="AC508" s="34" t="str">
        <f aca="true">IF($C508="","",IF(OR($Y508="安装免保",$Y508="技术免保",$Y508="质保期内"),IF($Z508="","▲免保没填到期日",IF($Z508&lt;TODAY(),"▲免保已到期 该转收费了",IF($Z508-TODAY()&lt;=合同提醒天,"免保还剩 "&amp;TEXT($Z508-TODAY(),"0")&amp;" 天","免保中"))),IF($Y508="暂停维保","暂停中 不计费",IF($Y508="已解约","已解约",IF(COUNTIF(合同键,$E508)=0,"▲还没建合同行","")))))</f>
        <v/>
      </c>
      <c r="AD508" s="24"/>
      <c r="AE508" s="35" t="str">
        <f aca="false">IF($C508="","",IF($D508="","★项目名称没填",IF(N($P508)&lt;=0,"★台量要填",IF(AND(OR($Y508="安装免保",$Y508="技术免保",$Y508="质保期内"),$Z508=""),"★免保到期日没填",IF(COUNTIF(合同键,$E508)=0,"★还没建合同行","OK")))))</f>
        <v/>
      </c>
    </row>
    <row r="509" customFormat="false" ht="15" hidden="false" customHeight="false" outlineLevel="0" collapsed="false">
      <c r="A509" s="29" t="str">
        <f aca="false">IF($C509="","",ROW()-4)</f>
        <v/>
      </c>
      <c r="B509" s="25"/>
      <c r="C509" s="24"/>
      <c r="D509" s="24"/>
      <c r="E509" s="30" t="str">
        <f aca="false">IF($C509="","",$C509&amp;" ｜ "&amp;$D509)</f>
        <v/>
      </c>
      <c r="F509" s="25"/>
      <c r="G509" s="25"/>
      <c r="H509" s="25"/>
      <c r="I509" s="25"/>
      <c r="J509" s="25"/>
      <c r="K509" s="21"/>
      <c r="L509" s="21"/>
      <c r="M509" s="21"/>
      <c r="N509" s="25"/>
      <c r="O509" s="25"/>
      <c r="P509" s="32"/>
      <c r="Q509" s="25"/>
      <c r="R509" s="25"/>
      <c r="S509" s="33"/>
      <c r="T509" s="33"/>
      <c r="U509" s="33"/>
      <c r="V509" s="33"/>
      <c r="W509" s="25"/>
      <c r="X509" s="25"/>
      <c r="Y509" s="25"/>
      <c r="Z509" s="33"/>
      <c r="AA509" s="34" t="str">
        <f aca="true">IF($T509="","",IF($T509&lt;TODAY(),"已过期 "&amp;TEXT(TODAY()-$T509,"0")&amp;" 天",IF($T509-TODAY()&lt;=年检提醒天,"还剩 "&amp;TEXT($T509-TODAY(),"0")&amp;" 天","")))</f>
        <v/>
      </c>
      <c r="AB509" s="34" t="str">
        <f aca="true">IF(COUNT($U509:$V509)=0,"",IF(MIN($U509:$V509)&lt;TODAY(),"已过期 "&amp;TEXT(TODAY()-MIN($U509:$V509),"0")&amp;" 天",IF(MIN($U509:$V509)-TODAY()&lt;=年检提醒天,"还剩 "&amp;TEXT(MIN($U509:$V509)-TODAY(),"0")&amp;" 天","")))</f>
        <v/>
      </c>
      <c r="AC509" s="34" t="str">
        <f aca="true">IF($C509="","",IF(OR($Y509="安装免保",$Y509="技术免保",$Y509="质保期内"),IF($Z509="","▲免保没填到期日",IF($Z509&lt;TODAY(),"▲免保已到期 该转收费了",IF($Z509-TODAY()&lt;=合同提醒天,"免保还剩 "&amp;TEXT($Z509-TODAY(),"0")&amp;" 天","免保中"))),IF($Y509="暂停维保","暂停中 不计费",IF($Y509="已解约","已解约",IF(COUNTIF(合同键,$E509)=0,"▲还没建合同行","")))))</f>
        <v/>
      </c>
      <c r="AD509" s="24"/>
      <c r="AE509" s="35" t="str">
        <f aca="false">IF($C509="","",IF($D509="","★项目名称没填",IF(N($P509)&lt;=0,"★台量要填",IF(AND(OR($Y509="安装免保",$Y509="技术免保",$Y509="质保期内"),$Z509=""),"★免保到期日没填",IF(COUNTIF(合同键,$E509)=0,"★还没建合同行","OK")))))</f>
        <v/>
      </c>
    </row>
    <row r="510" customFormat="false" ht="15" hidden="false" customHeight="false" outlineLevel="0" collapsed="false">
      <c r="A510" s="29" t="str">
        <f aca="false">IF($C510="","",ROW()-4)</f>
        <v/>
      </c>
      <c r="B510" s="25"/>
      <c r="C510" s="24"/>
      <c r="D510" s="24"/>
      <c r="E510" s="30" t="str">
        <f aca="false">IF($C510="","",$C510&amp;" ｜ "&amp;$D510)</f>
        <v/>
      </c>
      <c r="F510" s="25"/>
      <c r="G510" s="25"/>
      <c r="H510" s="25"/>
      <c r="I510" s="25"/>
      <c r="J510" s="25"/>
      <c r="K510" s="21"/>
      <c r="L510" s="21"/>
      <c r="M510" s="21"/>
      <c r="N510" s="25"/>
      <c r="O510" s="25"/>
      <c r="P510" s="32"/>
      <c r="Q510" s="25"/>
      <c r="R510" s="25"/>
      <c r="S510" s="33"/>
      <c r="T510" s="33"/>
      <c r="U510" s="33"/>
      <c r="V510" s="33"/>
      <c r="W510" s="25"/>
      <c r="X510" s="25"/>
      <c r="Y510" s="25"/>
      <c r="Z510" s="33"/>
      <c r="AA510" s="34" t="str">
        <f aca="true">IF($T510="","",IF($T510&lt;TODAY(),"已过期 "&amp;TEXT(TODAY()-$T510,"0")&amp;" 天",IF($T510-TODAY()&lt;=年检提醒天,"还剩 "&amp;TEXT($T510-TODAY(),"0")&amp;" 天","")))</f>
        <v/>
      </c>
      <c r="AB510" s="34" t="str">
        <f aca="true">IF(COUNT($U510:$V510)=0,"",IF(MIN($U510:$V510)&lt;TODAY(),"已过期 "&amp;TEXT(TODAY()-MIN($U510:$V510),"0")&amp;" 天",IF(MIN($U510:$V510)-TODAY()&lt;=年检提醒天,"还剩 "&amp;TEXT(MIN($U510:$V510)-TODAY(),"0")&amp;" 天","")))</f>
        <v/>
      </c>
      <c r="AC510" s="34" t="str">
        <f aca="true">IF($C510="","",IF(OR($Y510="安装免保",$Y510="技术免保",$Y510="质保期内"),IF($Z510="","▲免保没填到期日",IF($Z510&lt;TODAY(),"▲免保已到期 该转收费了",IF($Z510-TODAY()&lt;=合同提醒天,"免保还剩 "&amp;TEXT($Z510-TODAY(),"0")&amp;" 天","免保中"))),IF($Y510="暂停维保","暂停中 不计费",IF($Y510="已解约","已解约",IF(COUNTIF(合同键,$E510)=0,"▲还没建合同行","")))))</f>
        <v/>
      </c>
      <c r="AD510" s="24"/>
      <c r="AE510" s="35" t="str">
        <f aca="false">IF($C510="","",IF($D510="","★项目名称没填",IF(N($P510)&lt;=0,"★台量要填",IF(AND(OR($Y510="安装免保",$Y510="技术免保",$Y510="质保期内"),$Z510=""),"★免保到期日没填",IF(COUNTIF(合同键,$E510)=0,"★还没建合同行","OK")))))</f>
        <v/>
      </c>
    </row>
    <row r="511" customFormat="false" ht="15" hidden="false" customHeight="false" outlineLevel="0" collapsed="false">
      <c r="A511" s="29" t="str">
        <f aca="false">IF($C511="","",ROW()-4)</f>
        <v/>
      </c>
      <c r="B511" s="25"/>
      <c r="C511" s="24"/>
      <c r="D511" s="24"/>
      <c r="E511" s="30" t="str">
        <f aca="false">IF($C511="","",$C511&amp;" ｜ "&amp;$D511)</f>
        <v/>
      </c>
      <c r="F511" s="25"/>
      <c r="G511" s="25"/>
      <c r="H511" s="25"/>
      <c r="I511" s="25"/>
      <c r="J511" s="25"/>
      <c r="K511" s="21"/>
      <c r="L511" s="21"/>
      <c r="M511" s="21"/>
      <c r="N511" s="25"/>
      <c r="O511" s="25"/>
      <c r="P511" s="32"/>
      <c r="Q511" s="25"/>
      <c r="R511" s="25"/>
      <c r="S511" s="33"/>
      <c r="T511" s="33"/>
      <c r="U511" s="33"/>
      <c r="V511" s="33"/>
      <c r="W511" s="25"/>
      <c r="X511" s="25"/>
      <c r="Y511" s="25"/>
      <c r="Z511" s="33"/>
      <c r="AA511" s="34" t="str">
        <f aca="true">IF($T511="","",IF($T511&lt;TODAY(),"已过期 "&amp;TEXT(TODAY()-$T511,"0")&amp;" 天",IF($T511-TODAY()&lt;=年检提醒天,"还剩 "&amp;TEXT($T511-TODAY(),"0")&amp;" 天","")))</f>
        <v/>
      </c>
      <c r="AB511" s="34" t="str">
        <f aca="true">IF(COUNT($U511:$V511)=0,"",IF(MIN($U511:$V511)&lt;TODAY(),"已过期 "&amp;TEXT(TODAY()-MIN($U511:$V511),"0")&amp;" 天",IF(MIN($U511:$V511)-TODAY()&lt;=年检提醒天,"还剩 "&amp;TEXT(MIN($U511:$V511)-TODAY(),"0")&amp;" 天","")))</f>
        <v/>
      </c>
      <c r="AC511" s="34" t="str">
        <f aca="true">IF($C511="","",IF(OR($Y511="安装免保",$Y511="技术免保",$Y511="质保期内"),IF($Z511="","▲免保没填到期日",IF($Z511&lt;TODAY(),"▲免保已到期 该转收费了",IF($Z511-TODAY()&lt;=合同提醒天,"免保还剩 "&amp;TEXT($Z511-TODAY(),"0")&amp;" 天","免保中"))),IF($Y511="暂停维保","暂停中 不计费",IF($Y511="已解约","已解约",IF(COUNTIF(合同键,$E511)=0,"▲还没建合同行","")))))</f>
        <v/>
      </c>
      <c r="AD511" s="24"/>
      <c r="AE511" s="35" t="str">
        <f aca="false">IF($C511="","",IF($D511="","★项目名称没填",IF(N($P511)&lt;=0,"★台量要填",IF(AND(OR($Y511="安装免保",$Y511="技术免保",$Y511="质保期内"),$Z511=""),"★免保到期日没填",IF(COUNTIF(合同键,$E511)=0,"★还没建合同行","OK")))))</f>
        <v/>
      </c>
    </row>
    <row r="512" customFormat="false" ht="15" hidden="false" customHeight="false" outlineLevel="0" collapsed="false">
      <c r="A512" s="29" t="str">
        <f aca="false">IF($C512="","",ROW()-4)</f>
        <v/>
      </c>
      <c r="B512" s="25"/>
      <c r="C512" s="24"/>
      <c r="D512" s="24"/>
      <c r="E512" s="30" t="str">
        <f aca="false">IF($C512="","",$C512&amp;" ｜ "&amp;$D512)</f>
        <v/>
      </c>
      <c r="F512" s="25"/>
      <c r="G512" s="25"/>
      <c r="H512" s="25"/>
      <c r="I512" s="25"/>
      <c r="J512" s="25"/>
      <c r="K512" s="21"/>
      <c r="L512" s="21"/>
      <c r="M512" s="21"/>
      <c r="N512" s="25"/>
      <c r="O512" s="25"/>
      <c r="P512" s="32"/>
      <c r="Q512" s="25"/>
      <c r="R512" s="25"/>
      <c r="S512" s="33"/>
      <c r="T512" s="33"/>
      <c r="U512" s="33"/>
      <c r="V512" s="33"/>
      <c r="W512" s="25"/>
      <c r="X512" s="25"/>
      <c r="Y512" s="25"/>
      <c r="Z512" s="33"/>
      <c r="AA512" s="34" t="str">
        <f aca="true">IF($T512="","",IF($T512&lt;TODAY(),"已过期 "&amp;TEXT(TODAY()-$T512,"0")&amp;" 天",IF($T512-TODAY()&lt;=年检提醒天,"还剩 "&amp;TEXT($T512-TODAY(),"0")&amp;" 天","")))</f>
        <v/>
      </c>
      <c r="AB512" s="34" t="str">
        <f aca="true">IF(COUNT($U512:$V512)=0,"",IF(MIN($U512:$V512)&lt;TODAY(),"已过期 "&amp;TEXT(TODAY()-MIN($U512:$V512),"0")&amp;" 天",IF(MIN($U512:$V512)-TODAY()&lt;=年检提醒天,"还剩 "&amp;TEXT(MIN($U512:$V512)-TODAY(),"0")&amp;" 天","")))</f>
        <v/>
      </c>
      <c r="AC512" s="34" t="str">
        <f aca="true">IF($C512="","",IF(OR($Y512="安装免保",$Y512="技术免保",$Y512="质保期内"),IF($Z512="","▲免保没填到期日",IF($Z512&lt;TODAY(),"▲免保已到期 该转收费了",IF($Z512-TODAY()&lt;=合同提醒天,"免保还剩 "&amp;TEXT($Z512-TODAY(),"0")&amp;" 天","免保中"))),IF($Y512="暂停维保","暂停中 不计费",IF($Y512="已解约","已解约",IF(COUNTIF(合同键,$E512)=0,"▲还没建合同行","")))))</f>
        <v/>
      </c>
      <c r="AD512" s="24"/>
      <c r="AE512" s="35" t="str">
        <f aca="false">IF($C512="","",IF($D512="","★项目名称没填",IF(N($P512)&lt;=0,"★台量要填",IF(AND(OR($Y512="安装免保",$Y512="技术免保",$Y512="质保期内"),$Z512=""),"★免保到期日没填",IF(COUNTIF(合同键,$E512)=0,"★还没建合同行","OK")))))</f>
        <v/>
      </c>
    </row>
    <row r="513" customFormat="false" ht="15" hidden="false" customHeight="false" outlineLevel="0" collapsed="false">
      <c r="A513" s="29" t="str">
        <f aca="false">IF($C513="","",ROW()-4)</f>
        <v/>
      </c>
      <c r="B513" s="25"/>
      <c r="C513" s="24"/>
      <c r="D513" s="24"/>
      <c r="E513" s="30" t="str">
        <f aca="false">IF($C513="","",$C513&amp;" ｜ "&amp;$D513)</f>
        <v/>
      </c>
      <c r="F513" s="25"/>
      <c r="G513" s="25"/>
      <c r="H513" s="25"/>
      <c r="I513" s="25"/>
      <c r="J513" s="25"/>
      <c r="K513" s="21"/>
      <c r="L513" s="21"/>
      <c r="M513" s="21"/>
      <c r="N513" s="25"/>
      <c r="O513" s="25"/>
      <c r="P513" s="32"/>
      <c r="Q513" s="25"/>
      <c r="R513" s="25"/>
      <c r="S513" s="33"/>
      <c r="T513" s="33"/>
      <c r="U513" s="33"/>
      <c r="V513" s="33"/>
      <c r="W513" s="25"/>
      <c r="X513" s="25"/>
      <c r="Y513" s="25"/>
      <c r="Z513" s="33"/>
      <c r="AA513" s="34" t="str">
        <f aca="true">IF($T513="","",IF($T513&lt;TODAY(),"已过期 "&amp;TEXT(TODAY()-$T513,"0")&amp;" 天",IF($T513-TODAY()&lt;=年检提醒天,"还剩 "&amp;TEXT($T513-TODAY(),"0")&amp;" 天","")))</f>
        <v/>
      </c>
      <c r="AB513" s="34" t="str">
        <f aca="true">IF(COUNT($U513:$V513)=0,"",IF(MIN($U513:$V513)&lt;TODAY(),"已过期 "&amp;TEXT(TODAY()-MIN($U513:$V513),"0")&amp;" 天",IF(MIN($U513:$V513)-TODAY()&lt;=年检提醒天,"还剩 "&amp;TEXT(MIN($U513:$V513)-TODAY(),"0")&amp;" 天","")))</f>
        <v/>
      </c>
      <c r="AC513" s="34" t="str">
        <f aca="true">IF($C513="","",IF(OR($Y513="安装免保",$Y513="技术免保",$Y513="质保期内"),IF($Z513="","▲免保没填到期日",IF($Z513&lt;TODAY(),"▲免保已到期 该转收费了",IF($Z513-TODAY()&lt;=合同提醒天,"免保还剩 "&amp;TEXT($Z513-TODAY(),"0")&amp;" 天","免保中"))),IF($Y513="暂停维保","暂停中 不计费",IF($Y513="已解约","已解约",IF(COUNTIF(合同键,$E513)=0,"▲还没建合同行","")))))</f>
        <v/>
      </c>
      <c r="AD513" s="24"/>
      <c r="AE513" s="35" t="str">
        <f aca="false">IF($C513="","",IF($D513="","★项目名称没填",IF(N($P513)&lt;=0,"★台量要填",IF(AND(OR($Y513="安装免保",$Y513="技术免保",$Y513="质保期内"),$Z513=""),"★免保到期日没填",IF(COUNTIF(合同键,$E513)=0,"★还没建合同行","OK")))))</f>
        <v/>
      </c>
    </row>
    <row r="514" customFormat="false" ht="15" hidden="false" customHeight="false" outlineLevel="0" collapsed="false">
      <c r="A514" s="29" t="str">
        <f aca="false">IF($C514="","",ROW()-4)</f>
        <v/>
      </c>
      <c r="B514" s="25"/>
      <c r="C514" s="24"/>
      <c r="D514" s="24"/>
      <c r="E514" s="30" t="str">
        <f aca="false">IF($C514="","",$C514&amp;" ｜ "&amp;$D514)</f>
        <v/>
      </c>
      <c r="F514" s="25"/>
      <c r="G514" s="25"/>
      <c r="H514" s="25"/>
      <c r="I514" s="25"/>
      <c r="J514" s="25"/>
      <c r="K514" s="21"/>
      <c r="L514" s="21"/>
      <c r="M514" s="21"/>
      <c r="N514" s="25"/>
      <c r="O514" s="25"/>
      <c r="P514" s="32"/>
      <c r="Q514" s="25"/>
      <c r="R514" s="25"/>
      <c r="S514" s="33"/>
      <c r="T514" s="33"/>
      <c r="U514" s="33"/>
      <c r="V514" s="33"/>
      <c r="W514" s="25"/>
      <c r="X514" s="25"/>
      <c r="Y514" s="25"/>
      <c r="Z514" s="33"/>
      <c r="AA514" s="34" t="str">
        <f aca="true">IF($T514="","",IF($T514&lt;TODAY(),"已过期 "&amp;TEXT(TODAY()-$T514,"0")&amp;" 天",IF($T514-TODAY()&lt;=年检提醒天,"还剩 "&amp;TEXT($T514-TODAY(),"0")&amp;" 天","")))</f>
        <v/>
      </c>
      <c r="AB514" s="34" t="str">
        <f aca="true">IF(COUNT($U514:$V514)=0,"",IF(MIN($U514:$V514)&lt;TODAY(),"已过期 "&amp;TEXT(TODAY()-MIN($U514:$V514),"0")&amp;" 天",IF(MIN($U514:$V514)-TODAY()&lt;=年检提醒天,"还剩 "&amp;TEXT(MIN($U514:$V514)-TODAY(),"0")&amp;" 天","")))</f>
        <v/>
      </c>
      <c r="AC514" s="34" t="str">
        <f aca="true">IF($C514="","",IF(OR($Y514="安装免保",$Y514="技术免保",$Y514="质保期内"),IF($Z514="","▲免保没填到期日",IF($Z514&lt;TODAY(),"▲免保已到期 该转收费了",IF($Z514-TODAY()&lt;=合同提醒天,"免保还剩 "&amp;TEXT($Z514-TODAY(),"0")&amp;" 天","免保中"))),IF($Y514="暂停维保","暂停中 不计费",IF($Y514="已解约","已解约",IF(COUNTIF(合同键,$E514)=0,"▲还没建合同行","")))))</f>
        <v/>
      </c>
      <c r="AD514" s="24"/>
      <c r="AE514" s="35" t="str">
        <f aca="false">IF($C514="","",IF($D514="","★项目名称没填",IF(N($P514)&lt;=0,"★台量要填",IF(AND(OR($Y514="安装免保",$Y514="技术免保",$Y514="质保期内"),$Z514=""),"★免保到期日没填",IF(COUNTIF(合同键,$E514)=0,"★还没建合同行","OK")))))</f>
        <v/>
      </c>
    </row>
    <row r="515" customFormat="false" ht="15" hidden="false" customHeight="false" outlineLevel="0" collapsed="false">
      <c r="A515" s="29" t="str">
        <f aca="false">IF($C515="","",ROW()-4)</f>
        <v/>
      </c>
      <c r="B515" s="25"/>
      <c r="C515" s="24"/>
      <c r="D515" s="24"/>
      <c r="E515" s="30" t="str">
        <f aca="false">IF($C515="","",$C515&amp;" ｜ "&amp;$D515)</f>
        <v/>
      </c>
      <c r="F515" s="25"/>
      <c r="G515" s="25"/>
      <c r="H515" s="25"/>
      <c r="I515" s="25"/>
      <c r="J515" s="25"/>
      <c r="K515" s="21"/>
      <c r="L515" s="21"/>
      <c r="M515" s="21"/>
      <c r="N515" s="25"/>
      <c r="O515" s="25"/>
      <c r="P515" s="32"/>
      <c r="Q515" s="25"/>
      <c r="R515" s="25"/>
      <c r="S515" s="33"/>
      <c r="T515" s="33"/>
      <c r="U515" s="33"/>
      <c r="V515" s="33"/>
      <c r="W515" s="25"/>
      <c r="X515" s="25"/>
      <c r="Y515" s="25"/>
      <c r="Z515" s="33"/>
      <c r="AA515" s="34" t="str">
        <f aca="true">IF($T515="","",IF($T515&lt;TODAY(),"已过期 "&amp;TEXT(TODAY()-$T515,"0")&amp;" 天",IF($T515-TODAY()&lt;=年检提醒天,"还剩 "&amp;TEXT($T515-TODAY(),"0")&amp;" 天","")))</f>
        <v/>
      </c>
      <c r="AB515" s="34" t="str">
        <f aca="true">IF(COUNT($U515:$V515)=0,"",IF(MIN($U515:$V515)&lt;TODAY(),"已过期 "&amp;TEXT(TODAY()-MIN($U515:$V515),"0")&amp;" 天",IF(MIN($U515:$V515)-TODAY()&lt;=年检提醒天,"还剩 "&amp;TEXT(MIN($U515:$V515)-TODAY(),"0")&amp;" 天","")))</f>
        <v/>
      </c>
      <c r="AC515" s="34" t="str">
        <f aca="true">IF($C515="","",IF(OR($Y515="安装免保",$Y515="技术免保",$Y515="质保期内"),IF($Z515="","▲免保没填到期日",IF($Z515&lt;TODAY(),"▲免保已到期 该转收费了",IF($Z515-TODAY()&lt;=合同提醒天,"免保还剩 "&amp;TEXT($Z515-TODAY(),"0")&amp;" 天","免保中"))),IF($Y515="暂停维保","暂停中 不计费",IF($Y515="已解约","已解约",IF(COUNTIF(合同键,$E515)=0,"▲还没建合同行","")))))</f>
        <v/>
      </c>
      <c r="AD515" s="24"/>
      <c r="AE515" s="35" t="str">
        <f aca="false">IF($C515="","",IF($D515="","★项目名称没填",IF(N($P515)&lt;=0,"★台量要填",IF(AND(OR($Y515="安装免保",$Y515="技术免保",$Y515="质保期内"),$Z515=""),"★免保到期日没填",IF(COUNTIF(合同键,$E515)=0,"★还没建合同行","OK")))))</f>
        <v/>
      </c>
    </row>
    <row r="516" customFormat="false" ht="15" hidden="false" customHeight="false" outlineLevel="0" collapsed="false">
      <c r="A516" s="29" t="str">
        <f aca="false">IF($C516="","",ROW()-4)</f>
        <v/>
      </c>
      <c r="B516" s="25"/>
      <c r="C516" s="24"/>
      <c r="D516" s="24"/>
      <c r="E516" s="30" t="str">
        <f aca="false">IF($C516="","",$C516&amp;" ｜ "&amp;$D516)</f>
        <v/>
      </c>
      <c r="F516" s="25"/>
      <c r="G516" s="25"/>
      <c r="H516" s="25"/>
      <c r="I516" s="25"/>
      <c r="J516" s="25"/>
      <c r="K516" s="21"/>
      <c r="L516" s="21"/>
      <c r="M516" s="21"/>
      <c r="N516" s="25"/>
      <c r="O516" s="25"/>
      <c r="P516" s="32"/>
      <c r="Q516" s="25"/>
      <c r="R516" s="25"/>
      <c r="S516" s="33"/>
      <c r="T516" s="33"/>
      <c r="U516" s="33"/>
      <c r="V516" s="33"/>
      <c r="W516" s="25"/>
      <c r="X516" s="25"/>
      <c r="Y516" s="25"/>
      <c r="Z516" s="33"/>
      <c r="AA516" s="34" t="str">
        <f aca="true">IF($T516="","",IF($T516&lt;TODAY(),"已过期 "&amp;TEXT(TODAY()-$T516,"0")&amp;" 天",IF($T516-TODAY()&lt;=年检提醒天,"还剩 "&amp;TEXT($T516-TODAY(),"0")&amp;" 天","")))</f>
        <v/>
      </c>
      <c r="AB516" s="34" t="str">
        <f aca="true">IF(COUNT($U516:$V516)=0,"",IF(MIN($U516:$V516)&lt;TODAY(),"已过期 "&amp;TEXT(TODAY()-MIN($U516:$V516),"0")&amp;" 天",IF(MIN($U516:$V516)-TODAY()&lt;=年检提醒天,"还剩 "&amp;TEXT(MIN($U516:$V516)-TODAY(),"0")&amp;" 天","")))</f>
        <v/>
      </c>
      <c r="AC516" s="34" t="str">
        <f aca="true">IF($C516="","",IF(OR($Y516="安装免保",$Y516="技术免保",$Y516="质保期内"),IF($Z516="","▲免保没填到期日",IF($Z516&lt;TODAY(),"▲免保已到期 该转收费了",IF($Z516-TODAY()&lt;=合同提醒天,"免保还剩 "&amp;TEXT($Z516-TODAY(),"0")&amp;" 天","免保中"))),IF($Y516="暂停维保","暂停中 不计费",IF($Y516="已解约","已解约",IF(COUNTIF(合同键,$E516)=0,"▲还没建合同行","")))))</f>
        <v/>
      </c>
      <c r="AD516" s="24"/>
      <c r="AE516" s="35" t="str">
        <f aca="false">IF($C516="","",IF($D516="","★项目名称没填",IF(N($P516)&lt;=0,"★台量要填",IF(AND(OR($Y516="安装免保",$Y516="技术免保",$Y516="质保期内"),$Z516=""),"★免保到期日没填",IF(COUNTIF(合同键,$E516)=0,"★还没建合同行","OK")))))</f>
        <v/>
      </c>
    </row>
    <row r="517" customFormat="false" ht="15" hidden="false" customHeight="false" outlineLevel="0" collapsed="false">
      <c r="A517" s="29" t="str">
        <f aca="false">IF($C517="","",ROW()-4)</f>
        <v/>
      </c>
      <c r="B517" s="25"/>
      <c r="C517" s="24"/>
      <c r="D517" s="24"/>
      <c r="E517" s="30" t="str">
        <f aca="false">IF($C517="","",$C517&amp;" ｜ "&amp;$D517)</f>
        <v/>
      </c>
      <c r="F517" s="25"/>
      <c r="G517" s="25"/>
      <c r="H517" s="25"/>
      <c r="I517" s="25"/>
      <c r="J517" s="25"/>
      <c r="K517" s="21"/>
      <c r="L517" s="21"/>
      <c r="M517" s="21"/>
      <c r="N517" s="25"/>
      <c r="O517" s="25"/>
      <c r="P517" s="32"/>
      <c r="Q517" s="25"/>
      <c r="R517" s="25"/>
      <c r="S517" s="33"/>
      <c r="T517" s="33"/>
      <c r="U517" s="33"/>
      <c r="V517" s="33"/>
      <c r="W517" s="25"/>
      <c r="X517" s="25"/>
      <c r="Y517" s="25"/>
      <c r="Z517" s="33"/>
      <c r="AA517" s="34" t="str">
        <f aca="true">IF($T517="","",IF($T517&lt;TODAY(),"已过期 "&amp;TEXT(TODAY()-$T517,"0")&amp;" 天",IF($T517-TODAY()&lt;=年检提醒天,"还剩 "&amp;TEXT($T517-TODAY(),"0")&amp;" 天","")))</f>
        <v/>
      </c>
      <c r="AB517" s="34" t="str">
        <f aca="true">IF(COUNT($U517:$V517)=0,"",IF(MIN($U517:$V517)&lt;TODAY(),"已过期 "&amp;TEXT(TODAY()-MIN($U517:$V517),"0")&amp;" 天",IF(MIN($U517:$V517)-TODAY()&lt;=年检提醒天,"还剩 "&amp;TEXT(MIN($U517:$V517)-TODAY(),"0")&amp;" 天","")))</f>
        <v/>
      </c>
      <c r="AC517" s="34" t="str">
        <f aca="true">IF($C517="","",IF(OR($Y517="安装免保",$Y517="技术免保",$Y517="质保期内"),IF($Z517="","▲免保没填到期日",IF($Z517&lt;TODAY(),"▲免保已到期 该转收费了",IF($Z517-TODAY()&lt;=合同提醒天,"免保还剩 "&amp;TEXT($Z517-TODAY(),"0")&amp;" 天","免保中"))),IF($Y517="暂停维保","暂停中 不计费",IF($Y517="已解约","已解约",IF(COUNTIF(合同键,$E517)=0,"▲还没建合同行","")))))</f>
        <v/>
      </c>
      <c r="AD517" s="24"/>
      <c r="AE517" s="35" t="str">
        <f aca="false">IF($C517="","",IF($D517="","★项目名称没填",IF(N($P517)&lt;=0,"★台量要填",IF(AND(OR($Y517="安装免保",$Y517="技术免保",$Y517="质保期内"),$Z517=""),"★免保到期日没填",IF(COUNTIF(合同键,$E517)=0,"★还没建合同行","OK")))))</f>
        <v/>
      </c>
    </row>
    <row r="518" customFormat="false" ht="15" hidden="false" customHeight="false" outlineLevel="0" collapsed="false">
      <c r="A518" s="29" t="str">
        <f aca="false">IF($C518="","",ROW()-4)</f>
        <v/>
      </c>
      <c r="B518" s="25"/>
      <c r="C518" s="24"/>
      <c r="D518" s="24"/>
      <c r="E518" s="30" t="str">
        <f aca="false">IF($C518="","",$C518&amp;" ｜ "&amp;$D518)</f>
        <v/>
      </c>
      <c r="F518" s="25"/>
      <c r="G518" s="25"/>
      <c r="H518" s="25"/>
      <c r="I518" s="25"/>
      <c r="J518" s="25"/>
      <c r="K518" s="21"/>
      <c r="L518" s="21"/>
      <c r="M518" s="21"/>
      <c r="N518" s="25"/>
      <c r="O518" s="25"/>
      <c r="P518" s="32"/>
      <c r="Q518" s="25"/>
      <c r="R518" s="25"/>
      <c r="S518" s="33"/>
      <c r="T518" s="33"/>
      <c r="U518" s="33"/>
      <c r="V518" s="33"/>
      <c r="W518" s="25"/>
      <c r="X518" s="25"/>
      <c r="Y518" s="25"/>
      <c r="Z518" s="33"/>
      <c r="AA518" s="34" t="str">
        <f aca="true">IF($T518="","",IF($T518&lt;TODAY(),"已过期 "&amp;TEXT(TODAY()-$T518,"0")&amp;" 天",IF($T518-TODAY()&lt;=年检提醒天,"还剩 "&amp;TEXT($T518-TODAY(),"0")&amp;" 天","")))</f>
        <v/>
      </c>
      <c r="AB518" s="34" t="str">
        <f aca="true">IF(COUNT($U518:$V518)=0,"",IF(MIN($U518:$V518)&lt;TODAY(),"已过期 "&amp;TEXT(TODAY()-MIN($U518:$V518),"0")&amp;" 天",IF(MIN($U518:$V518)-TODAY()&lt;=年检提醒天,"还剩 "&amp;TEXT(MIN($U518:$V518)-TODAY(),"0")&amp;" 天","")))</f>
        <v/>
      </c>
      <c r="AC518" s="34" t="str">
        <f aca="true">IF($C518="","",IF(OR($Y518="安装免保",$Y518="技术免保",$Y518="质保期内"),IF($Z518="","▲免保没填到期日",IF($Z518&lt;TODAY(),"▲免保已到期 该转收费了",IF($Z518-TODAY()&lt;=合同提醒天,"免保还剩 "&amp;TEXT($Z518-TODAY(),"0")&amp;" 天","免保中"))),IF($Y518="暂停维保","暂停中 不计费",IF($Y518="已解约","已解约",IF(COUNTIF(合同键,$E518)=0,"▲还没建合同行","")))))</f>
        <v/>
      </c>
      <c r="AD518" s="24"/>
      <c r="AE518" s="35" t="str">
        <f aca="false">IF($C518="","",IF($D518="","★项目名称没填",IF(N($P518)&lt;=0,"★台量要填",IF(AND(OR($Y518="安装免保",$Y518="技术免保",$Y518="质保期内"),$Z518=""),"★免保到期日没填",IF(COUNTIF(合同键,$E518)=0,"★还没建合同行","OK")))))</f>
        <v/>
      </c>
    </row>
    <row r="519" customFormat="false" ht="15" hidden="false" customHeight="false" outlineLevel="0" collapsed="false">
      <c r="A519" s="29" t="str">
        <f aca="false">IF($C519="","",ROW()-4)</f>
        <v/>
      </c>
      <c r="B519" s="25"/>
      <c r="C519" s="24"/>
      <c r="D519" s="24"/>
      <c r="E519" s="30" t="str">
        <f aca="false">IF($C519="","",$C519&amp;" ｜ "&amp;$D519)</f>
        <v/>
      </c>
      <c r="F519" s="25"/>
      <c r="G519" s="25"/>
      <c r="H519" s="25"/>
      <c r="I519" s="25"/>
      <c r="J519" s="25"/>
      <c r="K519" s="21"/>
      <c r="L519" s="21"/>
      <c r="M519" s="21"/>
      <c r="N519" s="25"/>
      <c r="O519" s="25"/>
      <c r="P519" s="32"/>
      <c r="Q519" s="25"/>
      <c r="R519" s="25"/>
      <c r="S519" s="33"/>
      <c r="T519" s="33"/>
      <c r="U519" s="33"/>
      <c r="V519" s="33"/>
      <c r="W519" s="25"/>
      <c r="X519" s="25"/>
      <c r="Y519" s="25"/>
      <c r="Z519" s="33"/>
      <c r="AA519" s="34" t="str">
        <f aca="true">IF($T519="","",IF($T519&lt;TODAY(),"已过期 "&amp;TEXT(TODAY()-$T519,"0")&amp;" 天",IF($T519-TODAY()&lt;=年检提醒天,"还剩 "&amp;TEXT($T519-TODAY(),"0")&amp;" 天","")))</f>
        <v/>
      </c>
      <c r="AB519" s="34" t="str">
        <f aca="true">IF(COUNT($U519:$V519)=0,"",IF(MIN($U519:$V519)&lt;TODAY(),"已过期 "&amp;TEXT(TODAY()-MIN($U519:$V519),"0")&amp;" 天",IF(MIN($U519:$V519)-TODAY()&lt;=年检提醒天,"还剩 "&amp;TEXT(MIN($U519:$V519)-TODAY(),"0")&amp;" 天","")))</f>
        <v/>
      </c>
      <c r="AC519" s="34" t="str">
        <f aca="true">IF($C519="","",IF(OR($Y519="安装免保",$Y519="技术免保",$Y519="质保期内"),IF($Z519="","▲免保没填到期日",IF($Z519&lt;TODAY(),"▲免保已到期 该转收费了",IF($Z519-TODAY()&lt;=合同提醒天,"免保还剩 "&amp;TEXT($Z519-TODAY(),"0")&amp;" 天","免保中"))),IF($Y519="暂停维保","暂停中 不计费",IF($Y519="已解约","已解约",IF(COUNTIF(合同键,$E519)=0,"▲还没建合同行","")))))</f>
        <v/>
      </c>
      <c r="AD519" s="24"/>
      <c r="AE519" s="35" t="str">
        <f aca="false">IF($C519="","",IF($D519="","★项目名称没填",IF(N($P519)&lt;=0,"★台量要填",IF(AND(OR($Y519="安装免保",$Y519="技术免保",$Y519="质保期内"),$Z519=""),"★免保到期日没填",IF(COUNTIF(合同键,$E519)=0,"★还没建合同行","OK")))))</f>
        <v/>
      </c>
    </row>
    <row r="520" customFormat="false" ht="15" hidden="false" customHeight="false" outlineLevel="0" collapsed="false">
      <c r="A520" s="29" t="str">
        <f aca="false">IF($C520="","",ROW()-4)</f>
        <v/>
      </c>
      <c r="B520" s="25"/>
      <c r="C520" s="24"/>
      <c r="D520" s="24"/>
      <c r="E520" s="30" t="str">
        <f aca="false">IF($C520="","",$C520&amp;" ｜ "&amp;$D520)</f>
        <v/>
      </c>
      <c r="F520" s="25"/>
      <c r="G520" s="25"/>
      <c r="H520" s="25"/>
      <c r="I520" s="25"/>
      <c r="J520" s="25"/>
      <c r="K520" s="21"/>
      <c r="L520" s="21"/>
      <c r="M520" s="21"/>
      <c r="N520" s="25"/>
      <c r="O520" s="25"/>
      <c r="P520" s="32"/>
      <c r="Q520" s="25"/>
      <c r="R520" s="25"/>
      <c r="S520" s="33"/>
      <c r="T520" s="33"/>
      <c r="U520" s="33"/>
      <c r="V520" s="33"/>
      <c r="W520" s="25"/>
      <c r="X520" s="25"/>
      <c r="Y520" s="25"/>
      <c r="Z520" s="33"/>
      <c r="AA520" s="34" t="str">
        <f aca="true">IF($T520="","",IF($T520&lt;TODAY(),"已过期 "&amp;TEXT(TODAY()-$T520,"0")&amp;" 天",IF($T520-TODAY()&lt;=年检提醒天,"还剩 "&amp;TEXT($T520-TODAY(),"0")&amp;" 天","")))</f>
        <v/>
      </c>
      <c r="AB520" s="34" t="str">
        <f aca="true">IF(COUNT($U520:$V520)=0,"",IF(MIN($U520:$V520)&lt;TODAY(),"已过期 "&amp;TEXT(TODAY()-MIN($U520:$V520),"0")&amp;" 天",IF(MIN($U520:$V520)-TODAY()&lt;=年检提醒天,"还剩 "&amp;TEXT(MIN($U520:$V520)-TODAY(),"0")&amp;" 天","")))</f>
        <v/>
      </c>
      <c r="AC520" s="34" t="str">
        <f aca="true">IF($C520="","",IF(OR($Y520="安装免保",$Y520="技术免保",$Y520="质保期内"),IF($Z520="","▲免保没填到期日",IF($Z520&lt;TODAY(),"▲免保已到期 该转收费了",IF($Z520-TODAY()&lt;=合同提醒天,"免保还剩 "&amp;TEXT($Z520-TODAY(),"0")&amp;" 天","免保中"))),IF($Y520="暂停维保","暂停中 不计费",IF($Y520="已解约","已解约",IF(COUNTIF(合同键,$E520)=0,"▲还没建合同行","")))))</f>
        <v/>
      </c>
      <c r="AD520" s="24"/>
      <c r="AE520" s="35" t="str">
        <f aca="false">IF($C520="","",IF($D520="","★项目名称没填",IF(N($P520)&lt;=0,"★台量要填",IF(AND(OR($Y520="安装免保",$Y520="技术免保",$Y520="质保期内"),$Z520=""),"★免保到期日没填",IF(COUNTIF(合同键,$E520)=0,"★还没建合同行","OK")))))</f>
        <v/>
      </c>
    </row>
    <row r="521" customFormat="false" ht="15" hidden="false" customHeight="false" outlineLevel="0" collapsed="false">
      <c r="A521" s="29" t="str">
        <f aca="false">IF($C521="","",ROW()-4)</f>
        <v/>
      </c>
      <c r="B521" s="25"/>
      <c r="C521" s="24"/>
      <c r="D521" s="24"/>
      <c r="E521" s="30" t="str">
        <f aca="false">IF($C521="","",$C521&amp;" ｜ "&amp;$D521)</f>
        <v/>
      </c>
      <c r="F521" s="25"/>
      <c r="G521" s="25"/>
      <c r="H521" s="25"/>
      <c r="I521" s="25"/>
      <c r="J521" s="25"/>
      <c r="K521" s="21"/>
      <c r="L521" s="21"/>
      <c r="M521" s="21"/>
      <c r="N521" s="25"/>
      <c r="O521" s="25"/>
      <c r="P521" s="32"/>
      <c r="Q521" s="25"/>
      <c r="R521" s="25"/>
      <c r="S521" s="33"/>
      <c r="T521" s="33"/>
      <c r="U521" s="33"/>
      <c r="V521" s="33"/>
      <c r="W521" s="25"/>
      <c r="X521" s="25"/>
      <c r="Y521" s="25"/>
      <c r="Z521" s="33"/>
      <c r="AA521" s="34" t="str">
        <f aca="true">IF($T521="","",IF($T521&lt;TODAY(),"已过期 "&amp;TEXT(TODAY()-$T521,"0")&amp;" 天",IF($T521-TODAY()&lt;=年检提醒天,"还剩 "&amp;TEXT($T521-TODAY(),"0")&amp;" 天","")))</f>
        <v/>
      </c>
      <c r="AB521" s="34" t="str">
        <f aca="true">IF(COUNT($U521:$V521)=0,"",IF(MIN($U521:$V521)&lt;TODAY(),"已过期 "&amp;TEXT(TODAY()-MIN($U521:$V521),"0")&amp;" 天",IF(MIN($U521:$V521)-TODAY()&lt;=年检提醒天,"还剩 "&amp;TEXT(MIN($U521:$V521)-TODAY(),"0")&amp;" 天","")))</f>
        <v/>
      </c>
      <c r="AC521" s="34" t="str">
        <f aca="true">IF($C521="","",IF(OR($Y521="安装免保",$Y521="技术免保",$Y521="质保期内"),IF($Z521="","▲免保没填到期日",IF($Z521&lt;TODAY(),"▲免保已到期 该转收费了",IF($Z521-TODAY()&lt;=合同提醒天,"免保还剩 "&amp;TEXT($Z521-TODAY(),"0")&amp;" 天","免保中"))),IF($Y521="暂停维保","暂停中 不计费",IF($Y521="已解约","已解约",IF(COUNTIF(合同键,$E521)=0,"▲还没建合同行","")))))</f>
        <v/>
      </c>
      <c r="AD521" s="24"/>
      <c r="AE521" s="35" t="str">
        <f aca="false">IF($C521="","",IF($D521="","★项目名称没填",IF(N($P521)&lt;=0,"★台量要填",IF(AND(OR($Y521="安装免保",$Y521="技术免保",$Y521="质保期内"),$Z521=""),"★免保到期日没填",IF(COUNTIF(合同键,$E521)=0,"★还没建合同行","OK")))))</f>
        <v/>
      </c>
    </row>
    <row r="522" customFormat="false" ht="15" hidden="false" customHeight="false" outlineLevel="0" collapsed="false">
      <c r="A522" s="29" t="str">
        <f aca="false">IF($C522="","",ROW()-4)</f>
        <v/>
      </c>
      <c r="B522" s="25"/>
      <c r="C522" s="24"/>
      <c r="D522" s="24"/>
      <c r="E522" s="30" t="str">
        <f aca="false">IF($C522="","",$C522&amp;" ｜ "&amp;$D522)</f>
        <v/>
      </c>
      <c r="F522" s="25"/>
      <c r="G522" s="25"/>
      <c r="H522" s="25"/>
      <c r="I522" s="25"/>
      <c r="J522" s="25"/>
      <c r="K522" s="21"/>
      <c r="L522" s="21"/>
      <c r="M522" s="21"/>
      <c r="N522" s="25"/>
      <c r="O522" s="25"/>
      <c r="P522" s="32"/>
      <c r="Q522" s="25"/>
      <c r="R522" s="25"/>
      <c r="S522" s="33"/>
      <c r="T522" s="33"/>
      <c r="U522" s="33"/>
      <c r="V522" s="33"/>
      <c r="W522" s="25"/>
      <c r="X522" s="25"/>
      <c r="Y522" s="25"/>
      <c r="Z522" s="33"/>
      <c r="AA522" s="34" t="str">
        <f aca="true">IF($T522="","",IF($T522&lt;TODAY(),"已过期 "&amp;TEXT(TODAY()-$T522,"0")&amp;" 天",IF($T522-TODAY()&lt;=年检提醒天,"还剩 "&amp;TEXT($T522-TODAY(),"0")&amp;" 天","")))</f>
        <v/>
      </c>
      <c r="AB522" s="34" t="str">
        <f aca="true">IF(COUNT($U522:$V522)=0,"",IF(MIN($U522:$V522)&lt;TODAY(),"已过期 "&amp;TEXT(TODAY()-MIN($U522:$V522),"0")&amp;" 天",IF(MIN($U522:$V522)-TODAY()&lt;=年检提醒天,"还剩 "&amp;TEXT(MIN($U522:$V522)-TODAY(),"0")&amp;" 天","")))</f>
        <v/>
      </c>
      <c r="AC522" s="34" t="str">
        <f aca="true">IF($C522="","",IF(OR($Y522="安装免保",$Y522="技术免保",$Y522="质保期内"),IF($Z522="","▲免保没填到期日",IF($Z522&lt;TODAY(),"▲免保已到期 该转收费了",IF($Z522-TODAY()&lt;=合同提醒天,"免保还剩 "&amp;TEXT($Z522-TODAY(),"0")&amp;" 天","免保中"))),IF($Y522="暂停维保","暂停中 不计费",IF($Y522="已解约","已解约",IF(COUNTIF(合同键,$E522)=0,"▲还没建合同行","")))))</f>
        <v/>
      </c>
      <c r="AD522" s="24"/>
      <c r="AE522" s="35" t="str">
        <f aca="false">IF($C522="","",IF($D522="","★项目名称没填",IF(N($P522)&lt;=0,"★台量要填",IF(AND(OR($Y522="安装免保",$Y522="技术免保",$Y522="质保期内"),$Z522=""),"★免保到期日没填",IF(COUNTIF(合同键,$E522)=0,"★还没建合同行","OK")))))</f>
        <v/>
      </c>
    </row>
    <row r="523" customFormat="false" ht="15" hidden="false" customHeight="false" outlineLevel="0" collapsed="false">
      <c r="A523" s="29" t="str">
        <f aca="false">IF($C523="","",ROW()-4)</f>
        <v/>
      </c>
      <c r="B523" s="25"/>
      <c r="C523" s="24"/>
      <c r="D523" s="24"/>
      <c r="E523" s="30" t="str">
        <f aca="false">IF($C523="","",$C523&amp;" ｜ "&amp;$D523)</f>
        <v/>
      </c>
      <c r="F523" s="25"/>
      <c r="G523" s="25"/>
      <c r="H523" s="25"/>
      <c r="I523" s="25"/>
      <c r="J523" s="25"/>
      <c r="K523" s="21"/>
      <c r="L523" s="21"/>
      <c r="M523" s="21"/>
      <c r="N523" s="25"/>
      <c r="O523" s="25"/>
      <c r="P523" s="32"/>
      <c r="Q523" s="25"/>
      <c r="R523" s="25"/>
      <c r="S523" s="33"/>
      <c r="T523" s="33"/>
      <c r="U523" s="33"/>
      <c r="V523" s="33"/>
      <c r="W523" s="25"/>
      <c r="X523" s="25"/>
      <c r="Y523" s="25"/>
      <c r="Z523" s="33"/>
      <c r="AA523" s="34" t="str">
        <f aca="true">IF($T523="","",IF($T523&lt;TODAY(),"已过期 "&amp;TEXT(TODAY()-$T523,"0")&amp;" 天",IF($T523-TODAY()&lt;=年检提醒天,"还剩 "&amp;TEXT($T523-TODAY(),"0")&amp;" 天","")))</f>
        <v/>
      </c>
      <c r="AB523" s="34" t="str">
        <f aca="true">IF(COUNT($U523:$V523)=0,"",IF(MIN($U523:$V523)&lt;TODAY(),"已过期 "&amp;TEXT(TODAY()-MIN($U523:$V523),"0")&amp;" 天",IF(MIN($U523:$V523)-TODAY()&lt;=年检提醒天,"还剩 "&amp;TEXT(MIN($U523:$V523)-TODAY(),"0")&amp;" 天","")))</f>
        <v/>
      </c>
      <c r="AC523" s="34" t="str">
        <f aca="true">IF($C523="","",IF(OR($Y523="安装免保",$Y523="技术免保",$Y523="质保期内"),IF($Z523="","▲免保没填到期日",IF($Z523&lt;TODAY(),"▲免保已到期 该转收费了",IF($Z523-TODAY()&lt;=合同提醒天,"免保还剩 "&amp;TEXT($Z523-TODAY(),"0")&amp;" 天","免保中"))),IF($Y523="暂停维保","暂停中 不计费",IF($Y523="已解约","已解约",IF(COUNTIF(合同键,$E523)=0,"▲还没建合同行","")))))</f>
        <v/>
      </c>
      <c r="AD523" s="24"/>
      <c r="AE523" s="35" t="str">
        <f aca="false">IF($C523="","",IF($D523="","★项目名称没填",IF(N($P523)&lt;=0,"★台量要填",IF(AND(OR($Y523="安装免保",$Y523="技术免保",$Y523="质保期内"),$Z523=""),"★免保到期日没填",IF(COUNTIF(合同键,$E523)=0,"★还没建合同行","OK")))))</f>
        <v/>
      </c>
    </row>
    <row r="524" customFormat="false" ht="15" hidden="false" customHeight="false" outlineLevel="0" collapsed="false">
      <c r="A524" s="29" t="str">
        <f aca="false">IF($C524="","",ROW()-4)</f>
        <v/>
      </c>
      <c r="B524" s="25"/>
      <c r="C524" s="24"/>
      <c r="D524" s="24"/>
      <c r="E524" s="30" t="str">
        <f aca="false">IF($C524="","",$C524&amp;" ｜ "&amp;$D524)</f>
        <v/>
      </c>
      <c r="F524" s="25"/>
      <c r="G524" s="25"/>
      <c r="H524" s="25"/>
      <c r="I524" s="25"/>
      <c r="J524" s="25"/>
      <c r="K524" s="21"/>
      <c r="L524" s="21"/>
      <c r="M524" s="21"/>
      <c r="N524" s="25"/>
      <c r="O524" s="25"/>
      <c r="P524" s="32"/>
      <c r="Q524" s="25"/>
      <c r="R524" s="25"/>
      <c r="S524" s="33"/>
      <c r="T524" s="33"/>
      <c r="U524" s="33"/>
      <c r="V524" s="33"/>
      <c r="W524" s="25"/>
      <c r="X524" s="25"/>
      <c r="Y524" s="25"/>
      <c r="Z524" s="33"/>
      <c r="AA524" s="34" t="str">
        <f aca="true">IF($T524="","",IF($T524&lt;TODAY(),"已过期 "&amp;TEXT(TODAY()-$T524,"0")&amp;" 天",IF($T524-TODAY()&lt;=年检提醒天,"还剩 "&amp;TEXT($T524-TODAY(),"0")&amp;" 天","")))</f>
        <v/>
      </c>
      <c r="AB524" s="34" t="str">
        <f aca="true">IF(COUNT($U524:$V524)=0,"",IF(MIN($U524:$V524)&lt;TODAY(),"已过期 "&amp;TEXT(TODAY()-MIN($U524:$V524),"0")&amp;" 天",IF(MIN($U524:$V524)-TODAY()&lt;=年检提醒天,"还剩 "&amp;TEXT(MIN($U524:$V524)-TODAY(),"0")&amp;" 天","")))</f>
        <v/>
      </c>
      <c r="AC524" s="34" t="str">
        <f aca="true">IF($C524="","",IF(OR($Y524="安装免保",$Y524="技术免保",$Y524="质保期内"),IF($Z524="","▲免保没填到期日",IF($Z524&lt;TODAY(),"▲免保已到期 该转收费了",IF($Z524-TODAY()&lt;=合同提醒天,"免保还剩 "&amp;TEXT($Z524-TODAY(),"0")&amp;" 天","免保中"))),IF($Y524="暂停维保","暂停中 不计费",IF($Y524="已解约","已解约",IF(COUNTIF(合同键,$E524)=0,"▲还没建合同行","")))))</f>
        <v/>
      </c>
      <c r="AD524" s="24"/>
      <c r="AE524" s="35" t="str">
        <f aca="false">IF($C524="","",IF($D524="","★项目名称没填",IF(N($P524)&lt;=0,"★台量要填",IF(AND(OR($Y524="安装免保",$Y524="技术免保",$Y524="质保期内"),$Z524=""),"★免保到期日没填",IF(COUNTIF(合同键,$E524)=0,"★还没建合同行","OK")))))</f>
        <v/>
      </c>
    </row>
    <row r="525" customFormat="false" ht="15" hidden="false" customHeight="false" outlineLevel="0" collapsed="false">
      <c r="A525" s="29" t="str">
        <f aca="false">IF($C525="","",ROW()-4)</f>
        <v/>
      </c>
      <c r="B525" s="25"/>
      <c r="C525" s="24"/>
      <c r="D525" s="24"/>
      <c r="E525" s="30" t="str">
        <f aca="false">IF($C525="","",$C525&amp;" ｜ "&amp;$D525)</f>
        <v/>
      </c>
      <c r="F525" s="25"/>
      <c r="G525" s="25"/>
      <c r="H525" s="25"/>
      <c r="I525" s="25"/>
      <c r="J525" s="25"/>
      <c r="K525" s="21"/>
      <c r="L525" s="21"/>
      <c r="M525" s="21"/>
      <c r="N525" s="25"/>
      <c r="O525" s="25"/>
      <c r="P525" s="32"/>
      <c r="Q525" s="25"/>
      <c r="R525" s="25"/>
      <c r="S525" s="33"/>
      <c r="T525" s="33"/>
      <c r="U525" s="33"/>
      <c r="V525" s="33"/>
      <c r="W525" s="25"/>
      <c r="X525" s="25"/>
      <c r="Y525" s="25"/>
      <c r="Z525" s="33"/>
      <c r="AA525" s="34" t="str">
        <f aca="true">IF($T525="","",IF($T525&lt;TODAY(),"已过期 "&amp;TEXT(TODAY()-$T525,"0")&amp;" 天",IF($T525-TODAY()&lt;=年检提醒天,"还剩 "&amp;TEXT($T525-TODAY(),"0")&amp;" 天","")))</f>
        <v/>
      </c>
      <c r="AB525" s="34" t="str">
        <f aca="true">IF(COUNT($U525:$V525)=0,"",IF(MIN($U525:$V525)&lt;TODAY(),"已过期 "&amp;TEXT(TODAY()-MIN($U525:$V525),"0")&amp;" 天",IF(MIN($U525:$V525)-TODAY()&lt;=年检提醒天,"还剩 "&amp;TEXT(MIN($U525:$V525)-TODAY(),"0")&amp;" 天","")))</f>
        <v/>
      </c>
      <c r="AC525" s="34" t="str">
        <f aca="true">IF($C525="","",IF(OR($Y525="安装免保",$Y525="技术免保",$Y525="质保期内"),IF($Z525="","▲免保没填到期日",IF($Z525&lt;TODAY(),"▲免保已到期 该转收费了",IF($Z525-TODAY()&lt;=合同提醒天,"免保还剩 "&amp;TEXT($Z525-TODAY(),"0")&amp;" 天","免保中"))),IF($Y525="暂停维保","暂停中 不计费",IF($Y525="已解约","已解约",IF(COUNTIF(合同键,$E525)=0,"▲还没建合同行","")))))</f>
        <v/>
      </c>
      <c r="AD525" s="24"/>
      <c r="AE525" s="35" t="str">
        <f aca="false">IF($C525="","",IF($D525="","★项目名称没填",IF(N($P525)&lt;=0,"★台量要填",IF(AND(OR($Y525="安装免保",$Y525="技术免保",$Y525="质保期内"),$Z525=""),"★免保到期日没填",IF(COUNTIF(合同键,$E525)=0,"★还没建合同行","OK")))))</f>
        <v/>
      </c>
    </row>
    <row r="526" customFormat="false" ht="15" hidden="false" customHeight="false" outlineLevel="0" collapsed="false">
      <c r="A526" s="29" t="str">
        <f aca="false">IF($C526="","",ROW()-4)</f>
        <v/>
      </c>
      <c r="B526" s="25"/>
      <c r="C526" s="24"/>
      <c r="D526" s="24"/>
      <c r="E526" s="30" t="str">
        <f aca="false">IF($C526="","",$C526&amp;" ｜ "&amp;$D526)</f>
        <v/>
      </c>
      <c r="F526" s="25"/>
      <c r="G526" s="25"/>
      <c r="H526" s="25"/>
      <c r="I526" s="25"/>
      <c r="J526" s="25"/>
      <c r="K526" s="21"/>
      <c r="L526" s="21"/>
      <c r="M526" s="21"/>
      <c r="N526" s="25"/>
      <c r="O526" s="25"/>
      <c r="P526" s="32"/>
      <c r="Q526" s="25"/>
      <c r="R526" s="25"/>
      <c r="S526" s="33"/>
      <c r="T526" s="33"/>
      <c r="U526" s="33"/>
      <c r="V526" s="33"/>
      <c r="W526" s="25"/>
      <c r="X526" s="25"/>
      <c r="Y526" s="25"/>
      <c r="Z526" s="33"/>
      <c r="AA526" s="34" t="str">
        <f aca="true">IF($T526="","",IF($T526&lt;TODAY(),"已过期 "&amp;TEXT(TODAY()-$T526,"0")&amp;" 天",IF($T526-TODAY()&lt;=年检提醒天,"还剩 "&amp;TEXT($T526-TODAY(),"0")&amp;" 天","")))</f>
        <v/>
      </c>
      <c r="AB526" s="34" t="str">
        <f aca="true">IF(COUNT($U526:$V526)=0,"",IF(MIN($U526:$V526)&lt;TODAY(),"已过期 "&amp;TEXT(TODAY()-MIN($U526:$V526),"0")&amp;" 天",IF(MIN($U526:$V526)-TODAY()&lt;=年检提醒天,"还剩 "&amp;TEXT(MIN($U526:$V526)-TODAY(),"0")&amp;" 天","")))</f>
        <v/>
      </c>
      <c r="AC526" s="34" t="str">
        <f aca="true">IF($C526="","",IF(OR($Y526="安装免保",$Y526="技术免保",$Y526="质保期内"),IF($Z526="","▲免保没填到期日",IF($Z526&lt;TODAY(),"▲免保已到期 该转收费了",IF($Z526-TODAY()&lt;=合同提醒天,"免保还剩 "&amp;TEXT($Z526-TODAY(),"0")&amp;" 天","免保中"))),IF($Y526="暂停维保","暂停中 不计费",IF($Y526="已解约","已解约",IF(COUNTIF(合同键,$E526)=0,"▲还没建合同行","")))))</f>
        <v/>
      </c>
      <c r="AD526" s="24"/>
      <c r="AE526" s="35" t="str">
        <f aca="false">IF($C526="","",IF($D526="","★项目名称没填",IF(N($P526)&lt;=0,"★台量要填",IF(AND(OR($Y526="安装免保",$Y526="技术免保",$Y526="质保期内"),$Z526=""),"★免保到期日没填",IF(COUNTIF(合同键,$E526)=0,"★还没建合同行","OK")))))</f>
        <v/>
      </c>
    </row>
    <row r="527" customFormat="false" ht="15" hidden="false" customHeight="false" outlineLevel="0" collapsed="false">
      <c r="A527" s="29" t="str">
        <f aca="false">IF($C527="","",ROW()-4)</f>
        <v/>
      </c>
      <c r="B527" s="25"/>
      <c r="C527" s="24"/>
      <c r="D527" s="24"/>
      <c r="E527" s="30" t="str">
        <f aca="false">IF($C527="","",$C527&amp;" ｜ "&amp;$D527)</f>
        <v/>
      </c>
      <c r="F527" s="25"/>
      <c r="G527" s="25"/>
      <c r="H527" s="25"/>
      <c r="I527" s="25"/>
      <c r="J527" s="25"/>
      <c r="K527" s="21"/>
      <c r="L527" s="21"/>
      <c r="M527" s="21"/>
      <c r="N527" s="25"/>
      <c r="O527" s="25"/>
      <c r="P527" s="32"/>
      <c r="Q527" s="25"/>
      <c r="R527" s="25"/>
      <c r="S527" s="33"/>
      <c r="T527" s="33"/>
      <c r="U527" s="33"/>
      <c r="V527" s="33"/>
      <c r="W527" s="25"/>
      <c r="X527" s="25"/>
      <c r="Y527" s="25"/>
      <c r="Z527" s="33"/>
      <c r="AA527" s="34" t="str">
        <f aca="true">IF($T527="","",IF($T527&lt;TODAY(),"已过期 "&amp;TEXT(TODAY()-$T527,"0")&amp;" 天",IF($T527-TODAY()&lt;=年检提醒天,"还剩 "&amp;TEXT($T527-TODAY(),"0")&amp;" 天","")))</f>
        <v/>
      </c>
      <c r="AB527" s="34" t="str">
        <f aca="true">IF(COUNT($U527:$V527)=0,"",IF(MIN($U527:$V527)&lt;TODAY(),"已过期 "&amp;TEXT(TODAY()-MIN($U527:$V527),"0")&amp;" 天",IF(MIN($U527:$V527)-TODAY()&lt;=年检提醒天,"还剩 "&amp;TEXT(MIN($U527:$V527)-TODAY(),"0")&amp;" 天","")))</f>
        <v/>
      </c>
      <c r="AC527" s="34" t="str">
        <f aca="true">IF($C527="","",IF(OR($Y527="安装免保",$Y527="技术免保",$Y527="质保期内"),IF($Z527="","▲免保没填到期日",IF($Z527&lt;TODAY(),"▲免保已到期 该转收费了",IF($Z527-TODAY()&lt;=合同提醒天,"免保还剩 "&amp;TEXT($Z527-TODAY(),"0")&amp;" 天","免保中"))),IF($Y527="暂停维保","暂停中 不计费",IF($Y527="已解约","已解约",IF(COUNTIF(合同键,$E527)=0,"▲还没建合同行","")))))</f>
        <v/>
      </c>
      <c r="AD527" s="24"/>
      <c r="AE527" s="35" t="str">
        <f aca="false">IF($C527="","",IF($D527="","★项目名称没填",IF(N($P527)&lt;=0,"★台量要填",IF(AND(OR($Y527="安装免保",$Y527="技术免保",$Y527="质保期内"),$Z527=""),"★免保到期日没填",IF(COUNTIF(合同键,$E527)=0,"★还没建合同行","OK")))))</f>
        <v/>
      </c>
    </row>
    <row r="528" customFormat="false" ht="15" hidden="false" customHeight="false" outlineLevel="0" collapsed="false">
      <c r="A528" s="29" t="str">
        <f aca="false">IF($C528="","",ROW()-4)</f>
        <v/>
      </c>
      <c r="B528" s="25"/>
      <c r="C528" s="24"/>
      <c r="D528" s="24"/>
      <c r="E528" s="30" t="str">
        <f aca="false">IF($C528="","",$C528&amp;" ｜ "&amp;$D528)</f>
        <v/>
      </c>
      <c r="F528" s="25"/>
      <c r="G528" s="25"/>
      <c r="H528" s="25"/>
      <c r="I528" s="25"/>
      <c r="J528" s="25"/>
      <c r="K528" s="21"/>
      <c r="L528" s="21"/>
      <c r="M528" s="21"/>
      <c r="N528" s="25"/>
      <c r="O528" s="25"/>
      <c r="P528" s="32"/>
      <c r="Q528" s="25"/>
      <c r="R528" s="25"/>
      <c r="S528" s="33"/>
      <c r="T528" s="33"/>
      <c r="U528" s="33"/>
      <c r="V528" s="33"/>
      <c r="W528" s="25"/>
      <c r="X528" s="25"/>
      <c r="Y528" s="25"/>
      <c r="Z528" s="33"/>
      <c r="AA528" s="34" t="str">
        <f aca="true">IF($T528="","",IF($T528&lt;TODAY(),"已过期 "&amp;TEXT(TODAY()-$T528,"0")&amp;" 天",IF($T528-TODAY()&lt;=年检提醒天,"还剩 "&amp;TEXT($T528-TODAY(),"0")&amp;" 天","")))</f>
        <v/>
      </c>
      <c r="AB528" s="34" t="str">
        <f aca="true">IF(COUNT($U528:$V528)=0,"",IF(MIN($U528:$V528)&lt;TODAY(),"已过期 "&amp;TEXT(TODAY()-MIN($U528:$V528),"0")&amp;" 天",IF(MIN($U528:$V528)-TODAY()&lt;=年检提醒天,"还剩 "&amp;TEXT(MIN($U528:$V528)-TODAY(),"0")&amp;" 天","")))</f>
        <v/>
      </c>
      <c r="AC528" s="34" t="str">
        <f aca="true">IF($C528="","",IF(OR($Y528="安装免保",$Y528="技术免保",$Y528="质保期内"),IF($Z528="","▲免保没填到期日",IF($Z528&lt;TODAY(),"▲免保已到期 该转收费了",IF($Z528-TODAY()&lt;=合同提醒天,"免保还剩 "&amp;TEXT($Z528-TODAY(),"0")&amp;" 天","免保中"))),IF($Y528="暂停维保","暂停中 不计费",IF($Y528="已解约","已解约",IF(COUNTIF(合同键,$E528)=0,"▲还没建合同行","")))))</f>
        <v/>
      </c>
      <c r="AD528" s="24"/>
      <c r="AE528" s="35" t="str">
        <f aca="false">IF($C528="","",IF($D528="","★项目名称没填",IF(N($P528)&lt;=0,"★台量要填",IF(AND(OR($Y528="安装免保",$Y528="技术免保",$Y528="质保期内"),$Z528=""),"★免保到期日没填",IF(COUNTIF(合同键,$E528)=0,"★还没建合同行","OK")))))</f>
        <v/>
      </c>
    </row>
    <row r="529" customFormat="false" ht="15" hidden="false" customHeight="false" outlineLevel="0" collapsed="false">
      <c r="A529" s="29" t="str">
        <f aca="false">IF($C529="","",ROW()-4)</f>
        <v/>
      </c>
      <c r="B529" s="25"/>
      <c r="C529" s="24"/>
      <c r="D529" s="24"/>
      <c r="E529" s="30" t="str">
        <f aca="false">IF($C529="","",$C529&amp;" ｜ "&amp;$D529)</f>
        <v/>
      </c>
      <c r="F529" s="25"/>
      <c r="G529" s="25"/>
      <c r="H529" s="25"/>
      <c r="I529" s="25"/>
      <c r="J529" s="25"/>
      <c r="K529" s="21"/>
      <c r="L529" s="21"/>
      <c r="M529" s="21"/>
      <c r="N529" s="25"/>
      <c r="O529" s="25"/>
      <c r="P529" s="32"/>
      <c r="Q529" s="25"/>
      <c r="R529" s="25"/>
      <c r="S529" s="33"/>
      <c r="T529" s="33"/>
      <c r="U529" s="33"/>
      <c r="V529" s="33"/>
      <c r="W529" s="25"/>
      <c r="X529" s="25"/>
      <c r="Y529" s="25"/>
      <c r="Z529" s="33"/>
      <c r="AA529" s="34" t="str">
        <f aca="true">IF($T529="","",IF($T529&lt;TODAY(),"已过期 "&amp;TEXT(TODAY()-$T529,"0")&amp;" 天",IF($T529-TODAY()&lt;=年检提醒天,"还剩 "&amp;TEXT($T529-TODAY(),"0")&amp;" 天","")))</f>
        <v/>
      </c>
      <c r="AB529" s="34" t="str">
        <f aca="true">IF(COUNT($U529:$V529)=0,"",IF(MIN($U529:$V529)&lt;TODAY(),"已过期 "&amp;TEXT(TODAY()-MIN($U529:$V529),"0")&amp;" 天",IF(MIN($U529:$V529)-TODAY()&lt;=年检提醒天,"还剩 "&amp;TEXT(MIN($U529:$V529)-TODAY(),"0")&amp;" 天","")))</f>
        <v/>
      </c>
      <c r="AC529" s="34" t="str">
        <f aca="true">IF($C529="","",IF(OR($Y529="安装免保",$Y529="技术免保",$Y529="质保期内"),IF($Z529="","▲免保没填到期日",IF($Z529&lt;TODAY(),"▲免保已到期 该转收费了",IF($Z529-TODAY()&lt;=合同提醒天,"免保还剩 "&amp;TEXT($Z529-TODAY(),"0")&amp;" 天","免保中"))),IF($Y529="暂停维保","暂停中 不计费",IF($Y529="已解约","已解约",IF(COUNTIF(合同键,$E529)=0,"▲还没建合同行","")))))</f>
        <v/>
      </c>
      <c r="AD529" s="24"/>
      <c r="AE529" s="35" t="str">
        <f aca="false">IF($C529="","",IF($D529="","★项目名称没填",IF(N($P529)&lt;=0,"★台量要填",IF(AND(OR($Y529="安装免保",$Y529="技术免保",$Y529="质保期内"),$Z529=""),"★免保到期日没填",IF(COUNTIF(合同键,$E529)=0,"★还没建合同行","OK")))))</f>
        <v/>
      </c>
    </row>
    <row r="530" customFormat="false" ht="15" hidden="false" customHeight="false" outlineLevel="0" collapsed="false">
      <c r="A530" s="29" t="str">
        <f aca="false">IF($C530="","",ROW()-4)</f>
        <v/>
      </c>
      <c r="B530" s="25"/>
      <c r="C530" s="24"/>
      <c r="D530" s="24"/>
      <c r="E530" s="30" t="str">
        <f aca="false">IF($C530="","",$C530&amp;" ｜ "&amp;$D530)</f>
        <v/>
      </c>
      <c r="F530" s="25"/>
      <c r="G530" s="25"/>
      <c r="H530" s="25"/>
      <c r="I530" s="25"/>
      <c r="J530" s="25"/>
      <c r="K530" s="21"/>
      <c r="L530" s="21"/>
      <c r="M530" s="21"/>
      <c r="N530" s="25"/>
      <c r="O530" s="25"/>
      <c r="P530" s="32"/>
      <c r="Q530" s="25"/>
      <c r="R530" s="25"/>
      <c r="S530" s="33"/>
      <c r="T530" s="33"/>
      <c r="U530" s="33"/>
      <c r="V530" s="33"/>
      <c r="W530" s="25"/>
      <c r="X530" s="25"/>
      <c r="Y530" s="25"/>
      <c r="Z530" s="33"/>
      <c r="AA530" s="34" t="str">
        <f aca="true">IF($T530="","",IF($T530&lt;TODAY(),"已过期 "&amp;TEXT(TODAY()-$T530,"0")&amp;" 天",IF($T530-TODAY()&lt;=年检提醒天,"还剩 "&amp;TEXT($T530-TODAY(),"0")&amp;" 天","")))</f>
        <v/>
      </c>
      <c r="AB530" s="34" t="str">
        <f aca="true">IF(COUNT($U530:$V530)=0,"",IF(MIN($U530:$V530)&lt;TODAY(),"已过期 "&amp;TEXT(TODAY()-MIN($U530:$V530),"0")&amp;" 天",IF(MIN($U530:$V530)-TODAY()&lt;=年检提醒天,"还剩 "&amp;TEXT(MIN($U530:$V530)-TODAY(),"0")&amp;" 天","")))</f>
        <v/>
      </c>
      <c r="AC530" s="34" t="str">
        <f aca="true">IF($C530="","",IF(OR($Y530="安装免保",$Y530="技术免保",$Y530="质保期内"),IF($Z530="","▲免保没填到期日",IF($Z530&lt;TODAY(),"▲免保已到期 该转收费了",IF($Z530-TODAY()&lt;=合同提醒天,"免保还剩 "&amp;TEXT($Z530-TODAY(),"0")&amp;" 天","免保中"))),IF($Y530="暂停维保","暂停中 不计费",IF($Y530="已解约","已解约",IF(COUNTIF(合同键,$E530)=0,"▲还没建合同行","")))))</f>
        <v/>
      </c>
      <c r="AD530" s="24"/>
      <c r="AE530" s="35" t="str">
        <f aca="false">IF($C530="","",IF($D530="","★项目名称没填",IF(N($P530)&lt;=0,"★台量要填",IF(AND(OR($Y530="安装免保",$Y530="技术免保",$Y530="质保期内"),$Z530=""),"★免保到期日没填",IF(COUNTIF(合同键,$E530)=0,"★还没建合同行","OK")))))</f>
        <v/>
      </c>
    </row>
    <row r="531" customFormat="false" ht="15" hidden="false" customHeight="false" outlineLevel="0" collapsed="false">
      <c r="A531" s="29" t="str">
        <f aca="false">IF($C531="","",ROW()-4)</f>
        <v/>
      </c>
      <c r="B531" s="25"/>
      <c r="C531" s="24"/>
      <c r="D531" s="24"/>
      <c r="E531" s="30" t="str">
        <f aca="false">IF($C531="","",$C531&amp;" ｜ "&amp;$D531)</f>
        <v/>
      </c>
      <c r="F531" s="25"/>
      <c r="G531" s="25"/>
      <c r="H531" s="25"/>
      <c r="I531" s="25"/>
      <c r="J531" s="25"/>
      <c r="K531" s="21"/>
      <c r="L531" s="21"/>
      <c r="M531" s="21"/>
      <c r="N531" s="25"/>
      <c r="O531" s="25"/>
      <c r="P531" s="32"/>
      <c r="Q531" s="25"/>
      <c r="R531" s="25"/>
      <c r="S531" s="33"/>
      <c r="T531" s="33"/>
      <c r="U531" s="33"/>
      <c r="V531" s="33"/>
      <c r="W531" s="25"/>
      <c r="X531" s="25"/>
      <c r="Y531" s="25"/>
      <c r="Z531" s="33"/>
      <c r="AA531" s="34" t="str">
        <f aca="true">IF($T531="","",IF($T531&lt;TODAY(),"已过期 "&amp;TEXT(TODAY()-$T531,"0")&amp;" 天",IF($T531-TODAY()&lt;=年检提醒天,"还剩 "&amp;TEXT($T531-TODAY(),"0")&amp;" 天","")))</f>
        <v/>
      </c>
      <c r="AB531" s="34" t="str">
        <f aca="true">IF(COUNT($U531:$V531)=0,"",IF(MIN($U531:$V531)&lt;TODAY(),"已过期 "&amp;TEXT(TODAY()-MIN($U531:$V531),"0")&amp;" 天",IF(MIN($U531:$V531)-TODAY()&lt;=年检提醒天,"还剩 "&amp;TEXT(MIN($U531:$V531)-TODAY(),"0")&amp;" 天","")))</f>
        <v/>
      </c>
      <c r="AC531" s="34" t="str">
        <f aca="true">IF($C531="","",IF(OR($Y531="安装免保",$Y531="技术免保",$Y531="质保期内"),IF($Z531="","▲免保没填到期日",IF($Z531&lt;TODAY(),"▲免保已到期 该转收费了",IF($Z531-TODAY()&lt;=合同提醒天,"免保还剩 "&amp;TEXT($Z531-TODAY(),"0")&amp;" 天","免保中"))),IF($Y531="暂停维保","暂停中 不计费",IF($Y531="已解约","已解约",IF(COUNTIF(合同键,$E531)=0,"▲还没建合同行","")))))</f>
        <v/>
      </c>
      <c r="AD531" s="24"/>
      <c r="AE531" s="35" t="str">
        <f aca="false">IF($C531="","",IF($D531="","★项目名称没填",IF(N($P531)&lt;=0,"★台量要填",IF(AND(OR($Y531="安装免保",$Y531="技术免保",$Y531="质保期内"),$Z531=""),"★免保到期日没填",IF(COUNTIF(合同键,$E531)=0,"★还没建合同行","OK")))))</f>
        <v/>
      </c>
    </row>
    <row r="532" customFormat="false" ht="15" hidden="false" customHeight="false" outlineLevel="0" collapsed="false">
      <c r="A532" s="29" t="str">
        <f aca="false">IF($C532="","",ROW()-4)</f>
        <v/>
      </c>
      <c r="B532" s="25"/>
      <c r="C532" s="24"/>
      <c r="D532" s="24"/>
      <c r="E532" s="30" t="str">
        <f aca="false">IF($C532="","",$C532&amp;" ｜ "&amp;$D532)</f>
        <v/>
      </c>
      <c r="F532" s="25"/>
      <c r="G532" s="25"/>
      <c r="H532" s="25"/>
      <c r="I532" s="25"/>
      <c r="J532" s="25"/>
      <c r="K532" s="21"/>
      <c r="L532" s="21"/>
      <c r="M532" s="21"/>
      <c r="N532" s="25"/>
      <c r="O532" s="25"/>
      <c r="P532" s="32"/>
      <c r="Q532" s="25"/>
      <c r="R532" s="25"/>
      <c r="S532" s="33"/>
      <c r="T532" s="33"/>
      <c r="U532" s="33"/>
      <c r="V532" s="33"/>
      <c r="W532" s="25"/>
      <c r="X532" s="25"/>
      <c r="Y532" s="25"/>
      <c r="Z532" s="33"/>
      <c r="AA532" s="34" t="str">
        <f aca="true">IF($T532="","",IF($T532&lt;TODAY(),"已过期 "&amp;TEXT(TODAY()-$T532,"0")&amp;" 天",IF($T532-TODAY()&lt;=年检提醒天,"还剩 "&amp;TEXT($T532-TODAY(),"0")&amp;" 天","")))</f>
        <v/>
      </c>
      <c r="AB532" s="34" t="str">
        <f aca="true">IF(COUNT($U532:$V532)=0,"",IF(MIN($U532:$V532)&lt;TODAY(),"已过期 "&amp;TEXT(TODAY()-MIN($U532:$V532),"0")&amp;" 天",IF(MIN($U532:$V532)-TODAY()&lt;=年检提醒天,"还剩 "&amp;TEXT(MIN($U532:$V532)-TODAY(),"0")&amp;" 天","")))</f>
        <v/>
      </c>
      <c r="AC532" s="34" t="str">
        <f aca="true">IF($C532="","",IF(OR($Y532="安装免保",$Y532="技术免保",$Y532="质保期内"),IF($Z532="","▲免保没填到期日",IF($Z532&lt;TODAY(),"▲免保已到期 该转收费了",IF($Z532-TODAY()&lt;=合同提醒天,"免保还剩 "&amp;TEXT($Z532-TODAY(),"0")&amp;" 天","免保中"))),IF($Y532="暂停维保","暂停中 不计费",IF($Y532="已解约","已解约",IF(COUNTIF(合同键,$E532)=0,"▲还没建合同行","")))))</f>
        <v/>
      </c>
      <c r="AD532" s="24"/>
      <c r="AE532" s="35" t="str">
        <f aca="false">IF($C532="","",IF($D532="","★项目名称没填",IF(N($P532)&lt;=0,"★台量要填",IF(AND(OR($Y532="安装免保",$Y532="技术免保",$Y532="质保期内"),$Z532=""),"★免保到期日没填",IF(COUNTIF(合同键,$E532)=0,"★还没建合同行","OK")))))</f>
        <v/>
      </c>
    </row>
    <row r="533" customFormat="false" ht="15" hidden="false" customHeight="false" outlineLevel="0" collapsed="false">
      <c r="A533" s="29" t="str">
        <f aca="false">IF($C533="","",ROW()-4)</f>
        <v/>
      </c>
      <c r="B533" s="25"/>
      <c r="C533" s="24"/>
      <c r="D533" s="24"/>
      <c r="E533" s="30" t="str">
        <f aca="false">IF($C533="","",$C533&amp;" ｜ "&amp;$D533)</f>
        <v/>
      </c>
      <c r="F533" s="25"/>
      <c r="G533" s="25"/>
      <c r="H533" s="25"/>
      <c r="I533" s="25"/>
      <c r="J533" s="25"/>
      <c r="K533" s="21"/>
      <c r="L533" s="21"/>
      <c r="M533" s="21"/>
      <c r="N533" s="25"/>
      <c r="O533" s="25"/>
      <c r="P533" s="32"/>
      <c r="Q533" s="25"/>
      <c r="R533" s="25"/>
      <c r="S533" s="33"/>
      <c r="T533" s="33"/>
      <c r="U533" s="33"/>
      <c r="V533" s="33"/>
      <c r="W533" s="25"/>
      <c r="X533" s="25"/>
      <c r="Y533" s="25"/>
      <c r="Z533" s="33"/>
      <c r="AA533" s="34" t="str">
        <f aca="true">IF($T533="","",IF($T533&lt;TODAY(),"已过期 "&amp;TEXT(TODAY()-$T533,"0")&amp;" 天",IF($T533-TODAY()&lt;=年检提醒天,"还剩 "&amp;TEXT($T533-TODAY(),"0")&amp;" 天","")))</f>
        <v/>
      </c>
      <c r="AB533" s="34" t="str">
        <f aca="true">IF(COUNT($U533:$V533)=0,"",IF(MIN($U533:$V533)&lt;TODAY(),"已过期 "&amp;TEXT(TODAY()-MIN($U533:$V533),"0")&amp;" 天",IF(MIN($U533:$V533)-TODAY()&lt;=年检提醒天,"还剩 "&amp;TEXT(MIN($U533:$V533)-TODAY(),"0")&amp;" 天","")))</f>
        <v/>
      </c>
      <c r="AC533" s="34" t="str">
        <f aca="true">IF($C533="","",IF(OR($Y533="安装免保",$Y533="技术免保",$Y533="质保期内"),IF($Z533="","▲免保没填到期日",IF($Z533&lt;TODAY(),"▲免保已到期 该转收费了",IF($Z533-TODAY()&lt;=合同提醒天,"免保还剩 "&amp;TEXT($Z533-TODAY(),"0")&amp;" 天","免保中"))),IF($Y533="暂停维保","暂停中 不计费",IF($Y533="已解约","已解约",IF(COUNTIF(合同键,$E533)=0,"▲还没建合同行","")))))</f>
        <v/>
      </c>
      <c r="AD533" s="24"/>
      <c r="AE533" s="35" t="str">
        <f aca="false">IF($C533="","",IF($D533="","★项目名称没填",IF(N($P533)&lt;=0,"★台量要填",IF(AND(OR($Y533="安装免保",$Y533="技术免保",$Y533="质保期内"),$Z533=""),"★免保到期日没填",IF(COUNTIF(合同键,$E533)=0,"★还没建合同行","OK")))))</f>
        <v/>
      </c>
    </row>
    <row r="534" customFormat="false" ht="15" hidden="false" customHeight="false" outlineLevel="0" collapsed="false">
      <c r="A534" s="29" t="str">
        <f aca="false">IF($C534="","",ROW()-4)</f>
        <v/>
      </c>
      <c r="B534" s="25"/>
      <c r="C534" s="24"/>
      <c r="D534" s="24"/>
      <c r="E534" s="30" t="str">
        <f aca="false">IF($C534="","",$C534&amp;" ｜ "&amp;$D534)</f>
        <v/>
      </c>
      <c r="F534" s="25"/>
      <c r="G534" s="25"/>
      <c r="H534" s="25"/>
      <c r="I534" s="25"/>
      <c r="J534" s="25"/>
      <c r="K534" s="21"/>
      <c r="L534" s="21"/>
      <c r="M534" s="21"/>
      <c r="N534" s="25"/>
      <c r="O534" s="25"/>
      <c r="P534" s="32"/>
      <c r="Q534" s="25"/>
      <c r="R534" s="25"/>
      <c r="S534" s="33"/>
      <c r="T534" s="33"/>
      <c r="U534" s="33"/>
      <c r="V534" s="33"/>
      <c r="W534" s="25"/>
      <c r="X534" s="25"/>
      <c r="Y534" s="25"/>
      <c r="Z534" s="33"/>
      <c r="AA534" s="34" t="str">
        <f aca="true">IF($T534="","",IF($T534&lt;TODAY(),"已过期 "&amp;TEXT(TODAY()-$T534,"0")&amp;" 天",IF($T534-TODAY()&lt;=年检提醒天,"还剩 "&amp;TEXT($T534-TODAY(),"0")&amp;" 天","")))</f>
        <v/>
      </c>
      <c r="AB534" s="34" t="str">
        <f aca="true">IF(COUNT($U534:$V534)=0,"",IF(MIN($U534:$V534)&lt;TODAY(),"已过期 "&amp;TEXT(TODAY()-MIN($U534:$V534),"0")&amp;" 天",IF(MIN($U534:$V534)-TODAY()&lt;=年检提醒天,"还剩 "&amp;TEXT(MIN($U534:$V534)-TODAY(),"0")&amp;" 天","")))</f>
        <v/>
      </c>
      <c r="AC534" s="34" t="str">
        <f aca="true">IF($C534="","",IF(OR($Y534="安装免保",$Y534="技术免保",$Y534="质保期内"),IF($Z534="","▲免保没填到期日",IF($Z534&lt;TODAY(),"▲免保已到期 该转收费了",IF($Z534-TODAY()&lt;=合同提醒天,"免保还剩 "&amp;TEXT($Z534-TODAY(),"0")&amp;" 天","免保中"))),IF($Y534="暂停维保","暂停中 不计费",IF($Y534="已解约","已解约",IF(COUNTIF(合同键,$E534)=0,"▲还没建合同行","")))))</f>
        <v/>
      </c>
      <c r="AD534" s="24"/>
      <c r="AE534" s="35" t="str">
        <f aca="false">IF($C534="","",IF($D534="","★项目名称没填",IF(N($P534)&lt;=0,"★台量要填",IF(AND(OR($Y534="安装免保",$Y534="技术免保",$Y534="质保期内"),$Z534=""),"★免保到期日没填",IF(COUNTIF(合同键,$E534)=0,"★还没建合同行","OK")))))</f>
        <v/>
      </c>
    </row>
    <row r="535" customFormat="false" ht="15" hidden="false" customHeight="false" outlineLevel="0" collapsed="false">
      <c r="A535" s="29" t="str">
        <f aca="false">IF($C535="","",ROW()-4)</f>
        <v/>
      </c>
      <c r="B535" s="25"/>
      <c r="C535" s="24"/>
      <c r="D535" s="24"/>
      <c r="E535" s="30" t="str">
        <f aca="false">IF($C535="","",$C535&amp;" ｜ "&amp;$D535)</f>
        <v/>
      </c>
      <c r="F535" s="25"/>
      <c r="G535" s="25"/>
      <c r="H535" s="25"/>
      <c r="I535" s="25"/>
      <c r="J535" s="25"/>
      <c r="K535" s="21"/>
      <c r="L535" s="21"/>
      <c r="M535" s="21"/>
      <c r="N535" s="25"/>
      <c r="O535" s="25"/>
      <c r="P535" s="32"/>
      <c r="Q535" s="25"/>
      <c r="R535" s="25"/>
      <c r="S535" s="33"/>
      <c r="T535" s="33"/>
      <c r="U535" s="33"/>
      <c r="V535" s="33"/>
      <c r="W535" s="25"/>
      <c r="X535" s="25"/>
      <c r="Y535" s="25"/>
      <c r="Z535" s="33"/>
      <c r="AA535" s="34" t="str">
        <f aca="true">IF($T535="","",IF($T535&lt;TODAY(),"已过期 "&amp;TEXT(TODAY()-$T535,"0")&amp;" 天",IF($T535-TODAY()&lt;=年检提醒天,"还剩 "&amp;TEXT($T535-TODAY(),"0")&amp;" 天","")))</f>
        <v/>
      </c>
      <c r="AB535" s="34" t="str">
        <f aca="true">IF(COUNT($U535:$V535)=0,"",IF(MIN($U535:$V535)&lt;TODAY(),"已过期 "&amp;TEXT(TODAY()-MIN($U535:$V535),"0")&amp;" 天",IF(MIN($U535:$V535)-TODAY()&lt;=年检提醒天,"还剩 "&amp;TEXT(MIN($U535:$V535)-TODAY(),"0")&amp;" 天","")))</f>
        <v/>
      </c>
      <c r="AC535" s="34" t="str">
        <f aca="true">IF($C535="","",IF(OR($Y535="安装免保",$Y535="技术免保",$Y535="质保期内"),IF($Z535="","▲免保没填到期日",IF($Z535&lt;TODAY(),"▲免保已到期 该转收费了",IF($Z535-TODAY()&lt;=合同提醒天,"免保还剩 "&amp;TEXT($Z535-TODAY(),"0")&amp;" 天","免保中"))),IF($Y535="暂停维保","暂停中 不计费",IF($Y535="已解约","已解约",IF(COUNTIF(合同键,$E535)=0,"▲还没建合同行","")))))</f>
        <v/>
      </c>
      <c r="AD535" s="24"/>
      <c r="AE535" s="35" t="str">
        <f aca="false">IF($C535="","",IF($D535="","★项目名称没填",IF(N($P535)&lt;=0,"★台量要填",IF(AND(OR($Y535="安装免保",$Y535="技术免保",$Y535="质保期内"),$Z535=""),"★免保到期日没填",IF(COUNTIF(合同键,$E535)=0,"★还没建合同行","OK")))))</f>
        <v/>
      </c>
    </row>
    <row r="536" customFormat="false" ht="15" hidden="false" customHeight="false" outlineLevel="0" collapsed="false">
      <c r="A536" s="29" t="str">
        <f aca="false">IF($C536="","",ROW()-4)</f>
        <v/>
      </c>
      <c r="B536" s="25"/>
      <c r="C536" s="24"/>
      <c r="D536" s="24"/>
      <c r="E536" s="30" t="str">
        <f aca="false">IF($C536="","",$C536&amp;" ｜ "&amp;$D536)</f>
        <v/>
      </c>
      <c r="F536" s="25"/>
      <c r="G536" s="25"/>
      <c r="H536" s="25"/>
      <c r="I536" s="25"/>
      <c r="J536" s="25"/>
      <c r="K536" s="21"/>
      <c r="L536" s="21"/>
      <c r="M536" s="21"/>
      <c r="N536" s="25"/>
      <c r="O536" s="25"/>
      <c r="P536" s="32"/>
      <c r="Q536" s="25"/>
      <c r="R536" s="25"/>
      <c r="S536" s="33"/>
      <c r="T536" s="33"/>
      <c r="U536" s="33"/>
      <c r="V536" s="33"/>
      <c r="W536" s="25"/>
      <c r="X536" s="25"/>
      <c r="Y536" s="25"/>
      <c r="Z536" s="33"/>
      <c r="AA536" s="34" t="str">
        <f aca="true">IF($T536="","",IF($T536&lt;TODAY(),"已过期 "&amp;TEXT(TODAY()-$T536,"0")&amp;" 天",IF($T536-TODAY()&lt;=年检提醒天,"还剩 "&amp;TEXT($T536-TODAY(),"0")&amp;" 天","")))</f>
        <v/>
      </c>
      <c r="AB536" s="34" t="str">
        <f aca="true">IF(COUNT($U536:$V536)=0,"",IF(MIN($U536:$V536)&lt;TODAY(),"已过期 "&amp;TEXT(TODAY()-MIN($U536:$V536),"0")&amp;" 天",IF(MIN($U536:$V536)-TODAY()&lt;=年检提醒天,"还剩 "&amp;TEXT(MIN($U536:$V536)-TODAY(),"0")&amp;" 天","")))</f>
        <v/>
      </c>
      <c r="AC536" s="34" t="str">
        <f aca="true">IF($C536="","",IF(OR($Y536="安装免保",$Y536="技术免保",$Y536="质保期内"),IF($Z536="","▲免保没填到期日",IF($Z536&lt;TODAY(),"▲免保已到期 该转收费了",IF($Z536-TODAY()&lt;=合同提醒天,"免保还剩 "&amp;TEXT($Z536-TODAY(),"0")&amp;" 天","免保中"))),IF($Y536="暂停维保","暂停中 不计费",IF($Y536="已解约","已解约",IF(COUNTIF(合同键,$E536)=0,"▲还没建合同行","")))))</f>
        <v/>
      </c>
      <c r="AD536" s="24"/>
      <c r="AE536" s="35" t="str">
        <f aca="false">IF($C536="","",IF($D536="","★项目名称没填",IF(N($P536)&lt;=0,"★台量要填",IF(AND(OR($Y536="安装免保",$Y536="技术免保",$Y536="质保期内"),$Z536=""),"★免保到期日没填",IF(COUNTIF(合同键,$E536)=0,"★还没建合同行","OK")))))</f>
        <v/>
      </c>
    </row>
    <row r="537" customFormat="false" ht="15" hidden="false" customHeight="false" outlineLevel="0" collapsed="false">
      <c r="A537" s="29" t="str">
        <f aca="false">IF($C537="","",ROW()-4)</f>
        <v/>
      </c>
      <c r="B537" s="25"/>
      <c r="C537" s="24"/>
      <c r="D537" s="24"/>
      <c r="E537" s="30" t="str">
        <f aca="false">IF($C537="","",$C537&amp;" ｜ "&amp;$D537)</f>
        <v/>
      </c>
      <c r="F537" s="25"/>
      <c r="G537" s="25"/>
      <c r="H537" s="25"/>
      <c r="I537" s="25"/>
      <c r="J537" s="25"/>
      <c r="K537" s="21"/>
      <c r="L537" s="21"/>
      <c r="M537" s="21"/>
      <c r="N537" s="25"/>
      <c r="O537" s="25"/>
      <c r="P537" s="32"/>
      <c r="Q537" s="25"/>
      <c r="R537" s="25"/>
      <c r="S537" s="33"/>
      <c r="T537" s="33"/>
      <c r="U537" s="33"/>
      <c r="V537" s="33"/>
      <c r="W537" s="25"/>
      <c r="X537" s="25"/>
      <c r="Y537" s="25"/>
      <c r="Z537" s="33"/>
      <c r="AA537" s="34" t="str">
        <f aca="true">IF($T537="","",IF($T537&lt;TODAY(),"已过期 "&amp;TEXT(TODAY()-$T537,"0")&amp;" 天",IF($T537-TODAY()&lt;=年检提醒天,"还剩 "&amp;TEXT($T537-TODAY(),"0")&amp;" 天","")))</f>
        <v/>
      </c>
      <c r="AB537" s="34" t="str">
        <f aca="true">IF(COUNT($U537:$V537)=0,"",IF(MIN($U537:$V537)&lt;TODAY(),"已过期 "&amp;TEXT(TODAY()-MIN($U537:$V537),"0")&amp;" 天",IF(MIN($U537:$V537)-TODAY()&lt;=年检提醒天,"还剩 "&amp;TEXT(MIN($U537:$V537)-TODAY(),"0")&amp;" 天","")))</f>
        <v/>
      </c>
      <c r="AC537" s="34" t="str">
        <f aca="true">IF($C537="","",IF(OR($Y537="安装免保",$Y537="技术免保",$Y537="质保期内"),IF($Z537="","▲免保没填到期日",IF($Z537&lt;TODAY(),"▲免保已到期 该转收费了",IF($Z537-TODAY()&lt;=合同提醒天,"免保还剩 "&amp;TEXT($Z537-TODAY(),"0")&amp;" 天","免保中"))),IF($Y537="暂停维保","暂停中 不计费",IF($Y537="已解约","已解约",IF(COUNTIF(合同键,$E537)=0,"▲还没建合同行","")))))</f>
        <v/>
      </c>
      <c r="AD537" s="24"/>
      <c r="AE537" s="35" t="str">
        <f aca="false">IF($C537="","",IF($D537="","★项目名称没填",IF(N($P537)&lt;=0,"★台量要填",IF(AND(OR($Y537="安装免保",$Y537="技术免保",$Y537="质保期内"),$Z537=""),"★免保到期日没填",IF(COUNTIF(合同键,$E537)=0,"★还没建合同行","OK")))))</f>
        <v/>
      </c>
    </row>
    <row r="538" customFormat="false" ht="15" hidden="false" customHeight="false" outlineLevel="0" collapsed="false">
      <c r="A538" s="29" t="str">
        <f aca="false">IF($C538="","",ROW()-4)</f>
        <v/>
      </c>
      <c r="B538" s="25"/>
      <c r="C538" s="24"/>
      <c r="D538" s="24"/>
      <c r="E538" s="30" t="str">
        <f aca="false">IF($C538="","",$C538&amp;" ｜ "&amp;$D538)</f>
        <v/>
      </c>
      <c r="F538" s="25"/>
      <c r="G538" s="25"/>
      <c r="H538" s="25"/>
      <c r="I538" s="25"/>
      <c r="J538" s="25"/>
      <c r="K538" s="21"/>
      <c r="L538" s="21"/>
      <c r="M538" s="21"/>
      <c r="N538" s="25"/>
      <c r="O538" s="25"/>
      <c r="P538" s="32"/>
      <c r="Q538" s="25"/>
      <c r="R538" s="25"/>
      <c r="S538" s="33"/>
      <c r="T538" s="33"/>
      <c r="U538" s="33"/>
      <c r="V538" s="33"/>
      <c r="W538" s="25"/>
      <c r="X538" s="25"/>
      <c r="Y538" s="25"/>
      <c r="Z538" s="33"/>
      <c r="AA538" s="34" t="str">
        <f aca="true">IF($T538="","",IF($T538&lt;TODAY(),"已过期 "&amp;TEXT(TODAY()-$T538,"0")&amp;" 天",IF($T538-TODAY()&lt;=年检提醒天,"还剩 "&amp;TEXT($T538-TODAY(),"0")&amp;" 天","")))</f>
        <v/>
      </c>
      <c r="AB538" s="34" t="str">
        <f aca="true">IF(COUNT($U538:$V538)=0,"",IF(MIN($U538:$V538)&lt;TODAY(),"已过期 "&amp;TEXT(TODAY()-MIN($U538:$V538),"0")&amp;" 天",IF(MIN($U538:$V538)-TODAY()&lt;=年检提醒天,"还剩 "&amp;TEXT(MIN($U538:$V538)-TODAY(),"0")&amp;" 天","")))</f>
        <v/>
      </c>
      <c r="AC538" s="34" t="str">
        <f aca="true">IF($C538="","",IF(OR($Y538="安装免保",$Y538="技术免保",$Y538="质保期内"),IF($Z538="","▲免保没填到期日",IF($Z538&lt;TODAY(),"▲免保已到期 该转收费了",IF($Z538-TODAY()&lt;=合同提醒天,"免保还剩 "&amp;TEXT($Z538-TODAY(),"0")&amp;" 天","免保中"))),IF($Y538="暂停维保","暂停中 不计费",IF($Y538="已解约","已解约",IF(COUNTIF(合同键,$E538)=0,"▲还没建合同行","")))))</f>
        <v/>
      </c>
      <c r="AD538" s="24"/>
      <c r="AE538" s="35" t="str">
        <f aca="false">IF($C538="","",IF($D538="","★项目名称没填",IF(N($P538)&lt;=0,"★台量要填",IF(AND(OR($Y538="安装免保",$Y538="技术免保",$Y538="质保期内"),$Z538=""),"★免保到期日没填",IF(COUNTIF(合同键,$E538)=0,"★还没建合同行","OK")))))</f>
        <v/>
      </c>
    </row>
    <row r="539" customFormat="false" ht="15" hidden="false" customHeight="false" outlineLevel="0" collapsed="false">
      <c r="A539" s="29" t="str">
        <f aca="false">IF($C539="","",ROW()-4)</f>
        <v/>
      </c>
      <c r="B539" s="25"/>
      <c r="C539" s="24"/>
      <c r="D539" s="24"/>
      <c r="E539" s="30" t="str">
        <f aca="false">IF($C539="","",$C539&amp;" ｜ "&amp;$D539)</f>
        <v/>
      </c>
      <c r="F539" s="25"/>
      <c r="G539" s="25"/>
      <c r="H539" s="25"/>
      <c r="I539" s="25"/>
      <c r="J539" s="25"/>
      <c r="K539" s="21"/>
      <c r="L539" s="21"/>
      <c r="M539" s="21"/>
      <c r="N539" s="25"/>
      <c r="O539" s="25"/>
      <c r="P539" s="32"/>
      <c r="Q539" s="25"/>
      <c r="R539" s="25"/>
      <c r="S539" s="33"/>
      <c r="T539" s="33"/>
      <c r="U539" s="33"/>
      <c r="V539" s="33"/>
      <c r="W539" s="25"/>
      <c r="X539" s="25"/>
      <c r="Y539" s="25"/>
      <c r="Z539" s="33"/>
      <c r="AA539" s="34" t="str">
        <f aca="true">IF($T539="","",IF($T539&lt;TODAY(),"已过期 "&amp;TEXT(TODAY()-$T539,"0")&amp;" 天",IF($T539-TODAY()&lt;=年检提醒天,"还剩 "&amp;TEXT($T539-TODAY(),"0")&amp;" 天","")))</f>
        <v/>
      </c>
      <c r="AB539" s="34" t="str">
        <f aca="true">IF(COUNT($U539:$V539)=0,"",IF(MIN($U539:$V539)&lt;TODAY(),"已过期 "&amp;TEXT(TODAY()-MIN($U539:$V539),"0")&amp;" 天",IF(MIN($U539:$V539)-TODAY()&lt;=年检提醒天,"还剩 "&amp;TEXT(MIN($U539:$V539)-TODAY(),"0")&amp;" 天","")))</f>
        <v/>
      </c>
      <c r="AC539" s="34" t="str">
        <f aca="true">IF($C539="","",IF(OR($Y539="安装免保",$Y539="技术免保",$Y539="质保期内"),IF($Z539="","▲免保没填到期日",IF($Z539&lt;TODAY(),"▲免保已到期 该转收费了",IF($Z539-TODAY()&lt;=合同提醒天,"免保还剩 "&amp;TEXT($Z539-TODAY(),"0")&amp;" 天","免保中"))),IF($Y539="暂停维保","暂停中 不计费",IF($Y539="已解约","已解约",IF(COUNTIF(合同键,$E539)=0,"▲还没建合同行","")))))</f>
        <v/>
      </c>
      <c r="AD539" s="24"/>
      <c r="AE539" s="35" t="str">
        <f aca="false">IF($C539="","",IF($D539="","★项目名称没填",IF(N($P539)&lt;=0,"★台量要填",IF(AND(OR($Y539="安装免保",$Y539="技术免保",$Y539="质保期内"),$Z539=""),"★免保到期日没填",IF(COUNTIF(合同键,$E539)=0,"★还没建合同行","OK")))))</f>
        <v/>
      </c>
    </row>
    <row r="540" customFormat="false" ht="15" hidden="false" customHeight="false" outlineLevel="0" collapsed="false">
      <c r="A540" s="29" t="str">
        <f aca="false">IF($C540="","",ROW()-4)</f>
        <v/>
      </c>
      <c r="B540" s="25"/>
      <c r="C540" s="24"/>
      <c r="D540" s="24"/>
      <c r="E540" s="30" t="str">
        <f aca="false">IF($C540="","",$C540&amp;" ｜ "&amp;$D540)</f>
        <v/>
      </c>
      <c r="F540" s="25"/>
      <c r="G540" s="25"/>
      <c r="H540" s="25"/>
      <c r="I540" s="25"/>
      <c r="J540" s="25"/>
      <c r="K540" s="21"/>
      <c r="L540" s="21"/>
      <c r="M540" s="21"/>
      <c r="N540" s="25"/>
      <c r="O540" s="25"/>
      <c r="P540" s="32"/>
      <c r="Q540" s="25"/>
      <c r="R540" s="25"/>
      <c r="S540" s="33"/>
      <c r="T540" s="33"/>
      <c r="U540" s="33"/>
      <c r="V540" s="33"/>
      <c r="W540" s="25"/>
      <c r="X540" s="25"/>
      <c r="Y540" s="25"/>
      <c r="Z540" s="33"/>
      <c r="AA540" s="34" t="str">
        <f aca="true">IF($T540="","",IF($T540&lt;TODAY(),"已过期 "&amp;TEXT(TODAY()-$T540,"0")&amp;" 天",IF($T540-TODAY()&lt;=年检提醒天,"还剩 "&amp;TEXT($T540-TODAY(),"0")&amp;" 天","")))</f>
        <v/>
      </c>
      <c r="AB540" s="34" t="str">
        <f aca="true">IF(COUNT($U540:$V540)=0,"",IF(MIN($U540:$V540)&lt;TODAY(),"已过期 "&amp;TEXT(TODAY()-MIN($U540:$V540),"0")&amp;" 天",IF(MIN($U540:$V540)-TODAY()&lt;=年检提醒天,"还剩 "&amp;TEXT(MIN($U540:$V540)-TODAY(),"0")&amp;" 天","")))</f>
        <v/>
      </c>
      <c r="AC540" s="34" t="str">
        <f aca="true">IF($C540="","",IF(OR($Y540="安装免保",$Y540="技术免保",$Y540="质保期内"),IF($Z540="","▲免保没填到期日",IF($Z540&lt;TODAY(),"▲免保已到期 该转收费了",IF($Z540-TODAY()&lt;=合同提醒天,"免保还剩 "&amp;TEXT($Z540-TODAY(),"0")&amp;" 天","免保中"))),IF($Y540="暂停维保","暂停中 不计费",IF($Y540="已解约","已解约",IF(COUNTIF(合同键,$E540)=0,"▲还没建合同行","")))))</f>
        <v/>
      </c>
      <c r="AD540" s="24"/>
      <c r="AE540" s="35" t="str">
        <f aca="false">IF($C540="","",IF($D540="","★项目名称没填",IF(N($P540)&lt;=0,"★台量要填",IF(AND(OR($Y540="安装免保",$Y540="技术免保",$Y540="质保期内"),$Z540=""),"★免保到期日没填",IF(COUNTIF(合同键,$E540)=0,"★还没建合同行","OK")))))</f>
        <v/>
      </c>
    </row>
    <row r="541" customFormat="false" ht="15" hidden="false" customHeight="false" outlineLevel="0" collapsed="false">
      <c r="A541" s="29" t="str">
        <f aca="false">IF($C541="","",ROW()-4)</f>
        <v/>
      </c>
      <c r="B541" s="25"/>
      <c r="C541" s="24"/>
      <c r="D541" s="24"/>
      <c r="E541" s="30" t="str">
        <f aca="false">IF($C541="","",$C541&amp;" ｜ "&amp;$D541)</f>
        <v/>
      </c>
      <c r="F541" s="25"/>
      <c r="G541" s="25"/>
      <c r="H541" s="25"/>
      <c r="I541" s="25"/>
      <c r="J541" s="25"/>
      <c r="K541" s="21"/>
      <c r="L541" s="21"/>
      <c r="M541" s="21"/>
      <c r="N541" s="25"/>
      <c r="O541" s="25"/>
      <c r="P541" s="32"/>
      <c r="Q541" s="25"/>
      <c r="R541" s="25"/>
      <c r="S541" s="33"/>
      <c r="T541" s="33"/>
      <c r="U541" s="33"/>
      <c r="V541" s="33"/>
      <c r="W541" s="25"/>
      <c r="X541" s="25"/>
      <c r="Y541" s="25"/>
      <c r="Z541" s="33"/>
      <c r="AA541" s="34" t="str">
        <f aca="true">IF($T541="","",IF($T541&lt;TODAY(),"已过期 "&amp;TEXT(TODAY()-$T541,"0")&amp;" 天",IF($T541-TODAY()&lt;=年检提醒天,"还剩 "&amp;TEXT($T541-TODAY(),"0")&amp;" 天","")))</f>
        <v/>
      </c>
      <c r="AB541" s="34" t="str">
        <f aca="true">IF(COUNT($U541:$V541)=0,"",IF(MIN($U541:$V541)&lt;TODAY(),"已过期 "&amp;TEXT(TODAY()-MIN($U541:$V541),"0")&amp;" 天",IF(MIN($U541:$V541)-TODAY()&lt;=年检提醒天,"还剩 "&amp;TEXT(MIN($U541:$V541)-TODAY(),"0")&amp;" 天","")))</f>
        <v/>
      </c>
      <c r="AC541" s="34" t="str">
        <f aca="true">IF($C541="","",IF(OR($Y541="安装免保",$Y541="技术免保",$Y541="质保期内"),IF($Z541="","▲免保没填到期日",IF($Z541&lt;TODAY(),"▲免保已到期 该转收费了",IF($Z541-TODAY()&lt;=合同提醒天,"免保还剩 "&amp;TEXT($Z541-TODAY(),"0")&amp;" 天","免保中"))),IF($Y541="暂停维保","暂停中 不计费",IF($Y541="已解约","已解约",IF(COUNTIF(合同键,$E541)=0,"▲还没建合同行","")))))</f>
        <v/>
      </c>
      <c r="AD541" s="24"/>
      <c r="AE541" s="35" t="str">
        <f aca="false">IF($C541="","",IF($D541="","★项目名称没填",IF(N($P541)&lt;=0,"★台量要填",IF(AND(OR($Y541="安装免保",$Y541="技术免保",$Y541="质保期内"),$Z541=""),"★免保到期日没填",IF(COUNTIF(合同键,$E541)=0,"★还没建合同行","OK")))))</f>
        <v/>
      </c>
    </row>
    <row r="542" customFormat="false" ht="15" hidden="false" customHeight="false" outlineLevel="0" collapsed="false">
      <c r="A542" s="29" t="str">
        <f aca="false">IF($C542="","",ROW()-4)</f>
        <v/>
      </c>
      <c r="B542" s="25"/>
      <c r="C542" s="24"/>
      <c r="D542" s="24"/>
      <c r="E542" s="30" t="str">
        <f aca="false">IF($C542="","",$C542&amp;" ｜ "&amp;$D542)</f>
        <v/>
      </c>
      <c r="F542" s="25"/>
      <c r="G542" s="25"/>
      <c r="H542" s="25"/>
      <c r="I542" s="25"/>
      <c r="J542" s="25"/>
      <c r="K542" s="21"/>
      <c r="L542" s="21"/>
      <c r="M542" s="21"/>
      <c r="N542" s="25"/>
      <c r="O542" s="25"/>
      <c r="P542" s="32"/>
      <c r="Q542" s="25"/>
      <c r="R542" s="25"/>
      <c r="S542" s="33"/>
      <c r="T542" s="33"/>
      <c r="U542" s="33"/>
      <c r="V542" s="33"/>
      <c r="W542" s="25"/>
      <c r="X542" s="25"/>
      <c r="Y542" s="25"/>
      <c r="Z542" s="33"/>
      <c r="AA542" s="34" t="str">
        <f aca="true">IF($T542="","",IF($T542&lt;TODAY(),"已过期 "&amp;TEXT(TODAY()-$T542,"0")&amp;" 天",IF($T542-TODAY()&lt;=年检提醒天,"还剩 "&amp;TEXT($T542-TODAY(),"0")&amp;" 天","")))</f>
        <v/>
      </c>
      <c r="AB542" s="34" t="str">
        <f aca="true">IF(COUNT($U542:$V542)=0,"",IF(MIN($U542:$V542)&lt;TODAY(),"已过期 "&amp;TEXT(TODAY()-MIN($U542:$V542),"0")&amp;" 天",IF(MIN($U542:$V542)-TODAY()&lt;=年检提醒天,"还剩 "&amp;TEXT(MIN($U542:$V542)-TODAY(),"0")&amp;" 天","")))</f>
        <v/>
      </c>
      <c r="AC542" s="34" t="str">
        <f aca="true">IF($C542="","",IF(OR($Y542="安装免保",$Y542="技术免保",$Y542="质保期内"),IF($Z542="","▲免保没填到期日",IF($Z542&lt;TODAY(),"▲免保已到期 该转收费了",IF($Z542-TODAY()&lt;=合同提醒天,"免保还剩 "&amp;TEXT($Z542-TODAY(),"0")&amp;" 天","免保中"))),IF($Y542="暂停维保","暂停中 不计费",IF($Y542="已解约","已解约",IF(COUNTIF(合同键,$E542)=0,"▲还没建合同行","")))))</f>
        <v/>
      </c>
      <c r="AD542" s="24"/>
      <c r="AE542" s="35" t="str">
        <f aca="false">IF($C542="","",IF($D542="","★项目名称没填",IF(N($P542)&lt;=0,"★台量要填",IF(AND(OR($Y542="安装免保",$Y542="技术免保",$Y542="质保期内"),$Z542=""),"★免保到期日没填",IF(COUNTIF(合同键,$E542)=0,"★还没建合同行","OK")))))</f>
        <v/>
      </c>
    </row>
    <row r="543" customFormat="false" ht="15" hidden="false" customHeight="false" outlineLevel="0" collapsed="false">
      <c r="A543" s="29" t="str">
        <f aca="false">IF($C543="","",ROW()-4)</f>
        <v/>
      </c>
      <c r="B543" s="25"/>
      <c r="C543" s="24"/>
      <c r="D543" s="24"/>
      <c r="E543" s="30" t="str">
        <f aca="false">IF($C543="","",$C543&amp;" ｜ "&amp;$D543)</f>
        <v/>
      </c>
      <c r="F543" s="25"/>
      <c r="G543" s="25"/>
      <c r="H543" s="25"/>
      <c r="I543" s="25"/>
      <c r="J543" s="25"/>
      <c r="K543" s="21"/>
      <c r="L543" s="21"/>
      <c r="M543" s="21"/>
      <c r="N543" s="25"/>
      <c r="O543" s="25"/>
      <c r="P543" s="32"/>
      <c r="Q543" s="25"/>
      <c r="R543" s="25"/>
      <c r="S543" s="33"/>
      <c r="T543" s="33"/>
      <c r="U543" s="33"/>
      <c r="V543" s="33"/>
      <c r="W543" s="25"/>
      <c r="X543" s="25"/>
      <c r="Y543" s="25"/>
      <c r="Z543" s="33"/>
      <c r="AA543" s="34" t="str">
        <f aca="true">IF($T543="","",IF($T543&lt;TODAY(),"已过期 "&amp;TEXT(TODAY()-$T543,"0")&amp;" 天",IF($T543-TODAY()&lt;=年检提醒天,"还剩 "&amp;TEXT($T543-TODAY(),"0")&amp;" 天","")))</f>
        <v/>
      </c>
      <c r="AB543" s="34" t="str">
        <f aca="true">IF(COUNT($U543:$V543)=0,"",IF(MIN($U543:$V543)&lt;TODAY(),"已过期 "&amp;TEXT(TODAY()-MIN($U543:$V543),"0")&amp;" 天",IF(MIN($U543:$V543)-TODAY()&lt;=年检提醒天,"还剩 "&amp;TEXT(MIN($U543:$V543)-TODAY(),"0")&amp;" 天","")))</f>
        <v/>
      </c>
      <c r="AC543" s="34" t="str">
        <f aca="true">IF($C543="","",IF(OR($Y543="安装免保",$Y543="技术免保",$Y543="质保期内"),IF($Z543="","▲免保没填到期日",IF($Z543&lt;TODAY(),"▲免保已到期 该转收费了",IF($Z543-TODAY()&lt;=合同提醒天,"免保还剩 "&amp;TEXT($Z543-TODAY(),"0")&amp;" 天","免保中"))),IF($Y543="暂停维保","暂停中 不计费",IF($Y543="已解约","已解约",IF(COUNTIF(合同键,$E543)=0,"▲还没建合同行","")))))</f>
        <v/>
      </c>
      <c r="AD543" s="24"/>
      <c r="AE543" s="35" t="str">
        <f aca="false">IF($C543="","",IF($D543="","★项目名称没填",IF(N($P543)&lt;=0,"★台量要填",IF(AND(OR($Y543="安装免保",$Y543="技术免保",$Y543="质保期内"),$Z543=""),"★免保到期日没填",IF(COUNTIF(合同键,$E543)=0,"★还没建合同行","OK")))))</f>
        <v/>
      </c>
    </row>
    <row r="544" customFormat="false" ht="15" hidden="false" customHeight="false" outlineLevel="0" collapsed="false">
      <c r="A544" s="29" t="str">
        <f aca="false">IF($C544="","",ROW()-4)</f>
        <v/>
      </c>
      <c r="B544" s="25"/>
      <c r="C544" s="24"/>
      <c r="D544" s="24"/>
      <c r="E544" s="30" t="str">
        <f aca="false">IF($C544="","",$C544&amp;" ｜ "&amp;$D544)</f>
        <v/>
      </c>
      <c r="F544" s="25"/>
      <c r="G544" s="25"/>
      <c r="H544" s="25"/>
      <c r="I544" s="25"/>
      <c r="J544" s="25"/>
      <c r="K544" s="21"/>
      <c r="L544" s="21"/>
      <c r="M544" s="21"/>
      <c r="N544" s="25"/>
      <c r="O544" s="25"/>
      <c r="P544" s="32"/>
      <c r="Q544" s="25"/>
      <c r="R544" s="25"/>
      <c r="S544" s="33"/>
      <c r="T544" s="33"/>
      <c r="U544" s="33"/>
      <c r="V544" s="33"/>
      <c r="W544" s="25"/>
      <c r="X544" s="25"/>
      <c r="Y544" s="25"/>
      <c r="Z544" s="33"/>
      <c r="AA544" s="34" t="str">
        <f aca="true">IF($T544="","",IF($T544&lt;TODAY(),"已过期 "&amp;TEXT(TODAY()-$T544,"0")&amp;" 天",IF($T544-TODAY()&lt;=年检提醒天,"还剩 "&amp;TEXT($T544-TODAY(),"0")&amp;" 天","")))</f>
        <v/>
      </c>
      <c r="AB544" s="34" t="str">
        <f aca="true">IF(COUNT($U544:$V544)=0,"",IF(MIN($U544:$V544)&lt;TODAY(),"已过期 "&amp;TEXT(TODAY()-MIN($U544:$V544),"0")&amp;" 天",IF(MIN($U544:$V544)-TODAY()&lt;=年检提醒天,"还剩 "&amp;TEXT(MIN($U544:$V544)-TODAY(),"0")&amp;" 天","")))</f>
        <v/>
      </c>
      <c r="AC544" s="34" t="str">
        <f aca="true">IF($C544="","",IF(OR($Y544="安装免保",$Y544="技术免保",$Y544="质保期内"),IF($Z544="","▲免保没填到期日",IF($Z544&lt;TODAY(),"▲免保已到期 该转收费了",IF($Z544-TODAY()&lt;=合同提醒天,"免保还剩 "&amp;TEXT($Z544-TODAY(),"0")&amp;" 天","免保中"))),IF($Y544="暂停维保","暂停中 不计费",IF($Y544="已解约","已解约",IF(COUNTIF(合同键,$E544)=0,"▲还没建合同行","")))))</f>
        <v/>
      </c>
      <c r="AD544" s="24"/>
      <c r="AE544" s="35" t="str">
        <f aca="false">IF($C544="","",IF($D544="","★项目名称没填",IF(N($P544)&lt;=0,"★台量要填",IF(AND(OR($Y544="安装免保",$Y544="技术免保",$Y544="质保期内"),$Z544=""),"★免保到期日没填",IF(COUNTIF(合同键,$E544)=0,"★还没建合同行","OK")))))</f>
        <v/>
      </c>
    </row>
    <row r="545" customFormat="false" ht="15" hidden="false" customHeight="false" outlineLevel="0" collapsed="false">
      <c r="A545" s="29" t="str">
        <f aca="false">IF($C545="","",ROW()-4)</f>
        <v/>
      </c>
      <c r="B545" s="25"/>
      <c r="C545" s="24"/>
      <c r="D545" s="24"/>
      <c r="E545" s="30" t="str">
        <f aca="false">IF($C545="","",$C545&amp;" ｜ "&amp;$D545)</f>
        <v/>
      </c>
      <c r="F545" s="25"/>
      <c r="G545" s="25"/>
      <c r="H545" s="25"/>
      <c r="I545" s="25"/>
      <c r="J545" s="25"/>
      <c r="K545" s="21"/>
      <c r="L545" s="21"/>
      <c r="M545" s="21"/>
      <c r="N545" s="25"/>
      <c r="O545" s="25"/>
      <c r="P545" s="32"/>
      <c r="Q545" s="25"/>
      <c r="R545" s="25"/>
      <c r="S545" s="33"/>
      <c r="T545" s="33"/>
      <c r="U545" s="33"/>
      <c r="V545" s="33"/>
      <c r="W545" s="25"/>
      <c r="X545" s="25"/>
      <c r="Y545" s="25"/>
      <c r="Z545" s="33"/>
      <c r="AA545" s="34" t="str">
        <f aca="true">IF($T545="","",IF($T545&lt;TODAY(),"已过期 "&amp;TEXT(TODAY()-$T545,"0")&amp;" 天",IF($T545-TODAY()&lt;=年检提醒天,"还剩 "&amp;TEXT($T545-TODAY(),"0")&amp;" 天","")))</f>
        <v/>
      </c>
      <c r="AB545" s="34" t="str">
        <f aca="true">IF(COUNT($U545:$V545)=0,"",IF(MIN($U545:$V545)&lt;TODAY(),"已过期 "&amp;TEXT(TODAY()-MIN($U545:$V545),"0")&amp;" 天",IF(MIN($U545:$V545)-TODAY()&lt;=年检提醒天,"还剩 "&amp;TEXT(MIN($U545:$V545)-TODAY(),"0")&amp;" 天","")))</f>
        <v/>
      </c>
      <c r="AC545" s="34" t="str">
        <f aca="true">IF($C545="","",IF(OR($Y545="安装免保",$Y545="技术免保",$Y545="质保期内"),IF($Z545="","▲免保没填到期日",IF($Z545&lt;TODAY(),"▲免保已到期 该转收费了",IF($Z545-TODAY()&lt;=合同提醒天,"免保还剩 "&amp;TEXT($Z545-TODAY(),"0")&amp;" 天","免保中"))),IF($Y545="暂停维保","暂停中 不计费",IF($Y545="已解约","已解约",IF(COUNTIF(合同键,$E545)=0,"▲还没建合同行","")))))</f>
        <v/>
      </c>
      <c r="AD545" s="24"/>
      <c r="AE545" s="35" t="str">
        <f aca="false">IF($C545="","",IF($D545="","★项目名称没填",IF(N($P545)&lt;=0,"★台量要填",IF(AND(OR($Y545="安装免保",$Y545="技术免保",$Y545="质保期内"),$Z545=""),"★免保到期日没填",IF(COUNTIF(合同键,$E545)=0,"★还没建合同行","OK")))))</f>
        <v/>
      </c>
    </row>
    <row r="546" customFormat="false" ht="15" hidden="false" customHeight="false" outlineLevel="0" collapsed="false">
      <c r="A546" s="29" t="str">
        <f aca="false">IF($C546="","",ROW()-4)</f>
        <v/>
      </c>
      <c r="B546" s="25"/>
      <c r="C546" s="24"/>
      <c r="D546" s="24"/>
      <c r="E546" s="30" t="str">
        <f aca="false">IF($C546="","",$C546&amp;" ｜ "&amp;$D546)</f>
        <v/>
      </c>
      <c r="F546" s="25"/>
      <c r="G546" s="25"/>
      <c r="H546" s="25"/>
      <c r="I546" s="25"/>
      <c r="J546" s="25"/>
      <c r="K546" s="21"/>
      <c r="L546" s="21"/>
      <c r="M546" s="21"/>
      <c r="N546" s="25"/>
      <c r="O546" s="25"/>
      <c r="P546" s="32"/>
      <c r="Q546" s="25"/>
      <c r="R546" s="25"/>
      <c r="S546" s="33"/>
      <c r="T546" s="33"/>
      <c r="U546" s="33"/>
      <c r="V546" s="33"/>
      <c r="W546" s="25"/>
      <c r="X546" s="25"/>
      <c r="Y546" s="25"/>
      <c r="Z546" s="33"/>
      <c r="AA546" s="34" t="str">
        <f aca="true">IF($T546="","",IF($T546&lt;TODAY(),"已过期 "&amp;TEXT(TODAY()-$T546,"0")&amp;" 天",IF($T546-TODAY()&lt;=年检提醒天,"还剩 "&amp;TEXT($T546-TODAY(),"0")&amp;" 天","")))</f>
        <v/>
      </c>
      <c r="AB546" s="34" t="str">
        <f aca="true">IF(COUNT($U546:$V546)=0,"",IF(MIN($U546:$V546)&lt;TODAY(),"已过期 "&amp;TEXT(TODAY()-MIN($U546:$V546),"0")&amp;" 天",IF(MIN($U546:$V546)-TODAY()&lt;=年检提醒天,"还剩 "&amp;TEXT(MIN($U546:$V546)-TODAY(),"0")&amp;" 天","")))</f>
        <v/>
      </c>
      <c r="AC546" s="34" t="str">
        <f aca="true">IF($C546="","",IF(OR($Y546="安装免保",$Y546="技术免保",$Y546="质保期内"),IF($Z546="","▲免保没填到期日",IF($Z546&lt;TODAY(),"▲免保已到期 该转收费了",IF($Z546-TODAY()&lt;=合同提醒天,"免保还剩 "&amp;TEXT($Z546-TODAY(),"0")&amp;" 天","免保中"))),IF($Y546="暂停维保","暂停中 不计费",IF($Y546="已解约","已解约",IF(COUNTIF(合同键,$E546)=0,"▲还没建合同行","")))))</f>
        <v/>
      </c>
      <c r="AD546" s="24"/>
      <c r="AE546" s="35" t="str">
        <f aca="false">IF($C546="","",IF($D546="","★项目名称没填",IF(N($P546)&lt;=0,"★台量要填",IF(AND(OR($Y546="安装免保",$Y546="技术免保",$Y546="质保期内"),$Z546=""),"★免保到期日没填",IF(COUNTIF(合同键,$E546)=0,"★还没建合同行","OK")))))</f>
        <v/>
      </c>
    </row>
    <row r="547" customFormat="false" ht="15" hidden="false" customHeight="false" outlineLevel="0" collapsed="false">
      <c r="A547" s="29" t="str">
        <f aca="false">IF($C547="","",ROW()-4)</f>
        <v/>
      </c>
      <c r="B547" s="25"/>
      <c r="C547" s="24"/>
      <c r="D547" s="24"/>
      <c r="E547" s="30" t="str">
        <f aca="false">IF($C547="","",$C547&amp;" ｜ "&amp;$D547)</f>
        <v/>
      </c>
      <c r="F547" s="25"/>
      <c r="G547" s="25"/>
      <c r="H547" s="25"/>
      <c r="I547" s="25"/>
      <c r="J547" s="25"/>
      <c r="K547" s="21"/>
      <c r="L547" s="21"/>
      <c r="M547" s="21"/>
      <c r="N547" s="25"/>
      <c r="O547" s="25"/>
      <c r="P547" s="32"/>
      <c r="Q547" s="25"/>
      <c r="R547" s="25"/>
      <c r="S547" s="33"/>
      <c r="T547" s="33"/>
      <c r="U547" s="33"/>
      <c r="V547" s="33"/>
      <c r="W547" s="25"/>
      <c r="X547" s="25"/>
      <c r="Y547" s="25"/>
      <c r="Z547" s="33"/>
      <c r="AA547" s="34" t="str">
        <f aca="true">IF($T547="","",IF($T547&lt;TODAY(),"已过期 "&amp;TEXT(TODAY()-$T547,"0")&amp;" 天",IF($T547-TODAY()&lt;=年检提醒天,"还剩 "&amp;TEXT($T547-TODAY(),"0")&amp;" 天","")))</f>
        <v/>
      </c>
      <c r="AB547" s="34" t="str">
        <f aca="true">IF(COUNT($U547:$V547)=0,"",IF(MIN($U547:$V547)&lt;TODAY(),"已过期 "&amp;TEXT(TODAY()-MIN($U547:$V547),"0")&amp;" 天",IF(MIN($U547:$V547)-TODAY()&lt;=年检提醒天,"还剩 "&amp;TEXT(MIN($U547:$V547)-TODAY(),"0")&amp;" 天","")))</f>
        <v/>
      </c>
      <c r="AC547" s="34" t="str">
        <f aca="true">IF($C547="","",IF(OR($Y547="安装免保",$Y547="技术免保",$Y547="质保期内"),IF($Z547="","▲免保没填到期日",IF($Z547&lt;TODAY(),"▲免保已到期 该转收费了",IF($Z547-TODAY()&lt;=合同提醒天,"免保还剩 "&amp;TEXT($Z547-TODAY(),"0")&amp;" 天","免保中"))),IF($Y547="暂停维保","暂停中 不计费",IF($Y547="已解约","已解约",IF(COUNTIF(合同键,$E547)=0,"▲还没建合同行","")))))</f>
        <v/>
      </c>
      <c r="AD547" s="24"/>
      <c r="AE547" s="35" t="str">
        <f aca="false">IF($C547="","",IF($D547="","★项目名称没填",IF(N($P547)&lt;=0,"★台量要填",IF(AND(OR($Y547="安装免保",$Y547="技术免保",$Y547="质保期内"),$Z547=""),"★免保到期日没填",IF(COUNTIF(合同键,$E547)=0,"★还没建合同行","OK")))))</f>
        <v/>
      </c>
    </row>
    <row r="548" customFormat="false" ht="15" hidden="false" customHeight="false" outlineLevel="0" collapsed="false">
      <c r="A548" s="29" t="str">
        <f aca="false">IF($C548="","",ROW()-4)</f>
        <v/>
      </c>
      <c r="B548" s="25"/>
      <c r="C548" s="24"/>
      <c r="D548" s="24"/>
      <c r="E548" s="30" t="str">
        <f aca="false">IF($C548="","",$C548&amp;" ｜ "&amp;$D548)</f>
        <v/>
      </c>
      <c r="F548" s="25"/>
      <c r="G548" s="25"/>
      <c r="H548" s="25"/>
      <c r="I548" s="25"/>
      <c r="J548" s="25"/>
      <c r="K548" s="21"/>
      <c r="L548" s="21"/>
      <c r="M548" s="21"/>
      <c r="N548" s="25"/>
      <c r="O548" s="25"/>
      <c r="P548" s="32"/>
      <c r="Q548" s="25"/>
      <c r="R548" s="25"/>
      <c r="S548" s="33"/>
      <c r="T548" s="33"/>
      <c r="U548" s="33"/>
      <c r="V548" s="33"/>
      <c r="W548" s="25"/>
      <c r="X548" s="25"/>
      <c r="Y548" s="25"/>
      <c r="Z548" s="33"/>
      <c r="AA548" s="34" t="str">
        <f aca="true">IF($T548="","",IF($T548&lt;TODAY(),"已过期 "&amp;TEXT(TODAY()-$T548,"0")&amp;" 天",IF($T548-TODAY()&lt;=年检提醒天,"还剩 "&amp;TEXT($T548-TODAY(),"0")&amp;" 天","")))</f>
        <v/>
      </c>
      <c r="AB548" s="34" t="str">
        <f aca="true">IF(COUNT($U548:$V548)=0,"",IF(MIN($U548:$V548)&lt;TODAY(),"已过期 "&amp;TEXT(TODAY()-MIN($U548:$V548),"0")&amp;" 天",IF(MIN($U548:$V548)-TODAY()&lt;=年检提醒天,"还剩 "&amp;TEXT(MIN($U548:$V548)-TODAY(),"0")&amp;" 天","")))</f>
        <v/>
      </c>
      <c r="AC548" s="34" t="str">
        <f aca="true">IF($C548="","",IF(OR($Y548="安装免保",$Y548="技术免保",$Y548="质保期内"),IF($Z548="","▲免保没填到期日",IF($Z548&lt;TODAY(),"▲免保已到期 该转收费了",IF($Z548-TODAY()&lt;=合同提醒天,"免保还剩 "&amp;TEXT($Z548-TODAY(),"0")&amp;" 天","免保中"))),IF($Y548="暂停维保","暂停中 不计费",IF($Y548="已解约","已解约",IF(COUNTIF(合同键,$E548)=0,"▲还没建合同行","")))))</f>
        <v/>
      </c>
      <c r="AD548" s="24"/>
      <c r="AE548" s="35" t="str">
        <f aca="false">IF($C548="","",IF($D548="","★项目名称没填",IF(N($P548)&lt;=0,"★台量要填",IF(AND(OR($Y548="安装免保",$Y548="技术免保",$Y548="质保期内"),$Z548=""),"★免保到期日没填",IF(COUNTIF(合同键,$E548)=0,"★还没建合同行","OK")))))</f>
        <v/>
      </c>
    </row>
    <row r="549" customFormat="false" ht="15" hidden="false" customHeight="false" outlineLevel="0" collapsed="false">
      <c r="A549" s="29" t="str">
        <f aca="false">IF($C549="","",ROW()-4)</f>
        <v/>
      </c>
      <c r="B549" s="25"/>
      <c r="C549" s="24"/>
      <c r="D549" s="24"/>
      <c r="E549" s="30" t="str">
        <f aca="false">IF($C549="","",$C549&amp;" ｜ "&amp;$D549)</f>
        <v/>
      </c>
      <c r="F549" s="25"/>
      <c r="G549" s="25"/>
      <c r="H549" s="25"/>
      <c r="I549" s="25"/>
      <c r="J549" s="25"/>
      <c r="K549" s="21"/>
      <c r="L549" s="21"/>
      <c r="M549" s="21"/>
      <c r="N549" s="25"/>
      <c r="O549" s="25"/>
      <c r="P549" s="32"/>
      <c r="Q549" s="25"/>
      <c r="R549" s="25"/>
      <c r="S549" s="33"/>
      <c r="T549" s="33"/>
      <c r="U549" s="33"/>
      <c r="V549" s="33"/>
      <c r="W549" s="25"/>
      <c r="X549" s="25"/>
      <c r="Y549" s="25"/>
      <c r="Z549" s="33"/>
      <c r="AA549" s="34" t="str">
        <f aca="true">IF($T549="","",IF($T549&lt;TODAY(),"已过期 "&amp;TEXT(TODAY()-$T549,"0")&amp;" 天",IF($T549-TODAY()&lt;=年检提醒天,"还剩 "&amp;TEXT($T549-TODAY(),"0")&amp;" 天","")))</f>
        <v/>
      </c>
      <c r="AB549" s="34" t="str">
        <f aca="true">IF(COUNT($U549:$V549)=0,"",IF(MIN($U549:$V549)&lt;TODAY(),"已过期 "&amp;TEXT(TODAY()-MIN($U549:$V549),"0")&amp;" 天",IF(MIN($U549:$V549)-TODAY()&lt;=年检提醒天,"还剩 "&amp;TEXT(MIN($U549:$V549)-TODAY(),"0")&amp;" 天","")))</f>
        <v/>
      </c>
      <c r="AC549" s="34" t="str">
        <f aca="true">IF($C549="","",IF(OR($Y549="安装免保",$Y549="技术免保",$Y549="质保期内"),IF($Z549="","▲免保没填到期日",IF($Z549&lt;TODAY(),"▲免保已到期 该转收费了",IF($Z549-TODAY()&lt;=合同提醒天,"免保还剩 "&amp;TEXT($Z549-TODAY(),"0")&amp;" 天","免保中"))),IF($Y549="暂停维保","暂停中 不计费",IF($Y549="已解约","已解约",IF(COUNTIF(合同键,$E549)=0,"▲还没建合同行","")))))</f>
        <v/>
      </c>
      <c r="AD549" s="24"/>
      <c r="AE549" s="35" t="str">
        <f aca="false">IF($C549="","",IF($D549="","★项目名称没填",IF(N($P549)&lt;=0,"★台量要填",IF(AND(OR($Y549="安装免保",$Y549="技术免保",$Y549="质保期内"),$Z549=""),"★免保到期日没填",IF(COUNTIF(合同键,$E549)=0,"★还没建合同行","OK")))))</f>
        <v/>
      </c>
    </row>
    <row r="550" customFormat="false" ht="15" hidden="false" customHeight="false" outlineLevel="0" collapsed="false">
      <c r="A550" s="29" t="str">
        <f aca="false">IF($C550="","",ROW()-4)</f>
        <v/>
      </c>
      <c r="B550" s="25"/>
      <c r="C550" s="24"/>
      <c r="D550" s="24"/>
      <c r="E550" s="30" t="str">
        <f aca="false">IF($C550="","",$C550&amp;" ｜ "&amp;$D550)</f>
        <v/>
      </c>
      <c r="F550" s="25"/>
      <c r="G550" s="25"/>
      <c r="H550" s="25"/>
      <c r="I550" s="25"/>
      <c r="J550" s="25"/>
      <c r="K550" s="21"/>
      <c r="L550" s="21"/>
      <c r="M550" s="21"/>
      <c r="N550" s="25"/>
      <c r="O550" s="25"/>
      <c r="P550" s="32"/>
      <c r="Q550" s="25"/>
      <c r="R550" s="25"/>
      <c r="S550" s="33"/>
      <c r="T550" s="33"/>
      <c r="U550" s="33"/>
      <c r="V550" s="33"/>
      <c r="W550" s="25"/>
      <c r="X550" s="25"/>
      <c r="Y550" s="25"/>
      <c r="Z550" s="33"/>
      <c r="AA550" s="34" t="str">
        <f aca="true">IF($T550="","",IF($T550&lt;TODAY(),"已过期 "&amp;TEXT(TODAY()-$T550,"0")&amp;" 天",IF($T550-TODAY()&lt;=年检提醒天,"还剩 "&amp;TEXT($T550-TODAY(),"0")&amp;" 天","")))</f>
        <v/>
      </c>
      <c r="AB550" s="34" t="str">
        <f aca="true">IF(COUNT($U550:$V550)=0,"",IF(MIN($U550:$V550)&lt;TODAY(),"已过期 "&amp;TEXT(TODAY()-MIN($U550:$V550),"0")&amp;" 天",IF(MIN($U550:$V550)-TODAY()&lt;=年检提醒天,"还剩 "&amp;TEXT(MIN($U550:$V550)-TODAY(),"0")&amp;" 天","")))</f>
        <v/>
      </c>
      <c r="AC550" s="34" t="str">
        <f aca="true">IF($C550="","",IF(OR($Y550="安装免保",$Y550="技术免保",$Y550="质保期内"),IF($Z550="","▲免保没填到期日",IF($Z550&lt;TODAY(),"▲免保已到期 该转收费了",IF($Z550-TODAY()&lt;=合同提醒天,"免保还剩 "&amp;TEXT($Z550-TODAY(),"0")&amp;" 天","免保中"))),IF($Y550="暂停维保","暂停中 不计费",IF($Y550="已解约","已解约",IF(COUNTIF(合同键,$E550)=0,"▲还没建合同行","")))))</f>
        <v/>
      </c>
      <c r="AD550" s="24"/>
      <c r="AE550" s="35" t="str">
        <f aca="false">IF($C550="","",IF($D550="","★项目名称没填",IF(N($P550)&lt;=0,"★台量要填",IF(AND(OR($Y550="安装免保",$Y550="技术免保",$Y550="质保期内"),$Z550=""),"★免保到期日没填",IF(COUNTIF(合同键,$E550)=0,"★还没建合同行","OK")))))</f>
        <v/>
      </c>
    </row>
    <row r="551" customFormat="false" ht="15" hidden="false" customHeight="false" outlineLevel="0" collapsed="false">
      <c r="A551" s="29" t="str">
        <f aca="false">IF($C551="","",ROW()-4)</f>
        <v/>
      </c>
      <c r="B551" s="25"/>
      <c r="C551" s="24"/>
      <c r="D551" s="24"/>
      <c r="E551" s="30" t="str">
        <f aca="false">IF($C551="","",$C551&amp;" ｜ "&amp;$D551)</f>
        <v/>
      </c>
      <c r="F551" s="25"/>
      <c r="G551" s="25"/>
      <c r="H551" s="25"/>
      <c r="I551" s="25"/>
      <c r="J551" s="25"/>
      <c r="K551" s="21"/>
      <c r="L551" s="21"/>
      <c r="M551" s="21"/>
      <c r="N551" s="25"/>
      <c r="O551" s="25"/>
      <c r="P551" s="32"/>
      <c r="Q551" s="25"/>
      <c r="R551" s="25"/>
      <c r="S551" s="33"/>
      <c r="T551" s="33"/>
      <c r="U551" s="33"/>
      <c r="V551" s="33"/>
      <c r="W551" s="25"/>
      <c r="X551" s="25"/>
      <c r="Y551" s="25"/>
      <c r="Z551" s="33"/>
      <c r="AA551" s="34" t="str">
        <f aca="true">IF($T551="","",IF($T551&lt;TODAY(),"已过期 "&amp;TEXT(TODAY()-$T551,"0")&amp;" 天",IF($T551-TODAY()&lt;=年检提醒天,"还剩 "&amp;TEXT($T551-TODAY(),"0")&amp;" 天","")))</f>
        <v/>
      </c>
      <c r="AB551" s="34" t="str">
        <f aca="true">IF(COUNT($U551:$V551)=0,"",IF(MIN($U551:$V551)&lt;TODAY(),"已过期 "&amp;TEXT(TODAY()-MIN($U551:$V551),"0")&amp;" 天",IF(MIN($U551:$V551)-TODAY()&lt;=年检提醒天,"还剩 "&amp;TEXT(MIN($U551:$V551)-TODAY(),"0")&amp;" 天","")))</f>
        <v/>
      </c>
      <c r="AC551" s="34" t="str">
        <f aca="true">IF($C551="","",IF(OR($Y551="安装免保",$Y551="技术免保",$Y551="质保期内"),IF($Z551="","▲免保没填到期日",IF($Z551&lt;TODAY(),"▲免保已到期 该转收费了",IF($Z551-TODAY()&lt;=合同提醒天,"免保还剩 "&amp;TEXT($Z551-TODAY(),"0")&amp;" 天","免保中"))),IF($Y551="暂停维保","暂停中 不计费",IF($Y551="已解约","已解约",IF(COUNTIF(合同键,$E551)=0,"▲还没建合同行","")))))</f>
        <v/>
      </c>
      <c r="AD551" s="24"/>
      <c r="AE551" s="35" t="str">
        <f aca="false">IF($C551="","",IF($D551="","★项目名称没填",IF(N($P551)&lt;=0,"★台量要填",IF(AND(OR($Y551="安装免保",$Y551="技术免保",$Y551="质保期内"),$Z551=""),"★免保到期日没填",IF(COUNTIF(合同键,$E551)=0,"★还没建合同行","OK")))))</f>
        <v/>
      </c>
    </row>
    <row r="552" customFormat="false" ht="15" hidden="false" customHeight="false" outlineLevel="0" collapsed="false">
      <c r="A552" s="29" t="str">
        <f aca="false">IF($C552="","",ROW()-4)</f>
        <v/>
      </c>
      <c r="B552" s="25"/>
      <c r="C552" s="24"/>
      <c r="D552" s="24"/>
      <c r="E552" s="30" t="str">
        <f aca="false">IF($C552="","",$C552&amp;" ｜ "&amp;$D552)</f>
        <v/>
      </c>
      <c r="F552" s="25"/>
      <c r="G552" s="25"/>
      <c r="H552" s="25"/>
      <c r="I552" s="25"/>
      <c r="J552" s="25"/>
      <c r="K552" s="21"/>
      <c r="L552" s="21"/>
      <c r="M552" s="21"/>
      <c r="N552" s="25"/>
      <c r="O552" s="25"/>
      <c r="P552" s="32"/>
      <c r="Q552" s="25"/>
      <c r="R552" s="25"/>
      <c r="S552" s="33"/>
      <c r="T552" s="33"/>
      <c r="U552" s="33"/>
      <c r="V552" s="33"/>
      <c r="W552" s="25"/>
      <c r="X552" s="25"/>
      <c r="Y552" s="25"/>
      <c r="Z552" s="33"/>
      <c r="AA552" s="34" t="str">
        <f aca="true">IF($T552="","",IF($T552&lt;TODAY(),"已过期 "&amp;TEXT(TODAY()-$T552,"0")&amp;" 天",IF($T552-TODAY()&lt;=年检提醒天,"还剩 "&amp;TEXT($T552-TODAY(),"0")&amp;" 天","")))</f>
        <v/>
      </c>
      <c r="AB552" s="34" t="str">
        <f aca="true">IF(COUNT($U552:$V552)=0,"",IF(MIN($U552:$V552)&lt;TODAY(),"已过期 "&amp;TEXT(TODAY()-MIN($U552:$V552),"0")&amp;" 天",IF(MIN($U552:$V552)-TODAY()&lt;=年检提醒天,"还剩 "&amp;TEXT(MIN($U552:$V552)-TODAY(),"0")&amp;" 天","")))</f>
        <v/>
      </c>
      <c r="AC552" s="34" t="str">
        <f aca="true">IF($C552="","",IF(OR($Y552="安装免保",$Y552="技术免保",$Y552="质保期内"),IF($Z552="","▲免保没填到期日",IF($Z552&lt;TODAY(),"▲免保已到期 该转收费了",IF($Z552-TODAY()&lt;=合同提醒天,"免保还剩 "&amp;TEXT($Z552-TODAY(),"0")&amp;" 天","免保中"))),IF($Y552="暂停维保","暂停中 不计费",IF($Y552="已解约","已解约",IF(COUNTIF(合同键,$E552)=0,"▲还没建合同行","")))))</f>
        <v/>
      </c>
      <c r="AD552" s="24"/>
      <c r="AE552" s="35" t="str">
        <f aca="false">IF($C552="","",IF($D552="","★项目名称没填",IF(N($P552)&lt;=0,"★台量要填",IF(AND(OR($Y552="安装免保",$Y552="技术免保",$Y552="质保期内"),$Z552=""),"★免保到期日没填",IF(COUNTIF(合同键,$E552)=0,"★还没建合同行","OK")))))</f>
        <v/>
      </c>
    </row>
    <row r="553" customFormat="false" ht="15" hidden="false" customHeight="false" outlineLevel="0" collapsed="false">
      <c r="A553" s="29" t="str">
        <f aca="false">IF($C553="","",ROW()-4)</f>
        <v/>
      </c>
      <c r="B553" s="25"/>
      <c r="C553" s="24"/>
      <c r="D553" s="24"/>
      <c r="E553" s="30" t="str">
        <f aca="false">IF($C553="","",$C553&amp;" ｜ "&amp;$D553)</f>
        <v/>
      </c>
      <c r="F553" s="25"/>
      <c r="G553" s="25"/>
      <c r="H553" s="25"/>
      <c r="I553" s="25"/>
      <c r="J553" s="25"/>
      <c r="K553" s="21"/>
      <c r="L553" s="21"/>
      <c r="M553" s="21"/>
      <c r="N553" s="25"/>
      <c r="O553" s="25"/>
      <c r="P553" s="32"/>
      <c r="Q553" s="25"/>
      <c r="R553" s="25"/>
      <c r="S553" s="33"/>
      <c r="T553" s="33"/>
      <c r="U553" s="33"/>
      <c r="V553" s="33"/>
      <c r="W553" s="25"/>
      <c r="X553" s="25"/>
      <c r="Y553" s="25"/>
      <c r="Z553" s="33"/>
      <c r="AA553" s="34" t="str">
        <f aca="true">IF($T553="","",IF($T553&lt;TODAY(),"已过期 "&amp;TEXT(TODAY()-$T553,"0")&amp;" 天",IF($T553-TODAY()&lt;=年检提醒天,"还剩 "&amp;TEXT($T553-TODAY(),"0")&amp;" 天","")))</f>
        <v/>
      </c>
      <c r="AB553" s="34" t="str">
        <f aca="true">IF(COUNT($U553:$V553)=0,"",IF(MIN($U553:$V553)&lt;TODAY(),"已过期 "&amp;TEXT(TODAY()-MIN($U553:$V553),"0")&amp;" 天",IF(MIN($U553:$V553)-TODAY()&lt;=年检提醒天,"还剩 "&amp;TEXT(MIN($U553:$V553)-TODAY(),"0")&amp;" 天","")))</f>
        <v/>
      </c>
      <c r="AC553" s="34" t="str">
        <f aca="true">IF($C553="","",IF(OR($Y553="安装免保",$Y553="技术免保",$Y553="质保期内"),IF($Z553="","▲免保没填到期日",IF($Z553&lt;TODAY(),"▲免保已到期 该转收费了",IF($Z553-TODAY()&lt;=合同提醒天,"免保还剩 "&amp;TEXT($Z553-TODAY(),"0")&amp;" 天","免保中"))),IF($Y553="暂停维保","暂停中 不计费",IF($Y553="已解约","已解约",IF(COUNTIF(合同键,$E553)=0,"▲还没建合同行","")))))</f>
        <v/>
      </c>
      <c r="AD553" s="24"/>
      <c r="AE553" s="35" t="str">
        <f aca="false">IF($C553="","",IF($D553="","★项目名称没填",IF(N($P553)&lt;=0,"★台量要填",IF(AND(OR($Y553="安装免保",$Y553="技术免保",$Y553="质保期内"),$Z553=""),"★免保到期日没填",IF(COUNTIF(合同键,$E553)=0,"★还没建合同行","OK")))))</f>
        <v/>
      </c>
    </row>
    <row r="554" customFormat="false" ht="15" hidden="false" customHeight="false" outlineLevel="0" collapsed="false">
      <c r="A554" s="29" t="str">
        <f aca="false">IF($C554="","",ROW()-4)</f>
        <v/>
      </c>
      <c r="B554" s="25"/>
      <c r="C554" s="24"/>
      <c r="D554" s="24"/>
      <c r="E554" s="30" t="str">
        <f aca="false">IF($C554="","",$C554&amp;" ｜ "&amp;$D554)</f>
        <v/>
      </c>
      <c r="F554" s="25"/>
      <c r="G554" s="25"/>
      <c r="H554" s="25"/>
      <c r="I554" s="25"/>
      <c r="J554" s="25"/>
      <c r="K554" s="21"/>
      <c r="L554" s="21"/>
      <c r="M554" s="21"/>
      <c r="N554" s="25"/>
      <c r="O554" s="25"/>
      <c r="P554" s="32"/>
      <c r="Q554" s="25"/>
      <c r="R554" s="25"/>
      <c r="S554" s="33"/>
      <c r="T554" s="33"/>
      <c r="U554" s="33"/>
      <c r="V554" s="33"/>
      <c r="W554" s="25"/>
      <c r="X554" s="25"/>
      <c r="Y554" s="25"/>
      <c r="Z554" s="33"/>
      <c r="AA554" s="34" t="str">
        <f aca="true">IF($T554="","",IF($T554&lt;TODAY(),"已过期 "&amp;TEXT(TODAY()-$T554,"0")&amp;" 天",IF($T554-TODAY()&lt;=年检提醒天,"还剩 "&amp;TEXT($T554-TODAY(),"0")&amp;" 天","")))</f>
        <v/>
      </c>
      <c r="AB554" s="34" t="str">
        <f aca="true">IF(COUNT($U554:$V554)=0,"",IF(MIN($U554:$V554)&lt;TODAY(),"已过期 "&amp;TEXT(TODAY()-MIN($U554:$V554),"0")&amp;" 天",IF(MIN($U554:$V554)-TODAY()&lt;=年检提醒天,"还剩 "&amp;TEXT(MIN($U554:$V554)-TODAY(),"0")&amp;" 天","")))</f>
        <v/>
      </c>
      <c r="AC554" s="34" t="str">
        <f aca="true">IF($C554="","",IF(OR($Y554="安装免保",$Y554="技术免保",$Y554="质保期内"),IF($Z554="","▲免保没填到期日",IF($Z554&lt;TODAY(),"▲免保已到期 该转收费了",IF($Z554-TODAY()&lt;=合同提醒天,"免保还剩 "&amp;TEXT($Z554-TODAY(),"0")&amp;" 天","免保中"))),IF($Y554="暂停维保","暂停中 不计费",IF($Y554="已解约","已解约",IF(COUNTIF(合同键,$E554)=0,"▲还没建合同行","")))))</f>
        <v/>
      </c>
      <c r="AD554" s="24"/>
      <c r="AE554" s="35" t="str">
        <f aca="false">IF($C554="","",IF($D554="","★项目名称没填",IF(N($P554)&lt;=0,"★台量要填",IF(AND(OR($Y554="安装免保",$Y554="技术免保",$Y554="质保期内"),$Z554=""),"★免保到期日没填",IF(COUNTIF(合同键,$E554)=0,"★还没建合同行","OK")))))</f>
        <v/>
      </c>
    </row>
    <row r="555" customFormat="false" ht="15" hidden="false" customHeight="false" outlineLevel="0" collapsed="false">
      <c r="A555" s="29" t="str">
        <f aca="false">IF($C555="","",ROW()-4)</f>
        <v/>
      </c>
      <c r="B555" s="25"/>
      <c r="C555" s="24"/>
      <c r="D555" s="24"/>
      <c r="E555" s="30" t="str">
        <f aca="false">IF($C555="","",$C555&amp;" ｜ "&amp;$D555)</f>
        <v/>
      </c>
      <c r="F555" s="25"/>
      <c r="G555" s="25"/>
      <c r="H555" s="25"/>
      <c r="I555" s="25"/>
      <c r="J555" s="25"/>
      <c r="K555" s="21"/>
      <c r="L555" s="21"/>
      <c r="M555" s="21"/>
      <c r="N555" s="25"/>
      <c r="O555" s="25"/>
      <c r="P555" s="32"/>
      <c r="Q555" s="25"/>
      <c r="R555" s="25"/>
      <c r="S555" s="33"/>
      <c r="T555" s="33"/>
      <c r="U555" s="33"/>
      <c r="V555" s="33"/>
      <c r="W555" s="25"/>
      <c r="X555" s="25"/>
      <c r="Y555" s="25"/>
      <c r="Z555" s="33"/>
      <c r="AA555" s="34" t="str">
        <f aca="true">IF($T555="","",IF($T555&lt;TODAY(),"已过期 "&amp;TEXT(TODAY()-$T555,"0")&amp;" 天",IF($T555-TODAY()&lt;=年检提醒天,"还剩 "&amp;TEXT($T555-TODAY(),"0")&amp;" 天","")))</f>
        <v/>
      </c>
      <c r="AB555" s="34" t="str">
        <f aca="true">IF(COUNT($U555:$V555)=0,"",IF(MIN($U555:$V555)&lt;TODAY(),"已过期 "&amp;TEXT(TODAY()-MIN($U555:$V555),"0")&amp;" 天",IF(MIN($U555:$V555)-TODAY()&lt;=年检提醒天,"还剩 "&amp;TEXT(MIN($U555:$V555)-TODAY(),"0")&amp;" 天","")))</f>
        <v/>
      </c>
      <c r="AC555" s="34" t="str">
        <f aca="true">IF($C555="","",IF(OR($Y555="安装免保",$Y555="技术免保",$Y555="质保期内"),IF($Z555="","▲免保没填到期日",IF($Z555&lt;TODAY(),"▲免保已到期 该转收费了",IF($Z555-TODAY()&lt;=合同提醒天,"免保还剩 "&amp;TEXT($Z555-TODAY(),"0")&amp;" 天","免保中"))),IF($Y555="暂停维保","暂停中 不计费",IF($Y555="已解约","已解约",IF(COUNTIF(合同键,$E555)=0,"▲还没建合同行","")))))</f>
        <v/>
      </c>
      <c r="AD555" s="24"/>
      <c r="AE555" s="35" t="str">
        <f aca="false">IF($C555="","",IF($D555="","★项目名称没填",IF(N($P555)&lt;=0,"★台量要填",IF(AND(OR($Y555="安装免保",$Y555="技术免保",$Y555="质保期内"),$Z555=""),"★免保到期日没填",IF(COUNTIF(合同键,$E555)=0,"★还没建合同行","OK")))))</f>
        <v/>
      </c>
    </row>
    <row r="556" customFormat="false" ht="15" hidden="false" customHeight="false" outlineLevel="0" collapsed="false">
      <c r="A556" s="29" t="str">
        <f aca="false">IF($C556="","",ROW()-4)</f>
        <v/>
      </c>
      <c r="B556" s="25"/>
      <c r="C556" s="24"/>
      <c r="D556" s="24"/>
      <c r="E556" s="30" t="str">
        <f aca="false">IF($C556="","",$C556&amp;" ｜ "&amp;$D556)</f>
        <v/>
      </c>
      <c r="F556" s="25"/>
      <c r="G556" s="25"/>
      <c r="H556" s="25"/>
      <c r="I556" s="25"/>
      <c r="J556" s="25"/>
      <c r="K556" s="21"/>
      <c r="L556" s="21"/>
      <c r="M556" s="21"/>
      <c r="N556" s="25"/>
      <c r="O556" s="25"/>
      <c r="P556" s="32"/>
      <c r="Q556" s="25"/>
      <c r="R556" s="25"/>
      <c r="S556" s="33"/>
      <c r="T556" s="33"/>
      <c r="U556" s="33"/>
      <c r="V556" s="33"/>
      <c r="W556" s="25"/>
      <c r="X556" s="25"/>
      <c r="Y556" s="25"/>
      <c r="Z556" s="33"/>
      <c r="AA556" s="34" t="str">
        <f aca="true">IF($T556="","",IF($T556&lt;TODAY(),"已过期 "&amp;TEXT(TODAY()-$T556,"0")&amp;" 天",IF($T556-TODAY()&lt;=年检提醒天,"还剩 "&amp;TEXT($T556-TODAY(),"0")&amp;" 天","")))</f>
        <v/>
      </c>
      <c r="AB556" s="34" t="str">
        <f aca="true">IF(COUNT($U556:$V556)=0,"",IF(MIN($U556:$V556)&lt;TODAY(),"已过期 "&amp;TEXT(TODAY()-MIN($U556:$V556),"0")&amp;" 天",IF(MIN($U556:$V556)-TODAY()&lt;=年检提醒天,"还剩 "&amp;TEXT(MIN($U556:$V556)-TODAY(),"0")&amp;" 天","")))</f>
        <v/>
      </c>
      <c r="AC556" s="34" t="str">
        <f aca="true">IF($C556="","",IF(OR($Y556="安装免保",$Y556="技术免保",$Y556="质保期内"),IF($Z556="","▲免保没填到期日",IF($Z556&lt;TODAY(),"▲免保已到期 该转收费了",IF($Z556-TODAY()&lt;=合同提醒天,"免保还剩 "&amp;TEXT($Z556-TODAY(),"0")&amp;" 天","免保中"))),IF($Y556="暂停维保","暂停中 不计费",IF($Y556="已解约","已解约",IF(COUNTIF(合同键,$E556)=0,"▲还没建合同行","")))))</f>
        <v/>
      </c>
      <c r="AD556" s="24"/>
      <c r="AE556" s="35" t="str">
        <f aca="false">IF($C556="","",IF($D556="","★项目名称没填",IF(N($P556)&lt;=0,"★台量要填",IF(AND(OR($Y556="安装免保",$Y556="技术免保",$Y556="质保期内"),$Z556=""),"★免保到期日没填",IF(COUNTIF(合同键,$E556)=0,"★还没建合同行","OK")))))</f>
        <v/>
      </c>
    </row>
    <row r="557" customFormat="false" ht="15" hidden="false" customHeight="false" outlineLevel="0" collapsed="false">
      <c r="A557" s="29" t="str">
        <f aca="false">IF($C557="","",ROW()-4)</f>
        <v/>
      </c>
      <c r="B557" s="25"/>
      <c r="C557" s="24"/>
      <c r="D557" s="24"/>
      <c r="E557" s="30" t="str">
        <f aca="false">IF($C557="","",$C557&amp;" ｜ "&amp;$D557)</f>
        <v/>
      </c>
      <c r="F557" s="25"/>
      <c r="G557" s="25"/>
      <c r="H557" s="25"/>
      <c r="I557" s="25"/>
      <c r="J557" s="25"/>
      <c r="K557" s="21"/>
      <c r="L557" s="21"/>
      <c r="M557" s="21"/>
      <c r="N557" s="25"/>
      <c r="O557" s="25"/>
      <c r="P557" s="32"/>
      <c r="Q557" s="25"/>
      <c r="R557" s="25"/>
      <c r="S557" s="33"/>
      <c r="T557" s="33"/>
      <c r="U557" s="33"/>
      <c r="V557" s="33"/>
      <c r="W557" s="25"/>
      <c r="X557" s="25"/>
      <c r="Y557" s="25"/>
      <c r="Z557" s="33"/>
      <c r="AA557" s="34" t="str">
        <f aca="true">IF($T557="","",IF($T557&lt;TODAY(),"已过期 "&amp;TEXT(TODAY()-$T557,"0")&amp;" 天",IF($T557-TODAY()&lt;=年检提醒天,"还剩 "&amp;TEXT($T557-TODAY(),"0")&amp;" 天","")))</f>
        <v/>
      </c>
      <c r="AB557" s="34" t="str">
        <f aca="true">IF(COUNT($U557:$V557)=0,"",IF(MIN($U557:$V557)&lt;TODAY(),"已过期 "&amp;TEXT(TODAY()-MIN($U557:$V557),"0")&amp;" 天",IF(MIN($U557:$V557)-TODAY()&lt;=年检提醒天,"还剩 "&amp;TEXT(MIN($U557:$V557)-TODAY(),"0")&amp;" 天","")))</f>
        <v/>
      </c>
      <c r="AC557" s="34" t="str">
        <f aca="true">IF($C557="","",IF(OR($Y557="安装免保",$Y557="技术免保",$Y557="质保期内"),IF($Z557="","▲免保没填到期日",IF($Z557&lt;TODAY(),"▲免保已到期 该转收费了",IF($Z557-TODAY()&lt;=合同提醒天,"免保还剩 "&amp;TEXT($Z557-TODAY(),"0")&amp;" 天","免保中"))),IF($Y557="暂停维保","暂停中 不计费",IF($Y557="已解约","已解约",IF(COUNTIF(合同键,$E557)=0,"▲还没建合同行","")))))</f>
        <v/>
      </c>
      <c r="AD557" s="24"/>
      <c r="AE557" s="35" t="str">
        <f aca="false">IF($C557="","",IF($D557="","★项目名称没填",IF(N($P557)&lt;=0,"★台量要填",IF(AND(OR($Y557="安装免保",$Y557="技术免保",$Y557="质保期内"),$Z557=""),"★免保到期日没填",IF(COUNTIF(合同键,$E557)=0,"★还没建合同行","OK")))))</f>
        <v/>
      </c>
    </row>
    <row r="558" customFormat="false" ht="15" hidden="false" customHeight="false" outlineLevel="0" collapsed="false">
      <c r="A558" s="29" t="str">
        <f aca="false">IF($C558="","",ROW()-4)</f>
        <v/>
      </c>
      <c r="B558" s="25"/>
      <c r="C558" s="24"/>
      <c r="D558" s="24"/>
      <c r="E558" s="30" t="str">
        <f aca="false">IF($C558="","",$C558&amp;" ｜ "&amp;$D558)</f>
        <v/>
      </c>
      <c r="F558" s="25"/>
      <c r="G558" s="25"/>
      <c r="H558" s="25"/>
      <c r="I558" s="25"/>
      <c r="J558" s="25"/>
      <c r="K558" s="21"/>
      <c r="L558" s="21"/>
      <c r="M558" s="21"/>
      <c r="N558" s="25"/>
      <c r="O558" s="25"/>
      <c r="P558" s="32"/>
      <c r="Q558" s="25"/>
      <c r="R558" s="25"/>
      <c r="S558" s="33"/>
      <c r="T558" s="33"/>
      <c r="U558" s="33"/>
      <c r="V558" s="33"/>
      <c r="W558" s="25"/>
      <c r="X558" s="25"/>
      <c r="Y558" s="25"/>
      <c r="Z558" s="33"/>
      <c r="AA558" s="34" t="str">
        <f aca="true">IF($T558="","",IF($T558&lt;TODAY(),"已过期 "&amp;TEXT(TODAY()-$T558,"0")&amp;" 天",IF($T558-TODAY()&lt;=年检提醒天,"还剩 "&amp;TEXT($T558-TODAY(),"0")&amp;" 天","")))</f>
        <v/>
      </c>
      <c r="AB558" s="34" t="str">
        <f aca="true">IF(COUNT($U558:$V558)=0,"",IF(MIN($U558:$V558)&lt;TODAY(),"已过期 "&amp;TEXT(TODAY()-MIN($U558:$V558),"0")&amp;" 天",IF(MIN($U558:$V558)-TODAY()&lt;=年检提醒天,"还剩 "&amp;TEXT(MIN($U558:$V558)-TODAY(),"0")&amp;" 天","")))</f>
        <v/>
      </c>
      <c r="AC558" s="34" t="str">
        <f aca="true">IF($C558="","",IF(OR($Y558="安装免保",$Y558="技术免保",$Y558="质保期内"),IF($Z558="","▲免保没填到期日",IF($Z558&lt;TODAY(),"▲免保已到期 该转收费了",IF($Z558-TODAY()&lt;=合同提醒天,"免保还剩 "&amp;TEXT($Z558-TODAY(),"0")&amp;" 天","免保中"))),IF($Y558="暂停维保","暂停中 不计费",IF($Y558="已解约","已解约",IF(COUNTIF(合同键,$E558)=0,"▲还没建合同行","")))))</f>
        <v/>
      </c>
      <c r="AD558" s="24"/>
      <c r="AE558" s="35" t="str">
        <f aca="false">IF($C558="","",IF($D558="","★项目名称没填",IF(N($P558)&lt;=0,"★台量要填",IF(AND(OR($Y558="安装免保",$Y558="技术免保",$Y558="质保期内"),$Z558=""),"★免保到期日没填",IF(COUNTIF(合同键,$E558)=0,"★还没建合同行","OK")))))</f>
        <v/>
      </c>
    </row>
    <row r="559" customFormat="false" ht="15" hidden="false" customHeight="false" outlineLevel="0" collapsed="false">
      <c r="A559" s="29" t="str">
        <f aca="false">IF($C559="","",ROW()-4)</f>
        <v/>
      </c>
      <c r="B559" s="25"/>
      <c r="C559" s="24"/>
      <c r="D559" s="24"/>
      <c r="E559" s="30" t="str">
        <f aca="false">IF($C559="","",$C559&amp;" ｜ "&amp;$D559)</f>
        <v/>
      </c>
      <c r="F559" s="25"/>
      <c r="G559" s="25"/>
      <c r="H559" s="25"/>
      <c r="I559" s="25"/>
      <c r="J559" s="25"/>
      <c r="K559" s="21"/>
      <c r="L559" s="21"/>
      <c r="M559" s="21"/>
      <c r="N559" s="25"/>
      <c r="O559" s="25"/>
      <c r="P559" s="32"/>
      <c r="Q559" s="25"/>
      <c r="R559" s="25"/>
      <c r="S559" s="33"/>
      <c r="T559" s="33"/>
      <c r="U559" s="33"/>
      <c r="V559" s="33"/>
      <c r="W559" s="25"/>
      <c r="X559" s="25"/>
      <c r="Y559" s="25"/>
      <c r="Z559" s="33"/>
      <c r="AA559" s="34" t="str">
        <f aca="true">IF($T559="","",IF($T559&lt;TODAY(),"已过期 "&amp;TEXT(TODAY()-$T559,"0")&amp;" 天",IF($T559-TODAY()&lt;=年检提醒天,"还剩 "&amp;TEXT($T559-TODAY(),"0")&amp;" 天","")))</f>
        <v/>
      </c>
      <c r="AB559" s="34" t="str">
        <f aca="true">IF(COUNT($U559:$V559)=0,"",IF(MIN($U559:$V559)&lt;TODAY(),"已过期 "&amp;TEXT(TODAY()-MIN($U559:$V559),"0")&amp;" 天",IF(MIN($U559:$V559)-TODAY()&lt;=年检提醒天,"还剩 "&amp;TEXT(MIN($U559:$V559)-TODAY(),"0")&amp;" 天","")))</f>
        <v/>
      </c>
      <c r="AC559" s="34" t="str">
        <f aca="true">IF($C559="","",IF(OR($Y559="安装免保",$Y559="技术免保",$Y559="质保期内"),IF($Z559="","▲免保没填到期日",IF($Z559&lt;TODAY(),"▲免保已到期 该转收费了",IF($Z559-TODAY()&lt;=合同提醒天,"免保还剩 "&amp;TEXT($Z559-TODAY(),"0")&amp;" 天","免保中"))),IF($Y559="暂停维保","暂停中 不计费",IF($Y559="已解约","已解约",IF(COUNTIF(合同键,$E559)=0,"▲还没建合同行","")))))</f>
        <v/>
      </c>
      <c r="AD559" s="24"/>
      <c r="AE559" s="35" t="str">
        <f aca="false">IF($C559="","",IF($D559="","★项目名称没填",IF(N($P559)&lt;=0,"★台量要填",IF(AND(OR($Y559="安装免保",$Y559="技术免保",$Y559="质保期内"),$Z559=""),"★免保到期日没填",IF(COUNTIF(合同键,$E559)=0,"★还没建合同行","OK")))))</f>
        <v/>
      </c>
    </row>
    <row r="560" customFormat="false" ht="15" hidden="false" customHeight="false" outlineLevel="0" collapsed="false">
      <c r="A560" s="29" t="str">
        <f aca="false">IF($C560="","",ROW()-4)</f>
        <v/>
      </c>
      <c r="B560" s="25"/>
      <c r="C560" s="24"/>
      <c r="D560" s="24"/>
      <c r="E560" s="30" t="str">
        <f aca="false">IF($C560="","",$C560&amp;" ｜ "&amp;$D560)</f>
        <v/>
      </c>
      <c r="F560" s="25"/>
      <c r="G560" s="25"/>
      <c r="H560" s="25"/>
      <c r="I560" s="25"/>
      <c r="J560" s="25"/>
      <c r="K560" s="21"/>
      <c r="L560" s="21"/>
      <c r="M560" s="21"/>
      <c r="N560" s="25"/>
      <c r="O560" s="25"/>
      <c r="P560" s="32"/>
      <c r="Q560" s="25"/>
      <c r="R560" s="25"/>
      <c r="S560" s="33"/>
      <c r="T560" s="33"/>
      <c r="U560" s="33"/>
      <c r="V560" s="33"/>
      <c r="W560" s="25"/>
      <c r="X560" s="25"/>
      <c r="Y560" s="25"/>
      <c r="Z560" s="33"/>
      <c r="AA560" s="34" t="str">
        <f aca="true">IF($T560="","",IF($T560&lt;TODAY(),"已过期 "&amp;TEXT(TODAY()-$T560,"0")&amp;" 天",IF($T560-TODAY()&lt;=年检提醒天,"还剩 "&amp;TEXT($T560-TODAY(),"0")&amp;" 天","")))</f>
        <v/>
      </c>
      <c r="AB560" s="34" t="str">
        <f aca="true">IF(COUNT($U560:$V560)=0,"",IF(MIN($U560:$V560)&lt;TODAY(),"已过期 "&amp;TEXT(TODAY()-MIN($U560:$V560),"0")&amp;" 天",IF(MIN($U560:$V560)-TODAY()&lt;=年检提醒天,"还剩 "&amp;TEXT(MIN($U560:$V560)-TODAY(),"0")&amp;" 天","")))</f>
        <v/>
      </c>
      <c r="AC560" s="34" t="str">
        <f aca="true">IF($C560="","",IF(OR($Y560="安装免保",$Y560="技术免保",$Y560="质保期内"),IF($Z560="","▲免保没填到期日",IF($Z560&lt;TODAY(),"▲免保已到期 该转收费了",IF($Z560-TODAY()&lt;=合同提醒天,"免保还剩 "&amp;TEXT($Z560-TODAY(),"0")&amp;" 天","免保中"))),IF($Y560="暂停维保","暂停中 不计费",IF($Y560="已解约","已解约",IF(COUNTIF(合同键,$E560)=0,"▲还没建合同行","")))))</f>
        <v/>
      </c>
      <c r="AD560" s="24"/>
      <c r="AE560" s="35" t="str">
        <f aca="false">IF($C560="","",IF($D560="","★项目名称没填",IF(N($P560)&lt;=0,"★台量要填",IF(AND(OR($Y560="安装免保",$Y560="技术免保",$Y560="质保期内"),$Z560=""),"★免保到期日没填",IF(COUNTIF(合同键,$E560)=0,"★还没建合同行","OK")))))</f>
        <v/>
      </c>
    </row>
    <row r="561" customFormat="false" ht="15" hidden="false" customHeight="false" outlineLevel="0" collapsed="false">
      <c r="A561" s="29" t="str">
        <f aca="false">IF($C561="","",ROW()-4)</f>
        <v/>
      </c>
      <c r="B561" s="25"/>
      <c r="C561" s="24"/>
      <c r="D561" s="24"/>
      <c r="E561" s="30" t="str">
        <f aca="false">IF($C561="","",$C561&amp;" ｜ "&amp;$D561)</f>
        <v/>
      </c>
      <c r="F561" s="25"/>
      <c r="G561" s="25"/>
      <c r="H561" s="25"/>
      <c r="I561" s="25"/>
      <c r="J561" s="25"/>
      <c r="K561" s="21"/>
      <c r="L561" s="21"/>
      <c r="M561" s="21"/>
      <c r="N561" s="25"/>
      <c r="O561" s="25"/>
      <c r="P561" s="32"/>
      <c r="Q561" s="25"/>
      <c r="R561" s="25"/>
      <c r="S561" s="33"/>
      <c r="T561" s="33"/>
      <c r="U561" s="33"/>
      <c r="V561" s="33"/>
      <c r="W561" s="25"/>
      <c r="X561" s="25"/>
      <c r="Y561" s="25"/>
      <c r="Z561" s="33"/>
      <c r="AA561" s="34" t="str">
        <f aca="true">IF($T561="","",IF($T561&lt;TODAY(),"已过期 "&amp;TEXT(TODAY()-$T561,"0")&amp;" 天",IF($T561-TODAY()&lt;=年检提醒天,"还剩 "&amp;TEXT($T561-TODAY(),"0")&amp;" 天","")))</f>
        <v/>
      </c>
      <c r="AB561" s="34" t="str">
        <f aca="true">IF(COUNT($U561:$V561)=0,"",IF(MIN($U561:$V561)&lt;TODAY(),"已过期 "&amp;TEXT(TODAY()-MIN($U561:$V561),"0")&amp;" 天",IF(MIN($U561:$V561)-TODAY()&lt;=年检提醒天,"还剩 "&amp;TEXT(MIN($U561:$V561)-TODAY(),"0")&amp;" 天","")))</f>
        <v/>
      </c>
      <c r="AC561" s="34" t="str">
        <f aca="true">IF($C561="","",IF(OR($Y561="安装免保",$Y561="技术免保",$Y561="质保期内"),IF($Z561="","▲免保没填到期日",IF($Z561&lt;TODAY(),"▲免保已到期 该转收费了",IF($Z561-TODAY()&lt;=合同提醒天,"免保还剩 "&amp;TEXT($Z561-TODAY(),"0")&amp;" 天","免保中"))),IF($Y561="暂停维保","暂停中 不计费",IF($Y561="已解约","已解约",IF(COUNTIF(合同键,$E561)=0,"▲还没建合同行","")))))</f>
        <v/>
      </c>
      <c r="AD561" s="24"/>
      <c r="AE561" s="35" t="str">
        <f aca="false">IF($C561="","",IF($D561="","★项目名称没填",IF(N($P561)&lt;=0,"★台量要填",IF(AND(OR($Y561="安装免保",$Y561="技术免保",$Y561="质保期内"),$Z561=""),"★免保到期日没填",IF(COUNTIF(合同键,$E561)=0,"★还没建合同行","OK")))))</f>
        <v/>
      </c>
    </row>
    <row r="562" customFormat="false" ht="15" hidden="false" customHeight="false" outlineLevel="0" collapsed="false">
      <c r="A562" s="29" t="str">
        <f aca="false">IF($C562="","",ROW()-4)</f>
        <v/>
      </c>
      <c r="B562" s="25"/>
      <c r="C562" s="24"/>
      <c r="D562" s="24"/>
      <c r="E562" s="30" t="str">
        <f aca="false">IF($C562="","",$C562&amp;" ｜ "&amp;$D562)</f>
        <v/>
      </c>
      <c r="F562" s="25"/>
      <c r="G562" s="25"/>
      <c r="H562" s="25"/>
      <c r="I562" s="25"/>
      <c r="J562" s="25"/>
      <c r="K562" s="21"/>
      <c r="L562" s="21"/>
      <c r="M562" s="21"/>
      <c r="N562" s="25"/>
      <c r="O562" s="25"/>
      <c r="P562" s="32"/>
      <c r="Q562" s="25"/>
      <c r="R562" s="25"/>
      <c r="S562" s="33"/>
      <c r="T562" s="33"/>
      <c r="U562" s="33"/>
      <c r="V562" s="33"/>
      <c r="W562" s="25"/>
      <c r="X562" s="25"/>
      <c r="Y562" s="25"/>
      <c r="Z562" s="33"/>
      <c r="AA562" s="34" t="str">
        <f aca="true">IF($T562="","",IF($T562&lt;TODAY(),"已过期 "&amp;TEXT(TODAY()-$T562,"0")&amp;" 天",IF($T562-TODAY()&lt;=年检提醒天,"还剩 "&amp;TEXT($T562-TODAY(),"0")&amp;" 天","")))</f>
        <v/>
      </c>
      <c r="AB562" s="34" t="str">
        <f aca="true">IF(COUNT($U562:$V562)=0,"",IF(MIN($U562:$V562)&lt;TODAY(),"已过期 "&amp;TEXT(TODAY()-MIN($U562:$V562),"0")&amp;" 天",IF(MIN($U562:$V562)-TODAY()&lt;=年检提醒天,"还剩 "&amp;TEXT(MIN($U562:$V562)-TODAY(),"0")&amp;" 天","")))</f>
        <v/>
      </c>
      <c r="AC562" s="34" t="str">
        <f aca="true">IF($C562="","",IF(OR($Y562="安装免保",$Y562="技术免保",$Y562="质保期内"),IF($Z562="","▲免保没填到期日",IF($Z562&lt;TODAY(),"▲免保已到期 该转收费了",IF($Z562-TODAY()&lt;=合同提醒天,"免保还剩 "&amp;TEXT($Z562-TODAY(),"0")&amp;" 天","免保中"))),IF($Y562="暂停维保","暂停中 不计费",IF($Y562="已解约","已解约",IF(COUNTIF(合同键,$E562)=0,"▲还没建合同行","")))))</f>
        <v/>
      </c>
      <c r="AD562" s="24"/>
      <c r="AE562" s="35" t="str">
        <f aca="false">IF($C562="","",IF($D562="","★项目名称没填",IF(N($P562)&lt;=0,"★台量要填",IF(AND(OR($Y562="安装免保",$Y562="技术免保",$Y562="质保期内"),$Z562=""),"★免保到期日没填",IF(COUNTIF(合同键,$E562)=0,"★还没建合同行","OK")))))</f>
        <v/>
      </c>
    </row>
    <row r="563" customFormat="false" ht="15" hidden="false" customHeight="false" outlineLevel="0" collapsed="false">
      <c r="A563" s="29" t="str">
        <f aca="false">IF($C563="","",ROW()-4)</f>
        <v/>
      </c>
      <c r="B563" s="25"/>
      <c r="C563" s="24"/>
      <c r="D563" s="24"/>
      <c r="E563" s="30" t="str">
        <f aca="false">IF($C563="","",$C563&amp;" ｜ "&amp;$D563)</f>
        <v/>
      </c>
      <c r="F563" s="25"/>
      <c r="G563" s="25"/>
      <c r="H563" s="25"/>
      <c r="I563" s="25"/>
      <c r="J563" s="25"/>
      <c r="K563" s="21"/>
      <c r="L563" s="21"/>
      <c r="M563" s="21"/>
      <c r="N563" s="25"/>
      <c r="O563" s="25"/>
      <c r="P563" s="32"/>
      <c r="Q563" s="25"/>
      <c r="R563" s="25"/>
      <c r="S563" s="33"/>
      <c r="T563" s="33"/>
      <c r="U563" s="33"/>
      <c r="V563" s="33"/>
      <c r="W563" s="25"/>
      <c r="X563" s="25"/>
      <c r="Y563" s="25"/>
      <c r="Z563" s="33"/>
      <c r="AA563" s="34" t="str">
        <f aca="true">IF($T563="","",IF($T563&lt;TODAY(),"已过期 "&amp;TEXT(TODAY()-$T563,"0")&amp;" 天",IF($T563-TODAY()&lt;=年检提醒天,"还剩 "&amp;TEXT($T563-TODAY(),"0")&amp;" 天","")))</f>
        <v/>
      </c>
      <c r="AB563" s="34" t="str">
        <f aca="true">IF(COUNT($U563:$V563)=0,"",IF(MIN($U563:$V563)&lt;TODAY(),"已过期 "&amp;TEXT(TODAY()-MIN($U563:$V563),"0")&amp;" 天",IF(MIN($U563:$V563)-TODAY()&lt;=年检提醒天,"还剩 "&amp;TEXT(MIN($U563:$V563)-TODAY(),"0")&amp;" 天","")))</f>
        <v/>
      </c>
      <c r="AC563" s="34" t="str">
        <f aca="true">IF($C563="","",IF(OR($Y563="安装免保",$Y563="技术免保",$Y563="质保期内"),IF($Z563="","▲免保没填到期日",IF($Z563&lt;TODAY(),"▲免保已到期 该转收费了",IF($Z563-TODAY()&lt;=合同提醒天,"免保还剩 "&amp;TEXT($Z563-TODAY(),"0")&amp;" 天","免保中"))),IF($Y563="暂停维保","暂停中 不计费",IF($Y563="已解约","已解约",IF(COUNTIF(合同键,$E563)=0,"▲还没建合同行","")))))</f>
        <v/>
      </c>
      <c r="AD563" s="24"/>
      <c r="AE563" s="35" t="str">
        <f aca="false">IF($C563="","",IF($D563="","★项目名称没填",IF(N($P563)&lt;=0,"★台量要填",IF(AND(OR($Y563="安装免保",$Y563="技术免保",$Y563="质保期内"),$Z563=""),"★免保到期日没填",IF(COUNTIF(合同键,$E563)=0,"★还没建合同行","OK")))))</f>
        <v/>
      </c>
    </row>
    <row r="564" customFormat="false" ht="15" hidden="false" customHeight="false" outlineLevel="0" collapsed="false">
      <c r="A564" s="29" t="str">
        <f aca="false">IF($C564="","",ROW()-4)</f>
        <v/>
      </c>
      <c r="B564" s="25"/>
      <c r="C564" s="24"/>
      <c r="D564" s="24"/>
      <c r="E564" s="30" t="str">
        <f aca="false">IF($C564="","",$C564&amp;" ｜ "&amp;$D564)</f>
        <v/>
      </c>
      <c r="F564" s="25"/>
      <c r="G564" s="25"/>
      <c r="H564" s="25"/>
      <c r="I564" s="25"/>
      <c r="J564" s="25"/>
      <c r="K564" s="21"/>
      <c r="L564" s="21"/>
      <c r="M564" s="21"/>
      <c r="N564" s="25"/>
      <c r="O564" s="25"/>
      <c r="P564" s="32"/>
      <c r="Q564" s="25"/>
      <c r="R564" s="25"/>
      <c r="S564" s="33"/>
      <c r="T564" s="33"/>
      <c r="U564" s="33"/>
      <c r="V564" s="33"/>
      <c r="W564" s="25"/>
      <c r="X564" s="25"/>
      <c r="Y564" s="25"/>
      <c r="Z564" s="33"/>
      <c r="AA564" s="34" t="str">
        <f aca="true">IF($T564="","",IF($T564&lt;TODAY(),"已过期 "&amp;TEXT(TODAY()-$T564,"0")&amp;" 天",IF($T564-TODAY()&lt;=年检提醒天,"还剩 "&amp;TEXT($T564-TODAY(),"0")&amp;" 天","")))</f>
        <v/>
      </c>
      <c r="AB564" s="34" t="str">
        <f aca="true">IF(COUNT($U564:$V564)=0,"",IF(MIN($U564:$V564)&lt;TODAY(),"已过期 "&amp;TEXT(TODAY()-MIN($U564:$V564),"0")&amp;" 天",IF(MIN($U564:$V564)-TODAY()&lt;=年检提醒天,"还剩 "&amp;TEXT(MIN($U564:$V564)-TODAY(),"0")&amp;" 天","")))</f>
        <v/>
      </c>
      <c r="AC564" s="34" t="str">
        <f aca="true">IF($C564="","",IF(OR($Y564="安装免保",$Y564="技术免保",$Y564="质保期内"),IF($Z564="","▲免保没填到期日",IF($Z564&lt;TODAY(),"▲免保已到期 该转收费了",IF($Z564-TODAY()&lt;=合同提醒天,"免保还剩 "&amp;TEXT($Z564-TODAY(),"0")&amp;" 天","免保中"))),IF($Y564="暂停维保","暂停中 不计费",IF($Y564="已解约","已解约",IF(COUNTIF(合同键,$E564)=0,"▲还没建合同行","")))))</f>
        <v/>
      </c>
      <c r="AD564" s="24"/>
      <c r="AE564" s="35" t="str">
        <f aca="false">IF($C564="","",IF($D564="","★项目名称没填",IF(N($P564)&lt;=0,"★台量要填",IF(AND(OR($Y564="安装免保",$Y564="技术免保",$Y564="质保期内"),$Z564=""),"★免保到期日没填",IF(COUNTIF(合同键,$E564)=0,"★还没建合同行","OK")))))</f>
        <v/>
      </c>
    </row>
    <row r="565" customFormat="false" ht="15" hidden="false" customHeight="false" outlineLevel="0" collapsed="false">
      <c r="A565" s="29" t="str">
        <f aca="false">IF($C565="","",ROW()-4)</f>
        <v/>
      </c>
      <c r="B565" s="25"/>
      <c r="C565" s="24"/>
      <c r="D565" s="24"/>
      <c r="E565" s="30" t="str">
        <f aca="false">IF($C565="","",$C565&amp;" ｜ "&amp;$D565)</f>
        <v/>
      </c>
      <c r="F565" s="25"/>
      <c r="G565" s="25"/>
      <c r="H565" s="25"/>
      <c r="I565" s="25"/>
      <c r="J565" s="25"/>
      <c r="K565" s="21"/>
      <c r="L565" s="21"/>
      <c r="M565" s="21"/>
      <c r="N565" s="25"/>
      <c r="O565" s="25"/>
      <c r="P565" s="32"/>
      <c r="Q565" s="25"/>
      <c r="R565" s="25"/>
      <c r="S565" s="33"/>
      <c r="T565" s="33"/>
      <c r="U565" s="33"/>
      <c r="V565" s="33"/>
      <c r="W565" s="25"/>
      <c r="X565" s="25"/>
      <c r="Y565" s="25"/>
      <c r="Z565" s="33"/>
      <c r="AA565" s="34" t="str">
        <f aca="true">IF($T565="","",IF($T565&lt;TODAY(),"已过期 "&amp;TEXT(TODAY()-$T565,"0")&amp;" 天",IF($T565-TODAY()&lt;=年检提醒天,"还剩 "&amp;TEXT($T565-TODAY(),"0")&amp;" 天","")))</f>
        <v/>
      </c>
      <c r="AB565" s="34" t="str">
        <f aca="true">IF(COUNT($U565:$V565)=0,"",IF(MIN($U565:$V565)&lt;TODAY(),"已过期 "&amp;TEXT(TODAY()-MIN($U565:$V565),"0")&amp;" 天",IF(MIN($U565:$V565)-TODAY()&lt;=年检提醒天,"还剩 "&amp;TEXT(MIN($U565:$V565)-TODAY(),"0")&amp;" 天","")))</f>
        <v/>
      </c>
      <c r="AC565" s="34" t="str">
        <f aca="true">IF($C565="","",IF(OR($Y565="安装免保",$Y565="技术免保",$Y565="质保期内"),IF($Z565="","▲免保没填到期日",IF($Z565&lt;TODAY(),"▲免保已到期 该转收费了",IF($Z565-TODAY()&lt;=合同提醒天,"免保还剩 "&amp;TEXT($Z565-TODAY(),"0")&amp;" 天","免保中"))),IF($Y565="暂停维保","暂停中 不计费",IF($Y565="已解约","已解约",IF(COUNTIF(合同键,$E565)=0,"▲还没建合同行","")))))</f>
        <v/>
      </c>
      <c r="AD565" s="24"/>
      <c r="AE565" s="35" t="str">
        <f aca="false">IF($C565="","",IF($D565="","★项目名称没填",IF(N($P565)&lt;=0,"★台量要填",IF(AND(OR($Y565="安装免保",$Y565="技术免保",$Y565="质保期内"),$Z565=""),"★免保到期日没填",IF(COUNTIF(合同键,$E565)=0,"★还没建合同行","OK")))))</f>
        <v/>
      </c>
    </row>
    <row r="566" customFormat="false" ht="15" hidden="false" customHeight="false" outlineLevel="0" collapsed="false">
      <c r="A566" s="29" t="str">
        <f aca="false">IF($C566="","",ROW()-4)</f>
        <v/>
      </c>
      <c r="B566" s="25"/>
      <c r="C566" s="24"/>
      <c r="D566" s="24"/>
      <c r="E566" s="30" t="str">
        <f aca="false">IF($C566="","",$C566&amp;" ｜ "&amp;$D566)</f>
        <v/>
      </c>
      <c r="F566" s="25"/>
      <c r="G566" s="25"/>
      <c r="H566" s="25"/>
      <c r="I566" s="25"/>
      <c r="J566" s="25"/>
      <c r="K566" s="21"/>
      <c r="L566" s="21"/>
      <c r="M566" s="21"/>
      <c r="N566" s="25"/>
      <c r="O566" s="25"/>
      <c r="P566" s="32"/>
      <c r="Q566" s="25"/>
      <c r="R566" s="25"/>
      <c r="S566" s="33"/>
      <c r="T566" s="33"/>
      <c r="U566" s="33"/>
      <c r="V566" s="33"/>
      <c r="W566" s="25"/>
      <c r="X566" s="25"/>
      <c r="Y566" s="25"/>
      <c r="Z566" s="33"/>
      <c r="AA566" s="34" t="str">
        <f aca="true">IF($T566="","",IF($T566&lt;TODAY(),"已过期 "&amp;TEXT(TODAY()-$T566,"0")&amp;" 天",IF($T566-TODAY()&lt;=年检提醒天,"还剩 "&amp;TEXT($T566-TODAY(),"0")&amp;" 天","")))</f>
        <v/>
      </c>
      <c r="AB566" s="34" t="str">
        <f aca="true">IF(COUNT($U566:$V566)=0,"",IF(MIN($U566:$V566)&lt;TODAY(),"已过期 "&amp;TEXT(TODAY()-MIN($U566:$V566),"0")&amp;" 天",IF(MIN($U566:$V566)-TODAY()&lt;=年检提醒天,"还剩 "&amp;TEXT(MIN($U566:$V566)-TODAY(),"0")&amp;" 天","")))</f>
        <v/>
      </c>
      <c r="AC566" s="34" t="str">
        <f aca="true">IF($C566="","",IF(OR($Y566="安装免保",$Y566="技术免保",$Y566="质保期内"),IF($Z566="","▲免保没填到期日",IF($Z566&lt;TODAY(),"▲免保已到期 该转收费了",IF($Z566-TODAY()&lt;=合同提醒天,"免保还剩 "&amp;TEXT($Z566-TODAY(),"0")&amp;" 天","免保中"))),IF($Y566="暂停维保","暂停中 不计费",IF($Y566="已解约","已解约",IF(COUNTIF(合同键,$E566)=0,"▲还没建合同行","")))))</f>
        <v/>
      </c>
      <c r="AD566" s="24"/>
      <c r="AE566" s="35" t="str">
        <f aca="false">IF($C566="","",IF($D566="","★项目名称没填",IF(N($P566)&lt;=0,"★台量要填",IF(AND(OR($Y566="安装免保",$Y566="技术免保",$Y566="质保期内"),$Z566=""),"★免保到期日没填",IF(COUNTIF(合同键,$E566)=0,"★还没建合同行","OK")))))</f>
        <v/>
      </c>
    </row>
    <row r="567" customFormat="false" ht="15" hidden="false" customHeight="false" outlineLevel="0" collapsed="false">
      <c r="A567" s="29" t="str">
        <f aca="false">IF($C567="","",ROW()-4)</f>
        <v/>
      </c>
      <c r="B567" s="25"/>
      <c r="C567" s="24"/>
      <c r="D567" s="24"/>
      <c r="E567" s="30" t="str">
        <f aca="false">IF($C567="","",$C567&amp;" ｜ "&amp;$D567)</f>
        <v/>
      </c>
      <c r="F567" s="25"/>
      <c r="G567" s="25"/>
      <c r="H567" s="25"/>
      <c r="I567" s="25"/>
      <c r="J567" s="25"/>
      <c r="K567" s="21"/>
      <c r="L567" s="21"/>
      <c r="M567" s="21"/>
      <c r="N567" s="25"/>
      <c r="O567" s="25"/>
      <c r="P567" s="32"/>
      <c r="Q567" s="25"/>
      <c r="R567" s="25"/>
      <c r="S567" s="33"/>
      <c r="T567" s="33"/>
      <c r="U567" s="33"/>
      <c r="V567" s="33"/>
      <c r="W567" s="25"/>
      <c r="X567" s="25"/>
      <c r="Y567" s="25"/>
      <c r="Z567" s="33"/>
      <c r="AA567" s="34" t="str">
        <f aca="true">IF($T567="","",IF($T567&lt;TODAY(),"已过期 "&amp;TEXT(TODAY()-$T567,"0")&amp;" 天",IF($T567-TODAY()&lt;=年检提醒天,"还剩 "&amp;TEXT($T567-TODAY(),"0")&amp;" 天","")))</f>
        <v/>
      </c>
      <c r="AB567" s="34" t="str">
        <f aca="true">IF(COUNT($U567:$V567)=0,"",IF(MIN($U567:$V567)&lt;TODAY(),"已过期 "&amp;TEXT(TODAY()-MIN($U567:$V567),"0")&amp;" 天",IF(MIN($U567:$V567)-TODAY()&lt;=年检提醒天,"还剩 "&amp;TEXT(MIN($U567:$V567)-TODAY(),"0")&amp;" 天","")))</f>
        <v/>
      </c>
      <c r="AC567" s="34" t="str">
        <f aca="true">IF($C567="","",IF(OR($Y567="安装免保",$Y567="技术免保",$Y567="质保期内"),IF($Z567="","▲免保没填到期日",IF($Z567&lt;TODAY(),"▲免保已到期 该转收费了",IF($Z567-TODAY()&lt;=合同提醒天,"免保还剩 "&amp;TEXT($Z567-TODAY(),"0")&amp;" 天","免保中"))),IF($Y567="暂停维保","暂停中 不计费",IF($Y567="已解约","已解约",IF(COUNTIF(合同键,$E567)=0,"▲还没建合同行","")))))</f>
        <v/>
      </c>
      <c r="AD567" s="24"/>
      <c r="AE567" s="35" t="str">
        <f aca="false">IF($C567="","",IF($D567="","★项目名称没填",IF(N($P567)&lt;=0,"★台量要填",IF(AND(OR($Y567="安装免保",$Y567="技术免保",$Y567="质保期内"),$Z567=""),"★免保到期日没填",IF(COUNTIF(合同键,$E567)=0,"★还没建合同行","OK")))))</f>
        <v/>
      </c>
    </row>
    <row r="568" customFormat="false" ht="15" hidden="false" customHeight="false" outlineLevel="0" collapsed="false">
      <c r="A568" s="29" t="str">
        <f aca="false">IF($C568="","",ROW()-4)</f>
        <v/>
      </c>
      <c r="B568" s="25"/>
      <c r="C568" s="24"/>
      <c r="D568" s="24"/>
      <c r="E568" s="30" t="str">
        <f aca="false">IF($C568="","",$C568&amp;" ｜ "&amp;$D568)</f>
        <v/>
      </c>
      <c r="F568" s="25"/>
      <c r="G568" s="25"/>
      <c r="H568" s="25"/>
      <c r="I568" s="25"/>
      <c r="J568" s="25"/>
      <c r="K568" s="21"/>
      <c r="L568" s="21"/>
      <c r="M568" s="21"/>
      <c r="N568" s="25"/>
      <c r="O568" s="25"/>
      <c r="P568" s="32"/>
      <c r="Q568" s="25"/>
      <c r="R568" s="25"/>
      <c r="S568" s="33"/>
      <c r="T568" s="33"/>
      <c r="U568" s="33"/>
      <c r="V568" s="33"/>
      <c r="W568" s="25"/>
      <c r="X568" s="25"/>
      <c r="Y568" s="25"/>
      <c r="Z568" s="33"/>
      <c r="AA568" s="34" t="str">
        <f aca="true">IF($T568="","",IF($T568&lt;TODAY(),"已过期 "&amp;TEXT(TODAY()-$T568,"0")&amp;" 天",IF($T568-TODAY()&lt;=年检提醒天,"还剩 "&amp;TEXT($T568-TODAY(),"0")&amp;" 天","")))</f>
        <v/>
      </c>
      <c r="AB568" s="34" t="str">
        <f aca="true">IF(COUNT($U568:$V568)=0,"",IF(MIN($U568:$V568)&lt;TODAY(),"已过期 "&amp;TEXT(TODAY()-MIN($U568:$V568),"0")&amp;" 天",IF(MIN($U568:$V568)-TODAY()&lt;=年检提醒天,"还剩 "&amp;TEXT(MIN($U568:$V568)-TODAY(),"0")&amp;" 天","")))</f>
        <v/>
      </c>
      <c r="AC568" s="34" t="str">
        <f aca="true">IF($C568="","",IF(OR($Y568="安装免保",$Y568="技术免保",$Y568="质保期内"),IF($Z568="","▲免保没填到期日",IF($Z568&lt;TODAY(),"▲免保已到期 该转收费了",IF($Z568-TODAY()&lt;=合同提醒天,"免保还剩 "&amp;TEXT($Z568-TODAY(),"0")&amp;" 天","免保中"))),IF($Y568="暂停维保","暂停中 不计费",IF($Y568="已解约","已解约",IF(COUNTIF(合同键,$E568)=0,"▲还没建合同行","")))))</f>
        <v/>
      </c>
      <c r="AD568" s="24"/>
      <c r="AE568" s="35" t="str">
        <f aca="false">IF($C568="","",IF($D568="","★项目名称没填",IF(N($P568)&lt;=0,"★台量要填",IF(AND(OR($Y568="安装免保",$Y568="技术免保",$Y568="质保期内"),$Z568=""),"★免保到期日没填",IF(COUNTIF(合同键,$E568)=0,"★还没建合同行","OK")))))</f>
        <v/>
      </c>
    </row>
    <row r="569" customFormat="false" ht="15" hidden="false" customHeight="false" outlineLevel="0" collapsed="false">
      <c r="A569" s="29" t="str">
        <f aca="false">IF($C569="","",ROW()-4)</f>
        <v/>
      </c>
      <c r="B569" s="25"/>
      <c r="C569" s="24"/>
      <c r="D569" s="24"/>
      <c r="E569" s="30" t="str">
        <f aca="false">IF($C569="","",$C569&amp;" ｜ "&amp;$D569)</f>
        <v/>
      </c>
      <c r="F569" s="25"/>
      <c r="G569" s="25"/>
      <c r="H569" s="25"/>
      <c r="I569" s="25"/>
      <c r="J569" s="25"/>
      <c r="K569" s="21"/>
      <c r="L569" s="21"/>
      <c r="M569" s="21"/>
      <c r="N569" s="25"/>
      <c r="O569" s="25"/>
      <c r="P569" s="32"/>
      <c r="Q569" s="25"/>
      <c r="R569" s="25"/>
      <c r="S569" s="33"/>
      <c r="T569" s="33"/>
      <c r="U569" s="33"/>
      <c r="V569" s="33"/>
      <c r="W569" s="25"/>
      <c r="X569" s="25"/>
      <c r="Y569" s="25"/>
      <c r="Z569" s="33"/>
      <c r="AA569" s="34" t="str">
        <f aca="true">IF($T569="","",IF($T569&lt;TODAY(),"已过期 "&amp;TEXT(TODAY()-$T569,"0")&amp;" 天",IF($T569-TODAY()&lt;=年检提醒天,"还剩 "&amp;TEXT($T569-TODAY(),"0")&amp;" 天","")))</f>
        <v/>
      </c>
      <c r="AB569" s="34" t="str">
        <f aca="true">IF(COUNT($U569:$V569)=0,"",IF(MIN($U569:$V569)&lt;TODAY(),"已过期 "&amp;TEXT(TODAY()-MIN($U569:$V569),"0")&amp;" 天",IF(MIN($U569:$V569)-TODAY()&lt;=年检提醒天,"还剩 "&amp;TEXT(MIN($U569:$V569)-TODAY(),"0")&amp;" 天","")))</f>
        <v/>
      </c>
      <c r="AC569" s="34" t="str">
        <f aca="true">IF($C569="","",IF(OR($Y569="安装免保",$Y569="技术免保",$Y569="质保期内"),IF($Z569="","▲免保没填到期日",IF($Z569&lt;TODAY(),"▲免保已到期 该转收费了",IF($Z569-TODAY()&lt;=合同提醒天,"免保还剩 "&amp;TEXT($Z569-TODAY(),"0")&amp;" 天","免保中"))),IF($Y569="暂停维保","暂停中 不计费",IF($Y569="已解约","已解约",IF(COUNTIF(合同键,$E569)=0,"▲还没建合同行","")))))</f>
        <v/>
      </c>
      <c r="AD569" s="24"/>
      <c r="AE569" s="35" t="str">
        <f aca="false">IF($C569="","",IF($D569="","★项目名称没填",IF(N($P569)&lt;=0,"★台量要填",IF(AND(OR($Y569="安装免保",$Y569="技术免保",$Y569="质保期内"),$Z569=""),"★免保到期日没填",IF(COUNTIF(合同键,$E569)=0,"★还没建合同行","OK")))))</f>
        <v/>
      </c>
    </row>
    <row r="570" customFormat="false" ht="15" hidden="false" customHeight="false" outlineLevel="0" collapsed="false">
      <c r="A570" s="29" t="str">
        <f aca="false">IF($C570="","",ROW()-4)</f>
        <v/>
      </c>
      <c r="B570" s="25"/>
      <c r="C570" s="24"/>
      <c r="D570" s="24"/>
      <c r="E570" s="30" t="str">
        <f aca="false">IF($C570="","",$C570&amp;" ｜ "&amp;$D570)</f>
        <v/>
      </c>
      <c r="F570" s="25"/>
      <c r="G570" s="25"/>
      <c r="H570" s="25"/>
      <c r="I570" s="25"/>
      <c r="J570" s="25"/>
      <c r="K570" s="21"/>
      <c r="L570" s="21"/>
      <c r="M570" s="21"/>
      <c r="N570" s="25"/>
      <c r="O570" s="25"/>
      <c r="P570" s="32"/>
      <c r="Q570" s="25"/>
      <c r="R570" s="25"/>
      <c r="S570" s="33"/>
      <c r="T570" s="33"/>
      <c r="U570" s="33"/>
      <c r="V570" s="33"/>
      <c r="W570" s="25"/>
      <c r="X570" s="25"/>
      <c r="Y570" s="25"/>
      <c r="Z570" s="33"/>
      <c r="AA570" s="34" t="str">
        <f aca="true">IF($T570="","",IF($T570&lt;TODAY(),"已过期 "&amp;TEXT(TODAY()-$T570,"0")&amp;" 天",IF($T570-TODAY()&lt;=年检提醒天,"还剩 "&amp;TEXT($T570-TODAY(),"0")&amp;" 天","")))</f>
        <v/>
      </c>
      <c r="AB570" s="34" t="str">
        <f aca="true">IF(COUNT($U570:$V570)=0,"",IF(MIN($U570:$V570)&lt;TODAY(),"已过期 "&amp;TEXT(TODAY()-MIN($U570:$V570),"0")&amp;" 天",IF(MIN($U570:$V570)-TODAY()&lt;=年检提醒天,"还剩 "&amp;TEXT(MIN($U570:$V570)-TODAY(),"0")&amp;" 天","")))</f>
        <v/>
      </c>
      <c r="AC570" s="34" t="str">
        <f aca="true">IF($C570="","",IF(OR($Y570="安装免保",$Y570="技术免保",$Y570="质保期内"),IF($Z570="","▲免保没填到期日",IF($Z570&lt;TODAY(),"▲免保已到期 该转收费了",IF($Z570-TODAY()&lt;=合同提醒天,"免保还剩 "&amp;TEXT($Z570-TODAY(),"0")&amp;" 天","免保中"))),IF($Y570="暂停维保","暂停中 不计费",IF($Y570="已解约","已解约",IF(COUNTIF(合同键,$E570)=0,"▲还没建合同行","")))))</f>
        <v/>
      </c>
      <c r="AD570" s="24"/>
      <c r="AE570" s="35" t="str">
        <f aca="false">IF($C570="","",IF($D570="","★项目名称没填",IF(N($P570)&lt;=0,"★台量要填",IF(AND(OR($Y570="安装免保",$Y570="技术免保",$Y570="质保期内"),$Z570=""),"★免保到期日没填",IF(COUNTIF(合同键,$E570)=0,"★还没建合同行","OK")))))</f>
        <v/>
      </c>
    </row>
    <row r="571" customFormat="false" ht="15" hidden="false" customHeight="false" outlineLevel="0" collapsed="false">
      <c r="A571" s="29" t="str">
        <f aca="false">IF($C571="","",ROW()-4)</f>
        <v/>
      </c>
      <c r="B571" s="25"/>
      <c r="C571" s="24"/>
      <c r="D571" s="24"/>
      <c r="E571" s="30" t="str">
        <f aca="false">IF($C571="","",$C571&amp;" ｜ "&amp;$D571)</f>
        <v/>
      </c>
      <c r="F571" s="25"/>
      <c r="G571" s="25"/>
      <c r="H571" s="25"/>
      <c r="I571" s="25"/>
      <c r="J571" s="25"/>
      <c r="K571" s="21"/>
      <c r="L571" s="21"/>
      <c r="M571" s="21"/>
      <c r="N571" s="25"/>
      <c r="O571" s="25"/>
      <c r="P571" s="32"/>
      <c r="Q571" s="25"/>
      <c r="R571" s="25"/>
      <c r="S571" s="33"/>
      <c r="T571" s="33"/>
      <c r="U571" s="33"/>
      <c r="V571" s="33"/>
      <c r="W571" s="25"/>
      <c r="X571" s="25"/>
      <c r="Y571" s="25"/>
      <c r="Z571" s="33"/>
      <c r="AA571" s="34" t="str">
        <f aca="true">IF($T571="","",IF($T571&lt;TODAY(),"已过期 "&amp;TEXT(TODAY()-$T571,"0")&amp;" 天",IF($T571-TODAY()&lt;=年检提醒天,"还剩 "&amp;TEXT($T571-TODAY(),"0")&amp;" 天","")))</f>
        <v/>
      </c>
      <c r="AB571" s="34" t="str">
        <f aca="true">IF(COUNT($U571:$V571)=0,"",IF(MIN($U571:$V571)&lt;TODAY(),"已过期 "&amp;TEXT(TODAY()-MIN($U571:$V571),"0")&amp;" 天",IF(MIN($U571:$V571)-TODAY()&lt;=年检提醒天,"还剩 "&amp;TEXT(MIN($U571:$V571)-TODAY(),"0")&amp;" 天","")))</f>
        <v/>
      </c>
      <c r="AC571" s="34" t="str">
        <f aca="true">IF($C571="","",IF(OR($Y571="安装免保",$Y571="技术免保",$Y571="质保期内"),IF($Z571="","▲免保没填到期日",IF($Z571&lt;TODAY(),"▲免保已到期 该转收费了",IF($Z571-TODAY()&lt;=合同提醒天,"免保还剩 "&amp;TEXT($Z571-TODAY(),"0")&amp;" 天","免保中"))),IF($Y571="暂停维保","暂停中 不计费",IF($Y571="已解约","已解约",IF(COUNTIF(合同键,$E571)=0,"▲还没建合同行","")))))</f>
        <v/>
      </c>
      <c r="AD571" s="24"/>
      <c r="AE571" s="35" t="str">
        <f aca="false">IF($C571="","",IF($D571="","★项目名称没填",IF(N($P571)&lt;=0,"★台量要填",IF(AND(OR($Y571="安装免保",$Y571="技术免保",$Y571="质保期内"),$Z571=""),"★免保到期日没填",IF(COUNTIF(合同键,$E571)=0,"★还没建合同行","OK")))))</f>
        <v/>
      </c>
    </row>
    <row r="572" customFormat="false" ht="15" hidden="false" customHeight="false" outlineLevel="0" collapsed="false">
      <c r="A572" s="29" t="str">
        <f aca="false">IF($C572="","",ROW()-4)</f>
        <v/>
      </c>
      <c r="B572" s="25"/>
      <c r="C572" s="24"/>
      <c r="D572" s="24"/>
      <c r="E572" s="30" t="str">
        <f aca="false">IF($C572="","",$C572&amp;" ｜ "&amp;$D572)</f>
        <v/>
      </c>
      <c r="F572" s="25"/>
      <c r="G572" s="25"/>
      <c r="H572" s="25"/>
      <c r="I572" s="25"/>
      <c r="J572" s="25"/>
      <c r="K572" s="21"/>
      <c r="L572" s="21"/>
      <c r="M572" s="21"/>
      <c r="N572" s="25"/>
      <c r="O572" s="25"/>
      <c r="P572" s="32"/>
      <c r="Q572" s="25"/>
      <c r="R572" s="25"/>
      <c r="S572" s="33"/>
      <c r="T572" s="33"/>
      <c r="U572" s="33"/>
      <c r="V572" s="33"/>
      <c r="W572" s="25"/>
      <c r="X572" s="25"/>
      <c r="Y572" s="25"/>
      <c r="Z572" s="33"/>
      <c r="AA572" s="34" t="str">
        <f aca="true">IF($T572="","",IF($T572&lt;TODAY(),"已过期 "&amp;TEXT(TODAY()-$T572,"0")&amp;" 天",IF($T572-TODAY()&lt;=年检提醒天,"还剩 "&amp;TEXT($T572-TODAY(),"0")&amp;" 天","")))</f>
        <v/>
      </c>
      <c r="AB572" s="34" t="str">
        <f aca="true">IF(COUNT($U572:$V572)=0,"",IF(MIN($U572:$V572)&lt;TODAY(),"已过期 "&amp;TEXT(TODAY()-MIN($U572:$V572),"0")&amp;" 天",IF(MIN($U572:$V572)-TODAY()&lt;=年检提醒天,"还剩 "&amp;TEXT(MIN($U572:$V572)-TODAY(),"0")&amp;" 天","")))</f>
        <v/>
      </c>
      <c r="AC572" s="34" t="str">
        <f aca="true">IF($C572="","",IF(OR($Y572="安装免保",$Y572="技术免保",$Y572="质保期内"),IF($Z572="","▲免保没填到期日",IF($Z572&lt;TODAY(),"▲免保已到期 该转收费了",IF($Z572-TODAY()&lt;=合同提醒天,"免保还剩 "&amp;TEXT($Z572-TODAY(),"0")&amp;" 天","免保中"))),IF($Y572="暂停维保","暂停中 不计费",IF($Y572="已解约","已解约",IF(COUNTIF(合同键,$E572)=0,"▲还没建合同行","")))))</f>
        <v/>
      </c>
      <c r="AD572" s="24"/>
      <c r="AE572" s="35" t="str">
        <f aca="false">IF($C572="","",IF($D572="","★项目名称没填",IF(N($P572)&lt;=0,"★台量要填",IF(AND(OR($Y572="安装免保",$Y572="技术免保",$Y572="质保期内"),$Z572=""),"★免保到期日没填",IF(COUNTIF(合同键,$E572)=0,"★还没建合同行","OK")))))</f>
        <v/>
      </c>
    </row>
    <row r="573" customFormat="false" ht="15" hidden="false" customHeight="false" outlineLevel="0" collapsed="false">
      <c r="A573" s="29" t="str">
        <f aca="false">IF($C573="","",ROW()-4)</f>
        <v/>
      </c>
      <c r="B573" s="25"/>
      <c r="C573" s="24"/>
      <c r="D573" s="24"/>
      <c r="E573" s="30" t="str">
        <f aca="false">IF($C573="","",$C573&amp;" ｜ "&amp;$D573)</f>
        <v/>
      </c>
      <c r="F573" s="25"/>
      <c r="G573" s="25"/>
      <c r="H573" s="25"/>
      <c r="I573" s="25"/>
      <c r="J573" s="25"/>
      <c r="K573" s="21"/>
      <c r="L573" s="21"/>
      <c r="M573" s="21"/>
      <c r="N573" s="25"/>
      <c r="O573" s="25"/>
      <c r="P573" s="32"/>
      <c r="Q573" s="25"/>
      <c r="R573" s="25"/>
      <c r="S573" s="33"/>
      <c r="T573" s="33"/>
      <c r="U573" s="33"/>
      <c r="V573" s="33"/>
      <c r="W573" s="25"/>
      <c r="X573" s="25"/>
      <c r="Y573" s="25"/>
      <c r="Z573" s="33"/>
      <c r="AA573" s="34" t="str">
        <f aca="true">IF($T573="","",IF($T573&lt;TODAY(),"已过期 "&amp;TEXT(TODAY()-$T573,"0")&amp;" 天",IF($T573-TODAY()&lt;=年检提醒天,"还剩 "&amp;TEXT($T573-TODAY(),"0")&amp;" 天","")))</f>
        <v/>
      </c>
      <c r="AB573" s="34" t="str">
        <f aca="true">IF(COUNT($U573:$V573)=0,"",IF(MIN($U573:$V573)&lt;TODAY(),"已过期 "&amp;TEXT(TODAY()-MIN($U573:$V573),"0")&amp;" 天",IF(MIN($U573:$V573)-TODAY()&lt;=年检提醒天,"还剩 "&amp;TEXT(MIN($U573:$V573)-TODAY(),"0")&amp;" 天","")))</f>
        <v/>
      </c>
      <c r="AC573" s="34" t="str">
        <f aca="true">IF($C573="","",IF(OR($Y573="安装免保",$Y573="技术免保",$Y573="质保期内"),IF($Z573="","▲免保没填到期日",IF($Z573&lt;TODAY(),"▲免保已到期 该转收费了",IF($Z573-TODAY()&lt;=合同提醒天,"免保还剩 "&amp;TEXT($Z573-TODAY(),"0")&amp;" 天","免保中"))),IF($Y573="暂停维保","暂停中 不计费",IF($Y573="已解约","已解约",IF(COUNTIF(合同键,$E573)=0,"▲还没建合同行","")))))</f>
        <v/>
      </c>
      <c r="AD573" s="24"/>
      <c r="AE573" s="35" t="str">
        <f aca="false">IF($C573="","",IF($D573="","★项目名称没填",IF(N($P573)&lt;=0,"★台量要填",IF(AND(OR($Y573="安装免保",$Y573="技术免保",$Y573="质保期内"),$Z573=""),"★免保到期日没填",IF(COUNTIF(合同键,$E573)=0,"★还没建合同行","OK")))))</f>
        <v/>
      </c>
    </row>
    <row r="574" customFormat="false" ht="15" hidden="false" customHeight="false" outlineLevel="0" collapsed="false">
      <c r="A574" s="29" t="str">
        <f aca="false">IF($C574="","",ROW()-4)</f>
        <v/>
      </c>
      <c r="B574" s="25"/>
      <c r="C574" s="24"/>
      <c r="D574" s="24"/>
      <c r="E574" s="30" t="str">
        <f aca="false">IF($C574="","",$C574&amp;" ｜ "&amp;$D574)</f>
        <v/>
      </c>
      <c r="F574" s="25"/>
      <c r="G574" s="25"/>
      <c r="H574" s="25"/>
      <c r="I574" s="25"/>
      <c r="J574" s="25"/>
      <c r="K574" s="21"/>
      <c r="L574" s="21"/>
      <c r="M574" s="21"/>
      <c r="N574" s="25"/>
      <c r="O574" s="25"/>
      <c r="P574" s="32"/>
      <c r="Q574" s="25"/>
      <c r="R574" s="25"/>
      <c r="S574" s="33"/>
      <c r="T574" s="33"/>
      <c r="U574" s="33"/>
      <c r="V574" s="33"/>
      <c r="W574" s="25"/>
      <c r="X574" s="25"/>
      <c r="Y574" s="25"/>
      <c r="Z574" s="33"/>
      <c r="AA574" s="34" t="str">
        <f aca="true">IF($T574="","",IF($T574&lt;TODAY(),"已过期 "&amp;TEXT(TODAY()-$T574,"0")&amp;" 天",IF($T574-TODAY()&lt;=年检提醒天,"还剩 "&amp;TEXT($T574-TODAY(),"0")&amp;" 天","")))</f>
        <v/>
      </c>
      <c r="AB574" s="34" t="str">
        <f aca="true">IF(COUNT($U574:$V574)=0,"",IF(MIN($U574:$V574)&lt;TODAY(),"已过期 "&amp;TEXT(TODAY()-MIN($U574:$V574),"0")&amp;" 天",IF(MIN($U574:$V574)-TODAY()&lt;=年检提醒天,"还剩 "&amp;TEXT(MIN($U574:$V574)-TODAY(),"0")&amp;" 天","")))</f>
        <v/>
      </c>
      <c r="AC574" s="34" t="str">
        <f aca="true">IF($C574="","",IF(OR($Y574="安装免保",$Y574="技术免保",$Y574="质保期内"),IF($Z574="","▲免保没填到期日",IF($Z574&lt;TODAY(),"▲免保已到期 该转收费了",IF($Z574-TODAY()&lt;=合同提醒天,"免保还剩 "&amp;TEXT($Z574-TODAY(),"0")&amp;" 天","免保中"))),IF($Y574="暂停维保","暂停中 不计费",IF($Y574="已解约","已解约",IF(COUNTIF(合同键,$E574)=0,"▲还没建合同行","")))))</f>
        <v/>
      </c>
      <c r="AD574" s="24"/>
      <c r="AE574" s="35" t="str">
        <f aca="false">IF($C574="","",IF($D574="","★项目名称没填",IF(N($P574)&lt;=0,"★台量要填",IF(AND(OR($Y574="安装免保",$Y574="技术免保",$Y574="质保期内"),$Z574=""),"★免保到期日没填",IF(COUNTIF(合同键,$E574)=0,"★还没建合同行","OK")))))</f>
        <v/>
      </c>
    </row>
    <row r="575" customFormat="false" ht="15" hidden="false" customHeight="false" outlineLevel="0" collapsed="false">
      <c r="A575" s="29" t="str">
        <f aca="false">IF($C575="","",ROW()-4)</f>
        <v/>
      </c>
      <c r="B575" s="25"/>
      <c r="C575" s="24"/>
      <c r="D575" s="24"/>
      <c r="E575" s="30" t="str">
        <f aca="false">IF($C575="","",$C575&amp;" ｜ "&amp;$D575)</f>
        <v/>
      </c>
      <c r="F575" s="25"/>
      <c r="G575" s="25"/>
      <c r="H575" s="25"/>
      <c r="I575" s="25"/>
      <c r="J575" s="25"/>
      <c r="K575" s="21"/>
      <c r="L575" s="21"/>
      <c r="M575" s="21"/>
      <c r="N575" s="25"/>
      <c r="O575" s="25"/>
      <c r="P575" s="32"/>
      <c r="Q575" s="25"/>
      <c r="R575" s="25"/>
      <c r="S575" s="33"/>
      <c r="T575" s="33"/>
      <c r="U575" s="33"/>
      <c r="V575" s="33"/>
      <c r="W575" s="25"/>
      <c r="X575" s="25"/>
      <c r="Y575" s="25"/>
      <c r="Z575" s="33"/>
      <c r="AA575" s="34" t="str">
        <f aca="true">IF($T575="","",IF($T575&lt;TODAY(),"已过期 "&amp;TEXT(TODAY()-$T575,"0")&amp;" 天",IF($T575-TODAY()&lt;=年检提醒天,"还剩 "&amp;TEXT($T575-TODAY(),"0")&amp;" 天","")))</f>
        <v/>
      </c>
      <c r="AB575" s="34" t="str">
        <f aca="true">IF(COUNT($U575:$V575)=0,"",IF(MIN($U575:$V575)&lt;TODAY(),"已过期 "&amp;TEXT(TODAY()-MIN($U575:$V575),"0")&amp;" 天",IF(MIN($U575:$V575)-TODAY()&lt;=年检提醒天,"还剩 "&amp;TEXT(MIN($U575:$V575)-TODAY(),"0")&amp;" 天","")))</f>
        <v/>
      </c>
      <c r="AC575" s="34" t="str">
        <f aca="true">IF($C575="","",IF(OR($Y575="安装免保",$Y575="技术免保",$Y575="质保期内"),IF($Z575="","▲免保没填到期日",IF($Z575&lt;TODAY(),"▲免保已到期 该转收费了",IF($Z575-TODAY()&lt;=合同提醒天,"免保还剩 "&amp;TEXT($Z575-TODAY(),"0")&amp;" 天","免保中"))),IF($Y575="暂停维保","暂停中 不计费",IF($Y575="已解约","已解约",IF(COUNTIF(合同键,$E575)=0,"▲还没建合同行","")))))</f>
        <v/>
      </c>
      <c r="AD575" s="24"/>
      <c r="AE575" s="35" t="str">
        <f aca="false">IF($C575="","",IF($D575="","★项目名称没填",IF(N($P575)&lt;=0,"★台量要填",IF(AND(OR($Y575="安装免保",$Y575="技术免保",$Y575="质保期内"),$Z575=""),"★免保到期日没填",IF(COUNTIF(合同键,$E575)=0,"★还没建合同行","OK")))))</f>
        <v/>
      </c>
    </row>
    <row r="576" customFormat="false" ht="15" hidden="false" customHeight="false" outlineLevel="0" collapsed="false">
      <c r="A576" s="29" t="str">
        <f aca="false">IF($C576="","",ROW()-4)</f>
        <v/>
      </c>
      <c r="B576" s="25"/>
      <c r="C576" s="24"/>
      <c r="D576" s="24"/>
      <c r="E576" s="30" t="str">
        <f aca="false">IF($C576="","",$C576&amp;" ｜ "&amp;$D576)</f>
        <v/>
      </c>
      <c r="F576" s="25"/>
      <c r="G576" s="25"/>
      <c r="H576" s="25"/>
      <c r="I576" s="25"/>
      <c r="J576" s="25"/>
      <c r="K576" s="21"/>
      <c r="L576" s="21"/>
      <c r="M576" s="21"/>
      <c r="N576" s="25"/>
      <c r="O576" s="25"/>
      <c r="P576" s="32"/>
      <c r="Q576" s="25"/>
      <c r="R576" s="25"/>
      <c r="S576" s="33"/>
      <c r="T576" s="33"/>
      <c r="U576" s="33"/>
      <c r="V576" s="33"/>
      <c r="W576" s="25"/>
      <c r="X576" s="25"/>
      <c r="Y576" s="25"/>
      <c r="Z576" s="33"/>
      <c r="AA576" s="34" t="str">
        <f aca="true">IF($T576="","",IF($T576&lt;TODAY(),"已过期 "&amp;TEXT(TODAY()-$T576,"0")&amp;" 天",IF($T576-TODAY()&lt;=年检提醒天,"还剩 "&amp;TEXT($T576-TODAY(),"0")&amp;" 天","")))</f>
        <v/>
      </c>
      <c r="AB576" s="34" t="str">
        <f aca="true">IF(COUNT($U576:$V576)=0,"",IF(MIN($U576:$V576)&lt;TODAY(),"已过期 "&amp;TEXT(TODAY()-MIN($U576:$V576),"0")&amp;" 天",IF(MIN($U576:$V576)-TODAY()&lt;=年检提醒天,"还剩 "&amp;TEXT(MIN($U576:$V576)-TODAY(),"0")&amp;" 天","")))</f>
        <v/>
      </c>
      <c r="AC576" s="34" t="str">
        <f aca="true">IF($C576="","",IF(OR($Y576="安装免保",$Y576="技术免保",$Y576="质保期内"),IF($Z576="","▲免保没填到期日",IF($Z576&lt;TODAY(),"▲免保已到期 该转收费了",IF($Z576-TODAY()&lt;=合同提醒天,"免保还剩 "&amp;TEXT($Z576-TODAY(),"0")&amp;" 天","免保中"))),IF($Y576="暂停维保","暂停中 不计费",IF($Y576="已解约","已解约",IF(COUNTIF(合同键,$E576)=0,"▲还没建合同行","")))))</f>
        <v/>
      </c>
      <c r="AD576" s="24"/>
      <c r="AE576" s="35" t="str">
        <f aca="false">IF($C576="","",IF($D576="","★项目名称没填",IF(N($P576)&lt;=0,"★台量要填",IF(AND(OR($Y576="安装免保",$Y576="技术免保",$Y576="质保期内"),$Z576=""),"★免保到期日没填",IF(COUNTIF(合同键,$E576)=0,"★还没建合同行","OK")))))</f>
        <v/>
      </c>
    </row>
    <row r="577" customFormat="false" ht="15" hidden="false" customHeight="false" outlineLevel="0" collapsed="false">
      <c r="A577" s="29" t="str">
        <f aca="false">IF($C577="","",ROW()-4)</f>
        <v/>
      </c>
      <c r="B577" s="25"/>
      <c r="C577" s="24"/>
      <c r="D577" s="24"/>
      <c r="E577" s="30" t="str">
        <f aca="false">IF($C577="","",$C577&amp;" ｜ "&amp;$D577)</f>
        <v/>
      </c>
      <c r="F577" s="25"/>
      <c r="G577" s="25"/>
      <c r="H577" s="25"/>
      <c r="I577" s="25"/>
      <c r="J577" s="25"/>
      <c r="K577" s="21"/>
      <c r="L577" s="21"/>
      <c r="M577" s="21"/>
      <c r="N577" s="25"/>
      <c r="O577" s="25"/>
      <c r="P577" s="32"/>
      <c r="Q577" s="25"/>
      <c r="R577" s="25"/>
      <c r="S577" s="33"/>
      <c r="T577" s="33"/>
      <c r="U577" s="33"/>
      <c r="V577" s="33"/>
      <c r="W577" s="25"/>
      <c r="X577" s="25"/>
      <c r="Y577" s="25"/>
      <c r="Z577" s="33"/>
      <c r="AA577" s="34" t="str">
        <f aca="true">IF($T577="","",IF($T577&lt;TODAY(),"已过期 "&amp;TEXT(TODAY()-$T577,"0")&amp;" 天",IF($T577-TODAY()&lt;=年检提醒天,"还剩 "&amp;TEXT($T577-TODAY(),"0")&amp;" 天","")))</f>
        <v/>
      </c>
      <c r="AB577" s="34" t="str">
        <f aca="true">IF(COUNT($U577:$V577)=0,"",IF(MIN($U577:$V577)&lt;TODAY(),"已过期 "&amp;TEXT(TODAY()-MIN($U577:$V577),"0")&amp;" 天",IF(MIN($U577:$V577)-TODAY()&lt;=年检提醒天,"还剩 "&amp;TEXT(MIN($U577:$V577)-TODAY(),"0")&amp;" 天","")))</f>
        <v/>
      </c>
      <c r="AC577" s="34" t="str">
        <f aca="true">IF($C577="","",IF(OR($Y577="安装免保",$Y577="技术免保",$Y577="质保期内"),IF($Z577="","▲免保没填到期日",IF($Z577&lt;TODAY(),"▲免保已到期 该转收费了",IF($Z577-TODAY()&lt;=合同提醒天,"免保还剩 "&amp;TEXT($Z577-TODAY(),"0")&amp;" 天","免保中"))),IF($Y577="暂停维保","暂停中 不计费",IF($Y577="已解约","已解约",IF(COUNTIF(合同键,$E577)=0,"▲还没建合同行","")))))</f>
        <v/>
      </c>
      <c r="AD577" s="24"/>
      <c r="AE577" s="35" t="str">
        <f aca="false">IF($C577="","",IF($D577="","★项目名称没填",IF(N($P577)&lt;=0,"★台量要填",IF(AND(OR($Y577="安装免保",$Y577="技术免保",$Y577="质保期内"),$Z577=""),"★免保到期日没填",IF(COUNTIF(合同键,$E577)=0,"★还没建合同行","OK")))))</f>
        <v/>
      </c>
    </row>
    <row r="578" customFormat="false" ht="15" hidden="false" customHeight="false" outlineLevel="0" collapsed="false">
      <c r="A578" s="29" t="str">
        <f aca="false">IF($C578="","",ROW()-4)</f>
        <v/>
      </c>
      <c r="B578" s="25"/>
      <c r="C578" s="24"/>
      <c r="D578" s="24"/>
      <c r="E578" s="30" t="str">
        <f aca="false">IF($C578="","",$C578&amp;" ｜ "&amp;$D578)</f>
        <v/>
      </c>
      <c r="F578" s="25"/>
      <c r="G578" s="25"/>
      <c r="H578" s="25"/>
      <c r="I578" s="25"/>
      <c r="J578" s="25"/>
      <c r="K578" s="21"/>
      <c r="L578" s="21"/>
      <c r="M578" s="21"/>
      <c r="N578" s="25"/>
      <c r="O578" s="25"/>
      <c r="P578" s="32"/>
      <c r="Q578" s="25"/>
      <c r="R578" s="25"/>
      <c r="S578" s="33"/>
      <c r="T578" s="33"/>
      <c r="U578" s="33"/>
      <c r="V578" s="33"/>
      <c r="W578" s="25"/>
      <c r="X578" s="25"/>
      <c r="Y578" s="25"/>
      <c r="Z578" s="33"/>
      <c r="AA578" s="34" t="str">
        <f aca="true">IF($T578="","",IF($T578&lt;TODAY(),"已过期 "&amp;TEXT(TODAY()-$T578,"0")&amp;" 天",IF($T578-TODAY()&lt;=年检提醒天,"还剩 "&amp;TEXT($T578-TODAY(),"0")&amp;" 天","")))</f>
        <v/>
      </c>
      <c r="AB578" s="34" t="str">
        <f aca="true">IF(COUNT($U578:$V578)=0,"",IF(MIN($U578:$V578)&lt;TODAY(),"已过期 "&amp;TEXT(TODAY()-MIN($U578:$V578),"0")&amp;" 天",IF(MIN($U578:$V578)-TODAY()&lt;=年检提醒天,"还剩 "&amp;TEXT(MIN($U578:$V578)-TODAY(),"0")&amp;" 天","")))</f>
        <v/>
      </c>
      <c r="AC578" s="34" t="str">
        <f aca="true">IF($C578="","",IF(OR($Y578="安装免保",$Y578="技术免保",$Y578="质保期内"),IF($Z578="","▲免保没填到期日",IF($Z578&lt;TODAY(),"▲免保已到期 该转收费了",IF($Z578-TODAY()&lt;=合同提醒天,"免保还剩 "&amp;TEXT($Z578-TODAY(),"0")&amp;" 天","免保中"))),IF($Y578="暂停维保","暂停中 不计费",IF($Y578="已解约","已解约",IF(COUNTIF(合同键,$E578)=0,"▲还没建合同行","")))))</f>
        <v/>
      </c>
      <c r="AD578" s="24"/>
      <c r="AE578" s="35" t="str">
        <f aca="false">IF($C578="","",IF($D578="","★项目名称没填",IF(N($P578)&lt;=0,"★台量要填",IF(AND(OR($Y578="安装免保",$Y578="技术免保",$Y578="质保期内"),$Z578=""),"★免保到期日没填",IF(COUNTIF(合同键,$E578)=0,"★还没建合同行","OK")))))</f>
        <v/>
      </c>
    </row>
    <row r="579" customFormat="false" ht="15" hidden="false" customHeight="false" outlineLevel="0" collapsed="false">
      <c r="A579" s="29" t="str">
        <f aca="false">IF($C579="","",ROW()-4)</f>
        <v/>
      </c>
      <c r="B579" s="25"/>
      <c r="C579" s="24"/>
      <c r="D579" s="24"/>
      <c r="E579" s="30" t="str">
        <f aca="false">IF($C579="","",$C579&amp;" ｜ "&amp;$D579)</f>
        <v/>
      </c>
      <c r="F579" s="25"/>
      <c r="G579" s="25"/>
      <c r="H579" s="25"/>
      <c r="I579" s="25"/>
      <c r="J579" s="25"/>
      <c r="K579" s="21"/>
      <c r="L579" s="21"/>
      <c r="M579" s="21"/>
      <c r="N579" s="25"/>
      <c r="O579" s="25"/>
      <c r="P579" s="32"/>
      <c r="Q579" s="25"/>
      <c r="R579" s="25"/>
      <c r="S579" s="33"/>
      <c r="T579" s="33"/>
      <c r="U579" s="33"/>
      <c r="V579" s="33"/>
      <c r="W579" s="25"/>
      <c r="X579" s="25"/>
      <c r="Y579" s="25"/>
      <c r="Z579" s="33"/>
      <c r="AA579" s="34" t="str">
        <f aca="true">IF($T579="","",IF($T579&lt;TODAY(),"已过期 "&amp;TEXT(TODAY()-$T579,"0")&amp;" 天",IF($T579-TODAY()&lt;=年检提醒天,"还剩 "&amp;TEXT($T579-TODAY(),"0")&amp;" 天","")))</f>
        <v/>
      </c>
      <c r="AB579" s="34" t="str">
        <f aca="true">IF(COUNT($U579:$V579)=0,"",IF(MIN($U579:$V579)&lt;TODAY(),"已过期 "&amp;TEXT(TODAY()-MIN($U579:$V579),"0")&amp;" 天",IF(MIN($U579:$V579)-TODAY()&lt;=年检提醒天,"还剩 "&amp;TEXT(MIN($U579:$V579)-TODAY(),"0")&amp;" 天","")))</f>
        <v/>
      </c>
      <c r="AC579" s="34" t="str">
        <f aca="true">IF($C579="","",IF(OR($Y579="安装免保",$Y579="技术免保",$Y579="质保期内"),IF($Z579="","▲免保没填到期日",IF($Z579&lt;TODAY(),"▲免保已到期 该转收费了",IF($Z579-TODAY()&lt;=合同提醒天,"免保还剩 "&amp;TEXT($Z579-TODAY(),"0")&amp;" 天","免保中"))),IF($Y579="暂停维保","暂停中 不计费",IF($Y579="已解约","已解约",IF(COUNTIF(合同键,$E579)=0,"▲还没建合同行","")))))</f>
        <v/>
      </c>
      <c r="AD579" s="24"/>
      <c r="AE579" s="35" t="str">
        <f aca="false">IF($C579="","",IF($D579="","★项目名称没填",IF(N($P579)&lt;=0,"★台量要填",IF(AND(OR($Y579="安装免保",$Y579="技术免保",$Y579="质保期内"),$Z579=""),"★免保到期日没填",IF(COUNTIF(合同键,$E579)=0,"★还没建合同行","OK")))))</f>
        <v/>
      </c>
    </row>
    <row r="580" customFormat="false" ht="15" hidden="false" customHeight="false" outlineLevel="0" collapsed="false">
      <c r="A580" s="29" t="str">
        <f aca="false">IF($C580="","",ROW()-4)</f>
        <v/>
      </c>
      <c r="B580" s="25"/>
      <c r="C580" s="24"/>
      <c r="D580" s="24"/>
      <c r="E580" s="30" t="str">
        <f aca="false">IF($C580="","",$C580&amp;" ｜ "&amp;$D580)</f>
        <v/>
      </c>
      <c r="F580" s="25"/>
      <c r="G580" s="25"/>
      <c r="H580" s="25"/>
      <c r="I580" s="25"/>
      <c r="J580" s="25"/>
      <c r="K580" s="21"/>
      <c r="L580" s="21"/>
      <c r="M580" s="21"/>
      <c r="N580" s="25"/>
      <c r="O580" s="25"/>
      <c r="P580" s="32"/>
      <c r="Q580" s="25"/>
      <c r="R580" s="25"/>
      <c r="S580" s="33"/>
      <c r="T580" s="33"/>
      <c r="U580" s="33"/>
      <c r="V580" s="33"/>
      <c r="W580" s="25"/>
      <c r="X580" s="25"/>
      <c r="Y580" s="25"/>
      <c r="Z580" s="33"/>
      <c r="AA580" s="34" t="str">
        <f aca="true">IF($T580="","",IF($T580&lt;TODAY(),"已过期 "&amp;TEXT(TODAY()-$T580,"0")&amp;" 天",IF($T580-TODAY()&lt;=年检提醒天,"还剩 "&amp;TEXT($T580-TODAY(),"0")&amp;" 天","")))</f>
        <v/>
      </c>
      <c r="AB580" s="34" t="str">
        <f aca="true">IF(COUNT($U580:$V580)=0,"",IF(MIN($U580:$V580)&lt;TODAY(),"已过期 "&amp;TEXT(TODAY()-MIN($U580:$V580),"0")&amp;" 天",IF(MIN($U580:$V580)-TODAY()&lt;=年检提醒天,"还剩 "&amp;TEXT(MIN($U580:$V580)-TODAY(),"0")&amp;" 天","")))</f>
        <v/>
      </c>
      <c r="AC580" s="34" t="str">
        <f aca="true">IF($C580="","",IF(OR($Y580="安装免保",$Y580="技术免保",$Y580="质保期内"),IF($Z580="","▲免保没填到期日",IF($Z580&lt;TODAY(),"▲免保已到期 该转收费了",IF($Z580-TODAY()&lt;=合同提醒天,"免保还剩 "&amp;TEXT($Z580-TODAY(),"0")&amp;" 天","免保中"))),IF($Y580="暂停维保","暂停中 不计费",IF($Y580="已解约","已解约",IF(COUNTIF(合同键,$E580)=0,"▲还没建合同行","")))))</f>
        <v/>
      </c>
      <c r="AD580" s="24"/>
      <c r="AE580" s="35" t="str">
        <f aca="false">IF($C580="","",IF($D580="","★项目名称没填",IF(N($P580)&lt;=0,"★台量要填",IF(AND(OR($Y580="安装免保",$Y580="技术免保",$Y580="质保期内"),$Z580=""),"★免保到期日没填",IF(COUNTIF(合同键,$E580)=0,"★还没建合同行","OK")))))</f>
        <v/>
      </c>
    </row>
    <row r="581" customFormat="false" ht="15" hidden="false" customHeight="false" outlineLevel="0" collapsed="false">
      <c r="A581" s="29" t="str">
        <f aca="false">IF($C581="","",ROW()-4)</f>
        <v/>
      </c>
      <c r="B581" s="25"/>
      <c r="C581" s="24"/>
      <c r="D581" s="24"/>
      <c r="E581" s="30" t="str">
        <f aca="false">IF($C581="","",$C581&amp;" ｜ "&amp;$D581)</f>
        <v/>
      </c>
      <c r="F581" s="25"/>
      <c r="G581" s="25"/>
      <c r="H581" s="25"/>
      <c r="I581" s="25"/>
      <c r="J581" s="25"/>
      <c r="K581" s="21"/>
      <c r="L581" s="21"/>
      <c r="M581" s="21"/>
      <c r="N581" s="25"/>
      <c r="O581" s="25"/>
      <c r="P581" s="32"/>
      <c r="Q581" s="25"/>
      <c r="R581" s="25"/>
      <c r="S581" s="33"/>
      <c r="T581" s="33"/>
      <c r="U581" s="33"/>
      <c r="V581" s="33"/>
      <c r="W581" s="25"/>
      <c r="X581" s="25"/>
      <c r="Y581" s="25"/>
      <c r="Z581" s="33"/>
      <c r="AA581" s="34" t="str">
        <f aca="true">IF($T581="","",IF($T581&lt;TODAY(),"已过期 "&amp;TEXT(TODAY()-$T581,"0")&amp;" 天",IF($T581-TODAY()&lt;=年检提醒天,"还剩 "&amp;TEXT($T581-TODAY(),"0")&amp;" 天","")))</f>
        <v/>
      </c>
      <c r="AB581" s="34" t="str">
        <f aca="true">IF(COUNT($U581:$V581)=0,"",IF(MIN($U581:$V581)&lt;TODAY(),"已过期 "&amp;TEXT(TODAY()-MIN($U581:$V581),"0")&amp;" 天",IF(MIN($U581:$V581)-TODAY()&lt;=年检提醒天,"还剩 "&amp;TEXT(MIN($U581:$V581)-TODAY(),"0")&amp;" 天","")))</f>
        <v/>
      </c>
      <c r="AC581" s="34" t="str">
        <f aca="true">IF($C581="","",IF(OR($Y581="安装免保",$Y581="技术免保",$Y581="质保期内"),IF($Z581="","▲免保没填到期日",IF($Z581&lt;TODAY(),"▲免保已到期 该转收费了",IF($Z581-TODAY()&lt;=合同提醒天,"免保还剩 "&amp;TEXT($Z581-TODAY(),"0")&amp;" 天","免保中"))),IF($Y581="暂停维保","暂停中 不计费",IF($Y581="已解约","已解约",IF(COUNTIF(合同键,$E581)=0,"▲还没建合同行","")))))</f>
        <v/>
      </c>
      <c r="AD581" s="24"/>
      <c r="AE581" s="35" t="str">
        <f aca="false">IF($C581="","",IF($D581="","★项目名称没填",IF(N($P581)&lt;=0,"★台量要填",IF(AND(OR($Y581="安装免保",$Y581="技术免保",$Y581="质保期内"),$Z581=""),"★免保到期日没填",IF(COUNTIF(合同键,$E581)=0,"★还没建合同行","OK")))))</f>
        <v/>
      </c>
    </row>
    <row r="582" customFormat="false" ht="15" hidden="false" customHeight="false" outlineLevel="0" collapsed="false">
      <c r="A582" s="29" t="str">
        <f aca="false">IF($C582="","",ROW()-4)</f>
        <v/>
      </c>
      <c r="B582" s="25"/>
      <c r="C582" s="24"/>
      <c r="D582" s="24"/>
      <c r="E582" s="30" t="str">
        <f aca="false">IF($C582="","",$C582&amp;" ｜ "&amp;$D582)</f>
        <v/>
      </c>
      <c r="F582" s="25"/>
      <c r="G582" s="25"/>
      <c r="H582" s="25"/>
      <c r="I582" s="25"/>
      <c r="J582" s="25"/>
      <c r="K582" s="21"/>
      <c r="L582" s="21"/>
      <c r="M582" s="21"/>
      <c r="N582" s="25"/>
      <c r="O582" s="25"/>
      <c r="P582" s="32"/>
      <c r="Q582" s="25"/>
      <c r="R582" s="25"/>
      <c r="S582" s="33"/>
      <c r="T582" s="33"/>
      <c r="U582" s="33"/>
      <c r="V582" s="33"/>
      <c r="W582" s="25"/>
      <c r="X582" s="25"/>
      <c r="Y582" s="25"/>
      <c r="Z582" s="33"/>
      <c r="AA582" s="34" t="str">
        <f aca="true">IF($T582="","",IF($T582&lt;TODAY(),"已过期 "&amp;TEXT(TODAY()-$T582,"0")&amp;" 天",IF($T582-TODAY()&lt;=年检提醒天,"还剩 "&amp;TEXT($T582-TODAY(),"0")&amp;" 天","")))</f>
        <v/>
      </c>
      <c r="AB582" s="34" t="str">
        <f aca="true">IF(COUNT($U582:$V582)=0,"",IF(MIN($U582:$V582)&lt;TODAY(),"已过期 "&amp;TEXT(TODAY()-MIN($U582:$V582),"0")&amp;" 天",IF(MIN($U582:$V582)-TODAY()&lt;=年检提醒天,"还剩 "&amp;TEXT(MIN($U582:$V582)-TODAY(),"0")&amp;" 天","")))</f>
        <v/>
      </c>
      <c r="AC582" s="34" t="str">
        <f aca="true">IF($C582="","",IF(OR($Y582="安装免保",$Y582="技术免保",$Y582="质保期内"),IF($Z582="","▲免保没填到期日",IF($Z582&lt;TODAY(),"▲免保已到期 该转收费了",IF($Z582-TODAY()&lt;=合同提醒天,"免保还剩 "&amp;TEXT($Z582-TODAY(),"0")&amp;" 天","免保中"))),IF($Y582="暂停维保","暂停中 不计费",IF($Y582="已解约","已解约",IF(COUNTIF(合同键,$E582)=0,"▲还没建合同行","")))))</f>
        <v/>
      </c>
      <c r="AD582" s="24"/>
      <c r="AE582" s="35" t="str">
        <f aca="false">IF($C582="","",IF($D582="","★项目名称没填",IF(N($P582)&lt;=0,"★台量要填",IF(AND(OR($Y582="安装免保",$Y582="技术免保",$Y582="质保期内"),$Z582=""),"★免保到期日没填",IF(COUNTIF(合同键,$E582)=0,"★还没建合同行","OK")))))</f>
        <v/>
      </c>
    </row>
    <row r="583" customFormat="false" ht="15" hidden="false" customHeight="false" outlineLevel="0" collapsed="false">
      <c r="A583" s="29" t="str">
        <f aca="false">IF($C583="","",ROW()-4)</f>
        <v/>
      </c>
      <c r="B583" s="25"/>
      <c r="C583" s="24"/>
      <c r="D583" s="24"/>
      <c r="E583" s="30" t="str">
        <f aca="false">IF($C583="","",$C583&amp;" ｜ "&amp;$D583)</f>
        <v/>
      </c>
      <c r="F583" s="25"/>
      <c r="G583" s="25"/>
      <c r="H583" s="25"/>
      <c r="I583" s="25"/>
      <c r="J583" s="25"/>
      <c r="K583" s="21"/>
      <c r="L583" s="21"/>
      <c r="M583" s="21"/>
      <c r="N583" s="25"/>
      <c r="O583" s="25"/>
      <c r="P583" s="32"/>
      <c r="Q583" s="25"/>
      <c r="R583" s="25"/>
      <c r="S583" s="33"/>
      <c r="T583" s="33"/>
      <c r="U583" s="33"/>
      <c r="V583" s="33"/>
      <c r="W583" s="25"/>
      <c r="X583" s="25"/>
      <c r="Y583" s="25"/>
      <c r="Z583" s="33"/>
      <c r="AA583" s="34" t="str">
        <f aca="true">IF($T583="","",IF($T583&lt;TODAY(),"已过期 "&amp;TEXT(TODAY()-$T583,"0")&amp;" 天",IF($T583-TODAY()&lt;=年检提醒天,"还剩 "&amp;TEXT($T583-TODAY(),"0")&amp;" 天","")))</f>
        <v/>
      </c>
      <c r="AB583" s="34" t="str">
        <f aca="true">IF(COUNT($U583:$V583)=0,"",IF(MIN($U583:$V583)&lt;TODAY(),"已过期 "&amp;TEXT(TODAY()-MIN($U583:$V583),"0")&amp;" 天",IF(MIN($U583:$V583)-TODAY()&lt;=年检提醒天,"还剩 "&amp;TEXT(MIN($U583:$V583)-TODAY(),"0")&amp;" 天","")))</f>
        <v/>
      </c>
      <c r="AC583" s="34" t="str">
        <f aca="true">IF($C583="","",IF(OR($Y583="安装免保",$Y583="技术免保",$Y583="质保期内"),IF($Z583="","▲免保没填到期日",IF($Z583&lt;TODAY(),"▲免保已到期 该转收费了",IF($Z583-TODAY()&lt;=合同提醒天,"免保还剩 "&amp;TEXT($Z583-TODAY(),"0")&amp;" 天","免保中"))),IF($Y583="暂停维保","暂停中 不计费",IF($Y583="已解约","已解约",IF(COUNTIF(合同键,$E583)=0,"▲还没建合同行","")))))</f>
        <v/>
      </c>
      <c r="AD583" s="24"/>
      <c r="AE583" s="35" t="str">
        <f aca="false">IF($C583="","",IF($D583="","★项目名称没填",IF(N($P583)&lt;=0,"★台量要填",IF(AND(OR($Y583="安装免保",$Y583="技术免保",$Y583="质保期内"),$Z583=""),"★免保到期日没填",IF(COUNTIF(合同键,$E583)=0,"★还没建合同行","OK")))))</f>
        <v/>
      </c>
    </row>
    <row r="584" customFormat="false" ht="15" hidden="false" customHeight="false" outlineLevel="0" collapsed="false">
      <c r="A584" s="29" t="str">
        <f aca="false">IF($C584="","",ROW()-4)</f>
        <v/>
      </c>
      <c r="B584" s="25"/>
      <c r="C584" s="24"/>
      <c r="D584" s="24"/>
      <c r="E584" s="30" t="str">
        <f aca="false">IF($C584="","",$C584&amp;" ｜ "&amp;$D584)</f>
        <v/>
      </c>
      <c r="F584" s="25"/>
      <c r="G584" s="25"/>
      <c r="H584" s="25"/>
      <c r="I584" s="25"/>
      <c r="J584" s="25"/>
      <c r="K584" s="21"/>
      <c r="L584" s="21"/>
      <c r="M584" s="21"/>
      <c r="N584" s="25"/>
      <c r="O584" s="25"/>
      <c r="P584" s="32"/>
      <c r="Q584" s="25"/>
      <c r="R584" s="25"/>
      <c r="S584" s="33"/>
      <c r="T584" s="33"/>
      <c r="U584" s="33"/>
      <c r="V584" s="33"/>
      <c r="W584" s="25"/>
      <c r="X584" s="25"/>
      <c r="Y584" s="25"/>
      <c r="Z584" s="33"/>
      <c r="AA584" s="34" t="str">
        <f aca="true">IF($T584="","",IF($T584&lt;TODAY(),"已过期 "&amp;TEXT(TODAY()-$T584,"0")&amp;" 天",IF($T584-TODAY()&lt;=年检提醒天,"还剩 "&amp;TEXT($T584-TODAY(),"0")&amp;" 天","")))</f>
        <v/>
      </c>
      <c r="AB584" s="34" t="str">
        <f aca="true">IF(COUNT($U584:$V584)=0,"",IF(MIN($U584:$V584)&lt;TODAY(),"已过期 "&amp;TEXT(TODAY()-MIN($U584:$V584),"0")&amp;" 天",IF(MIN($U584:$V584)-TODAY()&lt;=年检提醒天,"还剩 "&amp;TEXT(MIN($U584:$V584)-TODAY(),"0")&amp;" 天","")))</f>
        <v/>
      </c>
      <c r="AC584" s="34" t="str">
        <f aca="true">IF($C584="","",IF(OR($Y584="安装免保",$Y584="技术免保",$Y584="质保期内"),IF($Z584="","▲免保没填到期日",IF($Z584&lt;TODAY(),"▲免保已到期 该转收费了",IF($Z584-TODAY()&lt;=合同提醒天,"免保还剩 "&amp;TEXT($Z584-TODAY(),"0")&amp;" 天","免保中"))),IF($Y584="暂停维保","暂停中 不计费",IF($Y584="已解约","已解约",IF(COUNTIF(合同键,$E584)=0,"▲还没建合同行","")))))</f>
        <v/>
      </c>
      <c r="AD584" s="24"/>
      <c r="AE584" s="35" t="str">
        <f aca="false">IF($C584="","",IF($D584="","★项目名称没填",IF(N($P584)&lt;=0,"★台量要填",IF(AND(OR($Y584="安装免保",$Y584="技术免保",$Y584="质保期内"),$Z584=""),"★免保到期日没填",IF(COUNTIF(合同键,$E584)=0,"★还没建合同行","OK")))))</f>
        <v/>
      </c>
    </row>
    <row r="585" customFormat="false" ht="15" hidden="false" customHeight="false" outlineLevel="0" collapsed="false">
      <c r="A585" s="29" t="str">
        <f aca="false">IF($C585="","",ROW()-4)</f>
        <v/>
      </c>
      <c r="B585" s="25"/>
      <c r="C585" s="24"/>
      <c r="D585" s="24"/>
      <c r="E585" s="30" t="str">
        <f aca="false">IF($C585="","",$C585&amp;" ｜ "&amp;$D585)</f>
        <v/>
      </c>
      <c r="F585" s="25"/>
      <c r="G585" s="25"/>
      <c r="H585" s="25"/>
      <c r="I585" s="25"/>
      <c r="J585" s="25"/>
      <c r="K585" s="21"/>
      <c r="L585" s="21"/>
      <c r="M585" s="21"/>
      <c r="N585" s="25"/>
      <c r="O585" s="25"/>
      <c r="P585" s="32"/>
      <c r="Q585" s="25"/>
      <c r="R585" s="25"/>
      <c r="S585" s="33"/>
      <c r="T585" s="33"/>
      <c r="U585" s="33"/>
      <c r="V585" s="33"/>
      <c r="W585" s="25"/>
      <c r="X585" s="25"/>
      <c r="Y585" s="25"/>
      <c r="Z585" s="33"/>
      <c r="AA585" s="34" t="str">
        <f aca="true">IF($T585="","",IF($T585&lt;TODAY(),"已过期 "&amp;TEXT(TODAY()-$T585,"0")&amp;" 天",IF($T585-TODAY()&lt;=年检提醒天,"还剩 "&amp;TEXT($T585-TODAY(),"0")&amp;" 天","")))</f>
        <v/>
      </c>
      <c r="AB585" s="34" t="str">
        <f aca="true">IF(COUNT($U585:$V585)=0,"",IF(MIN($U585:$V585)&lt;TODAY(),"已过期 "&amp;TEXT(TODAY()-MIN($U585:$V585),"0")&amp;" 天",IF(MIN($U585:$V585)-TODAY()&lt;=年检提醒天,"还剩 "&amp;TEXT(MIN($U585:$V585)-TODAY(),"0")&amp;" 天","")))</f>
        <v/>
      </c>
      <c r="AC585" s="34" t="str">
        <f aca="true">IF($C585="","",IF(OR($Y585="安装免保",$Y585="技术免保",$Y585="质保期内"),IF($Z585="","▲免保没填到期日",IF($Z585&lt;TODAY(),"▲免保已到期 该转收费了",IF($Z585-TODAY()&lt;=合同提醒天,"免保还剩 "&amp;TEXT($Z585-TODAY(),"0")&amp;" 天","免保中"))),IF($Y585="暂停维保","暂停中 不计费",IF($Y585="已解约","已解约",IF(COUNTIF(合同键,$E585)=0,"▲还没建合同行","")))))</f>
        <v/>
      </c>
      <c r="AD585" s="24"/>
      <c r="AE585" s="35" t="str">
        <f aca="false">IF($C585="","",IF($D585="","★项目名称没填",IF(N($P585)&lt;=0,"★台量要填",IF(AND(OR($Y585="安装免保",$Y585="技术免保",$Y585="质保期内"),$Z585=""),"★免保到期日没填",IF(COUNTIF(合同键,$E585)=0,"★还没建合同行","OK")))))</f>
        <v/>
      </c>
    </row>
    <row r="586" customFormat="false" ht="15" hidden="false" customHeight="false" outlineLevel="0" collapsed="false">
      <c r="A586" s="29" t="str">
        <f aca="false">IF($C586="","",ROW()-4)</f>
        <v/>
      </c>
      <c r="B586" s="25"/>
      <c r="C586" s="24"/>
      <c r="D586" s="24"/>
      <c r="E586" s="30" t="str">
        <f aca="false">IF($C586="","",$C586&amp;" ｜ "&amp;$D586)</f>
        <v/>
      </c>
      <c r="F586" s="25"/>
      <c r="G586" s="25"/>
      <c r="H586" s="25"/>
      <c r="I586" s="25"/>
      <c r="J586" s="25"/>
      <c r="K586" s="21"/>
      <c r="L586" s="21"/>
      <c r="M586" s="21"/>
      <c r="N586" s="25"/>
      <c r="O586" s="25"/>
      <c r="P586" s="32"/>
      <c r="Q586" s="25"/>
      <c r="R586" s="25"/>
      <c r="S586" s="33"/>
      <c r="T586" s="33"/>
      <c r="U586" s="33"/>
      <c r="V586" s="33"/>
      <c r="W586" s="25"/>
      <c r="X586" s="25"/>
      <c r="Y586" s="25"/>
      <c r="Z586" s="33"/>
      <c r="AA586" s="34" t="str">
        <f aca="true">IF($T586="","",IF($T586&lt;TODAY(),"已过期 "&amp;TEXT(TODAY()-$T586,"0")&amp;" 天",IF($T586-TODAY()&lt;=年检提醒天,"还剩 "&amp;TEXT($T586-TODAY(),"0")&amp;" 天","")))</f>
        <v/>
      </c>
      <c r="AB586" s="34" t="str">
        <f aca="true">IF(COUNT($U586:$V586)=0,"",IF(MIN($U586:$V586)&lt;TODAY(),"已过期 "&amp;TEXT(TODAY()-MIN($U586:$V586),"0")&amp;" 天",IF(MIN($U586:$V586)-TODAY()&lt;=年检提醒天,"还剩 "&amp;TEXT(MIN($U586:$V586)-TODAY(),"0")&amp;" 天","")))</f>
        <v/>
      </c>
      <c r="AC586" s="34" t="str">
        <f aca="true">IF($C586="","",IF(OR($Y586="安装免保",$Y586="技术免保",$Y586="质保期内"),IF($Z586="","▲免保没填到期日",IF($Z586&lt;TODAY(),"▲免保已到期 该转收费了",IF($Z586-TODAY()&lt;=合同提醒天,"免保还剩 "&amp;TEXT($Z586-TODAY(),"0")&amp;" 天","免保中"))),IF($Y586="暂停维保","暂停中 不计费",IF($Y586="已解约","已解约",IF(COUNTIF(合同键,$E586)=0,"▲还没建合同行","")))))</f>
        <v/>
      </c>
      <c r="AD586" s="24"/>
      <c r="AE586" s="35" t="str">
        <f aca="false">IF($C586="","",IF($D586="","★项目名称没填",IF(N($P586)&lt;=0,"★台量要填",IF(AND(OR($Y586="安装免保",$Y586="技术免保",$Y586="质保期内"),$Z586=""),"★免保到期日没填",IF(COUNTIF(合同键,$E586)=0,"★还没建合同行","OK")))))</f>
        <v/>
      </c>
    </row>
    <row r="587" customFormat="false" ht="15" hidden="false" customHeight="false" outlineLevel="0" collapsed="false">
      <c r="A587" s="29" t="str">
        <f aca="false">IF($C587="","",ROW()-4)</f>
        <v/>
      </c>
      <c r="B587" s="25"/>
      <c r="C587" s="24"/>
      <c r="D587" s="24"/>
      <c r="E587" s="30" t="str">
        <f aca="false">IF($C587="","",$C587&amp;" ｜ "&amp;$D587)</f>
        <v/>
      </c>
      <c r="F587" s="25"/>
      <c r="G587" s="25"/>
      <c r="H587" s="25"/>
      <c r="I587" s="25"/>
      <c r="J587" s="25"/>
      <c r="K587" s="21"/>
      <c r="L587" s="21"/>
      <c r="M587" s="21"/>
      <c r="N587" s="25"/>
      <c r="O587" s="25"/>
      <c r="P587" s="32"/>
      <c r="Q587" s="25"/>
      <c r="R587" s="25"/>
      <c r="S587" s="33"/>
      <c r="T587" s="33"/>
      <c r="U587" s="33"/>
      <c r="V587" s="33"/>
      <c r="W587" s="25"/>
      <c r="X587" s="25"/>
      <c r="Y587" s="25"/>
      <c r="Z587" s="33"/>
      <c r="AA587" s="34" t="str">
        <f aca="true">IF($T587="","",IF($T587&lt;TODAY(),"已过期 "&amp;TEXT(TODAY()-$T587,"0")&amp;" 天",IF($T587-TODAY()&lt;=年检提醒天,"还剩 "&amp;TEXT($T587-TODAY(),"0")&amp;" 天","")))</f>
        <v/>
      </c>
      <c r="AB587" s="34" t="str">
        <f aca="true">IF(COUNT($U587:$V587)=0,"",IF(MIN($U587:$V587)&lt;TODAY(),"已过期 "&amp;TEXT(TODAY()-MIN($U587:$V587),"0")&amp;" 天",IF(MIN($U587:$V587)-TODAY()&lt;=年检提醒天,"还剩 "&amp;TEXT(MIN($U587:$V587)-TODAY(),"0")&amp;" 天","")))</f>
        <v/>
      </c>
      <c r="AC587" s="34" t="str">
        <f aca="true">IF($C587="","",IF(OR($Y587="安装免保",$Y587="技术免保",$Y587="质保期内"),IF($Z587="","▲免保没填到期日",IF($Z587&lt;TODAY(),"▲免保已到期 该转收费了",IF($Z587-TODAY()&lt;=合同提醒天,"免保还剩 "&amp;TEXT($Z587-TODAY(),"0")&amp;" 天","免保中"))),IF($Y587="暂停维保","暂停中 不计费",IF($Y587="已解约","已解约",IF(COUNTIF(合同键,$E587)=0,"▲还没建合同行","")))))</f>
        <v/>
      </c>
      <c r="AD587" s="24"/>
      <c r="AE587" s="35" t="str">
        <f aca="false">IF($C587="","",IF($D587="","★项目名称没填",IF(N($P587)&lt;=0,"★台量要填",IF(AND(OR($Y587="安装免保",$Y587="技术免保",$Y587="质保期内"),$Z587=""),"★免保到期日没填",IF(COUNTIF(合同键,$E587)=0,"★还没建合同行","OK")))))</f>
        <v/>
      </c>
    </row>
    <row r="588" customFormat="false" ht="15" hidden="false" customHeight="false" outlineLevel="0" collapsed="false">
      <c r="A588" s="29" t="str">
        <f aca="false">IF($C588="","",ROW()-4)</f>
        <v/>
      </c>
      <c r="B588" s="25"/>
      <c r="C588" s="24"/>
      <c r="D588" s="24"/>
      <c r="E588" s="30" t="str">
        <f aca="false">IF($C588="","",$C588&amp;" ｜ "&amp;$D588)</f>
        <v/>
      </c>
      <c r="F588" s="25"/>
      <c r="G588" s="25"/>
      <c r="H588" s="25"/>
      <c r="I588" s="25"/>
      <c r="J588" s="25"/>
      <c r="K588" s="21"/>
      <c r="L588" s="21"/>
      <c r="M588" s="21"/>
      <c r="N588" s="25"/>
      <c r="O588" s="25"/>
      <c r="P588" s="32"/>
      <c r="Q588" s="25"/>
      <c r="R588" s="25"/>
      <c r="S588" s="33"/>
      <c r="T588" s="33"/>
      <c r="U588" s="33"/>
      <c r="V588" s="33"/>
      <c r="W588" s="25"/>
      <c r="X588" s="25"/>
      <c r="Y588" s="25"/>
      <c r="Z588" s="33"/>
      <c r="AA588" s="34" t="str">
        <f aca="true">IF($T588="","",IF($T588&lt;TODAY(),"已过期 "&amp;TEXT(TODAY()-$T588,"0")&amp;" 天",IF($T588-TODAY()&lt;=年检提醒天,"还剩 "&amp;TEXT($T588-TODAY(),"0")&amp;" 天","")))</f>
        <v/>
      </c>
      <c r="AB588" s="34" t="str">
        <f aca="true">IF(COUNT($U588:$V588)=0,"",IF(MIN($U588:$V588)&lt;TODAY(),"已过期 "&amp;TEXT(TODAY()-MIN($U588:$V588),"0")&amp;" 天",IF(MIN($U588:$V588)-TODAY()&lt;=年检提醒天,"还剩 "&amp;TEXT(MIN($U588:$V588)-TODAY(),"0")&amp;" 天","")))</f>
        <v/>
      </c>
      <c r="AC588" s="34" t="str">
        <f aca="true">IF($C588="","",IF(OR($Y588="安装免保",$Y588="技术免保",$Y588="质保期内"),IF($Z588="","▲免保没填到期日",IF($Z588&lt;TODAY(),"▲免保已到期 该转收费了",IF($Z588-TODAY()&lt;=合同提醒天,"免保还剩 "&amp;TEXT($Z588-TODAY(),"0")&amp;" 天","免保中"))),IF($Y588="暂停维保","暂停中 不计费",IF($Y588="已解约","已解约",IF(COUNTIF(合同键,$E588)=0,"▲还没建合同行","")))))</f>
        <v/>
      </c>
      <c r="AD588" s="24"/>
      <c r="AE588" s="35" t="str">
        <f aca="false">IF($C588="","",IF($D588="","★项目名称没填",IF(N($P588)&lt;=0,"★台量要填",IF(AND(OR($Y588="安装免保",$Y588="技术免保",$Y588="质保期内"),$Z588=""),"★免保到期日没填",IF(COUNTIF(合同键,$E588)=0,"★还没建合同行","OK")))))</f>
        <v/>
      </c>
    </row>
    <row r="589" customFormat="false" ht="15" hidden="false" customHeight="false" outlineLevel="0" collapsed="false">
      <c r="A589" s="29" t="str">
        <f aca="false">IF($C589="","",ROW()-4)</f>
        <v/>
      </c>
      <c r="B589" s="25"/>
      <c r="C589" s="24"/>
      <c r="D589" s="24"/>
      <c r="E589" s="30" t="str">
        <f aca="false">IF($C589="","",$C589&amp;" ｜ "&amp;$D589)</f>
        <v/>
      </c>
      <c r="F589" s="25"/>
      <c r="G589" s="25"/>
      <c r="H589" s="25"/>
      <c r="I589" s="25"/>
      <c r="J589" s="25"/>
      <c r="K589" s="21"/>
      <c r="L589" s="21"/>
      <c r="M589" s="21"/>
      <c r="N589" s="25"/>
      <c r="O589" s="25"/>
      <c r="P589" s="32"/>
      <c r="Q589" s="25"/>
      <c r="R589" s="25"/>
      <c r="S589" s="33"/>
      <c r="T589" s="33"/>
      <c r="U589" s="33"/>
      <c r="V589" s="33"/>
      <c r="W589" s="25"/>
      <c r="X589" s="25"/>
      <c r="Y589" s="25"/>
      <c r="Z589" s="33"/>
      <c r="AA589" s="34" t="str">
        <f aca="true">IF($T589="","",IF($T589&lt;TODAY(),"已过期 "&amp;TEXT(TODAY()-$T589,"0")&amp;" 天",IF($T589-TODAY()&lt;=年检提醒天,"还剩 "&amp;TEXT($T589-TODAY(),"0")&amp;" 天","")))</f>
        <v/>
      </c>
      <c r="AB589" s="34" t="str">
        <f aca="true">IF(COUNT($U589:$V589)=0,"",IF(MIN($U589:$V589)&lt;TODAY(),"已过期 "&amp;TEXT(TODAY()-MIN($U589:$V589),"0")&amp;" 天",IF(MIN($U589:$V589)-TODAY()&lt;=年检提醒天,"还剩 "&amp;TEXT(MIN($U589:$V589)-TODAY(),"0")&amp;" 天","")))</f>
        <v/>
      </c>
      <c r="AC589" s="34" t="str">
        <f aca="true">IF($C589="","",IF(OR($Y589="安装免保",$Y589="技术免保",$Y589="质保期内"),IF($Z589="","▲免保没填到期日",IF($Z589&lt;TODAY(),"▲免保已到期 该转收费了",IF($Z589-TODAY()&lt;=合同提醒天,"免保还剩 "&amp;TEXT($Z589-TODAY(),"0")&amp;" 天","免保中"))),IF($Y589="暂停维保","暂停中 不计费",IF($Y589="已解约","已解约",IF(COUNTIF(合同键,$E589)=0,"▲还没建合同行","")))))</f>
        <v/>
      </c>
      <c r="AD589" s="24"/>
      <c r="AE589" s="35" t="str">
        <f aca="false">IF($C589="","",IF($D589="","★项目名称没填",IF(N($P589)&lt;=0,"★台量要填",IF(AND(OR($Y589="安装免保",$Y589="技术免保",$Y589="质保期内"),$Z589=""),"★免保到期日没填",IF(COUNTIF(合同键,$E589)=0,"★还没建合同行","OK")))))</f>
        <v/>
      </c>
    </row>
    <row r="590" customFormat="false" ht="15" hidden="false" customHeight="false" outlineLevel="0" collapsed="false">
      <c r="A590" s="29" t="str">
        <f aca="false">IF($C590="","",ROW()-4)</f>
        <v/>
      </c>
      <c r="B590" s="25"/>
      <c r="C590" s="24"/>
      <c r="D590" s="24"/>
      <c r="E590" s="30" t="str">
        <f aca="false">IF($C590="","",$C590&amp;" ｜ "&amp;$D590)</f>
        <v/>
      </c>
      <c r="F590" s="25"/>
      <c r="G590" s="25"/>
      <c r="H590" s="25"/>
      <c r="I590" s="25"/>
      <c r="J590" s="25"/>
      <c r="K590" s="21"/>
      <c r="L590" s="21"/>
      <c r="M590" s="21"/>
      <c r="N590" s="25"/>
      <c r="O590" s="25"/>
      <c r="P590" s="32"/>
      <c r="Q590" s="25"/>
      <c r="R590" s="25"/>
      <c r="S590" s="33"/>
      <c r="T590" s="33"/>
      <c r="U590" s="33"/>
      <c r="V590" s="33"/>
      <c r="W590" s="25"/>
      <c r="X590" s="25"/>
      <c r="Y590" s="25"/>
      <c r="Z590" s="33"/>
      <c r="AA590" s="34" t="str">
        <f aca="true">IF($T590="","",IF($T590&lt;TODAY(),"已过期 "&amp;TEXT(TODAY()-$T590,"0")&amp;" 天",IF($T590-TODAY()&lt;=年检提醒天,"还剩 "&amp;TEXT($T590-TODAY(),"0")&amp;" 天","")))</f>
        <v/>
      </c>
      <c r="AB590" s="34" t="str">
        <f aca="true">IF(COUNT($U590:$V590)=0,"",IF(MIN($U590:$V590)&lt;TODAY(),"已过期 "&amp;TEXT(TODAY()-MIN($U590:$V590),"0")&amp;" 天",IF(MIN($U590:$V590)-TODAY()&lt;=年检提醒天,"还剩 "&amp;TEXT(MIN($U590:$V590)-TODAY(),"0")&amp;" 天","")))</f>
        <v/>
      </c>
      <c r="AC590" s="34" t="str">
        <f aca="true">IF($C590="","",IF(OR($Y590="安装免保",$Y590="技术免保",$Y590="质保期内"),IF($Z590="","▲免保没填到期日",IF($Z590&lt;TODAY(),"▲免保已到期 该转收费了",IF($Z590-TODAY()&lt;=合同提醒天,"免保还剩 "&amp;TEXT($Z590-TODAY(),"0")&amp;" 天","免保中"))),IF($Y590="暂停维保","暂停中 不计费",IF($Y590="已解约","已解约",IF(COUNTIF(合同键,$E590)=0,"▲还没建合同行","")))))</f>
        <v/>
      </c>
      <c r="AD590" s="24"/>
      <c r="AE590" s="35" t="str">
        <f aca="false">IF($C590="","",IF($D590="","★项目名称没填",IF(N($P590)&lt;=0,"★台量要填",IF(AND(OR($Y590="安装免保",$Y590="技术免保",$Y590="质保期内"),$Z590=""),"★免保到期日没填",IF(COUNTIF(合同键,$E590)=0,"★还没建合同行","OK")))))</f>
        <v/>
      </c>
    </row>
    <row r="591" customFormat="false" ht="15" hidden="false" customHeight="false" outlineLevel="0" collapsed="false">
      <c r="A591" s="29" t="str">
        <f aca="false">IF($C591="","",ROW()-4)</f>
        <v/>
      </c>
      <c r="B591" s="25"/>
      <c r="C591" s="24"/>
      <c r="D591" s="24"/>
      <c r="E591" s="30" t="str">
        <f aca="false">IF($C591="","",$C591&amp;" ｜ "&amp;$D591)</f>
        <v/>
      </c>
      <c r="F591" s="25"/>
      <c r="G591" s="25"/>
      <c r="H591" s="25"/>
      <c r="I591" s="25"/>
      <c r="J591" s="25"/>
      <c r="K591" s="21"/>
      <c r="L591" s="21"/>
      <c r="M591" s="21"/>
      <c r="N591" s="25"/>
      <c r="O591" s="25"/>
      <c r="P591" s="32"/>
      <c r="Q591" s="25"/>
      <c r="R591" s="25"/>
      <c r="S591" s="33"/>
      <c r="T591" s="33"/>
      <c r="U591" s="33"/>
      <c r="V591" s="33"/>
      <c r="W591" s="25"/>
      <c r="X591" s="25"/>
      <c r="Y591" s="25"/>
      <c r="Z591" s="33"/>
      <c r="AA591" s="34" t="str">
        <f aca="true">IF($T591="","",IF($T591&lt;TODAY(),"已过期 "&amp;TEXT(TODAY()-$T591,"0")&amp;" 天",IF($T591-TODAY()&lt;=年检提醒天,"还剩 "&amp;TEXT($T591-TODAY(),"0")&amp;" 天","")))</f>
        <v/>
      </c>
      <c r="AB591" s="34" t="str">
        <f aca="true">IF(COUNT($U591:$V591)=0,"",IF(MIN($U591:$V591)&lt;TODAY(),"已过期 "&amp;TEXT(TODAY()-MIN($U591:$V591),"0")&amp;" 天",IF(MIN($U591:$V591)-TODAY()&lt;=年检提醒天,"还剩 "&amp;TEXT(MIN($U591:$V591)-TODAY(),"0")&amp;" 天","")))</f>
        <v/>
      </c>
      <c r="AC591" s="34" t="str">
        <f aca="true">IF($C591="","",IF(OR($Y591="安装免保",$Y591="技术免保",$Y591="质保期内"),IF($Z591="","▲免保没填到期日",IF($Z591&lt;TODAY(),"▲免保已到期 该转收费了",IF($Z591-TODAY()&lt;=合同提醒天,"免保还剩 "&amp;TEXT($Z591-TODAY(),"0")&amp;" 天","免保中"))),IF($Y591="暂停维保","暂停中 不计费",IF($Y591="已解约","已解约",IF(COUNTIF(合同键,$E591)=0,"▲还没建合同行","")))))</f>
        <v/>
      </c>
      <c r="AD591" s="24"/>
      <c r="AE591" s="35" t="str">
        <f aca="false">IF($C591="","",IF($D591="","★项目名称没填",IF(N($P591)&lt;=0,"★台量要填",IF(AND(OR($Y591="安装免保",$Y591="技术免保",$Y591="质保期内"),$Z591=""),"★免保到期日没填",IF(COUNTIF(合同键,$E591)=0,"★还没建合同行","OK")))))</f>
        <v/>
      </c>
    </row>
    <row r="592" customFormat="false" ht="15" hidden="false" customHeight="false" outlineLevel="0" collapsed="false">
      <c r="A592" s="29" t="str">
        <f aca="false">IF($C592="","",ROW()-4)</f>
        <v/>
      </c>
      <c r="B592" s="25"/>
      <c r="C592" s="24"/>
      <c r="D592" s="24"/>
      <c r="E592" s="30" t="str">
        <f aca="false">IF($C592="","",$C592&amp;" ｜ "&amp;$D592)</f>
        <v/>
      </c>
      <c r="F592" s="25"/>
      <c r="G592" s="25"/>
      <c r="H592" s="25"/>
      <c r="I592" s="25"/>
      <c r="J592" s="25"/>
      <c r="K592" s="21"/>
      <c r="L592" s="21"/>
      <c r="M592" s="21"/>
      <c r="N592" s="25"/>
      <c r="O592" s="25"/>
      <c r="P592" s="32"/>
      <c r="Q592" s="25"/>
      <c r="R592" s="25"/>
      <c r="S592" s="33"/>
      <c r="T592" s="33"/>
      <c r="U592" s="33"/>
      <c r="V592" s="33"/>
      <c r="W592" s="25"/>
      <c r="X592" s="25"/>
      <c r="Y592" s="25"/>
      <c r="Z592" s="33"/>
      <c r="AA592" s="34" t="str">
        <f aca="true">IF($T592="","",IF($T592&lt;TODAY(),"已过期 "&amp;TEXT(TODAY()-$T592,"0")&amp;" 天",IF($T592-TODAY()&lt;=年检提醒天,"还剩 "&amp;TEXT($T592-TODAY(),"0")&amp;" 天","")))</f>
        <v/>
      </c>
      <c r="AB592" s="34" t="str">
        <f aca="true">IF(COUNT($U592:$V592)=0,"",IF(MIN($U592:$V592)&lt;TODAY(),"已过期 "&amp;TEXT(TODAY()-MIN($U592:$V592),"0")&amp;" 天",IF(MIN($U592:$V592)-TODAY()&lt;=年检提醒天,"还剩 "&amp;TEXT(MIN($U592:$V592)-TODAY(),"0")&amp;" 天","")))</f>
        <v/>
      </c>
      <c r="AC592" s="34" t="str">
        <f aca="true">IF($C592="","",IF(OR($Y592="安装免保",$Y592="技术免保",$Y592="质保期内"),IF($Z592="","▲免保没填到期日",IF($Z592&lt;TODAY(),"▲免保已到期 该转收费了",IF($Z592-TODAY()&lt;=合同提醒天,"免保还剩 "&amp;TEXT($Z592-TODAY(),"0")&amp;" 天","免保中"))),IF($Y592="暂停维保","暂停中 不计费",IF($Y592="已解约","已解约",IF(COUNTIF(合同键,$E592)=0,"▲还没建合同行","")))))</f>
        <v/>
      </c>
      <c r="AD592" s="24"/>
      <c r="AE592" s="35" t="str">
        <f aca="false">IF($C592="","",IF($D592="","★项目名称没填",IF(N($P592)&lt;=0,"★台量要填",IF(AND(OR($Y592="安装免保",$Y592="技术免保",$Y592="质保期内"),$Z592=""),"★免保到期日没填",IF(COUNTIF(合同键,$E592)=0,"★还没建合同行","OK")))))</f>
        <v/>
      </c>
    </row>
    <row r="593" customFormat="false" ht="15" hidden="false" customHeight="false" outlineLevel="0" collapsed="false">
      <c r="A593" s="29" t="str">
        <f aca="false">IF($C593="","",ROW()-4)</f>
        <v/>
      </c>
      <c r="B593" s="25"/>
      <c r="C593" s="24"/>
      <c r="D593" s="24"/>
      <c r="E593" s="30" t="str">
        <f aca="false">IF($C593="","",$C593&amp;" ｜ "&amp;$D593)</f>
        <v/>
      </c>
      <c r="F593" s="25"/>
      <c r="G593" s="25"/>
      <c r="H593" s="25"/>
      <c r="I593" s="25"/>
      <c r="J593" s="25"/>
      <c r="K593" s="21"/>
      <c r="L593" s="21"/>
      <c r="M593" s="21"/>
      <c r="N593" s="25"/>
      <c r="O593" s="25"/>
      <c r="P593" s="32"/>
      <c r="Q593" s="25"/>
      <c r="R593" s="25"/>
      <c r="S593" s="33"/>
      <c r="T593" s="33"/>
      <c r="U593" s="33"/>
      <c r="V593" s="33"/>
      <c r="W593" s="25"/>
      <c r="X593" s="25"/>
      <c r="Y593" s="25"/>
      <c r="Z593" s="33"/>
      <c r="AA593" s="34" t="str">
        <f aca="true">IF($T593="","",IF($T593&lt;TODAY(),"已过期 "&amp;TEXT(TODAY()-$T593,"0")&amp;" 天",IF($T593-TODAY()&lt;=年检提醒天,"还剩 "&amp;TEXT($T593-TODAY(),"0")&amp;" 天","")))</f>
        <v/>
      </c>
      <c r="AB593" s="34" t="str">
        <f aca="true">IF(COUNT($U593:$V593)=0,"",IF(MIN($U593:$V593)&lt;TODAY(),"已过期 "&amp;TEXT(TODAY()-MIN($U593:$V593),"0")&amp;" 天",IF(MIN($U593:$V593)-TODAY()&lt;=年检提醒天,"还剩 "&amp;TEXT(MIN($U593:$V593)-TODAY(),"0")&amp;" 天","")))</f>
        <v/>
      </c>
      <c r="AC593" s="34" t="str">
        <f aca="true">IF($C593="","",IF(OR($Y593="安装免保",$Y593="技术免保",$Y593="质保期内"),IF($Z593="","▲免保没填到期日",IF($Z593&lt;TODAY(),"▲免保已到期 该转收费了",IF($Z593-TODAY()&lt;=合同提醒天,"免保还剩 "&amp;TEXT($Z593-TODAY(),"0")&amp;" 天","免保中"))),IF($Y593="暂停维保","暂停中 不计费",IF($Y593="已解约","已解约",IF(COUNTIF(合同键,$E593)=0,"▲还没建合同行","")))))</f>
        <v/>
      </c>
      <c r="AD593" s="24"/>
      <c r="AE593" s="35" t="str">
        <f aca="false">IF($C593="","",IF($D593="","★项目名称没填",IF(N($P593)&lt;=0,"★台量要填",IF(AND(OR($Y593="安装免保",$Y593="技术免保",$Y593="质保期内"),$Z593=""),"★免保到期日没填",IF(COUNTIF(合同键,$E593)=0,"★还没建合同行","OK")))))</f>
        <v/>
      </c>
    </row>
    <row r="594" customFormat="false" ht="15" hidden="false" customHeight="false" outlineLevel="0" collapsed="false">
      <c r="A594" s="29" t="str">
        <f aca="false">IF($C594="","",ROW()-4)</f>
        <v/>
      </c>
      <c r="B594" s="25"/>
      <c r="C594" s="24"/>
      <c r="D594" s="24"/>
      <c r="E594" s="30" t="str">
        <f aca="false">IF($C594="","",$C594&amp;" ｜ "&amp;$D594)</f>
        <v/>
      </c>
      <c r="F594" s="25"/>
      <c r="G594" s="25"/>
      <c r="H594" s="25"/>
      <c r="I594" s="25"/>
      <c r="J594" s="25"/>
      <c r="K594" s="21"/>
      <c r="L594" s="21"/>
      <c r="M594" s="21"/>
      <c r="N594" s="25"/>
      <c r="O594" s="25"/>
      <c r="P594" s="32"/>
      <c r="Q594" s="25"/>
      <c r="R594" s="25"/>
      <c r="S594" s="33"/>
      <c r="T594" s="33"/>
      <c r="U594" s="33"/>
      <c r="V594" s="33"/>
      <c r="W594" s="25"/>
      <c r="X594" s="25"/>
      <c r="Y594" s="25"/>
      <c r="Z594" s="33"/>
      <c r="AA594" s="34" t="str">
        <f aca="true">IF($T594="","",IF($T594&lt;TODAY(),"已过期 "&amp;TEXT(TODAY()-$T594,"0")&amp;" 天",IF($T594-TODAY()&lt;=年检提醒天,"还剩 "&amp;TEXT($T594-TODAY(),"0")&amp;" 天","")))</f>
        <v/>
      </c>
      <c r="AB594" s="34" t="str">
        <f aca="true">IF(COUNT($U594:$V594)=0,"",IF(MIN($U594:$V594)&lt;TODAY(),"已过期 "&amp;TEXT(TODAY()-MIN($U594:$V594),"0")&amp;" 天",IF(MIN($U594:$V594)-TODAY()&lt;=年检提醒天,"还剩 "&amp;TEXT(MIN($U594:$V594)-TODAY(),"0")&amp;" 天","")))</f>
        <v/>
      </c>
      <c r="AC594" s="34" t="str">
        <f aca="true">IF($C594="","",IF(OR($Y594="安装免保",$Y594="技术免保",$Y594="质保期内"),IF($Z594="","▲免保没填到期日",IF($Z594&lt;TODAY(),"▲免保已到期 该转收费了",IF($Z594-TODAY()&lt;=合同提醒天,"免保还剩 "&amp;TEXT($Z594-TODAY(),"0")&amp;" 天","免保中"))),IF($Y594="暂停维保","暂停中 不计费",IF($Y594="已解约","已解约",IF(COUNTIF(合同键,$E594)=0,"▲还没建合同行","")))))</f>
        <v/>
      </c>
      <c r="AD594" s="24"/>
      <c r="AE594" s="35" t="str">
        <f aca="false">IF($C594="","",IF($D594="","★项目名称没填",IF(N($P594)&lt;=0,"★台量要填",IF(AND(OR($Y594="安装免保",$Y594="技术免保",$Y594="质保期内"),$Z594=""),"★免保到期日没填",IF(COUNTIF(合同键,$E594)=0,"★还没建合同行","OK")))))</f>
        <v/>
      </c>
    </row>
    <row r="595" customFormat="false" ht="15" hidden="false" customHeight="false" outlineLevel="0" collapsed="false">
      <c r="A595" s="29" t="str">
        <f aca="false">IF($C595="","",ROW()-4)</f>
        <v/>
      </c>
      <c r="B595" s="25"/>
      <c r="C595" s="24"/>
      <c r="D595" s="24"/>
      <c r="E595" s="30" t="str">
        <f aca="false">IF($C595="","",$C595&amp;" ｜ "&amp;$D595)</f>
        <v/>
      </c>
      <c r="F595" s="25"/>
      <c r="G595" s="25"/>
      <c r="H595" s="25"/>
      <c r="I595" s="25"/>
      <c r="J595" s="25"/>
      <c r="K595" s="21"/>
      <c r="L595" s="21"/>
      <c r="M595" s="21"/>
      <c r="N595" s="25"/>
      <c r="O595" s="25"/>
      <c r="P595" s="32"/>
      <c r="Q595" s="25"/>
      <c r="R595" s="25"/>
      <c r="S595" s="33"/>
      <c r="T595" s="33"/>
      <c r="U595" s="33"/>
      <c r="V595" s="33"/>
      <c r="W595" s="25"/>
      <c r="X595" s="25"/>
      <c r="Y595" s="25"/>
      <c r="Z595" s="33"/>
      <c r="AA595" s="34" t="str">
        <f aca="true">IF($T595="","",IF($T595&lt;TODAY(),"已过期 "&amp;TEXT(TODAY()-$T595,"0")&amp;" 天",IF($T595-TODAY()&lt;=年检提醒天,"还剩 "&amp;TEXT($T595-TODAY(),"0")&amp;" 天","")))</f>
        <v/>
      </c>
      <c r="AB595" s="34" t="str">
        <f aca="true">IF(COUNT($U595:$V595)=0,"",IF(MIN($U595:$V595)&lt;TODAY(),"已过期 "&amp;TEXT(TODAY()-MIN($U595:$V595),"0")&amp;" 天",IF(MIN($U595:$V595)-TODAY()&lt;=年检提醒天,"还剩 "&amp;TEXT(MIN($U595:$V595)-TODAY(),"0")&amp;" 天","")))</f>
        <v/>
      </c>
      <c r="AC595" s="34" t="str">
        <f aca="true">IF($C595="","",IF(OR($Y595="安装免保",$Y595="技术免保",$Y595="质保期内"),IF($Z595="","▲免保没填到期日",IF($Z595&lt;TODAY(),"▲免保已到期 该转收费了",IF($Z595-TODAY()&lt;=合同提醒天,"免保还剩 "&amp;TEXT($Z595-TODAY(),"0")&amp;" 天","免保中"))),IF($Y595="暂停维保","暂停中 不计费",IF($Y595="已解约","已解约",IF(COUNTIF(合同键,$E595)=0,"▲还没建合同行","")))))</f>
        <v/>
      </c>
      <c r="AD595" s="24"/>
      <c r="AE595" s="35" t="str">
        <f aca="false">IF($C595="","",IF($D595="","★项目名称没填",IF(N($P595)&lt;=0,"★台量要填",IF(AND(OR($Y595="安装免保",$Y595="技术免保",$Y595="质保期内"),$Z595=""),"★免保到期日没填",IF(COUNTIF(合同键,$E595)=0,"★还没建合同行","OK")))))</f>
        <v/>
      </c>
    </row>
    <row r="596" customFormat="false" ht="15" hidden="false" customHeight="false" outlineLevel="0" collapsed="false">
      <c r="A596" s="29" t="str">
        <f aca="false">IF($C596="","",ROW()-4)</f>
        <v/>
      </c>
      <c r="B596" s="25"/>
      <c r="C596" s="24"/>
      <c r="D596" s="24"/>
      <c r="E596" s="30" t="str">
        <f aca="false">IF($C596="","",$C596&amp;" ｜ "&amp;$D596)</f>
        <v/>
      </c>
      <c r="F596" s="25"/>
      <c r="G596" s="25"/>
      <c r="H596" s="25"/>
      <c r="I596" s="25"/>
      <c r="J596" s="25"/>
      <c r="K596" s="21"/>
      <c r="L596" s="21"/>
      <c r="M596" s="21"/>
      <c r="N596" s="25"/>
      <c r="O596" s="25"/>
      <c r="P596" s="32"/>
      <c r="Q596" s="25"/>
      <c r="R596" s="25"/>
      <c r="S596" s="33"/>
      <c r="T596" s="33"/>
      <c r="U596" s="33"/>
      <c r="V596" s="33"/>
      <c r="W596" s="25"/>
      <c r="X596" s="25"/>
      <c r="Y596" s="25"/>
      <c r="Z596" s="33"/>
      <c r="AA596" s="34" t="str">
        <f aca="true">IF($T596="","",IF($T596&lt;TODAY(),"已过期 "&amp;TEXT(TODAY()-$T596,"0")&amp;" 天",IF($T596-TODAY()&lt;=年检提醒天,"还剩 "&amp;TEXT($T596-TODAY(),"0")&amp;" 天","")))</f>
        <v/>
      </c>
      <c r="AB596" s="34" t="str">
        <f aca="true">IF(COUNT($U596:$V596)=0,"",IF(MIN($U596:$V596)&lt;TODAY(),"已过期 "&amp;TEXT(TODAY()-MIN($U596:$V596),"0")&amp;" 天",IF(MIN($U596:$V596)-TODAY()&lt;=年检提醒天,"还剩 "&amp;TEXT(MIN($U596:$V596)-TODAY(),"0")&amp;" 天","")))</f>
        <v/>
      </c>
      <c r="AC596" s="34" t="str">
        <f aca="true">IF($C596="","",IF(OR($Y596="安装免保",$Y596="技术免保",$Y596="质保期内"),IF($Z596="","▲免保没填到期日",IF($Z596&lt;TODAY(),"▲免保已到期 该转收费了",IF($Z596-TODAY()&lt;=合同提醒天,"免保还剩 "&amp;TEXT($Z596-TODAY(),"0")&amp;" 天","免保中"))),IF($Y596="暂停维保","暂停中 不计费",IF($Y596="已解约","已解约",IF(COUNTIF(合同键,$E596)=0,"▲还没建合同行","")))))</f>
        <v/>
      </c>
      <c r="AD596" s="24"/>
      <c r="AE596" s="35" t="str">
        <f aca="false">IF($C596="","",IF($D596="","★项目名称没填",IF(N($P596)&lt;=0,"★台量要填",IF(AND(OR($Y596="安装免保",$Y596="技术免保",$Y596="质保期内"),$Z596=""),"★免保到期日没填",IF(COUNTIF(合同键,$E596)=0,"★还没建合同行","OK")))))</f>
        <v/>
      </c>
    </row>
    <row r="597" customFormat="false" ht="15" hidden="false" customHeight="false" outlineLevel="0" collapsed="false">
      <c r="A597" s="29" t="str">
        <f aca="false">IF($C597="","",ROW()-4)</f>
        <v/>
      </c>
      <c r="B597" s="25"/>
      <c r="C597" s="24"/>
      <c r="D597" s="24"/>
      <c r="E597" s="30" t="str">
        <f aca="false">IF($C597="","",$C597&amp;" ｜ "&amp;$D597)</f>
        <v/>
      </c>
      <c r="F597" s="25"/>
      <c r="G597" s="25"/>
      <c r="H597" s="25"/>
      <c r="I597" s="25"/>
      <c r="J597" s="25"/>
      <c r="K597" s="21"/>
      <c r="L597" s="21"/>
      <c r="M597" s="21"/>
      <c r="N597" s="25"/>
      <c r="O597" s="25"/>
      <c r="P597" s="32"/>
      <c r="Q597" s="25"/>
      <c r="R597" s="25"/>
      <c r="S597" s="33"/>
      <c r="T597" s="33"/>
      <c r="U597" s="33"/>
      <c r="V597" s="33"/>
      <c r="W597" s="25"/>
      <c r="X597" s="25"/>
      <c r="Y597" s="25"/>
      <c r="Z597" s="33"/>
      <c r="AA597" s="34" t="str">
        <f aca="true">IF($T597="","",IF($T597&lt;TODAY(),"已过期 "&amp;TEXT(TODAY()-$T597,"0")&amp;" 天",IF($T597-TODAY()&lt;=年检提醒天,"还剩 "&amp;TEXT($T597-TODAY(),"0")&amp;" 天","")))</f>
        <v/>
      </c>
      <c r="AB597" s="34" t="str">
        <f aca="true">IF(COUNT($U597:$V597)=0,"",IF(MIN($U597:$V597)&lt;TODAY(),"已过期 "&amp;TEXT(TODAY()-MIN($U597:$V597),"0")&amp;" 天",IF(MIN($U597:$V597)-TODAY()&lt;=年检提醒天,"还剩 "&amp;TEXT(MIN($U597:$V597)-TODAY(),"0")&amp;" 天","")))</f>
        <v/>
      </c>
      <c r="AC597" s="34" t="str">
        <f aca="true">IF($C597="","",IF(OR($Y597="安装免保",$Y597="技术免保",$Y597="质保期内"),IF($Z597="","▲免保没填到期日",IF($Z597&lt;TODAY(),"▲免保已到期 该转收费了",IF($Z597-TODAY()&lt;=合同提醒天,"免保还剩 "&amp;TEXT($Z597-TODAY(),"0")&amp;" 天","免保中"))),IF($Y597="暂停维保","暂停中 不计费",IF($Y597="已解约","已解约",IF(COUNTIF(合同键,$E597)=0,"▲还没建合同行","")))))</f>
        <v/>
      </c>
      <c r="AD597" s="24"/>
      <c r="AE597" s="35" t="str">
        <f aca="false">IF($C597="","",IF($D597="","★项目名称没填",IF(N($P597)&lt;=0,"★台量要填",IF(AND(OR($Y597="安装免保",$Y597="技术免保",$Y597="质保期内"),$Z597=""),"★免保到期日没填",IF(COUNTIF(合同键,$E597)=0,"★还没建合同行","OK")))))</f>
        <v/>
      </c>
    </row>
    <row r="598" customFormat="false" ht="15" hidden="false" customHeight="false" outlineLevel="0" collapsed="false">
      <c r="A598" s="29" t="str">
        <f aca="false">IF($C598="","",ROW()-4)</f>
        <v/>
      </c>
      <c r="B598" s="25"/>
      <c r="C598" s="24"/>
      <c r="D598" s="24"/>
      <c r="E598" s="30" t="str">
        <f aca="false">IF($C598="","",$C598&amp;" ｜ "&amp;$D598)</f>
        <v/>
      </c>
      <c r="F598" s="25"/>
      <c r="G598" s="25"/>
      <c r="H598" s="25"/>
      <c r="I598" s="25"/>
      <c r="J598" s="25"/>
      <c r="K598" s="21"/>
      <c r="L598" s="21"/>
      <c r="M598" s="21"/>
      <c r="N598" s="25"/>
      <c r="O598" s="25"/>
      <c r="P598" s="32"/>
      <c r="Q598" s="25"/>
      <c r="R598" s="25"/>
      <c r="S598" s="33"/>
      <c r="T598" s="33"/>
      <c r="U598" s="33"/>
      <c r="V598" s="33"/>
      <c r="W598" s="25"/>
      <c r="X598" s="25"/>
      <c r="Y598" s="25"/>
      <c r="Z598" s="33"/>
      <c r="AA598" s="34" t="str">
        <f aca="true">IF($T598="","",IF($T598&lt;TODAY(),"已过期 "&amp;TEXT(TODAY()-$T598,"0")&amp;" 天",IF($T598-TODAY()&lt;=年检提醒天,"还剩 "&amp;TEXT($T598-TODAY(),"0")&amp;" 天","")))</f>
        <v/>
      </c>
      <c r="AB598" s="34" t="str">
        <f aca="true">IF(COUNT($U598:$V598)=0,"",IF(MIN($U598:$V598)&lt;TODAY(),"已过期 "&amp;TEXT(TODAY()-MIN($U598:$V598),"0")&amp;" 天",IF(MIN($U598:$V598)-TODAY()&lt;=年检提醒天,"还剩 "&amp;TEXT(MIN($U598:$V598)-TODAY(),"0")&amp;" 天","")))</f>
        <v/>
      </c>
      <c r="AC598" s="34" t="str">
        <f aca="true">IF($C598="","",IF(OR($Y598="安装免保",$Y598="技术免保",$Y598="质保期内"),IF($Z598="","▲免保没填到期日",IF($Z598&lt;TODAY(),"▲免保已到期 该转收费了",IF($Z598-TODAY()&lt;=合同提醒天,"免保还剩 "&amp;TEXT($Z598-TODAY(),"0")&amp;" 天","免保中"))),IF($Y598="暂停维保","暂停中 不计费",IF($Y598="已解约","已解约",IF(COUNTIF(合同键,$E598)=0,"▲还没建合同行","")))))</f>
        <v/>
      </c>
      <c r="AD598" s="24"/>
      <c r="AE598" s="35" t="str">
        <f aca="false">IF($C598="","",IF($D598="","★项目名称没填",IF(N($P598)&lt;=0,"★台量要填",IF(AND(OR($Y598="安装免保",$Y598="技术免保",$Y598="质保期内"),$Z598=""),"★免保到期日没填",IF(COUNTIF(合同键,$E598)=0,"★还没建合同行","OK")))))</f>
        <v/>
      </c>
    </row>
    <row r="599" customFormat="false" ht="15" hidden="false" customHeight="false" outlineLevel="0" collapsed="false">
      <c r="A599" s="29" t="str">
        <f aca="false">IF($C599="","",ROW()-4)</f>
        <v/>
      </c>
      <c r="B599" s="25"/>
      <c r="C599" s="24"/>
      <c r="D599" s="24"/>
      <c r="E599" s="30" t="str">
        <f aca="false">IF($C599="","",$C599&amp;" ｜ "&amp;$D599)</f>
        <v/>
      </c>
      <c r="F599" s="25"/>
      <c r="G599" s="25"/>
      <c r="H599" s="25"/>
      <c r="I599" s="25"/>
      <c r="J599" s="25"/>
      <c r="K599" s="21"/>
      <c r="L599" s="21"/>
      <c r="M599" s="21"/>
      <c r="N599" s="25"/>
      <c r="O599" s="25"/>
      <c r="P599" s="32"/>
      <c r="Q599" s="25"/>
      <c r="R599" s="25"/>
      <c r="S599" s="33"/>
      <c r="T599" s="33"/>
      <c r="U599" s="33"/>
      <c r="V599" s="33"/>
      <c r="W599" s="25"/>
      <c r="X599" s="25"/>
      <c r="Y599" s="25"/>
      <c r="Z599" s="33"/>
      <c r="AA599" s="34" t="str">
        <f aca="true">IF($T599="","",IF($T599&lt;TODAY(),"已过期 "&amp;TEXT(TODAY()-$T599,"0")&amp;" 天",IF($T599-TODAY()&lt;=年检提醒天,"还剩 "&amp;TEXT($T599-TODAY(),"0")&amp;" 天","")))</f>
        <v/>
      </c>
      <c r="AB599" s="34" t="str">
        <f aca="true">IF(COUNT($U599:$V599)=0,"",IF(MIN($U599:$V599)&lt;TODAY(),"已过期 "&amp;TEXT(TODAY()-MIN($U599:$V599),"0")&amp;" 天",IF(MIN($U599:$V599)-TODAY()&lt;=年检提醒天,"还剩 "&amp;TEXT(MIN($U599:$V599)-TODAY(),"0")&amp;" 天","")))</f>
        <v/>
      </c>
      <c r="AC599" s="34" t="str">
        <f aca="true">IF($C599="","",IF(OR($Y599="安装免保",$Y599="技术免保",$Y599="质保期内"),IF($Z599="","▲免保没填到期日",IF($Z599&lt;TODAY(),"▲免保已到期 该转收费了",IF($Z599-TODAY()&lt;=合同提醒天,"免保还剩 "&amp;TEXT($Z599-TODAY(),"0")&amp;" 天","免保中"))),IF($Y599="暂停维保","暂停中 不计费",IF($Y599="已解约","已解约",IF(COUNTIF(合同键,$E599)=0,"▲还没建合同行","")))))</f>
        <v/>
      </c>
      <c r="AD599" s="24"/>
      <c r="AE599" s="35" t="str">
        <f aca="false">IF($C599="","",IF($D599="","★项目名称没填",IF(N($P599)&lt;=0,"★台量要填",IF(AND(OR($Y599="安装免保",$Y599="技术免保",$Y599="质保期内"),$Z599=""),"★免保到期日没填",IF(COUNTIF(合同键,$E599)=0,"★还没建合同行","OK")))))</f>
        <v/>
      </c>
    </row>
    <row r="600" customFormat="false" ht="15" hidden="false" customHeight="false" outlineLevel="0" collapsed="false">
      <c r="A600" s="29" t="str">
        <f aca="false">IF($C600="","",ROW()-4)</f>
        <v/>
      </c>
      <c r="B600" s="25"/>
      <c r="C600" s="24"/>
      <c r="D600" s="24"/>
      <c r="E600" s="30" t="str">
        <f aca="false">IF($C600="","",$C600&amp;" ｜ "&amp;$D600)</f>
        <v/>
      </c>
      <c r="F600" s="25"/>
      <c r="G600" s="25"/>
      <c r="H600" s="25"/>
      <c r="I600" s="25"/>
      <c r="J600" s="25"/>
      <c r="K600" s="21"/>
      <c r="L600" s="21"/>
      <c r="M600" s="21"/>
      <c r="N600" s="25"/>
      <c r="O600" s="25"/>
      <c r="P600" s="32"/>
      <c r="Q600" s="25"/>
      <c r="R600" s="25"/>
      <c r="S600" s="33"/>
      <c r="T600" s="33"/>
      <c r="U600" s="33"/>
      <c r="V600" s="33"/>
      <c r="W600" s="25"/>
      <c r="X600" s="25"/>
      <c r="Y600" s="25"/>
      <c r="Z600" s="33"/>
      <c r="AA600" s="34" t="str">
        <f aca="true">IF($T600="","",IF($T600&lt;TODAY(),"已过期 "&amp;TEXT(TODAY()-$T600,"0")&amp;" 天",IF($T600-TODAY()&lt;=年检提醒天,"还剩 "&amp;TEXT($T600-TODAY(),"0")&amp;" 天","")))</f>
        <v/>
      </c>
      <c r="AB600" s="34" t="str">
        <f aca="true">IF(COUNT($U600:$V600)=0,"",IF(MIN($U600:$V600)&lt;TODAY(),"已过期 "&amp;TEXT(TODAY()-MIN($U600:$V600),"0")&amp;" 天",IF(MIN($U600:$V600)-TODAY()&lt;=年检提醒天,"还剩 "&amp;TEXT(MIN($U600:$V600)-TODAY(),"0")&amp;" 天","")))</f>
        <v/>
      </c>
      <c r="AC600" s="34" t="str">
        <f aca="true">IF($C600="","",IF(OR($Y600="安装免保",$Y600="技术免保",$Y600="质保期内"),IF($Z600="","▲免保没填到期日",IF($Z600&lt;TODAY(),"▲免保已到期 该转收费了",IF($Z600-TODAY()&lt;=合同提醒天,"免保还剩 "&amp;TEXT($Z600-TODAY(),"0")&amp;" 天","免保中"))),IF($Y600="暂停维保","暂停中 不计费",IF($Y600="已解约","已解约",IF(COUNTIF(合同键,$E600)=0,"▲还没建合同行","")))))</f>
        <v/>
      </c>
      <c r="AD600" s="24"/>
      <c r="AE600" s="35" t="str">
        <f aca="false">IF($C600="","",IF($D600="","★项目名称没填",IF(N($P600)&lt;=0,"★台量要填",IF(AND(OR($Y600="安装免保",$Y600="技术免保",$Y600="质保期内"),$Z600=""),"★免保到期日没填",IF(COUNTIF(合同键,$E600)=0,"★还没建合同行","OK")))))</f>
        <v/>
      </c>
    </row>
    <row r="601" customFormat="false" ht="15" hidden="false" customHeight="false" outlineLevel="0" collapsed="false">
      <c r="A601" s="29" t="str">
        <f aca="false">IF($C601="","",ROW()-4)</f>
        <v/>
      </c>
      <c r="B601" s="25"/>
      <c r="C601" s="24"/>
      <c r="D601" s="24"/>
      <c r="E601" s="30" t="str">
        <f aca="false">IF($C601="","",$C601&amp;" ｜ "&amp;$D601)</f>
        <v/>
      </c>
      <c r="F601" s="25"/>
      <c r="G601" s="25"/>
      <c r="H601" s="25"/>
      <c r="I601" s="25"/>
      <c r="J601" s="25"/>
      <c r="K601" s="21"/>
      <c r="L601" s="21"/>
      <c r="M601" s="21"/>
      <c r="N601" s="25"/>
      <c r="O601" s="25"/>
      <c r="P601" s="32"/>
      <c r="Q601" s="25"/>
      <c r="R601" s="25"/>
      <c r="S601" s="33"/>
      <c r="T601" s="33"/>
      <c r="U601" s="33"/>
      <c r="V601" s="33"/>
      <c r="W601" s="25"/>
      <c r="X601" s="25"/>
      <c r="Y601" s="25"/>
      <c r="Z601" s="33"/>
      <c r="AA601" s="34" t="str">
        <f aca="true">IF($T601="","",IF($T601&lt;TODAY(),"已过期 "&amp;TEXT(TODAY()-$T601,"0")&amp;" 天",IF($T601-TODAY()&lt;=年检提醒天,"还剩 "&amp;TEXT($T601-TODAY(),"0")&amp;" 天","")))</f>
        <v/>
      </c>
      <c r="AB601" s="34" t="str">
        <f aca="true">IF(COUNT($U601:$V601)=0,"",IF(MIN($U601:$V601)&lt;TODAY(),"已过期 "&amp;TEXT(TODAY()-MIN($U601:$V601),"0")&amp;" 天",IF(MIN($U601:$V601)-TODAY()&lt;=年检提醒天,"还剩 "&amp;TEXT(MIN($U601:$V601)-TODAY(),"0")&amp;" 天","")))</f>
        <v/>
      </c>
      <c r="AC601" s="34" t="str">
        <f aca="true">IF($C601="","",IF(OR($Y601="安装免保",$Y601="技术免保",$Y601="质保期内"),IF($Z601="","▲免保没填到期日",IF($Z601&lt;TODAY(),"▲免保已到期 该转收费了",IF($Z601-TODAY()&lt;=合同提醒天,"免保还剩 "&amp;TEXT($Z601-TODAY(),"0")&amp;" 天","免保中"))),IF($Y601="暂停维保","暂停中 不计费",IF($Y601="已解约","已解约",IF(COUNTIF(合同键,$E601)=0,"▲还没建合同行","")))))</f>
        <v/>
      </c>
      <c r="AD601" s="24"/>
      <c r="AE601" s="35" t="str">
        <f aca="false">IF($C601="","",IF($D601="","★项目名称没填",IF(N($P601)&lt;=0,"★台量要填",IF(AND(OR($Y601="安装免保",$Y601="技术免保",$Y601="质保期内"),$Z601=""),"★免保到期日没填",IF(COUNTIF(合同键,$E601)=0,"★还没建合同行","OK")))))</f>
        <v/>
      </c>
    </row>
    <row r="602" customFormat="false" ht="15" hidden="false" customHeight="false" outlineLevel="0" collapsed="false">
      <c r="A602" s="29" t="str">
        <f aca="false">IF($C602="","",ROW()-4)</f>
        <v/>
      </c>
      <c r="B602" s="25"/>
      <c r="C602" s="24"/>
      <c r="D602" s="24"/>
      <c r="E602" s="30" t="str">
        <f aca="false">IF($C602="","",$C602&amp;" ｜ "&amp;$D602)</f>
        <v/>
      </c>
      <c r="F602" s="25"/>
      <c r="G602" s="25"/>
      <c r="H602" s="25"/>
      <c r="I602" s="25"/>
      <c r="J602" s="25"/>
      <c r="K602" s="21"/>
      <c r="L602" s="21"/>
      <c r="M602" s="21"/>
      <c r="N602" s="25"/>
      <c r="O602" s="25"/>
      <c r="P602" s="32"/>
      <c r="Q602" s="25"/>
      <c r="R602" s="25"/>
      <c r="S602" s="33"/>
      <c r="T602" s="33"/>
      <c r="U602" s="33"/>
      <c r="V602" s="33"/>
      <c r="W602" s="25"/>
      <c r="X602" s="25"/>
      <c r="Y602" s="25"/>
      <c r="Z602" s="33"/>
      <c r="AA602" s="34" t="str">
        <f aca="true">IF($T602="","",IF($T602&lt;TODAY(),"已过期 "&amp;TEXT(TODAY()-$T602,"0")&amp;" 天",IF($T602-TODAY()&lt;=年检提醒天,"还剩 "&amp;TEXT($T602-TODAY(),"0")&amp;" 天","")))</f>
        <v/>
      </c>
      <c r="AB602" s="34" t="str">
        <f aca="true">IF(COUNT($U602:$V602)=0,"",IF(MIN($U602:$V602)&lt;TODAY(),"已过期 "&amp;TEXT(TODAY()-MIN($U602:$V602),"0")&amp;" 天",IF(MIN($U602:$V602)-TODAY()&lt;=年检提醒天,"还剩 "&amp;TEXT(MIN($U602:$V602)-TODAY(),"0")&amp;" 天","")))</f>
        <v/>
      </c>
      <c r="AC602" s="34" t="str">
        <f aca="true">IF($C602="","",IF(OR($Y602="安装免保",$Y602="技术免保",$Y602="质保期内"),IF($Z602="","▲免保没填到期日",IF($Z602&lt;TODAY(),"▲免保已到期 该转收费了",IF($Z602-TODAY()&lt;=合同提醒天,"免保还剩 "&amp;TEXT($Z602-TODAY(),"0")&amp;" 天","免保中"))),IF($Y602="暂停维保","暂停中 不计费",IF($Y602="已解约","已解约",IF(COUNTIF(合同键,$E602)=0,"▲还没建合同行","")))))</f>
        <v/>
      </c>
      <c r="AD602" s="24"/>
      <c r="AE602" s="35" t="str">
        <f aca="false">IF($C602="","",IF($D602="","★项目名称没填",IF(N($P602)&lt;=0,"★台量要填",IF(AND(OR($Y602="安装免保",$Y602="技术免保",$Y602="质保期内"),$Z602=""),"★免保到期日没填",IF(COUNTIF(合同键,$E602)=0,"★还没建合同行","OK")))))</f>
        <v/>
      </c>
    </row>
    <row r="603" customFormat="false" ht="15" hidden="false" customHeight="false" outlineLevel="0" collapsed="false">
      <c r="A603" s="29" t="str">
        <f aca="false">IF($C603="","",ROW()-4)</f>
        <v/>
      </c>
      <c r="B603" s="25"/>
      <c r="C603" s="24"/>
      <c r="D603" s="24"/>
      <c r="E603" s="30" t="str">
        <f aca="false">IF($C603="","",$C603&amp;" ｜ "&amp;$D603)</f>
        <v/>
      </c>
      <c r="F603" s="25"/>
      <c r="G603" s="25"/>
      <c r="H603" s="25"/>
      <c r="I603" s="25"/>
      <c r="J603" s="25"/>
      <c r="K603" s="21"/>
      <c r="L603" s="21"/>
      <c r="M603" s="21"/>
      <c r="N603" s="25"/>
      <c r="O603" s="25"/>
      <c r="P603" s="32"/>
      <c r="Q603" s="25"/>
      <c r="R603" s="25"/>
      <c r="S603" s="33"/>
      <c r="T603" s="33"/>
      <c r="U603" s="33"/>
      <c r="V603" s="33"/>
      <c r="W603" s="25"/>
      <c r="X603" s="25"/>
      <c r="Y603" s="25"/>
      <c r="Z603" s="33"/>
      <c r="AA603" s="34" t="str">
        <f aca="true">IF($T603="","",IF($T603&lt;TODAY(),"已过期 "&amp;TEXT(TODAY()-$T603,"0")&amp;" 天",IF($T603-TODAY()&lt;=年检提醒天,"还剩 "&amp;TEXT($T603-TODAY(),"0")&amp;" 天","")))</f>
        <v/>
      </c>
      <c r="AB603" s="34" t="str">
        <f aca="true">IF(COUNT($U603:$V603)=0,"",IF(MIN($U603:$V603)&lt;TODAY(),"已过期 "&amp;TEXT(TODAY()-MIN($U603:$V603),"0")&amp;" 天",IF(MIN($U603:$V603)-TODAY()&lt;=年检提醒天,"还剩 "&amp;TEXT(MIN($U603:$V603)-TODAY(),"0")&amp;" 天","")))</f>
        <v/>
      </c>
      <c r="AC603" s="34" t="str">
        <f aca="true">IF($C603="","",IF(OR($Y603="安装免保",$Y603="技术免保",$Y603="质保期内"),IF($Z603="","▲免保没填到期日",IF($Z603&lt;TODAY(),"▲免保已到期 该转收费了",IF($Z603-TODAY()&lt;=合同提醒天,"免保还剩 "&amp;TEXT($Z603-TODAY(),"0")&amp;" 天","免保中"))),IF($Y603="暂停维保","暂停中 不计费",IF($Y603="已解约","已解约",IF(COUNTIF(合同键,$E603)=0,"▲还没建合同行","")))))</f>
        <v/>
      </c>
      <c r="AD603" s="24"/>
      <c r="AE603" s="35" t="str">
        <f aca="false">IF($C603="","",IF($D603="","★项目名称没填",IF(N($P603)&lt;=0,"★台量要填",IF(AND(OR($Y603="安装免保",$Y603="技术免保",$Y603="质保期内"),$Z603=""),"★免保到期日没填",IF(COUNTIF(合同键,$E603)=0,"★还没建合同行","OK")))))</f>
        <v/>
      </c>
    </row>
    <row r="604" customFormat="false" ht="15" hidden="false" customHeight="false" outlineLevel="0" collapsed="false">
      <c r="A604" s="29" t="str">
        <f aca="false">IF($C604="","",ROW()-4)</f>
        <v/>
      </c>
      <c r="B604" s="25"/>
      <c r="C604" s="24"/>
      <c r="D604" s="24"/>
      <c r="E604" s="30" t="str">
        <f aca="false">IF($C604="","",$C604&amp;" ｜ "&amp;$D604)</f>
        <v/>
      </c>
      <c r="F604" s="25"/>
      <c r="G604" s="25"/>
      <c r="H604" s="25"/>
      <c r="I604" s="25"/>
      <c r="J604" s="25"/>
      <c r="K604" s="21"/>
      <c r="L604" s="21"/>
      <c r="M604" s="21"/>
      <c r="N604" s="25"/>
      <c r="O604" s="25"/>
      <c r="P604" s="32"/>
      <c r="Q604" s="25"/>
      <c r="R604" s="25"/>
      <c r="S604" s="33"/>
      <c r="T604" s="33"/>
      <c r="U604" s="33"/>
      <c r="V604" s="33"/>
      <c r="W604" s="25"/>
      <c r="X604" s="25"/>
      <c r="Y604" s="25"/>
      <c r="Z604" s="33"/>
      <c r="AA604" s="34" t="str">
        <f aca="true">IF($T604="","",IF($T604&lt;TODAY(),"已过期 "&amp;TEXT(TODAY()-$T604,"0")&amp;" 天",IF($T604-TODAY()&lt;=年检提醒天,"还剩 "&amp;TEXT($T604-TODAY(),"0")&amp;" 天","")))</f>
        <v/>
      </c>
      <c r="AB604" s="34" t="str">
        <f aca="true">IF(COUNT($U604:$V604)=0,"",IF(MIN($U604:$V604)&lt;TODAY(),"已过期 "&amp;TEXT(TODAY()-MIN($U604:$V604),"0")&amp;" 天",IF(MIN($U604:$V604)-TODAY()&lt;=年检提醒天,"还剩 "&amp;TEXT(MIN($U604:$V604)-TODAY(),"0")&amp;" 天","")))</f>
        <v/>
      </c>
      <c r="AC604" s="34" t="str">
        <f aca="true">IF($C604="","",IF(OR($Y604="安装免保",$Y604="技术免保",$Y604="质保期内"),IF($Z604="","▲免保没填到期日",IF($Z604&lt;TODAY(),"▲免保已到期 该转收费了",IF($Z604-TODAY()&lt;=合同提醒天,"免保还剩 "&amp;TEXT($Z604-TODAY(),"0")&amp;" 天","免保中"))),IF($Y604="暂停维保","暂停中 不计费",IF($Y604="已解约","已解约",IF(COUNTIF(合同键,$E604)=0,"▲还没建合同行","")))))</f>
        <v/>
      </c>
      <c r="AD604" s="24"/>
      <c r="AE604" s="35" t="str">
        <f aca="false">IF($C604="","",IF($D604="","★项目名称没填",IF(N($P604)&lt;=0,"★台量要填",IF(AND(OR($Y604="安装免保",$Y604="技术免保",$Y604="质保期内"),$Z604=""),"★免保到期日没填",IF(COUNTIF(合同键,$E604)=0,"★还没建合同行","OK")))))</f>
        <v/>
      </c>
    </row>
  </sheetData>
  <autoFilter ref="A4:AE604"/>
  <mergeCells count="2">
    <mergeCell ref="A1:AE1"/>
    <mergeCell ref="A2:AE2"/>
  </mergeCells>
  <dataValidations count="4">
    <dataValidation allowBlank="true" error="这一列要跟【基础资料】的清单一致，请从下拉里选。" errorStyle="stop" errorTitle="只能从下拉里选" operator="between" showDropDown="false" showErrorMessage="true" showInputMessage="false" sqref="B5:B604" type="list">
      <formula1>OFFSET(基础资料!$A$5,0,0,MAX(1,COUNTA(基础资料!$A$5:$A$34)),1)</formula1>
      <formula2>0</formula2>
    </dataValidation>
    <dataValidation allowBlank="true" error="这一列要跟【基础资料】的清单一致，请从下拉里选。" errorStyle="stop" errorTitle="只能从下拉里选" operator="between" showDropDown="false" showErrorMessage="true" showInputMessage="false" sqref="J5:J604" type="list">
      <formula1>OFFSET(基础资料!$C$5,0,0,MAX(1,COUNTA(基础资料!$C$5:$C$34)),1)</formula1>
      <formula2>0</formula2>
    </dataValidation>
    <dataValidation allowBlank="true" error="这一列要跟【基础资料】的清单一致，请从下拉里选。" errorStyle="stop" errorTitle="只能从下拉里选" operator="between" showDropDown="false" showErrorMessage="true" showInputMessage="false" sqref="X5:X604" type="list">
      <formula1>OFFSET(基础资料!$E$5,0,0,MAX(1,COUNTA(基础资料!$E$5:$E$34)),1)</formula1>
      <formula2>0</formula2>
    </dataValidation>
    <dataValidation allowBlank="true" error="这一列要跟【基础资料】的清单一致，请从下拉里选。" errorStyle="stop" errorTitle="只能从下拉里选" operator="between" prompt="安装免保 / 技术免保 / 质保期内 这三种，记得把右边「免保到期日」填上。" promptTitle="填写提示" showDropDown="false" showErrorMessage="true" showInputMessage="true" sqref="Y5:Y604" type="list">
      <formula1>OFFSET(基础资料!$G$5,0,0,MAX(1,COUNTA(基础资料!$G$5:$G$34)),1)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X30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9" min="8" style="0" width="1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6" min="15" style="0" width="11"/>
    <col collapsed="false" customWidth="true" hidden="false" outlineLevel="0" max="17" min="17" style="0" width="15"/>
    <col collapsed="false" customWidth="true" hidden="false" outlineLevel="0" max="18" min="18" style="0" width="20"/>
    <col collapsed="false" customWidth="true" hidden="false" outlineLevel="0" max="19" min="19" style="0" width="18"/>
    <col collapsed="false" customWidth="true" hidden="false" outlineLevel="0" max="21" min="20" style="0" width="13"/>
    <col collapsed="false" customWidth="true" hidden="false" outlineLevel="0" max="22" min="22" style="0" width="14"/>
    <col collapsed="false" customWidth="true" hidden="false" outlineLevel="0" max="23" min="23" style="0" width="26"/>
    <col collapsed="false" customWidth="true" hidden="false" outlineLevel="0" max="24" min="24" style="0" width="22"/>
  </cols>
  <sheetData>
    <row r="1" customFormat="false" ht="30" hidden="false" customHeight="true" outlineLevel="0" collapsed="false">
      <c r="A1" s="1" t="s">
        <v>374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customFormat="false" ht="46.5" hidden="false" customHeight="true" outlineLevel="0" collapsed="false">
      <c r="A2" s="2" t="s">
        <v>375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customFormat="false" ht="19.5" hidden="false" customHeight="true" outlineLevel="0" collapsed="false">
      <c r="A3" s="26" t="s">
        <v>198</v>
      </c>
      <c r="C3" s="27" t="str">
        <f aca="false">COUNTIF($C$5:$C$304,"?*")&amp;" 个项目"</f>
        <v>10 个项目</v>
      </c>
      <c r="J3" s="28" t="n">
        <f aca="false">SUM($J$5:$J$304)</f>
        <v>22</v>
      </c>
      <c r="K3" s="28" t="n">
        <f aca="false">SUM($K$5:$K$304)</f>
        <v>22</v>
      </c>
      <c r="L3" s="36" t="n">
        <f aca="false">SUM($L$5:$L$304)</f>
        <v>92400</v>
      </c>
      <c r="O3" s="28" t="n">
        <f aca="false">SUM($O$5:$O$304)</f>
        <v>4</v>
      </c>
      <c r="P3" s="28" t="n">
        <f aca="false">SUM($P$5:$P$304)</f>
        <v>18</v>
      </c>
      <c r="R3" s="37" t="str">
        <f aca="false">COUNTIF($R$5:$R$304,"▲*")&amp;" 份合同未回"</f>
        <v>4 份合同未回</v>
      </c>
      <c r="T3" s="36" t="n">
        <f aca="false">SUM($T$5:$T$304)</f>
        <v>99900</v>
      </c>
      <c r="U3" s="36" t="n">
        <f aca="false">SUM($U$5:$U$304)</f>
        <v>61250</v>
      </c>
      <c r="V3" s="36" t="n">
        <f aca="false">SUM($V$5:$V$304)</f>
        <v>44650</v>
      </c>
    </row>
    <row r="4" customFormat="false" ht="31.5" hidden="false" customHeight="true" outlineLevel="0" collapsed="false">
      <c r="A4" s="13" t="s">
        <v>199</v>
      </c>
      <c r="B4" s="13" t="s">
        <v>376</v>
      </c>
      <c r="C4" s="13" t="s">
        <v>201</v>
      </c>
      <c r="D4" s="13" t="s">
        <v>202</v>
      </c>
      <c r="E4" s="13" t="s">
        <v>203</v>
      </c>
      <c r="F4" s="13" t="s">
        <v>377</v>
      </c>
      <c r="G4" s="13" t="s">
        <v>378</v>
      </c>
      <c r="H4" s="13" t="s">
        <v>379</v>
      </c>
      <c r="I4" s="13" t="s">
        <v>380</v>
      </c>
      <c r="J4" s="13" t="s">
        <v>381</v>
      </c>
      <c r="K4" s="13" t="s">
        <v>382</v>
      </c>
      <c r="L4" s="13" t="s">
        <v>383</v>
      </c>
      <c r="M4" s="13" t="s">
        <v>384</v>
      </c>
      <c r="N4" s="13" t="s">
        <v>222</v>
      </c>
      <c r="O4" s="13" t="s">
        <v>385</v>
      </c>
      <c r="P4" s="13" t="s">
        <v>386</v>
      </c>
      <c r="Q4" s="13" t="s">
        <v>387</v>
      </c>
      <c r="R4" s="13" t="s">
        <v>388</v>
      </c>
      <c r="S4" s="13" t="s">
        <v>389</v>
      </c>
      <c r="T4" s="13" t="s">
        <v>7</v>
      </c>
      <c r="U4" s="13" t="s">
        <v>8</v>
      </c>
      <c r="V4" s="13" t="s">
        <v>390</v>
      </c>
      <c r="W4" s="13" t="s">
        <v>391</v>
      </c>
      <c r="X4" s="13" t="s">
        <v>229</v>
      </c>
    </row>
    <row r="5" customFormat="false" ht="15" hidden="false" customHeight="false" outlineLevel="0" collapsed="false">
      <c r="A5" s="29" t="n">
        <f aca="false">IF($C5="","",ROW()-4)</f>
        <v>1</v>
      </c>
      <c r="B5" s="35" t="str">
        <f aca="false">IF($C5="","",IFERROR(INDEX(电梯片区,MATCH($E5,电梯键,0)),""))</f>
        <v>平顶山郑州</v>
      </c>
      <c r="C5" s="24" t="s">
        <v>230</v>
      </c>
      <c r="D5" s="24" t="s">
        <v>231</v>
      </c>
      <c r="E5" s="30" t="str">
        <f aca="false">IF($C5="","",$C5&amp;" ｜ "&amp;$D5)</f>
        <v>河南中意联机电工程有限公司 ｜ 滨江苑一期</v>
      </c>
      <c r="F5" s="31" t="s">
        <v>392</v>
      </c>
      <c r="G5" s="25" t="s">
        <v>135</v>
      </c>
      <c r="H5" s="33" t="n">
        <v>46023</v>
      </c>
      <c r="I5" s="33" t="n">
        <v>46387</v>
      </c>
      <c r="J5" s="32" t="n">
        <v>1</v>
      </c>
      <c r="K5" s="38" t="n">
        <f aca="false">IF($C5="","",SUMIF(电梯键,$E5,电梯台量))</f>
        <v>1</v>
      </c>
      <c r="L5" s="39" t="n">
        <v>3600</v>
      </c>
      <c r="M5" s="25" t="s">
        <v>147</v>
      </c>
      <c r="N5" s="25" t="s">
        <v>133</v>
      </c>
      <c r="O5" s="38" t="n">
        <f aca="false">IF($C5="","",SUMIFS(电梯台量,电梯键,$E5,电梯状态,"安装免保")+SUMIFS(电梯台量,电梯键,$E5,电梯状态,"技术免保")+SUMIFS(电梯台量,电梯键,$E5,电梯状态,"质保期内"))</f>
        <v>0</v>
      </c>
      <c r="P5" s="38" t="n">
        <f aca="false">IF($C5="","",$K5-$O5)</f>
        <v>1</v>
      </c>
      <c r="Q5" s="34" t="str">
        <f aca="true">IF($C5="","",IF($G5="已终止","",IF($I5="","▲没填合同止期",IF($I5&lt;TODAY(),"已到期 "&amp;TEXT(TODAY()-$I5,"0")&amp;" 天",IF($I5-TODAY()&lt;=合同提醒天,"将到期 "&amp;TEXT($I5-TODAY(),"0")&amp;" 天","")))))</f>
        <v/>
      </c>
      <c r="R5" s="34" t="str">
        <f aca="false">IF($C5="","",IF($G5="","▲合同状态没选",IF(OR($G5="已签未回",$G5="未签",$G5="续签中"),"▲合同未回（"&amp;$G5&amp;"）","")))</f>
        <v/>
      </c>
      <c r="S5" s="35" t="str">
        <f aca="false">IF($C5="","",IF(N($J5)=N($K5),"一致","★合同"&amp;TEXT(N($J5),"0")&amp;"台 / 在册"&amp;TEXT(N($K5),"0")&amp;"台"))</f>
        <v>一致</v>
      </c>
      <c r="T5" s="40" t="n">
        <f aca="false">IF($C5="","",ROUND(SUMIFS(应收金额,应收键,$E5,应收年度,管理年度),2))</f>
        <v>3600</v>
      </c>
      <c r="U5" s="40" t="n">
        <f aca="false">IF($C5="","",ROUND(SUMIFS(收款金额,收款键,$E5,收款年度,管理年度),2))</f>
        <v>1800</v>
      </c>
      <c r="V5" s="41" t="n">
        <f aca="false">IF($C5="","",ROUND(SUMIF(应收键,$E5,应收金额)-SUMIF(收款键,$E5,收款金额),2))</f>
        <v>1800</v>
      </c>
      <c r="W5" s="24"/>
      <c r="X5" s="35" t="str">
        <f aca="false">IF($C5="","",IF($D5="","★项目名称没填",IF(COUNTIF($E$5:$E$304,$E5)&gt;1,"★键重复",IF(AND($H5&lt;&gt;"",$I5&lt;&gt;"",$I5&lt;$H5),"★合同起止反了",IF(N($K5)=0,"★电梯资料里没有这个项目","OK")))))</f>
        <v>OK</v>
      </c>
    </row>
    <row r="6" customFormat="false" ht="15" hidden="false" customHeight="false" outlineLevel="0" collapsed="false">
      <c r="A6" s="29" t="n">
        <f aca="false">IF($C6="","",ROW()-4)</f>
        <v>2</v>
      </c>
      <c r="B6" s="35" t="str">
        <f aca="false">IF($C6="","",IFERROR(INDEX(电梯片区,MATCH($E6,电梯键,0)),""))</f>
        <v>漯河许昌</v>
      </c>
      <c r="C6" s="24" t="s">
        <v>241</v>
      </c>
      <c r="D6" s="24" t="s">
        <v>242</v>
      </c>
      <c r="E6" s="30" t="str">
        <f aca="false">IF($C6="","",$C6&amp;" ｜ "&amp;$D6)</f>
        <v>河南明海定慧商业管理有限公司 ｜ 六渡桥</v>
      </c>
      <c r="F6" s="31" t="s">
        <v>393</v>
      </c>
      <c r="G6" s="25" t="s">
        <v>146</v>
      </c>
      <c r="H6" s="33" t="n">
        <v>46082</v>
      </c>
      <c r="I6" s="33" t="n">
        <v>46446</v>
      </c>
      <c r="J6" s="32" t="n">
        <v>1</v>
      </c>
      <c r="K6" s="38" t="n">
        <f aca="false">IF($C6="","",SUMIF(电梯键,$E6,电梯台量))</f>
        <v>1</v>
      </c>
      <c r="L6" s="39" t="n">
        <v>4200</v>
      </c>
      <c r="M6" s="25" t="s">
        <v>156</v>
      </c>
      <c r="N6" s="25" t="s">
        <v>144</v>
      </c>
      <c r="O6" s="38" t="n">
        <f aca="false">IF($C6="","",SUMIFS(电梯台量,电梯键,$E6,电梯状态,"安装免保")+SUMIFS(电梯台量,电梯键,$E6,电梯状态,"技术免保")+SUMIFS(电梯台量,电梯键,$E6,电梯状态,"质保期内"))</f>
        <v>0</v>
      </c>
      <c r="P6" s="38" t="n">
        <f aca="false">IF($C6="","",$K6-$O6)</f>
        <v>1</v>
      </c>
      <c r="Q6" s="34" t="str">
        <f aca="true">IF($C6="","",IF($G6="已终止","",IF($I6="","▲没填合同止期",IF($I6&lt;TODAY(),"已到期 "&amp;TEXT(TODAY()-$I6,"0")&amp;" 天",IF($I6-TODAY()&lt;=合同提醒天,"将到期 "&amp;TEXT($I6-TODAY(),"0")&amp;" 天","")))))</f>
        <v/>
      </c>
      <c r="R6" s="34" t="str">
        <f aca="false">IF($C6="","",IF($G6="","▲合同状态没选",IF(OR($G6="已签未回",$G6="未签",$G6="续签中"),"▲合同未回（"&amp;$G6&amp;"）","")))</f>
        <v>▲合同未回（已签未回）</v>
      </c>
      <c r="S6" s="35" t="str">
        <f aca="false">IF($C6="","",IF(N($J6)=N($K6),"一致","★合同"&amp;TEXT(N($J6),"0")&amp;"台 / 在册"&amp;TEXT(N($K6),"0")&amp;"台"))</f>
        <v>一致</v>
      </c>
      <c r="T6" s="40" t="n">
        <f aca="false">IF($C6="","",ROUND(SUMIFS(应收金额,应收键,$E6,应收年度,管理年度),2))</f>
        <v>3150</v>
      </c>
      <c r="U6" s="40" t="n">
        <f aca="false">IF($C6="","",ROUND(SUMIFS(收款金额,收款键,$E6,收款年度,管理年度),2))</f>
        <v>2100</v>
      </c>
      <c r="V6" s="41" t="n">
        <f aca="false">IF($C6="","",ROUND(SUMIF(应收键,$E6,应收金额)-SUMIF(收款键,$E6,收款金额),2))</f>
        <v>1050</v>
      </c>
      <c r="W6" s="24" t="s">
        <v>394</v>
      </c>
      <c r="X6" s="35" t="str">
        <f aca="false">IF($C6="","",IF($D6="","★项目名称没填",IF(COUNTIF($E$5:$E$304,$E6)&gt;1,"★键重复",IF(AND($H6&lt;&gt;"",$I6&lt;&gt;"",$I6&lt;$H6),"★合同起止反了",IF(N($K6)=0,"★电梯资料里没有这个项目","OK")))))</f>
        <v>OK</v>
      </c>
    </row>
    <row r="7" customFormat="false" ht="15" hidden="false" customHeight="false" outlineLevel="0" collapsed="false">
      <c r="A7" s="29" t="n">
        <f aca="false">IF($C7="","",ROW()-4)</f>
        <v>3</v>
      </c>
      <c r="B7" s="35" t="str">
        <f aca="false">IF($C7="","",IFERROR(INDEX(电梯片区,MATCH($E7,电梯键,0)),""))</f>
        <v>开封商丘周口</v>
      </c>
      <c r="C7" s="24" t="s">
        <v>252</v>
      </c>
      <c r="D7" s="24" t="s">
        <v>253</v>
      </c>
      <c r="E7" s="30" t="str">
        <f aca="false">IF($C7="","",$C7&amp;" ｜ "&amp;$D7)</f>
        <v>河南华茂医院有限公司 ｜ 圣爱医院</v>
      </c>
      <c r="F7" s="31" t="s">
        <v>395</v>
      </c>
      <c r="G7" s="25" t="s">
        <v>135</v>
      </c>
      <c r="H7" s="33" t="n">
        <v>45839</v>
      </c>
      <c r="I7" s="33" t="n">
        <v>46203</v>
      </c>
      <c r="J7" s="32" t="n">
        <v>2</v>
      </c>
      <c r="K7" s="38" t="n">
        <f aca="false">IF($C7="","",SUMIF(电梯键,$E7,电梯台量))</f>
        <v>2</v>
      </c>
      <c r="L7" s="39" t="n">
        <v>9600</v>
      </c>
      <c r="M7" s="25" t="s">
        <v>147</v>
      </c>
      <c r="N7" s="25" t="s">
        <v>133</v>
      </c>
      <c r="O7" s="38" t="n">
        <f aca="false">IF($C7="","",SUMIFS(电梯台量,电梯键,$E7,电梯状态,"安装免保")+SUMIFS(电梯台量,电梯键,$E7,电梯状态,"技术免保")+SUMIFS(电梯台量,电梯键,$E7,电梯状态,"质保期内"))</f>
        <v>0</v>
      </c>
      <c r="P7" s="38" t="n">
        <f aca="false">IF($C7="","",$K7-$O7)</f>
        <v>2</v>
      </c>
      <c r="Q7" s="34" t="str">
        <f aca="true">IF($C7="","",IF($G7="已终止","",IF($I7="","▲没填合同止期",IF($I7&lt;TODAY(),"已到期 "&amp;TEXT(TODAY()-$I7,"0")&amp;" 天",IF($I7-TODAY()&lt;=合同提醒天,"将到期 "&amp;TEXT($I7-TODAY(),"0")&amp;" 天","")))))</f>
        <v>已到期 83 天</v>
      </c>
      <c r="R7" s="34" t="str">
        <f aca="false">IF($C7="","",IF($G7="","▲合同状态没选",IF(OR($G7="已签未回",$G7="未签",$G7="续签中"),"▲合同未回（"&amp;$G7&amp;"）","")))</f>
        <v/>
      </c>
      <c r="S7" s="35" t="str">
        <f aca="false">IF($C7="","",IF(N($J7)=N($K7),"一致","★合同"&amp;TEXT(N($J7),"0")&amp;"台 / 在册"&amp;TEXT(N($K7),"0")&amp;"台"))</f>
        <v>一致</v>
      </c>
      <c r="T7" s="40" t="n">
        <f aca="false">IF($C7="","",ROUND(SUMIFS(应收金额,应收键,$E7,应收年度,管理年度),2))</f>
        <v>10200</v>
      </c>
      <c r="U7" s="40" t="n">
        <f aca="false">IF($C7="","",ROUND(SUMIFS(收款金额,收款键,$E7,收款年度,管理年度),2))</f>
        <v>5400</v>
      </c>
      <c r="V7" s="41" t="n">
        <f aca="false">IF($C7="","",ROUND(SUMIF(应收键,$E7,应收金额)-SUMIF(收款键,$E7,收款金额),2))</f>
        <v>4800</v>
      </c>
      <c r="W7" s="24" t="s">
        <v>396</v>
      </c>
      <c r="X7" s="35" t="str">
        <f aca="false">IF($C7="","",IF($D7="","★项目名称没填",IF(COUNTIF($E$5:$E$304,$E7)&gt;1,"★键重复",IF(AND($H7&lt;&gt;"",$I7&lt;&gt;"",$I7&lt;$H7),"★合同起止反了",IF(N($K7)=0,"★电梯资料里没有这个项目","OK")))))</f>
        <v>OK</v>
      </c>
    </row>
    <row r="8" customFormat="false" ht="26.85" hidden="false" customHeight="false" outlineLevel="0" collapsed="false">
      <c r="A8" s="29" t="n">
        <f aca="false">IF($C8="","",ROW()-4)</f>
        <v>4</v>
      </c>
      <c r="B8" s="35" t="str">
        <f aca="false">IF($C8="","",IFERROR(INDEX(电梯片区,MATCH($E8,电梯键,0)),""))</f>
        <v>平顶山郑州</v>
      </c>
      <c r="C8" s="24" t="s">
        <v>266</v>
      </c>
      <c r="D8" s="24" t="s">
        <v>267</v>
      </c>
      <c r="E8" s="30" t="str">
        <f aca="false">IF($C8="","",$C8&amp;" ｜ "&amp;$D8)</f>
        <v>河南长江人民艺术剧院有限责任公司 ｜ 长江人艺D8小剧场</v>
      </c>
      <c r="F8" s="25"/>
      <c r="G8" s="25" t="s">
        <v>155</v>
      </c>
      <c r="H8" s="33" t="n">
        <v>46174</v>
      </c>
      <c r="I8" s="33" t="n">
        <v>46538</v>
      </c>
      <c r="J8" s="32" t="n">
        <v>1</v>
      </c>
      <c r="K8" s="38" t="n">
        <f aca="false">IF($C8="","",SUMIF(电梯键,$E8,电梯台量))</f>
        <v>1</v>
      </c>
      <c r="L8" s="39" t="n">
        <v>5400</v>
      </c>
      <c r="M8" s="25" t="s">
        <v>136</v>
      </c>
      <c r="N8" s="25" t="s">
        <v>153</v>
      </c>
      <c r="O8" s="38" t="n">
        <f aca="false">IF($C8="","",SUMIFS(电梯台量,电梯键,$E8,电梯状态,"安装免保")+SUMIFS(电梯台量,电梯键,$E8,电梯状态,"技术免保")+SUMIFS(电梯台量,电梯键,$E8,电梯状态,"质保期内"))</f>
        <v>1</v>
      </c>
      <c r="P8" s="38" t="n">
        <f aca="false">IF($C8="","",$K8-$O8)</f>
        <v>0</v>
      </c>
      <c r="Q8" s="34" t="str">
        <f aca="true">IF($C8="","",IF($G8="已终止","",IF($I8="","▲没填合同止期",IF($I8&lt;TODAY(),"已到期 "&amp;TEXT(TODAY()-$I8,"0")&amp;" 天",IF($I8-TODAY()&lt;=合同提醒天,"将到期 "&amp;TEXT($I8-TODAY(),"0")&amp;" 天","")))))</f>
        <v/>
      </c>
      <c r="R8" s="34" t="str">
        <f aca="false">IF($C8="","",IF($G8="","▲合同状态没选",IF(OR($G8="已签未回",$G8="未签",$G8="续签中"),"▲合同未回（"&amp;$G8&amp;"）","")))</f>
        <v>▲合同未回（未签）</v>
      </c>
      <c r="S8" s="35" t="str">
        <f aca="false">IF($C8="","",IF(N($J8)=N($K8),"一致","★合同"&amp;TEXT(N($J8),"0")&amp;"台 / 在册"&amp;TEXT(N($K8),"0")&amp;"台"))</f>
        <v>一致</v>
      </c>
      <c r="T8" s="40" t="n">
        <f aca="false">IF($C8="","",ROUND(SUMIFS(应收金额,应收键,$E8,应收年度,管理年度),2))</f>
        <v>5400</v>
      </c>
      <c r="U8" s="40" t="n">
        <f aca="false">IF($C8="","",ROUND(SUMIFS(收款金额,收款键,$E8,收款年度,管理年度),2))</f>
        <v>0</v>
      </c>
      <c r="V8" s="41" t="n">
        <f aca="false">IF($C8="","",ROUND(SUMIF(应收键,$E8,应收金额)-SUMIF(收款键,$E8,收款金额),2))</f>
        <v>5400</v>
      </c>
      <c r="W8" s="24" t="s">
        <v>397</v>
      </c>
      <c r="X8" s="35" t="str">
        <f aca="false">IF($C8="","",IF($D8="","★项目名称没填",IF(COUNTIF($E$5:$E$304,$E8)&gt;1,"★键重复",IF(AND($H8&lt;&gt;"",$I8&lt;&gt;"",$I8&lt;$H8),"★合同起止反了",IF(N($K8)=0,"★电梯资料里没有这个项目","OK")))))</f>
        <v>OK</v>
      </c>
    </row>
    <row r="9" customFormat="false" ht="26.85" hidden="false" customHeight="false" outlineLevel="0" collapsed="false">
      <c r="A9" s="29" t="n">
        <f aca="false">IF($C9="","",ROW()-4)</f>
        <v>5</v>
      </c>
      <c r="B9" s="35" t="str">
        <f aca="false">IF($C9="","",IFERROR(INDEX(电梯片区,MATCH($E9,电梯键,0)),""))</f>
        <v>平顶山郑州</v>
      </c>
      <c r="C9" s="24" t="s">
        <v>266</v>
      </c>
      <c r="D9" s="24" t="s">
        <v>276</v>
      </c>
      <c r="E9" s="30" t="str">
        <f aca="false">IF($C9="","",$C9&amp;" ｜ "&amp;$D9)</f>
        <v>河南长江人民艺术剧院有限责任公司 ｜ 大东门华北村63号</v>
      </c>
      <c r="F9" s="31" t="s">
        <v>398</v>
      </c>
      <c r="G9" s="25" t="s">
        <v>135</v>
      </c>
      <c r="H9" s="33" t="n">
        <v>46023</v>
      </c>
      <c r="I9" s="33" t="n">
        <v>46387</v>
      </c>
      <c r="J9" s="32" t="n">
        <v>2</v>
      </c>
      <c r="K9" s="38" t="n">
        <f aca="false">IF($C9="","",SUMIF(电梯键,$E9,电梯台量))</f>
        <v>2</v>
      </c>
      <c r="L9" s="39" t="n">
        <v>7200</v>
      </c>
      <c r="M9" s="25" t="s">
        <v>156</v>
      </c>
      <c r="N9" s="25" t="s">
        <v>144</v>
      </c>
      <c r="O9" s="38" t="n">
        <f aca="false">IF($C9="","",SUMIFS(电梯台量,电梯键,$E9,电梯状态,"安装免保")+SUMIFS(电梯台量,电梯键,$E9,电梯状态,"技术免保")+SUMIFS(电梯台量,电梯键,$E9,电梯状态,"质保期内"))</f>
        <v>0</v>
      </c>
      <c r="P9" s="38" t="n">
        <f aca="false">IF($C9="","",$K9-$O9)</f>
        <v>2</v>
      </c>
      <c r="Q9" s="34" t="str">
        <f aca="true">IF($C9="","",IF($G9="已终止","",IF($I9="","▲没填合同止期",IF($I9&lt;TODAY(),"已到期 "&amp;TEXT(TODAY()-$I9,"0")&amp;" 天",IF($I9-TODAY()&lt;=合同提醒天,"将到期 "&amp;TEXT($I9-TODAY(),"0")&amp;" 天","")))))</f>
        <v/>
      </c>
      <c r="R9" s="34" t="str">
        <f aca="false">IF($C9="","",IF($G9="","▲合同状态没选",IF(OR($G9="已签未回",$G9="未签",$G9="续签中"),"▲合同未回（"&amp;$G9&amp;"）","")))</f>
        <v/>
      </c>
      <c r="S9" s="35" t="str">
        <f aca="false">IF($C9="","",IF(N($J9)=N($K9),"一致","★合同"&amp;TEXT(N($J9),"0")&amp;"台 / 在册"&amp;TEXT(N($K9),"0")&amp;"台"))</f>
        <v>一致</v>
      </c>
      <c r="T9" s="40" t="n">
        <f aca="false">IF($C9="","",ROUND(SUMIFS(应收金额,应收键,$E9,应收年度,管理年度),2))</f>
        <v>8000</v>
      </c>
      <c r="U9" s="40" t="n">
        <f aca="false">IF($C9="","",ROUND(SUMIFS(收款金额,收款键,$E9,收款年度,管理年度),2))</f>
        <v>8000</v>
      </c>
      <c r="V9" s="41" t="n">
        <f aca="false">IF($C9="","",ROUND(SUMIF(应收键,$E9,应收金额)-SUMIF(收款键,$E9,收款金额),2))</f>
        <v>0</v>
      </c>
      <c r="W9" s="24"/>
      <c r="X9" s="35" t="str">
        <f aca="false">IF($C9="","",IF($D9="","★项目名称没填",IF(COUNTIF($E$5:$E$304,$E9)&gt;1,"★键重复",IF(AND($H9&lt;&gt;"",$I9&lt;&gt;"",$I9&lt;$H9),"★合同起止反了",IF(N($K9)=0,"★电梯资料里没有这个项目","OK")))))</f>
        <v>OK</v>
      </c>
    </row>
    <row r="10" customFormat="false" ht="15" hidden="false" customHeight="false" outlineLevel="0" collapsed="false">
      <c r="A10" s="29" t="n">
        <f aca="false">IF($C10="","",ROW()-4)</f>
        <v>6</v>
      </c>
      <c r="B10" s="35" t="str">
        <f aca="false">IF($C10="","",IFERROR(INDEX(电梯片区,MATCH($E10,电梯键,0)),""))</f>
        <v>鹤壁新乡</v>
      </c>
      <c r="C10" s="24" t="s">
        <v>285</v>
      </c>
      <c r="D10" s="24" t="s">
        <v>286</v>
      </c>
      <c r="E10" s="30" t="str">
        <f aca="false">IF($C10="","",$C10&amp;" ｜ "&amp;$D10)</f>
        <v>金禧永航集团有限公司 ｜ 金禧西北路291号</v>
      </c>
      <c r="F10" s="31" t="s">
        <v>399</v>
      </c>
      <c r="G10" s="25" t="s">
        <v>165</v>
      </c>
      <c r="H10" s="33" t="n">
        <v>45931</v>
      </c>
      <c r="I10" s="33" t="n">
        <v>46295</v>
      </c>
      <c r="J10" s="32" t="n">
        <v>1</v>
      </c>
      <c r="K10" s="38" t="n">
        <f aca="false">IF($C10="","",SUMIF(电梯键,$E10,电梯台量))</f>
        <v>1</v>
      </c>
      <c r="L10" s="39" t="n">
        <v>4800</v>
      </c>
      <c r="M10" s="25" t="s">
        <v>147</v>
      </c>
      <c r="N10" s="25" t="s">
        <v>133</v>
      </c>
      <c r="O10" s="38" t="n">
        <f aca="false">IF($C10="","",SUMIFS(电梯台量,电梯键,$E10,电梯状态,"安装免保")+SUMIFS(电梯台量,电梯键,$E10,电梯状态,"技术免保")+SUMIFS(电梯台量,电梯键,$E10,电梯状态,"质保期内"))</f>
        <v>0</v>
      </c>
      <c r="P10" s="38" t="n">
        <f aca="false">IF($C10="","",$K10-$O10)</f>
        <v>1</v>
      </c>
      <c r="Q10" s="34" t="str">
        <f aca="true">IF($C10="","",IF($G10="已终止","",IF($I10="","▲没填合同止期",IF($I10&lt;TODAY(),"已到期 "&amp;TEXT(TODAY()-$I10,"0")&amp;" 天",IF($I10-TODAY()&lt;=合同提醒天,"将到期 "&amp;TEXT($I10-TODAY(),"0")&amp;" 天","")))))</f>
        <v>将到期 9 天</v>
      </c>
      <c r="R10" s="34" t="str">
        <f aca="false">IF($C10="","",IF($G10="","▲合同状态没选",IF(OR($G10="已签未回",$G10="未签",$G10="续签中"),"▲合同未回（"&amp;$G10&amp;"）","")))</f>
        <v>▲合同未回（续签中）</v>
      </c>
      <c r="S10" s="35" t="str">
        <f aca="false">IF($C10="","",IF(N($J10)=N($K10),"一致","★合同"&amp;TEXT(N($J10),"0")&amp;"台 / 在册"&amp;TEXT(N($K10),"0")&amp;"台"))</f>
        <v>一致</v>
      </c>
      <c r="T10" s="40" t="n">
        <f aca="false">IF($C10="","",ROUND(SUMIFS(应收金额,应收键,$E10,应收年度,管理年度),2))</f>
        <v>2900</v>
      </c>
      <c r="U10" s="40" t="n">
        <f aca="false">IF($C10="","",ROUND(SUMIFS(收款金额,收款键,$E10,收款年度,管理年度),2))</f>
        <v>3400</v>
      </c>
      <c r="V10" s="41" t="n">
        <f aca="false">IF($C10="","",ROUND(SUMIF(应收键,$E10,应收金额)-SUMIF(收款键,$E10,收款金额),2))</f>
        <v>500</v>
      </c>
      <c r="W10" s="42" t="s">
        <v>400</v>
      </c>
      <c r="X10" s="35" t="str">
        <f aca="false">IF($C10="","",IF($D10="","★项目名称没填",IF(COUNTIF($E$5:$E$304,$E10)&gt;1,"★键重复",IF(AND($H10&lt;&gt;"",$I10&lt;&gt;"",$I10&lt;$H10),"★合同起止反了",IF(N($K10)=0,"★电梯资料里没有这个项目","OK")))))</f>
        <v>OK</v>
      </c>
    </row>
    <row r="11" customFormat="false" ht="15" hidden="false" customHeight="false" outlineLevel="0" collapsed="false">
      <c r="A11" s="29" t="n">
        <f aca="false">IF($C11="","",ROW()-4)</f>
        <v>7</v>
      </c>
      <c r="B11" s="35" t="str">
        <f aca="false">IF($C11="","",IFERROR(INDEX(电梯片区,MATCH($E11,电梯键,0)),""))</f>
        <v>南阳</v>
      </c>
      <c r="C11" s="24" t="s">
        <v>295</v>
      </c>
      <c r="D11" s="24" t="s">
        <v>296</v>
      </c>
      <c r="E11" s="30" t="str">
        <f aca="false">IF($C11="","",$C11&amp;" ｜ "&amp;$D11)</f>
        <v>河南南远电缆科技有限公司 ｜ 南远电缆</v>
      </c>
      <c r="F11" s="31" t="s">
        <v>401</v>
      </c>
      <c r="G11" s="25" t="s">
        <v>135</v>
      </c>
      <c r="H11" s="33" t="n">
        <v>46023</v>
      </c>
      <c r="I11" s="33" t="n">
        <v>46387</v>
      </c>
      <c r="J11" s="32" t="n">
        <v>2</v>
      </c>
      <c r="K11" s="38" t="n">
        <f aca="false">IF($C11="","",SUMIF(电梯键,$E11,电梯台量))</f>
        <v>2</v>
      </c>
      <c r="L11" s="39" t="n">
        <v>8400</v>
      </c>
      <c r="M11" s="25" t="s">
        <v>166</v>
      </c>
      <c r="N11" s="25" t="s">
        <v>144</v>
      </c>
      <c r="O11" s="38" t="n">
        <f aca="false">IF($C11="","",SUMIFS(电梯台量,电梯键,$E11,电梯状态,"安装免保")+SUMIFS(电梯台量,电梯键,$E11,电梯状态,"技术免保")+SUMIFS(电梯台量,电梯键,$E11,电梯状态,"质保期内"))</f>
        <v>1</v>
      </c>
      <c r="P11" s="38" t="n">
        <f aca="false">IF($C11="","",$K11-$O11)</f>
        <v>1</v>
      </c>
      <c r="Q11" s="34" t="str">
        <f aca="true">IF($C11="","",IF($G11="已终止","",IF($I11="","▲没填合同止期",IF($I11&lt;TODAY(),"已到期 "&amp;TEXT(TODAY()-$I11,"0")&amp;" 天",IF($I11-TODAY()&lt;=合同提醒天,"将到期 "&amp;TEXT($I11-TODAY(),"0")&amp;" 天","")))))</f>
        <v/>
      </c>
      <c r="R11" s="34" t="str">
        <f aca="false">IF($C11="","",IF($G11="","▲合同状态没选",IF(OR($G11="已签未回",$G11="未签",$G11="续签中"),"▲合同未回（"&amp;$G11&amp;"）","")))</f>
        <v/>
      </c>
      <c r="S11" s="35" t="str">
        <f aca="false">IF($C11="","",IF(N($J11)=N($K11),"一致","★合同"&amp;TEXT(N($J11),"0")&amp;"台 / 在册"&amp;TEXT(N($K11),"0")&amp;"台"))</f>
        <v>一致</v>
      </c>
      <c r="T11" s="40" t="n">
        <f aca="false">IF($C11="","",ROUND(SUMIFS(应收金额,应收键,$E11,应收年度,管理年度),2))</f>
        <v>9900</v>
      </c>
      <c r="U11" s="40" t="n">
        <f aca="false">IF($C11="","",ROUND(SUMIFS(收款金额,收款键,$E11,收款年度,管理年度),2))</f>
        <v>6000</v>
      </c>
      <c r="V11" s="41" t="n">
        <f aca="false">IF($C11="","",ROUND(SUMIF(应收键,$E11,应收金额)-SUMIF(收款键,$E11,收款金额),2))</f>
        <v>5700</v>
      </c>
      <c r="W11" s="24"/>
      <c r="X11" s="35" t="str">
        <f aca="false">IF($C11="","",IF($D11="","★项目名称没填",IF(COUNTIF($E$5:$E$304,$E11)&gt;1,"★键重复",IF(AND($H11&lt;&gt;"",$I11&lt;&gt;"",$I11&lt;$H11),"★合同起止反了",IF(N($K11)=0,"★电梯资料里没有这个项目","OK")))))</f>
        <v>OK</v>
      </c>
    </row>
    <row r="12" customFormat="false" ht="26.85" hidden="false" customHeight="false" outlineLevel="0" collapsed="false">
      <c r="A12" s="29" t="n">
        <f aca="false">IF($C12="","",ROW()-4)</f>
        <v>8</v>
      </c>
      <c r="B12" s="35" t="str">
        <f aca="false">IF($C12="","",IFERROR(INDEX(电梯片区,MATCH($E12,电梯键,0)),""))</f>
        <v>信阳驻马店</v>
      </c>
      <c r="C12" s="24" t="s">
        <v>312</v>
      </c>
      <c r="D12" s="24" t="s">
        <v>313</v>
      </c>
      <c r="E12" s="30" t="str">
        <f aca="false">IF($C12="","",$C12&amp;" ｜ "&amp;$D12)</f>
        <v>黄冈市黄陂区鑫捷惠超市（个体工商户） ｜ 项陂雅迪</v>
      </c>
      <c r="F12" s="31" t="s">
        <v>402</v>
      </c>
      <c r="G12" s="25" t="s">
        <v>135</v>
      </c>
      <c r="H12" s="33" t="n">
        <v>46054</v>
      </c>
      <c r="I12" s="33" t="n">
        <v>46418</v>
      </c>
      <c r="J12" s="32" t="n">
        <v>1</v>
      </c>
      <c r="K12" s="38" t="n">
        <f aca="false">IF($C12="","",SUMIF(电梯键,$E12,电梯台量))</f>
        <v>1</v>
      </c>
      <c r="L12" s="39" t="n">
        <v>3000</v>
      </c>
      <c r="M12" s="25" t="s">
        <v>136</v>
      </c>
      <c r="N12" s="25" t="s">
        <v>172</v>
      </c>
      <c r="O12" s="38" t="n">
        <f aca="false">IF($C12="","",SUMIFS(电梯台量,电梯键,$E12,电梯状态,"安装免保")+SUMIFS(电梯台量,电梯键,$E12,电梯状态,"技术免保")+SUMIFS(电梯台量,电梯键,$E12,电梯状态,"质保期内"))</f>
        <v>0</v>
      </c>
      <c r="P12" s="38" t="n">
        <f aca="false">IF($C12="","",$K12-$O12)</f>
        <v>1</v>
      </c>
      <c r="Q12" s="34" t="str">
        <f aca="true">IF($C12="","",IF($G12="已终止","",IF($I12="","▲没填合同止期",IF($I12&lt;TODAY(),"已到期 "&amp;TEXT(TODAY()-$I12,"0")&amp;" 天",IF($I12-TODAY()&lt;=合同提醒天,"将到期 "&amp;TEXT($I12-TODAY(),"0")&amp;" 天","")))))</f>
        <v/>
      </c>
      <c r="R12" s="34" t="str">
        <f aca="false">IF($C12="","",IF($G12="","▲合同状态没选",IF(OR($G12="已签未回",$G12="未签",$G12="续签中"),"▲合同未回（"&amp;$G12&amp;"）","")))</f>
        <v/>
      </c>
      <c r="S12" s="35" t="str">
        <f aca="false">IF($C12="","",IF(N($J12)=N($K12),"一致","★合同"&amp;TEXT(N($J12),"0")&amp;"台 / 在册"&amp;TEXT(N($K12),"0")&amp;"台"))</f>
        <v>一致</v>
      </c>
      <c r="T12" s="40" t="n">
        <f aca="false">IF($C12="","",ROUND(SUMIFS(应收金额,应收键,$E12,应收年度,管理年度),2))</f>
        <v>3000</v>
      </c>
      <c r="U12" s="40" t="n">
        <f aca="false">IF($C12="","",ROUND(SUMIFS(收款金额,收款键,$E12,收款年度,管理年度),2))</f>
        <v>3000</v>
      </c>
      <c r="V12" s="41" t="n">
        <f aca="false">IF($C12="","",ROUND(SUMIF(应收键,$E12,应收金额)-SUMIF(收款键,$E12,收款金额),2))</f>
        <v>0</v>
      </c>
      <c r="W12" s="24" t="s">
        <v>403</v>
      </c>
      <c r="X12" s="35" t="str">
        <f aca="false">IF($C12="","",IF($D12="","★项目名称没填",IF(COUNTIF($E$5:$E$304,$E12)&gt;1,"★键重复",IF(AND($H12&lt;&gt;"",$I12&lt;&gt;"",$I12&lt;$H12),"★合同起止反了",IF(N($K12)=0,"★电梯资料里没有这个项目","OK")))))</f>
        <v>OK</v>
      </c>
    </row>
    <row r="13" customFormat="false" ht="15" hidden="false" customHeight="false" outlineLevel="0" collapsed="false">
      <c r="A13" s="29" t="n">
        <f aca="false">IF($C13="","",ROW()-4)</f>
        <v>9</v>
      </c>
      <c r="B13" s="35" t="str">
        <f aca="false">IF($C13="","",IFERROR(INDEX(电梯片区,MATCH($E13,电梯键,0)),""))</f>
        <v>洛阳三门峡</v>
      </c>
      <c r="C13" s="24" t="s">
        <v>321</v>
      </c>
      <c r="D13" s="24" t="s">
        <v>322</v>
      </c>
      <c r="E13" s="30" t="str">
        <f aca="false">IF($C13="","",$C13&amp;" ｜ "&amp;$D13)</f>
        <v>河南尊品益定意食品有限公司 ｜ 意康意厂房</v>
      </c>
      <c r="F13" s="31" t="s">
        <v>404</v>
      </c>
      <c r="G13" s="25" t="s">
        <v>135</v>
      </c>
      <c r="H13" s="33" t="n">
        <v>46023</v>
      </c>
      <c r="I13" s="33" t="n">
        <v>46387</v>
      </c>
      <c r="J13" s="32" t="n">
        <v>5</v>
      </c>
      <c r="K13" s="38" t="n">
        <f aca="false">IF($C13="","",SUMIF(电梯键,$E13,电梯台量))</f>
        <v>5</v>
      </c>
      <c r="L13" s="39" t="n">
        <v>21000</v>
      </c>
      <c r="M13" s="25" t="s">
        <v>156</v>
      </c>
      <c r="N13" s="25" t="s">
        <v>133</v>
      </c>
      <c r="O13" s="38" t="n">
        <f aca="false">IF($C13="","",SUMIFS(电梯台量,电梯键,$E13,电梯状态,"安装免保")+SUMIFS(电梯台量,电梯键,$E13,电梯状态,"技术免保")+SUMIFS(电梯台量,电梯键,$E13,电梯状态,"质保期内"))</f>
        <v>1</v>
      </c>
      <c r="P13" s="38" t="n">
        <f aca="false">IF($C13="","",$K13-$O13)</f>
        <v>4</v>
      </c>
      <c r="Q13" s="34" t="str">
        <f aca="true">IF($C13="","",IF($G13="已终止","",IF($I13="","▲没填合同止期",IF($I13&lt;TODAY(),"已到期 "&amp;TEXT(TODAY()-$I13,"0")&amp;" 天",IF($I13-TODAY()&lt;=合同提醒天,"将到期 "&amp;TEXT($I13-TODAY(),"0")&amp;" 天","")))))</f>
        <v/>
      </c>
      <c r="R13" s="34" t="str">
        <f aca="false">IF($C13="","",IF($G13="","▲合同状态没选",IF(OR($G13="已签未回",$G13="未签",$G13="续签中"),"▲合同未回（"&amp;$G13&amp;"）","")))</f>
        <v/>
      </c>
      <c r="S13" s="35" t="str">
        <f aca="false">IF($C13="","",IF(N($J13)=N($K13),"一致","★合同"&amp;TEXT(N($J13),"0")&amp;"台 / 在册"&amp;TEXT(N($K13),"0")&amp;"台"))</f>
        <v>一致</v>
      </c>
      <c r="T13" s="40" t="n">
        <f aca="false">IF($C13="","",ROUND(SUMIFS(应收金额,应收键,$E13,应收年度,管理年度),2))</f>
        <v>16950</v>
      </c>
      <c r="U13" s="40" t="n">
        <f aca="false">IF($C13="","",ROUND(SUMIFS(收款金额,收款键,$E13,收款年度,管理年度),2))</f>
        <v>15750</v>
      </c>
      <c r="V13" s="41" t="n">
        <f aca="false">IF($C13="","",ROUND(SUMIF(应收键,$E13,应收金额)-SUMIF(收款键,$E13,收款金额),2))</f>
        <v>1200</v>
      </c>
      <c r="W13" s="42" t="s">
        <v>405</v>
      </c>
      <c r="X13" s="35" t="str">
        <f aca="false">IF($C13="","",IF($D13="","★项目名称没填",IF(COUNTIF($E$5:$E$304,$E13)&gt;1,"★键重复",IF(AND($H13&lt;&gt;"",$I13&lt;&gt;"",$I13&lt;$H13),"★合同起止反了",IF(N($K13)=0,"★电梯资料里没有这个项目","OK")))))</f>
        <v>OK</v>
      </c>
    </row>
    <row r="14" customFormat="false" ht="15" hidden="false" customHeight="false" outlineLevel="0" collapsed="false">
      <c r="A14" s="29" t="n">
        <f aca="false">IF($C14="","",ROW()-4)</f>
        <v>10</v>
      </c>
      <c r="B14" s="35" t="str">
        <f aca="false">IF($C14="","",IFERROR(INDEX(电梯片区,MATCH($E14,电梯键,0)),""))</f>
        <v>安阳濮阳</v>
      </c>
      <c r="C14" s="24" t="s">
        <v>345</v>
      </c>
      <c r="D14" s="24" t="s">
        <v>346</v>
      </c>
      <c r="E14" s="30" t="str">
        <f aca="false">IF($C14="","",$C14&amp;" ｜ "&amp;$D14)</f>
        <v>河南光谷义神新材料孵化器有限公司 ｜ 永和云居</v>
      </c>
      <c r="F14" s="31" t="s">
        <v>406</v>
      </c>
      <c r="G14" s="25" t="s">
        <v>146</v>
      </c>
      <c r="H14" s="33" t="n">
        <v>46023</v>
      </c>
      <c r="I14" s="33" t="n">
        <v>46387</v>
      </c>
      <c r="J14" s="32" t="n">
        <v>6</v>
      </c>
      <c r="K14" s="38" t="n">
        <f aca="false">IF($C14="","",SUMIF(电梯键,$E14,电梯台量))</f>
        <v>6</v>
      </c>
      <c r="L14" s="39" t="n">
        <v>25200</v>
      </c>
      <c r="M14" s="25" t="s">
        <v>147</v>
      </c>
      <c r="N14" s="25" t="s">
        <v>133</v>
      </c>
      <c r="O14" s="38" t="n">
        <f aca="false">IF($C14="","",SUMIFS(电梯台量,电梯键,$E14,电梯状态,"安装免保")+SUMIFS(电梯台量,电梯键,$E14,电梯状态,"技术免保")+SUMIFS(电梯台量,电梯键,$E14,电梯状态,"质保期内"))</f>
        <v>1</v>
      </c>
      <c r="P14" s="38" t="n">
        <f aca="false">IF($C14="","",$K14-$O14)</f>
        <v>5</v>
      </c>
      <c r="Q14" s="34" t="str">
        <f aca="true">IF($C14="","",IF($G14="已终止","",IF($I14="","▲没填合同止期",IF($I14&lt;TODAY(),"已到期 "&amp;TEXT(TODAY()-$I14,"0")&amp;" 天",IF($I14-TODAY()&lt;=合同提醒天,"将到期 "&amp;TEXT($I14-TODAY(),"0")&amp;" 天","")))))</f>
        <v/>
      </c>
      <c r="R14" s="34" t="str">
        <f aca="false">IF($C14="","",IF($G14="","▲合同状态没选",IF(OR($G14="已签未回",$G14="未签",$G14="续签中"),"▲合同未回（"&amp;$G14&amp;"）","")))</f>
        <v>▲合同未回（已签未回）</v>
      </c>
      <c r="S14" s="35" t="str">
        <f aca="false">IF($C14="","",IF(N($J14)=N($K14),"一致","★合同"&amp;TEXT(N($J14),"0")&amp;"台 / 在册"&amp;TEXT(N($K14),"0")&amp;"台"))</f>
        <v>一致</v>
      </c>
      <c r="T14" s="40" t="n">
        <f aca="false">IF($C14="","",ROUND(SUMIFS(应收金额,应收键,$E14,应收年度,管理年度),2))</f>
        <v>36800</v>
      </c>
      <c r="U14" s="40" t="n">
        <f aca="false">IF($C14="","",ROUND(SUMIFS(收款金额,收款键,$E14,收款年度,管理年度),2))</f>
        <v>15800</v>
      </c>
      <c r="V14" s="41" t="n">
        <f aca="false">IF($C14="","",ROUND(SUMIF(应收键,$E14,应收金额)-SUMIF(收款键,$E14,收款金额),2))</f>
        <v>24200</v>
      </c>
      <c r="W14" s="24" t="s">
        <v>407</v>
      </c>
      <c r="X14" s="35" t="str">
        <f aca="false">IF($C14="","",IF($D14="","★项目名称没填",IF(COUNTIF($E$5:$E$304,$E14)&gt;1,"★键重复",IF(AND($H14&lt;&gt;"",$I14&lt;&gt;"",$I14&lt;$H14),"★合同起止反了",IF(N($K14)=0,"★电梯资料里没有这个项目","OK")))))</f>
        <v>OK</v>
      </c>
    </row>
    <row r="15" customFormat="false" ht="15" hidden="false" customHeight="false" outlineLevel="0" collapsed="false">
      <c r="A15" s="29" t="str">
        <f aca="false">IF($C15="","",ROW()-4)</f>
        <v/>
      </c>
      <c r="B15" s="35" t="str">
        <f aca="false">IF($C15="","",IFERROR(INDEX(电梯片区,MATCH($E15,电梯键,0)),""))</f>
        <v/>
      </c>
      <c r="C15" s="24"/>
      <c r="D15" s="24"/>
      <c r="E15" s="30" t="str">
        <f aca="false">IF($C15="","",$C15&amp;" ｜ "&amp;$D15)</f>
        <v/>
      </c>
      <c r="F15" s="25"/>
      <c r="G15" s="25"/>
      <c r="H15" s="33"/>
      <c r="I15" s="33"/>
      <c r="J15" s="32"/>
      <c r="K15" s="38" t="str">
        <f aca="false">IF($C15="","",SUMIF(电梯键,$E15,电梯台量))</f>
        <v/>
      </c>
      <c r="L15" s="39"/>
      <c r="M15" s="25"/>
      <c r="N15" s="25"/>
      <c r="O15" s="38" t="str">
        <f aca="false">IF($C15="","",SUMIFS(电梯台量,电梯键,$E15,电梯状态,"安装免保")+SUMIFS(电梯台量,电梯键,$E15,电梯状态,"技术免保")+SUMIFS(电梯台量,电梯键,$E15,电梯状态,"质保期内"))</f>
        <v/>
      </c>
      <c r="P15" s="38" t="str">
        <f aca="false">IF($C15="","",$K15-$O15)</f>
        <v/>
      </c>
      <c r="Q15" s="34" t="str">
        <f aca="true">IF($C15="","",IF($G15="已终止","",IF($I15="","▲没填合同止期",IF($I15&lt;TODAY(),"已到期 "&amp;TEXT(TODAY()-$I15,"0")&amp;" 天",IF($I15-TODAY()&lt;=合同提醒天,"将到期 "&amp;TEXT($I15-TODAY(),"0")&amp;" 天","")))))</f>
        <v/>
      </c>
      <c r="R15" s="34" t="str">
        <f aca="false">IF($C15="","",IF($G15="","▲合同状态没选",IF(OR($G15="已签未回",$G15="未签",$G15="续签中"),"▲合同未回（"&amp;$G15&amp;"）","")))</f>
        <v/>
      </c>
      <c r="S15" s="35" t="str">
        <f aca="false">IF($C15="","",IF(N($J15)=N($K15),"一致","★合同"&amp;TEXT(N($J15),"0")&amp;"台 / 在册"&amp;TEXT(N($K15),"0")&amp;"台"))</f>
        <v/>
      </c>
      <c r="T15" s="40" t="str">
        <f aca="false">IF($C15="","",ROUND(SUMIFS(应收金额,应收键,$E15,应收年度,管理年度),2))</f>
        <v/>
      </c>
      <c r="U15" s="40" t="str">
        <f aca="false">IF($C15="","",ROUND(SUMIFS(收款金额,收款键,$E15,收款年度,管理年度),2))</f>
        <v/>
      </c>
      <c r="V15" s="41" t="str">
        <f aca="false">IF($C15="","",ROUND(SUMIF(应收键,$E15,应收金额)-SUMIF(收款键,$E15,收款金额),2))</f>
        <v/>
      </c>
      <c r="W15" s="24"/>
      <c r="X15" s="35" t="str">
        <f aca="false">IF($C15="","",IF($D15="","★项目名称没填",IF(COUNTIF($E$5:$E$304,$E15)&gt;1,"★键重复",IF(AND($H15&lt;&gt;"",$I15&lt;&gt;"",$I15&lt;$H15),"★合同起止反了",IF(N($K15)=0,"★电梯资料里没有这个项目","OK")))))</f>
        <v/>
      </c>
    </row>
    <row r="16" customFormat="false" ht="15" hidden="false" customHeight="false" outlineLevel="0" collapsed="false">
      <c r="A16" s="29" t="str">
        <f aca="false">IF($C16="","",ROW()-4)</f>
        <v/>
      </c>
      <c r="B16" s="35" t="str">
        <f aca="false">IF($C16="","",IFERROR(INDEX(电梯片区,MATCH($E16,电梯键,0)),""))</f>
        <v/>
      </c>
      <c r="C16" s="24"/>
      <c r="D16" s="24"/>
      <c r="E16" s="30" t="str">
        <f aca="false">IF($C16="","",$C16&amp;" ｜ "&amp;$D16)</f>
        <v/>
      </c>
      <c r="F16" s="25"/>
      <c r="G16" s="25"/>
      <c r="H16" s="33"/>
      <c r="I16" s="33"/>
      <c r="J16" s="32"/>
      <c r="K16" s="38" t="str">
        <f aca="false">IF($C16="","",SUMIF(电梯键,$E16,电梯台量))</f>
        <v/>
      </c>
      <c r="L16" s="39"/>
      <c r="M16" s="25"/>
      <c r="N16" s="25"/>
      <c r="O16" s="38" t="str">
        <f aca="false">IF($C16="","",SUMIFS(电梯台量,电梯键,$E16,电梯状态,"安装免保")+SUMIFS(电梯台量,电梯键,$E16,电梯状态,"技术免保")+SUMIFS(电梯台量,电梯键,$E16,电梯状态,"质保期内"))</f>
        <v/>
      </c>
      <c r="P16" s="38" t="str">
        <f aca="false">IF($C16="","",$K16-$O16)</f>
        <v/>
      </c>
      <c r="Q16" s="34" t="str">
        <f aca="true">IF($C16="","",IF($G16="已终止","",IF($I16="","▲没填合同止期",IF($I16&lt;TODAY(),"已到期 "&amp;TEXT(TODAY()-$I16,"0")&amp;" 天",IF($I16-TODAY()&lt;=合同提醒天,"将到期 "&amp;TEXT($I16-TODAY(),"0")&amp;" 天","")))))</f>
        <v/>
      </c>
      <c r="R16" s="34" t="str">
        <f aca="false">IF($C16="","",IF($G16="","▲合同状态没选",IF(OR($G16="已签未回",$G16="未签",$G16="续签中"),"▲合同未回（"&amp;$G16&amp;"）","")))</f>
        <v/>
      </c>
      <c r="S16" s="35" t="str">
        <f aca="false">IF($C16="","",IF(N($J16)=N($K16),"一致","★合同"&amp;TEXT(N($J16),"0")&amp;"台 / 在册"&amp;TEXT(N($K16),"0")&amp;"台"))</f>
        <v/>
      </c>
      <c r="T16" s="40" t="str">
        <f aca="false">IF($C16="","",ROUND(SUMIFS(应收金额,应收键,$E16,应收年度,管理年度),2))</f>
        <v/>
      </c>
      <c r="U16" s="40" t="str">
        <f aca="false">IF($C16="","",ROUND(SUMIFS(收款金额,收款键,$E16,收款年度,管理年度),2))</f>
        <v/>
      </c>
      <c r="V16" s="41" t="str">
        <f aca="false">IF($C16="","",ROUND(SUMIF(应收键,$E16,应收金额)-SUMIF(收款键,$E16,收款金额),2))</f>
        <v/>
      </c>
      <c r="W16" s="24"/>
      <c r="X16" s="35" t="str">
        <f aca="false">IF($C16="","",IF($D16="","★项目名称没填",IF(COUNTIF($E$5:$E$304,$E16)&gt;1,"★键重复",IF(AND($H16&lt;&gt;"",$I16&lt;&gt;"",$I16&lt;$H16),"★合同起止反了",IF(N($K16)=0,"★电梯资料里没有这个项目","OK")))))</f>
        <v/>
      </c>
    </row>
    <row r="17" customFormat="false" ht="15" hidden="false" customHeight="false" outlineLevel="0" collapsed="false">
      <c r="A17" s="29" t="str">
        <f aca="false">IF($C17="","",ROW()-4)</f>
        <v/>
      </c>
      <c r="B17" s="35" t="str">
        <f aca="false">IF($C17="","",IFERROR(INDEX(电梯片区,MATCH($E17,电梯键,0)),""))</f>
        <v/>
      </c>
      <c r="C17" s="24"/>
      <c r="D17" s="24"/>
      <c r="E17" s="30" t="str">
        <f aca="false">IF($C17="","",$C17&amp;" ｜ "&amp;$D17)</f>
        <v/>
      </c>
      <c r="F17" s="25"/>
      <c r="G17" s="25"/>
      <c r="H17" s="33"/>
      <c r="I17" s="33"/>
      <c r="J17" s="32"/>
      <c r="K17" s="38" t="str">
        <f aca="false">IF($C17="","",SUMIF(电梯键,$E17,电梯台量))</f>
        <v/>
      </c>
      <c r="L17" s="39"/>
      <c r="M17" s="25"/>
      <c r="N17" s="25"/>
      <c r="O17" s="38" t="str">
        <f aca="false">IF($C17="","",SUMIFS(电梯台量,电梯键,$E17,电梯状态,"安装免保")+SUMIFS(电梯台量,电梯键,$E17,电梯状态,"技术免保")+SUMIFS(电梯台量,电梯键,$E17,电梯状态,"质保期内"))</f>
        <v/>
      </c>
      <c r="P17" s="38" t="str">
        <f aca="false">IF($C17="","",$K17-$O17)</f>
        <v/>
      </c>
      <c r="Q17" s="34" t="str">
        <f aca="true">IF($C17="","",IF($G17="已终止","",IF($I17="","▲没填合同止期",IF($I17&lt;TODAY(),"已到期 "&amp;TEXT(TODAY()-$I17,"0")&amp;" 天",IF($I17-TODAY()&lt;=合同提醒天,"将到期 "&amp;TEXT($I17-TODAY(),"0")&amp;" 天","")))))</f>
        <v/>
      </c>
      <c r="R17" s="34" t="str">
        <f aca="false">IF($C17="","",IF($G17="","▲合同状态没选",IF(OR($G17="已签未回",$G17="未签",$G17="续签中"),"▲合同未回（"&amp;$G17&amp;"）","")))</f>
        <v/>
      </c>
      <c r="S17" s="35" t="str">
        <f aca="false">IF($C17="","",IF(N($J17)=N($K17),"一致","★合同"&amp;TEXT(N($J17),"0")&amp;"台 / 在册"&amp;TEXT(N($K17),"0")&amp;"台"))</f>
        <v/>
      </c>
      <c r="T17" s="40" t="str">
        <f aca="false">IF($C17="","",ROUND(SUMIFS(应收金额,应收键,$E17,应收年度,管理年度),2))</f>
        <v/>
      </c>
      <c r="U17" s="40" t="str">
        <f aca="false">IF($C17="","",ROUND(SUMIFS(收款金额,收款键,$E17,收款年度,管理年度),2))</f>
        <v/>
      </c>
      <c r="V17" s="41" t="str">
        <f aca="false">IF($C17="","",ROUND(SUMIF(应收键,$E17,应收金额)-SUMIF(收款键,$E17,收款金额),2))</f>
        <v/>
      </c>
      <c r="W17" s="24"/>
      <c r="X17" s="35" t="str">
        <f aca="false">IF($C17="","",IF($D17="","★项目名称没填",IF(COUNTIF($E$5:$E$304,$E17)&gt;1,"★键重复",IF(AND($H17&lt;&gt;"",$I17&lt;&gt;"",$I17&lt;$H17),"★合同起止反了",IF(N($K17)=0,"★电梯资料里没有这个项目","OK")))))</f>
        <v/>
      </c>
    </row>
    <row r="18" customFormat="false" ht="15" hidden="false" customHeight="false" outlineLevel="0" collapsed="false">
      <c r="A18" s="29" t="str">
        <f aca="false">IF($C18="","",ROW()-4)</f>
        <v/>
      </c>
      <c r="B18" s="35" t="str">
        <f aca="false">IF($C18="","",IFERROR(INDEX(电梯片区,MATCH($E18,电梯键,0)),""))</f>
        <v/>
      </c>
      <c r="C18" s="24"/>
      <c r="D18" s="24"/>
      <c r="E18" s="30" t="str">
        <f aca="false">IF($C18="","",$C18&amp;" ｜ "&amp;$D18)</f>
        <v/>
      </c>
      <c r="F18" s="25"/>
      <c r="G18" s="25"/>
      <c r="H18" s="33"/>
      <c r="I18" s="33"/>
      <c r="J18" s="32"/>
      <c r="K18" s="38" t="str">
        <f aca="false">IF($C18="","",SUMIF(电梯键,$E18,电梯台量))</f>
        <v/>
      </c>
      <c r="L18" s="39"/>
      <c r="M18" s="25"/>
      <c r="N18" s="25"/>
      <c r="O18" s="38" t="str">
        <f aca="false">IF($C18="","",SUMIFS(电梯台量,电梯键,$E18,电梯状态,"安装免保")+SUMIFS(电梯台量,电梯键,$E18,电梯状态,"技术免保")+SUMIFS(电梯台量,电梯键,$E18,电梯状态,"质保期内"))</f>
        <v/>
      </c>
      <c r="P18" s="38" t="str">
        <f aca="false">IF($C18="","",$K18-$O18)</f>
        <v/>
      </c>
      <c r="Q18" s="34" t="str">
        <f aca="true">IF($C18="","",IF($G18="已终止","",IF($I18="","▲没填合同止期",IF($I18&lt;TODAY(),"已到期 "&amp;TEXT(TODAY()-$I18,"0")&amp;" 天",IF($I18-TODAY()&lt;=合同提醒天,"将到期 "&amp;TEXT($I18-TODAY(),"0")&amp;" 天","")))))</f>
        <v/>
      </c>
      <c r="R18" s="34" t="str">
        <f aca="false">IF($C18="","",IF($G18="","▲合同状态没选",IF(OR($G18="已签未回",$G18="未签",$G18="续签中"),"▲合同未回（"&amp;$G18&amp;"）","")))</f>
        <v/>
      </c>
      <c r="S18" s="35" t="str">
        <f aca="false">IF($C18="","",IF(N($J18)=N($K18),"一致","★合同"&amp;TEXT(N($J18),"0")&amp;"台 / 在册"&amp;TEXT(N($K18),"0")&amp;"台"))</f>
        <v/>
      </c>
      <c r="T18" s="40" t="str">
        <f aca="false">IF($C18="","",ROUND(SUMIFS(应收金额,应收键,$E18,应收年度,管理年度),2))</f>
        <v/>
      </c>
      <c r="U18" s="40" t="str">
        <f aca="false">IF($C18="","",ROUND(SUMIFS(收款金额,收款键,$E18,收款年度,管理年度),2))</f>
        <v/>
      </c>
      <c r="V18" s="41" t="str">
        <f aca="false">IF($C18="","",ROUND(SUMIF(应收键,$E18,应收金额)-SUMIF(收款键,$E18,收款金额),2))</f>
        <v/>
      </c>
      <c r="W18" s="24"/>
      <c r="X18" s="35" t="str">
        <f aca="false">IF($C18="","",IF($D18="","★项目名称没填",IF(COUNTIF($E$5:$E$304,$E18)&gt;1,"★键重复",IF(AND($H18&lt;&gt;"",$I18&lt;&gt;"",$I18&lt;$H18),"★合同起止反了",IF(N($K18)=0,"★电梯资料里没有这个项目","OK")))))</f>
        <v/>
      </c>
    </row>
    <row r="19" customFormat="false" ht="15" hidden="false" customHeight="false" outlineLevel="0" collapsed="false">
      <c r="A19" s="29" t="str">
        <f aca="false">IF($C19="","",ROW()-4)</f>
        <v/>
      </c>
      <c r="B19" s="35" t="str">
        <f aca="false">IF($C19="","",IFERROR(INDEX(电梯片区,MATCH($E19,电梯键,0)),""))</f>
        <v/>
      </c>
      <c r="C19" s="24"/>
      <c r="D19" s="24"/>
      <c r="E19" s="30" t="str">
        <f aca="false">IF($C19="","",$C19&amp;" ｜ "&amp;$D19)</f>
        <v/>
      </c>
      <c r="F19" s="25"/>
      <c r="G19" s="25"/>
      <c r="H19" s="33"/>
      <c r="I19" s="33"/>
      <c r="J19" s="32"/>
      <c r="K19" s="38" t="str">
        <f aca="false">IF($C19="","",SUMIF(电梯键,$E19,电梯台量))</f>
        <v/>
      </c>
      <c r="L19" s="39"/>
      <c r="M19" s="25"/>
      <c r="N19" s="25"/>
      <c r="O19" s="38" t="str">
        <f aca="false">IF($C19="","",SUMIFS(电梯台量,电梯键,$E19,电梯状态,"安装免保")+SUMIFS(电梯台量,电梯键,$E19,电梯状态,"技术免保")+SUMIFS(电梯台量,电梯键,$E19,电梯状态,"质保期内"))</f>
        <v/>
      </c>
      <c r="P19" s="38" t="str">
        <f aca="false">IF($C19="","",$K19-$O19)</f>
        <v/>
      </c>
      <c r="Q19" s="34" t="str">
        <f aca="true">IF($C19="","",IF($G19="已终止","",IF($I19="","▲没填合同止期",IF($I19&lt;TODAY(),"已到期 "&amp;TEXT(TODAY()-$I19,"0")&amp;" 天",IF($I19-TODAY()&lt;=合同提醒天,"将到期 "&amp;TEXT($I19-TODAY(),"0")&amp;" 天","")))))</f>
        <v/>
      </c>
      <c r="R19" s="34" t="str">
        <f aca="false">IF($C19="","",IF($G19="","▲合同状态没选",IF(OR($G19="已签未回",$G19="未签",$G19="续签中"),"▲合同未回（"&amp;$G19&amp;"）","")))</f>
        <v/>
      </c>
      <c r="S19" s="35" t="str">
        <f aca="false">IF($C19="","",IF(N($J19)=N($K19),"一致","★合同"&amp;TEXT(N($J19),"0")&amp;"台 / 在册"&amp;TEXT(N($K19),"0")&amp;"台"))</f>
        <v/>
      </c>
      <c r="T19" s="40" t="str">
        <f aca="false">IF($C19="","",ROUND(SUMIFS(应收金额,应收键,$E19,应收年度,管理年度),2))</f>
        <v/>
      </c>
      <c r="U19" s="40" t="str">
        <f aca="false">IF($C19="","",ROUND(SUMIFS(收款金额,收款键,$E19,收款年度,管理年度),2))</f>
        <v/>
      </c>
      <c r="V19" s="41" t="str">
        <f aca="false">IF($C19="","",ROUND(SUMIF(应收键,$E19,应收金额)-SUMIF(收款键,$E19,收款金额),2))</f>
        <v/>
      </c>
      <c r="W19" s="24"/>
      <c r="X19" s="35" t="str">
        <f aca="false">IF($C19="","",IF($D19="","★项目名称没填",IF(COUNTIF($E$5:$E$304,$E19)&gt;1,"★键重复",IF(AND($H19&lt;&gt;"",$I19&lt;&gt;"",$I19&lt;$H19),"★合同起止反了",IF(N($K19)=0,"★电梯资料里没有这个项目","OK")))))</f>
        <v/>
      </c>
    </row>
    <row r="20" customFormat="false" ht="15" hidden="false" customHeight="false" outlineLevel="0" collapsed="false">
      <c r="A20" s="29" t="str">
        <f aca="false">IF($C20="","",ROW()-4)</f>
        <v/>
      </c>
      <c r="B20" s="35" t="str">
        <f aca="false">IF($C20="","",IFERROR(INDEX(电梯片区,MATCH($E20,电梯键,0)),""))</f>
        <v/>
      </c>
      <c r="C20" s="24"/>
      <c r="D20" s="24"/>
      <c r="E20" s="30" t="str">
        <f aca="false">IF($C20="","",$C20&amp;" ｜ "&amp;$D20)</f>
        <v/>
      </c>
      <c r="F20" s="25"/>
      <c r="G20" s="25"/>
      <c r="H20" s="33"/>
      <c r="I20" s="33"/>
      <c r="J20" s="32"/>
      <c r="K20" s="38" t="str">
        <f aca="false">IF($C20="","",SUMIF(电梯键,$E20,电梯台量))</f>
        <v/>
      </c>
      <c r="L20" s="39"/>
      <c r="M20" s="25"/>
      <c r="N20" s="25"/>
      <c r="O20" s="38" t="str">
        <f aca="false">IF($C20="","",SUMIFS(电梯台量,电梯键,$E20,电梯状态,"安装免保")+SUMIFS(电梯台量,电梯键,$E20,电梯状态,"技术免保")+SUMIFS(电梯台量,电梯键,$E20,电梯状态,"质保期内"))</f>
        <v/>
      </c>
      <c r="P20" s="38" t="str">
        <f aca="false">IF($C20="","",$K20-$O20)</f>
        <v/>
      </c>
      <c r="Q20" s="34" t="str">
        <f aca="true">IF($C20="","",IF($G20="已终止","",IF($I20="","▲没填合同止期",IF($I20&lt;TODAY(),"已到期 "&amp;TEXT(TODAY()-$I20,"0")&amp;" 天",IF($I20-TODAY()&lt;=合同提醒天,"将到期 "&amp;TEXT($I20-TODAY(),"0")&amp;" 天","")))))</f>
        <v/>
      </c>
      <c r="R20" s="34" t="str">
        <f aca="false">IF($C20="","",IF($G20="","▲合同状态没选",IF(OR($G20="已签未回",$G20="未签",$G20="续签中"),"▲合同未回（"&amp;$G20&amp;"）","")))</f>
        <v/>
      </c>
      <c r="S20" s="35" t="str">
        <f aca="false">IF($C20="","",IF(N($J20)=N($K20),"一致","★合同"&amp;TEXT(N($J20),"0")&amp;"台 / 在册"&amp;TEXT(N($K20),"0")&amp;"台"))</f>
        <v/>
      </c>
      <c r="T20" s="40" t="str">
        <f aca="false">IF($C20="","",ROUND(SUMIFS(应收金额,应收键,$E20,应收年度,管理年度),2))</f>
        <v/>
      </c>
      <c r="U20" s="40" t="str">
        <f aca="false">IF($C20="","",ROUND(SUMIFS(收款金额,收款键,$E20,收款年度,管理年度),2))</f>
        <v/>
      </c>
      <c r="V20" s="41" t="str">
        <f aca="false">IF($C20="","",ROUND(SUMIF(应收键,$E20,应收金额)-SUMIF(收款键,$E20,收款金额),2))</f>
        <v/>
      </c>
      <c r="W20" s="24"/>
      <c r="X20" s="35" t="str">
        <f aca="false">IF($C20="","",IF($D20="","★项目名称没填",IF(COUNTIF($E$5:$E$304,$E20)&gt;1,"★键重复",IF(AND($H20&lt;&gt;"",$I20&lt;&gt;"",$I20&lt;$H20),"★合同起止反了",IF(N($K20)=0,"★电梯资料里没有这个项目","OK")))))</f>
        <v/>
      </c>
    </row>
    <row r="21" customFormat="false" ht="15" hidden="false" customHeight="false" outlineLevel="0" collapsed="false">
      <c r="A21" s="29" t="str">
        <f aca="false">IF($C21="","",ROW()-4)</f>
        <v/>
      </c>
      <c r="B21" s="35" t="str">
        <f aca="false">IF($C21="","",IFERROR(INDEX(电梯片区,MATCH($E21,电梯键,0)),""))</f>
        <v/>
      </c>
      <c r="C21" s="24"/>
      <c r="D21" s="24"/>
      <c r="E21" s="30" t="str">
        <f aca="false">IF($C21="","",$C21&amp;" ｜ "&amp;$D21)</f>
        <v/>
      </c>
      <c r="F21" s="25"/>
      <c r="G21" s="25"/>
      <c r="H21" s="33"/>
      <c r="I21" s="33"/>
      <c r="J21" s="32"/>
      <c r="K21" s="38" t="str">
        <f aca="false">IF($C21="","",SUMIF(电梯键,$E21,电梯台量))</f>
        <v/>
      </c>
      <c r="L21" s="39"/>
      <c r="M21" s="25"/>
      <c r="N21" s="25"/>
      <c r="O21" s="38" t="str">
        <f aca="false">IF($C21="","",SUMIFS(电梯台量,电梯键,$E21,电梯状态,"安装免保")+SUMIFS(电梯台量,电梯键,$E21,电梯状态,"技术免保")+SUMIFS(电梯台量,电梯键,$E21,电梯状态,"质保期内"))</f>
        <v/>
      </c>
      <c r="P21" s="38" t="str">
        <f aca="false">IF($C21="","",$K21-$O21)</f>
        <v/>
      </c>
      <c r="Q21" s="34" t="str">
        <f aca="true">IF($C21="","",IF($G21="已终止","",IF($I21="","▲没填合同止期",IF($I21&lt;TODAY(),"已到期 "&amp;TEXT(TODAY()-$I21,"0")&amp;" 天",IF($I21-TODAY()&lt;=合同提醒天,"将到期 "&amp;TEXT($I21-TODAY(),"0")&amp;" 天","")))))</f>
        <v/>
      </c>
      <c r="R21" s="34" t="str">
        <f aca="false">IF($C21="","",IF($G21="","▲合同状态没选",IF(OR($G21="已签未回",$G21="未签",$G21="续签中"),"▲合同未回（"&amp;$G21&amp;"）","")))</f>
        <v/>
      </c>
      <c r="S21" s="35" t="str">
        <f aca="false">IF($C21="","",IF(N($J21)=N($K21),"一致","★合同"&amp;TEXT(N($J21),"0")&amp;"台 / 在册"&amp;TEXT(N($K21),"0")&amp;"台"))</f>
        <v/>
      </c>
      <c r="T21" s="40" t="str">
        <f aca="false">IF($C21="","",ROUND(SUMIFS(应收金额,应收键,$E21,应收年度,管理年度),2))</f>
        <v/>
      </c>
      <c r="U21" s="40" t="str">
        <f aca="false">IF($C21="","",ROUND(SUMIFS(收款金额,收款键,$E21,收款年度,管理年度),2))</f>
        <v/>
      </c>
      <c r="V21" s="41" t="str">
        <f aca="false">IF($C21="","",ROUND(SUMIF(应收键,$E21,应收金额)-SUMIF(收款键,$E21,收款金额),2))</f>
        <v/>
      </c>
      <c r="W21" s="24"/>
      <c r="X21" s="35" t="str">
        <f aca="false">IF($C21="","",IF($D21="","★项目名称没填",IF(COUNTIF($E$5:$E$304,$E21)&gt;1,"★键重复",IF(AND($H21&lt;&gt;"",$I21&lt;&gt;"",$I21&lt;$H21),"★合同起止反了",IF(N($K21)=0,"★电梯资料里没有这个项目","OK")))))</f>
        <v/>
      </c>
    </row>
    <row r="22" customFormat="false" ht="15" hidden="false" customHeight="false" outlineLevel="0" collapsed="false">
      <c r="A22" s="29" t="str">
        <f aca="false">IF($C22="","",ROW()-4)</f>
        <v/>
      </c>
      <c r="B22" s="35" t="str">
        <f aca="false">IF($C22="","",IFERROR(INDEX(电梯片区,MATCH($E22,电梯键,0)),""))</f>
        <v/>
      </c>
      <c r="C22" s="24"/>
      <c r="D22" s="24"/>
      <c r="E22" s="30" t="str">
        <f aca="false">IF($C22="","",$C22&amp;" ｜ "&amp;$D22)</f>
        <v/>
      </c>
      <c r="F22" s="25"/>
      <c r="G22" s="25"/>
      <c r="H22" s="33"/>
      <c r="I22" s="33"/>
      <c r="J22" s="32"/>
      <c r="K22" s="38" t="str">
        <f aca="false">IF($C22="","",SUMIF(电梯键,$E22,电梯台量))</f>
        <v/>
      </c>
      <c r="L22" s="39"/>
      <c r="M22" s="25"/>
      <c r="N22" s="25"/>
      <c r="O22" s="38" t="str">
        <f aca="false">IF($C22="","",SUMIFS(电梯台量,电梯键,$E22,电梯状态,"安装免保")+SUMIFS(电梯台量,电梯键,$E22,电梯状态,"技术免保")+SUMIFS(电梯台量,电梯键,$E22,电梯状态,"质保期内"))</f>
        <v/>
      </c>
      <c r="P22" s="38" t="str">
        <f aca="false">IF($C22="","",$K22-$O22)</f>
        <v/>
      </c>
      <c r="Q22" s="34" t="str">
        <f aca="true">IF($C22="","",IF($G22="已终止","",IF($I22="","▲没填合同止期",IF($I22&lt;TODAY(),"已到期 "&amp;TEXT(TODAY()-$I22,"0")&amp;" 天",IF($I22-TODAY()&lt;=合同提醒天,"将到期 "&amp;TEXT($I22-TODAY(),"0")&amp;" 天","")))))</f>
        <v/>
      </c>
      <c r="R22" s="34" t="str">
        <f aca="false">IF($C22="","",IF($G22="","▲合同状态没选",IF(OR($G22="已签未回",$G22="未签",$G22="续签中"),"▲合同未回（"&amp;$G22&amp;"）","")))</f>
        <v/>
      </c>
      <c r="S22" s="35" t="str">
        <f aca="false">IF($C22="","",IF(N($J22)=N($K22),"一致","★合同"&amp;TEXT(N($J22),"0")&amp;"台 / 在册"&amp;TEXT(N($K22),"0")&amp;"台"))</f>
        <v/>
      </c>
      <c r="T22" s="40" t="str">
        <f aca="false">IF($C22="","",ROUND(SUMIFS(应收金额,应收键,$E22,应收年度,管理年度),2))</f>
        <v/>
      </c>
      <c r="U22" s="40" t="str">
        <f aca="false">IF($C22="","",ROUND(SUMIFS(收款金额,收款键,$E22,收款年度,管理年度),2))</f>
        <v/>
      </c>
      <c r="V22" s="41" t="str">
        <f aca="false">IF($C22="","",ROUND(SUMIF(应收键,$E22,应收金额)-SUMIF(收款键,$E22,收款金额),2))</f>
        <v/>
      </c>
      <c r="W22" s="24"/>
      <c r="X22" s="35" t="str">
        <f aca="false">IF($C22="","",IF($D22="","★项目名称没填",IF(COUNTIF($E$5:$E$304,$E22)&gt;1,"★键重复",IF(AND($H22&lt;&gt;"",$I22&lt;&gt;"",$I22&lt;$H22),"★合同起止反了",IF(N($K22)=0,"★电梯资料里没有这个项目","OK")))))</f>
        <v/>
      </c>
    </row>
    <row r="23" customFormat="false" ht="15" hidden="false" customHeight="false" outlineLevel="0" collapsed="false">
      <c r="A23" s="29" t="str">
        <f aca="false">IF($C23="","",ROW()-4)</f>
        <v/>
      </c>
      <c r="B23" s="35" t="str">
        <f aca="false">IF($C23="","",IFERROR(INDEX(电梯片区,MATCH($E23,电梯键,0)),""))</f>
        <v/>
      </c>
      <c r="C23" s="24"/>
      <c r="D23" s="24"/>
      <c r="E23" s="30" t="str">
        <f aca="false">IF($C23="","",$C23&amp;" ｜ "&amp;$D23)</f>
        <v/>
      </c>
      <c r="F23" s="25"/>
      <c r="G23" s="25"/>
      <c r="H23" s="33"/>
      <c r="I23" s="33"/>
      <c r="J23" s="32"/>
      <c r="K23" s="38" t="str">
        <f aca="false">IF($C23="","",SUMIF(电梯键,$E23,电梯台量))</f>
        <v/>
      </c>
      <c r="L23" s="39"/>
      <c r="M23" s="25"/>
      <c r="N23" s="25"/>
      <c r="O23" s="38" t="str">
        <f aca="false">IF($C23="","",SUMIFS(电梯台量,电梯键,$E23,电梯状态,"安装免保")+SUMIFS(电梯台量,电梯键,$E23,电梯状态,"技术免保")+SUMIFS(电梯台量,电梯键,$E23,电梯状态,"质保期内"))</f>
        <v/>
      </c>
      <c r="P23" s="38" t="str">
        <f aca="false">IF($C23="","",$K23-$O23)</f>
        <v/>
      </c>
      <c r="Q23" s="34" t="str">
        <f aca="true">IF($C23="","",IF($G23="已终止","",IF($I23="","▲没填合同止期",IF($I23&lt;TODAY(),"已到期 "&amp;TEXT(TODAY()-$I23,"0")&amp;" 天",IF($I23-TODAY()&lt;=合同提醒天,"将到期 "&amp;TEXT($I23-TODAY(),"0")&amp;" 天","")))))</f>
        <v/>
      </c>
      <c r="R23" s="34" t="str">
        <f aca="false">IF($C23="","",IF($G23="","▲合同状态没选",IF(OR($G23="已签未回",$G23="未签",$G23="续签中"),"▲合同未回（"&amp;$G23&amp;"）","")))</f>
        <v/>
      </c>
      <c r="S23" s="35" t="str">
        <f aca="false">IF($C23="","",IF(N($J23)=N($K23),"一致","★合同"&amp;TEXT(N($J23),"0")&amp;"台 / 在册"&amp;TEXT(N($K23),"0")&amp;"台"))</f>
        <v/>
      </c>
      <c r="T23" s="40" t="str">
        <f aca="false">IF($C23="","",ROUND(SUMIFS(应收金额,应收键,$E23,应收年度,管理年度),2))</f>
        <v/>
      </c>
      <c r="U23" s="40" t="str">
        <f aca="false">IF($C23="","",ROUND(SUMIFS(收款金额,收款键,$E23,收款年度,管理年度),2))</f>
        <v/>
      </c>
      <c r="V23" s="41" t="str">
        <f aca="false">IF($C23="","",ROUND(SUMIF(应收键,$E23,应收金额)-SUMIF(收款键,$E23,收款金额),2))</f>
        <v/>
      </c>
      <c r="W23" s="24"/>
      <c r="X23" s="35" t="str">
        <f aca="false">IF($C23="","",IF($D23="","★项目名称没填",IF(COUNTIF($E$5:$E$304,$E23)&gt;1,"★键重复",IF(AND($H23&lt;&gt;"",$I23&lt;&gt;"",$I23&lt;$H23),"★合同起止反了",IF(N($K23)=0,"★电梯资料里没有这个项目","OK")))))</f>
        <v/>
      </c>
    </row>
    <row r="24" customFormat="false" ht="15" hidden="false" customHeight="false" outlineLevel="0" collapsed="false">
      <c r="A24" s="29" t="str">
        <f aca="false">IF($C24="","",ROW()-4)</f>
        <v/>
      </c>
      <c r="B24" s="35" t="str">
        <f aca="false">IF($C24="","",IFERROR(INDEX(电梯片区,MATCH($E24,电梯键,0)),""))</f>
        <v/>
      </c>
      <c r="C24" s="24"/>
      <c r="D24" s="24"/>
      <c r="E24" s="30" t="str">
        <f aca="false">IF($C24="","",$C24&amp;" ｜ "&amp;$D24)</f>
        <v/>
      </c>
      <c r="F24" s="25"/>
      <c r="G24" s="25"/>
      <c r="H24" s="33"/>
      <c r="I24" s="33"/>
      <c r="J24" s="32"/>
      <c r="K24" s="38" t="str">
        <f aca="false">IF($C24="","",SUMIF(电梯键,$E24,电梯台量))</f>
        <v/>
      </c>
      <c r="L24" s="39"/>
      <c r="M24" s="25"/>
      <c r="N24" s="25"/>
      <c r="O24" s="38" t="str">
        <f aca="false">IF($C24="","",SUMIFS(电梯台量,电梯键,$E24,电梯状态,"安装免保")+SUMIFS(电梯台量,电梯键,$E24,电梯状态,"技术免保")+SUMIFS(电梯台量,电梯键,$E24,电梯状态,"质保期内"))</f>
        <v/>
      </c>
      <c r="P24" s="38" t="str">
        <f aca="false">IF($C24="","",$K24-$O24)</f>
        <v/>
      </c>
      <c r="Q24" s="34" t="str">
        <f aca="true">IF($C24="","",IF($G24="已终止","",IF($I24="","▲没填合同止期",IF($I24&lt;TODAY(),"已到期 "&amp;TEXT(TODAY()-$I24,"0")&amp;" 天",IF($I24-TODAY()&lt;=合同提醒天,"将到期 "&amp;TEXT($I24-TODAY(),"0")&amp;" 天","")))))</f>
        <v/>
      </c>
      <c r="R24" s="34" t="str">
        <f aca="false">IF($C24="","",IF($G24="","▲合同状态没选",IF(OR($G24="已签未回",$G24="未签",$G24="续签中"),"▲合同未回（"&amp;$G24&amp;"）","")))</f>
        <v/>
      </c>
      <c r="S24" s="35" t="str">
        <f aca="false">IF($C24="","",IF(N($J24)=N($K24),"一致","★合同"&amp;TEXT(N($J24),"0")&amp;"台 / 在册"&amp;TEXT(N($K24),"0")&amp;"台"))</f>
        <v/>
      </c>
      <c r="T24" s="40" t="str">
        <f aca="false">IF($C24="","",ROUND(SUMIFS(应收金额,应收键,$E24,应收年度,管理年度),2))</f>
        <v/>
      </c>
      <c r="U24" s="40" t="str">
        <f aca="false">IF($C24="","",ROUND(SUMIFS(收款金额,收款键,$E24,收款年度,管理年度),2))</f>
        <v/>
      </c>
      <c r="V24" s="41" t="str">
        <f aca="false">IF($C24="","",ROUND(SUMIF(应收键,$E24,应收金额)-SUMIF(收款键,$E24,收款金额),2))</f>
        <v/>
      </c>
      <c r="W24" s="24"/>
      <c r="X24" s="35" t="str">
        <f aca="false">IF($C24="","",IF($D24="","★项目名称没填",IF(COUNTIF($E$5:$E$304,$E24)&gt;1,"★键重复",IF(AND($H24&lt;&gt;"",$I24&lt;&gt;"",$I24&lt;$H24),"★合同起止反了",IF(N($K24)=0,"★电梯资料里没有这个项目","OK")))))</f>
        <v/>
      </c>
    </row>
    <row r="25" customFormat="false" ht="15" hidden="false" customHeight="false" outlineLevel="0" collapsed="false">
      <c r="A25" s="29" t="str">
        <f aca="false">IF($C25="","",ROW()-4)</f>
        <v/>
      </c>
      <c r="B25" s="35" t="str">
        <f aca="false">IF($C25="","",IFERROR(INDEX(电梯片区,MATCH($E25,电梯键,0)),""))</f>
        <v/>
      </c>
      <c r="C25" s="24"/>
      <c r="D25" s="24"/>
      <c r="E25" s="30" t="str">
        <f aca="false">IF($C25="","",$C25&amp;" ｜ "&amp;$D25)</f>
        <v/>
      </c>
      <c r="F25" s="25"/>
      <c r="G25" s="25"/>
      <c r="H25" s="33"/>
      <c r="I25" s="33"/>
      <c r="J25" s="32"/>
      <c r="K25" s="38" t="str">
        <f aca="false">IF($C25="","",SUMIF(电梯键,$E25,电梯台量))</f>
        <v/>
      </c>
      <c r="L25" s="39"/>
      <c r="M25" s="25"/>
      <c r="N25" s="25"/>
      <c r="O25" s="38" t="str">
        <f aca="false">IF($C25="","",SUMIFS(电梯台量,电梯键,$E25,电梯状态,"安装免保")+SUMIFS(电梯台量,电梯键,$E25,电梯状态,"技术免保")+SUMIFS(电梯台量,电梯键,$E25,电梯状态,"质保期内"))</f>
        <v/>
      </c>
      <c r="P25" s="38" t="str">
        <f aca="false">IF($C25="","",$K25-$O25)</f>
        <v/>
      </c>
      <c r="Q25" s="34" t="str">
        <f aca="true">IF($C25="","",IF($G25="已终止","",IF($I25="","▲没填合同止期",IF($I25&lt;TODAY(),"已到期 "&amp;TEXT(TODAY()-$I25,"0")&amp;" 天",IF($I25-TODAY()&lt;=合同提醒天,"将到期 "&amp;TEXT($I25-TODAY(),"0")&amp;" 天","")))))</f>
        <v/>
      </c>
      <c r="R25" s="34" t="str">
        <f aca="false">IF($C25="","",IF($G25="","▲合同状态没选",IF(OR($G25="已签未回",$G25="未签",$G25="续签中"),"▲合同未回（"&amp;$G25&amp;"）","")))</f>
        <v/>
      </c>
      <c r="S25" s="35" t="str">
        <f aca="false">IF($C25="","",IF(N($J25)=N($K25),"一致","★合同"&amp;TEXT(N($J25),"0")&amp;"台 / 在册"&amp;TEXT(N($K25),"0")&amp;"台"))</f>
        <v/>
      </c>
      <c r="T25" s="40" t="str">
        <f aca="false">IF($C25="","",ROUND(SUMIFS(应收金额,应收键,$E25,应收年度,管理年度),2))</f>
        <v/>
      </c>
      <c r="U25" s="40" t="str">
        <f aca="false">IF($C25="","",ROUND(SUMIFS(收款金额,收款键,$E25,收款年度,管理年度),2))</f>
        <v/>
      </c>
      <c r="V25" s="41" t="str">
        <f aca="false">IF($C25="","",ROUND(SUMIF(应收键,$E25,应收金额)-SUMIF(收款键,$E25,收款金额),2))</f>
        <v/>
      </c>
      <c r="W25" s="24"/>
      <c r="X25" s="35" t="str">
        <f aca="false">IF($C25="","",IF($D25="","★项目名称没填",IF(COUNTIF($E$5:$E$304,$E25)&gt;1,"★键重复",IF(AND($H25&lt;&gt;"",$I25&lt;&gt;"",$I25&lt;$H25),"★合同起止反了",IF(N($K25)=0,"★电梯资料里没有这个项目","OK")))))</f>
        <v/>
      </c>
    </row>
    <row r="26" customFormat="false" ht="15" hidden="false" customHeight="false" outlineLevel="0" collapsed="false">
      <c r="A26" s="29" t="str">
        <f aca="false">IF($C26="","",ROW()-4)</f>
        <v/>
      </c>
      <c r="B26" s="35" t="str">
        <f aca="false">IF($C26="","",IFERROR(INDEX(电梯片区,MATCH($E26,电梯键,0)),""))</f>
        <v/>
      </c>
      <c r="C26" s="24"/>
      <c r="D26" s="24"/>
      <c r="E26" s="30" t="str">
        <f aca="false">IF($C26="","",$C26&amp;" ｜ "&amp;$D26)</f>
        <v/>
      </c>
      <c r="F26" s="25"/>
      <c r="G26" s="25"/>
      <c r="H26" s="33"/>
      <c r="I26" s="33"/>
      <c r="J26" s="32"/>
      <c r="K26" s="38" t="str">
        <f aca="false">IF($C26="","",SUMIF(电梯键,$E26,电梯台量))</f>
        <v/>
      </c>
      <c r="L26" s="39"/>
      <c r="M26" s="25"/>
      <c r="N26" s="25"/>
      <c r="O26" s="38" t="str">
        <f aca="false">IF($C26="","",SUMIFS(电梯台量,电梯键,$E26,电梯状态,"安装免保")+SUMIFS(电梯台量,电梯键,$E26,电梯状态,"技术免保")+SUMIFS(电梯台量,电梯键,$E26,电梯状态,"质保期内"))</f>
        <v/>
      </c>
      <c r="P26" s="38" t="str">
        <f aca="false">IF($C26="","",$K26-$O26)</f>
        <v/>
      </c>
      <c r="Q26" s="34" t="str">
        <f aca="true">IF($C26="","",IF($G26="已终止","",IF($I26="","▲没填合同止期",IF($I26&lt;TODAY(),"已到期 "&amp;TEXT(TODAY()-$I26,"0")&amp;" 天",IF($I26-TODAY()&lt;=合同提醒天,"将到期 "&amp;TEXT($I26-TODAY(),"0")&amp;" 天","")))))</f>
        <v/>
      </c>
      <c r="R26" s="34" t="str">
        <f aca="false">IF($C26="","",IF($G26="","▲合同状态没选",IF(OR($G26="已签未回",$G26="未签",$G26="续签中"),"▲合同未回（"&amp;$G26&amp;"）","")))</f>
        <v/>
      </c>
      <c r="S26" s="35" t="str">
        <f aca="false">IF($C26="","",IF(N($J26)=N($K26),"一致","★合同"&amp;TEXT(N($J26),"0")&amp;"台 / 在册"&amp;TEXT(N($K26),"0")&amp;"台"))</f>
        <v/>
      </c>
      <c r="T26" s="40" t="str">
        <f aca="false">IF($C26="","",ROUND(SUMIFS(应收金额,应收键,$E26,应收年度,管理年度),2))</f>
        <v/>
      </c>
      <c r="U26" s="40" t="str">
        <f aca="false">IF($C26="","",ROUND(SUMIFS(收款金额,收款键,$E26,收款年度,管理年度),2))</f>
        <v/>
      </c>
      <c r="V26" s="41" t="str">
        <f aca="false">IF($C26="","",ROUND(SUMIF(应收键,$E26,应收金额)-SUMIF(收款键,$E26,收款金额),2))</f>
        <v/>
      </c>
      <c r="W26" s="24"/>
      <c r="X26" s="35" t="str">
        <f aca="false">IF($C26="","",IF($D26="","★项目名称没填",IF(COUNTIF($E$5:$E$304,$E26)&gt;1,"★键重复",IF(AND($H26&lt;&gt;"",$I26&lt;&gt;"",$I26&lt;$H26),"★合同起止反了",IF(N($K26)=0,"★电梯资料里没有这个项目","OK")))))</f>
        <v/>
      </c>
    </row>
    <row r="27" customFormat="false" ht="15" hidden="false" customHeight="false" outlineLevel="0" collapsed="false">
      <c r="A27" s="29" t="str">
        <f aca="false">IF($C27="","",ROW()-4)</f>
        <v/>
      </c>
      <c r="B27" s="35" t="str">
        <f aca="false">IF($C27="","",IFERROR(INDEX(电梯片区,MATCH($E27,电梯键,0)),""))</f>
        <v/>
      </c>
      <c r="C27" s="24"/>
      <c r="D27" s="24"/>
      <c r="E27" s="30" t="str">
        <f aca="false">IF($C27="","",$C27&amp;" ｜ "&amp;$D27)</f>
        <v/>
      </c>
      <c r="F27" s="25"/>
      <c r="G27" s="25"/>
      <c r="H27" s="33"/>
      <c r="I27" s="33"/>
      <c r="J27" s="32"/>
      <c r="K27" s="38" t="str">
        <f aca="false">IF($C27="","",SUMIF(电梯键,$E27,电梯台量))</f>
        <v/>
      </c>
      <c r="L27" s="39"/>
      <c r="M27" s="25"/>
      <c r="N27" s="25"/>
      <c r="O27" s="38" t="str">
        <f aca="false">IF($C27="","",SUMIFS(电梯台量,电梯键,$E27,电梯状态,"安装免保")+SUMIFS(电梯台量,电梯键,$E27,电梯状态,"技术免保")+SUMIFS(电梯台量,电梯键,$E27,电梯状态,"质保期内"))</f>
        <v/>
      </c>
      <c r="P27" s="38" t="str">
        <f aca="false">IF($C27="","",$K27-$O27)</f>
        <v/>
      </c>
      <c r="Q27" s="34" t="str">
        <f aca="true">IF($C27="","",IF($G27="已终止","",IF($I27="","▲没填合同止期",IF($I27&lt;TODAY(),"已到期 "&amp;TEXT(TODAY()-$I27,"0")&amp;" 天",IF($I27-TODAY()&lt;=合同提醒天,"将到期 "&amp;TEXT($I27-TODAY(),"0")&amp;" 天","")))))</f>
        <v/>
      </c>
      <c r="R27" s="34" t="str">
        <f aca="false">IF($C27="","",IF($G27="","▲合同状态没选",IF(OR($G27="已签未回",$G27="未签",$G27="续签中"),"▲合同未回（"&amp;$G27&amp;"）","")))</f>
        <v/>
      </c>
      <c r="S27" s="35" t="str">
        <f aca="false">IF($C27="","",IF(N($J27)=N($K27),"一致","★合同"&amp;TEXT(N($J27),"0")&amp;"台 / 在册"&amp;TEXT(N($K27),"0")&amp;"台"))</f>
        <v/>
      </c>
      <c r="T27" s="40" t="str">
        <f aca="false">IF($C27="","",ROUND(SUMIFS(应收金额,应收键,$E27,应收年度,管理年度),2))</f>
        <v/>
      </c>
      <c r="U27" s="40" t="str">
        <f aca="false">IF($C27="","",ROUND(SUMIFS(收款金额,收款键,$E27,收款年度,管理年度),2))</f>
        <v/>
      </c>
      <c r="V27" s="41" t="str">
        <f aca="false">IF($C27="","",ROUND(SUMIF(应收键,$E27,应收金额)-SUMIF(收款键,$E27,收款金额),2))</f>
        <v/>
      </c>
      <c r="W27" s="24"/>
      <c r="X27" s="35" t="str">
        <f aca="false">IF($C27="","",IF($D27="","★项目名称没填",IF(COUNTIF($E$5:$E$304,$E27)&gt;1,"★键重复",IF(AND($H27&lt;&gt;"",$I27&lt;&gt;"",$I27&lt;$H27),"★合同起止反了",IF(N($K27)=0,"★电梯资料里没有这个项目","OK")))))</f>
        <v/>
      </c>
    </row>
    <row r="28" customFormat="false" ht="15" hidden="false" customHeight="false" outlineLevel="0" collapsed="false">
      <c r="A28" s="29" t="str">
        <f aca="false">IF($C28="","",ROW()-4)</f>
        <v/>
      </c>
      <c r="B28" s="35" t="str">
        <f aca="false">IF($C28="","",IFERROR(INDEX(电梯片区,MATCH($E28,电梯键,0)),""))</f>
        <v/>
      </c>
      <c r="C28" s="24"/>
      <c r="D28" s="24"/>
      <c r="E28" s="30" t="str">
        <f aca="false">IF($C28="","",$C28&amp;" ｜ "&amp;$D28)</f>
        <v/>
      </c>
      <c r="F28" s="25"/>
      <c r="G28" s="25"/>
      <c r="H28" s="33"/>
      <c r="I28" s="33"/>
      <c r="J28" s="32"/>
      <c r="K28" s="38" t="str">
        <f aca="false">IF($C28="","",SUMIF(电梯键,$E28,电梯台量))</f>
        <v/>
      </c>
      <c r="L28" s="39"/>
      <c r="M28" s="25"/>
      <c r="N28" s="25"/>
      <c r="O28" s="38" t="str">
        <f aca="false">IF($C28="","",SUMIFS(电梯台量,电梯键,$E28,电梯状态,"安装免保")+SUMIFS(电梯台量,电梯键,$E28,电梯状态,"技术免保")+SUMIFS(电梯台量,电梯键,$E28,电梯状态,"质保期内"))</f>
        <v/>
      </c>
      <c r="P28" s="38" t="str">
        <f aca="false">IF($C28="","",$K28-$O28)</f>
        <v/>
      </c>
      <c r="Q28" s="34" t="str">
        <f aca="true">IF($C28="","",IF($G28="已终止","",IF($I28="","▲没填合同止期",IF($I28&lt;TODAY(),"已到期 "&amp;TEXT(TODAY()-$I28,"0")&amp;" 天",IF($I28-TODAY()&lt;=合同提醒天,"将到期 "&amp;TEXT($I28-TODAY(),"0")&amp;" 天","")))))</f>
        <v/>
      </c>
      <c r="R28" s="34" t="str">
        <f aca="false">IF($C28="","",IF($G28="","▲合同状态没选",IF(OR($G28="已签未回",$G28="未签",$G28="续签中"),"▲合同未回（"&amp;$G28&amp;"）","")))</f>
        <v/>
      </c>
      <c r="S28" s="35" t="str">
        <f aca="false">IF($C28="","",IF(N($J28)=N($K28),"一致","★合同"&amp;TEXT(N($J28),"0")&amp;"台 / 在册"&amp;TEXT(N($K28),"0")&amp;"台"))</f>
        <v/>
      </c>
      <c r="T28" s="40" t="str">
        <f aca="false">IF($C28="","",ROUND(SUMIFS(应收金额,应收键,$E28,应收年度,管理年度),2))</f>
        <v/>
      </c>
      <c r="U28" s="40" t="str">
        <f aca="false">IF($C28="","",ROUND(SUMIFS(收款金额,收款键,$E28,收款年度,管理年度),2))</f>
        <v/>
      </c>
      <c r="V28" s="41" t="str">
        <f aca="false">IF($C28="","",ROUND(SUMIF(应收键,$E28,应收金额)-SUMIF(收款键,$E28,收款金额),2))</f>
        <v/>
      </c>
      <c r="W28" s="24"/>
      <c r="X28" s="35" t="str">
        <f aca="false">IF($C28="","",IF($D28="","★项目名称没填",IF(COUNTIF($E$5:$E$304,$E28)&gt;1,"★键重复",IF(AND($H28&lt;&gt;"",$I28&lt;&gt;"",$I28&lt;$H28),"★合同起止反了",IF(N($K28)=0,"★电梯资料里没有这个项目","OK")))))</f>
        <v/>
      </c>
    </row>
    <row r="29" customFormat="false" ht="15" hidden="false" customHeight="false" outlineLevel="0" collapsed="false">
      <c r="A29" s="29" t="str">
        <f aca="false">IF($C29="","",ROW()-4)</f>
        <v/>
      </c>
      <c r="B29" s="35" t="str">
        <f aca="false">IF($C29="","",IFERROR(INDEX(电梯片区,MATCH($E29,电梯键,0)),""))</f>
        <v/>
      </c>
      <c r="C29" s="24"/>
      <c r="D29" s="24"/>
      <c r="E29" s="30" t="str">
        <f aca="false">IF($C29="","",$C29&amp;" ｜ "&amp;$D29)</f>
        <v/>
      </c>
      <c r="F29" s="25"/>
      <c r="G29" s="25"/>
      <c r="H29" s="33"/>
      <c r="I29" s="33"/>
      <c r="J29" s="32"/>
      <c r="K29" s="38" t="str">
        <f aca="false">IF($C29="","",SUMIF(电梯键,$E29,电梯台量))</f>
        <v/>
      </c>
      <c r="L29" s="39"/>
      <c r="M29" s="25"/>
      <c r="N29" s="25"/>
      <c r="O29" s="38" t="str">
        <f aca="false">IF($C29="","",SUMIFS(电梯台量,电梯键,$E29,电梯状态,"安装免保")+SUMIFS(电梯台量,电梯键,$E29,电梯状态,"技术免保")+SUMIFS(电梯台量,电梯键,$E29,电梯状态,"质保期内"))</f>
        <v/>
      </c>
      <c r="P29" s="38" t="str">
        <f aca="false">IF($C29="","",$K29-$O29)</f>
        <v/>
      </c>
      <c r="Q29" s="34" t="str">
        <f aca="true">IF($C29="","",IF($G29="已终止","",IF($I29="","▲没填合同止期",IF($I29&lt;TODAY(),"已到期 "&amp;TEXT(TODAY()-$I29,"0")&amp;" 天",IF($I29-TODAY()&lt;=合同提醒天,"将到期 "&amp;TEXT($I29-TODAY(),"0")&amp;" 天","")))))</f>
        <v/>
      </c>
      <c r="R29" s="34" t="str">
        <f aca="false">IF($C29="","",IF($G29="","▲合同状态没选",IF(OR($G29="已签未回",$G29="未签",$G29="续签中"),"▲合同未回（"&amp;$G29&amp;"）","")))</f>
        <v/>
      </c>
      <c r="S29" s="35" t="str">
        <f aca="false">IF($C29="","",IF(N($J29)=N($K29),"一致","★合同"&amp;TEXT(N($J29),"0")&amp;"台 / 在册"&amp;TEXT(N($K29),"0")&amp;"台"))</f>
        <v/>
      </c>
      <c r="T29" s="40" t="str">
        <f aca="false">IF($C29="","",ROUND(SUMIFS(应收金额,应收键,$E29,应收年度,管理年度),2))</f>
        <v/>
      </c>
      <c r="U29" s="40" t="str">
        <f aca="false">IF($C29="","",ROUND(SUMIFS(收款金额,收款键,$E29,收款年度,管理年度),2))</f>
        <v/>
      </c>
      <c r="V29" s="41" t="str">
        <f aca="false">IF($C29="","",ROUND(SUMIF(应收键,$E29,应收金额)-SUMIF(收款键,$E29,收款金额),2))</f>
        <v/>
      </c>
      <c r="W29" s="24"/>
      <c r="X29" s="35" t="str">
        <f aca="false">IF($C29="","",IF($D29="","★项目名称没填",IF(COUNTIF($E$5:$E$304,$E29)&gt;1,"★键重复",IF(AND($H29&lt;&gt;"",$I29&lt;&gt;"",$I29&lt;$H29),"★合同起止反了",IF(N($K29)=0,"★电梯资料里没有这个项目","OK")))))</f>
        <v/>
      </c>
    </row>
    <row r="30" customFormat="false" ht="15" hidden="false" customHeight="false" outlineLevel="0" collapsed="false">
      <c r="A30" s="29" t="str">
        <f aca="false">IF($C30="","",ROW()-4)</f>
        <v/>
      </c>
      <c r="B30" s="35" t="str">
        <f aca="false">IF($C30="","",IFERROR(INDEX(电梯片区,MATCH($E30,电梯键,0)),""))</f>
        <v/>
      </c>
      <c r="C30" s="24"/>
      <c r="D30" s="24"/>
      <c r="E30" s="30" t="str">
        <f aca="false">IF($C30="","",$C30&amp;" ｜ "&amp;$D30)</f>
        <v/>
      </c>
      <c r="F30" s="25"/>
      <c r="G30" s="25"/>
      <c r="H30" s="33"/>
      <c r="I30" s="33"/>
      <c r="J30" s="32"/>
      <c r="K30" s="38" t="str">
        <f aca="false">IF($C30="","",SUMIF(电梯键,$E30,电梯台量))</f>
        <v/>
      </c>
      <c r="L30" s="39"/>
      <c r="M30" s="25"/>
      <c r="N30" s="25"/>
      <c r="O30" s="38" t="str">
        <f aca="false">IF($C30="","",SUMIFS(电梯台量,电梯键,$E30,电梯状态,"安装免保")+SUMIFS(电梯台量,电梯键,$E30,电梯状态,"技术免保")+SUMIFS(电梯台量,电梯键,$E30,电梯状态,"质保期内"))</f>
        <v/>
      </c>
      <c r="P30" s="38" t="str">
        <f aca="false">IF($C30="","",$K30-$O30)</f>
        <v/>
      </c>
      <c r="Q30" s="34" t="str">
        <f aca="true">IF($C30="","",IF($G30="已终止","",IF($I30="","▲没填合同止期",IF($I30&lt;TODAY(),"已到期 "&amp;TEXT(TODAY()-$I30,"0")&amp;" 天",IF($I30-TODAY()&lt;=合同提醒天,"将到期 "&amp;TEXT($I30-TODAY(),"0")&amp;" 天","")))))</f>
        <v/>
      </c>
      <c r="R30" s="34" t="str">
        <f aca="false">IF($C30="","",IF($G30="","▲合同状态没选",IF(OR($G30="已签未回",$G30="未签",$G30="续签中"),"▲合同未回（"&amp;$G30&amp;"）","")))</f>
        <v/>
      </c>
      <c r="S30" s="35" t="str">
        <f aca="false">IF($C30="","",IF(N($J30)=N($K30),"一致","★合同"&amp;TEXT(N($J30),"0")&amp;"台 / 在册"&amp;TEXT(N($K30),"0")&amp;"台"))</f>
        <v/>
      </c>
      <c r="T30" s="40" t="str">
        <f aca="false">IF($C30="","",ROUND(SUMIFS(应收金额,应收键,$E30,应收年度,管理年度),2))</f>
        <v/>
      </c>
      <c r="U30" s="40" t="str">
        <f aca="false">IF($C30="","",ROUND(SUMIFS(收款金额,收款键,$E30,收款年度,管理年度),2))</f>
        <v/>
      </c>
      <c r="V30" s="41" t="str">
        <f aca="false">IF($C30="","",ROUND(SUMIF(应收键,$E30,应收金额)-SUMIF(收款键,$E30,收款金额),2))</f>
        <v/>
      </c>
      <c r="W30" s="24"/>
      <c r="X30" s="35" t="str">
        <f aca="false">IF($C30="","",IF($D30="","★项目名称没填",IF(COUNTIF($E$5:$E$304,$E30)&gt;1,"★键重复",IF(AND($H30&lt;&gt;"",$I30&lt;&gt;"",$I30&lt;$H30),"★合同起止反了",IF(N($K30)=0,"★电梯资料里没有这个项目","OK")))))</f>
        <v/>
      </c>
    </row>
    <row r="31" customFormat="false" ht="15" hidden="false" customHeight="false" outlineLevel="0" collapsed="false">
      <c r="A31" s="29" t="str">
        <f aca="false">IF($C31="","",ROW()-4)</f>
        <v/>
      </c>
      <c r="B31" s="35" t="str">
        <f aca="false">IF($C31="","",IFERROR(INDEX(电梯片区,MATCH($E31,电梯键,0)),""))</f>
        <v/>
      </c>
      <c r="C31" s="24"/>
      <c r="D31" s="24"/>
      <c r="E31" s="30" t="str">
        <f aca="false">IF($C31="","",$C31&amp;" ｜ "&amp;$D31)</f>
        <v/>
      </c>
      <c r="F31" s="25"/>
      <c r="G31" s="25"/>
      <c r="H31" s="33"/>
      <c r="I31" s="33"/>
      <c r="J31" s="32"/>
      <c r="K31" s="38" t="str">
        <f aca="false">IF($C31="","",SUMIF(电梯键,$E31,电梯台量))</f>
        <v/>
      </c>
      <c r="L31" s="39"/>
      <c r="M31" s="25"/>
      <c r="N31" s="25"/>
      <c r="O31" s="38" t="str">
        <f aca="false">IF($C31="","",SUMIFS(电梯台量,电梯键,$E31,电梯状态,"安装免保")+SUMIFS(电梯台量,电梯键,$E31,电梯状态,"技术免保")+SUMIFS(电梯台量,电梯键,$E31,电梯状态,"质保期内"))</f>
        <v/>
      </c>
      <c r="P31" s="38" t="str">
        <f aca="false">IF($C31="","",$K31-$O31)</f>
        <v/>
      </c>
      <c r="Q31" s="34" t="str">
        <f aca="true">IF($C31="","",IF($G31="已终止","",IF($I31="","▲没填合同止期",IF($I31&lt;TODAY(),"已到期 "&amp;TEXT(TODAY()-$I31,"0")&amp;" 天",IF($I31-TODAY()&lt;=合同提醒天,"将到期 "&amp;TEXT($I31-TODAY(),"0")&amp;" 天","")))))</f>
        <v/>
      </c>
      <c r="R31" s="34" t="str">
        <f aca="false">IF($C31="","",IF($G31="","▲合同状态没选",IF(OR($G31="已签未回",$G31="未签",$G31="续签中"),"▲合同未回（"&amp;$G31&amp;"）","")))</f>
        <v/>
      </c>
      <c r="S31" s="35" t="str">
        <f aca="false">IF($C31="","",IF(N($J31)=N($K31),"一致","★合同"&amp;TEXT(N($J31),"0")&amp;"台 / 在册"&amp;TEXT(N($K31),"0")&amp;"台"))</f>
        <v/>
      </c>
      <c r="T31" s="40" t="str">
        <f aca="false">IF($C31="","",ROUND(SUMIFS(应收金额,应收键,$E31,应收年度,管理年度),2))</f>
        <v/>
      </c>
      <c r="U31" s="40" t="str">
        <f aca="false">IF($C31="","",ROUND(SUMIFS(收款金额,收款键,$E31,收款年度,管理年度),2))</f>
        <v/>
      </c>
      <c r="V31" s="41" t="str">
        <f aca="false">IF($C31="","",ROUND(SUMIF(应收键,$E31,应收金额)-SUMIF(收款键,$E31,收款金额),2))</f>
        <v/>
      </c>
      <c r="W31" s="24"/>
      <c r="X31" s="35" t="str">
        <f aca="false">IF($C31="","",IF($D31="","★项目名称没填",IF(COUNTIF($E$5:$E$304,$E31)&gt;1,"★键重复",IF(AND($H31&lt;&gt;"",$I31&lt;&gt;"",$I31&lt;$H31),"★合同起止反了",IF(N($K31)=0,"★电梯资料里没有这个项目","OK")))))</f>
        <v/>
      </c>
    </row>
    <row r="32" customFormat="false" ht="15" hidden="false" customHeight="false" outlineLevel="0" collapsed="false">
      <c r="A32" s="29" t="str">
        <f aca="false">IF($C32="","",ROW()-4)</f>
        <v/>
      </c>
      <c r="B32" s="35" t="str">
        <f aca="false">IF($C32="","",IFERROR(INDEX(电梯片区,MATCH($E32,电梯键,0)),""))</f>
        <v/>
      </c>
      <c r="C32" s="24"/>
      <c r="D32" s="24"/>
      <c r="E32" s="30" t="str">
        <f aca="false">IF($C32="","",$C32&amp;" ｜ "&amp;$D32)</f>
        <v/>
      </c>
      <c r="F32" s="25"/>
      <c r="G32" s="25"/>
      <c r="H32" s="33"/>
      <c r="I32" s="33"/>
      <c r="J32" s="32"/>
      <c r="K32" s="38" t="str">
        <f aca="false">IF($C32="","",SUMIF(电梯键,$E32,电梯台量))</f>
        <v/>
      </c>
      <c r="L32" s="39"/>
      <c r="M32" s="25"/>
      <c r="N32" s="25"/>
      <c r="O32" s="38" t="str">
        <f aca="false">IF($C32="","",SUMIFS(电梯台量,电梯键,$E32,电梯状态,"安装免保")+SUMIFS(电梯台量,电梯键,$E32,电梯状态,"技术免保")+SUMIFS(电梯台量,电梯键,$E32,电梯状态,"质保期内"))</f>
        <v/>
      </c>
      <c r="P32" s="38" t="str">
        <f aca="false">IF($C32="","",$K32-$O32)</f>
        <v/>
      </c>
      <c r="Q32" s="34" t="str">
        <f aca="true">IF($C32="","",IF($G32="已终止","",IF($I32="","▲没填合同止期",IF($I32&lt;TODAY(),"已到期 "&amp;TEXT(TODAY()-$I32,"0")&amp;" 天",IF($I32-TODAY()&lt;=合同提醒天,"将到期 "&amp;TEXT($I32-TODAY(),"0")&amp;" 天","")))))</f>
        <v/>
      </c>
      <c r="R32" s="34" t="str">
        <f aca="false">IF($C32="","",IF($G32="","▲合同状态没选",IF(OR($G32="已签未回",$G32="未签",$G32="续签中"),"▲合同未回（"&amp;$G32&amp;"）","")))</f>
        <v/>
      </c>
      <c r="S32" s="35" t="str">
        <f aca="false">IF($C32="","",IF(N($J32)=N($K32),"一致","★合同"&amp;TEXT(N($J32),"0")&amp;"台 / 在册"&amp;TEXT(N($K32),"0")&amp;"台"))</f>
        <v/>
      </c>
      <c r="T32" s="40" t="str">
        <f aca="false">IF($C32="","",ROUND(SUMIFS(应收金额,应收键,$E32,应收年度,管理年度),2))</f>
        <v/>
      </c>
      <c r="U32" s="40" t="str">
        <f aca="false">IF($C32="","",ROUND(SUMIFS(收款金额,收款键,$E32,收款年度,管理年度),2))</f>
        <v/>
      </c>
      <c r="V32" s="41" t="str">
        <f aca="false">IF($C32="","",ROUND(SUMIF(应收键,$E32,应收金额)-SUMIF(收款键,$E32,收款金额),2))</f>
        <v/>
      </c>
      <c r="W32" s="24"/>
      <c r="X32" s="35" t="str">
        <f aca="false">IF($C32="","",IF($D32="","★项目名称没填",IF(COUNTIF($E$5:$E$304,$E32)&gt;1,"★键重复",IF(AND($H32&lt;&gt;"",$I32&lt;&gt;"",$I32&lt;$H32),"★合同起止反了",IF(N($K32)=0,"★电梯资料里没有这个项目","OK")))))</f>
        <v/>
      </c>
    </row>
    <row r="33" customFormat="false" ht="15" hidden="false" customHeight="false" outlineLevel="0" collapsed="false">
      <c r="A33" s="29" t="str">
        <f aca="false">IF($C33="","",ROW()-4)</f>
        <v/>
      </c>
      <c r="B33" s="35" t="str">
        <f aca="false">IF($C33="","",IFERROR(INDEX(电梯片区,MATCH($E33,电梯键,0)),""))</f>
        <v/>
      </c>
      <c r="C33" s="24"/>
      <c r="D33" s="24"/>
      <c r="E33" s="30" t="str">
        <f aca="false">IF($C33="","",$C33&amp;" ｜ "&amp;$D33)</f>
        <v/>
      </c>
      <c r="F33" s="25"/>
      <c r="G33" s="25"/>
      <c r="H33" s="33"/>
      <c r="I33" s="33"/>
      <c r="J33" s="32"/>
      <c r="K33" s="38" t="str">
        <f aca="false">IF($C33="","",SUMIF(电梯键,$E33,电梯台量))</f>
        <v/>
      </c>
      <c r="L33" s="39"/>
      <c r="M33" s="25"/>
      <c r="N33" s="25"/>
      <c r="O33" s="38" t="str">
        <f aca="false">IF($C33="","",SUMIFS(电梯台量,电梯键,$E33,电梯状态,"安装免保")+SUMIFS(电梯台量,电梯键,$E33,电梯状态,"技术免保")+SUMIFS(电梯台量,电梯键,$E33,电梯状态,"质保期内"))</f>
        <v/>
      </c>
      <c r="P33" s="38" t="str">
        <f aca="false">IF($C33="","",$K33-$O33)</f>
        <v/>
      </c>
      <c r="Q33" s="34" t="str">
        <f aca="true">IF($C33="","",IF($G33="已终止","",IF($I33="","▲没填合同止期",IF($I33&lt;TODAY(),"已到期 "&amp;TEXT(TODAY()-$I33,"0")&amp;" 天",IF($I33-TODAY()&lt;=合同提醒天,"将到期 "&amp;TEXT($I33-TODAY(),"0")&amp;" 天","")))))</f>
        <v/>
      </c>
      <c r="R33" s="34" t="str">
        <f aca="false">IF($C33="","",IF($G33="","▲合同状态没选",IF(OR($G33="已签未回",$G33="未签",$G33="续签中"),"▲合同未回（"&amp;$G33&amp;"）","")))</f>
        <v/>
      </c>
      <c r="S33" s="35" t="str">
        <f aca="false">IF($C33="","",IF(N($J33)=N($K33),"一致","★合同"&amp;TEXT(N($J33),"0")&amp;"台 / 在册"&amp;TEXT(N($K33),"0")&amp;"台"))</f>
        <v/>
      </c>
      <c r="T33" s="40" t="str">
        <f aca="false">IF($C33="","",ROUND(SUMIFS(应收金额,应收键,$E33,应收年度,管理年度),2))</f>
        <v/>
      </c>
      <c r="U33" s="40" t="str">
        <f aca="false">IF($C33="","",ROUND(SUMIFS(收款金额,收款键,$E33,收款年度,管理年度),2))</f>
        <v/>
      </c>
      <c r="V33" s="41" t="str">
        <f aca="false">IF($C33="","",ROUND(SUMIF(应收键,$E33,应收金额)-SUMIF(收款键,$E33,收款金额),2))</f>
        <v/>
      </c>
      <c r="W33" s="24"/>
      <c r="X33" s="35" t="str">
        <f aca="false">IF($C33="","",IF($D33="","★项目名称没填",IF(COUNTIF($E$5:$E$304,$E33)&gt;1,"★键重复",IF(AND($H33&lt;&gt;"",$I33&lt;&gt;"",$I33&lt;$H33),"★合同起止反了",IF(N($K33)=0,"★电梯资料里没有这个项目","OK")))))</f>
        <v/>
      </c>
    </row>
    <row r="34" customFormat="false" ht="15" hidden="false" customHeight="false" outlineLevel="0" collapsed="false">
      <c r="A34" s="29" t="str">
        <f aca="false">IF($C34="","",ROW()-4)</f>
        <v/>
      </c>
      <c r="B34" s="35" t="str">
        <f aca="false">IF($C34="","",IFERROR(INDEX(电梯片区,MATCH($E34,电梯键,0)),""))</f>
        <v/>
      </c>
      <c r="C34" s="24"/>
      <c r="D34" s="24"/>
      <c r="E34" s="30" t="str">
        <f aca="false">IF($C34="","",$C34&amp;" ｜ "&amp;$D34)</f>
        <v/>
      </c>
      <c r="F34" s="25"/>
      <c r="G34" s="25"/>
      <c r="H34" s="33"/>
      <c r="I34" s="33"/>
      <c r="J34" s="32"/>
      <c r="K34" s="38" t="str">
        <f aca="false">IF($C34="","",SUMIF(电梯键,$E34,电梯台量))</f>
        <v/>
      </c>
      <c r="L34" s="39"/>
      <c r="M34" s="25"/>
      <c r="N34" s="25"/>
      <c r="O34" s="38" t="str">
        <f aca="false">IF($C34="","",SUMIFS(电梯台量,电梯键,$E34,电梯状态,"安装免保")+SUMIFS(电梯台量,电梯键,$E34,电梯状态,"技术免保")+SUMIFS(电梯台量,电梯键,$E34,电梯状态,"质保期内"))</f>
        <v/>
      </c>
      <c r="P34" s="38" t="str">
        <f aca="false">IF($C34="","",$K34-$O34)</f>
        <v/>
      </c>
      <c r="Q34" s="34" t="str">
        <f aca="true">IF($C34="","",IF($G34="已终止","",IF($I34="","▲没填合同止期",IF($I34&lt;TODAY(),"已到期 "&amp;TEXT(TODAY()-$I34,"0")&amp;" 天",IF($I34-TODAY()&lt;=合同提醒天,"将到期 "&amp;TEXT($I34-TODAY(),"0")&amp;" 天","")))))</f>
        <v/>
      </c>
      <c r="R34" s="34" t="str">
        <f aca="false">IF($C34="","",IF($G34="","▲合同状态没选",IF(OR($G34="已签未回",$G34="未签",$G34="续签中"),"▲合同未回（"&amp;$G34&amp;"）","")))</f>
        <v/>
      </c>
      <c r="S34" s="35" t="str">
        <f aca="false">IF($C34="","",IF(N($J34)=N($K34),"一致","★合同"&amp;TEXT(N($J34),"0")&amp;"台 / 在册"&amp;TEXT(N($K34),"0")&amp;"台"))</f>
        <v/>
      </c>
      <c r="T34" s="40" t="str">
        <f aca="false">IF($C34="","",ROUND(SUMIFS(应收金额,应收键,$E34,应收年度,管理年度),2))</f>
        <v/>
      </c>
      <c r="U34" s="40" t="str">
        <f aca="false">IF($C34="","",ROUND(SUMIFS(收款金额,收款键,$E34,收款年度,管理年度),2))</f>
        <v/>
      </c>
      <c r="V34" s="41" t="str">
        <f aca="false">IF($C34="","",ROUND(SUMIF(应收键,$E34,应收金额)-SUMIF(收款键,$E34,收款金额),2))</f>
        <v/>
      </c>
      <c r="W34" s="24"/>
      <c r="X34" s="35" t="str">
        <f aca="false">IF($C34="","",IF($D34="","★项目名称没填",IF(COUNTIF($E$5:$E$304,$E34)&gt;1,"★键重复",IF(AND($H34&lt;&gt;"",$I34&lt;&gt;"",$I34&lt;$H34),"★合同起止反了",IF(N($K34)=0,"★电梯资料里没有这个项目","OK")))))</f>
        <v/>
      </c>
    </row>
    <row r="35" customFormat="false" ht="15" hidden="false" customHeight="false" outlineLevel="0" collapsed="false">
      <c r="A35" s="29" t="str">
        <f aca="false">IF($C35="","",ROW()-4)</f>
        <v/>
      </c>
      <c r="B35" s="35" t="str">
        <f aca="false">IF($C35="","",IFERROR(INDEX(电梯片区,MATCH($E35,电梯键,0)),""))</f>
        <v/>
      </c>
      <c r="C35" s="24"/>
      <c r="D35" s="24"/>
      <c r="E35" s="30" t="str">
        <f aca="false">IF($C35="","",$C35&amp;" ｜ "&amp;$D35)</f>
        <v/>
      </c>
      <c r="F35" s="25"/>
      <c r="G35" s="25"/>
      <c r="H35" s="33"/>
      <c r="I35" s="33"/>
      <c r="J35" s="32"/>
      <c r="K35" s="38" t="str">
        <f aca="false">IF($C35="","",SUMIF(电梯键,$E35,电梯台量))</f>
        <v/>
      </c>
      <c r="L35" s="39"/>
      <c r="M35" s="25"/>
      <c r="N35" s="25"/>
      <c r="O35" s="38" t="str">
        <f aca="false">IF($C35="","",SUMIFS(电梯台量,电梯键,$E35,电梯状态,"安装免保")+SUMIFS(电梯台量,电梯键,$E35,电梯状态,"技术免保")+SUMIFS(电梯台量,电梯键,$E35,电梯状态,"质保期内"))</f>
        <v/>
      </c>
      <c r="P35" s="38" t="str">
        <f aca="false">IF($C35="","",$K35-$O35)</f>
        <v/>
      </c>
      <c r="Q35" s="34" t="str">
        <f aca="true">IF($C35="","",IF($G35="已终止","",IF($I35="","▲没填合同止期",IF($I35&lt;TODAY(),"已到期 "&amp;TEXT(TODAY()-$I35,"0")&amp;" 天",IF($I35-TODAY()&lt;=合同提醒天,"将到期 "&amp;TEXT($I35-TODAY(),"0")&amp;" 天","")))))</f>
        <v/>
      </c>
      <c r="R35" s="34" t="str">
        <f aca="false">IF($C35="","",IF($G35="","▲合同状态没选",IF(OR($G35="已签未回",$G35="未签",$G35="续签中"),"▲合同未回（"&amp;$G35&amp;"）","")))</f>
        <v/>
      </c>
      <c r="S35" s="35" t="str">
        <f aca="false">IF($C35="","",IF(N($J35)=N($K35),"一致","★合同"&amp;TEXT(N($J35),"0")&amp;"台 / 在册"&amp;TEXT(N($K35),"0")&amp;"台"))</f>
        <v/>
      </c>
      <c r="T35" s="40" t="str">
        <f aca="false">IF($C35="","",ROUND(SUMIFS(应收金额,应收键,$E35,应收年度,管理年度),2))</f>
        <v/>
      </c>
      <c r="U35" s="40" t="str">
        <f aca="false">IF($C35="","",ROUND(SUMIFS(收款金额,收款键,$E35,收款年度,管理年度),2))</f>
        <v/>
      </c>
      <c r="V35" s="41" t="str">
        <f aca="false">IF($C35="","",ROUND(SUMIF(应收键,$E35,应收金额)-SUMIF(收款键,$E35,收款金额),2))</f>
        <v/>
      </c>
      <c r="W35" s="24"/>
      <c r="X35" s="35" t="str">
        <f aca="false">IF($C35="","",IF($D35="","★项目名称没填",IF(COUNTIF($E$5:$E$304,$E35)&gt;1,"★键重复",IF(AND($H35&lt;&gt;"",$I35&lt;&gt;"",$I35&lt;$H35),"★合同起止反了",IF(N($K35)=0,"★电梯资料里没有这个项目","OK")))))</f>
        <v/>
      </c>
    </row>
    <row r="36" customFormat="false" ht="15" hidden="false" customHeight="false" outlineLevel="0" collapsed="false">
      <c r="A36" s="29" t="str">
        <f aca="false">IF($C36="","",ROW()-4)</f>
        <v/>
      </c>
      <c r="B36" s="35" t="str">
        <f aca="false">IF($C36="","",IFERROR(INDEX(电梯片区,MATCH($E36,电梯键,0)),""))</f>
        <v/>
      </c>
      <c r="C36" s="24"/>
      <c r="D36" s="24"/>
      <c r="E36" s="30" t="str">
        <f aca="false">IF($C36="","",$C36&amp;" ｜ "&amp;$D36)</f>
        <v/>
      </c>
      <c r="F36" s="25"/>
      <c r="G36" s="25"/>
      <c r="H36" s="33"/>
      <c r="I36" s="33"/>
      <c r="J36" s="32"/>
      <c r="K36" s="38" t="str">
        <f aca="false">IF($C36="","",SUMIF(电梯键,$E36,电梯台量))</f>
        <v/>
      </c>
      <c r="L36" s="39"/>
      <c r="M36" s="25"/>
      <c r="N36" s="25"/>
      <c r="O36" s="38" t="str">
        <f aca="false">IF($C36="","",SUMIFS(电梯台量,电梯键,$E36,电梯状态,"安装免保")+SUMIFS(电梯台量,电梯键,$E36,电梯状态,"技术免保")+SUMIFS(电梯台量,电梯键,$E36,电梯状态,"质保期内"))</f>
        <v/>
      </c>
      <c r="P36" s="38" t="str">
        <f aca="false">IF($C36="","",$K36-$O36)</f>
        <v/>
      </c>
      <c r="Q36" s="34" t="str">
        <f aca="true">IF($C36="","",IF($G36="已终止","",IF($I36="","▲没填合同止期",IF($I36&lt;TODAY(),"已到期 "&amp;TEXT(TODAY()-$I36,"0")&amp;" 天",IF($I36-TODAY()&lt;=合同提醒天,"将到期 "&amp;TEXT($I36-TODAY(),"0")&amp;" 天","")))))</f>
        <v/>
      </c>
      <c r="R36" s="34" t="str">
        <f aca="false">IF($C36="","",IF($G36="","▲合同状态没选",IF(OR($G36="已签未回",$G36="未签",$G36="续签中"),"▲合同未回（"&amp;$G36&amp;"）","")))</f>
        <v/>
      </c>
      <c r="S36" s="35" t="str">
        <f aca="false">IF($C36="","",IF(N($J36)=N($K36),"一致","★合同"&amp;TEXT(N($J36),"0")&amp;"台 / 在册"&amp;TEXT(N($K36),"0")&amp;"台"))</f>
        <v/>
      </c>
      <c r="T36" s="40" t="str">
        <f aca="false">IF($C36="","",ROUND(SUMIFS(应收金额,应收键,$E36,应收年度,管理年度),2))</f>
        <v/>
      </c>
      <c r="U36" s="40" t="str">
        <f aca="false">IF($C36="","",ROUND(SUMIFS(收款金额,收款键,$E36,收款年度,管理年度),2))</f>
        <v/>
      </c>
      <c r="V36" s="41" t="str">
        <f aca="false">IF($C36="","",ROUND(SUMIF(应收键,$E36,应收金额)-SUMIF(收款键,$E36,收款金额),2))</f>
        <v/>
      </c>
      <c r="W36" s="24"/>
      <c r="X36" s="35" t="str">
        <f aca="false">IF($C36="","",IF($D36="","★项目名称没填",IF(COUNTIF($E$5:$E$304,$E36)&gt;1,"★键重复",IF(AND($H36&lt;&gt;"",$I36&lt;&gt;"",$I36&lt;$H36),"★合同起止反了",IF(N($K36)=0,"★电梯资料里没有这个项目","OK")))))</f>
        <v/>
      </c>
    </row>
    <row r="37" customFormat="false" ht="15" hidden="false" customHeight="false" outlineLevel="0" collapsed="false">
      <c r="A37" s="29" t="str">
        <f aca="false">IF($C37="","",ROW()-4)</f>
        <v/>
      </c>
      <c r="B37" s="35" t="str">
        <f aca="false">IF($C37="","",IFERROR(INDEX(电梯片区,MATCH($E37,电梯键,0)),""))</f>
        <v/>
      </c>
      <c r="C37" s="24"/>
      <c r="D37" s="24"/>
      <c r="E37" s="30" t="str">
        <f aca="false">IF($C37="","",$C37&amp;" ｜ "&amp;$D37)</f>
        <v/>
      </c>
      <c r="F37" s="25"/>
      <c r="G37" s="25"/>
      <c r="H37" s="33"/>
      <c r="I37" s="33"/>
      <c r="J37" s="32"/>
      <c r="K37" s="38" t="str">
        <f aca="false">IF($C37="","",SUMIF(电梯键,$E37,电梯台量))</f>
        <v/>
      </c>
      <c r="L37" s="39"/>
      <c r="M37" s="25"/>
      <c r="N37" s="25"/>
      <c r="O37" s="38" t="str">
        <f aca="false">IF($C37="","",SUMIFS(电梯台量,电梯键,$E37,电梯状态,"安装免保")+SUMIFS(电梯台量,电梯键,$E37,电梯状态,"技术免保")+SUMIFS(电梯台量,电梯键,$E37,电梯状态,"质保期内"))</f>
        <v/>
      </c>
      <c r="P37" s="38" t="str">
        <f aca="false">IF($C37="","",$K37-$O37)</f>
        <v/>
      </c>
      <c r="Q37" s="34" t="str">
        <f aca="true">IF($C37="","",IF($G37="已终止","",IF($I37="","▲没填合同止期",IF($I37&lt;TODAY(),"已到期 "&amp;TEXT(TODAY()-$I37,"0")&amp;" 天",IF($I37-TODAY()&lt;=合同提醒天,"将到期 "&amp;TEXT($I37-TODAY(),"0")&amp;" 天","")))))</f>
        <v/>
      </c>
      <c r="R37" s="34" t="str">
        <f aca="false">IF($C37="","",IF($G37="","▲合同状态没选",IF(OR($G37="已签未回",$G37="未签",$G37="续签中"),"▲合同未回（"&amp;$G37&amp;"）","")))</f>
        <v/>
      </c>
      <c r="S37" s="35" t="str">
        <f aca="false">IF($C37="","",IF(N($J37)=N($K37),"一致","★合同"&amp;TEXT(N($J37),"0")&amp;"台 / 在册"&amp;TEXT(N($K37),"0")&amp;"台"))</f>
        <v/>
      </c>
      <c r="T37" s="40" t="str">
        <f aca="false">IF($C37="","",ROUND(SUMIFS(应收金额,应收键,$E37,应收年度,管理年度),2))</f>
        <v/>
      </c>
      <c r="U37" s="40" t="str">
        <f aca="false">IF($C37="","",ROUND(SUMIFS(收款金额,收款键,$E37,收款年度,管理年度),2))</f>
        <v/>
      </c>
      <c r="V37" s="41" t="str">
        <f aca="false">IF($C37="","",ROUND(SUMIF(应收键,$E37,应收金额)-SUMIF(收款键,$E37,收款金额),2))</f>
        <v/>
      </c>
      <c r="W37" s="24"/>
      <c r="X37" s="35" t="str">
        <f aca="false">IF($C37="","",IF($D37="","★项目名称没填",IF(COUNTIF($E$5:$E$304,$E37)&gt;1,"★键重复",IF(AND($H37&lt;&gt;"",$I37&lt;&gt;"",$I37&lt;$H37),"★合同起止反了",IF(N($K37)=0,"★电梯资料里没有这个项目","OK")))))</f>
        <v/>
      </c>
    </row>
    <row r="38" customFormat="false" ht="15" hidden="false" customHeight="false" outlineLevel="0" collapsed="false">
      <c r="A38" s="29" t="str">
        <f aca="false">IF($C38="","",ROW()-4)</f>
        <v/>
      </c>
      <c r="B38" s="35" t="str">
        <f aca="false">IF($C38="","",IFERROR(INDEX(电梯片区,MATCH($E38,电梯键,0)),""))</f>
        <v/>
      </c>
      <c r="C38" s="24"/>
      <c r="D38" s="24"/>
      <c r="E38" s="30" t="str">
        <f aca="false">IF($C38="","",$C38&amp;" ｜ "&amp;$D38)</f>
        <v/>
      </c>
      <c r="F38" s="25"/>
      <c r="G38" s="25"/>
      <c r="H38" s="33"/>
      <c r="I38" s="33"/>
      <c r="J38" s="32"/>
      <c r="K38" s="38" t="str">
        <f aca="false">IF($C38="","",SUMIF(电梯键,$E38,电梯台量))</f>
        <v/>
      </c>
      <c r="L38" s="39"/>
      <c r="M38" s="25"/>
      <c r="N38" s="25"/>
      <c r="O38" s="38" t="str">
        <f aca="false">IF($C38="","",SUMIFS(电梯台量,电梯键,$E38,电梯状态,"安装免保")+SUMIFS(电梯台量,电梯键,$E38,电梯状态,"技术免保")+SUMIFS(电梯台量,电梯键,$E38,电梯状态,"质保期内"))</f>
        <v/>
      </c>
      <c r="P38" s="38" t="str">
        <f aca="false">IF($C38="","",$K38-$O38)</f>
        <v/>
      </c>
      <c r="Q38" s="34" t="str">
        <f aca="true">IF($C38="","",IF($G38="已终止","",IF($I38="","▲没填合同止期",IF($I38&lt;TODAY(),"已到期 "&amp;TEXT(TODAY()-$I38,"0")&amp;" 天",IF($I38-TODAY()&lt;=合同提醒天,"将到期 "&amp;TEXT($I38-TODAY(),"0")&amp;" 天","")))))</f>
        <v/>
      </c>
      <c r="R38" s="34" t="str">
        <f aca="false">IF($C38="","",IF($G38="","▲合同状态没选",IF(OR($G38="已签未回",$G38="未签",$G38="续签中"),"▲合同未回（"&amp;$G38&amp;"）","")))</f>
        <v/>
      </c>
      <c r="S38" s="35" t="str">
        <f aca="false">IF($C38="","",IF(N($J38)=N($K38),"一致","★合同"&amp;TEXT(N($J38),"0")&amp;"台 / 在册"&amp;TEXT(N($K38),"0")&amp;"台"))</f>
        <v/>
      </c>
      <c r="T38" s="40" t="str">
        <f aca="false">IF($C38="","",ROUND(SUMIFS(应收金额,应收键,$E38,应收年度,管理年度),2))</f>
        <v/>
      </c>
      <c r="U38" s="40" t="str">
        <f aca="false">IF($C38="","",ROUND(SUMIFS(收款金额,收款键,$E38,收款年度,管理年度),2))</f>
        <v/>
      </c>
      <c r="V38" s="41" t="str">
        <f aca="false">IF($C38="","",ROUND(SUMIF(应收键,$E38,应收金额)-SUMIF(收款键,$E38,收款金额),2))</f>
        <v/>
      </c>
      <c r="W38" s="24"/>
      <c r="X38" s="35" t="str">
        <f aca="false">IF($C38="","",IF($D38="","★项目名称没填",IF(COUNTIF($E$5:$E$304,$E38)&gt;1,"★键重复",IF(AND($H38&lt;&gt;"",$I38&lt;&gt;"",$I38&lt;$H38),"★合同起止反了",IF(N($K38)=0,"★电梯资料里没有这个项目","OK")))))</f>
        <v/>
      </c>
    </row>
    <row r="39" customFormat="false" ht="15" hidden="false" customHeight="false" outlineLevel="0" collapsed="false">
      <c r="A39" s="29" t="str">
        <f aca="false">IF($C39="","",ROW()-4)</f>
        <v/>
      </c>
      <c r="B39" s="35" t="str">
        <f aca="false">IF($C39="","",IFERROR(INDEX(电梯片区,MATCH($E39,电梯键,0)),""))</f>
        <v/>
      </c>
      <c r="C39" s="24"/>
      <c r="D39" s="24"/>
      <c r="E39" s="30" t="str">
        <f aca="false">IF($C39="","",$C39&amp;" ｜ "&amp;$D39)</f>
        <v/>
      </c>
      <c r="F39" s="25"/>
      <c r="G39" s="25"/>
      <c r="H39" s="33"/>
      <c r="I39" s="33"/>
      <c r="J39" s="32"/>
      <c r="K39" s="38" t="str">
        <f aca="false">IF($C39="","",SUMIF(电梯键,$E39,电梯台量))</f>
        <v/>
      </c>
      <c r="L39" s="39"/>
      <c r="M39" s="25"/>
      <c r="N39" s="25"/>
      <c r="O39" s="38" t="str">
        <f aca="false">IF($C39="","",SUMIFS(电梯台量,电梯键,$E39,电梯状态,"安装免保")+SUMIFS(电梯台量,电梯键,$E39,电梯状态,"技术免保")+SUMIFS(电梯台量,电梯键,$E39,电梯状态,"质保期内"))</f>
        <v/>
      </c>
      <c r="P39" s="38" t="str">
        <f aca="false">IF($C39="","",$K39-$O39)</f>
        <v/>
      </c>
      <c r="Q39" s="34" t="str">
        <f aca="true">IF($C39="","",IF($G39="已终止","",IF($I39="","▲没填合同止期",IF($I39&lt;TODAY(),"已到期 "&amp;TEXT(TODAY()-$I39,"0")&amp;" 天",IF($I39-TODAY()&lt;=合同提醒天,"将到期 "&amp;TEXT($I39-TODAY(),"0")&amp;" 天","")))))</f>
        <v/>
      </c>
      <c r="R39" s="34" t="str">
        <f aca="false">IF($C39="","",IF($G39="","▲合同状态没选",IF(OR($G39="已签未回",$G39="未签",$G39="续签中"),"▲合同未回（"&amp;$G39&amp;"）","")))</f>
        <v/>
      </c>
      <c r="S39" s="35" t="str">
        <f aca="false">IF($C39="","",IF(N($J39)=N($K39),"一致","★合同"&amp;TEXT(N($J39),"0")&amp;"台 / 在册"&amp;TEXT(N($K39),"0")&amp;"台"))</f>
        <v/>
      </c>
      <c r="T39" s="40" t="str">
        <f aca="false">IF($C39="","",ROUND(SUMIFS(应收金额,应收键,$E39,应收年度,管理年度),2))</f>
        <v/>
      </c>
      <c r="U39" s="40" t="str">
        <f aca="false">IF($C39="","",ROUND(SUMIFS(收款金额,收款键,$E39,收款年度,管理年度),2))</f>
        <v/>
      </c>
      <c r="V39" s="41" t="str">
        <f aca="false">IF($C39="","",ROUND(SUMIF(应收键,$E39,应收金额)-SUMIF(收款键,$E39,收款金额),2))</f>
        <v/>
      </c>
      <c r="W39" s="24"/>
      <c r="X39" s="35" t="str">
        <f aca="false">IF($C39="","",IF($D39="","★项目名称没填",IF(COUNTIF($E$5:$E$304,$E39)&gt;1,"★键重复",IF(AND($H39&lt;&gt;"",$I39&lt;&gt;"",$I39&lt;$H39),"★合同起止反了",IF(N($K39)=0,"★电梯资料里没有这个项目","OK")))))</f>
        <v/>
      </c>
    </row>
    <row r="40" customFormat="false" ht="15" hidden="false" customHeight="false" outlineLevel="0" collapsed="false">
      <c r="A40" s="29" t="str">
        <f aca="false">IF($C40="","",ROW()-4)</f>
        <v/>
      </c>
      <c r="B40" s="35" t="str">
        <f aca="false">IF($C40="","",IFERROR(INDEX(电梯片区,MATCH($E40,电梯键,0)),""))</f>
        <v/>
      </c>
      <c r="C40" s="24"/>
      <c r="D40" s="24"/>
      <c r="E40" s="30" t="str">
        <f aca="false">IF($C40="","",$C40&amp;" ｜ "&amp;$D40)</f>
        <v/>
      </c>
      <c r="F40" s="25"/>
      <c r="G40" s="25"/>
      <c r="H40" s="33"/>
      <c r="I40" s="33"/>
      <c r="J40" s="32"/>
      <c r="K40" s="38" t="str">
        <f aca="false">IF($C40="","",SUMIF(电梯键,$E40,电梯台量))</f>
        <v/>
      </c>
      <c r="L40" s="39"/>
      <c r="M40" s="25"/>
      <c r="N40" s="25"/>
      <c r="O40" s="38" t="str">
        <f aca="false">IF($C40="","",SUMIFS(电梯台量,电梯键,$E40,电梯状态,"安装免保")+SUMIFS(电梯台量,电梯键,$E40,电梯状态,"技术免保")+SUMIFS(电梯台量,电梯键,$E40,电梯状态,"质保期内"))</f>
        <v/>
      </c>
      <c r="P40" s="38" t="str">
        <f aca="false">IF($C40="","",$K40-$O40)</f>
        <v/>
      </c>
      <c r="Q40" s="34" t="str">
        <f aca="true">IF($C40="","",IF($G40="已终止","",IF($I40="","▲没填合同止期",IF($I40&lt;TODAY(),"已到期 "&amp;TEXT(TODAY()-$I40,"0")&amp;" 天",IF($I40-TODAY()&lt;=合同提醒天,"将到期 "&amp;TEXT($I40-TODAY(),"0")&amp;" 天","")))))</f>
        <v/>
      </c>
      <c r="R40" s="34" t="str">
        <f aca="false">IF($C40="","",IF($G40="","▲合同状态没选",IF(OR($G40="已签未回",$G40="未签",$G40="续签中"),"▲合同未回（"&amp;$G40&amp;"）","")))</f>
        <v/>
      </c>
      <c r="S40" s="35" t="str">
        <f aca="false">IF($C40="","",IF(N($J40)=N($K40),"一致","★合同"&amp;TEXT(N($J40),"0")&amp;"台 / 在册"&amp;TEXT(N($K40),"0")&amp;"台"))</f>
        <v/>
      </c>
      <c r="T40" s="40" t="str">
        <f aca="false">IF($C40="","",ROUND(SUMIFS(应收金额,应收键,$E40,应收年度,管理年度),2))</f>
        <v/>
      </c>
      <c r="U40" s="40" t="str">
        <f aca="false">IF($C40="","",ROUND(SUMIFS(收款金额,收款键,$E40,收款年度,管理年度),2))</f>
        <v/>
      </c>
      <c r="V40" s="41" t="str">
        <f aca="false">IF($C40="","",ROUND(SUMIF(应收键,$E40,应收金额)-SUMIF(收款键,$E40,收款金额),2))</f>
        <v/>
      </c>
      <c r="W40" s="24"/>
      <c r="X40" s="35" t="str">
        <f aca="false">IF($C40="","",IF($D40="","★项目名称没填",IF(COUNTIF($E$5:$E$304,$E40)&gt;1,"★键重复",IF(AND($H40&lt;&gt;"",$I40&lt;&gt;"",$I40&lt;$H40),"★合同起止反了",IF(N($K40)=0,"★电梯资料里没有这个项目","OK")))))</f>
        <v/>
      </c>
    </row>
    <row r="41" customFormat="false" ht="15" hidden="false" customHeight="false" outlineLevel="0" collapsed="false">
      <c r="A41" s="29" t="str">
        <f aca="false">IF($C41="","",ROW()-4)</f>
        <v/>
      </c>
      <c r="B41" s="35" t="str">
        <f aca="false">IF($C41="","",IFERROR(INDEX(电梯片区,MATCH($E41,电梯键,0)),""))</f>
        <v/>
      </c>
      <c r="C41" s="24"/>
      <c r="D41" s="24"/>
      <c r="E41" s="30" t="str">
        <f aca="false">IF($C41="","",$C41&amp;" ｜ "&amp;$D41)</f>
        <v/>
      </c>
      <c r="F41" s="25"/>
      <c r="G41" s="25"/>
      <c r="H41" s="33"/>
      <c r="I41" s="33"/>
      <c r="J41" s="32"/>
      <c r="K41" s="38" t="str">
        <f aca="false">IF($C41="","",SUMIF(电梯键,$E41,电梯台量))</f>
        <v/>
      </c>
      <c r="L41" s="39"/>
      <c r="M41" s="25"/>
      <c r="N41" s="25"/>
      <c r="O41" s="38" t="str">
        <f aca="false">IF($C41="","",SUMIFS(电梯台量,电梯键,$E41,电梯状态,"安装免保")+SUMIFS(电梯台量,电梯键,$E41,电梯状态,"技术免保")+SUMIFS(电梯台量,电梯键,$E41,电梯状态,"质保期内"))</f>
        <v/>
      </c>
      <c r="P41" s="38" t="str">
        <f aca="false">IF($C41="","",$K41-$O41)</f>
        <v/>
      </c>
      <c r="Q41" s="34" t="str">
        <f aca="true">IF($C41="","",IF($G41="已终止","",IF($I41="","▲没填合同止期",IF($I41&lt;TODAY(),"已到期 "&amp;TEXT(TODAY()-$I41,"0")&amp;" 天",IF($I41-TODAY()&lt;=合同提醒天,"将到期 "&amp;TEXT($I41-TODAY(),"0")&amp;" 天","")))))</f>
        <v/>
      </c>
      <c r="R41" s="34" t="str">
        <f aca="false">IF($C41="","",IF($G41="","▲合同状态没选",IF(OR($G41="已签未回",$G41="未签",$G41="续签中"),"▲合同未回（"&amp;$G41&amp;"）","")))</f>
        <v/>
      </c>
      <c r="S41" s="35" t="str">
        <f aca="false">IF($C41="","",IF(N($J41)=N($K41),"一致","★合同"&amp;TEXT(N($J41),"0")&amp;"台 / 在册"&amp;TEXT(N($K41),"0")&amp;"台"))</f>
        <v/>
      </c>
      <c r="T41" s="40" t="str">
        <f aca="false">IF($C41="","",ROUND(SUMIFS(应收金额,应收键,$E41,应收年度,管理年度),2))</f>
        <v/>
      </c>
      <c r="U41" s="40" t="str">
        <f aca="false">IF($C41="","",ROUND(SUMIFS(收款金额,收款键,$E41,收款年度,管理年度),2))</f>
        <v/>
      </c>
      <c r="V41" s="41" t="str">
        <f aca="false">IF($C41="","",ROUND(SUMIF(应收键,$E41,应收金额)-SUMIF(收款键,$E41,收款金额),2))</f>
        <v/>
      </c>
      <c r="W41" s="24"/>
      <c r="X41" s="35" t="str">
        <f aca="false">IF($C41="","",IF($D41="","★项目名称没填",IF(COUNTIF($E$5:$E$304,$E41)&gt;1,"★键重复",IF(AND($H41&lt;&gt;"",$I41&lt;&gt;"",$I41&lt;$H41),"★合同起止反了",IF(N($K41)=0,"★电梯资料里没有这个项目","OK")))))</f>
        <v/>
      </c>
    </row>
    <row r="42" customFormat="false" ht="15" hidden="false" customHeight="false" outlineLevel="0" collapsed="false">
      <c r="A42" s="29" t="str">
        <f aca="false">IF($C42="","",ROW()-4)</f>
        <v/>
      </c>
      <c r="B42" s="35" t="str">
        <f aca="false">IF($C42="","",IFERROR(INDEX(电梯片区,MATCH($E42,电梯键,0)),""))</f>
        <v/>
      </c>
      <c r="C42" s="24"/>
      <c r="D42" s="24"/>
      <c r="E42" s="30" t="str">
        <f aca="false">IF($C42="","",$C42&amp;" ｜ "&amp;$D42)</f>
        <v/>
      </c>
      <c r="F42" s="25"/>
      <c r="G42" s="25"/>
      <c r="H42" s="33"/>
      <c r="I42" s="33"/>
      <c r="J42" s="32"/>
      <c r="K42" s="38" t="str">
        <f aca="false">IF($C42="","",SUMIF(电梯键,$E42,电梯台量))</f>
        <v/>
      </c>
      <c r="L42" s="39"/>
      <c r="M42" s="25"/>
      <c r="N42" s="25"/>
      <c r="O42" s="38" t="str">
        <f aca="false">IF($C42="","",SUMIFS(电梯台量,电梯键,$E42,电梯状态,"安装免保")+SUMIFS(电梯台量,电梯键,$E42,电梯状态,"技术免保")+SUMIFS(电梯台量,电梯键,$E42,电梯状态,"质保期内"))</f>
        <v/>
      </c>
      <c r="P42" s="38" t="str">
        <f aca="false">IF($C42="","",$K42-$O42)</f>
        <v/>
      </c>
      <c r="Q42" s="34" t="str">
        <f aca="true">IF($C42="","",IF($G42="已终止","",IF($I42="","▲没填合同止期",IF($I42&lt;TODAY(),"已到期 "&amp;TEXT(TODAY()-$I42,"0")&amp;" 天",IF($I42-TODAY()&lt;=合同提醒天,"将到期 "&amp;TEXT($I42-TODAY(),"0")&amp;" 天","")))))</f>
        <v/>
      </c>
      <c r="R42" s="34" t="str">
        <f aca="false">IF($C42="","",IF($G42="","▲合同状态没选",IF(OR($G42="已签未回",$G42="未签",$G42="续签中"),"▲合同未回（"&amp;$G42&amp;"）","")))</f>
        <v/>
      </c>
      <c r="S42" s="35" t="str">
        <f aca="false">IF($C42="","",IF(N($J42)=N($K42),"一致","★合同"&amp;TEXT(N($J42),"0")&amp;"台 / 在册"&amp;TEXT(N($K42),"0")&amp;"台"))</f>
        <v/>
      </c>
      <c r="T42" s="40" t="str">
        <f aca="false">IF($C42="","",ROUND(SUMIFS(应收金额,应收键,$E42,应收年度,管理年度),2))</f>
        <v/>
      </c>
      <c r="U42" s="40" t="str">
        <f aca="false">IF($C42="","",ROUND(SUMIFS(收款金额,收款键,$E42,收款年度,管理年度),2))</f>
        <v/>
      </c>
      <c r="V42" s="41" t="str">
        <f aca="false">IF($C42="","",ROUND(SUMIF(应收键,$E42,应收金额)-SUMIF(收款键,$E42,收款金额),2))</f>
        <v/>
      </c>
      <c r="W42" s="24"/>
      <c r="X42" s="35" t="str">
        <f aca="false">IF($C42="","",IF($D42="","★项目名称没填",IF(COUNTIF($E$5:$E$304,$E42)&gt;1,"★键重复",IF(AND($H42&lt;&gt;"",$I42&lt;&gt;"",$I42&lt;$H42),"★合同起止反了",IF(N($K42)=0,"★电梯资料里没有这个项目","OK")))))</f>
        <v/>
      </c>
    </row>
    <row r="43" customFormat="false" ht="15" hidden="false" customHeight="false" outlineLevel="0" collapsed="false">
      <c r="A43" s="29" t="str">
        <f aca="false">IF($C43="","",ROW()-4)</f>
        <v/>
      </c>
      <c r="B43" s="35" t="str">
        <f aca="false">IF($C43="","",IFERROR(INDEX(电梯片区,MATCH($E43,电梯键,0)),""))</f>
        <v/>
      </c>
      <c r="C43" s="24"/>
      <c r="D43" s="24"/>
      <c r="E43" s="30" t="str">
        <f aca="false">IF($C43="","",$C43&amp;" ｜ "&amp;$D43)</f>
        <v/>
      </c>
      <c r="F43" s="25"/>
      <c r="G43" s="25"/>
      <c r="H43" s="33"/>
      <c r="I43" s="33"/>
      <c r="J43" s="32"/>
      <c r="K43" s="38" t="str">
        <f aca="false">IF($C43="","",SUMIF(电梯键,$E43,电梯台量))</f>
        <v/>
      </c>
      <c r="L43" s="39"/>
      <c r="M43" s="25"/>
      <c r="N43" s="25"/>
      <c r="O43" s="38" t="str">
        <f aca="false">IF($C43="","",SUMIFS(电梯台量,电梯键,$E43,电梯状态,"安装免保")+SUMIFS(电梯台量,电梯键,$E43,电梯状态,"技术免保")+SUMIFS(电梯台量,电梯键,$E43,电梯状态,"质保期内"))</f>
        <v/>
      </c>
      <c r="P43" s="38" t="str">
        <f aca="false">IF($C43="","",$K43-$O43)</f>
        <v/>
      </c>
      <c r="Q43" s="34" t="str">
        <f aca="true">IF($C43="","",IF($G43="已终止","",IF($I43="","▲没填合同止期",IF($I43&lt;TODAY(),"已到期 "&amp;TEXT(TODAY()-$I43,"0")&amp;" 天",IF($I43-TODAY()&lt;=合同提醒天,"将到期 "&amp;TEXT($I43-TODAY(),"0")&amp;" 天","")))))</f>
        <v/>
      </c>
      <c r="R43" s="34" t="str">
        <f aca="false">IF($C43="","",IF($G43="","▲合同状态没选",IF(OR($G43="已签未回",$G43="未签",$G43="续签中"),"▲合同未回（"&amp;$G43&amp;"）","")))</f>
        <v/>
      </c>
      <c r="S43" s="35" t="str">
        <f aca="false">IF($C43="","",IF(N($J43)=N($K43),"一致","★合同"&amp;TEXT(N($J43),"0")&amp;"台 / 在册"&amp;TEXT(N($K43),"0")&amp;"台"))</f>
        <v/>
      </c>
      <c r="T43" s="40" t="str">
        <f aca="false">IF($C43="","",ROUND(SUMIFS(应收金额,应收键,$E43,应收年度,管理年度),2))</f>
        <v/>
      </c>
      <c r="U43" s="40" t="str">
        <f aca="false">IF($C43="","",ROUND(SUMIFS(收款金额,收款键,$E43,收款年度,管理年度),2))</f>
        <v/>
      </c>
      <c r="V43" s="41" t="str">
        <f aca="false">IF($C43="","",ROUND(SUMIF(应收键,$E43,应收金额)-SUMIF(收款键,$E43,收款金额),2))</f>
        <v/>
      </c>
      <c r="W43" s="24"/>
      <c r="X43" s="35" t="str">
        <f aca="false">IF($C43="","",IF($D43="","★项目名称没填",IF(COUNTIF($E$5:$E$304,$E43)&gt;1,"★键重复",IF(AND($H43&lt;&gt;"",$I43&lt;&gt;"",$I43&lt;$H43),"★合同起止反了",IF(N($K43)=0,"★电梯资料里没有这个项目","OK")))))</f>
        <v/>
      </c>
    </row>
    <row r="44" customFormat="false" ht="15" hidden="false" customHeight="false" outlineLevel="0" collapsed="false">
      <c r="A44" s="29" t="str">
        <f aca="false">IF($C44="","",ROW()-4)</f>
        <v/>
      </c>
      <c r="B44" s="35" t="str">
        <f aca="false">IF($C44="","",IFERROR(INDEX(电梯片区,MATCH($E44,电梯键,0)),""))</f>
        <v/>
      </c>
      <c r="C44" s="24"/>
      <c r="D44" s="24"/>
      <c r="E44" s="30" t="str">
        <f aca="false">IF($C44="","",$C44&amp;" ｜ "&amp;$D44)</f>
        <v/>
      </c>
      <c r="F44" s="25"/>
      <c r="G44" s="25"/>
      <c r="H44" s="33"/>
      <c r="I44" s="33"/>
      <c r="J44" s="32"/>
      <c r="K44" s="38" t="str">
        <f aca="false">IF($C44="","",SUMIF(电梯键,$E44,电梯台量))</f>
        <v/>
      </c>
      <c r="L44" s="39"/>
      <c r="M44" s="25"/>
      <c r="N44" s="25"/>
      <c r="O44" s="38" t="str">
        <f aca="false">IF($C44="","",SUMIFS(电梯台量,电梯键,$E44,电梯状态,"安装免保")+SUMIFS(电梯台量,电梯键,$E44,电梯状态,"技术免保")+SUMIFS(电梯台量,电梯键,$E44,电梯状态,"质保期内"))</f>
        <v/>
      </c>
      <c r="P44" s="38" t="str">
        <f aca="false">IF($C44="","",$K44-$O44)</f>
        <v/>
      </c>
      <c r="Q44" s="34" t="str">
        <f aca="true">IF($C44="","",IF($G44="已终止","",IF($I44="","▲没填合同止期",IF($I44&lt;TODAY(),"已到期 "&amp;TEXT(TODAY()-$I44,"0")&amp;" 天",IF($I44-TODAY()&lt;=合同提醒天,"将到期 "&amp;TEXT($I44-TODAY(),"0")&amp;" 天","")))))</f>
        <v/>
      </c>
      <c r="R44" s="34" t="str">
        <f aca="false">IF($C44="","",IF($G44="","▲合同状态没选",IF(OR($G44="已签未回",$G44="未签",$G44="续签中"),"▲合同未回（"&amp;$G44&amp;"）","")))</f>
        <v/>
      </c>
      <c r="S44" s="35" t="str">
        <f aca="false">IF($C44="","",IF(N($J44)=N($K44),"一致","★合同"&amp;TEXT(N($J44),"0")&amp;"台 / 在册"&amp;TEXT(N($K44),"0")&amp;"台"))</f>
        <v/>
      </c>
      <c r="T44" s="40" t="str">
        <f aca="false">IF($C44="","",ROUND(SUMIFS(应收金额,应收键,$E44,应收年度,管理年度),2))</f>
        <v/>
      </c>
      <c r="U44" s="40" t="str">
        <f aca="false">IF($C44="","",ROUND(SUMIFS(收款金额,收款键,$E44,收款年度,管理年度),2))</f>
        <v/>
      </c>
      <c r="V44" s="41" t="str">
        <f aca="false">IF($C44="","",ROUND(SUMIF(应收键,$E44,应收金额)-SUMIF(收款键,$E44,收款金额),2))</f>
        <v/>
      </c>
      <c r="W44" s="24"/>
      <c r="X44" s="35" t="str">
        <f aca="false">IF($C44="","",IF($D44="","★项目名称没填",IF(COUNTIF($E$5:$E$304,$E44)&gt;1,"★键重复",IF(AND($H44&lt;&gt;"",$I44&lt;&gt;"",$I44&lt;$H44),"★合同起止反了",IF(N($K44)=0,"★电梯资料里没有这个项目","OK")))))</f>
        <v/>
      </c>
    </row>
    <row r="45" customFormat="false" ht="15" hidden="false" customHeight="false" outlineLevel="0" collapsed="false">
      <c r="A45" s="29" t="str">
        <f aca="false">IF($C45="","",ROW()-4)</f>
        <v/>
      </c>
      <c r="B45" s="35" t="str">
        <f aca="false">IF($C45="","",IFERROR(INDEX(电梯片区,MATCH($E45,电梯键,0)),""))</f>
        <v/>
      </c>
      <c r="C45" s="24"/>
      <c r="D45" s="24"/>
      <c r="E45" s="30" t="str">
        <f aca="false">IF($C45="","",$C45&amp;" ｜ "&amp;$D45)</f>
        <v/>
      </c>
      <c r="F45" s="25"/>
      <c r="G45" s="25"/>
      <c r="H45" s="33"/>
      <c r="I45" s="33"/>
      <c r="J45" s="32"/>
      <c r="K45" s="38" t="str">
        <f aca="false">IF($C45="","",SUMIF(电梯键,$E45,电梯台量))</f>
        <v/>
      </c>
      <c r="L45" s="39"/>
      <c r="M45" s="25"/>
      <c r="N45" s="25"/>
      <c r="O45" s="38" t="str">
        <f aca="false">IF($C45="","",SUMIFS(电梯台量,电梯键,$E45,电梯状态,"安装免保")+SUMIFS(电梯台量,电梯键,$E45,电梯状态,"技术免保")+SUMIFS(电梯台量,电梯键,$E45,电梯状态,"质保期内"))</f>
        <v/>
      </c>
      <c r="P45" s="38" t="str">
        <f aca="false">IF($C45="","",$K45-$O45)</f>
        <v/>
      </c>
      <c r="Q45" s="34" t="str">
        <f aca="true">IF($C45="","",IF($G45="已终止","",IF($I45="","▲没填合同止期",IF($I45&lt;TODAY(),"已到期 "&amp;TEXT(TODAY()-$I45,"0")&amp;" 天",IF($I45-TODAY()&lt;=合同提醒天,"将到期 "&amp;TEXT($I45-TODAY(),"0")&amp;" 天","")))))</f>
        <v/>
      </c>
      <c r="R45" s="34" t="str">
        <f aca="false">IF($C45="","",IF($G45="","▲合同状态没选",IF(OR($G45="已签未回",$G45="未签",$G45="续签中"),"▲合同未回（"&amp;$G45&amp;"）","")))</f>
        <v/>
      </c>
      <c r="S45" s="35" t="str">
        <f aca="false">IF($C45="","",IF(N($J45)=N($K45),"一致","★合同"&amp;TEXT(N($J45),"0")&amp;"台 / 在册"&amp;TEXT(N($K45),"0")&amp;"台"))</f>
        <v/>
      </c>
      <c r="T45" s="40" t="str">
        <f aca="false">IF($C45="","",ROUND(SUMIFS(应收金额,应收键,$E45,应收年度,管理年度),2))</f>
        <v/>
      </c>
      <c r="U45" s="40" t="str">
        <f aca="false">IF($C45="","",ROUND(SUMIFS(收款金额,收款键,$E45,收款年度,管理年度),2))</f>
        <v/>
      </c>
      <c r="V45" s="41" t="str">
        <f aca="false">IF($C45="","",ROUND(SUMIF(应收键,$E45,应收金额)-SUMIF(收款键,$E45,收款金额),2))</f>
        <v/>
      </c>
      <c r="W45" s="24"/>
      <c r="X45" s="35" t="str">
        <f aca="false">IF($C45="","",IF($D45="","★项目名称没填",IF(COUNTIF($E$5:$E$304,$E45)&gt;1,"★键重复",IF(AND($H45&lt;&gt;"",$I45&lt;&gt;"",$I45&lt;$H45),"★合同起止反了",IF(N($K45)=0,"★电梯资料里没有这个项目","OK")))))</f>
        <v/>
      </c>
    </row>
    <row r="46" customFormat="false" ht="15" hidden="false" customHeight="false" outlineLevel="0" collapsed="false">
      <c r="A46" s="29" t="str">
        <f aca="false">IF($C46="","",ROW()-4)</f>
        <v/>
      </c>
      <c r="B46" s="35" t="str">
        <f aca="false">IF($C46="","",IFERROR(INDEX(电梯片区,MATCH($E46,电梯键,0)),""))</f>
        <v/>
      </c>
      <c r="C46" s="24"/>
      <c r="D46" s="24"/>
      <c r="E46" s="30" t="str">
        <f aca="false">IF($C46="","",$C46&amp;" ｜ "&amp;$D46)</f>
        <v/>
      </c>
      <c r="F46" s="25"/>
      <c r="G46" s="25"/>
      <c r="H46" s="33"/>
      <c r="I46" s="33"/>
      <c r="J46" s="32"/>
      <c r="K46" s="38" t="str">
        <f aca="false">IF($C46="","",SUMIF(电梯键,$E46,电梯台量))</f>
        <v/>
      </c>
      <c r="L46" s="39"/>
      <c r="M46" s="25"/>
      <c r="N46" s="25"/>
      <c r="O46" s="38" t="str">
        <f aca="false">IF($C46="","",SUMIFS(电梯台量,电梯键,$E46,电梯状态,"安装免保")+SUMIFS(电梯台量,电梯键,$E46,电梯状态,"技术免保")+SUMIFS(电梯台量,电梯键,$E46,电梯状态,"质保期内"))</f>
        <v/>
      </c>
      <c r="P46" s="38" t="str">
        <f aca="false">IF($C46="","",$K46-$O46)</f>
        <v/>
      </c>
      <c r="Q46" s="34" t="str">
        <f aca="true">IF($C46="","",IF($G46="已终止","",IF($I46="","▲没填合同止期",IF($I46&lt;TODAY(),"已到期 "&amp;TEXT(TODAY()-$I46,"0")&amp;" 天",IF($I46-TODAY()&lt;=合同提醒天,"将到期 "&amp;TEXT($I46-TODAY(),"0")&amp;" 天","")))))</f>
        <v/>
      </c>
      <c r="R46" s="34" t="str">
        <f aca="false">IF($C46="","",IF($G46="","▲合同状态没选",IF(OR($G46="已签未回",$G46="未签",$G46="续签中"),"▲合同未回（"&amp;$G46&amp;"）","")))</f>
        <v/>
      </c>
      <c r="S46" s="35" t="str">
        <f aca="false">IF($C46="","",IF(N($J46)=N($K46),"一致","★合同"&amp;TEXT(N($J46),"0")&amp;"台 / 在册"&amp;TEXT(N($K46),"0")&amp;"台"))</f>
        <v/>
      </c>
      <c r="T46" s="40" t="str">
        <f aca="false">IF($C46="","",ROUND(SUMIFS(应收金额,应收键,$E46,应收年度,管理年度),2))</f>
        <v/>
      </c>
      <c r="U46" s="40" t="str">
        <f aca="false">IF($C46="","",ROUND(SUMIFS(收款金额,收款键,$E46,收款年度,管理年度),2))</f>
        <v/>
      </c>
      <c r="V46" s="41" t="str">
        <f aca="false">IF($C46="","",ROUND(SUMIF(应收键,$E46,应收金额)-SUMIF(收款键,$E46,收款金额),2))</f>
        <v/>
      </c>
      <c r="W46" s="24"/>
      <c r="X46" s="35" t="str">
        <f aca="false">IF($C46="","",IF($D46="","★项目名称没填",IF(COUNTIF($E$5:$E$304,$E46)&gt;1,"★键重复",IF(AND($H46&lt;&gt;"",$I46&lt;&gt;"",$I46&lt;$H46),"★合同起止反了",IF(N($K46)=0,"★电梯资料里没有这个项目","OK")))))</f>
        <v/>
      </c>
    </row>
    <row r="47" customFormat="false" ht="15" hidden="false" customHeight="false" outlineLevel="0" collapsed="false">
      <c r="A47" s="29" t="str">
        <f aca="false">IF($C47="","",ROW()-4)</f>
        <v/>
      </c>
      <c r="B47" s="35" t="str">
        <f aca="false">IF($C47="","",IFERROR(INDEX(电梯片区,MATCH($E47,电梯键,0)),""))</f>
        <v/>
      </c>
      <c r="C47" s="24"/>
      <c r="D47" s="24"/>
      <c r="E47" s="30" t="str">
        <f aca="false">IF($C47="","",$C47&amp;" ｜ "&amp;$D47)</f>
        <v/>
      </c>
      <c r="F47" s="25"/>
      <c r="G47" s="25"/>
      <c r="H47" s="33"/>
      <c r="I47" s="33"/>
      <c r="J47" s="32"/>
      <c r="K47" s="38" t="str">
        <f aca="false">IF($C47="","",SUMIF(电梯键,$E47,电梯台量))</f>
        <v/>
      </c>
      <c r="L47" s="39"/>
      <c r="M47" s="25"/>
      <c r="N47" s="25"/>
      <c r="O47" s="38" t="str">
        <f aca="false">IF($C47="","",SUMIFS(电梯台量,电梯键,$E47,电梯状态,"安装免保")+SUMIFS(电梯台量,电梯键,$E47,电梯状态,"技术免保")+SUMIFS(电梯台量,电梯键,$E47,电梯状态,"质保期内"))</f>
        <v/>
      </c>
      <c r="P47" s="38" t="str">
        <f aca="false">IF($C47="","",$K47-$O47)</f>
        <v/>
      </c>
      <c r="Q47" s="34" t="str">
        <f aca="true">IF($C47="","",IF($G47="已终止","",IF($I47="","▲没填合同止期",IF($I47&lt;TODAY(),"已到期 "&amp;TEXT(TODAY()-$I47,"0")&amp;" 天",IF($I47-TODAY()&lt;=合同提醒天,"将到期 "&amp;TEXT($I47-TODAY(),"0")&amp;" 天","")))))</f>
        <v/>
      </c>
      <c r="R47" s="34" t="str">
        <f aca="false">IF($C47="","",IF($G47="","▲合同状态没选",IF(OR($G47="已签未回",$G47="未签",$G47="续签中"),"▲合同未回（"&amp;$G47&amp;"）","")))</f>
        <v/>
      </c>
      <c r="S47" s="35" t="str">
        <f aca="false">IF($C47="","",IF(N($J47)=N($K47),"一致","★合同"&amp;TEXT(N($J47),"0")&amp;"台 / 在册"&amp;TEXT(N($K47),"0")&amp;"台"))</f>
        <v/>
      </c>
      <c r="T47" s="40" t="str">
        <f aca="false">IF($C47="","",ROUND(SUMIFS(应收金额,应收键,$E47,应收年度,管理年度),2))</f>
        <v/>
      </c>
      <c r="U47" s="40" t="str">
        <f aca="false">IF($C47="","",ROUND(SUMIFS(收款金额,收款键,$E47,收款年度,管理年度),2))</f>
        <v/>
      </c>
      <c r="V47" s="41" t="str">
        <f aca="false">IF($C47="","",ROUND(SUMIF(应收键,$E47,应收金额)-SUMIF(收款键,$E47,收款金额),2))</f>
        <v/>
      </c>
      <c r="W47" s="24"/>
      <c r="X47" s="35" t="str">
        <f aca="false">IF($C47="","",IF($D47="","★项目名称没填",IF(COUNTIF($E$5:$E$304,$E47)&gt;1,"★键重复",IF(AND($H47&lt;&gt;"",$I47&lt;&gt;"",$I47&lt;$H47),"★合同起止反了",IF(N($K47)=0,"★电梯资料里没有这个项目","OK")))))</f>
        <v/>
      </c>
    </row>
    <row r="48" customFormat="false" ht="15" hidden="false" customHeight="false" outlineLevel="0" collapsed="false">
      <c r="A48" s="29" t="str">
        <f aca="false">IF($C48="","",ROW()-4)</f>
        <v/>
      </c>
      <c r="B48" s="35" t="str">
        <f aca="false">IF($C48="","",IFERROR(INDEX(电梯片区,MATCH($E48,电梯键,0)),""))</f>
        <v/>
      </c>
      <c r="C48" s="24"/>
      <c r="D48" s="24"/>
      <c r="E48" s="30" t="str">
        <f aca="false">IF($C48="","",$C48&amp;" ｜ "&amp;$D48)</f>
        <v/>
      </c>
      <c r="F48" s="25"/>
      <c r="G48" s="25"/>
      <c r="H48" s="33"/>
      <c r="I48" s="33"/>
      <c r="J48" s="32"/>
      <c r="K48" s="38" t="str">
        <f aca="false">IF($C48="","",SUMIF(电梯键,$E48,电梯台量))</f>
        <v/>
      </c>
      <c r="L48" s="39"/>
      <c r="M48" s="25"/>
      <c r="N48" s="25"/>
      <c r="O48" s="38" t="str">
        <f aca="false">IF($C48="","",SUMIFS(电梯台量,电梯键,$E48,电梯状态,"安装免保")+SUMIFS(电梯台量,电梯键,$E48,电梯状态,"技术免保")+SUMIFS(电梯台量,电梯键,$E48,电梯状态,"质保期内"))</f>
        <v/>
      </c>
      <c r="P48" s="38" t="str">
        <f aca="false">IF($C48="","",$K48-$O48)</f>
        <v/>
      </c>
      <c r="Q48" s="34" t="str">
        <f aca="true">IF($C48="","",IF($G48="已终止","",IF($I48="","▲没填合同止期",IF($I48&lt;TODAY(),"已到期 "&amp;TEXT(TODAY()-$I48,"0")&amp;" 天",IF($I48-TODAY()&lt;=合同提醒天,"将到期 "&amp;TEXT($I48-TODAY(),"0")&amp;" 天","")))))</f>
        <v/>
      </c>
      <c r="R48" s="34" t="str">
        <f aca="false">IF($C48="","",IF($G48="","▲合同状态没选",IF(OR($G48="已签未回",$G48="未签",$G48="续签中"),"▲合同未回（"&amp;$G48&amp;"）","")))</f>
        <v/>
      </c>
      <c r="S48" s="35" t="str">
        <f aca="false">IF($C48="","",IF(N($J48)=N($K48),"一致","★合同"&amp;TEXT(N($J48),"0")&amp;"台 / 在册"&amp;TEXT(N($K48),"0")&amp;"台"))</f>
        <v/>
      </c>
      <c r="T48" s="40" t="str">
        <f aca="false">IF($C48="","",ROUND(SUMIFS(应收金额,应收键,$E48,应收年度,管理年度),2))</f>
        <v/>
      </c>
      <c r="U48" s="40" t="str">
        <f aca="false">IF($C48="","",ROUND(SUMIFS(收款金额,收款键,$E48,收款年度,管理年度),2))</f>
        <v/>
      </c>
      <c r="V48" s="41" t="str">
        <f aca="false">IF($C48="","",ROUND(SUMIF(应收键,$E48,应收金额)-SUMIF(收款键,$E48,收款金额),2))</f>
        <v/>
      </c>
      <c r="W48" s="24"/>
      <c r="X48" s="35" t="str">
        <f aca="false">IF($C48="","",IF($D48="","★项目名称没填",IF(COUNTIF($E$5:$E$304,$E48)&gt;1,"★键重复",IF(AND($H48&lt;&gt;"",$I48&lt;&gt;"",$I48&lt;$H48),"★合同起止反了",IF(N($K48)=0,"★电梯资料里没有这个项目","OK")))))</f>
        <v/>
      </c>
    </row>
    <row r="49" customFormat="false" ht="15" hidden="false" customHeight="false" outlineLevel="0" collapsed="false">
      <c r="A49" s="29" t="str">
        <f aca="false">IF($C49="","",ROW()-4)</f>
        <v/>
      </c>
      <c r="B49" s="35" t="str">
        <f aca="false">IF($C49="","",IFERROR(INDEX(电梯片区,MATCH($E49,电梯键,0)),""))</f>
        <v/>
      </c>
      <c r="C49" s="24"/>
      <c r="D49" s="24"/>
      <c r="E49" s="30" t="str">
        <f aca="false">IF($C49="","",$C49&amp;" ｜ "&amp;$D49)</f>
        <v/>
      </c>
      <c r="F49" s="25"/>
      <c r="G49" s="25"/>
      <c r="H49" s="33"/>
      <c r="I49" s="33"/>
      <c r="J49" s="32"/>
      <c r="K49" s="38" t="str">
        <f aca="false">IF($C49="","",SUMIF(电梯键,$E49,电梯台量))</f>
        <v/>
      </c>
      <c r="L49" s="39"/>
      <c r="M49" s="25"/>
      <c r="N49" s="25"/>
      <c r="O49" s="38" t="str">
        <f aca="false">IF($C49="","",SUMIFS(电梯台量,电梯键,$E49,电梯状态,"安装免保")+SUMIFS(电梯台量,电梯键,$E49,电梯状态,"技术免保")+SUMIFS(电梯台量,电梯键,$E49,电梯状态,"质保期内"))</f>
        <v/>
      </c>
      <c r="P49" s="38" t="str">
        <f aca="false">IF($C49="","",$K49-$O49)</f>
        <v/>
      </c>
      <c r="Q49" s="34" t="str">
        <f aca="true">IF($C49="","",IF($G49="已终止","",IF($I49="","▲没填合同止期",IF($I49&lt;TODAY(),"已到期 "&amp;TEXT(TODAY()-$I49,"0")&amp;" 天",IF($I49-TODAY()&lt;=合同提醒天,"将到期 "&amp;TEXT($I49-TODAY(),"0")&amp;" 天","")))))</f>
        <v/>
      </c>
      <c r="R49" s="34" t="str">
        <f aca="false">IF($C49="","",IF($G49="","▲合同状态没选",IF(OR($G49="已签未回",$G49="未签",$G49="续签中"),"▲合同未回（"&amp;$G49&amp;"）","")))</f>
        <v/>
      </c>
      <c r="S49" s="35" t="str">
        <f aca="false">IF($C49="","",IF(N($J49)=N($K49),"一致","★合同"&amp;TEXT(N($J49),"0")&amp;"台 / 在册"&amp;TEXT(N($K49),"0")&amp;"台"))</f>
        <v/>
      </c>
      <c r="T49" s="40" t="str">
        <f aca="false">IF($C49="","",ROUND(SUMIFS(应收金额,应收键,$E49,应收年度,管理年度),2))</f>
        <v/>
      </c>
      <c r="U49" s="40" t="str">
        <f aca="false">IF($C49="","",ROUND(SUMIFS(收款金额,收款键,$E49,收款年度,管理年度),2))</f>
        <v/>
      </c>
      <c r="V49" s="41" t="str">
        <f aca="false">IF($C49="","",ROUND(SUMIF(应收键,$E49,应收金额)-SUMIF(收款键,$E49,收款金额),2))</f>
        <v/>
      </c>
      <c r="W49" s="24"/>
      <c r="X49" s="35" t="str">
        <f aca="false">IF($C49="","",IF($D49="","★项目名称没填",IF(COUNTIF($E$5:$E$304,$E49)&gt;1,"★键重复",IF(AND($H49&lt;&gt;"",$I49&lt;&gt;"",$I49&lt;$H49),"★合同起止反了",IF(N($K49)=0,"★电梯资料里没有这个项目","OK")))))</f>
        <v/>
      </c>
    </row>
    <row r="50" customFormat="false" ht="15" hidden="false" customHeight="false" outlineLevel="0" collapsed="false">
      <c r="A50" s="29" t="str">
        <f aca="false">IF($C50="","",ROW()-4)</f>
        <v/>
      </c>
      <c r="B50" s="35" t="str">
        <f aca="false">IF($C50="","",IFERROR(INDEX(电梯片区,MATCH($E50,电梯键,0)),""))</f>
        <v/>
      </c>
      <c r="C50" s="24"/>
      <c r="D50" s="24"/>
      <c r="E50" s="30" t="str">
        <f aca="false">IF($C50="","",$C50&amp;" ｜ "&amp;$D50)</f>
        <v/>
      </c>
      <c r="F50" s="25"/>
      <c r="G50" s="25"/>
      <c r="H50" s="33"/>
      <c r="I50" s="33"/>
      <c r="J50" s="32"/>
      <c r="K50" s="38" t="str">
        <f aca="false">IF($C50="","",SUMIF(电梯键,$E50,电梯台量))</f>
        <v/>
      </c>
      <c r="L50" s="39"/>
      <c r="M50" s="25"/>
      <c r="N50" s="25"/>
      <c r="O50" s="38" t="str">
        <f aca="false">IF($C50="","",SUMIFS(电梯台量,电梯键,$E50,电梯状态,"安装免保")+SUMIFS(电梯台量,电梯键,$E50,电梯状态,"技术免保")+SUMIFS(电梯台量,电梯键,$E50,电梯状态,"质保期内"))</f>
        <v/>
      </c>
      <c r="P50" s="38" t="str">
        <f aca="false">IF($C50="","",$K50-$O50)</f>
        <v/>
      </c>
      <c r="Q50" s="34" t="str">
        <f aca="true">IF($C50="","",IF($G50="已终止","",IF($I50="","▲没填合同止期",IF($I50&lt;TODAY(),"已到期 "&amp;TEXT(TODAY()-$I50,"0")&amp;" 天",IF($I50-TODAY()&lt;=合同提醒天,"将到期 "&amp;TEXT($I50-TODAY(),"0")&amp;" 天","")))))</f>
        <v/>
      </c>
      <c r="R50" s="34" t="str">
        <f aca="false">IF($C50="","",IF($G50="","▲合同状态没选",IF(OR($G50="已签未回",$G50="未签",$G50="续签中"),"▲合同未回（"&amp;$G50&amp;"）","")))</f>
        <v/>
      </c>
      <c r="S50" s="35" t="str">
        <f aca="false">IF($C50="","",IF(N($J50)=N($K50),"一致","★合同"&amp;TEXT(N($J50),"0")&amp;"台 / 在册"&amp;TEXT(N($K50),"0")&amp;"台"))</f>
        <v/>
      </c>
      <c r="T50" s="40" t="str">
        <f aca="false">IF($C50="","",ROUND(SUMIFS(应收金额,应收键,$E50,应收年度,管理年度),2))</f>
        <v/>
      </c>
      <c r="U50" s="40" t="str">
        <f aca="false">IF($C50="","",ROUND(SUMIFS(收款金额,收款键,$E50,收款年度,管理年度),2))</f>
        <v/>
      </c>
      <c r="V50" s="41" t="str">
        <f aca="false">IF($C50="","",ROUND(SUMIF(应收键,$E50,应收金额)-SUMIF(收款键,$E50,收款金额),2))</f>
        <v/>
      </c>
      <c r="W50" s="24"/>
      <c r="X50" s="35" t="str">
        <f aca="false">IF($C50="","",IF($D50="","★项目名称没填",IF(COUNTIF($E$5:$E$304,$E50)&gt;1,"★键重复",IF(AND($H50&lt;&gt;"",$I50&lt;&gt;"",$I50&lt;$H50),"★合同起止反了",IF(N($K50)=0,"★电梯资料里没有这个项目","OK")))))</f>
        <v/>
      </c>
    </row>
    <row r="51" customFormat="false" ht="15" hidden="false" customHeight="false" outlineLevel="0" collapsed="false">
      <c r="A51" s="29" t="str">
        <f aca="false">IF($C51="","",ROW()-4)</f>
        <v/>
      </c>
      <c r="B51" s="35" t="str">
        <f aca="false">IF($C51="","",IFERROR(INDEX(电梯片区,MATCH($E51,电梯键,0)),""))</f>
        <v/>
      </c>
      <c r="C51" s="24"/>
      <c r="D51" s="24"/>
      <c r="E51" s="30" t="str">
        <f aca="false">IF($C51="","",$C51&amp;" ｜ "&amp;$D51)</f>
        <v/>
      </c>
      <c r="F51" s="25"/>
      <c r="G51" s="25"/>
      <c r="H51" s="33"/>
      <c r="I51" s="33"/>
      <c r="J51" s="32"/>
      <c r="K51" s="38" t="str">
        <f aca="false">IF($C51="","",SUMIF(电梯键,$E51,电梯台量))</f>
        <v/>
      </c>
      <c r="L51" s="39"/>
      <c r="M51" s="25"/>
      <c r="N51" s="25"/>
      <c r="O51" s="38" t="str">
        <f aca="false">IF($C51="","",SUMIFS(电梯台量,电梯键,$E51,电梯状态,"安装免保")+SUMIFS(电梯台量,电梯键,$E51,电梯状态,"技术免保")+SUMIFS(电梯台量,电梯键,$E51,电梯状态,"质保期内"))</f>
        <v/>
      </c>
      <c r="P51" s="38" t="str">
        <f aca="false">IF($C51="","",$K51-$O51)</f>
        <v/>
      </c>
      <c r="Q51" s="34" t="str">
        <f aca="true">IF($C51="","",IF($G51="已终止","",IF($I51="","▲没填合同止期",IF($I51&lt;TODAY(),"已到期 "&amp;TEXT(TODAY()-$I51,"0")&amp;" 天",IF($I51-TODAY()&lt;=合同提醒天,"将到期 "&amp;TEXT($I51-TODAY(),"0")&amp;" 天","")))))</f>
        <v/>
      </c>
      <c r="R51" s="34" t="str">
        <f aca="false">IF($C51="","",IF($G51="","▲合同状态没选",IF(OR($G51="已签未回",$G51="未签",$G51="续签中"),"▲合同未回（"&amp;$G51&amp;"）","")))</f>
        <v/>
      </c>
      <c r="S51" s="35" t="str">
        <f aca="false">IF($C51="","",IF(N($J51)=N($K51),"一致","★合同"&amp;TEXT(N($J51),"0")&amp;"台 / 在册"&amp;TEXT(N($K51),"0")&amp;"台"))</f>
        <v/>
      </c>
      <c r="T51" s="40" t="str">
        <f aca="false">IF($C51="","",ROUND(SUMIFS(应收金额,应收键,$E51,应收年度,管理年度),2))</f>
        <v/>
      </c>
      <c r="U51" s="40" t="str">
        <f aca="false">IF($C51="","",ROUND(SUMIFS(收款金额,收款键,$E51,收款年度,管理年度),2))</f>
        <v/>
      </c>
      <c r="V51" s="41" t="str">
        <f aca="false">IF($C51="","",ROUND(SUMIF(应收键,$E51,应收金额)-SUMIF(收款键,$E51,收款金额),2))</f>
        <v/>
      </c>
      <c r="W51" s="24"/>
      <c r="X51" s="35" t="str">
        <f aca="false">IF($C51="","",IF($D51="","★项目名称没填",IF(COUNTIF($E$5:$E$304,$E51)&gt;1,"★键重复",IF(AND($H51&lt;&gt;"",$I51&lt;&gt;"",$I51&lt;$H51),"★合同起止反了",IF(N($K51)=0,"★电梯资料里没有这个项目","OK")))))</f>
        <v/>
      </c>
    </row>
    <row r="52" customFormat="false" ht="15" hidden="false" customHeight="false" outlineLevel="0" collapsed="false">
      <c r="A52" s="29" t="str">
        <f aca="false">IF($C52="","",ROW()-4)</f>
        <v/>
      </c>
      <c r="B52" s="35" t="str">
        <f aca="false">IF($C52="","",IFERROR(INDEX(电梯片区,MATCH($E52,电梯键,0)),""))</f>
        <v/>
      </c>
      <c r="C52" s="24"/>
      <c r="D52" s="24"/>
      <c r="E52" s="30" t="str">
        <f aca="false">IF($C52="","",$C52&amp;" ｜ "&amp;$D52)</f>
        <v/>
      </c>
      <c r="F52" s="25"/>
      <c r="G52" s="25"/>
      <c r="H52" s="33"/>
      <c r="I52" s="33"/>
      <c r="J52" s="32"/>
      <c r="K52" s="38" t="str">
        <f aca="false">IF($C52="","",SUMIF(电梯键,$E52,电梯台量))</f>
        <v/>
      </c>
      <c r="L52" s="39"/>
      <c r="M52" s="25"/>
      <c r="N52" s="25"/>
      <c r="O52" s="38" t="str">
        <f aca="false">IF($C52="","",SUMIFS(电梯台量,电梯键,$E52,电梯状态,"安装免保")+SUMIFS(电梯台量,电梯键,$E52,电梯状态,"技术免保")+SUMIFS(电梯台量,电梯键,$E52,电梯状态,"质保期内"))</f>
        <v/>
      </c>
      <c r="P52" s="38" t="str">
        <f aca="false">IF($C52="","",$K52-$O52)</f>
        <v/>
      </c>
      <c r="Q52" s="34" t="str">
        <f aca="true">IF($C52="","",IF($G52="已终止","",IF($I52="","▲没填合同止期",IF($I52&lt;TODAY(),"已到期 "&amp;TEXT(TODAY()-$I52,"0")&amp;" 天",IF($I52-TODAY()&lt;=合同提醒天,"将到期 "&amp;TEXT($I52-TODAY(),"0")&amp;" 天","")))))</f>
        <v/>
      </c>
      <c r="R52" s="34" t="str">
        <f aca="false">IF($C52="","",IF($G52="","▲合同状态没选",IF(OR($G52="已签未回",$G52="未签",$G52="续签中"),"▲合同未回（"&amp;$G52&amp;"）","")))</f>
        <v/>
      </c>
      <c r="S52" s="35" t="str">
        <f aca="false">IF($C52="","",IF(N($J52)=N($K52),"一致","★合同"&amp;TEXT(N($J52),"0")&amp;"台 / 在册"&amp;TEXT(N($K52),"0")&amp;"台"))</f>
        <v/>
      </c>
      <c r="T52" s="40" t="str">
        <f aca="false">IF($C52="","",ROUND(SUMIFS(应收金额,应收键,$E52,应收年度,管理年度),2))</f>
        <v/>
      </c>
      <c r="U52" s="40" t="str">
        <f aca="false">IF($C52="","",ROUND(SUMIFS(收款金额,收款键,$E52,收款年度,管理年度),2))</f>
        <v/>
      </c>
      <c r="V52" s="41" t="str">
        <f aca="false">IF($C52="","",ROUND(SUMIF(应收键,$E52,应收金额)-SUMIF(收款键,$E52,收款金额),2))</f>
        <v/>
      </c>
      <c r="W52" s="24"/>
      <c r="X52" s="35" t="str">
        <f aca="false">IF($C52="","",IF($D52="","★项目名称没填",IF(COUNTIF($E$5:$E$304,$E52)&gt;1,"★键重复",IF(AND($H52&lt;&gt;"",$I52&lt;&gt;"",$I52&lt;$H52),"★合同起止反了",IF(N($K52)=0,"★电梯资料里没有这个项目","OK")))))</f>
        <v/>
      </c>
    </row>
    <row r="53" customFormat="false" ht="15" hidden="false" customHeight="false" outlineLevel="0" collapsed="false">
      <c r="A53" s="29" t="str">
        <f aca="false">IF($C53="","",ROW()-4)</f>
        <v/>
      </c>
      <c r="B53" s="35" t="str">
        <f aca="false">IF($C53="","",IFERROR(INDEX(电梯片区,MATCH($E53,电梯键,0)),""))</f>
        <v/>
      </c>
      <c r="C53" s="24"/>
      <c r="D53" s="24"/>
      <c r="E53" s="30" t="str">
        <f aca="false">IF($C53="","",$C53&amp;" ｜ "&amp;$D53)</f>
        <v/>
      </c>
      <c r="F53" s="25"/>
      <c r="G53" s="25"/>
      <c r="H53" s="33"/>
      <c r="I53" s="33"/>
      <c r="J53" s="32"/>
      <c r="K53" s="38" t="str">
        <f aca="false">IF($C53="","",SUMIF(电梯键,$E53,电梯台量))</f>
        <v/>
      </c>
      <c r="L53" s="39"/>
      <c r="M53" s="25"/>
      <c r="N53" s="25"/>
      <c r="O53" s="38" t="str">
        <f aca="false">IF($C53="","",SUMIFS(电梯台量,电梯键,$E53,电梯状态,"安装免保")+SUMIFS(电梯台量,电梯键,$E53,电梯状态,"技术免保")+SUMIFS(电梯台量,电梯键,$E53,电梯状态,"质保期内"))</f>
        <v/>
      </c>
      <c r="P53" s="38" t="str">
        <f aca="false">IF($C53="","",$K53-$O53)</f>
        <v/>
      </c>
      <c r="Q53" s="34" t="str">
        <f aca="true">IF($C53="","",IF($G53="已终止","",IF($I53="","▲没填合同止期",IF($I53&lt;TODAY(),"已到期 "&amp;TEXT(TODAY()-$I53,"0")&amp;" 天",IF($I53-TODAY()&lt;=合同提醒天,"将到期 "&amp;TEXT($I53-TODAY(),"0")&amp;" 天","")))))</f>
        <v/>
      </c>
      <c r="R53" s="34" t="str">
        <f aca="false">IF($C53="","",IF($G53="","▲合同状态没选",IF(OR($G53="已签未回",$G53="未签",$G53="续签中"),"▲合同未回（"&amp;$G53&amp;"）","")))</f>
        <v/>
      </c>
      <c r="S53" s="35" t="str">
        <f aca="false">IF($C53="","",IF(N($J53)=N($K53),"一致","★合同"&amp;TEXT(N($J53),"0")&amp;"台 / 在册"&amp;TEXT(N($K53),"0")&amp;"台"))</f>
        <v/>
      </c>
      <c r="T53" s="40" t="str">
        <f aca="false">IF($C53="","",ROUND(SUMIFS(应收金额,应收键,$E53,应收年度,管理年度),2))</f>
        <v/>
      </c>
      <c r="U53" s="40" t="str">
        <f aca="false">IF($C53="","",ROUND(SUMIFS(收款金额,收款键,$E53,收款年度,管理年度),2))</f>
        <v/>
      </c>
      <c r="V53" s="41" t="str">
        <f aca="false">IF($C53="","",ROUND(SUMIF(应收键,$E53,应收金额)-SUMIF(收款键,$E53,收款金额),2))</f>
        <v/>
      </c>
      <c r="W53" s="24"/>
      <c r="X53" s="35" t="str">
        <f aca="false">IF($C53="","",IF($D53="","★项目名称没填",IF(COUNTIF($E$5:$E$304,$E53)&gt;1,"★键重复",IF(AND($H53&lt;&gt;"",$I53&lt;&gt;"",$I53&lt;$H53),"★合同起止反了",IF(N($K53)=0,"★电梯资料里没有这个项目","OK")))))</f>
        <v/>
      </c>
    </row>
    <row r="54" customFormat="false" ht="15" hidden="false" customHeight="false" outlineLevel="0" collapsed="false">
      <c r="A54" s="29" t="str">
        <f aca="false">IF($C54="","",ROW()-4)</f>
        <v/>
      </c>
      <c r="B54" s="35" t="str">
        <f aca="false">IF($C54="","",IFERROR(INDEX(电梯片区,MATCH($E54,电梯键,0)),""))</f>
        <v/>
      </c>
      <c r="C54" s="24"/>
      <c r="D54" s="24"/>
      <c r="E54" s="30" t="str">
        <f aca="false">IF($C54="","",$C54&amp;" ｜ "&amp;$D54)</f>
        <v/>
      </c>
      <c r="F54" s="25"/>
      <c r="G54" s="25"/>
      <c r="H54" s="33"/>
      <c r="I54" s="33"/>
      <c r="J54" s="32"/>
      <c r="K54" s="38" t="str">
        <f aca="false">IF($C54="","",SUMIF(电梯键,$E54,电梯台量))</f>
        <v/>
      </c>
      <c r="L54" s="39"/>
      <c r="M54" s="25"/>
      <c r="N54" s="25"/>
      <c r="O54" s="38" t="str">
        <f aca="false">IF($C54="","",SUMIFS(电梯台量,电梯键,$E54,电梯状态,"安装免保")+SUMIFS(电梯台量,电梯键,$E54,电梯状态,"技术免保")+SUMIFS(电梯台量,电梯键,$E54,电梯状态,"质保期内"))</f>
        <v/>
      </c>
      <c r="P54" s="38" t="str">
        <f aca="false">IF($C54="","",$K54-$O54)</f>
        <v/>
      </c>
      <c r="Q54" s="34" t="str">
        <f aca="true">IF($C54="","",IF($G54="已终止","",IF($I54="","▲没填合同止期",IF($I54&lt;TODAY(),"已到期 "&amp;TEXT(TODAY()-$I54,"0")&amp;" 天",IF($I54-TODAY()&lt;=合同提醒天,"将到期 "&amp;TEXT($I54-TODAY(),"0")&amp;" 天","")))))</f>
        <v/>
      </c>
      <c r="R54" s="34" t="str">
        <f aca="false">IF($C54="","",IF($G54="","▲合同状态没选",IF(OR($G54="已签未回",$G54="未签",$G54="续签中"),"▲合同未回（"&amp;$G54&amp;"）","")))</f>
        <v/>
      </c>
      <c r="S54" s="35" t="str">
        <f aca="false">IF($C54="","",IF(N($J54)=N($K54),"一致","★合同"&amp;TEXT(N($J54),"0")&amp;"台 / 在册"&amp;TEXT(N($K54),"0")&amp;"台"))</f>
        <v/>
      </c>
      <c r="T54" s="40" t="str">
        <f aca="false">IF($C54="","",ROUND(SUMIFS(应收金额,应收键,$E54,应收年度,管理年度),2))</f>
        <v/>
      </c>
      <c r="U54" s="40" t="str">
        <f aca="false">IF($C54="","",ROUND(SUMIFS(收款金额,收款键,$E54,收款年度,管理年度),2))</f>
        <v/>
      </c>
      <c r="V54" s="41" t="str">
        <f aca="false">IF($C54="","",ROUND(SUMIF(应收键,$E54,应收金额)-SUMIF(收款键,$E54,收款金额),2))</f>
        <v/>
      </c>
      <c r="W54" s="24"/>
      <c r="X54" s="35" t="str">
        <f aca="false">IF($C54="","",IF($D54="","★项目名称没填",IF(COUNTIF($E$5:$E$304,$E54)&gt;1,"★键重复",IF(AND($H54&lt;&gt;"",$I54&lt;&gt;"",$I54&lt;$H54),"★合同起止反了",IF(N($K54)=0,"★电梯资料里没有这个项目","OK")))))</f>
        <v/>
      </c>
    </row>
    <row r="55" customFormat="false" ht="15" hidden="false" customHeight="false" outlineLevel="0" collapsed="false">
      <c r="A55" s="29" t="str">
        <f aca="false">IF($C55="","",ROW()-4)</f>
        <v/>
      </c>
      <c r="B55" s="35" t="str">
        <f aca="false">IF($C55="","",IFERROR(INDEX(电梯片区,MATCH($E55,电梯键,0)),""))</f>
        <v/>
      </c>
      <c r="C55" s="24"/>
      <c r="D55" s="24"/>
      <c r="E55" s="30" t="str">
        <f aca="false">IF($C55="","",$C55&amp;" ｜ "&amp;$D55)</f>
        <v/>
      </c>
      <c r="F55" s="25"/>
      <c r="G55" s="25"/>
      <c r="H55" s="33"/>
      <c r="I55" s="33"/>
      <c r="J55" s="32"/>
      <c r="K55" s="38" t="str">
        <f aca="false">IF($C55="","",SUMIF(电梯键,$E55,电梯台量))</f>
        <v/>
      </c>
      <c r="L55" s="39"/>
      <c r="M55" s="25"/>
      <c r="N55" s="25"/>
      <c r="O55" s="38" t="str">
        <f aca="false">IF($C55="","",SUMIFS(电梯台量,电梯键,$E55,电梯状态,"安装免保")+SUMIFS(电梯台量,电梯键,$E55,电梯状态,"技术免保")+SUMIFS(电梯台量,电梯键,$E55,电梯状态,"质保期内"))</f>
        <v/>
      </c>
      <c r="P55" s="38" t="str">
        <f aca="false">IF($C55="","",$K55-$O55)</f>
        <v/>
      </c>
      <c r="Q55" s="34" t="str">
        <f aca="true">IF($C55="","",IF($G55="已终止","",IF($I55="","▲没填合同止期",IF($I55&lt;TODAY(),"已到期 "&amp;TEXT(TODAY()-$I55,"0")&amp;" 天",IF($I55-TODAY()&lt;=合同提醒天,"将到期 "&amp;TEXT($I55-TODAY(),"0")&amp;" 天","")))))</f>
        <v/>
      </c>
      <c r="R55" s="34" t="str">
        <f aca="false">IF($C55="","",IF($G55="","▲合同状态没选",IF(OR($G55="已签未回",$G55="未签",$G55="续签中"),"▲合同未回（"&amp;$G55&amp;"）","")))</f>
        <v/>
      </c>
      <c r="S55" s="35" t="str">
        <f aca="false">IF($C55="","",IF(N($J55)=N($K55),"一致","★合同"&amp;TEXT(N($J55),"0")&amp;"台 / 在册"&amp;TEXT(N($K55),"0")&amp;"台"))</f>
        <v/>
      </c>
      <c r="T55" s="40" t="str">
        <f aca="false">IF($C55="","",ROUND(SUMIFS(应收金额,应收键,$E55,应收年度,管理年度),2))</f>
        <v/>
      </c>
      <c r="U55" s="40" t="str">
        <f aca="false">IF($C55="","",ROUND(SUMIFS(收款金额,收款键,$E55,收款年度,管理年度),2))</f>
        <v/>
      </c>
      <c r="V55" s="41" t="str">
        <f aca="false">IF($C55="","",ROUND(SUMIF(应收键,$E55,应收金额)-SUMIF(收款键,$E55,收款金额),2))</f>
        <v/>
      </c>
      <c r="W55" s="24"/>
      <c r="X55" s="35" t="str">
        <f aca="false">IF($C55="","",IF($D55="","★项目名称没填",IF(COUNTIF($E$5:$E$304,$E55)&gt;1,"★键重复",IF(AND($H55&lt;&gt;"",$I55&lt;&gt;"",$I55&lt;$H55),"★合同起止反了",IF(N($K55)=0,"★电梯资料里没有这个项目","OK")))))</f>
        <v/>
      </c>
    </row>
    <row r="56" customFormat="false" ht="15" hidden="false" customHeight="false" outlineLevel="0" collapsed="false">
      <c r="A56" s="29" t="str">
        <f aca="false">IF($C56="","",ROW()-4)</f>
        <v/>
      </c>
      <c r="B56" s="35" t="str">
        <f aca="false">IF($C56="","",IFERROR(INDEX(电梯片区,MATCH($E56,电梯键,0)),""))</f>
        <v/>
      </c>
      <c r="C56" s="24"/>
      <c r="D56" s="24"/>
      <c r="E56" s="30" t="str">
        <f aca="false">IF($C56="","",$C56&amp;" ｜ "&amp;$D56)</f>
        <v/>
      </c>
      <c r="F56" s="25"/>
      <c r="G56" s="25"/>
      <c r="H56" s="33"/>
      <c r="I56" s="33"/>
      <c r="J56" s="32"/>
      <c r="K56" s="38" t="str">
        <f aca="false">IF($C56="","",SUMIF(电梯键,$E56,电梯台量))</f>
        <v/>
      </c>
      <c r="L56" s="39"/>
      <c r="M56" s="25"/>
      <c r="N56" s="25"/>
      <c r="O56" s="38" t="str">
        <f aca="false">IF($C56="","",SUMIFS(电梯台量,电梯键,$E56,电梯状态,"安装免保")+SUMIFS(电梯台量,电梯键,$E56,电梯状态,"技术免保")+SUMIFS(电梯台量,电梯键,$E56,电梯状态,"质保期内"))</f>
        <v/>
      </c>
      <c r="P56" s="38" t="str">
        <f aca="false">IF($C56="","",$K56-$O56)</f>
        <v/>
      </c>
      <c r="Q56" s="34" t="str">
        <f aca="true">IF($C56="","",IF($G56="已终止","",IF($I56="","▲没填合同止期",IF($I56&lt;TODAY(),"已到期 "&amp;TEXT(TODAY()-$I56,"0")&amp;" 天",IF($I56-TODAY()&lt;=合同提醒天,"将到期 "&amp;TEXT($I56-TODAY(),"0")&amp;" 天","")))))</f>
        <v/>
      </c>
      <c r="R56" s="34" t="str">
        <f aca="false">IF($C56="","",IF($G56="","▲合同状态没选",IF(OR($G56="已签未回",$G56="未签",$G56="续签中"),"▲合同未回（"&amp;$G56&amp;"）","")))</f>
        <v/>
      </c>
      <c r="S56" s="35" t="str">
        <f aca="false">IF($C56="","",IF(N($J56)=N($K56),"一致","★合同"&amp;TEXT(N($J56),"0")&amp;"台 / 在册"&amp;TEXT(N($K56),"0")&amp;"台"))</f>
        <v/>
      </c>
      <c r="T56" s="40" t="str">
        <f aca="false">IF($C56="","",ROUND(SUMIFS(应收金额,应收键,$E56,应收年度,管理年度),2))</f>
        <v/>
      </c>
      <c r="U56" s="40" t="str">
        <f aca="false">IF($C56="","",ROUND(SUMIFS(收款金额,收款键,$E56,收款年度,管理年度),2))</f>
        <v/>
      </c>
      <c r="V56" s="41" t="str">
        <f aca="false">IF($C56="","",ROUND(SUMIF(应收键,$E56,应收金额)-SUMIF(收款键,$E56,收款金额),2))</f>
        <v/>
      </c>
      <c r="W56" s="24"/>
      <c r="X56" s="35" t="str">
        <f aca="false">IF($C56="","",IF($D56="","★项目名称没填",IF(COUNTIF($E$5:$E$304,$E56)&gt;1,"★键重复",IF(AND($H56&lt;&gt;"",$I56&lt;&gt;"",$I56&lt;$H56),"★合同起止反了",IF(N($K56)=0,"★电梯资料里没有这个项目","OK")))))</f>
        <v/>
      </c>
    </row>
    <row r="57" customFormat="false" ht="15" hidden="false" customHeight="false" outlineLevel="0" collapsed="false">
      <c r="A57" s="29" t="str">
        <f aca="false">IF($C57="","",ROW()-4)</f>
        <v/>
      </c>
      <c r="B57" s="35" t="str">
        <f aca="false">IF($C57="","",IFERROR(INDEX(电梯片区,MATCH($E57,电梯键,0)),""))</f>
        <v/>
      </c>
      <c r="C57" s="24"/>
      <c r="D57" s="24"/>
      <c r="E57" s="30" t="str">
        <f aca="false">IF($C57="","",$C57&amp;" ｜ "&amp;$D57)</f>
        <v/>
      </c>
      <c r="F57" s="25"/>
      <c r="G57" s="25"/>
      <c r="H57" s="33"/>
      <c r="I57" s="33"/>
      <c r="J57" s="32"/>
      <c r="K57" s="38" t="str">
        <f aca="false">IF($C57="","",SUMIF(电梯键,$E57,电梯台量))</f>
        <v/>
      </c>
      <c r="L57" s="39"/>
      <c r="M57" s="25"/>
      <c r="N57" s="25"/>
      <c r="O57" s="38" t="str">
        <f aca="false">IF($C57="","",SUMIFS(电梯台量,电梯键,$E57,电梯状态,"安装免保")+SUMIFS(电梯台量,电梯键,$E57,电梯状态,"技术免保")+SUMIFS(电梯台量,电梯键,$E57,电梯状态,"质保期内"))</f>
        <v/>
      </c>
      <c r="P57" s="38" t="str">
        <f aca="false">IF($C57="","",$K57-$O57)</f>
        <v/>
      </c>
      <c r="Q57" s="34" t="str">
        <f aca="true">IF($C57="","",IF($G57="已终止","",IF($I57="","▲没填合同止期",IF($I57&lt;TODAY(),"已到期 "&amp;TEXT(TODAY()-$I57,"0")&amp;" 天",IF($I57-TODAY()&lt;=合同提醒天,"将到期 "&amp;TEXT($I57-TODAY(),"0")&amp;" 天","")))))</f>
        <v/>
      </c>
      <c r="R57" s="34" t="str">
        <f aca="false">IF($C57="","",IF($G57="","▲合同状态没选",IF(OR($G57="已签未回",$G57="未签",$G57="续签中"),"▲合同未回（"&amp;$G57&amp;"）","")))</f>
        <v/>
      </c>
      <c r="S57" s="35" t="str">
        <f aca="false">IF($C57="","",IF(N($J57)=N($K57),"一致","★合同"&amp;TEXT(N($J57),"0")&amp;"台 / 在册"&amp;TEXT(N($K57),"0")&amp;"台"))</f>
        <v/>
      </c>
      <c r="T57" s="40" t="str">
        <f aca="false">IF($C57="","",ROUND(SUMIFS(应收金额,应收键,$E57,应收年度,管理年度),2))</f>
        <v/>
      </c>
      <c r="U57" s="40" t="str">
        <f aca="false">IF($C57="","",ROUND(SUMIFS(收款金额,收款键,$E57,收款年度,管理年度),2))</f>
        <v/>
      </c>
      <c r="V57" s="41" t="str">
        <f aca="false">IF($C57="","",ROUND(SUMIF(应收键,$E57,应收金额)-SUMIF(收款键,$E57,收款金额),2))</f>
        <v/>
      </c>
      <c r="W57" s="24"/>
      <c r="X57" s="35" t="str">
        <f aca="false">IF($C57="","",IF($D57="","★项目名称没填",IF(COUNTIF($E$5:$E$304,$E57)&gt;1,"★键重复",IF(AND($H57&lt;&gt;"",$I57&lt;&gt;"",$I57&lt;$H57),"★合同起止反了",IF(N($K57)=0,"★电梯资料里没有这个项目","OK")))))</f>
        <v/>
      </c>
    </row>
    <row r="58" customFormat="false" ht="15" hidden="false" customHeight="false" outlineLevel="0" collapsed="false">
      <c r="A58" s="29" t="str">
        <f aca="false">IF($C58="","",ROW()-4)</f>
        <v/>
      </c>
      <c r="B58" s="35" t="str">
        <f aca="false">IF($C58="","",IFERROR(INDEX(电梯片区,MATCH($E58,电梯键,0)),""))</f>
        <v/>
      </c>
      <c r="C58" s="24"/>
      <c r="D58" s="24"/>
      <c r="E58" s="30" t="str">
        <f aca="false">IF($C58="","",$C58&amp;" ｜ "&amp;$D58)</f>
        <v/>
      </c>
      <c r="F58" s="25"/>
      <c r="G58" s="25"/>
      <c r="H58" s="33"/>
      <c r="I58" s="33"/>
      <c r="J58" s="32"/>
      <c r="K58" s="38" t="str">
        <f aca="false">IF($C58="","",SUMIF(电梯键,$E58,电梯台量))</f>
        <v/>
      </c>
      <c r="L58" s="39"/>
      <c r="M58" s="25"/>
      <c r="N58" s="25"/>
      <c r="O58" s="38" t="str">
        <f aca="false">IF($C58="","",SUMIFS(电梯台量,电梯键,$E58,电梯状态,"安装免保")+SUMIFS(电梯台量,电梯键,$E58,电梯状态,"技术免保")+SUMIFS(电梯台量,电梯键,$E58,电梯状态,"质保期内"))</f>
        <v/>
      </c>
      <c r="P58" s="38" t="str">
        <f aca="false">IF($C58="","",$K58-$O58)</f>
        <v/>
      </c>
      <c r="Q58" s="34" t="str">
        <f aca="true">IF($C58="","",IF($G58="已终止","",IF($I58="","▲没填合同止期",IF($I58&lt;TODAY(),"已到期 "&amp;TEXT(TODAY()-$I58,"0")&amp;" 天",IF($I58-TODAY()&lt;=合同提醒天,"将到期 "&amp;TEXT($I58-TODAY(),"0")&amp;" 天","")))))</f>
        <v/>
      </c>
      <c r="R58" s="34" t="str">
        <f aca="false">IF($C58="","",IF($G58="","▲合同状态没选",IF(OR($G58="已签未回",$G58="未签",$G58="续签中"),"▲合同未回（"&amp;$G58&amp;"）","")))</f>
        <v/>
      </c>
      <c r="S58" s="35" t="str">
        <f aca="false">IF($C58="","",IF(N($J58)=N($K58),"一致","★合同"&amp;TEXT(N($J58),"0")&amp;"台 / 在册"&amp;TEXT(N($K58),"0")&amp;"台"))</f>
        <v/>
      </c>
      <c r="T58" s="40" t="str">
        <f aca="false">IF($C58="","",ROUND(SUMIFS(应收金额,应收键,$E58,应收年度,管理年度),2))</f>
        <v/>
      </c>
      <c r="U58" s="40" t="str">
        <f aca="false">IF($C58="","",ROUND(SUMIFS(收款金额,收款键,$E58,收款年度,管理年度),2))</f>
        <v/>
      </c>
      <c r="V58" s="41" t="str">
        <f aca="false">IF($C58="","",ROUND(SUMIF(应收键,$E58,应收金额)-SUMIF(收款键,$E58,收款金额),2))</f>
        <v/>
      </c>
      <c r="W58" s="24"/>
      <c r="X58" s="35" t="str">
        <f aca="false">IF($C58="","",IF($D58="","★项目名称没填",IF(COUNTIF($E$5:$E$304,$E58)&gt;1,"★键重复",IF(AND($H58&lt;&gt;"",$I58&lt;&gt;"",$I58&lt;$H58),"★合同起止反了",IF(N($K58)=0,"★电梯资料里没有这个项目","OK")))))</f>
        <v/>
      </c>
    </row>
    <row r="59" customFormat="false" ht="15" hidden="false" customHeight="false" outlineLevel="0" collapsed="false">
      <c r="A59" s="29" t="str">
        <f aca="false">IF($C59="","",ROW()-4)</f>
        <v/>
      </c>
      <c r="B59" s="35" t="str">
        <f aca="false">IF($C59="","",IFERROR(INDEX(电梯片区,MATCH($E59,电梯键,0)),""))</f>
        <v/>
      </c>
      <c r="C59" s="24"/>
      <c r="D59" s="24"/>
      <c r="E59" s="30" t="str">
        <f aca="false">IF($C59="","",$C59&amp;" ｜ "&amp;$D59)</f>
        <v/>
      </c>
      <c r="F59" s="25"/>
      <c r="G59" s="25"/>
      <c r="H59" s="33"/>
      <c r="I59" s="33"/>
      <c r="J59" s="32"/>
      <c r="K59" s="38" t="str">
        <f aca="false">IF($C59="","",SUMIF(电梯键,$E59,电梯台量))</f>
        <v/>
      </c>
      <c r="L59" s="39"/>
      <c r="M59" s="25"/>
      <c r="N59" s="25"/>
      <c r="O59" s="38" t="str">
        <f aca="false">IF($C59="","",SUMIFS(电梯台量,电梯键,$E59,电梯状态,"安装免保")+SUMIFS(电梯台量,电梯键,$E59,电梯状态,"技术免保")+SUMIFS(电梯台量,电梯键,$E59,电梯状态,"质保期内"))</f>
        <v/>
      </c>
      <c r="P59" s="38" t="str">
        <f aca="false">IF($C59="","",$K59-$O59)</f>
        <v/>
      </c>
      <c r="Q59" s="34" t="str">
        <f aca="true">IF($C59="","",IF($G59="已终止","",IF($I59="","▲没填合同止期",IF($I59&lt;TODAY(),"已到期 "&amp;TEXT(TODAY()-$I59,"0")&amp;" 天",IF($I59-TODAY()&lt;=合同提醒天,"将到期 "&amp;TEXT($I59-TODAY(),"0")&amp;" 天","")))))</f>
        <v/>
      </c>
      <c r="R59" s="34" t="str">
        <f aca="false">IF($C59="","",IF($G59="","▲合同状态没选",IF(OR($G59="已签未回",$G59="未签",$G59="续签中"),"▲合同未回（"&amp;$G59&amp;"）","")))</f>
        <v/>
      </c>
      <c r="S59" s="35" t="str">
        <f aca="false">IF($C59="","",IF(N($J59)=N($K59),"一致","★合同"&amp;TEXT(N($J59),"0")&amp;"台 / 在册"&amp;TEXT(N($K59),"0")&amp;"台"))</f>
        <v/>
      </c>
      <c r="T59" s="40" t="str">
        <f aca="false">IF($C59="","",ROUND(SUMIFS(应收金额,应收键,$E59,应收年度,管理年度),2))</f>
        <v/>
      </c>
      <c r="U59" s="40" t="str">
        <f aca="false">IF($C59="","",ROUND(SUMIFS(收款金额,收款键,$E59,收款年度,管理年度),2))</f>
        <v/>
      </c>
      <c r="V59" s="41" t="str">
        <f aca="false">IF($C59="","",ROUND(SUMIF(应收键,$E59,应收金额)-SUMIF(收款键,$E59,收款金额),2))</f>
        <v/>
      </c>
      <c r="W59" s="24"/>
      <c r="X59" s="35" t="str">
        <f aca="false">IF($C59="","",IF($D59="","★项目名称没填",IF(COUNTIF($E$5:$E$304,$E59)&gt;1,"★键重复",IF(AND($H59&lt;&gt;"",$I59&lt;&gt;"",$I59&lt;$H59),"★合同起止反了",IF(N($K59)=0,"★电梯资料里没有这个项目","OK")))))</f>
        <v/>
      </c>
    </row>
    <row r="60" customFormat="false" ht="15" hidden="false" customHeight="false" outlineLevel="0" collapsed="false">
      <c r="A60" s="29" t="str">
        <f aca="false">IF($C60="","",ROW()-4)</f>
        <v/>
      </c>
      <c r="B60" s="35" t="str">
        <f aca="false">IF($C60="","",IFERROR(INDEX(电梯片区,MATCH($E60,电梯键,0)),""))</f>
        <v/>
      </c>
      <c r="C60" s="24"/>
      <c r="D60" s="24"/>
      <c r="E60" s="30" t="str">
        <f aca="false">IF($C60="","",$C60&amp;" ｜ "&amp;$D60)</f>
        <v/>
      </c>
      <c r="F60" s="25"/>
      <c r="G60" s="25"/>
      <c r="H60" s="33"/>
      <c r="I60" s="33"/>
      <c r="J60" s="32"/>
      <c r="K60" s="38" t="str">
        <f aca="false">IF($C60="","",SUMIF(电梯键,$E60,电梯台量))</f>
        <v/>
      </c>
      <c r="L60" s="39"/>
      <c r="M60" s="25"/>
      <c r="N60" s="25"/>
      <c r="O60" s="38" t="str">
        <f aca="false">IF($C60="","",SUMIFS(电梯台量,电梯键,$E60,电梯状态,"安装免保")+SUMIFS(电梯台量,电梯键,$E60,电梯状态,"技术免保")+SUMIFS(电梯台量,电梯键,$E60,电梯状态,"质保期内"))</f>
        <v/>
      </c>
      <c r="P60" s="38" t="str">
        <f aca="false">IF($C60="","",$K60-$O60)</f>
        <v/>
      </c>
      <c r="Q60" s="34" t="str">
        <f aca="true">IF($C60="","",IF($G60="已终止","",IF($I60="","▲没填合同止期",IF($I60&lt;TODAY(),"已到期 "&amp;TEXT(TODAY()-$I60,"0")&amp;" 天",IF($I60-TODAY()&lt;=合同提醒天,"将到期 "&amp;TEXT($I60-TODAY(),"0")&amp;" 天","")))))</f>
        <v/>
      </c>
      <c r="R60" s="34" t="str">
        <f aca="false">IF($C60="","",IF($G60="","▲合同状态没选",IF(OR($G60="已签未回",$G60="未签",$G60="续签中"),"▲合同未回（"&amp;$G60&amp;"）","")))</f>
        <v/>
      </c>
      <c r="S60" s="35" t="str">
        <f aca="false">IF($C60="","",IF(N($J60)=N($K60),"一致","★合同"&amp;TEXT(N($J60),"0")&amp;"台 / 在册"&amp;TEXT(N($K60),"0")&amp;"台"))</f>
        <v/>
      </c>
      <c r="T60" s="40" t="str">
        <f aca="false">IF($C60="","",ROUND(SUMIFS(应收金额,应收键,$E60,应收年度,管理年度),2))</f>
        <v/>
      </c>
      <c r="U60" s="40" t="str">
        <f aca="false">IF($C60="","",ROUND(SUMIFS(收款金额,收款键,$E60,收款年度,管理年度),2))</f>
        <v/>
      </c>
      <c r="V60" s="41" t="str">
        <f aca="false">IF($C60="","",ROUND(SUMIF(应收键,$E60,应收金额)-SUMIF(收款键,$E60,收款金额),2))</f>
        <v/>
      </c>
      <c r="W60" s="24"/>
      <c r="X60" s="35" t="str">
        <f aca="false">IF($C60="","",IF($D60="","★项目名称没填",IF(COUNTIF($E$5:$E$304,$E60)&gt;1,"★键重复",IF(AND($H60&lt;&gt;"",$I60&lt;&gt;"",$I60&lt;$H60),"★合同起止反了",IF(N($K60)=0,"★电梯资料里没有这个项目","OK")))))</f>
        <v/>
      </c>
    </row>
    <row r="61" customFormat="false" ht="15" hidden="false" customHeight="false" outlineLevel="0" collapsed="false">
      <c r="A61" s="29" t="str">
        <f aca="false">IF($C61="","",ROW()-4)</f>
        <v/>
      </c>
      <c r="B61" s="35" t="str">
        <f aca="false">IF($C61="","",IFERROR(INDEX(电梯片区,MATCH($E61,电梯键,0)),""))</f>
        <v/>
      </c>
      <c r="C61" s="24"/>
      <c r="D61" s="24"/>
      <c r="E61" s="30" t="str">
        <f aca="false">IF($C61="","",$C61&amp;" ｜ "&amp;$D61)</f>
        <v/>
      </c>
      <c r="F61" s="25"/>
      <c r="G61" s="25"/>
      <c r="H61" s="33"/>
      <c r="I61" s="33"/>
      <c r="J61" s="32"/>
      <c r="K61" s="38" t="str">
        <f aca="false">IF($C61="","",SUMIF(电梯键,$E61,电梯台量))</f>
        <v/>
      </c>
      <c r="L61" s="39"/>
      <c r="M61" s="25"/>
      <c r="N61" s="25"/>
      <c r="O61" s="38" t="str">
        <f aca="false">IF($C61="","",SUMIFS(电梯台量,电梯键,$E61,电梯状态,"安装免保")+SUMIFS(电梯台量,电梯键,$E61,电梯状态,"技术免保")+SUMIFS(电梯台量,电梯键,$E61,电梯状态,"质保期内"))</f>
        <v/>
      </c>
      <c r="P61" s="38" t="str">
        <f aca="false">IF($C61="","",$K61-$O61)</f>
        <v/>
      </c>
      <c r="Q61" s="34" t="str">
        <f aca="true">IF($C61="","",IF($G61="已终止","",IF($I61="","▲没填合同止期",IF($I61&lt;TODAY(),"已到期 "&amp;TEXT(TODAY()-$I61,"0")&amp;" 天",IF($I61-TODAY()&lt;=合同提醒天,"将到期 "&amp;TEXT($I61-TODAY(),"0")&amp;" 天","")))))</f>
        <v/>
      </c>
      <c r="R61" s="34" t="str">
        <f aca="false">IF($C61="","",IF($G61="","▲合同状态没选",IF(OR($G61="已签未回",$G61="未签",$G61="续签中"),"▲合同未回（"&amp;$G61&amp;"）","")))</f>
        <v/>
      </c>
      <c r="S61" s="35" t="str">
        <f aca="false">IF($C61="","",IF(N($J61)=N($K61),"一致","★合同"&amp;TEXT(N($J61),"0")&amp;"台 / 在册"&amp;TEXT(N($K61),"0")&amp;"台"))</f>
        <v/>
      </c>
      <c r="T61" s="40" t="str">
        <f aca="false">IF($C61="","",ROUND(SUMIFS(应收金额,应收键,$E61,应收年度,管理年度),2))</f>
        <v/>
      </c>
      <c r="U61" s="40" t="str">
        <f aca="false">IF($C61="","",ROUND(SUMIFS(收款金额,收款键,$E61,收款年度,管理年度),2))</f>
        <v/>
      </c>
      <c r="V61" s="41" t="str">
        <f aca="false">IF($C61="","",ROUND(SUMIF(应收键,$E61,应收金额)-SUMIF(收款键,$E61,收款金额),2))</f>
        <v/>
      </c>
      <c r="W61" s="24"/>
      <c r="X61" s="35" t="str">
        <f aca="false">IF($C61="","",IF($D61="","★项目名称没填",IF(COUNTIF($E$5:$E$304,$E61)&gt;1,"★键重复",IF(AND($H61&lt;&gt;"",$I61&lt;&gt;"",$I61&lt;$H61),"★合同起止反了",IF(N($K61)=0,"★电梯资料里没有这个项目","OK")))))</f>
        <v/>
      </c>
    </row>
    <row r="62" customFormat="false" ht="15" hidden="false" customHeight="false" outlineLevel="0" collapsed="false">
      <c r="A62" s="29" t="str">
        <f aca="false">IF($C62="","",ROW()-4)</f>
        <v/>
      </c>
      <c r="B62" s="35" t="str">
        <f aca="false">IF($C62="","",IFERROR(INDEX(电梯片区,MATCH($E62,电梯键,0)),""))</f>
        <v/>
      </c>
      <c r="C62" s="24"/>
      <c r="D62" s="24"/>
      <c r="E62" s="30" t="str">
        <f aca="false">IF($C62="","",$C62&amp;" ｜ "&amp;$D62)</f>
        <v/>
      </c>
      <c r="F62" s="25"/>
      <c r="G62" s="25"/>
      <c r="H62" s="33"/>
      <c r="I62" s="33"/>
      <c r="J62" s="32"/>
      <c r="K62" s="38" t="str">
        <f aca="false">IF($C62="","",SUMIF(电梯键,$E62,电梯台量))</f>
        <v/>
      </c>
      <c r="L62" s="39"/>
      <c r="M62" s="25"/>
      <c r="N62" s="25"/>
      <c r="O62" s="38" t="str">
        <f aca="false">IF($C62="","",SUMIFS(电梯台量,电梯键,$E62,电梯状态,"安装免保")+SUMIFS(电梯台量,电梯键,$E62,电梯状态,"技术免保")+SUMIFS(电梯台量,电梯键,$E62,电梯状态,"质保期内"))</f>
        <v/>
      </c>
      <c r="P62" s="38" t="str">
        <f aca="false">IF($C62="","",$K62-$O62)</f>
        <v/>
      </c>
      <c r="Q62" s="34" t="str">
        <f aca="true">IF($C62="","",IF($G62="已终止","",IF($I62="","▲没填合同止期",IF($I62&lt;TODAY(),"已到期 "&amp;TEXT(TODAY()-$I62,"0")&amp;" 天",IF($I62-TODAY()&lt;=合同提醒天,"将到期 "&amp;TEXT($I62-TODAY(),"0")&amp;" 天","")))))</f>
        <v/>
      </c>
      <c r="R62" s="34" t="str">
        <f aca="false">IF($C62="","",IF($G62="","▲合同状态没选",IF(OR($G62="已签未回",$G62="未签",$G62="续签中"),"▲合同未回（"&amp;$G62&amp;"）","")))</f>
        <v/>
      </c>
      <c r="S62" s="35" t="str">
        <f aca="false">IF($C62="","",IF(N($J62)=N($K62),"一致","★合同"&amp;TEXT(N($J62),"0")&amp;"台 / 在册"&amp;TEXT(N($K62),"0")&amp;"台"))</f>
        <v/>
      </c>
      <c r="T62" s="40" t="str">
        <f aca="false">IF($C62="","",ROUND(SUMIFS(应收金额,应收键,$E62,应收年度,管理年度),2))</f>
        <v/>
      </c>
      <c r="U62" s="40" t="str">
        <f aca="false">IF($C62="","",ROUND(SUMIFS(收款金额,收款键,$E62,收款年度,管理年度),2))</f>
        <v/>
      </c>
      <c r="V62" s="41" t="str">
        <f aca="false">IF($C62="","",ROUND(SUMIF(应收键,$E62,应收金额)-SUMIF(收款键,$E62,收款金额),2))</f>
        <v/>
      </c>
      <c r="W62" s="24"/>
      <c r="X62" s="35" t="str">
        <f aca="false">IF($C62="","",IF($D62="","★项目名称没填",IF(COUNTIF($E$5:$E$304,$E62)&gt;1,"★键重复",IF(AND($H62&lt;&gt;"",$I62&lt;&gt;"",$I62&lt;$H62),"★合同起止反了",IF(N($K62)=0,"★电梯资料里没有这个项目","OK")))))</f>
        <v/>
      </c>
    </row>
    <row r="63" customFormat="false" ht="15" hidden="false" customHeight="false" outlineLevel="0" collapsed="false">
      <c r="A63" s="29" t="str">
        <f aca="false">IF($C63="","",ROW()-4)</f>
        <v/>
      </c>
      <c r="B63" s="35" t="str">
        <f aca="false">IF($C63="","",IFERROR(INDEX(电梯片区,MATCH($E63,电梯键,0)),""))</f>
        <v/>
      </c>
      <c r="C63" s="24"/>
      <c r="D63" s="24"/>
      <c r="E63" s="30" t="str">
        <f aca="false">IF($C63="","",$C63&amp;" ｜ "&amp;$D63)</f>
        <v/>
      </c>
      <c r="F63" s="25"/>
      <c r="G63" s="25"/>
      <c r="H63" s="33"/>
      <c r="I63" s="33"/>
      <c r="J63" s="32"/>
      <c r="K63" s="38" t="str">
        <f aca="false">IF($C63="","",SUMIF(电梯键,$E63,电梯台量))</f>
        <v/>
      </c>
      <c r="L63" s="39"/>
      <c r="M63" s="25"/>
      <c r="N63" s="25"/>
      <c r="O63" s="38" t="str">
        <f aca="false">IF($C63="","",SUMIFS(电梯台量,电梯键,$E63,电梯状态,"安装免保")+SUMIFS(电梯台量,电梯键,$E63,电梯状态,"技术免保")+SUMIFS(电梯台量,电梯键,$E63,电梯状态,"质保期内"))</f>
        <v/>
      </c>
      <c r="P63" s="38" t="str">
        <f aca="false">IF($C63="","",$K63-$O63)</f>
        <v/>
      </c>
      <c r="Q63" s="34" t="str">
        <f aca="true">IF($C63="","",IF($G63="已终止","",IF($I63="","▲没填合同止期",IF($I63&lt;TODAY(),"已到期 "&amp;TEXT(TODAY()-$I63,"0")&amp;" 天",IF($I63-TODAY()&lt;=合同提醒天,"将到期 "&amp;TEXT($I63-TODAY(),"0")&amp;" 天","")))))</f>
        <v/>
      </c>
      <c r="R63" s="34" t="str">
        <f aca="false">IF($C63="","",IF($G63="","▲合同状态没选",IF(OR($G63="已签未回",$G63="未签",$G63="续签中"),"▲合同未回（"&amp;$G63&amp;"）","")))</f>
        <v/>
      </c>
      <c r="S63" s="35" t="str">
        <f aca="false">IF($C63="","",IF(N($J63)=N($K63),"一致","★合同"&amp;TEXT(N($J63),"0")&amp;"台 / 在册"&amp;TEXT(N($K63),"0")&amp;"台"))</f>
        <v/>
      </c>
      <c r="T63" s="40" t="str">
        <f aca="false">IF($C63="","",ROUND(SUMIFS(应收金额,应收键,$E63,应收年度,管理年度),2))</f>
        <v/>
      </c>
      <c r="U63" s="40" t="str">
        <f aca="false">IF($C63="","",ROUND(SUMIFS(收款金额,收款键,$E63,收款年度,管理年度),2))</f>
        <v/>
      </c>
      <c r="V63" s="41" t="str">
        <f aca="false">IF($C63="","",ROUND(SUMIF(应收键,$E63,应收金额)-SUMIF(收款键,$E63,收款金额),2))</f>
        <v/>
      </c>
      <c r="W63" s="24"/>
      <c r="X63" s="35" t="str">
        <f aca="false">IF($C63="","",IF($D63="","★项目名称没填",IF(COUNTIF($E$5:$E$304,$E63)&gt;1,"★键重复",IF(AND($H63&lt;&gt;"",$I63&lt;&gt;"",$I63&lt;$H63),"★合同起止反了",IF(N($K63)=0,"★电梯资料里没有这个项目","OK")))))</f>
        <v/>
      </c>
    </row>
    <row r="64" customFormat="false" ht="15" hidden="false" customHeight="false" outlineLevel="0" collapsed="false">
      <c r="A64" s="29" t="str">
        <f aca="false">IF($C64="","",ROW()-4)</f>
        <v/>
      </c>
      <c r="B64" s="35" t="str">
        <f aca="false">IF($C64="","",IFERROR(INDEX(电梯片区,MATCH($E64,电梯键,0)),""))</f>
        <v/>
      </c>
      <c r="C64" s="24"/>
      <c r="D64" s="24"/>
      <c r="E64" s="30" t="str">
        <f aca="false">IF($C64="","",$C64&amp;" ｜ "&amp;$D64)</f>
        <v/>
      </c>
      <c r="F64" s="25"/>
      <c r="G64" s="25"/>
      <c r="H64" s="33"/>
      <c r="I64" s="33"/>
      <c r="J64" s="32"/>
      <c r="K64" s="38" t="str">
        <f aca="false">IF($C64="","",SUMIF(电梯键,$E64,电梯台量))</f>
        <v/>
      </c>
      <c r="L64" s="39"/>
      <c r="M64" s="25"/>
      <c r="N64" s="25"/>
      <c r="O64" s="38" t="str">
        <f aca="false">IF($C64="","",SUMIFS(电梯台量,电梯键,$E64,电梯状态,"安装免保")+SUMIFS(电梯台量,电梯键,$E64,电梯状态,"技术免保")+SUMIFS(电梯台量,电梯键,$E64,电梯状态,"质保期内"))</f>
        <v/>
      </c>
      <c r="P64" s="38" t="str">
        <f aca="false">IF($C64="","",$K64-$O64)</f>
        <v/>
      </c>
      <c r="Q64" s="34" t="str">
        <f aca="true">IF($C64="","",IF($G64="已终止","",IF($I64="","▲没填合同止期",IF($I64&lt;TODAY(),"已到期 "&amp;TEXT(TODAY()-$I64,"0")&amp;" 天",IF($I64-TODAY()&lt;=合同提醒天,"将到期 "&amp;TEXT($I64-TODAY(),"0")&amp;" 天","")))))</f>
        <v/>
      </c>
      <c r="R64" s="34" t="str">
        <f aca="false">IF($C64="","",IF($G64="","▲合同状态没选",IF(OR($G64="已签未回",$G64="未签",$G64="续签中"),"▲合同未回（"&amp;$G64&amp;"）","")))</f>
        <v/>
      </c>
      <c r="S64" s="35" t="str">
        <f aca="false">IF($C64="","",IF(N($J64)=N($K64),"一致","★合同"&amp;TEXT(N($J64),"0")&amp;"台 / 在册"&amp;TEXT(N($K64),"0")&amp;"台"))</f>
        <v/>
      </c>
      <c r="T64" s="40" t="str">
        <f aca="false">IF($C64="","",ROUND(SUMIFS(应收金额,应收键,$E64,应收年度,管理年度),2))</f>
        <v/>
      </c>
      <c r="U64" s="40" t="str">
        <f aca="false">IF($C64="","",ROUND(SUMIFS(收款金额,收款键,$E64,收款年度,管理年度),2))</f>
        <v/>
      </c>
      <c r="V64" s="41" t="str">
        <f aca="false">IF($C64="","",ROUND(SUMIF(应收键,$E64,应收金额)-SUMIF(收款键,$E64,收款金额),2))</f>
        <v/>
      </c>
      <c r="W64" s="24"/>
      <c r="X64" s="35" t="str">
        <f aca="false">IF($C64="","",IF($D64="","★项目名称没填",IF(COUNTIF($E$5:$E$304,$E64)&gt;1,"★键重复",IF(AND($H64&lt;&gt;"",$I64&lt;&gt;"",$I64&lt;$H64),"★合同起止反了",IF(N($K64)=0,"★电梯资料里没有这个项目","OK")))))</f>
        <v/>
      </c>
    </row>
    <row r="65" customFormat="false" ht="15" hidden="false" customHeight="false" outlineLevel="0" collapsed="false">
      <c r="A65" s="29" t="str">
        <f aca="false">IF($C65="","",ROW()-4)</f>
        <v/>
      </c>
      <c r="B65" s="35" t="str">
        <f aca="false">IF($C65="","",IFERROR(INDEX(电梯片区,MATCH($E65,电梯键,0)),""))</f>
        <v/>
      </c>
      <c r="C65" s="24"/>
      <c r="D65" s="24"/>
      <c r="E65" s="30" t="str">
        <f aca="false">IF($C65="","",$C65&amp;" ｜ "&amp;$D65)</f>
        <v/>
      </c>
      <c r="F65" s="25"/>
      <c r="G65" s="25"/>
      <c r="H65" s="33"/>
      <c r="I65" s="33"/>
      <c r="J65" s="32"/>
      <c r="K65" s="38" t="str">
        <f aca="false">IF($C65="","",SUMIF(电梯键,$E65,电梯台量))</f>
        <v/>
      </c>
      <c r="L65" s="39"/>
      <c r="M65" s="25"/>
      <c r="N65" s="25"/>
      <c r="O65" s="38" t="str">
        <f aca="false">IF($C65="","",SUMIFS(电梯台量,电梯键,$E65,电梯状态,"安装免保")+SUMIFS(电梯台量,电梯键,$E65,电梯状态,"技术免保")+SUMIFS(电梯台量,电梯键,$E65,电梯状态,"质保期内"))</f>
        <v/>
      </c>
      <c r="P65" s="38" t="str">
        <f aca="false">IF($C65="","",$K65-$O65)</f>
        <v/>
      </c>
      <c r="Q65" s="34" t="str">
        <f aca="true">IF($C65="","",IF($G65="已终止","",IF($I65="","▲没填合同止期",IF($I65&lt;TODAY(),"已到期 "&amp;TEXT(TODAY()-$I65,"0")&amp;" 天",IF($I65-TODAY()&lt;=合同提醒天,"将到期 "&amp;TEXT($I65-TODAY(),"0")&amp;" 天","")))))</f>
        <v/>
      </c>
      <c r="R65" s="34" t="str">
        <f aca="false">IF($C65="","",IF($G65="","▲合同状态没选",IF(OR($G65="已签未回",$G65="未签",$G65="续签中"),"▲合同未回（"&amp;$G65&amp;"）","")))</f>
        <v/>
      </c>
      <c r="S65" s="35" t="str">
        <f aca="false">IF($C65="","",IF(N($J65)=N($K65),"一致","★合同"&amp;TEXT(N($J65),"0")&amp;"台 / 在册"&amp;TEXT(N($K65),"0")&amp;"台"))</f>
        <v/>
      </c>
      <c r="T65" s="40" t="str">
        <f aca="false">IF($C65="","",ROUND(SUMIFS(应收金额,应收键,$E65,应收年度,管理年度),2))</f>
        <v/>
      </c>
      <c r="U65" s="40" t="str">
        <f aca="false">IF($C65="","",ROUND(SUMIFS(收款金额,收款键,$E65,收款年度,管理年度),2))</f>
        <v/>
      </c>
      <c r="V65" s="41" t="str">
        <f aca="false">IF($C65="","",ROUND(SUMIF(应收键,$E65,应收金额)-SUMIF(收款键,$E65,收款金额),2))</f>
        <v/>
      </c>
      <c r="W65" s="24"/>
      <c r="X65" s="35" t="str">
        <f aca="false">IF($C65="","",IF($D65="","★项目名称没填",IF(COUNTIF($E$5:$E$304,$E65)&gt;1,"★键重复",IF(AND($H65&lt;&gt;"",$I65&lt;&gt;"",$I65&lt;$H65),"★合同起止反了",IF(N($K65)=0,"★电梯资料里没有这个项目","OK")))))</f>
        <v/>
      </c>
    </row>
    <row r="66" customFormat="false" ht="15" hidden="false" customHeight="false" outlineLevel="0" collapsed="false">
      <c r="A66" s="29" t="str">
        <f aca="false">IF($C66="","",ROW()-4)</f>
        <v/>
      </c>
      <c r="B66" s="35" t="str">
        <f aca="false">IF($C66="","",IFERROR(INDEX(电梯片区,MATCH($E66,电梯键,0)),""))</f>
        <v/>
      </c>
      <c r="C66" s="24"/>
      <c r="D66" s="24"/>
      <c r="E66" s="30" t="str">
        <f aca="false">IF($C66="","",$C66&amp;" ｜ "&amp;$D66)</f>
        <v/>
      </c>
      <c r="F66" s="25"/>
      <c r="G66" s="25"/>
      <c r="H66" s="33"/>
      <c r="I66" s="33"/>
      <c r="J66" s="32"/>
      <c r="K66" s="38" t="str">
        <f aca="false">IF($C66="","",SUMIF(电梯键,$E66,电梯台量))</f>
        <v/>
      </c>
      <c r="L66" s="39"/>
      <c r="M66" s="25"/>
      <c r="N66" s="25"/>
      <c r="O66" s="38" t="str">
        <f aca="false">IF($C66="","",SUMIFS(电梯台量,电梯键,$E66,电梯状态,"安装免保")+SUMIFS(电梯台量,电梯键,$E66,电梯状态,"技术免保")+SUMIFS(电梯台量,电梯键,$E66,电梯状态,"质保期内"))</f>
        <v/>
      </c>
      <c r="P66" s="38" t="str">
        <f aca="false">IF($C66="","",$K66-$O66)</f>
        <v/>
      </c>
      <c r="Q66" s="34" t="str">
        <f aca="true">IF($C66="","",IF($G66="已终止","",IF($I66="","▲没填合同止期",IF($I66&lt;TODAY(),"已到期 "&amp;TEXT(TODAY()-$I66,"0")&amp;" 天",IF($I66-TODAY()&lt;=合同提醒天,"将到期 "&amp;TEXT($I66-TODAY(),"0")&amp;" 天","")))))</f>
        <v/>
      </c>
      <c r="R66" s="34" t="str">
        <f aca="false">IF($C66="","",IF($G66="","▲合同状态没选",IF(OR($G66="已签未回",$G66="未签",$G66="续签中"),"▲合同未回（"&amp;$G66&amp;"）","")))</f>
        <v/>
      </c>
      <c r="S66" s="35" t="str">
        <f aca="false">IF($C66="","",IF(N($J66)=N($K66),"一致","★合同"&amp;TEXT(N($J66),"0")&amp;"台 / 在册"&amp;TEXT(N($K66),"0")&amp;"台"))</f>
        <v/>
      </c>
      <c r="T66" s="40" t="str">
        <f aca="false">IF($C66="","",ROUND(SUMIFS(应收金额,应收键,$E66,应收年度,管理年度),2))</f>
        <v/>
      </c>
      <c r="U66" s="40" t="str">
        <f aca="false">IF($C66="","",ROUND(SUMIFS(收款金额,收款键,$E66,收款年度,管理年度),2))</f>
        <v/>
      </c>
      <c r="V66" s="41" t="str">
        <f aca="false">IF($C66="","",ROUND(SUMIF(应收键,$E66,应收金额)-SUMIF(收款键,$E66,收款金额),2))</f>
        <v/>
      </c>
      <c r="W66" s="24"/>
      <c r="X66" s="35" t="str">
        <f aca="false">IF($C66="","",IF($D66="","★项目名称没填",IF(COUNTIF($E$5:$E$304,$E66)&gt;1,"★键重复",IF(AND($H66&lt;&gt;"",$I66&lt;&gt;"",$I66&lt;$H66),"★合同起止反了",IF(N($K66)=0,"★电梯资料里没有这个项目","OK")))))</f>
        <v/>
      </c>
    </row>
    <row r="67" customFormat="false" ht="15" hidden="false" customHeight="false" outlineLevel="0" collapsed="false">
      <c r="A67" s="29" t="str">
        <f aca="false">IF($C67="","",ROW()-4)</f>
        <v/>
      </c>
      <c r="B67" s="35" t="str">
        <f aca="false">IF($C67="","",IFERROR(INDEX(电梯片区,MATCH($E67,电梯键,0)),""))</f>
        <v/>
      </c>
      <c r="C67" s="24"/>
      <c r="D67" s="24"/>
      <c r="E67" s="30" t="str">
        <f aca="false">IF($C67="","",$C67&amp;" ｜ "&amp;$D67)</f>
        <v/>
      </c>
      <c r="F67" s="25"/>
      <c r="G67" s="25"/>
      <c r="H67" s="33"/>
      <c r="I67" s="33"/>
      <c r="J67" s="32"/>
      <c r="K67" s="38" t="str">
        <f aca="false">IF($C67="","",SUMIF(电梯键,$E67,电梯台量))</f>
        <v/>
      </c>
      <c r="L67" s="39"/>
      <c r="M67" s="25"/>
      <c r="N67" s="25"/>
      <c r="O67" s="38" t="str">
        <f aca="false">IF($C67="","",SUMIFS(电梯台量,电梯键,$E67,电梯状态,"安装免保")+SUMIFS(电梯台量,电梯键,$E67,电梯状态,"技术免保")+SUMIFS(电梯台量,电梯键,$E67,电梯状态,"质保期内"))</f>
        <v/>
      </c>
      <c r="P67" s="38" t="str">
        <f aca="false">IF($C67="","",$K67-$O67)</f>
        <v/>
      </c>
      <c r="Q67" s="34" t="str">
        <f aca="true">IF($C67="","",IF($G67="已终止","",IF($I67="","▲没填合同止期",IF($I67&lt;TODAY(),"已到期 "&amp;TEXT(TODAY()-$I67,"0")&amp;" 天",IF($I67-TODAY()&lt;=合同提醒天,"将到期 "&amp;TEXT($I67-TODAY(),"0")&amp;" 天","")))))</f>
        <v/>
      </c>
      <c r="R67" s="34" t="str">
        <f aca="false">IF($C67="","",IF($G67="","▲合同状态没选",IF(OR($G67="已签未回",$G67="未签",$G67="续签中"),"▲合同未回（"&amp;$G67&amp;"）","")))</f>
        <v/>
      </c>
      <c r="S67" s="35" t="str">
        <f aca="false">IF($C67="","",IF(N($J67)=N($K67),"一致","★合同"&amp;TEXT(N($J67),"0")&amp;"台 / 在册"&amp;TEXT(N($K67),"0")&amp;"台"))</f>
        <v/>
      </c>
      <c r="T67" s="40" t="str">
        <f aca="false">IF($C67="","",ROUND(SUMIFS(应收金额,应收键,$E67,应收年度,管理年度),2))</f>
        <v/>
      </c>
      <c r="U67" s="40" t="str">
        <f aca="false">IF($C67="","",ROUND(SUMIFS(收款金额,收款键,$E67,收款年度,管理年度),2))</f>
        <v/>
      </c>
      <c r="V67" s="41" t="str">
        <f aca="false">IF($C67="","",ROUND(SUMIF(应收键,$E67,应收金额)-SUMIF(收款键,$E67,收款金额),2))</f>
        <v/>
      </c>
      <c r="W67" s="24"/>
      <c r="X67" s="35" t="str">
        <f aca="false">IF($C67="","",IF($D67="","★项目名称没填",IF(COUNTIF($E$5:$E$304,$E67)&gt;1,"★键重复",IF(AND($H67&lt;&gt;"",$I67&lt;&gt;"",$I67&lt;$H67),"★合同起止反了",IF(N($K67)=0,"★电梯资料里没有这个项目","OK")))))</f>
        <v/>
      </c>
    </row>
    <row r="68" customFormat="false" ht="15" hidden="false" customHeight="false" outlineLevel="0" collapsed="false">
      <c r="A68" s="29" t="str">
        <f aca="false">IF($C68="","",ROW()-4)</f>
        <v/>
      </c>
      <c r="B68" s="35" t="str">
        <f aca="false">IF($C68="","",IFERROR(INDEX(电梯片区,MATCH($E68,电梯键,0)),""))</f>
        <v/>
      </c>
      <c r="C68" s="24"/>
      <c r="D68" s="24"/>
      <c r="E68" s="30" t="str">
        <f aca="false">IF($C68="","",$C68&amp;" ｜ "&amp;$D68)</f>
        <v/>
      </c>
      <c r="F68" s="25"/>
      <c r="G68" s="25"/>
      <c r="H68" s="33"/>
      <c r="I68" s="33"/>
      <c r="J68" s="32"/>
      <c r="K68" s="38" t="str">
        <f aca="false">IF($C68="","",SUMIF(电梯键,$E68,电梯台量))</f>
        <v/>
      </c>
      <c r="L68" s="39"/>
      <c r="M68" s="25"/>
      <c r="N68" s="25"/>
      <c r="O68" s="38" t="str">
        <f aca="false">IF($C68="","",SUMIFS(电梯台量,电梯键,$E68,电梯状态,"安装免保")+SUMIFS(电梯台量,电梯键,$E68,电梯状态,"技术免保")+SUMIFS(电梯台量,电梯键,$E68,电梯状态,"质保期内"))</f>
        <v/>
      </c>
      <c r="P68" s="38" t="str">
        <f aca="false">IF($C68="","",$K68-$O68)</f>
        <v/>
      </c>
      <c r="Q68" s="34" t="str">
        <f aca="true">IF($C68="","",IF($G68="已终止","",IF($I68="","▲没填合同止期",IF($I68&lt;TODAY(),"已到期 "&amp;TEXT(TODAY()-$I68,"0")&amp;" 天",IF($I68-TODAY()&lt;=合同提醒天,"将到期 "&amp;TEXT($I68-TODAY(),"0")&amp;" 天","")))))</f>
        <v/>
      </c>
      <c r="R68" s="34" t="str">
        <f aca="false">IF($C68="","",IF($G68="","▲合同状态没选",IF(OR($G68="已签未回",$G68="未签",$G68="续签中"),"▲合同未回（"&amp;$G68&amp;"）","")))</f>
        <v/>
      </c>
      <c r="S68" s="35" t="str">
        <f aca="false">IF($C68="","",IF(N($J68)=N($K68),"一致","★合同"&amp;TEXT(N($J68),"0")&amp;"台 / 在册"&amp;TEXT(N($K68),"0")&amp;"台"))</f>
        <v/>
      </c>
      <c r="T68" s="40" t="str">
        <f aca="false">IF($C68="","",ROUND(SUMIFS(应收金额,应收键,$E68,应收年度,管理年度),2))</f>
        <v/>
      </c>
      <c r="U68" s="40" t="str">
        <f aca="false">IF($C68="","",ROUND(SUMIFS(收款金额,收款键,$E68,收款年度,管理年度),2))</f>
        <v/>
      </c>
      <c r="V68" s="41" t="str">
        <f aca="false">IF($C68="","",ROUND(SUMIF(应收键,$E68,应收金额)-SUMIF(收款键,$E68,收款金额),2))</f>
        <v/>
      </c>
      <c r="W68" s="24"/>
      <c r="X68" s="35" t="str">
        <f aca="false">IF($C68="","",IF($D68="","★项目名称没填",IF(COUNTIF($E$5:$E$304,$E68)&gt;1,"★键重复",IF(AND($H68&lt;&gt;"",$I68&lt;&gt;"",$I68&lt;$H68),"★合同起止反了",IF(N($K68)=0,"★电梯资料里没有这个项目","OK")))))</f>
        <v/>
      </c>
    </row>
    <row r="69" customFormat="false" ht="15" hidden="false" customHeight="false" outlineLevel="0" collapsed="false">
      <c r="A69" s="29" t="str">
        <f aca="false">IF($C69="","",ROW()-4)</f>
        <v/>
      </c>
      <c r="B69" s="35" t="str">
        <f aca="false">IF($C69="","",IFERROR(INDEX(电梯片区,MATCH($E69,电梯键,0)),""))</f>
        <v/>
      </c>
      <c r="C69" s="24"/>
      <c r="D69" s="24"/>
      <c r="E69" s="30" t="str">
        <f aca="false">IF($C69="","",$C69&amp;" ｜ "&amp;$D69)</f>
        <v/>
      </c>
      <c r="F69" s="25"/>
      <c r="G69" s="25"/>
      <c r="H69" s="33"/>
      <c r="I69" s="33"/>
      <c r="J69" s="32"/>
      <c r="K69" s="38" t="str">
        <f aca="false">IF($C69="","",SUMIF(电梯键,$E69,电梯台量))</f>
        <v/>
      </c>
      <c r="L69" s="39"/>
      <c r="M69" s="25"/>
      <c r="N69" s="25"/>
      <c r="O69" s="38" t="str">
        <f aca="false">IF($C69="","",SUMIFS(电梯台量,电梯键,$E69,电梯状态,"安装免保")+SUMIFS(电梯台量,电梯键,$E69,电梯状态,"技术免保")+SUMIFS(电梯台量,电梯键,$E69,电梯状态,"质保期内"))</f>
        <v/>
      </c>
      <c r="P69" s="38" t="str">
        <f aca="false">IF($C69="","",$K69-$O69)</f>
        <v/>
      </c>
      <c r="Q69" s="34" t="str">
        <f aca="true">IF($C69="","",IF($G69="已终止","",IF($I69="","▲没填合同止期",IF($I69&lt;TODAY(),"已到期 "&amp;TEXT(TODAY()-$I69,"0")&amp;" 天",IF($I69-TODAY()&lt;=合同提醒天,"将到期 "&amp;TEXT($I69-TODAY(),"0")&amp;" 天","")))))</f>
        <v/>
      </c>
      <c r="R69" s="34" t="str">
        <f aca="false">IF($C69="","",IF($G69="","▲合同状态没选",IF(OR($G69="已签未回",$G69="未签",$G69="续签中"),"▲合同未回（"&amp;$G69&amp;"）","")))</f>
        <v/>
      </c>
      <c r="S69" s="35" t="str">
        <f aca="false">IF($C69="","",IF(N($J69)=N($K69),"一致","★合同"&amp;TEXT(N($J69),"0")&amp;"台 / 在册"&amp;TEXT(N($K69),"0")&amp;"台"))</f>
        <v/>
      </c>
      <c r="T69" s="40" t="str">
        <f aca="false">IF($C69="","",ROUND(SUMIFS(应收金额,应收键,$E69,应收年度,管理年度),2))</f>
        <v/>
      </c>
      <c r="U69" s="40" t="str">
        <f aca="false">IF($C69="","",ROUND(SUMIFS(收款金额,收款键,$E69,收款年度,管理年度),2))</f>
        <v/>
      </c>
      <c r="V69" s="41" t="str">
        <f aca="false">IF($C69="","",ROUND(SUMIF(应收键,$E69,应收金额)-SUMIF(收款键,$E69,收款金额),2))</f>
        <v/>
      </c>
      <c r="W69" s="24"/>
      <c r="X69" s="35" t="str">
        <f aca="false">IF($C69="","",IF($D69="","★项目名称没填",IF(COUNTIF($E$5:$E$304,$E69)&gt;1,"★键重复",IF(AND($H69&lt;&gt;"",$I69&lt;&gt;"",$I69&lt;$H69),"★合同起止反了",IF(N($K69)=0,"★电梯资料里没有这个项目","OK")))))</f>
        <v/>
      </c>
    </row>
    <row r="70" customFormat="false" ht="15" hidden="false" customHeight="false" outlineLevel="0" collapsed="false">
      <c r="A70" s="29" t="str">
        <f aca="false">IF($C70="","",ROW()-4)</f>
        <v/>
      </c>
      <c r="B70" s="35" t="str">
        <f aca="false">IF($C70="","",IFERROR(INDEX(电梯片区,MATCH($E70,电梯键,0)),""))</f>
        <v/>
      </c>
      <c r="C70" s="24"/>
      <c r="D70" s="24"/>
      <c r="E70" s="30" t="str">
        <f aca="false">IF($C70="","",$C70&amp;" ｜ "&amp;$D70)</f>
        <v/>
      </c>
      <c r="F70" s="25"/>
      <c r="G70" s="25"/>
      <c r="H70" s="33"/>
      <c r="I70" s="33"/>
      <c r="J70" s="32"/>
      <c r="K70" s="38" t="str">
        <f aca="false">IF($C70="","",SUMIF(电梯键,$E70,电梯台量))</f>
        <v/>
      </c>
      <c r="L70" s="39"/>
      <c r="M70" s="25"/>
      <c r="N70" s="25"/>
      <c r="O70" s="38" t="str">
        <f aca="false">IF($C70="","",SUMIFS(电梯台量,电梯键,$E70,电梯状态,"安装免保")+SUMIFS(电梯台量,电梯键,$E70,电梯状态,"技术免保")+SUMIFS(电梯台量,电梯键,$E70,电梯状态,"质保期内"))</f>
        <v/>
      </c>
      <c r="P70" s="38" t="str">
        <f aca="false">IF($C70="","",$K70-$O70)</f>
        <v/>
      </c>
      <c r="Q70" s="34" t="str">
        <f aca="true">IF($C70="","",IF($G70="已终止","",IF($I70="","▲没填合同止期",IF($I70&lt;TODAY(),"已到期 "&amp;TEXT(TODAY()-$I70,"0")&amp;" 天",IF($I70-TODAY()&lt;=合同提醒天,"将到期 "&amp;TEXT($I70-TODAY(),"0")&amp;" 天","")))))</f>
        <v/>
      </c>
      <c r="R70" s="34" t="str">
        <f aca="false">IF($C70="","",IF($G70="","▲合同状态没选",IF(OR($G70="已签未回",$G70="未签",$G70="续签中"),"▲合同未回（"&amp;$G70&amp;"）","")))</f>
        <v/>
      </c>
      <c r="S70" s="35" t="str">
        <f aca="false">IF($C70="","",IF(N($J70)=N($K70),"一致","★合同"&amp;TEXT(N($J70),"0")&amp;"台 / 在册"&amp;TEXT(N($K70),"0")&amp;"台"))</f>
        <v/>
      </c>
      <c r="T70" s="40" t="str">
        <f aca="false">IF($C70="","",ROUND(SUMIFS(应收金额,应收键,$E70,应收年度,管理年度),2))</f>
        <v/>
      </c>
      <c r="U70" s="40" t="str">
        <f aca="false">IF($C70="","",ROUND(SUMIFS(收款金额,收款键,$E70,收款年度,管理年度),2))</f>
        <v/>
      </c>
      <c r="V70" s="41" t="str">
        <f aca="false">IF($C70="","",ROUND(SUMIF(应收键,$E70,应收金额)-SUMIF(收款键,$E70,收款金额),2))</f>
        <v/>
      </c>
      <c r="W70" s="24"/>
      <c r="X70" s="35" t="str">
        <f aca="false">IF($C70="","",IF($D70="","★项目名称没填",IF(COUNTIF($E$5:$E$304,$E70)&gt;1,"★键重复",IF(AND($H70&lt;&gt;"",$I70&lt;&gt;"",$I70&lt;$H70),"★合同起止反了",IF(N($K70)=0,"★电梯资料里没有这个项目","OK")))))</f>
        <v/>
      </c>
    </row>
    <row r="71" customFormat="false" ht="15" hidden="false" customHeight="false" outlineLevel="0" collapsed="false">
      <c r="A71" s="29" t="str">
        <f aca="false">IF($C71="","",ROW()-4)</f>
        <v/>
      </c>
      <c r="B71" s="35" t="str">
        <f aca="false">IF($C71="","",IFERROR(INDEX(电梯片区,MATCH($E71,电梯键,0)),""))</f>
        <v/>
      </c>
      <c r="C71" s="24"/>
      <c r="D71" s="24"/>
      <c r="E71" s="30" t="str">
        <f aca="false">IF($C71="","",$C71&amp;" ｜ "&amp;$D71)</f>
        <v/>
      </c>
      <c r="F71" s="25"/>
      <c r="G71" s="25"/>
      <c r="H71" s="33"/>
      <c r="I71" s="33"/>
      <c r="J71" s="32"/>
      <c r="K71" s="38" t="str">
        <f aca="false">IF($C71="","",SUMIF(电梯键,$E71,电梯台量))</f>
        <v/>
      </c>
      <c r="L71" s="39"/>
      <c r="M71" s="25"/>
      <c r="N71" s="25"/>
      <c r="O71" s="38" t="str">
        <f aca="false">IF($C71="","",SUMIFS(电梯台量,电梯键,$E71,电梯状态,"安装免保")+SUMIFS(电梯台量,电梯键,$E71,电梯状态,"技术免保")+SUMIFS(电梯台量,电梯键,$E71,电梯状态,"质保期内"))</f>
        <v/>
      </c>
      <c r="P71" s="38" t="str">
        <f aca="false">IF($C71="","",$K71-$O71)</f>
        <v/>
      </c>
      <c r="Q71" s="34" t="str">
        <f aca="true">IF($C71="","",IF($G71="已终止","",IF($I71="","▲没填合同止期",IF($I71&lt;TODAY(),"已到期 "&amp;TEXT(TODAY()-$I71,"0")&amp;" 天",IF($I71-TODAY()&lt;=合同提醒天,"将到期 "&amp;TEXT($I71-TODAY(),"0")&amp;" 天","")))))</f>
        <v/>
      </c>
      <c r="R71" s="34" t="str">
        <f aca="false">IF($C71="","",IF($G71="","▲合同状态没选",IF(OR($G71="已签未回",$G71="未签",$G71="续签中"),"▲合同未回（"&amp;$G71&amp;"）","")))</f>
        <v/>
      </c>
      <c r="S71" s="35" t="str">
        <f aca="false">IF($C71="","",IF(N($J71)=N($K71),"一致","★合同"&amp;TEXT(N($J71),"0")&amp;"台 / 在册"&amp;TEXT(N($K71),"0")&amp;"台"))</f>
        <v/>
      </c>
      <c r="T71" s="40" t="str">
        <f aca="false">IF($C71="","",ROUND(SUMIFS(应收金额,应收键,$E71,应收年度,管理年度),2))</f>
        <v/>
      </c>
      <c r="U71" s="40" t="str">
        <f aca="false">IF($C71="","",ROUND(SUMIFS(收款金额,收款键,$E71,收款年度,管理年度),2))</f>
        <v/>
      </c>
      <c r="V71" s="41" t="str">
        <f aca="false">IF($C71="","",ROUND(SUMIF(应收键,$E71,应收金额)-SUMIF(收款键,$E71,收款金额),2))</f>
        <v/>
      </c>
      <c r="W71" s="24"/>
      <c r="X71" s="35" t="str">
        <f aca="false">IF($C71="","",IF($D71="","★项目名称没填",IF(COUNTIF($E$5:$E$304,$E71)&gt;1,"★键重复",IF(AND($H71&lt;&gt;"",$I71&lt;&gt;"",$I71&lt;$H71),"★合同起止反了",IF(N($K71)=0,"★电梯资料里没有这个项目","OK")))))</f>
        <v/>
      </c>
    </row>
    <row r="72" customFormat="false" ht="15" hidden="false" customHeight="false" outlineLevel="0" collapsed="false">
      <c r="A72" s="29" t="str">
        <f aca="false">IF($C72="","",ROW()-4)</f>
        <v/>
      </c>
      <c r="B72" s="35" t="str">
        <f aca="false">IF($C72="","",IFERROR(INDEX(电梯片区,MATCH($E72,电梯键,0)),""))</f>
        <v/>
      </c>
      <c r="C72" s="24"/>
      <c r="D72" s="24"/>
      <c r="E72" s="30" t="str">
        <f aca="false">IF($C72="","",$C72&amp;" ｜ "&amp;$D72)</f>
        <v/>
      </c>
      <c r="F72" s="25"/>
      <c r="G72" s="25"/>
      <c r="H72" s="33"/>
      <c r="I72" s="33"/>
      <c r="J72" s="32"/>
      <c r="K72" s="38" t="str">
        <f aca="false">IF($C72="","",SUMIF(电梯键,$E72,电梯台量))</f>
        <v/>
      </c>
      <c r="L72" s="39"/>
      <c r="M72" s="25"/>
      <c r="N72" s="25"/>
      <c r="O72" s="38" t="str">
        <f aca="false">IF($C72="","",SUMIFS(电梯台量,电梯键,$E72,电梯状态,"安装免保")+SUMIFS(电梯台量,电梯键,$E72,电梯状态,"技术免保")+SUMIFS(电梯台量,电梯键,$E72,电梯状态,"质保期内"))</f>
        <v/>
      </c>
      <c r="P72" s="38" t="str">
        <f aca="false">IF($C72="","",$K72-$O72)</f>
        <v/>
      </c>
      <c r="Q72" s="34" t="str">
        <f aca="true">IF($C72="","",IF($G72="已终止","",IF($I72="","▲没填合同止期",IF($I72&lt;TODAY(),"已到期 "&amp;TEXT(TODAY()-$I72,"0")&amp;" 天",IF($I72-TODAY()&lt;=合同提醒天,"将到期 "&amp;TEXT($I72-TODAY(),"0")&amp;" 天","")))))</f>
        <v/>
      </c>
      <c r="R72" s="34" t="str">
        <f aca="false">IF($C72="","",IF($G72="","▲合同状态没选",IF(OR($G72="已签未回",$G72="未签",$G72="续签中"),"▲合同未回（"&amp;$G72&amp;"）","")))</f>
        <v/>
      </c>
      <c r="S72" s="35" t="str">
        <f aca="false">IF($C72="","",IF(N($J72)=N($K72),"一致","★合同"&amp;TEXT(N($J72),"0")&amp;"台 / 在册"&amp;TEXT(N($K72),"0")&amp;"台"))</f>
        <v/>
      </c>
      <c r="T72" s="40" t="str">
        <f aca="false">IF($C72="","",ROUND(SUMIFS(应收金额,应收键,$E72,应收年度,管理年度),2))</f>
        <v/>
      </c>
      <c r="U72" s="40" t="str">
        <f aca="false">IF($C72="","",ROUND(SUMIFS(收款金额,收款键,$E72,收款年度,管理年度),2))</f>
        <v/>
      </c>
      <c r="V72" s="41" t="str">
        <f aca="false">IF($C72="","",ROUND(SUMIF(应收键,$E72,应收金额)-SUMIF(收款键,$E72,收款金额),2))</f>
        <v/>
      </c>
      <c r="W72" s="24"/>
      <c r="X72" s="35" t="str">
        <f aca="false">IF($C72="","",IF($D72="","★项目名称没填",IF(COUNTIF($E$5:$E$304,$E72)&gt;1,"★键重复",IF(AND($H72&lt;&gt;"",$I72&lt;&gt;"",$I72&lt;$H72),"★合同起止反了",IF(N($K72)=0,"★电梯资料里没有这个项目","OK")))))</f>
        <v/>
      </c>
    </row>
    <row r="73" customFormat="false" ht="15" hidden="false" customHeight="false" outlineLevel="0" collapsed="false">
      <c r="A73" s="29" t="str">
        <f aca="false">IF($C73="","",ROW()-4)</f>
        <v/>
      </c>
      <c r="B73" s="35" t="str">
        <f aca="false">IF($C73="","",IFERROR(INDEX(电梯片区,MATCH($E73,电梯键,0)),""))</f>
        <v/>
      </c>
      <c r="C73" s="24"/>
      <c r="D73" s="24"/>
      <c r="E73" s="30" t="str">
        <f aca="false">IF($C73="","",$C73&amp;" ｜ "&amp;$D73)</f>
        <v/>
      </c>
      <c r="F73" s="25"/>
      <c r="G73" s="25"/>
      <c r="H73" s="33"/>
      <c r="I73" s="33"/>
      <c r="J73" s="32"/>
      <c r="K73" s="38" t="str">
        <f aca="false">IF($C73="","",SUMIF(电梯键,$E73,电梯台量))</f>
        <v/>
      </c>
      <c r="L73" s="39"/>
      <c r="M73" s="25"/>
      <c r="N73" s="25"/>
      <c r="O73" s="38" t="str">
        <f aca="false">IF($C73="","",SUMIFS(电梯台量,电梯键,$E73,电梯状态,"安装免保")+SUMIFS(电梯台量,电梯键,$E73,电梯状态,"技术免保")+SUMIFS(电梯台量,电梯键,$E73,电梯状态,"质保期内"))</f>
        <v/>
      </c>
      <c r="P73" s="38" t="str">
        <f aca="false">IF($C73="","",$K73-$O73)</f>
        <v/>
      </c>
      <c r="Q73" s="34" t="str">
        <f aca="true">IF($C73="","",IF($G73="已终止","",IF($I73="","▲没填合同止期",IF($I73&lt;TODAY(),"已到期 "&amp;TEXT(TODAY()-$I73,"0")&amp;" 天",IF($I73-TODAY()&lt;=合同提醒天,"将到期 "&amp;TEXT($I73-TODAY(),"0")&amp;" 天","")))))</f>
        <v/>
      </c>
      <c r="R73" s="34" t="str">
        <f aca="false">IF($C73="","",IF($G73="","▲合同状态没选",IF(OR($G73="已签未回",$G73="未签",$G73="续签中"),"▲合同未回（"&amp;$G73&amp;"）","")))</f>
        <v/>
      </c>
      <c r="S73" s="35" t="str">
        <f aca="false">IF($C73="","",IF(N($J73)=N($K73),"一致","★合同"&amp;TEXT(N($J73),"0")&amp;"台 / 在册"&amp;TEXT(N($K73),"0")&amp;"台"))</f>
        <v/>
      </c>
      <c r="T73" s="40" t="str">
        <f aca="false">IF($C73="","",ROUND(SUMIFS(应收金额,应收键,$E73,应收年度,管理年度),2))</f>
        <v/>
      </c>
      <c r="U73" s="40" t="str">
        <f aca="false">IF($C73="","",ROUND(SUMIFS(收款金额,收款键,$E73,收款年度,管理年度),2))</f>
        <v/>
      </c>
      <c r="V73" s="41" t="str">
        <f aca="false">IF($C73="","",ROUND(SUMIF(应收键,$E73,应收金额)-SUMIF(收款键,$E73,收款金额),2))</f>
        <v/>
      </c>
      <c r="W73" s="24"/>
      <c r="X73" s="35" t="str">
        <f aca="false">IF($C73="","",IF($D73="","★项目名称没填",IF(COUNTIF($E$5:$E$304,$E73)&gt;1,"★键重复",IF(AND($H73&lt;&gt;"",$I73&lt;&gt;"",$I73&lt;$H73),"★合同起止反了",IF(N($K73)=0,"★电梯资料里没有这个项目","OK")))))</f>
        <v/>
      </c>
    </row>
    <row r="74" customFormat="false" ht="15" hidden="false" customHeight="false" outlineLevel="0" collapsed="false">
      <c r="A74" s="29" t="str">
        <f aca="false">IF($C74="","",ROW()-4)</f>
        <v/>
      </c>
      <c r="B74" s="35" t="str">
        <f aca="false">IF($C74="","",IFERROR(INDEX(电梯片区,MATCH($E74,电梯键,0)),""))</f>
        <v/>
      </c>
      <c r="C74" s="24"/>
      <c r="D74" s="24"/>
      <c r="E74" s="30" t="str">
        <f aca="false">IF($C74="","",$C74&amp;" ｜ "&amp;$D74)</f>
        <v/>
      </c>
      <c r="F74" s="25"/>
      <c r="G74" s="25"/>
      <c r="H74" s="33"/>
      <c r="I74" s="33"/>
      <c r="J74" s="32"/>
      <c r="K74" s="38" t="str">
        <f aca="false">IF($C74="","",SUMIF(电梯键,$E74,电梯台量))</f>
        <v/>
      </c>
      <c r="L74" s="39"/>
      <c r="M74" s="25"/>
      <c r="N74" s="25"/>
      <c r="O74" s="38" t="str">
        <f aca="false">IF($C74="","",SUMIFS(电梯台量,电梯键,$E74,电梯状态,"安装免保")+SUMIFS(电梯台量,电梯键,$E74,电梯状态,"技术免保")+SUMIFS(电梯台量,电梯键,$E74,电梯状态,"质保期内"))</f>
        <v/>
      </c>
      <c r="P74" s="38" t="str">
        <f aca="false">IF($C74="","",$K74-$O74)</f>
        <v/>
      </c>
      <c r="Q74" s="34" t="str">
        <f aca="true">IF($C74="","",IF($G74="已终止","",IF($I74="","▲没填合同止期",IF($I74&lt;TODAY(),"已到期 "&amp;TEXT(TODAY()-$I74,"0")&amp;" 天",IF($I74-TODAY()&lt;=合同提醒天,"将到期 "&amp;TEXT($I74-TODAY(),"0")&amp;" 天","")))))</f>
        <v/>
      </c>
      <c r="R74" s="34" t="str">
        <f aca="false">IF($C74="","",IF($G74="","▲合同状态没选",IF(OR($G74="已签未回",$G74="未签",$G74="续签中"),"▲合同未回（"&amp;$G74&amp;"）","")))</f>
        <v/>
      </c>
      <c r="S74" s="35" t="str">
        <f aca="false">IF($C74="","",IF(N($J74)=N($K74),"一致","★合同"&amp;TEXT(N($J74),"0")&amp;"台 / 在册"&amp;TEXT(N($K74),"0")&amp;"台"))</f>
        <v/>
      </c>
      <c r="T74" s="40" t="str">
        <f aca="false">IF($C74="","",ROUND(SUMIFS(应收金额,应收键,$E74,应收年度,管理年度),2))</f>
        <v/>
      </c>
      <c r="U74" s="40" t="str">
        <f aca="false">IF($C74="","",ROUND(SUMIFS(收款金额,收款键,$E74,收款年度,管理年度),2))</f>
        <v/>
      </c>
      <c r="V74" s="41" t="str">
        <f aca="false">IF($C74="","",ROUND(SUMIF(应收键,$E74,应收金额)-SUMIF(收款键,$E74,收款金额),2))</f>
        <v/>
      </c>
      <c r="W74" s="24"/>
      <c r="X74" s="35" t="str">
        <f aca="false">IF($C74="","",IF($D74="","★项目名称没填",IF(COUNTIF($E$5:$E$304,$E74)&gt;1,"★键重复",IF(AND($H74&lt;&gt;"",$I74&lt;&gt;"",$I74&lt;$H74),"★合同起止反了",IF(N($K74)=0,"★电梯资料里没有这个项目","OK")))))</f>
        <v/>
      </c>
    </row>
    <row r="75" customFormat="false" ht="15" hidden="false" customHeight="false" outlineLevel="0" collapsed="false">
      <c r="A75" s="29" t="str">
        <f aca="false">IF($C75="","",ROW()-4)</f>
        <v/>
      </c>
      <c r="B75" s="35" t="str">
        <f aca="false">IF($C75="","",IFERROR(INDEX(电梯片区,MATCH($E75,电梯键,0)),""))</f>
        <v/>
      </c>
      <c r="C75" s="24"/>
      <c r="D75" s="24"/>
      <c r="E75" s="30" t="str">
        <f aca="false">IF($C75="","",$C75&amp;" ｜ "&amp;$D75)</f>
        <v/>
      </c>
      <c r="F75" s="25"/>
      <c r="G75" s="25"/>
      <c r="H75" s="33"/>
      <c r="I75" s="33"/>
      <c r="J75" s="32"/>
      <c r="K75" s="38" t="str">
        <f aca="false">IF($C75="","",SUMIF(电梯键,$E75,电梯台量))</f>
        <v/>
      </c>
      <c r="L75" s="39"/>
      <c r="M75" s="25"/>
      <c r="N75" s="25"/>
      <c r="O75" s="38" t="str">
        <f aca="false">IF($C75="","",SUMIFS(电梯台量,电梯键,$E75,电梯状态,"安装免保")+SUMIFS(电梯台量,电梯键,$E75,电梯状态,"技术免保")+SUMIFS(电梯台量,电梯键,$E75,电梯状态,"质保期内"))</f>
        <v/>
      </c>
      <c r="P75" s="38" t="str">
        <f aca="false">IF($C75="","",$K75-$O75)</f>
        <v/>
      </c>
      <c r="Q75" s="34" t="str">
        <f aca="true">IF($C75="","",IF($G75="已终止","",IF($I75="","▲没填合同止期",IF($I75&lt;TODAY(),"已到期 "&amp;TEXT(TODAY()-$I75,"0")&amp;" 天",IF($I75-TODAY()&lt;=合同提醒天,"将到期 "&amp;TEXT($I75-TODAY(),"0")&amp;" 天","")))))</f>
        <v/>
      </c>
      <c r="R75" s="34" t="str">
        <f aca="false">IF($C75="","",IF($G75="","▲合同状态没选",IF(OR($G75="已签未回",$G75="未签",$G75="续签中"),"▲合同未回（"&amp;$G75&amp;"）","")))</f>
        <v/>
      </c>
      <c r="S75" s="35" t="str">
        <f aca="false">IF($C75="","",IF(N($J75)=N($K75),"一致","★合同"&amp;TEXT(N($J75),"0")&amp;"台 / 在册"&amp;TEXT(N($K75),"0")&amp;"台"))</f>
        <v/>
      </c>
      <c r="T75" s="40" t="str">
        <f aca="false">IF($C75="","",ROUND(SUMIFS(应收金额,应收键,$E75,应收年度,管理年度),2))</f>
        <v/>
      </c>
      <c r="U75" s="40" t="str">
        <f aca="false">IF($C75="","",ROUND(SUMIFS(收款金额,收款键,$E75,收款年度,管理年度),2))</f>
        <v/>
      </c>
      <c r="V75" s="41" t="str">
        <f aca="false">IF($C75="","",ROUND(SUMIF(应收键,$E75,应收金额)-SUMIF(收款键,$E75,收款金额),2))</f>
        <v/>
      </c>
      <c r="W75" s="24"/>
      <c r="X75" s="35" t="str">
        <f aca="false">IF($C75="","",IF($D75="","★项目名称没填",IF(COUNTIF($E$5:$E$304,$E75)&gt;1,"★键重复",IF(AND($H75&lt;&gt;"",$I75&lt;&gt;"",$I75&lt;$H75),"★合同起止反了",IF(N($K75)=0,"★电梯资料里没有这个项目","OK")))))</f>
        <v/>
      </c>
    </row>
    <row r="76" customFormat="false" ht="15" hidden="false" customHeight="false" outlineLevel="0" collapsed="false">
      <c r="A76" s="29" t="str">
        <f aca="false">IF($C76="","",ROW()-4)</f>
        <v/>
      </c>
      <c r="B76" s="35" t="str">
        <f aca="false">IF($C76="","",IFERROR(INDEX(电梯片区,MATCH($E76,电梯键,0)),""))</f>
        <v/>
      </c>
      <c r="C76" s="24"/>
      <c r="D76" s="24"/>
      <c r="E76" s="30" t="str">
        <f aca="false">IF($C76="","",$C76&amp;" ｜ "&amp;$D76)</f>
        <v/>
      </c>
      <c r="F76" s="25"/>
      <c r="G76" s="25"/>
      <c r="H76" s="33"/>
      <c r="I76" s="33"/>
      <c r="J76" s="32"/>
      <c r="K76" s="38" t="str">
        <f aca="false">IF($C76="","",SUMIF(电梯键,$E76,电梯台量))</f>
        <v/>
      </c>
      <c r="L76" s="39"/>
      <c r="M76" s="25"/>
      <c r="N76" s="25"/>
      <c r="O76" s="38" t="str">
        <f aca="false">IF($C76="","",SUMIFS(电梯台量,电梯键,$E76,电梯状态,"安装免保")+SUMIFS(电梯台量,电梯键,$E76,电梯状态,"技术免保")+SUMIFS(电梯台量,电梯键,$E76,电梯状态,"质保期内"))</f>
        <v/>
      </c>
      <c r="P76" s="38" t="str">
        <f aca="false">IF($C76="","",$K76-$O76)</f>
        <v/>
      </c>
      <c r="Q76" s="34" t="str">
        <f aca="true">IF($C76="","",IF($G76="已终止","",IF($I76="","▲没填合同止期",IF($I76&lt;TODAY(),"已到期 "&amp;TEXT(TODAY()-$I76,"0")&amp;" 天",IF($I76-TODAY()&lt;=合同提醒天,"将到期 "&amp;TEXT($I76-TODAY(),"0")&amp;" 天","")))))</f>
        <v/>
      </c>
      <c r="R76" s="34" t="str">
        <f aca="false">IF($C76="","",IF($G76="","▲合同状态没选",IF(OR($G76="已签未回",$G76="未签",$G76="续签中"),"▲合同未回（"&amp;$G76&amp;"）","")))</f>
        <v/>
      </c>
      <c r="S76" s="35" t="str">
        <f aca="false">IF($C76="","",IF(N($J76)=N($K76),"一致","★合同"&amp;TEXT(N($J76),"0")&amp;"台 / 在册"&amp;TEXT(N($K76),"0")&amp;"台"))</f>
        <v/>
      </c>
      <c r="T76" s="40" t="str">
        <f aca="false">IF($C76="","",ROUND(SUMIFS(应收金额,应收键,$E76,应收年度,管理年度),2))</f>
        <v/>
      </c>
      <c r="U76" s="40" t="str">
        <f aca="false">IF($C76="","",ROUND(SUMIFS(收款金额,收款键,$E76,收款年度,管理年度),2))</f>
        <v/>
      </c>
      <c r="V76" s="41" t="str">
        <f aca="false">IF($C76="","",ROUND(SUMIF(应收键,$E76,应收金额)-SUMIF(收款键,$E76,收款金额),2))</f>
        <v/>
      </c>
      <c r="W76" s="24"/>
      <c r="X76" s="35" t="str">
        <f aca="false">IF($C76="","",IF($D76="","★项目名称没填",IF(COUNTIF($E$5:$E$304,$E76)&gt;1,"★键重复",IF(AND($H76&lt;&gt;"",$I76&lt;&gt;"",$I76&lt;$H76),"★合同起止反了",IF(N($K76)=0,"★电梯资料里没有这个项目","OK")))))</f>
        <v/>
      </c>
    </row>
    <row r="77" customFormat="false" ht="15" hidden="false" customHeight="false" outlineLevel="0" collapsed="false">
      <c r="A77" s="29" t="str">
        <f aca="false">IF($C77="","",ROW()-4)</f>
        <v/>
      </c>
      <c r="B77" s="35" t="str">
        <f aca="false">IF($C77="","",IFERROR(INDEX(电梯片区,MATCH($E77,电梯键,0)),""))</f>
        <v/>
      </c>
      <c r="C77" s="24"/>
      <c r="D77" s="24"/>
      <c r="E77" s="30" t="str">
        <f aca="false">IF($C77="","",$C77&amp;" ｜ "&amp;$D77)</f>
        <v/>
      </c>
      <c r="F77" s="25"/>
      <c r="G77" s="25"/>
      <c r="H77" s="33"/>
      <c r="I77" s="33"/>
      <c r="J77" s="32"/>
      <c r="K77" s="38" t="str">
        <f aca="false">IF($C77="","",SUMIF(电梯键,$E77,电梯台量))</f>
        <v/>
      </c>
      <c r="L77" s="39"/>
      <c r="M77" s="25"/>
      <c r="N77" s="25"/>
      <c r="O77" s="38" t="str">
        <f aca="false">IF($C77="","",SUMIFS(电梯台量,电梯键,$E77,电梯状态,"安装免保")+SUMIFS(电梯台量,电梯键,$E77,电梯状态,"技术免保")+SUMIFS(电梯台量,电梯键,$E77,电梯状态,"质保期内"))</f>
        <v/>
      </c>
      <c r="P77" s="38" t="str">
        <f aca="false">IF($C77="","",$K77-$O77)</f>
        <v/>
      </c>
      <c r="Q77" s="34" t="str">
        <f aca="true">IF($C77="","",IF($G77="已终止","",IF($I77="","▲没填合同止期",IF($I77&lt;TODAY(),"已到期 "&amp;TEXT(TODAY()-$I77,"0")&amp;" 天",IF($I77-TODAY()&lt;=合同提醒天,"将到期 "&amp;TEXT($I77-TODAY(),"0")&amp;" 天","")))))</f>
        <v/>
      </c>
      <c r="R77" s="34" t="str">
        <f aca="false">IF($C77="","",IF($G77="","▲合同状态没选",IF(OR($G77="已签未回",$G77="未签",$G77="续签中"),"▲合同未回（"&amp;$G77&amp;"）","")))</f>
        <v/>
      </c>
      <c r="S77" s="35" t="str">
        <f aca="false">IF($C77="","",IF(N($J77)=N($K77),"一致","★合同"&amp;TEXT(N($J77),"0")&amp;"台 / 在册"&amp;TEXT(N($K77),"0")&amp;"台"))</f>
        <v/>
      </c>
      <c r="T77" s="40" t="str">
        <f aca="false">IF($C77="","",ROUND(SUMIFS(应收金额,应收键,$E77,应收年度,管理年度),2))</f>
        <v/>
      </c>
      <c r="U77" s="40" t="str">
        <f aca="false">IF($C77="","",ROUND(SUMIFS(收款金额,收款键,$E77,收款年度,管理年度),2))</f>
        <v/>
      </c>
      <c r="V77" s="41" t="str">
        <f aca="false">IF($C77="","",ROUND(SUMIF(应收键,$E77,应收金额)-SUMIF(收款键,$E77,收款金额),2))</f>
        <v/>
      </c>
      <c r="W77" s="24"/>
      <c r="X77" s="35" t="str">
        <f aca="false">IF($C77="","",IF($D77="","★项目名称没填",IF(COUNTIF($E$5:$E$304,$E77)&gt;1,"★键重复",IF(AND($H77&lt;&gt;"",$I77&lt;&gt;"",$I77&lt;$H77),"★合同起止反了",IF(N($K77)=0,"★电梯资料里没有这个项目","OK")))))</f>
        <v/>
      </c>
    </row>
    <row r="78" customFormat="false" ht="15" hidden="false" customHeight="false" outlineLevel="0" collapsed="false">
      <c r="A78" s="29" t="str">
        <f aca="false">IF($C78="","",ROW()-4)</f>
        <v/>
      </c>
      <c r="B78" s="35" t="str">
        <f aca="false">IF($C78="","",IFERROR(INDEX(电梯片区,MATCH($E78,电梯键,0)),""))</f>
        <v/>
      </c>
      <c r="C78" s="24"/>
      <c r="D78" s="24"/>
      <c r="E78" s="30" t="str">
        <f aca="false">IF($C78="","",$C78&amp;" ｜ "&amp;$D78)</f>
        <v/>
      </c>
      <c r="F78" s="25"/>
      <c r="G78" s="25"/>
      <c r="H78" s="33"/>
      <c r="I78" s="33"/>
      <c r="J78" s="32"/>
      <c r="K78" s="38" t="str">
        <f aca="false">IF($C78="","",SUMIF(电梯键,$E78,电梯台量))</f>
        <v/>
      </c>
      <c r="L78" s="39"/>
      <c r="M78" s="25"/>
      <c r="N78" s="25"/>
      <c r="O78" s="38" t="str">
        <f aca="false">IF($C78="","",SUMIFS(电梯台量,电梯键,$E78,电梯状态,"安装免保")+SUMIFS(电梯台量,电梯键,$E78,电梯状态,"技术免保")+SUMIFS(电梯台量,电梯键,$E78,电梯状态,"质保期内"))</f>
        <v/>
      </c>
      <c r="P78" s="38" t="str">
        <f aca="false">IF($C78="","",$K78-$O78)</f>
        <v/>
      </c>
      <c r="Q78" s="34" t="str">
        <f aca="true">IF($C78="","",IF($G78="已终止","",IF($I78="","▲没填合同止期",IF($I78&lt;TODAY(),"已到期 "&amp;TEXT(TODAY()-$I78,"0")&amp;" 天",IF($I78-TODAY()&lt;=合同提醒天,"将到期 "&amp;TEXT($I78-TODAY(),"0")&amp;" 天","")))))</f>
        <v/>
      </c>
      <c r="R78" s="34" t="str">
        <f aca="false">IF($C78="","",IF($G78="","▲合同状态没选",IF(OR($G78="已签未回",$G78="未签",$G78="续签中"),"▲合同未回（"&amp;$G78&amp;"）","")))</f>
        <v/>
      </c>
      <c r="S78" s="35" t="str">
        <f aca="false">IF($C78="","",IF(N($J78)=N($K78),"一致","★合同"&amp;TEXT(N($J78),"0")&amp;"台 / 在册"&amp;TEXT(N($K78),"0")&amp;"台"))</f>
        <v/>
      </c>
      <c r="T78" s="40" t="str">
        <f aca="false">IF($C78="","",ROUND(SUMIFS(应收金额,应收键,$E78,应收年度,管理年度),2))</f>
        <v/>
      </c>
      <c r="U78" s="40" t="str">
        <f aca="false">IF($C78="","",ROUND(SUMIFS(收款金额,收款键,$E78,收款年度,管理年度),2))</f>
        <v/>
      </c>
      <c r="V78" s="41" t="str">
        <f aca="false">IF($C78="","",ROUND(SUMIF(应收键,$E78,应收金额)-SUMIF(收款键,$E78,收款金额),2))</f>
        <v/>
      </c>
      <c r="W78" s="24"/>
      <c r="X78" s="35" t="str">
        <f aca="false">IF($C78="","",IF($D78="","★项目名称没填",IF(COUNTIF($E$5:$E$304,$E78)&gt;1,"★键重复",IF(AND($H78&lt;&gt;"",$I78&lt;&gt;"",$I78&lt;$H78),"★合同起止反了",IF(N($K78)=0,"★电梯资料里没有这个项目","OK")))))</f>
        <v/>
      </c>
    </row>
    <row r="79" customFormat="false" ht="15" hidden="false" customHeight="false" outlineLevel="0" collapsed="false">
      <c r="A79" s="29" t="str">
        <f aca="false">IF($C79="","",ROW()-4)</f>
        <v/>
      </c>
      <c r="B79" s="35" t="str">
        <f aca="false">IF($C79="","",IFERROR(INDEX(电梯片区,MATCH($E79,电梯键,0)),""))</f>
        <v/>
      </c>
      <c r="C79" s="24"/>
      <c r="D79" s="24"/>
      <c r="E79" s="30" t="str">
        <f aca="false">IF($C79="","",$C79&amp;" ｜ "&amp;$D79)</f>
        <v/>
      </c>
      <c r="F79" s="25"/>
      <c r="G79" s="25"/>
      <c r="H79" s="33"/>
      <c r="I79" s="33"/>
      <c r="J79" s="32"/>
      <c r="K79" s="38" t="str">
        <f aca="false">IF($C79="","",SUMIF(电梯键,$E79,电梯台量))</f>
        <v/>
      </c>
      <c r="L79" s="39"/>
      <c r="M79" s="25"/>
      <c r="N79" s="25"/>
      <c r="O79" s="38" t="str">
        <f aca="false">IF($C79="","",SUMIFS(电梯台量,电梯键,$E79,电梯状态,"安装免保")+SUMIFS(电梯台量,电梯键,$E79,电梯状态,"技术免保")+SUMIFS(电梯台量,电梯键,$E79,电梯状态,"质保期内"))</f>
        <v/>
      </c>
      <c r="P79" s="38" t="str">
        <f aca="false">IF($C79="","",$K79-$O79)</f>
        <v/>
      </c>
      <c r="Q79" s="34" t="str">
        <f aca="true">IF($C79="","",IF($G79="已终止","",IF($I79="","▲没填合同止期",IF($I79&lt;TODAY(),"已到期 "&amp;TEXT(TODAY()-$I79,"0")&amp;" 天",IF($I79-TODAY()&lt;=合同提醒天,"将到期 "&amp;TEXT($I79-TODAY(),"0")&amp;" 天","")))))</f>
        <v/>
      </c>
      <c r="R79" s="34" t="str">
        <f aca="false">IF($C79="","",IF($G79="","▲合同状态没选",IF(OR($G79="已签未回",$G79="未签",$G79="续签中"),"▲合同未回（"&amp;$G79&amp;"）","")))</f>
        <v/>
      </c>
      <c r="S79" s="35" t="str">
        <f aca="false">IF($C79="","",IF(N($J79)=N($K79),"一致","★合同"&amp;TEXT(N($J79),"0")&amp;"台 / 在册"&amp;TEXT(N($K79),"0")&amp;"台"))</f>
        <v/>
      </c>
      <c r="T79" s="40" t="str">
        <f aca="false">IF($C79="","",ROUND(SUMIFS(应收金额,应收键,$E79,应收年度,管理年度),2))</f>
        <v/>
      </c>
      <c r="U79" s="40" t="str">
        <f aca="false">IF($C79="","",ROUND(SUMIFS(收款金额,收款键,$E79,收款年度,管理年度),2))</f>
        <v/>
      </c>
      <c r="V79" s="41" t="str">
        <f aca="false">IF($C79="","",ROUND(SUMIF(应收键,$E79,应收金额)-SUMIF(收款键,$E79,收款金额),2))</f>
        <v/>
      </c>
      <c r="W79" s="24"/>
      <c r="X79" s="35" t="str">
        <f aca="false">IF($C79="","",IF($D79="","★项目名称没填",IF(COUNTIF($E$5:$E$304,$E79)&gt;1,"★键重复",IF(AND($H79&lt;&gt;"",$I79&lt;&gt;"",$I79&lt;$H79),"★合同起止反了",IF(N($K79)=0,"★电梯资料里没有这个项目","OK")))))</f>
        <v/>
      </c>
    </row>
    <row r="80" customFormat="false" ht="15" hidden="false" customHeight="false" outlineLevel="0" collapsed="false">
      <c r="A80" s="29" t="str">
        <f aca="false">IF($C80="","",ROW()-4)</f>
        <v/>
      </c>
      <c r="B80" s="35" t="str">
        <f aca="false">IF($C80="","",IFERROR(INDEX(电梯片区,MATCH($E80,电梯键,0)),""))</f>
        <v/>
      </c>
      <c r="C80" s="24"/>
      <c r="D80" s="24"/>
      <c r="E80" s="30" t="str">
        <f aca="false">IF($C80="","",$C80&amp;" ｜ "&amp;$D80)</f>
        <v/>
      </c>
      <c r="F80" s="25"/>
      <c r="G80" s="25"/>
      <c r="H80" s="33"/>
      <c r="I80" s="33"/>
      <c r="J80" s="32"/>
      <c r="K80" s="38" t="str">
        <f aca="false">IF($C80="","",SUMIF(电梯键,$E80,电梯台量))</f>
        <v/>
      </c>
      <c r="L80" s="39"/>
      <c r="M80" s="25"/>
      <c r="N80" s="25"/>
      <c r="O80" s="38" t="str">
        <f aca="false">IF($C80="","",SUMIFS(电梯台量,电梯键,$E80,电梯状态,"安装免保")+SUMIFS(电梯台量,电梯键,$E80,电梯状态,"技术免保")+SUMIFS(电梯台量,电梯键,$E80,电梯状态,"质保期内"))</f>
        <v/>
      </c>
      <c r="P80" s="38" t="str">
        <f aca="false">IF($C80="","",$K80-$O80)</f>
        <v/>
      </c>
      <c r="Q80" s="34" t="str">
        <f aca="true">IF($C80="","",IF($G80="已终止","",IF($I80="","▲没填合同止期",IF($I80&lt;TODAY(),"已到期 "&amp;TEXT(TODAY()-$I80,"0")&amp;" 天",IF($I80-TODAY()&lt;=合同提醒天,"将到期 "&amp;TEXT($I80-TODAY(),"0")&amp;" 天","")))))</f>
        <v/>
      </c>
      <c r="R80" s="34" t="str">
        <f aca="false">IF($C80="","",IF($G80="","▲合同状态没选",IF(OR($G80="已签未回",$G80="未签",$G80="续签中"),"▲合同未回（"&amp;$G80&amp;"）","")))</f>
        <v/>
      </c>
      <c r="S80" s="35" t="str">
        <f aca="false">IF($C80="","",IF(N($J80)=N($K80),"一致","★合同"&amp;TEXT(N($J80),"0")&amp;"台 / 在册"&amp;TEXT(N($K80),"0")&amp;"台"))</f>
        <v/>
      </c>
      <c r="T80" s="40" t="str">
        <f aca="false">IF($C80="","",ROUND(SUMIFS(应收金额,应收键,$E80,应收年度,管理年度),2))</f>
        <v/>
      </c>
      <c r="U80" s="40" t="str">
        <f aca="false">IF($C80="","",ROUND(SUMIFS(收款金额,收款键,$E80,收款年度,管理年度),2))</f>
        <v/>
      </c>
      <c r="V80" s="41" t="str">
        <f aca="false">IF($C80="","",ROUND(SUMIF(应收键,$E80,应收金额)-SUMIF(收款键,$E80,收款金额),2))</f>
        <v/>
      </c>
      <c r="W80" s="24"/>
      <c r="X80" s="35" t="str">
        <f aca="false">IF($C80="","",IF($D80="","★项目名称没填",IF(COUNTIF($E$5:$E$304,$E80)&gt;1,"★键重复",IF(AND($H80&lt;&gt;"",$I80&lt;&gt;"",$I80&lt;$H80),"★合同起止反了",IF(N($K80)=0,"★电梯资料里没有这个项目","OK")))))</f>
        <v/>
      </c>
    </row>
    <row r="81" customFormat="false" ht="15" hidden="false" customHeight="false" outlineLevel="0" collapsed="false">
      <c r="A81" s="29" t="str">
        <f aca="false">IF($C81="","",ROW()-4)</f>
        <v/>
      </c>
      <c r="B81" s="35" t="str">
        <f aca="false">IF($C81="","",IFERROR(INDEX(电梯片区,MATCH($E81,电梯键,0)),""))</f>
        <v/>
      </c>
      <c r="C81" s="24"/>
      <c r="D81" s="24"/>
      <c r="E81" s="30" t="str">
        <f aca="false">IF($C81="","",$C81&amp;" ｜ "&amp;$D81)</f>
        <v/>
      </c>
      <c r="F81" s="25"/>
      <c r="G81" s="25"/>
      <c r="H81" s="33"/>
      <c r="I81" s="33"/>
      <c r="J81" s="32"/>
      <c r="K81" s="38" t="str">
        <f aca="false">IF($C81="","",SUMIF(电梯键,$E81,电梯台量))</f>
        <v/>
      </c>
      <c r="L81" s="39"/>
      <c r="M81" s="25"/>
      <c r="N81" s="25"/>
      <c r="O81" s="38" t="str">
        <f aca="false">IF($C81="","",SUMIFS(电梯台量,电梯键,$E81,电梯状态,"安装免保")+SUMIFS(电梯台量,电梯键,$E81,电梯状态,"技术免保")+SUMIFS(电梯台量,电梯键,$E81,电梯状态,"质保期内"))</f>
        <v/>
      </c>
      <c r="P81" s="38" t="str">
        <f aca="false">IF($C81="","",$K81-$O81)</f>
        <v/>
      </c>
      <c r="Q81" s="34" t="str">
        <f aca="true">IF($C81="","",IF($G81="已终止","",IF($I81="","▲没填合同止期",IF($I81&lt;TODAY(),"已到期 "&amp;TEXT(TODAY()-$I81,"0")&amp;" 天",IF($I81-TODAY()&lt;=合同提醒天,"将到期 "&amp;TEXT($I81-TODAY(),"0")&amp;" 天","")))))</f>
        <v/>
      </c>
      <c r="R81" s="34" t="str">
        <f aca="false">IF($C81="","",IF($G81="","▲合同状态没选",IF(OR($G81="已签未回",$G81="未签",$G81="续签中"),"▲合同未回（"&amp;$G81&amp;"）","")))</f>
        <v/>
      </c>
      <c r="S81" s="35" t="str">
        <f aca="false">IF($C81="","",IF(N($J81)=N($K81),"一致","★合同"&amp;TEXT(N($J81),"0")&amp;"台 / 在册"&amp;TEXT(N($K81),"0")&amp;"台"))</f>
        <v/>
      </c>
      <c r="T81" s="40" t="str">
        <f aca="false">IF($C81="","",ROUND(SUMIFS(应收金额,应收键,$E81,应收年度,管理年度),2))</f>
        <v/>
      </c>
      <c r="U81" s="40" t="str">
        <f aca="false">IF($C81="","",ROUND(SUMIFS(收款金额,收款键,$E81,收款年度,管理年度),2))</f>
        <v/>
      </c>
      <c r="V81" s="41" t="str">
        <f aca="false">IF($C81="","",ROUND(SUMIF(应收键,$E81,应收金额)-SUMIF(收款键,$E81,收款金额),2))</f>
        <v/>
      </c>
      <c r="W81" s="24"/>
      <c r="X81" s="35" t="str">
        <f aca="false">IF($C81="","",IF($D81="","★项目名称没填",IF(COUNTIF($E$5:$E$304,$E81)&gt;1,"★键重复",IF(AND($H81&lt;&gt;"",$I81&lt;&gt;"",$I81&lt;$H81),"★合同起止反了",IF(N($K81)=0,"★电梯资料里没有这个项目","OK")))))</f>
        <v/>
      </c>
    </row>
    <row r="82" customFormat="false" ht="15" hidden="false" customHeight="false" outlineLevel="0" collapsed="false">
      <c r="A82" s="29" t="str">
        <f aca="false">IF($C82="","",ROW()-4)</f>
        <v/>
      </c>
      <c r="B82" s="35" t="str">
        <f aca="false">IF($C82="","",IFERROR(INDEX(电梯片区,MATCH($E82,电梯键,0)),""))</f>
        <v/>
      </c>
      <c r="C82" s="24"/>
      <c r="D82" s="24"/>
      <c r="E82" s="30" t="str">
        <f aca="false">IF($C82="","",$C82&amp;" ｜ "&amp;$D82)</f>
        <v/>
      </c>
      <c r="F82" s="25"/>
      <c r="G82" s="25"/>
      <c r="H82" s="33"/>
      <c r="I82" s="33"/>
      <c r="J82" s="32"/>
      <c r="K82" s="38" t="str">
        <f aca="false">IF($C82="","",SUMIF(电梯键,$E82,电梯台量))</f>
        <v/>
      </c>
      <c r="L82" s="39"/>
      <c r="M82" s="25"/>
      <c r="N82" s="25"/>
      <c r="O82" s="38" t="str">
        <f aca="false">IF($C82="","",SUMIFS(电梯台量,电梯键,$E82,电梯状态,"安装免保")+SUMIFS(电梯台量,电梯键,$E82,电梯状态,"技术免保")+SUMIFS(电梯台量,电梯键,$E82,电梯状态,"质保期内"))</f>
        <v/>
      </c>
      <c r="P82" s="38" t="str">
        <f aca="false">IF($C82="","",$K82-$O82)</f>
        <v/>
      </c>
      <c r="Q82" s="34" t="str">
        <f aca="true">IF($C82="","",IF($G82="已终止","",IF($I82="","▲没填合同止期",IF($I82&lt;TODAY(),"已到期 "&amp;TEXT(TODAY()-$I82,"0")&amp;" 天",IF($I82-TODAY()&lt;=合同提醒天,"将到期 "&amp;TEXT($I82-TODAY(),"0")&amp;" 天","")))))</f>
        <v/>
      </c>
      <c r="R82" s="34" t="str">
        <f aca="false">IF($C82="","",IF($G82="","▲合同状态没选",IF(OR($G82="已签未回",$G82="未签",$G82="续签中"),"▲合同未回（"&amp;$G82&amp;"）","")))</f>
        <v/>
      </c>
      <c r="S82" s="35" t="str">
        <f aca="false">IF($C82="","",IF(N($J82)=N($K82),"一致","★合同"&amp;TEXT(N($J82),"0")&amp;"台 / 在册"&amp;TEXT(N($K82),"0")&amp;"台"))</f>
        <v/>
      </c>
      <c r="T82" s="40" t="str">
        <f aca="false">IF($C82="","",ROUND(SUMIFS(应收金额,应收键,$E82,应收年度,管理年度),2))</f>
        <v/>
      </c>
      <c r="U82" s="40" t="str">
        <f aca="false">IF($C82="","",ROUND(SUMIFS(收款金额,收款键,$E82,收款年度,管理年度),2))</f>
        <v/>
      </c>
      <c r="V82" s="41" t="str">
        <f aca="false">IF($C82="","",ROUND(SUMIF(应收键,$E82,应收金额)-SUMIF(收款键,$E82,收款金额),2))</f>
        <v/>
      </c>
      <c r="W82" s="24"/>
      <c r="X82" s="35" t="str">
        <f aca="false">IF($C82="","",IF($D82="","★项目名称没填",IF(COUNTIF($E$5:$E$304,$E82)&gt;1,"★键重复",IF(AND($H82&lt;&gt;"",$I82&lt;&gt;"",$I82&lt;$H82),"★合同起止反了",IF(N($K82)=0,"★电梯资料里没有这个项目","OK")))))</f>
        <v/>
      </c>
    </row>
    <row r="83" customFormat="false" ht="15" hidden="false" customHeight="false" outlineLevel="0" collapsed="false">
      <c r="A83" s="29" t="str">
        <f aca="false">IF($C83="","",ROW()-4)</f>
        <v/>
      </c>
      <c r="B83" s="35" t="str">
        <f aca="false">IF($C83="","",IFERROR(INDEX(电梯片区,MATCH($E83,电梯键,0)),""))</f>
        <v/>
      </c>
      <c r="C83" s="24"/>
      <c r="D83" s="24"/>
      <c r="E83" s="30" t="str">
        <f aca="false">IF($C83="","",$C83&amp;" ｜ "&amp;$D83)</f>
        <v/>
      </c>
      <c r="F83" s="25"/>
      <c r="G83" s="25"/>
      <c r="H83" s="33"/>
      <c r="I83" s="33"/>
      <c r="J83" s="32"/>
      <c r="K83" s="38" t="str">
        <f aca="false">IF($C83="","",SUMIF(电梯键,$E83,电梯台量))</f>
        <v/>
      </c>
      <c r="L83" s="39"/>
      <c r="M83" s="25"/>
      <c r="N83" s="25"/>
      <c r="O83" s="38" t="str">
        <f aca="false">IF($C83="","",SUMIFS(电梯台量,电梯键,$E83,电梯状态,"安装免保")+SUMIFS(电梯台量,电梯键,$E83,电梯状态,"技术免保")+SUMIFS(电梯台量,电梯键,$E83,电梯状态,"质保期内"))</f>
        <v/>
      </c>
      <c r="P83" s="38" t="str">
        <f aca="false">IF($C83="","",$K83-$O83)</f>
        <v/>
      </c>
      <c r="Q83" s="34" t="str">
        <f aca="true">IF($C83="","",IF($G83="已终止","",IF($I83="","▲没填合同止期",IF($I83&lt;TODAY(),"已到期 "&amp;TEXT(TODAY()-$I83,"0")&amp;" 天",IF($I83-TODAY()&lt;=合同提醒天,"将到期 "&amp;TEXT($I83-TODAY(),"0")&amp;" 天","")))))</f>
        <v/>
      </c>
      <c r="R83" s="34" t="str">
        <f aca="false">IF($C83="","",IF($G83="","▲合同状态没选",IF(OR($G83="已签未回",$G83="未签",$G83="续签中"),"▲合同未回（"&amp;$G83&amp;"）","")))</f>
        <v/>
      </c>
      <c r="S83" s="35" t="str">
        <f aca="false">IF($C83="","",IF(N($J83)=N($K83),"一致","★合同"&amp;TEXT(N($J83),"0")&amp;"台 / 在册"&amp;TEXT(N($K83),"0")&amp;"台"))</f>
        <v/>
      </c>
      <c r="T83" s="40" t="str">
        <f aca="false">IF($C83="","",ROUND(SUMIFS(应收金额,应收键,$E83,应收年度,管理年度),2))</f>
        <v/>
      </c>
      <c r="U83" s="40" t="str">
        <f aca="false">IF($C83="","",ROUND(SUMIFS(收款金额,收款键,$E83,收款年度,管理年度),2))</f>
        <v/>
      </c>
      <c r="V83" s="41" t="str">
        <f aca="false">IF($C83="","",ROUND(SUMIF(应收键,$E83,应收金额)-SUMIF(收款键,$E83,收款金额),2))</f>
        <v/>
      </c>
      <c r="W83" s="24"/>
      <c r="X83" s="35" t="str">
        <f aca="false">IF($C83="","",IF($D83="","★项目名称没填",IF(COUNTIF($E$5:$E$304,$E83)&gt;1,"★键重复",IF(AND($H83&lt;&gt;"",$I83&lt;&gt;"",$I83&lt;$H83),"★合同起止反了",IF(N($K83)=0,"★电梯资料里没有这个项目","OK")))))</f>
        <v/>
      </c>
    </row>
    <row r="84" customFormat="false" ht="15" hidden="false" customHeight="false" outlineLevel="0" collapsed="false">
      <c r="A84" s="29" t="str">
        <f aca="false">IF($C84="","",ROW()-4)</f>
        <v/>
      </c>
      <c r="B84" s="35" t="str">
        <f aca="false">IF($C84="","",IFERROR(INDEX(电梯片区,MATCH($E84,电梯键,0)),""))</f>
        <v/>
      </c>
      <c r="C84" s="24"/>
      <c r="D84" s="24"/>
      <c r="E84" s="30" t="str">
        <f aca="false">IF($C84="","",$C84&amp;" ｜ "&amp;$D84)</f>
        <v/>
      </c>
      <c r="F84" s="25"/>
      <c r="G84" s="25"/>
      <c r="H84" s="33"/>
      <c r="I84" s="33"/>
      <c r="J84" s="32"/>
      <c r="K84" s="38" t="str">
        <f aca="false">IF($C84="","",SUMIF(电梯键,$E84,电梯台量))</f>
        <v/>
      </c>
      <c r="L84" s="39"/>
      <c r="M84" s="25"/>
      <c r="N84" s="25"/>
      <c r="O84" s="38" t="str">
        <f aca="false">IF($C84="","",SUMIFS(电梯台量,电梯键,$E84,电梯状态,"安装免保")+SUMIFS(电梯台量,电梯键,$E84,电梯状态,"技术免保")+SUMIFS(电梯台量,电梯键,$E84,电梯状态,"质保期内"))</f>
        <v/>
      </c>
      <c r="P84" s="38" t="str">
        <f aca="false">IF($C84="","",$K84-$O84)</f>
        <v/>
      </c>
      <c r="Q84" s="34" t="str">
        <f aca="true">IF($C84="","",IF($G84="已终止","",IF($I84="","▲没填合同止期",IF($I84&lt;TODAY(),"已到期 "&amp;TEXT(TODAY()-$I84,"0")&amp;" 天",IF($I84-TODAY()&lt;=合同提醒天,"将到期 "&amp;TEXT($I84-TODAY(),"0")&amp;" 天","")))))</f>
        <v/>
      </c>
      <c r="R84" s="34" t="str">
        <f aca="false">IF($C84="","",IF($G84="","▲合同状态没选",IF(OR($G84="已签未回",$G84="未签",$G84="续签中"),"▲合同未回（"&amp;$G84&amp;"）","")))</f>
        <v/>
      </c>
      <c r="S84" s="35" t="str">
        <f aca="false">IF($C84="","",IF(N($J84)=N($K84),"一致","★合同"&amp;TEXT(N($J84),"0")&amp;"台 / 在册"&amp;TEXT(N($K84),"0")&amp;"台"))</f>
        <v/>
      </c>
      <c r="T84" s="40" t="str">
        <f aca="false">IF($C84="","",ROUND(SUMIFS(应收金额,应收键,$E84,应收年度,管理年度),2))</f>
        <v/>
      </c>
      <c r="U84" s="40" t="str">
        <f aca="false">IF($C84="","",ROUND(SUMIFS(收款金额,收款键,$E84,收款年度,管理年度),2))</f>
        <v/>
      </c>
      <c r="V84" s="41" t="str">
        <f aca="false">IF($C84="","",ROUND(SUMIF(应收键,$E84,应收金额)-SUMIF(收款键,$E84,收款金额),2))</f>
        <v/>
      </c>
      <c r="W84" s="24"/>
      <c r="X84" s="35" t="str">
        <f aca="false">IF($C84="","",IF($D84="","★项目名称没填",IF(COUNTIF($E$5:$E$304,$E84)&gt;1,"★键重复",IF(AND($H84&lt;&gt;"",$I84&lt;&gt;"",$I84&lt;$H84),"★合同起止反了",IF(N($K84)=0,"★电梯资料里没有这个项目","OK")))))</f>
        <v/>
      </c>
    </row>
    <row r="85" customFormat="false" ht="15" hidden="false" customHeight="false" outlineLevel="0" collapsed="false">
      <c r="A85" s="29" t="str">
        <f aca="false">IF($C85="","",ROW()-4)</f>
        <v/>
      </c>
      <c r="B85" s="35" t="str">
        <f aca="false">IF($C85="","",IFERROR(INDEX(电梯片区,MATCH($E85,电梯键,0)),""))</f>
        <v/>
      </c>
      <c r="C85" s="24"/>
      <c r="D85" s="24"/>
      <c r="E85" s="30" t="str">
        <f aca="false">IF($C85="","",$C85&amp;" ｜ "&amp;$D85)</f>
        <v/>
      </c>
      <c r="F85" s="25"/>
      <c r="G85" s="25"/>
      <c r="H85" s="33"/>
      <c r="I85" s="33"/>
      <c r="J85" s="32"/>
      <c r="K85" s="38" t="str">
        <f aca="false">IF($C85="","",SUMIF(电梯键,$E85,电梯台量))</f>
        <v/>
      </c>
      <c r="L85" s="39"/>
      <c r="M85" s="25"/>
      <c r="N85" s="25"/>
      <c r="O85" s="38" t="str">
        <f aca="false">IF($C85="","",SUMIFS(电梯台量,电梯键,$E85,电梯状态,"安装免保")+SUMIFS(电梯台量,电梯键,$E85,电梯状态,"技术免保")+SUMIFS(电梯台量,电梯键,$E85,电梯状态,"质保期内"))</f>
        <v/>
      </c>
      <c r="P85" s="38" t="str">
        <f aca="false">IF($C85="","",$K85-$O85)</f>
        <v/>
      </c>
      <c r="Q85" s="34" t="str">
        <f aca="true">IF($C85="","",IF($G85="已终止","",IF($I85="","▲没填合同止期",IF($I85&lt;TODAY(),"已到期 "&amp;TEXT(TODAY()-$I85,"0")&amp;" 天",IF($I85-TODAY()&lt;=合同提醒天,"将到期 "&amp;TEXT($I85-TODAY(),"0")&amp;" 天","")))))</f>
        <v/>
      </c>
      <c r="R85" s="34" t="str">
        <f aca="false">IF($C85="","",IF($G85="","▲合同状态没选",IF(OR($G85="已签未回",$G85="未签",$G85="续签中"),"▲合同未回（"&amp;$G85&amp;"）","")))</f>
        <v/>
      </c>
      <c r="S85" s="35" t="str">
        <f aca="false">IF($C85="","",IF(N($J85)=N($K85),"一致","★合同"&amp;TEXT(N($J85),"0")&amp;"台 / 在册"&amp;TEXT(N($K85),"0")&amp;"台"))</f>
        <v/>
      </c>
      <c r="T85" s="40" t="str">
        <f aca="false">IF($C85="","",ROUND(SUMIFS(应收金额,应收键,$E85,应收年度,管理年度),2))</f>
        <v/>
      </c>
      <c r="U85" s="40" t="str">
        <f aca="false">IF($C85="","",ROUND(SUMIFS(收款金额,收款键,$E85,收款年度,管理年度),2))</f>
        <v/>
      </c>
      <c r="V85" s="41" t="str">
        <f aca="false">IF($C85="","",ROUND(SUMIF(应收键,$E85,应收金额)-SUMIF(收款键,$E85,收款金额),2))</f>
        <v/>
      </c>
      <c r="W85" s="24"/>
      <c r="X85" s="35" t="str">
        <f aca="false">IF($C85="","",IF($D85="","★项目名称没填",IF(COUNTIF($E$5:$E$304,$E85)&gt;1,"★键重复",IF(AND($H85&lt;&gt;"",$I85&lt;&gt;"",$I85&lt;$H85),"★合同起止反了",IF(N($K85)=0,"★电梯资料里没有这个项目","OK")))))</f>
        <v/>
      </c>
    </row>
    <row r="86" customFormat="false" ht="15" hidden="false" customHeight="false" outlineLevel="0" collapsed="false">
      <c r="A86" s="29" t="str">
        <f aca="false">IF($C86="","",ROW()-4)</f>
        <v/>
      </c>
      <c r="B86" s="35" t="str">
        <f aca="false">IF($C86="","",IFERROR(INDEX(电梯片区,MATCH($E86,电梯键,0)),""))</f>
        <v/>
      </c>
      <c r="C86" s="24"/>
      <c r="D86" s="24"/>
      <c r="E86" s="30" t="str">
        <f aca="false">IF($C86="","",$C86&amp;" ｜ "&amp;$D86)</f>
        <v/>
      </c>
      <c r="F86" s="25"/>
      <c r="G86" s="25"/>
      <c r="H86" s="33"/>
      <c r="I86" s="33"/>
      <c r="J86" s="32"/>
      <c r="K86" s="38" t="str">
        <f aca="false">IF($C86="","",SUMIF(电梯键,$E86,电梯台量))</f>
        <v/>
      </c>
      <c r="L86" s="39"/>
      <c r="M86" s="25"/>
      <c r="N86" s="25"/>
      <c r="O86" s="38" t="str">
        <f aca="false">IF($C86="","",SUMIFS(电梯台量,电梯键,$E86,电梯状态,"安装免保")+SUMIFS(电梯台量,电梯键,$E86,电梯状态,"技术免保")+SUMIFS(电梯台量,电梯键,$E86,电梯状态,"质保期内"))</f>
        <v/>
      </c>
      <c r="P86" s="38" t="str">
        <f aca="false">IF($C86="","",$K86-$O86)</f>
        <v/>
      </c>
      <c r="Q86" s="34" t="str">
        <f aca="true">IF($C86="","",IF($G86="已终止","",IF($I86="","▲没填合同止期",IF($I86&lt;TODAY(),"已到期 "&amp;TEXT(TODAY()-$I86,"0")&amp;" 天",IF($I86-TODAY()&lt;=合同提醒天,"将到期 "&amp;TEXT($I86-TODAY(),"0")&amp;" 天","")))))</f>
        <v/>
      </c>
      <c r="R86" s="34" t="str">
        <f aca="false">IF($C86="","",IF($G86="","▲合同状态没选",IF(OR($G86="已签未回",$G86="未签",$G86="续签中"),"▲合同未回（"&amp;$G86&amp;"）","")))</f>
        <v/>
      </c>
      <c r="S86" s="35" t="str">
        <f aca="false">IF($C86="","",IF(N($J86)=N($K86),"一致","★合同"&amp;TEXT(N($J86),"0")&amp;"台 / 在册"&amp;TEXT(N($K86),"0")&amp;"台"))</f>
        <v/>
      </c>
      <c r="T86" s="40" t="str">
        <f aca="false">IF($C86="","",ROUND(SUMIFS(应收金额,应收键,$E86,应收年度,管理年度),2))</f>
        <v/>
      </c>
      <c r="U86" s="40" t="str">
        <f aca="false">IF($C86="","",ROUND(SUMIFS(收款金额,收款键,$E86,收款年度,管理年度),2))</f>
        <v/>
      </c>
      <c r="V86" s="41" t="str">
        <f aca="false">IF($C86="","",ROUND(SUMIF(应收键,$E86,应收金额)-SUMIF(收款键,$E86,收款金额),2))</f>
        <v/>
      </c>
      <c r="W86" s="24"/>
      <c r="X86" s="35" t="str">
        <f aca="false">IF($C86="","",IF($D86="","★项目名称没填",IF(COUNTIF($E$5:$E$304,$E86)&gt;1,"★键重复",IF(AND($H86&lt;&gt;"",$I86&lt;&gt;"",$I86&lt;$H86),"★合同起止反了",IF(N($K86)=0,"★电梯资料里没有这个项目","OK")))))</f>
        <v/>
      </c>
    </row>
    <row r="87" customFormat="false" ht="15" hidden="false" customHeight="false" outlineLevel="0" collapsed="false">
      <c r="A87" s="29" t="str">
        <f aca="false">IF($C87="","",ROW()-4)</f>
        <v/>
      </c>
      <c r="B87" s="35" t="str">
        <f aca="false">IF($C87="","",IFERROR(INDEX(电梯片区,MATCH($E87,电梯键,0)),""))</f>
        <v/>
      </c>
      <c r="C87" s="24"/>
      <c r="D87" s="24"/>
      <c r="E87" s="30" t="str">
        <f aca="false">IF($C87="","",$C87&amp;" ｜ "&amp;$D87)</f>
        <v/>
      </c>
      <c r="F87" s="25"/>
      <c r="G87" s="25"/>
      <c r="H87" s="33"/>
      <c r="I87" s="33"/>
      <c r="J87" s="32"/>
      <c r="K87" s="38" t="str">
        <f aca="false">IF($C87="","",SUMIF(电梯键,$E87,电梯台量))</f>
        <v/>
      </c>
      <c r="L87" s="39"/>
      <c r="M87" s="25"/>
      <c r="N87" s="25"/>
      <c r="O87" s="38" t="str">
        <f aca="false">IF($C87="","",SUMIFS(电梯台量,电梯键,$E87,电梯状态,"安装免保")+SUMIFS(电梯台量,电梯键,$E87,电梯状态,"技术免保")+SUMIFS(电梯台量,电梯键,$E87,电梯状态,"质保期内"))</f>
        <v/>
      </c>
      <c r="P87" s="38" t="str">
        <f aca="false">IF($C87="","",$K87-$O87)</f>
        <v/>
      </c>
      <c r="Q87" s="34" t="str">
        <f aca="true">IF($C87="","",IF($G87="已终止","",IF($I87="","▲没填合同止期",IF($I87&lt;TODAY(),"已到期 "&amp;TEXT(TODAY()-$I87,"0")&amp;" 天",IF($I87-TODAY()&lt;=合同提醒天,"将到期 "&amp;TEXT($I87-TODAY(),"0")&amp;" 天","")))))</f>
        <v/>
      </c>
      <c r="R87" s="34" t="str">
        <f aca="false">IF($C87="","",IF($G87="","▲合同状态没选",IF(OR($G87="已签未回",$G87="未签",$G87="续签中"),"▲合同未回（"&amp;$G87&amp;"）","")))</f>
        <v/>
      </c>
      <c r="S87" s="35" t="str">
        <f aca="false">IF($C87="","",IF(N($J87)=N($K87),"一致","★合同"&amp;TEXT(N($J87),"0")&amp;"台 / 在册"&amp;TEXT(N($K87),"0")&amp;"台"))</f>
        <v/>
      </c>
      <c r="T87" s="40" t="str">
        <f aca="false">IF($C87="","",ROUND(SUMIFS(应收金额,应收键,$E87,应收年度,管理年度),2))</f>
        <v/>
      </c>
      <c r="U87" s="40" t="str">
        <f aca="false">IF($C87="","",ROUND(SUMIFS(收款金额,收款键,$E87,收款年度,管理年度),2))</f>
        <v/>
      </c>
      <c r="V87" s="41" t="str">
        <f aca="false">IF($C87="","",ROUND(SUMIF(应收键,$E87,应收金额)-SUMIF(收款键,$E87,收款金额),2))</f>
        <v/>
      </c>
      <c r="W87" s="24"/>
      <c r="X87" s="35" t="str">
        <f aca="false">IF($C87="","",IF($D87="","★项目名称没填",IF(COUNTIF($E$5:$E$304,$E87)&gt;1,"★键重复",IF(AND($H87&lt;&gt;"",$I87&lt;&gt;"",$I87&lt;$H87),"★合同起止反了",IF(N($K87)=0,"★电梯资料里没有这个项目","OK")))))</f>
        <v/>
      </c>
    </row>
    <row r="88" customFormat="false" ht="15" hidden="false" customHeight="false" outlineLevel="0" collapsed="false">
      <c r="A88" s="29" t="str">
        <f aca="false">IF($C88="","",ROW()-4)</f>
        <v/>
      </c>
      <c r="B88" s="35" t="str">
        <f aca="false">IF($C88="","",IFERROR(INDEX(电梯片区,MATCH($E88,电梯键,0)),""))</f>
        <v/>
      </c>
      <c r="C88" s="24"/>
      <c r="D88" s="24"/>
      <c r="E88" s="30" t="str">
        <f aca="false">IF($C88="","",$C88&amp;" ｜ "&amp;$D88)</f>
        <v/>
      </c>
      <c r="F88" s="25"/>
      <c r="G88" s="25"/>
      <c r="H88" s="33"/>
      <c r="I88" s="33"/>
      <c r="J88" s="32"/>
      <c r="K88" s="38" t="str">
        <f aca="false">IF($C88="","",SUMIF(电梯键,$E88,电梯台量))</f>
        <v/>
      </c>
      <c r="L88" s="39"/>
      <c r="M88" s="25"/>
      <c r="N88" s="25"/>
      <c r="O88" s="38" t="str">
        <f aca="false">IF($C88="","",SUMIFS(电梯台量,电梯键,$E88,电梯状态,"安装免保")+SUMIFS(电梯台量,电梯键,$E88,电梯状态,"技术免保")+SUMIFS(电梯台量,电梯键,$E88,电梯状态,"质保期内"))</f>
        <v/>
      </c>
      <c r="P88" s="38" t="str">
        <f aca="false">IF($C88="","",$K88-$O88)</f>
        <v/>
      </c>
      <c r="Q88" s="34" t="str">
        <f aca="true">IF($C88="","",IF($G88="已终止","",IF($I88="","▲没填合同止期",IF($I88&lt;TODAY(),"已到期 "&amp;TEXT(TODAY()-$I88,"0")&amp;" 天",IF($I88-TODAY()&lt;=合同提醒天,"将到期 "&amp;TEXT($I88-TODAY(),"0")&amp;" 天","")))))</f>
        <v/>
      </c>
      <c r="R88" s="34" t="str">
        <f aca="false">IF($C88="","",IF($G88="","▲合同状态没选",IF(OR($G88="已签未回",$G88="未签",$G88="续签中"),"▲合同未回（"&amp;$G88&amp;"）","")))</f>
        <v/>
      </c>
      <c r="S88" s="35" t="str">
        <f aca="false">IF($C88="","",IF(N($J88)=N($K88),"一致","★合同"&amp;TEXT(N($J88),"0")&amp;"台 / 在册"&amp;TEXT(N($K88),"0")&amp;"台"))</f>
        <v/>
      </c>
      <c r="T88" s="40" t="str">
        <f aca="false">IF($C88="","",ROUND(SUMIFS(应收金额,应收键,$E88,应收年度,管理年度),2))</f>
        <v/>
      </c>
      <c r="U88" s="40" t="str">
        <f aca="false">IF($C88="","",ROUND(SUMIFS(收款金额,收款键,$E88,收款年度,管理年度),2))</f>
        <v/>
      </c>
      <c r="V88" s="41" t="str">
        <f aca="false">IF($C88="","",ROUND(SUMIF(应收键,$E88,应收金额)-SUMIF(收款键,$E88,收款金额),2))</f>
        <v/>
      </c>
      <c r="W88" s="24"/>
      <c r="X88" s="35" t="str">
        <f aca="false">IF($C88="","",IF($D88="","★项目名称没填",IF(COUNTIF($E$5:$E$304,$E88)&gt;1,"★键重复",IF(AND($H88&lt;&gt;"",$I88&lt;&gt;"",$I88&lt;$H88),"★合同起止反了",IF(N($K88)=0,"★电梯资料里没有这个项目","OK")))))</f>
        <v/>
      </c>
    </row>
    <row r="89" customFormat="false" ht="15" hidden="false" customHeight="false" outlineLevel="0" collapsed="false">
      <c r="A89" s="29" t="str">
        <f aca="false">IF($C89="","",ROW()-4)</f>
        <v/>
      </c>
      <c r="B89" s="35" t="str">
        <f aca="false">IF($C89="","",IFERROR(INDEX(电梯片区,MATCH($E89,电梯键,0)),""))</f>
        <v/>
      </c>
      <c r="C89" s="24"/>
      <c r="D89" s="24"/>
      <c r="E89" s="30" t="str">
        <f aca="false">IF($C89="","",$C89&amp;" ｜ "&amp;$D89)</f>
        <v/>
      </c>
      <c r="F89" s="25"/>
      <c r="G89" s="25"/>
      <c r="H89" s="33"/>
      <c r="I89" s="33"/>
      <c r="J89" s="32"/>
      <c r="K89" s="38" t="str">
        <f aca="false">IF($C89="","",SUMIF(电梯键,$E89,电梯台量))</f>
        <v/>
      </c>
      <c r="L89" s="39"/>
      <c r="M89" s="25"/>
      <c r="N89" s="25"/>
      <c r="O89" s="38" t="str">
        <f aca="false">IF($C89="","",SUMIFS(电梯台量,电梯键,$E89,电梯状态,"安装免保")+SUMIFS(电梯台量,电梯键,$E89,电梯状态,"技术免保")+SUMIFS(电梯台量,电梯键,$E89,电梯状态,"质保期内"))</f>
        <v/>
      </c>
      <c r="P89" s="38" t="str">
        <f aca="false">IF($C89="","",$K89-$O89)</f>
        <v/>
      </c>
      <c r="Q89" s="34" t="str">
        <f aca="true">IF($C89="","",IF($G89="已终止","",IF($I89="","▲没填合同止期",IF($I89&lt;TODAY(),"已到期 "&amp;TEXT(TODAY()-$I89,"0")&amp;" 天",IF($I89-TODAY()&lt;=合同提醒天,"将到期 "&amp;TEXT($I89-TODAY(),"0")&amp;" 天","")))))</f>
        <v/>
      </c>
      <c r="R89" s="34" t="str">
        <f aca="false">IF($C89="","",IF($G89="","▲合同状态没选",IF(OR($G89="已签未回",$G89="未签",$G89="续签中"),"▲合同未回（"&amp;$G89&amp;"）","")))</f>
        <v/>
      </c>
      <c r="S89" s="35" t="str">
        <f aca="false">IF($C89="","",IF(N($J89)=N($K89),"一致","★合同"&amp;TEXT(N($J89),"0")&amp;"台 / 在册"&amp;TEXT(N($K89),"0")&amp;"台"))</f>
        <v/>
      </c>
      <c r="T89" s="40" t="str">
        <f aca="false">IF($C89="","",ROUND(SUMIFS(应收金额,应收键,$E89,应收年度,管理年度),2))</f>
        <v/>
      </c>
      <c r="U89" s="40" t="str">
        <f aca="false">IF($C89="","",ROUND(SUMIFS(收款金额,收款键,$E89,收款年度,管理年度),2))</f>
        <v/>
      </c>
      <c r="V89" s="41" t="str">
        <f aca="false">IF($C89="","",ROUND(SUMIF(应收键,$E89,应收金额)-SUMIF(收款键,$E89,收款金额),2))</f>
        <v/>
      </c>
      <c r="W89" s="24"/>
      <c r="X89" s="35" t="str">
        <f aca="false">IF($C89="","",IF($D89="","★项目名称没填",IF(COUNTIF($E$5:$E$304,$E89)&gt;1,"★键重复",IF(AND($H89&lt;&gt;"",$I89&lt;&gt;"",$I89&lt;$H89),"★合同起止反了",IF(N($K89)=0,"★电梯资料里没有这个项目","OK")))))</f>
        <v/>
      </c>
    </row>
    <row r="90" customFormat="false" ht="15" hidden="false" customHeight="false" outlineLevel="0" collapsed="false">
      <c r="A90" s="29" t="str">
        <f aca="false">IF($C90="","",ROW()-4)</f>
        <v/>
      </c>
      <c r="B90" s="35" t="str">
        <f aca="false">IF($C90="","",IFERROR(INDEX(电梯片区,MATCH($E90,电梯键,0)),""))</f>
        <v/>
      </c>
      <c r="C90" s="24"/>
      <c r="D90" s="24"/>
      <c r="E90" s="30" t="str">
        <f aca="false">IF($C90="","",$C90&amp;" ｜ "&amp;$D90)</f>
        <v/>
      </c>
      <c r="F90" s="25"/>
      <c r="G90" s="25"/>
      <c r="H90" s="33"/>
      <c r="I90" s="33"/>
      <c r="J90" s="32"/>
      <c r="K90" s="38" t="str">
        <f aca="false">IF($C90="","",SUMIF(电梯键,$E90,电梯台量))</f>
        <v/>
      </c>
      <c r="L90" s="39"/>
      <c r="M90" s="25"/>
      <c r="N90" s="25"/>
      <c r="O90" s="38" t="str">
        <f aca="false">IF($C90="","",SUMIFS(电梯台量,电梯键,$E90,电梯状态,"安装免保")+SUMIFS(电梯台量,电梯键,$E90,电梯状态,"技术免保")+SUMIFS(电梯台量,电梯键,$E90,电梯状态,"质保期内"))</f>
        <v/>
      </c>
      <c r="P90" s="38" t="str">
        <f aca="false">IF($C90="","",$K90-$O90)</f>
        <v/>
      </c>
      <c r="Q90" s="34" t="str">
        <f aca="true">IF($C90="","",IF($G90="已终止","",IF($I90="","▲没填合同止期",IF($I90&lt;TODAY(),"已到期 "&amp;TEXT(TODAY()-$I90,"0")&amp;" 天",IF($I90-TODAY()&lt;=合同提醒天,"将到期 "&amp;TEXT($I90-TODAY(),"0")&amp;" 天","")))))</f>
        <v/>
      </c>
      <c r="R90" s="34" t="str">
        <f aca="false">IF($C90="","",IF($G90="","▲合同状态没选",IF(OR($G90="已签未回",$G90="未签",$G90="续签中"),"▲合同未回（"&amp;$G90&amp;"）","")))</f>
        <v/>
      </c>
      <c r="S90" s="35" t="str">
        <f aca="false">IF($C90="","",IF(N($J90)=N($K90),"一致","★合同"&amp;TEXT(N($J90),"0")&amp;"台 / 在册"&amp;TEXT(N($K90),"0")&amp;"台"))</f>
        <v/>
      </c>
      <c r="T90" s="40" t="str">
        <f aca="false">IF($C90="","",ROUND(SUMIFS(应收金额,应收键,$E90,应收年度,管理年度),2))</f>
        <v/>
      </c>
      <c r="U90" s="40" t="str">
        <f aca="false">IF($C90="","",ROUND(SUMIFS(收款金额,收款键,$E90,收款年度,管理年度),2))</f>
        <v/>
      </c>
      <c r="V90" s="41" t="str">
        <f aca="false">IF($C90="","",ROUND(SUMIF(应收键,$E90,应收金额)-SUMIF(收款键,$E90,收款金额),2))</f>
        <v/>
      </c>
      <c r="W90" s="24"/>
      <c r="X90" s="35" t="str">
        <f aca="false">IF($C90="","",IF($D90="","★项目名称没填",IF(COUNTIF($E$5:$E$304,$E90)&gt;1,"★键重复",IF(AND($H90&lt;&gt;"",$I90&lt;&gt;"",$I90&lt;$H90),"★合同起止反了",IF(N($K90)=0,"★电梯资料里没有这个项目","OK")))))</f>
        <v/>
      </c>
    </row>
    <row r="91" customFormat="false" ht="15" hidden="false" customHeight="false" outlineLevel="0" collapsed="false">
      <c r="A91" s="29" t="str">
        <f aca="false">IF($C91="","",ROW()-4)</f>
        <v/>
      </c>
      <c r="B91" s="35" t="str">
        <f aca="false">IF($C91="","",IFERROR(INDEX(电梯片区,MATCH($E91,电梯键,0)),""))</f>
        <v/>
      </c>
      <c r="C91" s="24"/>
      <c r="D91" s="24"/>
      <c r="E91" s="30" t="str">
        <f aca="false">IF($C91="","",$C91&amp;" ｜ "&amp;$D91)</f>
        <v/>
      </c>
      <c r="F91" s="25"/>
      <c r="G91" s="25"/>
      <c r="H91" s="33"/>
      <c r="I91" s="33"/>
      <c r="J91" s="32"/>
      <c r="K91" s="38" t="str">
        <f aca="false">IF($C91="","",SUMIF(电梯键,$E91,电梯台量))</f>
        <v/>
      </c>
      <c r="L91" s="39"/>
      <c r="M91" s="25"/>
      <c r="N91" s="25"/>
      <c r="O91" s="38" t="str">
        <f aca="false">IF($C91="","",SUMIFS(电梯台量,电梯键,$E91,电梯状态,"安装免保")+SUMIFS(电梯台量,电梯键,$E91,电梯状态,"技术免保")+SUMIFS(电梯台量,电梯键,$E91,电梯状态,"质保期内"))</f>
        <v/>
      </c>
      <c r="P91" s="38" t="str">
        <f aca="false">IF($C91="","",$K91-$O91)</f>
        <v/>
      </c>
      <c r="Q91" s="34" t="str">
        <f aca="true">IF($C91="","",IF($G91="已终止","",IF($I91="","▲没填合同止期",IF($I91&lt;TODAY(),"已到期 "&amp;TEXT(TODAY()-$I91,"0")&amp;" 天",IF($I91-TODAY()&lt;=合同提醒天,"将到期 "&amp;TEXT($I91-TODAY(),"0")&amp;" 天","")))))</f>
        <v/>
      </c>
      <c r="R91" s="34" t="str">
        <f aca="false">IF($C91="","",IF($G91="","▲合同状态没选",IF(OR($G91="已签未回",$G91="未签",$G91="续签中"),"▲合同未回（"&amp;$G91&amp;"）","")))</f>
        <v/>
      </c>
      <c r="S91" s="35" t="str">
        <f aca="false">IF($C91="","",IF(N($J91)=N($K91),"一致","★合同"&amp;TEXT(N($J91),"0")&amp;"台 / 在册"&amp;TEXT(N($K91),"0")&amp;"台"))</f>
        <v/>
      </c>
      <c r="T91" s="40" t="str">
        <f aca="false">IF($C91="","",ROUND(SUMIFS(应收金额,应收键,$E91,应收年度,管理年度),2))</f>
        <v/>
      </c>
      <c r="U91" s="40" t="str">
        <f aca="false">IF($C91="","",ROUND(SUMIFS(收款金额,收款键,$E91,收款年度,管理年度),2))</f>
        <v/>
      </c>
      <c r="V91" s="41" t="str">
        <f aca="false">IF($C91="","",ROUND(SUMIF(应收键,$E91,应收金额)-SUMIF(收款键,$E91,收款金额),2))</f>
        <v/>
      </c>
      <c r="W91" s="24"/>
      <c r="X91" s="35" t="str">
        <f aca="false">IF($C91="","",IF($D91="","★项目名称没填",IF(COUNTIF($E$5:$E$304,$E91)&gt;1,"★键重复",IF(AND($H91&lt;&gt;"",$I91&lt;&gt;"",$I91&lt;$H91),"★合同起止反了",IF(N($K91)=0,"★电梯资料里没有这个项目","OK")))))</f>
        <v/>
      </c>
    </row>
    <row r="92" customFormat="false" ht="15" hidden="false" customHeight="false" outlineLevel="0" collapsed="false">
      <c r="A92" s="29" t="str">
        <f aca="false">IF($C92="","",ROW()-4)</f>
        <v/>
      </c>
      <c r="B92" s="35" t="str">
        <f aca="false">IF($C92="","",IFERROR(INDEX(电梯片区,MATCH($E92,电梯键,0)),""))</f>
        <v/>
      </c>
      <c r="C92" s="24"/>
      <c r="D92" s="24"/>
      <c r="E92" s="30" t="str">
        <f aca="false">IF($C92="","",$C92&amp;" ｜ "&amp;$D92)</f>
        <v/>
      </c>
      <c r="F92" s="25"/>
      <c r="G92" s="25"/>
      <c r="H92" s="33"/>
      <c r="I92" s="33"/>
      <c r="J92" s="32"/>
      <c r="K92" s="38" t="str">
        <f aca="false">IF($C92="","",SUMIF(电梯键,$E92,电梯台量))</f>
        <v/>
      </c>
      <c r="L92" s="39"/>
      <c r="M92" s="25"/>
      <c r="N92" s="25"/>
      <c r="O92" s="38" t="str">
        <f aca="false">IF($C92="","",SUMIFS(电梯台量,电梯键,$E92,电梯状态,"安装免保")+SUMIFS(电梯台量,电梯键,$E92,电梯状态,"技术免保")+SUMIFS(电梯台量,电梯键,$E92,电梯状态,"质保期内"))</f>
        <v/>
      </c>
      <c r="P92" s="38" t="str">
        <f aca="false">IF($C92="","",$K92-$O92)</f>
        <v/>
      </c>
      <c r="Q92" s="34" t="str">
        <f aca="true">IF($C92="","",IF($G92="已终止","",IF($I92="","▲没填合同止期",IF($I92&lt;TODAY(),"已到期 "&amp;TEXT(TODAY()-$I92,"0")&amp;" 天",IF($I92-TODAY()&lt;=合同提醒天,"将到期 "&amp;TEXT($I92-TODAY(),"0")&amp;" 天","")))))</f>
        <v/>
      </c>
      <c r="R92" s="34" t="str">
        <f aca="false">IF($C92="","",IF($G92="","▲合同状态没选",IF(OR($G92="已签未回",$G92="未签",$G92="续签中"),"▲合同未回（"&amp;$G92&amp;"）","")))</f>
        <v/>
      </c>
      <c r="S92" s="35" t="str">
        <f aca="false">IF($C92="","",IF(N($J92)=N($K92),"一致","★合同"&amp;TEXT(N($J92),"0")&amp;"台 / 在册"&amp;TEXT(N($K92),"0")&amp;"台"))</f>
        <v/>
      </c>
      <c r="T92" s="40" t="str">
        <f aca="false">IF($C92="","",ROUND(SUMIFS(应收金额,应收键,$E92,应收年度,管理年度),2))</f>
        <v/>
      </c>
      <c r="U92" s="40" t="str">
        <f aca="false">IF($C92="","",ROUND(SUMIFS(收款金额,收款键,$E92,收款年度,管理年度),2))</f>
        <v/>
      </c>
      <c r="V92" s="41" t="str">
        <f aca="false">IF($C92="","",ROUND(SUMIF(应收键,$E92,应收金额)-SUMIF(收款键,$E92,收款金额),2))</f>
        <v/>
      </c>
      <c r="W92" s="24"/>
      <c r="X92" s="35" t="str">
        <f aca="false">IF($C92="","",IF($D92="","★项目名称没填",IF(COUNTIF($E$5:$E$304,$E92)&gt;1,"★键重复",IF(AND($H92&lt;&gt;"",$I92&lt;&gt;"",$I92&lt;$H92),"★合同起止反了",IF(N($K92)=0,"★电梯资料里没有这个项目","OK")))))</f>
        <v/>
      </c>
    </row>
    <row r="93" customFormat="false" ht="15" hidden="false" customHeight="false" outlineLevel="0" collapsed="false">
      <c r="A93" s="29" t="str">
        <f aca="false">IF($C93="","",ROW()-4)</f>
        <v/>
      </c>
      <c r="B93" s="35" t="str">
        <f aca="false">IF($C93="","",IFERROR(INDEX(电梯片区,MATCH($E93,电梯键,0)),""))</f>
        <v/>
      </c>
      <c r="C93" s="24"/>
      <c r="D93" s="24"/>
      <c r="E93" s="30" t="str">
        <f aca="false">IF($C93="","",$C93&amp;" ｜ "&amp;$D93)</f>
        <v/>
      </c>
      <c r="F93" s="25"/>
      <c r="G93" s="25"/>
      <c r="H93" s="33"/>
      <c r="I93" s="33"/>
      <c r="J93" s="32"/>
      <c r="K93" s="38" t="str">
        <f aca="false">IF($C93="","",SUMIF(电梯键,$E93,电梯台量))</f>
        <v/>
      </c>
      <c r="L93" s="39"/>
      <c r="M93" s="25"/>
      <c r="N93" s="25"/>
      <c r="O93" s="38" t="str">
        <f aca="false">IF($C93="","",SUMIFS(电梯台量,电梯键,$E93,电梯状态,"安装免保")+SUMIFS(电梯台量,电梯键,$E93,电梯状态,"技术免保")+SUMIFS(电梯台量,电梯键,$E93,电梯状态,"质保期内"))</f>
        <v/>
      </c>
      <c r="P93" s="38" t="str">
        <f aca="false">IF($C93="","",$K93-$O93)</f>
        <v/>
      </c>
      <c r="Q93" s="34" t="str">
        <f aca="true">IF($C93="","",IF($G93="已终止","",IF($I93="","▲没填合同止期",IF($I93&lt;TODAY(),"已到期 "&amp;TEXT(TODAY()-$I93,"0")&amp;" 天",IF($I93-TODAY()&lt;=合同提醒天,"将到期 "&amp;TEXT($I93-TODAY(),"0")&amp;" 天","")))))</f>
        <v/>
      </c>
      <c r="R93" s="34" t="str">
        <f aca="false">IF($C93="","",IF($G93="","▲合同状态没选",IF(OR($G93="已签未回",$G93="未签",$G93="续签中"),"▲合同未回（"&amp;$G93&amp;"）","")))</f>
        <v/>
      </c>
      <c r="S93" s="35" t="str">
        <f aca="false">IF($C93="","",IF(N($J93)=N($K93),"一致","★合同"&amp;TEXT(N($J93),"0")&amp;"台 / 在册"&amp;TEXT(N($K93),"0")&amp;"台"))</f>
        <v/>
      </c>
      <c r="T93" s="40" t="str">
        <f aca="false">IF($C93="","",ROUND(SUMIFS(应收金额,应收键,$E93,应收年度,管理年度),2))</f>
        <v/>
      </c>
      <c r="U93" s="40" t="str">
        <f aca="false">IF($C93="","",ROUND(SUMIFS(收款金额,收款键,$E93,收款年度,管理年度),2))</f>
        <v/>
      </c>
      <c r="V93" s="41" t="str">
        <f aca="false">IF($C93="","",ROUND(SUMIF(应收键,$E93,应收金额)-SUMIF(收款键,$E93,收款金额),2))</f>
        <v/>
      </c>
      <c r="W93" s="24"/>
      <c r="X93" s="35" t="str">
        <f aca="false">IF($C93="","",IF($D93="","★项目名称没填",IF(COUNTIF($E$5:$E$304,$E93)&gt;1,"★键重复",IF(AND($H93&lt;&gt;"",$I93&lt;&gt;"",$I93&lt;$H93),"★合同起止反了",IF(N($K93)=0,"★电梯资料里没有这个项目","OK")))))</f>
        <v/>
      </c>
    </row>
    <row r="94" customFormat="false" ht="15" hidden="false" customHeight="false" outlineLevel="0" collapsed="false">
      <c r="A94" s="29" t="str">
        <f aca="false">IF($C94="","",ROW()-4)</f>
        <v/>
      </c>
      <c r="B94" s="35" t="str">
        <f aca="false">IF($C94="","",IFERROR(INDEX(电梯片区,MATCH($E94,电梯键,0)),""))</f>
        <v/>
      </c>
      <c r="C94" s="24"/>
      <c r="D94" s="24"/>
      <c r="E94" s="30" t="str">
        <f aca="false">IF($C94="","",$C94&amp;" ｜ "&amp;$D94)</f>
        <v/>
      </c>
      <c r="F94" s="25"/>
      <c r="G94" s="25"/>
      <c r="H94" s="33"/>
      <c r="I94" s="33"/>
      <c r="J94" s="32"/>
      <c r="K94" s="38" t="str">
        <f aca="false">IF($C94="","",SUMIF(电梯键,$E94,电梯台量))</f>
        <v/>
      </c>
      <c r="L94" s="39"/>
      <c r="M94" s="25"/>
      <c r="N94" s="25"/>
      <c r="O94" s="38" t="str">
        <f aca="false">IF($C94="","",SUMIFS(电梯台量,电梯键,$E94,电梯状态,"安装免保")+SUMIFS(电梯台量,电梯键,$E94,电梯状态,"技术免保")+SUMIFS(电梯台量,电梯键,$E94,电梯状态,"质保期内"))</f>
        <v/>
      </c>
      <c r="P94" s="38" t="str">
        <f aca="false">IF($C94="","",$K94-$O94)</f>
        <v/>
      </c>
      <c r="Q94" s="34" t="str">
        <f aca="true">IF($C94="","",IF($G94="已终止","",IF($I94="","▲没填合同止期",IF($I94&lt;TODAY(),"已到期 "&amp;TEXT(TODAY()-$I94,"0")&amp;" 天",IF($I94-TODAY()&lt;=合同提醒天,"将到期 "&amp;TEXT($I94-TODAY(),"0")&amp;" 天","")))))</f>
        <v/>
      </c>
      <c r="R94" s="34" t="str">
        <f aca="false">IF($C94="","",IF($G94="","▲合同状态没选",IF(OR($G94="已签未回",$G94="未签",$G94="续签中"),"▲合同未回（"&amp;$G94&amp;"）","")))</f>
        <v/>
      </c>
      <c r="S94" s="35" t="str">
        <f aca="false">IF($C94="","",IF(N($J94)=N($K94),"一致","★合同"&amp;TEXT(N($J94),"0")&amp;"台 / 在册"&amp;TEXT(N($K94),"0")&amp;"台"))</f>
        <v/>
      </c>
      <c r="T94" s="40" t="str">
        <f aca="false">IF($C94="","",ROUND(SUMIFS(应收金额,应收键,$E94,应收年度,管理年度),2))</f>
        <v/>
      </c>
      <c r="U94" s="40" t="str">
        <f aca="false">IF($C94="","",ROUND(SUMIFS(收款金额,收款键,$E94,收款年度,管理年度),2))</f>
        <v/>
      </c>
      <c r="V94" s="41" t="str">
        <f aca="false">IF($C94="","",ROUND(SUMIF(应收键,$E94,应收金额)-SUMIF(收款键,$E94,收款金额),2))</f>
        <v/>
      </c>
      <c r="W94" s="24"/>
      <c r="X94" s="35" t="str">
        <f aca="false">IF($C94="","",IF($D94="","★项目名称没填",IF(COUNTIF($E$5:$E$304,$E94)&gt;1,"★键重复",IF(AND($H94&lt;&gt;"",$I94&lt;&gt;"",$I94&lt;$H94),"★合同起止反了",IF(N($K94)=0,"★电梯资料里没有这个项目","OK")))))</f>
        <v/>
      </c>
    </row>
    <row r="95" customFormat="false" ht="15" hidden="false" customHeight="false" outlineLevel="0" collapsed="false">
      <c r="A95" s="29" t="str">
        <f aca="false">IF($C95="","",ROW()-4)</f>
        <v/>
      </c>
      <c r="B95" s="35" t="str">
        <f aca="false">IF($C95="","",IFERROR(INDEX(电梯片区,MATCH($E95,电梯键,0)),""))</f>
        <v/>
      </c>
      <c r="C95" s="24"/>
      <c r="D95" s="24"/>
      <c r="E95" s="30" t="str">
        <f aca="false">IF($C95="","",$C95&amp;" ｜ "&amp;$D95)</f>
        <v/>
      </c>
      <c r="F95" s="25"/>
      <c r="G95" s="25"/>
      <c r="H95" s="33"/>
      <c r="I95" s="33"/>
      <c r="J95" s="32"/>
      <c r="K95" s="38" t="str">
        <f aca="false">IF($C95="","",SUMIF(电梯键,$E95,电梯台量))</f>
        <v/>
      </c>
      <c r="L95" s="39"/>
      <c r="M95" s="25"/>
      <c r="N95" s="25"/>
      <c r="O95" s="38" t="str">
        <f aca="false">IF($C95="","",SUMIFS(电梯台量,电梯键,$E95,电梯状态,"安装免保")+SUMIFS(电梯台量,电梯键,$E95,电梯状态,"技术免保")+SUMIFS(电梯台量,电梯键,$E95,电梯状态,"质保期内"))</f>
        <v/>
      </c>
      <c r="P95" s="38" t="str">
        <f aca="false">IF($C95="","",$K95-$O95)</f>
        <v/>
      </c>
      <c r="Q95" s="34" t="str">
        <f aca="true">IF($C95="","",IF($G95="已终止","",IF($I95="","▲没填合同止期",IF($I95&lt;TODAY(),"已到期 "&amp;TEXT(TODAY()-$I95,"0")&amp;" 天",IF($I95-TODAY()&lt;=合同提醒天,"将到期 "&amp;TEXT($I95-TODAY(),"0")&amp;" 天","")))))</f>
        <v/>
      </c>
      <c r="R95" s="34" t="str">
        <f aca="false">IF($C95="","",IF($G95="","▲合同状态没选",IF(OR($G95="已签未回",$G95="未签",$G95="续签中"),"▲合同未回（"&amp;$G95&amp;"）","")))</f>
        <v/>
      </c>
      <c r="S95" s="35" t="str">
        <f aca="false">IF($C95="","",IF(N($J95)=N($K95),"一致","★合同"&amp;TEXT(N($J95),"0")&amp;"台 / 在册"&amp;TEXT(N($K95),"0")&amp;"台"))</f>
        <v/>
      </c>
      <c r="T95" s="40" t="str">
        <f aca="false">IF($C95="","",ROUND(SUMIFS(应收金额,应收键,$E95,应收年度,管理年度),2))</f>
        <v/>
      </c>
      <c r="U95" s="40" t="str">
        <f aca="false">IF($C95="","",ROUND(SUMIFS(收款金额,收款键,$E95,收款年度,管理年度),2))</f>
        <v/>
      </c>
      <c r="V95" s="41" t="str">
        <f aca="false">IF($C95="","",ROUND(SUMIF(应收键,$E95,应收金额)-SUMIF(收款键,$E95,收款金额),2))</f>
        <v/>
      </c>
      <c r="W95" s="24"/>
      <c r="X95" s="35" t="str">
        <f aca="false">IF($C95="","",IF($D95="","★项目名称没填",IF(COUNTIF($E$5:$E$304,$E95)&gt;1,"★键重复",IF(AND($H95&lt;&gt;"",$I95&lt;&gt;"",$I95&lt;$H95),"★合同起止反了",IF(N($K95)=0,"★电梯资料里没有这个项目","OK")))))</f>
        <v/>
      </c>
    </row>
    <row r="96" customFormat="false" ht="15" hidden="false" customHeight="false" outlineLevel="0" collapsed="false">
      <c r="A96" s="29" t="str">
        <f aca="false">IF($C96="","",ROW()-4)</f>
        <v/>
      </c>
      <c r="B96" s="35" t="str">
        <f aca="false">IF($C96="","",IFERROR(INDEX(电梯片区,MATCH($E96,电梯键,0)),""))</f>
        <v/>
      </c>
      <c r="C96" s="24"/>
      <c r="D96" s="24"/>
      <c r="E96" s="30" t="str">
        <f aca="false">IF($C96="","",$C96&amp;" ｜ "&amp;$D96)</f>
        <v/>
      </c>
      <c r="F96" s="25"/>
      <c r="G96" s="25"/>
      <c r="H96" s="33"/>
      <c r="I96" s="33"/>
      <c r="J96" s="32"/>
      <c r="K96" s="38" t="str">
        <f aca="false">IF($C96="","",SUMIF(电梯键,$E96,电梯台量))</f>
        <v/>
      </c>
      <c r="L96" s="39"/>
      <c r="M96" s="25"/>
      <c r="N96" s="25"/>
      <c r="O96" s="38" t="str">
        <f aca="false">IF($C96="","",SUMIFS(电梯台量,电梯键,$E96,电梯状态,"安装免保")+SUMIFS(电梯台量,电梯键,$E96,电梯状态,"技术免保")+SUMIFS(电梯台量,电梯键,$E96,电梯状态,"质保期内"))</f>
        <v/>
      </c>
      <c r="P96" s="38" t="str">
        <f aca="false">IF($C96="","",$K96-$O96)</f>
        <v/>
      </c>
      <c r="Q96" s="34" t="str">
        <f aca="true">IF($C96="","",IF($G96="已终止","",IF($I96="","▲没填合同止期",IF($I96&lt;TODAY(),"已到期 "&amp;TEXT(TODAY()-$I96,"0")&amp;" 天",IF($I96-TODAY()&lt;=合同提醒天,"将到期 "&amp;TEXT($I96-TODAY(),"0")&amp;" 天","")))))</f>
        <v/>
      </c>
      <c r="R96" s="34" t="str">
        <f aca="false">IF($C96="","",IF($G96="","▲合同状态没选",IF(OR($G96="已签未回",$G96="未签",$G96="续签中"),"▲合同未回（"&amp;$G96&amp;"）","")))</f>
        <v/>
      </c>
      <c r="S96" s="35" t="str">
        <f aca="false">IF($C96="","",IF(N($J96)=N($K96),"一致","★合同"&amp;TEXT(N($J96),"0")&amp;"台 / 在册"&amp;TEXT(N($K96),"0")&amp;"台"))</f>
        <v/>
      </c>
      <c r="T96" s="40" t="str">
        <f aca="false">IF($C96="","",ROUND(SUMIFS(应收金额,应收键,$E96,应收年度,管理年度),2))</f>
        <v/>
      </c>
      <c r="U96" s="40" t="str">
        <f aca="false">IF($C96="","",ROUND(SUMIFS(收款金额,收款键,$E96,收款年度,管理年度),2))</f>
        <v/>
      </c>
      <c r="V96" s="41" t="str">
        <f aca="false">IF($C96="","",ROUND(SUMIF(应收键,$E96,应收金额)-SUMIF(收款键,$E96,收款金额),2))</f>
        <v/>
      </c>
      <c r="W96" s="24"/>
      <c r="X96" s="35" t="str">
        <f aca="false">IF($C96="","",IF($D96="","★项目名称没填",IF(COUNTIF($E$5:$E$304,$E96)&gt;1,"★键重复",IF(AND($H96&lt;&gt;"",$I96&lt;&gt;"",$I96&lt;$H96),"★合同起止反了",IF(N($K96)=0,"★电梯资料里没有这个项目","OK")))))</f>
        <v/>
      </c>
    </row>
    <row r="97" customFormat="false" ht="15" hidden="false" customHeight="false" outlineLevel="0" collapsed="false">
      <c r="A97" s="29" t="str">
        <f aca="false">IF($C97="","",ROW()-4)</f>
        <v/>
      </c>
      <c r="B97" s="35" t="str">
        <f aca="false">IF($C97="","",IFERROR(INDEX(电梯片区,MATCH($E97,电梯键,0)),""))</f>
        <v/>
      </c>
      <c r="C97" s="24"/>
      <c r="D97" s="24"/>
      <c r="E97" s="30" t="str">
        <f aca="false">IF($C97="","",$C97&amp;" ｜ "&amp;$D97)</f>
        <v/>
      </c>
      <c r="F97" s="25"/>
      <c r="G97" s="25"/>
      <c r="H97" s="33"/>
      <c r="I97" s="33"/>
      <c r="J97" s="32"/>
      <c r="K97" s="38" t="str">
        <f aca="false">IF($C97="","",SUMIF(电梯键,$E97,电梯台量))</f>
        <v/>
      </c>
      <c r="L97" s="39"/>
      <c r="M97" s="25"/>
      <c r="N97" s="25"/>
      <c r="O97" s="38" t="str">
        <f aca="false">IF($C97="","",SUMIFS(电梯台量,电梯键,$E97,电梯状态,"安装免保")+SUMIFS(电梯台量,电梯键,$E97,电梯状态,"技术免保")+SUMIFS(电梯台量,电梯键,$E97,电梯状态,"质保期内"))</f>
        <v/>
      </c>
      <c r="P97" s="38" t="str">
        <f aca="false">IF($C97="","",$K97-$O97)</f>
        <v/>
      </c>
      <c r="Q97" s="34" t="str">
        <f aca="true">IF($C97="","",IF($G97="已终止","",IF($I97="","▲没填合同止期",IF($I97&lt;TODAY(),"已到期 "&amp;TEXT(TODAY()-$I97,"0")&amp;" 天",IF($I97-TODAY()&lt;=合同提醒天,"将到期 "&amp;TEXT($I97-TODAY(),"0")&amp;" 天","")))))</f>
        <v/>
      </c>
      <c r="R97" s="34" t="str">
        <f aca="false">IF($C97="","",IF($G97="","▲合同状态没选",IF(OR($G97="已签未回",$G97="未签",$G97="续签中"),"▲合同未回（"&amp;$G97&amp;"）","")))</f>
        <v/>
      </c>
      <c r="S97" s="35" t="str">
        <f aca="false">IF($C97="","",IF(N($J97)=N($K97),"一致","★合同"&amp;TEXT(N($J97),"0")&amp;"台 / 在册"&amp;TEXT(N($K97),"0")&amp;"台"))</f>
        <v/>
      </c>
      <c r="T97" s="40" t="str">
        <f aca="false">IF($C97="","",ROUND(SUMIFS(应收金额,应收键,$E97,应收年度,管理年度),2))</f>
        <v/>
      </c>
      <c r="U97" s="40" t="str">
        <f aca="false">IF($C97="","",ROUND(SUMIFS(收款金额,收款键,$E97,收款年度,管理年度),2))</f>
        <v/>
      </c>
      <c r="V97" s="41" t="str">
        <f aca="false">IF($C97="","",ROUND(SUMIF(应收键,$E97,应收金额)-SUMIF(收款键,$E97,收款金额),2))</f>
        <v/>
      </c>
      <c r="W97" s="24"/>
      <c r="X97" s="35" t="str">
        <f aca="false">IF($C97="","",IF($D97="","★项目名称没填",IF(COUNTIF($E$5:$E$304,$E97)&gt;1,"★键重复",IF(AND($H97&lt;&gt;"",$I97&lt;&gt;"",$I97&lt;$H97),"★合同起止反了",IF(N($K97)=0,"★电梯资料里没有这个项目","OK")))))</f>
        <v/>
      </c>
    </row>
    <row r="98" customFormat="false" ht="15" hidden="false" customHeight="false" outlineLevel="0" collapsed="false">
      <c r="A98" s="29" t="str">
        <f aca="false">IF($C98="","",ROW()-4)</f>
        <v/>
      </c>
      <c r="B98" s="35" t="str">
        <f aca="false">IF($C98="","",IFERROR(INDEX(电梯片区,MATCH($E98,电梯键,0)),""))</f>
        <v/>
      </c>
      <c r="C98" s="24"/>
      <c r="D98" s="24"/>
      <c r="E98" s="30" t="str">
        <f aca="false">IF($C98="","",$C98&amp;" ｜ "&amp;$D98)</f>
        <v/>
      </c>
      <c r="F98" s="25"/>
      <c r="G98" s="25"/>
      <c r="H98" s="33"/>
      <c r="I98" s="33"/>
      <c r="J98" s="32"/>
      <c r="K98" s="38" t="str">
        <f aca="false">IF($C98="","",SUMIF(电梯键,$E98,电梯台量))</f>
        <v/>
      </c>
      <c r="L98" s="39"/>
      <c r="M98" s="25"/>
      <c r="N98" s="25"/>
      <c r="O98" s="38" t="str">
        <f aca="false">IF($C98="","",SUMIFS(电梯台量,电梯键,$E98,电梯状态,"安装免保")+SUMIFS(电梯台量,电梯键,$E98,电梯状态,"技术免保")+SUMIFS(电梯台量,电梯键,$E98,电梯状态,"质保期内"))</f>
        <v/>
      </c>
      <c r="P98" s="38" t="str">
        <f aca="false">IF($C98="","",$K98-$O98)</f>
        <v/>
      </c>
      <c r="Q98" s="34" t="str">
        <f aca="true">IF($C98="","",IF($G98="已终止","",IF($I98="","▲没填合同止期",IF($I98&lt;TODAY(),"已到期 "&amp;TEXT(TODAY()-$I98,"0")&amp;" 天",IF($I98-TODAY()&lt;=合同提醒天,"将到期 "&amp;TEXT($I98-TODAY(),"0")&amp;" 天","")))))</f>
        <v/>
      </c>
      <c r="R98" s="34" t="str">
        <f aca="false">IF($C98="","",IF($G98="","▲合同状态没选",IF(OR($G98="已签未回",$G98="未签",$G98="续签中"),"▲合同未回（"&amp;$G98&amp;"）","")))</f>
        <v/>
      </c>
      <c r="S98" s="35" t="str">
        <f aca="false">IF($C98="","",IF(N($J98)=N($K98),"一致","★合同"&amp;TEXT(N($J98),"0")&amp;"台 / 在册"&amp;TEXT(N($K98),"0")&amp;"台"))</f>
        <v/>
      </c>
      <c r="T98" s="40" t="str">
        <f aca="false">IF($C98="","",ROUND(SUMIFS(应收金额,应收键,$E98,应收年度,管理年度),2))</f>
        <v/>
      </c>
      <c r="U98" s="40" t="str">
        <f aca="false">IF($C98="","",ROUND(SUMIFS(收款金额,收款键,$E98,收款年度,管理年度),2))</f>
        <v/>
      </c>
      <c r="V98" s="41" t="str">
        <f aca="false">IF($C98="","",ROUND(SUMIF(应收键,$E98,应收金额)-SUMIF(收款键,$E98,收款金额),2))</f>
        <v/>
      </c>
      <c r="W98" s="24"/>
      <c r="X98" s="35" t="str">
        <f aca="false">IF($C98="","",IF($D98="","★项目名称没填",IF(COUNTIF($E$5:$E$304,$E98)&gt;1,"★键重复",IF(AND($H98&lt;&gt;"",$I98&lt;&gt;"",$I98&lt;$H98),"★合同起止反了",IF(N($K98)=0,"★电梯资料里没有这个项目","OK")))))</f>
        <v/>
      </c>
    </row>
    <row r="99" customFormat="false" ht="15" hidden="false" customHeight="false" outlineLevel="0" collapsed="false">
      <c r="A99" s="29" t="str">
        <f aca="false">IF($C99="","",ROW()-4)</f>
        <v/>
      </c>
      <c r="B99" s="35" t="str">
        <f aca="false">IF($C99="","",IFERROR(INDEX(电梯片区,MATCH($E99,电梯键,0)),""))</f>
        <v/>
      </c>
      <c r="C99" s="24"/>
      <c r="D99" s="24"/>
      <c r="E99" s="30" t="str">
        <f aca="false">IF($C99="","",$C99&amp;" ｜ "&amp;$D99)</f>
        <v/>
      </c>
      <c r="F99" s="25"/>
      <c r="G99" s="25"/>
      <c r="H99" s="33"/>
      <c r="I99" s="33"/>
      <c r="J99" s="32"/>
      <c r="K99" s="38" t="str">
        <f aca="false">IF($C99="","",SUMIF(电梯键,$E99,电梯台量))</f>
        <v/>
      </c>
      <c r="L99" s="39"/>
      <c r="M99" s="25"/>
      <c r="N99" s="25"/>
      <c r="O99" s="38" t="str">
        <f aca="false">IF($C99="","",SUMIFS(电梯台量,电梯键,$E99,电梯状态,"安装免保")+SUMIFS(电梯台量,电梯键,$E99,电梯状态,"技术免保")+SUMIFS(电梯台量,电梯键,$E99,电梯状态,"质保期内"))</f>
        <v/>
      </c>
      <c r="P99" s="38" t="str">
        <f aca="false">IF($C99="","",$K99-$O99)</f>
        <v/>
      </c>
      <c r="Q99" s="34" t="str">
        <f aca="true">IF($C99="","",IF($G99="已终止","",IF($I99="","▲没填合同止期",IF($I99&lt;TODAY(),"已到期 "&amp;TEXT(TODAY()-$I99,"0")&amp;" 天",IF($I99-TODAY()&lt;=合同提醒天,"将到期 "&amp;TEXT($I99-TODAY(),"0")&amp;" 天","")))))</f>
        <v/>
      </c>
      <c r="R99" s="34" t="str">
        <f aca="false">IF($C99="","",IF($G99="","▲合同状态没选",IF(OR($G99="已签未回",$G99="未签",$G99="续签中"),"▲合同未回（"&amp;$G99&amp;"）","")))</f>
        <v/>
      </c>
      <c r="S99" s="35" t="str">
        <f aca="false">IF($C99="","",IF(N($J99)=N($K99),"一致","★合同"&amp;TEXT(N($J99),"0")&amp;"台 / 在册"&amp;TEXT(N($K99),"0")&amp;"台"))</f>
        <v/>
      </c>
      <c r="T99" s="40" t="str">
        <f aca="false">IF($C99="","",ROUND(SUMIFS(应收金额,应收键,$E99,应收年度,管理年度),2))</f>
        <v/>
      </c>
      <c r="U99" s="40" t="str">
        <f aca="false">IF($C99="","",ROUND(SUMIFS(收款金额,收款键,$E99,收款年度,管理年度),2))</f>
        <v/>
      </c>
      <c r="V99" s="41" t="str">
        <f aca="false">IF($C99="","",ROUND(SUMIF(应收键,$E99,应收金额)-SUMIF(收款键,$E99,收款金额),2))</f>
        <v/>
      </c>
      <c r="W99" s="24"/>
      <c r="X99" s="35" t="str">
        <f aca="false">IF($C99="","",IF($D99="","★项目名称没填",IF(COUNTIF($E$5:$E$304,$E99)&gt;1,"★键重复",IF(AND($H99&lt;&gt;"",$I99&lt;&gt;"",$I99&lt;$H99),"★合同起止反了",IF(N($K99)=0,"★电梯资料里没有这个项目","OK")))))</f>
        <v/>
      </c>
    </row>
    <row r="100" customFormat="false" ht="15" hidden="false" customHeight="false" outlineLevel="0" collapsed="false">
      <c r="A100" s="29" t="str">
        <f aca="false">IF($C100="","",ROW()-4)</f>
        <v/>
      </c>
      <c r="B100" s="35" t="str">
        <f aca="false">IF($C100="","",IFERROR(INDEX(电梯片区,MATCH($E100,电梯键,0)),""))</f>
        <v/>
      </c>
      <c r="C100" s="24"/>
      <c r="D100" s="24"/>
      <c r="E100" s="30" t="str">
        <f aca="false">IF($C100="","",$C100&amp;" ｜ "&amp;$D100)</f>
        <v/>
      </c>
      <c r="F100" s="25"/>
      <c r="G100" s="25"/>
      <c r="H100" s="33"/>
      <c r="I100" s="33"/>
      <c r="J100" s="32"/>
      <c r="K100" s="38" t="str">
        <f aca="false">IF($C100="","",SUMIF(电梯键,$E100,电梯台量))</f>
        <v/>
      </c>
      <c r="L100" s="39"/>
      <c r="M100" s="25"/>
      <c r="N100" s="25"/>
      <c r="O100" s="38" t="str">
        <f aca="false">IF($C100="","",SUMIFS(电梯台量,电梯键,$E100,电梯状态,"安装免保")+SUMIFS(电梯台量,电梯键,$E100,电梯状态,"技术免保")+SUMIFS(电梯台量,电梯键,$E100,电梯状态,"质保期内"))</f>
        <v/>
      </c>
      <c r="P100" s="38" t="str">
        <f aca="false">IF($C100="","",$K100-$O100)</f>
        <v/>
      </c>
      <c r="Q100" s="34" t="str">
        <f aca="true">IF($C100="","",IF($G100="已终止","",IF($I100="","▲没填合同止期",IF($I100&lt;TODAY(),"已到期 "&amp;TEXT(TODAY()-$I100,"0")&amp;" 天",IF($I100-TODAY()&lt;=合同提醒天,"将到期 "&amp;TEXT($I100-TODAY(),"0")&amp;" 天","")))))</f>
        <v/>
      </c>
      <c r="R100" s="34" t="str">
        <f aca="false">IF($C100="","",IF($G100="","▲合同状态没选",IF(OR($G100="已签未回",$G100="未签",$G100="续签中"),"▲合同未回（"&amp;$G100&amp;"）","")))</f>
        <v/>
      </c>
      <c r="S100" s="35" t="str">
        <f aca="false">IF($C100="","",IF(N($J100)=N($K100),"一致","★合同"&amp;TEXT(N($J100),"0")&amp;"台 / 在册"&amp;TEXT(N($K100),"0")&amp;"台"))</f>
        <v/>
      </c>
      <c r="T100" s="40" t="str">
        <f aca="false">IF($C100="","",ROUND(SUMIFS(应收金额,应收键,$E100,应收年度,管理年度),2))</f>
        <v/>
      </c>
      <c r="U100" s="40" t="str">
        <f aca="false">IF($C100="","",ROUND(SUMIFS(收款金额,收款键,$E100,收款年度,管理年度),2))</f>
        <v/>
      </c>
      <c r="V100" s="41" t="str">
        <f aca="false">IF($C100="","",ROUND(SUMIF(应收键,$E100,应收金额)-SUMIF(收款键,$E100,收款金额),2))</f>
        <v/>
      </c>
      <c r="W100" s="24"/>
      <c r="X100" s="35" t="str">
        <f aca="false">IF($C100="","",IF($D100="","★项目名称没填",IF(COUNTIF($E$5:$E$304,$E100)&gt;1,"★键重复",IF(AND($H100&lt;&gt;"",$I100&lt;&gt;"",$I100&lt;$H100),"★合同起止反了",IF(N($K100)=0,"★电梯资料里没有这个项目","OK")))))</f>
        <v/>
      </c>
    </row>
    <row r="101" customFormat="false" ht="15" hidden="false" customHeight="false" outlineLevel="0" collapsed="false">
      <c r="A101" s="29" t="str">
        <f aca="false">IF($C101="","",ROW()-4)</f>
        <v/>
      </c>
      <c r="B101" s="35" t="str">
        <f aca="false">IF($C101="","",IFERROR(INDEX(电梯片区,MATCH($E101,电梯键,0)),""))</f>
        <v/>
      </c>
      <c r="C101" s="24"/>
      <c r="D101" s="24"/>
      <c r="E101" s="30" t="str">
        <f aca="false">IF($C101="","",$C101&amp;" ｜ "&amp;$D101)</f>
        <v/>
      </c>
      <c r="F101" s="25"/>
      <c r="G101" s="25"/>
      <c r="H101" s="33"/>
      <c r="I101" s="33"/>
      <c r="J101" s="32"/>
      <c r="K101" s="38" t="str">
        <f aca="false">IF($C101="","",SUMIF(电梯键,$E101,电梯台量))</f>
        <v/>
      </c>
      <c r="L101" s="39"/>
      <c r="M101" s="25"/>
      <c r="N101" s="25"/>
      <c r="O101" s="38" t="str">
        <f aca="false">IF($C101="","",SUMIFS(电梯台量,电梯键,$E101,电梯状态,"安装免保")+SUMIFS(电梯台量,电梯键,$E101,电梯状态,"技术免保")+SUMIFS(电梯台量,电梯键,$E101,电梯状态,"质保期内"))</f>
        <v/>
      </c>
      <c r="P101" s="38" t="str">
        <f aca="false">IF($C101="","",$K101-$O101)</f>
        <v/>
      </c>
      <c r="Q101" s="34" t="str">
        <f aca="true">IF($C101="","",IF($G101="已终止","",IF($I101="","▲没填合同止期",IF($I101&lt;TODAY(),"已到期 "&amp;TEXT(TODAY()-$I101,"0")&amp;" 天",IF($I101-TODAY()&lt;=合同提醒天,"将到期 "&amp;TEXT($I101-TODAY(),"0")&amp;" 天","")))))</f>
        <v/>
      </c>
      <c r="R101" s="34" t="str">
        <f aca="false">IF($C101="","",IF($G101="","▲合同状态没选",IF(OR($G101="已签未回",$G101="未签",$G101="续签中"),"▲合同未回（"&amp;$G101&amp;"）","")))</f>
        <v/>
      </c>
      <c r="S101" s="35" t="str">
        <f aca="false">IF($C101="","",IF(N($J101)=N($K101),"一致","★合同"&amp;TEXT(N($J101),"0")&amp;"台 / 在册"&amp;TEXT(N($K101),"0")&amp;"台"))</f>
        <v/>
      </c>
      <c r="T101" s="40" t="str">
        <f aca="false">IF($C101="","",ROUND(SUMIFS(应收金额,应收键,$E101,应收年度,管理年度),2))</f>
        <v/>
      </c>
      <c r="U101" s="40" t="str">
        <f aca="false">IF($C101="","",ROUND(SUMIFS(收款金额,收款键,$E101,收款年度,管理年度),2))</f>
        <v/>
      </c>
      <c r="V101" s="41" t="str">
        <f aca="false">IF($C101="","",ROUND(SUMIF(应收键,$E101,应收金额)-SUMIF(收款键,$E101,收款金额),2))</f>
        <v/>
      </c>
      <c r="W101" s="24"/>
      <c r="X101" s="35" t="str">
        <f aca="false">IF($C101="","",IF($D101="","★项目名称没填",IF(COUNTIF($E$5:$E$304,$E101)&gt;1,"★键重复",IF(AND($H101&lt;&gt;"",$I101&lt;&gt;"",$I101&lt;$H101),"★合同起止反了",IF(N($K101)=0,"★电梯资料里没有这个项目","OK")))))</f>
        <v/>
      </c>
    </row>
    <row r="102" customFormat="false" ht="15" hidden="false" customHeight="false" outlineLevel="0" collapsed="false">
      <c r="A102" s="29" t="str">
        <f aca="false">IF($C102="","",ROW()-4)</f>
        <v/>
      </c>
      <c r="B102" s="35" t="str">
        <f aca="false">IF($C102="","",IFERROR(INDEX(电梯片区,MATCH($E102,电梯键,0)),""))</f>
        <v/>
      </c>
      <c r="C102" s="24"/>
      <c r="D102" s="24"/>
      <c r="E102" s="30" t="str">
        <f aca="false">IF($C102="","",$C102&amp;" ｜ "&amp;$D102)</f>
        <v/>
      </c>
      <c r="F102" s="25"/>
      <c r="G102" s="25"/>
      <c r="H102" s="33"/>
      <c r="I102" s="33"/>
      <c r="J102" s="32"/>
      <c r="K102" s="38" t="str">
        <f aca="false">IF($C102="","",SUMIF(电梯键,$E102,电梯台量))</f>
        <v/>
      </c>
      <c r="L102" s="39"/>
      <c r="M102" s="25"/>
      <c r="N102" s="25"/>
      <c r="O102" s="38" t="str">
        <f aca="false">IF($C102="","",SUMIFS(电梯台量,电梯键,$E102,电梯状态,"安装免保")+SUMIFS(电梯台量,电梯键,$E102,电梯状态,"技术免保")+SUMIFS(电梯台量,电梯键,$E102,电梯状态,"质保期内"))</f>
        <v/>
      </c>
      <c r="P102" s="38" t="str">
        <f aca="false">IF($C102="","",$K102-$O102)</f>
        <v/>
      </c>
      <c r="Q102" s="34" t="str">
        <f aca="true">IF($C102="","",IF($G102="已终止","",IF($I102="","▲没填合同止期",IF($I102&lt;TODAY(),"已到期 "&amp;TEXT(TODAY()-$I102,"0")&amp;" 天",IF($I102-TODAY()&lt;=合同提醒天,"将到期 "&amp;TEXT($I102-TODAY(),"0")&amp;" 天","")))))</f>
        <v/>
      </c>
      <c r="R102" s="34" t="str">
        <f aca="false">IF($C102="","",IF($G102="","▲合同状态没选",IF(OR($G102="已签未回",$G102="未签",$G102="续签中"),"▲合同未回（"&amp;$G102&amp;"）","")))</f>
        <v/>
      </c>
      <c r="S102" s="35" t="str">
        <f aca="false">IF($C102="","",IF(N($J102)=N($K102),"一致","★合同"&amp;TEXT(N($J102),"0")&amp;"台 / 在册"&amp;TEXT(N($K102),"0")&amp;"台"))</f>
        <v/>
      </c>
      <c r="T102" s="40" t="str">
        <f aca="false">IF($C102="","",ROUND(SUMIFS(应收金额,应收键,$E102,应收年度,管理年度),2))</f>
        <v/>
      </c>
      <c r="U102" s="40" t="str">
        <f aca="false">IF($C102="","",ROUND(SUMIFS(收款金额,收款键,$E102,收款年度,管理年度),2))</f>
        <v/>
      </c>
      <c r="V102" s="41" t="str">
        <f aca="false">IF($C102="","",ROUND(SUMIF(应收键,$E102,应收金额)-SUMIF(收款键,$E102,收款金额),2))</f>
        <v/>
      </c>
      <c r="W102" s="24"/>
      <c r="X102" s="35" t="str">
        <f aca="false">IF($C102="","",IF($D102="","★项目名称没填",IF(COUNTIF($E$5:$E$304,$E102)&gt;1,"★键重复",IF(AND($H102&lt;&gt;"",$I102&lt;&gt;"",$I102&lt;$H102),"★合同起止反了",IF(N($K102)=0,"★电梯资料里没有这个项目","OK")))))</f>
        <v/>
      </c>
    </row>
    <row r="103" customFormat="false" ht="15" hidden="false" customHeight="false" outlineLevel="0" collapsed="false">
      <c r="A103" s="29" t="str">
        <f aca="false">IF($C103="","",ROW()-4)</f>
        <v/>
      </c>
      <c r="B103" s="35" t="str">
        <f aca="false">IF($C103="","",IFERROR(INDEX(电梯片区,MATCH($E103,电梯键,0)),""))</f>
        <v/>
      </c>
      <c r="C103" s="24"/>
      <c r="D103" s="24"/>
      <c r="E103" s="30" t="str">
        <f aca="false">IF($C103="","",$C103&amp;" ｜ "&amp;$D103)</f>
        <v/>
      </c>
      <c r="F103" s="25"/>
      <c r="G103" s="25"/>
      <c r="H103" s="33"/>
      <c r="I103" s="33"/>
      <c r="J103" s="32"/>
      <c r="K103" s="38" t="str">
        <f aca="false">IF($C103="","",SUMIF(电梯键,$E103,电梯台量))</f>
        <v/>
      </c>
      <c r="L103" s="39"/>
      <c r="M103" s="25"/>
      <c r="N103" s="25"/>
      <c r="O103" s="38" t="str">
        <f aca="false">IF($C103="","",SUMIFS(电梯台量,电梯键,$E103,电梯状态,"安装免保")+SUMIFS(电梯台量,电梯键,$E103,电梯状态,"技术免保")+SUMIFS(电梯台量,电梯键,$E103,电梯状态,"质保期内"))</f>
        <v/>
      </c>
      <c r="P103" s="38" t="str">
        <f aca="false">IF($C103="","",$K103-$O103)</f>
        <v/>
      </c>
      <c r="Q103" s="34" t="str">
        <f aca="true">IF($C103="","",IF($G103="已终止","",IF($I103="","▲没填合同止期",IF($I103&lt;TODAY(),"已到期 "&amp;TEXT(TODAY()-$I103,"0")&amp;" 天",IF($I103-TODAY()&lt;=合同提醒天,"将到期 "&amp;TEXT($I103-TODAY(),"0")&amp;" 天","")))))</f>
        <v/>
      </c>
      <c r="R103" s="34" t="str">
        <f aca="false">IF($C103="","",IF($G103="","▲合同状态没选",IF(OR($G103="已签未回",$G103="未签",$G103="续签中"),"▲合同未回（"&amp;$G103&amp;"）","")))</f>
        <v/>
      </c>
      <c r="S103" s="35" t="str">
        <f aca="false">IF($C103="","",IF(N($J103)=N($K103),"一致","★合同"&amp;TEXT(N($J103),"0")&amp;"台 / 在册"&amp;TEXT(N($K103),"0")&amp;"台"))</f>
        <v/>
      </c>
      <c r="T103" s="40" t="str">
        <f aca="false">IF($C103="","",ROUND(SUMIFS(应收金额,应收键,$E103,应收年度,管理年度),2))</f>
        <v/>
      </c>
      <c r="U103" s="40" t="str">
        <f aca="false">IF($C103="","",ROUND(SUMIFS(收款金额,收款键,$E103,收款年度,管理年度),2))</f>
        <v/>
      </c>
      <c r="V103" s="41" t="str">
        <f aca="false">IF($C103="","",ROUND(SUMIF(应收键,$E103,应收金额)-SUMIF(收款键,$E103,收款金额),2))</f>
        <v/>
      </c>
      <c r="W103" s="24"/>
      <c r="X103" s="35" t="str">
        <f aca="false">IF($C103="","",IF($D103="","★项目名称没填",IF(COUNTIF($E$5:$E$304,$E103)&gt;1,"★键重复",IF(AND($H103&lt;&gt;"",$I103&lt;&gt;"",$I103&lt;$H103),"★合同起止反了",IF(N($K103)=0,"★电梯资料里没有这个项目","OK")))))</f>
        <v/>
      </c>
    </row>
    <row r="104" customFormat="false" ht="15" hidden="false" customHeight="false" outlineLevel="0" collapsed="false">
      <c r="A104" s="29" t="str">
        <f aca="false">IF($C104="","",ROW()-4)</f>
        <v/>
      </c>
      <c r="B104" s="35" t="str">
        <f aca="false">IF($C104="","",IFERROR(INDEX(电梯片区,MATCH($E104,电梯键,0)),""))</f>
        <v/>
      </c>
      <c r="C104" s="24"/>
      <c r="D104" s="24"/>
      <c r="E104" s="30" t="str">
        <f aca="false">IF($C104="","",$C104&amp;" ｜ "&amp;$D104)</f>
        <v/>
      </c>
      <c r="F104" s="25"/>
      <c r="G104" s="25"/>
      <c r="H104" s="33"/>
      <c r="I104" s="33"/>
      <c r="J104" s="32"/>
      <c r="K104" s="38" t="str">
        <f aca="false">IF($C104="","",SUMIF(电梯键,$E104,电梯台量))</f>
        <v/>
      </c>
      <c r="L104" s="39"/>
      <c r="M104" s="25"/>
      <c r="N104" s="25"/>
      <c r="O104" s="38" t="str">
        <f aca="false">IF($C104="","",SUMIFS(电梯台量,电梯键,$E104,电梯状态,"安装免保")+SUMIFS(电梯台量,电梯键,$E104,电梯状态,"技术免保")+SUMIFS(电梯台量,电梯键,$E104,电梯状态,"质保期内"))</f>
        <v/>
      </c>
      <c r="P104" s="38" t="str">
        <f aca="false">IF($C104="","",$K104-$O104)</f>
        <v/>
      </c>
      <c r="Q104" s="34" t="str">
        <f aca="true">IF($C104="","",IF($G104="已终止","",IF($I104="","▲没填合同止期",IF($I104&lt;TODAY(),"已到期 "&amp;TEXT(TODAY()-$I104,"0")&amp;" 天",IF($I104-TODAY()&lt;=合同提醒天,"将到期 "&amp;TEXT($I104-TODAY(),"0")&amp;" 天","")))))</f>
        <v/>
      </c>
      <c r="R104" s="34" t="str">
        <f aca="false">IF($C104="","",IF($G104="","▲合同状态没选",IF(OR($G104="已签未回",$G104="未签",$G104="续签中"),"▲合同未回（"&amp;$G104&amp;"）","")))</f>
        <v/>
      </c>
      <c r="S104" s="35" t="str">
        <f aca="false">IF($C104="","",IF(N($J104)=N($K104),"一致","★合同"&amp;TEXT(N($J104),"0")&amp;"台 / 在册"&amp;TEXT(N($K104),"0")&amp;"台"))</f>
        <v/>
      </c>
      <c r="T104" s="40" t="str">
        <f aca="false">IF($C104="","",ROUND(SUMIFS(应收金额,应收键,$E104,应收年度,管理年度),2))</f>
        <v/>
      </c>
      <c r="U104" s="40" t="str">
        <f aca="false">IF($C104="","",ROUND(SUMIFS(收款金额,收款键,$E104,收款年度,管理年度),2))</f>
        <v/>
      </c>
      <c r="V104" s="41" t="str">
        <f aca="false">IF($C104="","",ROUND(SUMIF(应收键,$E104,应收金额)-SUMIF(收款键,$E104,收款金额),2))</f>
        <v/>
      </c>
      <c r="W104" s="24"/>
      <c r="X104" s="35" t="str">
        <f aca="false">IF($C104="","",IF($D104="","★项目名称没填",IF(COUNTIF($E$5:$E$304,$E104)&gt;1,"★键重复",IF(AND($H104&lt;&gt;"",$I104&lt;&gt;"",$I104&lt;$H104),"★合同起止反了",IF(N($K104)=0,"★电梯资料里没有这个项目","OK")))))</f>
        <v/>
      </c>
    </row>
    <row r="105" customFormat="false" ht="15" hidden="false" customHeight="false" outlineLevel="0" collapsed="false">
      <c r="A105" s="29" t="str">
        <f aca="false">IF($C105="","",ROW()-4)</f>
        <v/>
      </c>
      <c r="B105" s="35" t="str">
        <f aca="false">IF($C105="","",IFERROR(INDEX(电梯片区,MATCH($E105,电梯键,0)),""))</f>
        <v/>
      </c>
      <c r="C105" s="24"/>
      <c r="D105" s="24"/>
      <c r="E105" s="30" t="str">
        <f aca="false">IF($C105="","",$C105&amp;" ｜ "&amp;$D105)</f>
        <v/>
      </c>
      <c r="F105" s="25"/>
      <c r="G105" s="25"/>
      <c r="H105" s="33"/>
      <c r="I105" s="33"/>
      <c r="J105" s="32"/>
      <c r="K105" s="38" t="str">
        <f aca="false">IF($C105="","",SUMIF(电梯键,$E105,电梯台量))</f>
        <v/>
      </c>
      <c r="L105" s="39"/>
      <c r="M105" s="25"/>
      <c r="N105" s="25"/>
      <c r="O105" s="38" t="str">
        <f aca="false">IF($C105="","",SUMIFS(电梯台量,电梯键,$E105,电梯状态,"安装免保")+SUMIFS(电梯台量,电梯键,$E105,电梯状态,"技术免保")+SUMIFS(电梯台量,电梯键,$E105,电梯状态,"质保期内"))</f>
        <v/>
      </c>
      <c r="P105" s="38" t="str">
        <f aca="false">IF($C105="","",$K105-$O105)</f>
        <v/>
      </c>
      <c r="Q105" s="34" t="str">
        <f aca="true">IF($C105="","",IF($G105="已终止","",IF($I105="","▲没填合同止期",IF($I105&lt;TODAY(),"已到期 "&amp;TEXT(TODAY()-$I105,"0")&amp;" 天",IF($I105-TODAY()&lt;=合同提醒天,"将到期 "&amp;TEXT($I105-TODAY(),"0")&amp;" 天","")))))</f>
        <v/>
      </c>
      <c r="R105" s="34" t="str">
        <f aca="false">IF($C105="","",IF($G105="","▲合同状态没选",IF(OR($G105="已签未回",$G105="未签",$G105="续签中"),"▲合同未回（"&amp;$G105&amp;"）","")))</f>
        <v/>
      </c>
      <c r="S105" s="35" t="str">
        <f aca="false">IF($C105="","",IF(N($J105)=N($K105),"一致","★合同"&amp;TEXT(N($J105),"0")&amp;"台 / 在册"&amp;TEXT(N($K105),"0")&amp;"台"))</f>
        <v/>
      </c>
      <c r="T105" s="40" t="str">
        <f aca="false">IF($C105="","",ROUND(SUMIFS(应收金额,应收键,$E105,应收年度,管理年度),2))</f>
        <v/>
      </c>
      <c r="U105" s="40" t="str">
        <f aca="false">IF($C105="","",ROUND(SUMIFS(收款金额,收款键,$E105,收款年度,管理年度),2))</f>
        <v/>
      </c>
      <c r="V105" s="41" t="str">
        <f aca="false">IF($C105="","",ROUND(SUMIF(应收键,$E105,应收金额)-SUMIF(收款键,$E105,收款金额),2))</f>
        <v/>
      </c>
      <c r="W105" s="24"/>
      <c r="X105" s="35" t="str">
        <f aca="false">IF($C105="","",IF($D105="","★项目名称没填",IF(COUNTIF($E$5:$E$304,$E105)&gt;1,"★键重复",IF(AND($H105&lt;&gt;"",$I105&lt;&gt;"",$I105&lt;$H105),"★合同起止反了",IF(N($K105)=0,"★电梯资料里没有这个项目","OK")))))</f>
        <v/>
      </c>
    </row>
    <row r="106" customFormat="false" ht="15" hidden="false" customHeight="false" outlineLevel="0" collapsed="false">
      <c r="A106" s="29" t="str">
        <f aca="false">IF($C106="","",ROW()-4)</f>
        <v/>
      </c>
      <c r="B106" s="35" t="str">
        <f aca="false">IF($C106="","",IFERROR(INDEX(电梯片区,MATCH($E106,电梯键,0)),""))</f>
        <v/>
      </c>
      <c r="C106" s="24"/>
      <c r="D106" s="24"/>
      <c r="E106" s="30" t="str">
        <f aca="false">IF($C106="","",$C106&amp;" ｜ "&amp;$D106)</f>
        <v/>
      </c>
      <c r="F106" s="25"/>
      <c r="G106" s="25"/>
      <c r="H106" s="33"/>
      <c r="I106" s="33"/>
      <c r="J106" s="32"/>
      <c r="K106" s="38" t="str">
        <f aca="false">IF($C106="","",SUMIF(电梯键,$E106,电梯台量))</f>
        <v/>
      </c>
      <c r="L106" s="39"/>
      <c r="M106" s="25"/>
      <c r="N106" s="25"/>
      <c r="O106" s="38" t="str">
        <f aca="false">IF($C106="","",SUMIFS(电梯台量,电梯键,$E106,电梯状态,"安装免保")+SUMIFS(电梯台量,电梯键,$E106,电梯状态,"技术免保")+SUMIFS(电梯台量,电梯键,$E106,电梯状态,"质保期内"))</f>
        <v/>
      </c>
      <c r="P106" s="38" t="str">
        <f aca="false">IF($C106="","",$K106-$O106)</f>
        <v/>
      </c>
      <c r="Q106" s="34" t="str">
        <f aca="true">IF($C106="","",IF($G106="已终止","",IF($I106="","▲没填合同止期",IF($I106&lt;TODAY(),"已到期 "&amp;TEXT(TODAY()-$I106,"0")&amp;" 天",IF($I106-TODAY()&lt;=合同提醒天,"将到期 "&amp;TEXT($I106-TODAY(),"0")&amp;" 天","")))))</f>
        <v/>
      </c>
      <c r="R106" s="34" t="str">
        <f aca="false">IF($C106="","",IF($G106="","▲合同状态没选",IF(OR($G106="已签未回",$G106="未签",$G106="续签中"),"▲合同未回（"&amp;$G106&amp;"）","")))</f>
        <v/>
      </c>
      <c r="S106" s="35" t="str">
        <f aca="false">IF($C106="","",IF(N($J106)=N($K106),"一致","★合同"&amp;TEXT(N($J106),"0")&amp;"台 / 在册"&amp;TEXT(N($K106),"0")&amp;"台"))</f>
        <v/>
      </c>
      <c r="T106" s="40" t="str">
        <f aca="false">IF($C106="","",ROUND(SUMIFS(应收金额,应收键,$E106,应收年度,管理年度),2))</f>
        <v/>
      </c>
      <c r="U106" s="40" t="str">
        <f aca="false">IF($C106="","",ROUND(SUMIFS(收款金额,收款键,$E106,收款年度,管理年度),2))</f>
        <v/>
      </c>
      <c r="V106" s="41" t="str">
        <f aca="false">IF($C106="","",ROUND(SUMIF(应收键,$E106,应收金额)-SUMIF(收款键,$E106,收款金额),2))</f>
        <v/>
      </c>
      <c r="W106" s="24"/>
      <c r="X106" s="35" t="str">
        <f aca="false">IF($C106="","",IF($D106="","★项目名称没填",IF(COUNTIF($E$5:$E$304,$E106)&gt;1,"★键重复",IF(AND($H106&lt;&gt;"",$I106&lt;&gt;"",$I106&lt;$H106),"★合同起止反了",IF(N($K106)=0,"★电梯资料里没有这个项目","OK")))))</f>
        <v/>
      </c>
    </row>
    <row r="107" customFormat="false" ht="15" hidden="false" customHeight="false" outlineLevel="0" collapsed="false">
      <c r="A107" s="29" t="str">
        <f aca="false">IF($C107="","",ROW()-4)</f>
        <v/>
      </c>
      <c r="B107" s="35" t="str">
        <f aca="false">IF($C107="","",IFERROR(INDEX(电梯片区,MATCH($E107,电梯键,0)),""))</f>
        <v/>
      </c>
      <c r="C107" s="24"/>
      <c r="D107" s="24"/>
      <c r="E107" s="30" t="str">
        <f aca="false">IF($C107="","",$C107&amp;" ｜ "&amp;$D107)</f>
        <v/>
      </c>
      <c r="F107" s="25"/>
      <c r="G107" s="25"/>
      <c r="H107" s="33"/>
      <c r="I107" s="33"/>
      <c r="J107" s="32"/>
      <c r="K107" s="38" t="str">
        <f aca="false">IF($C107="","",SUMIF(电梯键,$E107,电梯台量))</f>
        <v/>
      </c>
      <c r="L107" s="39"/>
      <c r="M107" s="25"/>
      <c r="N107" s="25"/>
      <c r="O107" s="38" t="str">
        <f aca="false">IF($C107="","",SUMIFS(电梯台量,电梯键,$E107,电梯状态,"安装免保")+SUMIFS(电梯台量,电梯键,$E107,电梯状态,"技术免保")+SUMIFS(电梯台量,电梯键,$E107,电梯状态,"质保期内"))</f>
        <v/>
      </c>
      <c r="P107" s="38" t="str">
        <f aca="false">IF($C107="","",$K107-$O107)</f>
        <v/>
      </c>
      <c r="Q107" s="34" t="str">
        <f aca="true">IF($C107="","",IF($G107="已终止","",IF($I107="","▲没填合同止期",IF($I107&lt;TODAY(),"已到期 "&amp;TEXT(TODAY()-$I107,"0")&amp;" 天",IF($I107-TODAY()&lt;=合同提醒天,"将到期 "&amp;TEXT($I107-TODAY(),"0")&amp;" 天","")))))</f>
        <v/>
      </c>
      <c r="R107" s="34" t="str">
        <f aca="false">IF($C107="","",IF($G107="","▲合同状态没选",IF(OR($G107="已签未回",$G107="未签",$G107="续签中"),"▲合同未回（"&amp;$G107&amp;"）","")))</f>
        <v/>
      </c>
      <c r="S107" s="35" t="str">
        <f aca="false">IF($C107="","",IF(N($J107)=N($K107),"一致","★合同"&amp;TEXT(N($J107),"0")&amp;"台 / 在册"&amp;TEXT(N($K107),"0")&amp;"台"))</f>
        <v/>
      </c>
      <c r="T107" s="40" t="str">
        <f aca="false">IF($C107="","",ROUND(SUMIFS(应收金额,应收键,$E107,应收年度,管理年度),2))</f>
        <v/>
      </c>
      <c r="U107" s="40" t="str">
        <f aca="false">IF($C107="","",ROUND(SUMIFS(收款金额,收款键,$E107,收款年度,管理年度),2))</f>
        <v/>
      </c>
      <c r="V107" s="41" t="str">
        <f aca="false">IF($C107="","",ROUND(SUMIF(应收键,$E107,应收金额)-SUMIF(收款键,$E107,收款金额),2))</f>
        <v/>
      </c>
      <c r="W107" s="24"/>
      <c r="X107" s="35" t="str">
        <f aca="false">IF($C107="","",IF($D107="","★项目名称没填",IF(COUNTIF($E$5:$E$304,$E107)&gt;1,"★键重复",IF(AND($H107&lt;&gt;"",$I107&lt;&gt;"",$I107&lt;$H107),"★合同起止反了",IF(N($K107)=0,"★电梯资料里没有这个项目","OK")))))</f>
        <v/>
      </c>
    </row>
    <row r="108" customFormat="false" ht="15" hidden="false" customHeight="false" outlineLevel="0" collapsed="false">
      <c r="A108" s="29" t="str">
        <f aca="false">IF($C108="","",ROW()-4)</f>
        <v/>
      </c>
      <c r="B108" s="35" t="str">
        <f aca="false">IF($C108="","",IFERROR(INDEX(电梯片区,MATCH($E108,电梯键,0)),""))</f>
        <v/>
      </c>
      <c r="C108" s="24"/>
      <c r="D108" s="24"/>
      <c r="E108" s="30" t="str">
        <f aca="false">IF($C108="","",$C108&amp;" ｜ "&amp;$D108)</f>
        <v/>
      </c>
      <c r="F108" s="25"/>
      <c r="G108" s="25"/>
      <c r="H108" s="33"/>
      <c r="I108" s="33"/>
      <c r="J108" s="32"/>
      <c r="K108" s="38" t="str">
        <f aca="false">IF($C108="","",SUMIF(电梯键,$E108,电梯台量))</f>
        <v/>
      </c>
      <c r="L108" s="39"/>
      <c r="M108" s="25"/>
      <c r="N108" s="25"/>
      <c r="O108" s="38" t="str">
        <f aca="false">IF($C108="","",SUMIFS(电梯台量,电梯键,$E108,电梯状态,"安装免保")+SUMIFS(电梯台量,电梯键,$E108,电梯状态,"技术免保")+SUMIFS(电梯台量,电梯键,$E108,电梯状态,"质保期内"))</f>
        <v/>
      </c>
      <c r="P108" s="38" t="str">
        <f aca="false">IF($C108="","",$K108-$O108)</f>
        <v/>
      </c>
      <c r="Q108" s="34" t="str">
        <f aca="true">IF($C108="","",IF($G108="已终止","",IF($I108="","▲没填合同止期",IF($I108&lt;TODAY(),"已到期 "&amp;TEXT(TODAY()-$I108,"0")&amp;" 天",IF($I108-TODAY()&lt;=合同提醒天,"将到期 "&amp;TEXT($I108-TODAY(),"0")&amp;" 天","")))))</f>
        <v/>
      </c>
      <c r="R108" s="34" t="str">
        <f aca="false">IF($C108="","",IF($G108="","▲合同状态没选",IF(OR($G108="已签未回",$G108="未签",$G108="续签中"),"▲合同未回（"&amp;$G108&amp;"）","")))</f>
        <v/>
      </c>
      <c r="S108" s="35" t="str">
        <f aca="false">IF($C108="","",IF(N($J108)=N($K108),"一致","★合同"&amp;TEXT(N($J108),"0")&amp;"台 / 在册"&amp;TEXT(N($K108),"0")&amp;"台"))</f>
        <v/>
      </c>
      <c r="T108" s="40" t="str">
        <f aca="false">IF($C108="","",ROUND(SUMIFS(应收金额,应收键,$E108,应收年度,管理年度),2))</f>
        <v/>
      </c>
      <c r="U108" s="40" t="str">
        <f aca="false">IF($C108="","",ROUND(SUMIFS(收款金额,收款键,$E108,收款年度,管理年度),2))</f>
        <v/>
      </c>
      <c r="V108" s="41" t="str">
        <f aca="false">IF($C108="","",ROUND(SUMIF(应收键,$E108,应收金额)-SUMIF(收款键,$E108,收款金额),2))</f>
        <v/>
      </c>
      <c r="W108" s="24"/>
      <c r="X108" s="35" t="str">
        <f aca="false">IF($C108="","",IF($D108="","★项目名称没填",IF(COUNTIF($E$5:$E$304,$E108)&gt;1,"★键重复",IF(AND($H108&lt;&gt;"",$I108&lt;&gt;"",$I108&lt;$H108),"★合同起止反了",IF(N($K108)=0,"★电梯资料里没有这个项目","OK")))))</f>
        <v/>
      </c>
    </row>
    <row r="109" customFormat="false" ht="15" hidden="false" customHeight="false" outlineLevel="0" collapsed="false">
      <c r="A109" s="29" t="str">
        <f aca="false">IF($C109="","",ROW()-4)</f>
        <v/>
      </c>
      <c r="B109" s="35" t="str">
        <f aca="false">IF($C109="","",IFERROR(INDEX(电梯片区,MATCH($E109,电梯键,0)),""))</f>
        <v/>
      </c>
      <c r="C109" s="24"/>
      <c r="D109" s="24"/>
      <c r="E109" s="30" t="str">
        <f aca="false">IF($C109="","",$C109&amp;" ｜ "&amp;$D109)</f>
        <v/>
      </c>
      <c r="F109" s="25"/>
      <c r="G109" s="25"/>
      <c r="H109" s="33"/>
      <c r="I109" s="33"/>
      <c r="J109" s="32"/>
      <c r="K109" s="38" t="str">
        <f aca="false">IF($C109="","",SUMIF(电梯键,$E109,电梯台量))</f>
        <v/>
      </c>
      <c r="L109" s="39"/>
      <c r="M109" s="25"/>
      <c r="N109" s="25"/>
      <c r="O109" s="38" t="str">
        <f aca="false">IF($C109="","",SUMIFS(电梯台量,电梯键,$E109,电梯状态,"安装免保")+SUMIFS(电梯台量,电梯键,$E109,电梯状态,"技术免保")+SUMIFS(电梯台量,电梯键,$E109,电梯状态,"质保期内"))</f>
        <v/>
      </c>
      <c r="P109" s="38" t="str">
        <f aca="false">IF($C109="","",$K109-$O109)</f>
        <v/>
      </c>
      <c r="Q109" s="34" t="str">
        <f aca="true">IF($C109="","",IF($G109="已终止","",IF($I109="","▲没填合同止期",IF($I109&lt;TODAY(),"已到期 "&amp;TEXT(TODAY()-$I109,"0")&amp;" 天",IF($I109-TODAY()&lt;=合同提醒天,"将到期 "&amp;TEXT($I109-TODAY(),"0")&amp;" 天","")))))</f>
        <v/>
      </c>
      <c r="R109" s="34" t="str">
        <f aca="false">IF($C109="","",IF($G109="","▲合同状态没选",IF(OR($G109="已签未回",$G109="未签",$G109="续签中"),"▲合同未回（"&amp;$G109&amp;"）","")))</f>
        <v/>
      </c>
      <c r="S109" s="35" t="str">
        <f aca="false">IF($C109="","",IF(N($J109)=N($K109),"一致","★合同"&amp;TEXT(N($J109),"0")&amp;"台 / 在册"&amp;TEXT(N($K109),"0")&amp;"台"))</f>
        <v/>
      </c>
      <c r="T109" s="40" t="str">
        <f aca="false">IF($C109="","",ROUND(SUMIFS(应收金额,应收键,$E109,应收年度,管理年度),2))</f>
        <v/>
      </c>
      <c r="U109" s="40" t="str">
        <f aca="false">IF($C109="","",ROUND(SUMIFS(收款金额,收款键,$E109,收款年度,管理年度),2))</f>
        <v/>
      </c>
      <c r="V109" s="41" t="str">
        <f aca="false">IF($C109="","",ROUND(SUMIF(应收键,$E109,应收金额)-SUMIF(收款键,$E109,收款金额),2))</f>
        <v/>
      </c>
      <c r="W109" s="24"/>
      <c r="X109" s="35" t="str">
        <f aca="false">IF($C109="","",IF($D109="","★项目名称没填",IF(COUNTIF($E$5:$E$304,$E109)&gt;1,"★键重复",IF(AND($H109&lt;&gt;"",$I109&lt;&gt;"",$I109&lt;$H109),"★合同起止反了",IF(N($K109)=0,"★电梯资料里没有这个项目","OK")))))</f>
        <v/>
      </c>
    </row>
    <row r="110" customFormat="false" ht="15" hidden="false" customHeight="false" outlineLevel="0" collapsed="false">
      <c r="A110" s="29" t="str">
        <f aca="false">IF($C110="","",ROW()-4)</f>
        <v/>
      </c>
      <c r="B110" s="35" t="str">
        <f aca="false">IF($C110="","",IFERROR(INDEX(电梯片区,MATCH($E110,电梯键,0)),""))</f>
        <v/>
      </c>
      <c r="C110" s="24"/>
      <c r="D110" s="24"/>
      <c r="E110" s="30" t="str">
        <f aca="false">IF($C110="","",$C110&amp;" ｜ "&amp;$D110)</f>
        <v/>
      </c>
      <c r="F110" s="25"/>
      <c r="G110" s="25"/>
      <c r="H110" s="33"/>
      <c r="I110" s="33"/>
      <c r="J110" s="32"/>
      <c r="K110" s="38" t="str">
        <f aca="false">IF($C110="","",SUMIF(电梯键,$E110,电梯台量))</f>
        <v/>
      </c>
      <c r="L110" s="39"/>
      <c r="M110" s="25"/>
      <c r="N110" s="25"/>
      <c r="O110" s="38" t="str">
        <f aca="false">IF($C110="","",SUMIFS(电梯台量,电梯键,$E110,电梯状态,"安装免保")+SUMIFS(电梯台量,电梯键,$E110,电梯状态,"技术免保")+SUMIFS(电梯台量,电梯键,$E110,电梯状态,"质保期内"))</f>
        <v/>
      </c>
      <c r="P110" s="38" t="str">
        <f aca="false">IF($C110="","",$K110-$O110)</f>
        <v/>
      </c>
      <c r="Q110" s="34" t="str">
        <f aca="true">IF($C110="","",IF($G110="已终止","",IF($I110="","▲没填合同止期",IF($I110&lt;TODAY(),"已到期 "&amp;TEXT(TODAY()-$I110,"0")&amp;" 天",IF($I110-TODAY()&lt;=合同提醒天,"将到期 "&amp;TEXT($I110-TODAY(),"0")&amp;" 天","")))))</f>
        <v/>
      </c>
      <c r="R110" s="34" t="str">
        <f aca="false">IF($C110="","",IF($G110="","▲合同状态没选",IF(OR($G110="已签未回",$G110="未签",$G110="续签中"),"▲合同未回（"&amp;$G110&amp;"）","")))</f>
        <v/>
      </c>
      <c r="S110" s="35" t="str">
        <f aca="false">IF($C110="","",IF(N($J110)=N($K110),"一致","★合同"&amp;TEXT(N($J110),"0")&amp;"台 / 在册"&amp;TEXT(N($K110),"0")&amp;"台"))</f>
        <v/>
      </c>
      <c r="T110" s="40" t="str">
        <f aca="false">IF($C110="","",ROUND(SUMIFS(应收金额,应收键,$E110,应收年度,管理年度),2))</f>
        <v/>
      </c>
      <c r="U110" s="40" t="str">
        <f aca="false">IF($C110="","",ROUND(SUMIFS(收款金额,收款键,$E110,收款年度,管理年度),2))</f>
        <v/>
      </c>
      <c r="V110" s="41" t="str">
        <f aca="false">IF($C110="","",ROUND(SUMIF(应收键,$E110,应收金额)-SUMIF(收款键,$E110,收款金额),2))</f>
        <v/>
      </c>
      <c r="W110" s="24"/>
      <c r="X110" s="35" t="str">
        <f aca="false">IF($C110="","",IF($D110="","★项目名称没填",IF(COUNTIF($E$5:$E$304,$E110)&gt;1,"★键重复",IF(AND($H110&lt;&gt;"",$I110&lt;&gt;"",$I110&lt;$H110),"★合同起止反了",IF(N($K110)=0,"★电梯资料里没有这个项目","OK")))))</f>
        <v/>
      </c>
    </row>
    <row r="111" customFormat="false" ht="15" hidden="false" customHeight="false" outlineLevel="0" collapsed="false">
      <c r="A111" s="29" t="str">
        <f aca="false">IF($C111="","",ROW()-4)</f>
        <v/>
      </c>
      <c r="B111" s="35" t="str">
        <f aca="false">IF($C111="","",IFERROR(INDEX(电梯片区,MATCH($E111,电梯键,0)),""))</f>
        <v/>
      </c>
      <c r="C111" s="24"/>
      <c r="D111" s="24"/>
      <c r="E111" s="30" t="str">
        <f aca="false">IF($C111="","",$C111&amp;" ｜ "&amp;$D111)</f>
        <v/>
      </c>
      <c r="F111" s="25"/>
      <c r="G111" s="25"/>
      <c r="H111" s="33"/>
      <c r="I111" s="33"/>
      <c r="J111" s="32"/>
      <c r="K111" s="38" t="str">
        <f aca="false">IF($C111="","",SUMIF(电梯键,$E111,电梯台量))</f>
        <v/>
      </c>
      <c r="L111" s="39"/>
      <c r="M111" s="25"/>
      <c r="N111" s="25"/>
      <c r="O111" s="38" t="str">
        <f aca="false">IF($C111="","",SUMIFS(电梯台量,电梯键,$E111,电梯状态,"安装免保")+SUMIFS(电梯台量,电梯键,$E111,电梯状态,"技术免保")+SUMIFS(电梯台量,电梯键,$E111,电梯状态,"质保期内"))</f>
        <v/>
      </c>
      <c r="P111" s="38" t="str">
        <f aca="false">IF($C111="","",$K111-$O111)</f>
        <v/>
      </c>
      <c r="Q111" s="34" t="str">
        <f aca="true">IF($C111="","",IF($G111="已终止","",IF($I111="","▲没填合同止期",IF($I111&lt;TODAY(),"已到期 "&amp;TEXT(TODAY()-$I111,"0")&amp;" 天",IF($I111-TODAY()&lt;=合同提醒天,"将到期 "&amp;TEXT($I111-TODAY(),"0")&amp;" 天","")))))</f>
        <v/>
      </c>
      <c r="R111" s="34" t="str">
        <f aca="false">IF($C111="","",IF($G111="","▲合同状态没选",IF(OR($G111="已签未回",$G111="未签",$G111="续签中"),"▲合同未回（"&amp;$G111&amp;"）","")))</f>
        <v/>
      </c>
      <c r="S111" s="35" t="str">
        <f aca="false">IF($C111="","",IF(N($J111)=N($K111),"一致","★合同"&amp;TEXT(N($J111),"0")&amp;"台 / 在册"&amp;TEXT(N($K111),"0")&amp;"台"))</f>
        <v/>
      </c>
      <c r="T111" s="40" t="str">
        <f aca="false">IF($C111="","",ROUND(SUMIFS(应收金额,应收键,$E111,应收年度,管理年度),2))</f>
        <v/>
      </c>
      <c r="U111" s="40" t="str">
        <f aca="false">IF($C111="","",ROUND(SUMIFS(收款金额,收款键,$E111,收款年度,管理年度),2))</f>
        <v/>
      </c>
      <c r="V111" s="41" t="str">
        <f aca="false">IF($C111="","",ROUND(SUMIF(应收键,$E111,应收金额)-SUMIF(收款键,$E111,收款金额),2))</f>
        <v/>
      </c>
      <c r="W111" s="24"/>
      <c r="X111" s="35" t="str">
        <f aca="false">IF($C111="","",IF($D111="","★项目名称没填",IF(COUNTIF($E$5:$E$304,$E111)&gt;1,"★键重复",IF(AND($H111&lt;&gt;"",$I111&lt;&gt;"",$I111&lt;$H111),"★合同起止反了",IF(N($K111)=0,"★电梯资料里没有这个项目","OK")))))</f>
        <v/>
      </c>
    </row>
    <row r="112" customFormat="false" ht="15" hidden="false" customHeight="false" outlineLevel="0" collapsed="false">
      <c r="A112" s="29" t="str">
        <f aca="false">IF($C112="","",ROW()-4)</f>
        <v/>
      </c>
      <c r="B112" s="35" t="str">
        <f aca="false">IF($C112="","",IFERROR(INDEX(电梯片区,MATCH($E112,电梯键,0)),""))</f>
        <v/>
      </c>
      <c r="C112" s="24"/>
      <c r="D112" s="24"/>
      <c r="E112" s="30" t="str">
        <f aca="false">IF($C112="","",$C112&amp;" ｜ "&amp;$D112)</f>
        <v/>
      </c>
      <c r="F112" s="25"/>
      <c r="G112" s="25"/>
      <c r="H112" s="33"/>
      <c r="I112" s="33"/>
      <c r="J112" s="32"/>
      <c r="K112" s="38" t="str">
        <f aca="false">IF($C112="","",SUMIF(电梯键,$E112,电梯台量))</f>
        <v/>
      </c>
      <c r="L112" s="39"/>
      <c r="M112" s="25"/>
      <c r="N112" s="25"/>
      <c r="O112" s="38" t="str">
        <f aca="false">IF($C112="","",SUMIFS(电梯台量,电梯键,$E112,电梯状态,"安装免保")+SUMIFS(电梯台量,电梯键,$E112,电梯状态,"技术免保")+SUMIFS(电梯台量,电梯键,$E112,电梯状态,"质保期内"))</f>
        <v/>
      </c>
      <c r="P112" s="38" t="str">
        <f aca="false">IF($C112="","",$K112-$O112)</f>
        <v/>
      </c>
      <c r="Q112" s="34" t="str">
        <f aca="true">IF($C112="","",IF($G112="已终止","",IF($I112="","▲没填合同止期",IF($I112&lt;TODAY(),"已到期 "&amp;TEXT(TODAY()-$I112,"0")&amp;" 天",IF($I112-TODAY()&lt;=合同提醒天,"将到期 "&amp;TEXT($I112-TODAY(),"0")&amp;" 天","")))))</f>
        <v/>
      </c>
      <c r="R112" s="34" t="str">
        <f aca="false">IF($C112="","",IF($G112="","▲合同状态没选",IF(OR($G112="已签未回",$G112="未签",$G112="续签中"),"▲合同未回（"&amp;$G112&amp;"）","")))</f>
        <v/>
      </c>
      <c r="S112" s="35" t="str">
        <f aca="false">IF($C112="","",IF(N($J112)=N($K112),"一致","★合同"&amp;TEXT(N($J112),"0")&amp;"台 / 在册"&amp;TEXT(N($K112),"0")&amp;"台"))</f>
        <v/>
      </c>
      <c r="T112" s="40" t="str">
        <f aca="false">IF($C112="","",ROUND(SUMIFS(应收金额,应收键,$E112,应收年度,管理年度),2))</f>
        <v/>
      </c>
      <c r="U112" s="40" t="str">
        <f aca="false">IF($C112="","",ROUND(SUMIFS(收款金额,收款键,$E112,收款年度,管理年度),2))</f>
        <v/>
      </c>
      <c r="V112" s="41" t="str">
        <f aca="false">IF($C112="","",ROUND(SUMIF(应收键,$E112,应收金额)-SUMIF(收款键,$E112,收款金额),2))</f>
        <v/>
      </c>
      <c r="W112" s="24"/>
      <c r="X112" s="35" t="str">
        <f aca="false">IF($C112="","",IF($D112="","★项目名称没填",IF(COUNTIF($E$5:$E$304,$E112)&gt;1,"★键重复",IF(AND($H112&lt;&gt;"",$I112&lt;&gt;"",$I112&lt;$H112),"★合同起止反了",IF(N($K112)=0,"★电梯资料里没有这个项目","OK")))))</f>
        <v/>
      </c>
    </row>
    <row r="113" customFormat="false" ht="15" hidden="false" customHeight="false" outlineLevel="0" collapsed="false">
      <c r="A113" s="29" t="str">
        <f aca="false">IF($C113="","",ROW()-4)</f>
        <v/>
      </c>
      <c r="B113" s="35" t="str">
        <f aca="false">IF($C113="","",IFERROR(INDEX(电梯片区,MATCH($E113,电梯键,0)),""))</f>
        <v/>
      </c>
      <c r="C113" s="24"/>
      <c r="D113" s="24"/>
      <c r="E113" s="30" t="str">
        <f aca="false">IF($C113="","",$C113&amp;" ｜ "&amp;$D113)</f>
        <v/>
      </c>
      <c r="F113" s="25"/>
      <c r="G113" s="25"/>
      <c r="H113" s="33"/>
      <c r="I113" s="33"/>
      <c r="J113" s="32"/>
      <c r="K113" s="38" t="str">
        <f aca="false">IF($C113="","",SUMIF(电梯键,$E113,电梯台量))</f>
        <v/>
      </c>
      <c r="L113" s="39"/>
      <c r="M113" s="25"/>
      <c r="N113" s="25"/>
      <c r="O113" s="38" t="str">
        <f aca="false">IF($C113="","",SUMIFS(电梯台量,电梯键,$E113,电梯状态,"安装免保")+SUMIFS(电梯台量,电梯键,$E113,电梯状态,"技术免保")+SUMIFS(电梯台量,电梯键,$E113,电梯状态,"质保期内"))</f>
        <v/>
      </c>
      <c r="P113" s="38" t="str">
        <f aca="false">IF($C113="","",$K113-$O113)</f>
        <v/>
      </c>
      <c r="Q113" s="34" t="str">
        <f aca="true">IF($C113="","",IF($G113="已终止","",IF($I113="","▲没填合同止期",IF($I113&lt;TODAY(),"已到期 "&amp;TEXT(TODAY()-$I113,"0")&amp;" 天",IF($I113-TODAY()&lt;=合同提醒天,"将到期 "&amp;TEXT($I113-TODAY(),"0")&amp;" 天","")))))</f>
        <v/>
      </c>
      <c r="R113" s="34" t="str">
        <f aca="false">IF($C113="","",IF($G113="","▲合同状态没选",IF(OR($G113="已签未回",$G113="未签",$G113="续签中"),"▲合同未回（"&amp;$G113&amp;"）","")))</f>
        <v/>
      </c>
      <c r="S113" s="35" t="str">
        <f aca="false">IF($C113="","",IF(N($J113)=N($K113),"一致","★合同"&amp;TEXT(N($J113),"0")&amp;"台 / 在册"&amp;TEXT(N($K113),"0")&amp;"台"))</f>
        <v/>
      </c>
      <c r="T113" s="40" t="str">
        <f aca="false">IF($C113="","",ROUND(SUMIFS(应收金额,应收键,$E113,应收年度,管理年度),2))</f>
        <v/>
      </c>
      <c r="U113" s="40" t="str">
        <f aca="false">IF($C113="","",ROUND(SUMIFS(收款金额,收款键,$E113,收款年度,管理年度),2))</f>
        <v/>
      </c>
      <c r="V113" s="41" t="str">
        <f aca="false">IF($C113="","",ROUND(SUMIF(应收键,$E113,应收金额)-SUMIF(收款键,$E113,收款金额),2))</f>
        <v/>
      </c>
      <c r="W113" s="24"/>
      <c r="X113" s="35" t="str">
        <f aca="false">IF($C113="","",IF($D113="","★项目名称没填",IF(COUNTIF($E$5:$E$304,$E113)&gt;1,"★键重复",IF(AND($H113&lt;&gt;"",$I113&lt;&gt;"",$I113&lt;$H113),"★合同起止反了",IF(N($K113)=0,"★电梯资料里没有这个项目","OK")))))</f>
        <v/>
      </c>
    </row>
    <row r="114" customFormat="false" ht="15" hidden="false" customHeight="false" outlineLevel="0" collapsed="false">
      <c r="A114" s="29" t="str">
        <f aca="false">IF($C114="","",ROW()-4)</f>
        <v/>
      </c>
      <c r="B114" s="35" t="str">
        <f aca="false">IF($C114="","",IFERROR(INDEX(电梯片区,MATCH($E114,电梯键,0)),""))</f>
        <v/>
      </c>
      <c r="C114" s="24"/>
      <c r="D114" s="24"/>
      <c r="E114" s="30" t="str">
        <f aca="false">IF($C114="","",$C114&amp;" ｜ "&amp;$D114)</f>
        <v/>
      </c>
      <c r="F114" s="25"/>
      <c r="G114" s="25"/>
      <c r="H114" s="33"/>
      <c r="I114" s="33"/>
      <c r="J114" s="32"/>
      <c r="K114" s="38" t="str">
        <f aca="false">IF($C114="","",SUMIF(电梯键,$E114,电梯台量))</f>
        <v/>
      </c>
      <c r="L114" s="39"/>
      <c r="M114" s="25"/>
      <c r="N114" s="25"/>
      <c r="O114" s="38" t="str">
        <f aca="false">IF($C114="","",SUMIFS(电梯台量,电梯键,$E114,电梯状态,"安装免保")+SUMIFS(电梯台量,电梯键,$E114,电梯状态,"技术免保")+SUMIFS(电梯台量,电梯键,$E114,电梯状态,"质保期内"))</f>
        <v/>
      </c>
      <c r="P114" s="38" t="str">
        <f aca="false">IF($C114="","",$K114-$O114)</f>
        <v/>
      </c>
      <c r="Q114" s="34" t="str">
        <f aca="true">IF($C114="","",IF($G114="已终止","",IF($I114="","▲没填合同止期",IF($I114&lt;TODAY(),"已到期 "&amp;TEXT(TODAY()-$I114,"0")&amp;" 天",IF($I114-TODAY()&lt;=合同提醒天,"将到期 "&amp;TEXT($I114-TODAY(),"0")&amp;" 天","")))))</f>
        <v/>
      </c>
      <c r="R114" s="34" t="str">
        <f aca="false">IF($C114="","",IF($G114="","▲合同状态没选",IF(OR($G114="已签未回",$G114="未签",$G114="续签中"),"▲合同未回（"&amp;$G114&amp;"）","")))</f>
        <v/>
      </c>
      <c r="S114" s="35" t="str">
        <f aca="false">IF($C114="","",IF(N($J114)=N($K114),"一致","★合同"&amp;TEXT(N($J114),"0")&amp;"台 / 在册"&amp;TEXT(N($K114),"0")&amp;"台"))</f>
        <v/>
      </c>
      <c r="T114" s="40" t="str">
        <f aca="false">IF($C114="","",ROUND(SUMIFS(应收金额,应收键,$E114,应收年度,管理年度),2))</f>
        <v/>
      </c>
      <c r="U114" s="40" t="str">
        <f aca="false">IF($C114="","",ROUND(SUMIFS(收款金额,收款键,$E114,收款年度,管理年度),2))</f>
        <v/>
      </c>
      <c r="V114" s="41" t="str">
        <f aca="false">IF($C114="","",ROUND(SUMIF(应收键,$E114,应收金额)-SUMIF(收款键,$E114,收款金额),2))</f>
        <v/>
      </c>
      <c r="W114" s="24"/>
      <c r="X114" s="35" t="str">
        <f aca="false">IF($C114="","",IF($D114="","★项目名称没填",IF(COUNTIF($E$5:$E$304,$E114)&gt;1,"★键重复",IF(AND($H114&lt;&gt;"",$I114&lt;&gt;"",$I114&lt;$H114),"★合同起止反了",IF(N($K114)=0,"★电梯资料里没有这个项目","OK")))))</f>
        <v/>
      </c>
    </row>
    <row r="115" customFormat="false" ht="15" hidden="false" customHeight="false" outlineLevel="0" collapsed="false">
      <c r="A115" s="29" t="str">
        <f aca="false">IF($C115="","",ROW()-4)</f>
        <v/>
      </c>
      <c r="B115" s="35" t="str">
        <f aca="false">IF($C115="","",IFERROR(INDEX(电梯片区,MATCH($E115,电梯键,0)),""))</f>
        <v/>
      </c>
      <c r="C115" s="24"/>
      <c r="D115" s="24"/>
      <c r="E115" s="30" t="str">
        <f aca="false">IF($C115="","",$C115&amp;" ｜ "&amp;$D115)</f>
        <v/>
      </c>
      <c r="F115" s="25"/>
      <c r="G115" s="25"/>
      <c r="H115" s="33"/>
      <c r="I115" s="33"/>
      <c r="J115" s="32"/>
      <c r="K115" s="38" t="str">
        <f aca="false">IF($C115="","",SUMIF(电梯键,$E115,电梯台量))</f>
        <v/>
      </c>
      <c r="L115" s="39"/>
      <c r="M115" s="25"/>
      <c r="N115" s="25"/>
      <c r="O115" s="38" t="str">
        <f aca="false">IF($C115="","",SUMIFS(电梯台量,电梯键,$E115,电梯状态,"安装免保")+SUMIFS(电梯台量,电梯键,$E115,电梯状态,"技术免保")+SUMIFS(电梯台量,电梯键,$E115,电梯状态,"质保期内"))</f>
        <v/>
      </c>
      <c r="P115" s="38" t="str">
        <f aca="false">IF($C115="","",$K115-$O115)</f>
        <v/>
      </c>
      <c r="Q115" s="34" t="str">
        <f aca="true">IF($C115="","",IF($G115="已终止","",IF($I115="","▲没填合同止期",IF($I115&lt;TODAY(),"已到期 "&amp;TEXT(TODAY()-$I115,"0")&amp;" 天",IF($I115-TODAY()&lt;=合同提醒天,"将到期 "&amp;TEXT($I115-TODAY(),"0")&amp;" 天","")))))</f>
        <v/>
      </c>
      <c r="R115" s="34" t="str">
        <f aca="false">IF($C115="","",IF($G115="","▲合同状态没选",IF(OR($G115="已签未回",$G115="未签",$G115="续签中"),"▲合同未回（"&amp;$G115&amp;"）","")))</f>
        <v/>
      </c>
      <c r="S115" s="35" t="str">
        <f aca="false">IF($C115="","",IF(N($J115)=N($K115),"一致","★合同"&amp;TEXT(N($J115),"0")&amp;"台 / 在册"&amp;TEXT(N($K115),"0")&amp;"台"))</f>
        <v/>
      </c>
      <c r="T115" s="40" t="str">
        <f aca="false">IF($C115="","",ROUND(SUMIFS(应收金额,应收键,$E115,应收年度,管理年度),2))</f>
        <v/>
      </c>
      <c r="U115" s="40" t="str">
        <f aca="false">IF($C115="","",ROUND(SUMIFS(收款金额,收款键,$E115,收款年度,管理年度),2))</f>
        <v/>
      </c>
      <c r="V115" s="41" t="str">
        <f aca="false">IF($C115="","",ROUND(SUMIF(应收键,$E115,应收金额)-SUMIF(收款键,$E115,收款金额),2))</f>
        <v/>
      </c>
      <c r="W115" s="24"/>
      <c r="X115" s="35" t="str">
        <f aca="false">IF($C115="","",IF($D115="","★项目名称没填",IF(COUNTIF($E$5:$E$304,$E115)&gt;1,"★键重复",IF(AND($H115&lt;&gt;"",$I115&lt;&gt;"",$I115&lt;$H115),"★合同起止反了",IF(N($K115)=0,"★电梯资料里没有这个项目","OK")))))</f>
        <v/>
      </c>
    </row>
    <row r="116" customFormat="false" ht="15" hidden="false" customHeight="false" outlineLevel="0" collapsed="false">
      <c r="A116" s="29" t="str">
        <f aca="false">IF($C116="","",ROW()-4)</f>
        <v/>
      </c>
      <c r="B116" s="35" t="str">
        <f aca="false">IF($C116="","",IFERROR(INDEX(电梯片区,MATCH($E116,电梯键,0)),""))</f>
        <v/>
      </c>
      <c r="C116" s="24"/>
      <c r="D116" s="24"/>
      <c r="E116" s="30" t="str">
        <f aca="false">IF($C116="","",$C116&amp;" ｜ "&amp;$D116)</f>
        <v/>
      </c>
      <c r="F116" s="25"/>
      <c r="G116" s="25"/>
      <c r="H116" s="33"/>
      <c r="I116" s="33"/>
      <c r="J116" s="32"/>
      <c r="K116" s="38" t="str">
        <f aca="false">IF($C116="","",SUMIF(电梯键,$E116,电梯台量))</f>
        <v/>
      </c>
      <c r="L116" s="39"/>
      <c r="M116" s="25"/>
      <c r="N116" s="25"/>
      <c r="O116" s="38" t="str">
        <f aca="false">IF($C116="","",SUMIFS(电梯台量,电梯键,$E116,电梯状态,"安装免保")+SUMIFS(电梯台量,电梯键,$E116,电梯状态,"技术免保")+SUMIFS(电梯台量,电梯键,$E116,电梯状态,"质保期内"))</f>
        <v/>
      </c>
      <c r="P116" s="38" t="str">
        <f aca="false">IF($C116="","",$K116-$O116)</f>
        <v/>
      </c>
      <c r="Q116" s="34" t="str">
        <f aca="true">IF($C116="","",IF($G116="已终止","",IF($I116="","▲没填合同止期",IF($I116&lt;TODAY(),"已到期 "&amp;TEXT(TODAY()-$I116,"0")&amp;" 天",IF($I116-TODAY()&lt;=合同提醒天,"将到期 "&amp;TEXT($I116-TODAY(),"0")&amp;" 天","")))))</f>
        <v/>
      </c>
      <c r="R116" s="34" t="str">
        <f aca="false">IF($C116="","",IF($G116="","▲合同状态没选",IF(OR($G116="已签未回",$G116="未签",$G116="续签中"),"▲合同未回（"&amp;$G116&amp;"）","")))</f>
        <v/>
      </c>
      <c r="S116" s="35" t="str">
        <f aca="false">IF($C116="","",IF(N($J116)=N($K116),"一致","★合同"&amp;TEXT(N($J116),"0")&amp;"台 / 在册"&amp;TEXT(N($K116),"0")&amp;"台"))</f>
        <v/>
      </c>
      <c r="T116" s="40" t="str">
        <f aca="false">IF($C116="","",ROUND(SUMIFS(应收金额,应收键,$E116,应收年度,管理年度),2))</f>
        <v/>
      </c>
      <c r="U116" s="40" t="str">
        <f aca="false">IF($C116="","",ROUND(SUMIFS(收款金额,收款键,$E116,收款年度,管理年度),2))</f>
        <v/>
      </c>
      <c r="V116" s="41" t="str">
        <f aca="false">IF($C116="","",ROUND(SUMIF(应收键,$E116,应收金额)-SUMIF(收款键,$E116,收款金额),2))</f>
        <v/>
      </c>
      <c r="W116" s="24"/>
      <c r="X116" s="35" t="str">
        <f aca="false">IF($C116="","",IF($D116="","★项目名称没填",IF(COUNTIF($E$5:$E$304,$E116)&gt;1,"★键重复",IF(AND($H116&lt;&gt;"",$I116&lt;&gt;"",$I116&lt;$H116),"★合同起止反了",IF(N($K116)=0,"★电梯资料里没有这个项目","OK")))))</f>
        <v/>
      </c>
    </row>
    <row r="117" customFormat="false" ht="15" hidden="false" customHeight="false" outlineLevel="0" collapsed="false">
      <c r="A117" s="29" t="str">
        <f aca="false">IF($C117="","",ROW()-4)</f>
        <v/>
      </c>
      <c r="B117" s="35" t="str">
        <f aca="false">IF($C117="","",IFERROR(INDEX(电梯片区,MATCH($E117,电梯键,0)),""))</f>
        <v/>
      </c>
      <c r="C117" s="24"/>
      <c r="D117" s="24"/>
      <c r="E117" s="30" t="str">
        <f aca="false">IF($C117="","",$C117&amp;" ｜ "&amp;$D117)</f>
        <v/>
      </c>
      <c r="F117" s="25"/>
      <c r="G117" s="25"/>
      <c r="H117" s="33"/>
      <c r="I117" s="33"/>
      <c r="J117" s="32"/>
      <c r="K117" s="38" t="str">
        <f aca="false">IF($C117="","",SUMIF(电梯键,$E117,电梯台量))</f>
        <v/>
      </c>
      <c r="L117" s="39"/>
      <c r="M117" s="25"/>
      <c r="N117" s="25"/>
      <c r="O117" s="38" t="str">
        <f aca="false">IF($C117="","",SUMIFS(电梯台量,电梯键,$E117,电梯状态,"安装免保")+SUMIFS(电梯台量,电梯键,$E117,电梯状态,"技术免保")+SUMIFS(电梯台量,电梯键,$E117,电梯状态,"质保期内"))</f>
        <v/>
      </c>
      <c r="P117" s="38" t="str">
        <f aca="false">IF($C117="","",$K117-$O117)</f>
        <v/>
      </c>
      <c r="Q117" s="34" t="str">
        <f aca="true">IF($C117="","",IF($G117="已终止","",IF($I117="","▲没填合同止期",IF($I117&lt;TODAY(),"已到期 "&amp;TEXT(TODAY()-$I117,"0")&amp;" 天",IF($I117-TODAY()&lt;=合同提醒天,"将到期 "&amp;TEXT($I117-TODAY(),"0")&amp;" 天","")))))</f>
        <v/>
      </c>
      <c r="R117" s="34" t="str">
        <f aca="false">IF($C117="","",IF($G117="","▲合同状态没选",IF(OR($G117="已签未回",$G117="未签",$G117="续签中"),"▲合同未回（"&amp;$G117&amp;"）","")))</f>
        <v/>
      </c>
      <c r="S117" s="35" t="str">
        <f aca="false">IF($C117="","",IF(N($J117)=N($K117),"一致","★合同"&amp;TEXT(N($J117),"0")&amp;"台 / 在册"&amp;TEXT(N($K117),"0")&amp;"台"))</f>
        <v/>
      </c>
      <c r="T117" s="40" t="str">
        <f aca="false">IF($C117="","",ROUND(SUMIFS(应收金额,应收键,$E117,应收年度,管理年度),2))</f>
        <v/>
      </c>
      <c r="U117" s="40" t="str">
        <f aca="false">IF($C117="","",ROUND(SUMIFS(收款金额,收款键,$E117,收款年度,管理年度),2))</f>
        <v/>
      </c>
      <c r="V117" s="41" t="str">
        <f aca="false">IF($C117="","",ROUND(SUMIF(应收键,$E117,应收金额)-SUMIF(收款键,$E117,收款金额),2))</f>
        <v/>
      </c>
      <c r="W117" s="24"/>
      <c r="X117" s="35" t="str">
        <f aca="false">IF($C117="","",IF($D117="","★项目名称没填",IF(COUNTIF($E$5:$E$304,$E117)&gt;1,"★键重复",IF(AND($H117&lt;&gt;"",$I117&lt;&gt;"",$I117&lt;$H117),"★合同起止反了",IF(N($K117)=0,"★电梯资料里没有这个项目","OK")))))</f>
        <v/>
      </c>
    </row>
    <row r="118" customFormat="false" ht="15" hidden="false" customHeight="false" outlineLevel="0" collapsed="false">
      <c r="A118" s="29" t="str">
        <f aca="false">IF($C118="","",ROW()-4)</f>
        <v/>
      </c>
      <c r="B118" s="35" t="str">
        <f aca="false">IF($C118="","",IFERROR(INDEX(电梯片区,MATCH($E118,电梯键,0)),""))</f>
        <v/>
      </c>
      <c r="C118" s="24"/>
      <c r="D118" s="24"/>
      <c r="E118" s="30" t="str">
        <f aca="false">IF($C118="","",$C118&amp;" ｜ "&amp;$D118)</f>
        <v/>
      </c>
      <c r="F118" s="25"/>
      <c r="G118" s="25"/>
      <c r="H118" s="33"/>
      <c r="I118" s="33"/>
      <c r="J118" s="32"/>
      <c r="K118" s="38" t="str">
        <f aca="false">IF($C118="","",SUMIF(电梯键,$E118,电梯台量))</f>
        <v/>
      </c>
      <c r="L118" s="39"/>
      <c r="M118" s="25"/>
      <c r="N118" s="25"/>
      <c r="O118" s="38" t="str">
        <f aca="false">IF($C118="","",SUMIFS(电梯台量,电梯键,$E118,电梯状态,"安装免保")+SUMIFS(电梯台量,电梯键,$E118,电梯状态,"技术免保")+SUMIFS(电梯台量,电梯键,$E118,电梯状态,"质保期内"))</f>
        <v/>
      </c>
      <c r="P118" s="38" t="str">
        <f aca="false">IF($C118="","",$K118-$O118)</f>
        <v/>
      </c>
      <c r="Q118" s="34" t="str">
        <f aca="true">IF($C118="","",IF($G118="已终止","",IF($I118="","▲没填合同止期",IF($I118&lt;TODAY(),"已到期 "&amp;TEXT(TODAY()-$I118,"0")&amp;" 天",IF($I118-TODAY()&lt;=合同提醒天,"将到期 "&amp;TEXT($I118-TODAY(),"0")&amp;" 天","")))))</f>
        <v/>
      </c>
      <c r="R118" s="34" t="str">
        <f aca="false">IF($C118="","",IF($G118="","▲合同状态没选",IF(OR($G118="已签未回",$G118="未签",$G118="续签中"),"▲合同未回（"&amp;$G118&amp;"）","")))</f>
        <v/>
      </c>
      <c r="S118" s="35" t="str">
        <f aca="false">IF($C118="","",IF(N($J118)=N($K118),"一致","★合同"&amp;TEXT(N($J118),"0")&amp;"台 / 在册"&amp;TEXT(N($K118),"0")&amp;"台"))</f>
        <v/>
      </c>
      <c r="T118" s="40" t="str">
        <f aca="false">IF($C118="","",ROUND(SUMIFS(应收金额,应收键,$E118,应收年度,管理年度),2))</f>
        <v/>
      </c>
      <c r="U118" s="40" t="str">
        <f aca="false">IF($C118="","",ROUND(SUMIFS(收款金额,收款键,$E118,收款年度,管理年度),2))</f>
        <v/>
      </c>
      <c r="V118" s="41" t="str">
        <f aca="false">IF($C118="","",ROUND(SUMIF(应收键,$E118,应收金额)-SUMIF(收款键,$E118,收款金额),2))</f>
        <v/>
      </c>
      <c r="W118" s="24"/>
      <c r="X118" s="35" t="str">
        <f aca="false">IF($C118="","",IF($D118="","★项目名称没填",IF(COUNTIF($E$5:$E$304,$E118)&gt;1,"★键重复",IF(AND($H118&lt;&gt;"",$I118&lt;&gt;"",$I118&lt;$H118),"★合同起止反了",IF(N($K118)=0,"★电梯资料里没有这个项目","OK")))))</f>
        <v/>
      </c>
    </row>
    <row r="119" customFormat="false" ht="15" hidden="false" customHeight="false" outlineLevel="0" collapsed="false">
      <c r="A119" s="29" t="str">
        <f aca="false">IF($C119="","",ROW()-4)</f>
        <v/>
      </c>
      <c r="B119" s="35" t="str">
        <f aca="false">IF($C119="","",IFERROR(INDEX(电梯片区,MATCH($E119,电梯键,0)),""))</f>
        <v/>
      </c>
      <c r="C119" s="24"/>
      <c r="D119" s="24"/>
      <c r="E119" s="30" t="str">
        <f aca="false">IF($C119="","",$C119&amp;" ｜ "&amp;$D119)</f>
        <v/>
      </c>
      <c r="F119" s="25"/>
      <c r="G119" s="25"/>
      <c r="H119" s="33"/>
      <c r="I119" s="33"/>
      <c r="J119" s="32"/>
      <c r="K119" s="38" t="str">
        <f aca="false">IF($C119="","",SUMIF(电梯键,$E119,电梯台量))</f>
        <v/>
      </c>
      <c r="L119" s="39"/>
      <c r="M119" s="25"/>
      <c r="N119" s="25"/>
      <c r="O119" s="38" t="str">
        <f aca="false">IF($C119="","",SUMIFS(电梯台量,电梯键,$E119,电梯状态,"安装免保")+SUMIFS(电梯台量,电梯键,$E119,电梯状态,"技术免保")+SUMIFS(电梯台量,电梯键,$E119,电梯状态,"质保期内"))</f>
        <v/>
      </c>
      <c r="P119" s="38" t="str">
        <f aca="false">IF($C119="","",$K119-$O119)</f>
        <v/>
      </c>
      <c r="Q119" s="34" t="str">
        <f aca="true">IF($C119="","",IF($G119="已终止","",IF($I119="","▲没填合同止期",IF($I119&lt;TODAY(),"已到期 "&amp;TEXT(TODAY()-$I119,"0")&amp;" 天",IF($I119-TODAY()&lt;=合同提醒天,"将到期 "&amp;TEXT($I119-TODAY(),"0")&amp;" 天","")))))</f>
        <v/>
      </c>
      <c r="R119" s="34" t="str">
        <f aca="false">IF($C119="","",IF($G119="","▲合同状态没选",IF(OR($G119="已签未回",$G119="未签",$G119="续签中"),"▲合同未回（"&amp;$G119&amp;"）","")))</f>
        <v/>
      </c>
      <c r="S119" s="35" t="str">
        <f aca="false">IF($C119="","",IF(N($J119)=N($K119),"一致","★合同"&amp;TEXT(N($J119),"0")&amp;"台 / 在册"&amp;TEXT(N($K119),"0")&amp;"台"))</f>
        <v/>
      </c>
      <c r="T119" s="40" t="str">
        <f aca="false">IF($C119="","",ROUND(SUMIFS(应收金额,应收键,$E119,应收年度,管理年度),2))</f>
        <v/>
      </c>
      <c r="U119" s="40" t="str">
        <f aca="false">IF($C119="","",ROUND(SUMIFS(收款金额,收款键,$E119,收款年度,管理年度),2))</f>
        <v/>
      </c>
      <c r="V119" s="41" t="str">
        <f aca="false">IF($C119="","",ROUND(SUMIF(应收键,$E119,应收金额)-SUMIF(收款键,$E119,收款金额),2))</f>
        <v/>
      </c>
      <c r="W119" s="24"/>
      <c r="X119" s="35" t="str">
        <f aca="false">IF($C119="","",IF($D119="","★项目名称没填",IF(COUNTIF($E$5:$E$304,$E119)&gt;1,"★键重复",IF(AND($H119&lt;&gt;"",$I119&lt;&gt;"",$I119&lt;$H119),"★合同起止反了",IF(N($K119)=0,"★电梯资料里没有这个项目","OK")))))</f>
        <v/>
      </c>
    </row>
    <row r="120" customFormat="false" ht="15" hidden="false" customHeight="false" outlineLevel="0" collapsed="false">
      <c r="A120" s="29" t="str">
        <f aca="false">IF($C120="","",ROW()-4)</f>
        <v/>
      </c>
      <c r="B120" s="35" t="str">
        <f aca="false">IF($C120="","",IFERROR(INDEX(电梯片区,MATCH($E120,电梯键,0)),""))</f>
        <v/>
      </c>
      <c r="C120" s="24"/>
      <c r="D120" s="24"/>
      <c r="E120" s="30" t="str">
        <f aca="false">IF($C120="","",$C120&amp;" ｜ "&amp;$D120)</f>
        <v/>
      </c>
      <c r="F120" s="25"/>
      <c r="G120" s="25"/>
      <c r="H120" s="33"/>
      <c r="I120" s="33"/>
      <c r="J120" s="32"/>
      <c r="K120" s="38" t="str">
        <f aca="false">IF($C120="","",SUMIF(电梯键,$E120,电梯台量))</f>
        <v/>
      </c>
      <c r="L120" s="39"/>
      <c r="M120" s="25"/>
      <c r="N120" s="25"/>
      <c r="O120" s="38" t="str">
        <f aca="false">IF($C120="","",SUMIFS(电梯台量,电梯键,$E120,电梯状态,"安装免保")+SUMIFS(电梯台量,电梯键,$E120,电梯状态,"技术免保")+SUMIFS(电梯台量,电梯键,$E120,电梯状态,"质保期内"))</f>
        <v/>
      </c>
      <c r="P120" s="38" t="str">
        <f aca="false">IF($C120="","",$K120-$O120)</f>
        <v/>
      </c>
      <c r="Q120" s="34" t="str">
        <f aca="true">IF($C120="","",IF($G120="已终止","",IF($I120="","▲没填合同止期",IF($I120&lt;TODAY(),"已到期 "&amp;TEXT(TODAY()-$I120,"0")&amp;" 天",IF($I120-TODAY()&lt;=合同提醒天,"将到期 "&amp;TEXT($I120-TODAY(),"0")&amp;" 天","")))))</f>
        <v/>
      </c>
      <c r="R120" s="34" t="str">
        <f aca="false">IF($C120="","",IF($G120="","▲合同状态没选",IF(OR($G120="已签未回",$G120="未签",$G120="续签中"),"▲合同未回（"&amp;$G120&amp;"）","")))</f>
        <v/>
      </c>
      <c r="S120" s="35" t="str">
        <f aca="false">IF($C120="","",IF(N($J120)=N($K120),"一致","★合同"&amp;TEXT(N($J120),"0")&amp;"台 / 在册"&amp;TEXT(N($K120),"0")&amp;"台"))</f>
        <v/>
      </c>
      <c r="T120" s="40" t="str">
        <f aca="false">IF($C120="","",ROUND(SUMIFS(应收金额,应收键,$E120,应收年度,管理年度),2))</f>
        <v/>
      </c>
      <c r="U120" s="40" t="str">
        <f aca="false">IF($C120="","",ROUND(SUMIFS(收款金额,收款键,$E120,收款年度,管理年度),2))</f>
        <v/>
      </c>
      <c r="V120" s="41" t="str">
        <f aca="false">IF($C120="","",ROUND(SUMIF(应收键,$E120,应收金额)-SUMIF(收款键,$E120,收款金额),2))</f>
        <v/>
      </c>
      <c r="W120" s="24"/>
      <c r="X120" s="35" t="str">
        <f aca="false">IF($C120="","",IF($D120="","★项目名称没填",IF(COUNTIF($E$5:$E$304,$E120)&gt;1,"★键重复",IF(AND($H120&lt;&gt;"",$I120&lt;&gt;"",$I120&lt;$H120),"★合同起止反了",IF(N($K120)=0,"★电梯资料里没有这个项目","OK")))))</f>
        <v/>
      </c>
    </row>
    <row r="121" customFormat="false" ht="15" hidden="false" customHeight="false" outlineLevel="0" collapsed="false">
      <c r="A121" s="29" t="str">
        <f aca="false">IF($C121="","",ROW()-4)</f>
        <v/>
      </c>
      <c r="B121" s="35" t="str">
        <f aca="false">IF($C121="","",IFERROR(INDEX(电梯片区,MATCH($E121,电梯键,0)),""))</f>
        <v/>
      </c>
      <c r="C121" s="24"/>
      <c r="D121" s="24"/>
      <c r="E121" s="30" t="str">
        <f aca="false">IF($C121="","",$C121&amp;" ｜ "&amp;$D121)</f>
        <v/>
      </c>
      <c r="F121" s="25"/>
      <c r="G121" s="25"/>
      <c r="H121" s="33"/>
      <c r="I121" s="33"/>
      <c r="J121" s="32"/>
      <c r="K121" s="38" t="str">
        <f aca="false">IF($C121="","",SUMIF(电梯键,$E121,电梯台量))</f>
        <v/>
      </c>
      <c r="L121" s="39"/>
      <c r="M121" s="25"/>
      <c r="N121" s="25"/>
      <c r="O121" s="38" t="str">
        <f aca="false">IF($C121="","",SUMIFS(电梯台量,电梯键,$E121,电梯状态,"安装免保")+SUMIFS(电梯台量,电梯键,$E121,电梯状态,"技术免保")+SUMIFS(电梯台量,电梯键,$E121,电梯状态,"质保期内"))</f>
        <v/>
      </c>
      <c r="P121" s="38" t="str">
        <f aca="false">IF($C121="","",$K121-$O121)</f>
        <v/>
      </c>
      <c r="Q121" s="34" t="str">
        <f aca="true">IF($C121="","",IF($G121="已终止","",IF($I121="","▲没填合同止期",IF($I121&lt;TODAY(),"已到期 "&amp;TEXT(TODAY()-$I121,"0")&amp;" 天",IF($I121-TODAY()&lt;=合同提醒天,"将到期 "&amp;TEXT($I121-TODAY(),"0")&amp;" 天","")))))</f>
        <v/>
      </c>
      <c r="R121" s="34" t="str">
        <f aca="false">IF($C121="","",IF($G121="","▲合同状态没选",IF(OR($G121="已签未回",$G121="未签",$G121="续签中"),"▲合同未回（"&amp;$G121&amp;"）","")))</f>
        <v/>
      </c>
      <c r="S121" s="35" t="str">
        <f aca="false">IF($C121="","",IF(N($J121)=N($K121),"一致","★合同"&amp;TEXT(N($J121),"0")&amp;"台 / 在册"&amp;TEXT(N($K121),"0")&amp;"台"))</f>
        <v/>
      </c>
      <c r="T121" s="40" t="str">
        <f aca="false">IF($C121="","",ROUND(SUMIFS(应收金额,应收键,$E121,应收年度,管理年度),2))</f>
        <v/>
      </c>
      <c r="U121" s="40" t="str">
        <f aca="false">IF($C121="","",ROUND(SUMIFS(收款金额,收款键,$E121,收款年度,管理年度),2))</f>
        <v/>
      </c>
      <c r="V121" s="41" t="str">
        <f aca="false">IF($C121="","",ROUND(SUMIF(应收键,$E121,应收金额)-SUMIF(收款键,$E121,收款金额),2))</f>
        <v/>
      </c>
      <c r="W121" s="24"/>
      <c r="X121" s="35" t="str">
        <f aca="false">IF($C121="","",IF($D121="","★项目名称没填",IF(COUNTIF($E$5:$E$304,$E121)&gt;1,"★键重复",IF(AND($H121&lt;&gt;"",$I121&lt;&gt;"",$I121&lt;$H121),"★合同起止反了",IF(N($K121)=0,"★电梯资料里没有这个项目","OK")))))</f>
        <v/>
      </c>
    </row>
    <row r="122" customFormat="false" ht="15" hidden="false" customHeight="false" outlineLevel="0" collapsed="false">
      <c r="A122" s="29" t="str">
        <f aca="false">IF($C122="","",ROW()-4)</f>
        <v/>
      </c>
      <c r="B122" s="35" t="str">
        <f aca="false">IF($C122="","",IFERROR(INDEX(电梯片区,MATCH($E122,电梯键,0)),""))</f>
        <v/>
      </c>
      <c r="C122" s="24"/>
      <c r="D122" s="24"/>
      <c r="E122" s="30" t="str">
        <f aca="false">IF($C122="","",$C122&amp;" ｜ "&amp;$D122)</f>
        <v/>
      </c>
      <c r="F122" s="25"/>
      <c r="G122" s="25"/>
      <c r="H122" s="33"/>
      <c r="I122" s="33"/>
      <c r="J122" s="32"/>
      <c r="K122" s="38" t="str">
        <f aca="false">IF($C122="","",SUMIF(电梯键,$E122,电梯台量))</f>
        <v/>
      </c>
      <c r="L122" s="39"/>
      <c r="M122" s="25"/>
      <c r="N122" s="25"/>
      <c r="O122" s="38" t="str">
        <f aca="false">IF($C122="","",SUMIFS(电梯台量,电梯键,$E122,电梯状态,"安装免保")+SUMIFS(电梯台量,电梯键,$E122,电梯状态,"技术免保")+SUMIFS(电梯台量,电梯键,$E122,电梯状态,"质保期内"))</f>
        <v/>
      </c>
      <c r="P122" s="38" t="str">
        <f aca="false">IF($C122="","",$K122-$O122)</f>
        <v/>
      </c>
      <c r="Q122" s="34" t="str">
        <f aca="true">IF($C122="","",IF($G122="已终止","",IF($I122="","▲没填合同止期",IF($I122&lt;TODAY(),"已到期 "&amp;TEXT(TODAY()-$I122,"0")&amp;" 天",IF($I122-TODAY()&lt;=合同提醒天,"将到期 "&amp;TEXT($I122-TODAY(),"0")&amp;" 天","")))))</f>
        <v/>
      </c>
      <c r="R122" s="34" t="str">
        <f aca="false">IF($C122="","",IF($G122="","▲合同状态没选",IF(OR($G122="已签未回",$G122="未签",$G122="续签中"),"▲合同未回（"&amp;$G122&amp;"）","")))</f>
        <v/>
      </c>
      <c r="S122" s="35" t="str">
        <f aca="false">IF($C122="","",IF(N($J122)=N($K122),"一致","★合同"&amp;TEXT(N($J122),"0")&amp;"台 / 在册"&amp;TEXT(N($K122),"0")&amp;"台"))</f>
        <v/>
      </c>
      <c r="T122" s="40" t="str">
        <f aca="false">IF($C122="","",ROUND(SUMIFS(应收金额,应收键,$E122,应收年度,管理年度),2))</f>
        <v/>
      </c>
      <c r="U122" s="40" t="str">
        <f aca="false">IF($C122="","",ROUND(SUMIFS(收款金额,收款键,$E122,收款年度,管理年度),2))</f>
        <v/>
      </c>
      <c r="V122" s="41" t="str">
        <f aca="false">IF($C122="","",ROUND(SUMIF(应收键,$E122,应收金额)-SUMIF(收款键,$E122,收款金额),2))</f>
        <v/>
      </c>
      <c r="W122" s="24"/>
      <c r="X122" s="35" t="str">
        <f aca="false">IF($C122="","",IF($D122="","★项目名称没填",IF(COUNTIF($E$5:$E$304,$E122)&gt;1,"★键重复",IF(AND($H122&lt;&gt;"",$I122&lt;&gt;"",$I122&lt;$H122),"★合同起止反了",IF(N($K122)=0,"★电梯资料里没有这个项目","OK")))))</f>
        <v/>
      </c>
    </row>
    <row r="123" customFormat="false" ht="15" hidden="false" customHeight="false" outlineLevel="0" collapsed="false">
      <c r="A123" s="29" t="str">
        <f aca="false">IF($C123="","",ROW()-4)</f>
        <v/>
      </c>
      <c r="B123" s="35" t="str">
        <f aca="false">IF($C123="","",IFERROR(INDEX(电梯片区,MATCH($E123,电梯键,0)),""))</f>
        <v/>
      </c>
      <c r="C123" s="24"/>
      <c r="D123" s="24"/>
      <c r="E123" s="30" t="str">
        <f aca="false">IF($C123="","",$C123&amp;" ｜ "&amp;$D123)</f>
        <v/>
      </c>
      <c r="F123" s="25"/>
      <c r="G123" s="25"/>
      <c r="H123" s="33"/>
      <c r="I123" s="33"/>
      <c r="J123" s="32"/>
      <c r="K123" s="38" t="str">
        <f aca="false">IF($C123="","",SUMIF(电梯键,$E123,电梯台量))</f>
        <v/>
      </c>
      <c r="L123" s="39"/>
      <c r="M123" s="25"/>
      <c r="N123" s="25"/>
      <c r="O123" s="38" t="str">
        <f aca="false">IF($C123="","",SUMIFS(电梯台量,电梯键,$E123,电梯状态,"安装免保")+SUMIFS(电梯台量,电梯键,$E123,电梯状态,"技术免保")+SUMIFS(电梯台量,电梯键,$E123,电梯状态,"质保期内"))</f>
        <v/>
      </c>
      <c r="P123" s="38" t="str">
        <f aca="false">IF($C123="","",$K123-$O123)</f>
        <v/>
      </c>
      <c r="Q123" s="34" t="str">
        <f aca="true">IF($C123="","",IF($G123="已终止","",IF($I123="","▲没填合同止期",IF($I123&lt;TODAY(),"已到期 "&amp;TEXT(TODAY()-$I123,"0")&amp;" 天",IF($I123-TODAY()&lt;=合同提醒天,"将到期 "&amp;TEXT($I123-TODAY(),"0")&amp;" 天","")))))</f>
        <v/>
      </c>
      <c r="R123" s="34" t="str">
        <f aca="false">IF($C123="","",IF($G123="","▲合同状态没选",IF(OR($G123="已签未回",$G123="未签",$G123="续签中"),"▲合同未回（"&amp;$G123&amp;"）","")))</f>
        <v/>
      </c>
      <c r="S123" s="35" t="str">
        <f aca="false">IF($C123="","",IF(N($J123)=N($K123),"一致","★合同"&amp;TEXT(N($J123),"0")&amp;"台 / 在册"&amp;TEXT(N($K123),"0")&amp;"台"))</f>
        <v/>
      </c>
      <c r="T123" s="40" t="str">
        <f aca="false">IF($C123="","",ROUND(SUMIFS(应收金额,应收键,$E123,应收年度,管理年度),2))</f>
        <v/>
      </c>
      <c r="U123" s="40" t="str">
        <f aca="false">IF($C123="","",ROUND(SUMIFS(收款金额,收款键,$E123,收款年度,管理年度),2))</f>
        <v/>
      </c>
      <c r="V123" s="41" t="str">
        <f aca="false">IF($C123="","",ROUND(SUMIF(应收键,$E123,应收金额)-SUMIF(收款键,$E123,收款金额),2))</f>
        <v/>
      </c>
      <c r="W123" s="24"/>
      <c r="X123" s="35" t="str">
        <f aca="false">IF($C123="","",IF($D123="","★项目名称没填",IF(COUNTIF($E$5:$E$304,$E123)&gt;1,"★键重复",IF(AND($H123&lt;&gt;"",$I123&lt;&gt;"",$I123&lt;$H123),"★合同起止反了",IF(N($K123)=0,"★电梯资料里没有这个项目","OK")))))</f>
        <v/>
      </c>
    </row>
    <row r="124" customFormat="false" ht="15" hidden="false" customHeight="false" outlineLevel="0" collapsed="false">
      <c r="A124" s="29" t="str">
        <f aca="false">IF($C124="","",ROW()-4)</f>
        <v/>
      </c>
      <c r="B124" s="35" t="str">
        <f aca="false">IF($C124="","",IFERROR(INDEX(电梯片区,MATCH($E124,电梯键,0)),""))</f>
        <v/>
      </c>
      <c r="C124" s="24"/>
      <c r="D124" s="24"/>
      <c r="E124" s="30" t="str">
        <f aca="false">IF($C124="","",$C124&amp;" ｜ "&amp;$D124)</f>
        <v/>
      </c>
      <c r="F124" s="25"/>
      <c r="G124" s="25"/>
      <c r="H124" s="33"/>
      <c r="I124" s="33"/>
      <c r="J124" s="32"/>
      <c r="K124" s="38" t="str">
        <f aca="false">IF($C124="","",SUMIF(电梯键,$E124,电梯台量))</f>
        <v/>
      </c>
      <c r="L124" s="39"/>
      <c r="M124" s="25"/>
      <c r="N124" s="25"/>
      <c r="O124" s="38" t="str">
        <f aca="false">IF($C124="","",SUMIFS(电梯台量,电梯键,$E124,电梯状态,"安装免保")+SUMIFS(电梯台量,电梯键,$E124,电梯状态,"技术免保")+SUMIFS(电梯台量,电梯键,$E124,电梯状态,"质保期内"))</f>
        <v/>
      </c>
      <c r="P124" s="38" t="str">
        <f aca="false">IF($C124="","",$K124-$O124)</f>
        <v/>
      </c>
      <c r="Q124" s="34" t="str">
        <f aca="true">IF($C124="","",IF($G124="已终止","",IF($I124="","▲没填合同止期",IF($I124&lt;TODAY(),"已到期 "&amp;TEXT(TODAY()-$I124,"0")&amp;" 天",IF($I124-TODAY()&lt;=合同提醒天,"将到期 "&amp;TEXT($I124-TODAY(),"0")&amp;" 天","")))))</f>
        <v/>
      </c>
      <c r="R124" s="34" t="str">
        <f aca="false">IF($C124="","",IF($G124="","▲合同状态没选",IF(OR($G124="已签未回",$G124="未签",$G124="续签中"),"▲合同未回（"&amp;$G124&amp;"）","")))</f>
        <v/>
      </c>
      <c r="S124" s="35" t="str">
        <f aca="false">IF($C124="","",IF(N($J124)=N($K124),"一致","★合同"&amp;TEXT(N($J124),"0")&amp;"台 / 在册"&amp;TEXT(N($K124),"0")&amp;"台"))</f>
        <v/>
      </c>
      <c r="T124" s="40" t="str">
        <f aca="false">IF($C124="","",ROUND(SUMIFS(应收金额,应收键,$E124,应收年度,管理年度),2))</f>
        <v/>
      </c>
      <c r="U124" s="40" t="str">
        <f aca="false">IF($C124="","",ROUND(SUMIFS(收款金额,收款键,$E124,收款年度,管理年度),2))</f>
        <v/>
      </c>
      <c r="V124" s="41" t="str">
        <f aca="false">IF($C124="","",ROUND(SUMIF(应收键,$E124,应收金额)-SUMIF(收款键,$E124,收款金额),2))</f>
        <v/>
      </c>
      <c r="W124" s="24"/>
      <c r="X124" s="35" t="str">
        <f aca="false">IF($C124="","",IF($D124="","★项目名称没填",IF(COUNTIF($E$5:$E$304,$E124)&gt;1,"★键重复",IF(AND($H124&lt;&gt;"",$I124&lt;&gt;"",$I124&lt;$H124),"★合同起止反了",IF(N($K124)=0,"★电梯资料里没有这个项目","OK")))))</f>
        <v/>
      </c>
    </row>
    <row r="125" customFormat="false" ht="15" hidden="false" customHeight="false" outlineLevel="0" collapsed="false">
      <c r="A125" s="29" t="str">
        <f aca="false">IF($C125="","",ROW()-4)</f>
        <v/>
      </c>
      <c r="B125" s="35" t="str">
        <f aca="false">IF($C125="","",IFERROR(INDEX(电梯片区,MATCH($E125,电梯键,0)),""))</f>
        <v/>
      </c>
      <c r="C125" s="24"/>
      <c r="D125" s="24"/>
      <c r="E125" s="30" t="str">
        <f aca="false">IF($C125="","",$C125&amp;" ｜ "&amp;$D125)</f>
        <v/>
      </c>
      <c r="F125" s="25"/>
      <c r="G125" s="25"/>
      <c r="H125" s="33"/>
      <c r="I125" s="33"/>
      <c r="J125" s="32"/>
      <c r="K125" s="38" t="str">
        <f aca="false">IF($C125="","",SUMIF(电梯键,$E125,电梯台量))</f>
        <v/>
      </c>
      <c r="L125" s="39"/>
      <c r="M125" s="25"/>
      <c r="N125" s="25"/>
      <c r="O125" s="38" t="str">
        <f aca="false">IF($C125="","",SUMIFS(电梯台量,电梯键,$E125,电梯状态,"安装免保")+SUMIFS(电梯台量,电梯键,$E125,电梯状态,"技术免保")+SUMIFS(电梯台量,电梯键,$E125,电梯状态,"质保期内"))</f>
        <v/>
      </c>
      <c r="P125" s="38" t="str">
        <f aca="false">IF($C125="","",$K125-$O125)</f>
        <v/>
      </c>
      <c r="Q125" s="34" t="str">
        <f aca="true">IF($C125="","",IF($G125="已终止","",IF($I125="","▲没填合同止期",IF($I125&lt;TODAY(),"已到期 "&amp;TEXT(TODAY()-$I125,"0")&amp;" 天",IF($I125-TODAY()&lt;=合同提醒天,"将到期 "&amp;TEXT($I125-TODAY(),"0")&amp;" 天","")))))</f>
        <v/>
      </c>
      <c r="R125" s="34" t="str">
        <f aca="false">IF($C125="","",IF($G125="","▲合同状态没选",IF(OR($G125="已签未回",$G125="未签",$G125="续签中"),"▲合同未回（"&amp;$G125&amp;"）","")))</f>
        <v/>
      </c>
      <c r="S125" s="35" t="str">
        <f aca="false">IF($C125="","",IF(N($J125)=N($K125),"一致","★合同"&amp;TEXT(N($J125),"0")&amp;"台 / 在册"&amp;TEXT(N($K125),"0")&amp;"台"))</f>
        <v/>
      </c>
      <c r="T125" s="40" t="str">
        <f aca="false">IF($C125="","",ROUND(SUMIFS(应收金额,应收键,$E125,应收年度,管理年度),2))</f>
        <v/>
      </c>
      <c r="U125" s="40" t="str">
        <f aca="false">IF($C125="","",ROUND(SUMIFS(收款金额,收款键,$E125,收款年度,管理年度),2))</f>
        <v/>
      </c>
      <c r="V125" s="41" t="str">
        <f aca="false">IF($C125="","",ROUND(SUMIF(应收键,$E125,应收金额)-SUMIF(收款键,$E125,收款金额),2))</f>
        <v/>
      </c>
      <c r="W125" s="24"/>
      <c r="X125" s="35" t="str">
        <f aca="false">IF($C125="","",IF($D125="","★项目名称没填",IF(COUNTIF($E$5:$E$304,$E125)&gt;1,"★键重复",IF(AND($H125&lt;&gt;"",$I125&lt;&gt;"",$I125&lt;$H125),"★合同起止反了",IF(N($K125)=0,"★电梯资料里没有这个项目","OK")))))</f>
        <v/>
      </c>
    </row>
    <row r="126" customFormat="false" ht="15" hidden="false" customHeight="false" outlineLevel="0" collapsed="false">
      <c r="A126" s="29" t="str">
        <f aca="false">IF($C126="","",ROW()-4)</f>
        <v/>
      </c>
      <c r="B126" s="35" t="str">
        <f aca="false">IF($C126="","",IFERROR(INDEX(电梯片区,MATCH($E126,电梯键,0)),""))</f>
        <v/>
      </c>
      <c r="C126" s="24"/>
      <c r="D126" s="24"/>
      <c r="E126" s="30" t="str">
        <f aca="false">IF($C126="","",$C126&amp;" ｜ "&amp;$D126)</f>
        <v/>
      </c>
      <c r="F126" s="25"/>
      <c r="G126" s="25"/>
      <c r="H126" s="33"/>
      <c r="I126" s="33"/>
      <c r="J126" s="32"/>
      <c r="K126" s="38" t="str">
        <f aca="false">IF($C126="","",SUMIF(电梯键,$E126,电梯台量))</f>
        <v/>
      </c>
      <c r="L126" s="39"/>
      <c r="M126" s="25"/>
      <c r="N126" s="25"/>
      <c r="O126" s="38" t="str">
        <f aca="false">IF($C126="","",SUMIFS(电梯台量,电梯键,$E126,电梯状态,"安装免保")+SUMIFS(电梯台量,电梯键,$E126,电梯状态,"技术免保")+SUMIFS(电梯台量,电梯键,$E126,电梯状态,"质保期内"))</f>
        <v/>
      </c>
      <c r="P126" s="38" t="str">
        <f aca="false">IF($C126="","",$K126-$O126)</f>
        <v/>
      </c>
      <c r="Q126" s="34" t="str">
        <f aca="true">IF($C126="","",IF($G126="已终止","",IF($I126="","▲没填合同止期",IF($I126&lt;TODAY(),"已到期 "&amp;TEXT(TODAY()-$I126,"0")&amp;" 天",IF($I126-TODAY()&lt;=合同提醒天,"将到期 "&amp;TEXT($I126-TODAY(),"0")&amp;" 天","")))))</f>
        <v/>
      </c>
      <c r="R126" s="34" t="str">
        <f aca="false">IF($C126="","",IF($G126="","▲合同状态没选",IF(OR($G126="已签未回",$G126="未签",$G126="续签中"),"▲合同未回（"&amp;$G126&amp;"）","")))</f>
        <v/>
      </c>
      <c r="S126" s="35" t="str">
        <f aca="false">IF($C126="","",IF(N($J126)=N($K126),"一致","★合同"&amp;TEXT(N($J126),"0")&amp;"台 / 在册"&amp;TEXT(N($K126),"0")&amp;"台"))</f>
        <v/>
      </c>
      <c r="T126" s="40" t="str">
        <f aca="false">IF($C126="","",ROUND(SUMIFS(应收金额,应收键,$E126,应收年度,管理年度),2))</f>
        <v/>
      </c>
      <c r="U126" s="40" t="str">
        <f aca="false">IF($C126="","",ROUND(SUMIFS(收款金额,收款键,$E126,收款年度,管理年度),2))</f>
        <v/>
      </c>
      <c r="V126" s="41" t="str">
        <f aca="false">IF($C126="","",ROUND(SUMIF(应收键,$E126,应收金额)-SUMIF(收款键,$E126,收款金额),2))</f>
        <v/>
      </c>
      <c r="W126" s="24"/>
      <c r="X126" s="35" t="str">
        <f aca="false">IF($C126="","",IF($D126="","★项目名称没填",IF(COUNTIF($E$5:$E$304,$E126)&gt;1,"★键重复",IF(AND($H126&lt;&gt;"",$I126&lt;&gt;"",$I126&lt;$H126),"★合同起止反了",IF(N($K126)=0,"★电梯资料里没有这个项目","OK")))))</f>
        <v/>
      </c>
    </row>
    <row r="127" customFormat="false" ht="15" hidden="false" customHeight="false" outlineLevel="0" collapsed="false">
      <c r="A127" s="29" t="str">
        <f aca="false">IF($C127="","",ROW()-4)</f>
        <v/>
      </c>
      <c r="B127" s="35" t="str">
        <f aca="false">IF($C127="","",IFERROR(INDEX(电梯片区,MATCH($E127,电梯键,0)),""))</f>
        <v/>
      </c>
      <c r="C127" s="24"/>
      <c r="D127" s="24"/>
      <c r="E127" s="30" t="str">
        <f aca="false">IF($C127="","",$C127&amp;" ｜ "&amp;$D127)</f>
        <v/>
      </c>
      <c r="F127" s="25"/>
      <c r="G127" s="25"/>
      <c r="H127" s="33"/>
      <c r="I127" s="33"/>
      <c r="J127" s="32"/>
      <c r="K127" s="38" t="str">
        <f aca="false">IF($C127="","",SUMIF(电梯键,$E127,电梯台量))</f>
        <v/>
      </c>
      <c r="L127" s="39"/>
      <c r="M127" s="25"/>
      <c r="N127" s="25"/>
      <c r="O127" s="38" t="str">
        <f aca="false">IF($C127="","",SUMIFS(电梯台量,电梯键,$E127,电梯状态,"安装免保")+SUMIFS(电梯台量,电梯键,$E127,电梯状态,"技术免保")+SUMIFS(电梯台量,电梯键,$E127,电梯状态,"质保期内"))</f>
        <v/>
      </c>
      <c r="P127" s="38" t="str">
        <f aca="false">IF($C127="","",$K127-$O127)</f>
        <v/>
      </c>
      <c r="Q127" s="34" t="str">
        <f aca="true">IF($C127="","",IF($G127="已终止","",IF($I127="","▲没填合同止期",IF($I127&lt;TODAY(),"已到期 "&amp;TEXT(TODAY()-$I127,"0")&amp;" 天",IF($I127-TODAY()&lt;=合同提醒天,"将到期 "&amp;TEXT($I127-TODAY(),"0")&amp;" 天","")))))</f>
        <v/>
      </c>
      <c r="R127" s="34" t="str">
        <f aca="false">IF($C127="","",IF($G127="","▲合同状态没选",IF(OR($G127="已签未回",$G127="未签",$G127="续签中"),"▲合同未回（"&amp;$G127&amp;"）","")))</f>
        <v/>
      </c>
      <c r="S127" s="35" t="str">
        <f aca="false">IF($C127="","",IF(N($J127)=N($K127),"一致","★合同"&amp;TEXT(N($J127),"0")&amp;"台 / 在册"&amp;TEXT(N($K127),"0")&amp;"台"))</f>
        <v/>
      </c>
      <c r="T127" s="40" t="str">
        <f aca="false">IF($C127="","",ROUND(SUMIFS(应收金额,应收键,$E127,应收年度,管理年度),2))</f>
        <v/>
      </c>
      <c r="U127" s="40" t="str">
        <f aca="false">IF($C127="","",ROUND(SUMIFS(收款金额,收款键,$E127,收款年度,管理年度),2))</f>
        <v/>
      </c>
      <c r="V127" s="41" t="str">
        <f aca="false">IF($C127="","",ROUND(SUMIF(应收键,$E127,应收金额)-SUMIF(收款键,$E127,收款金额),2))</f>
        <v/>
      </c>
      <c r="W127" s="24"/>
      <c r="X127" s="35" t="str">
        <f aca="false">IF($C127="","",IF($D127="","★项目名称没填",IF(COUNTIF($E$5:$E$304,$E127)&gt;1,"★键重复",IF(AND($H127&lt;&gt;"",$I127&lt;&gt;"",$I127&lt;$H127),"★合同起止反了",IF(N($K127)=0,"★电梯资料里没有这个项目","OK")))))</f>
        <v/>
      </c>
    </row>
    <row r="128" customFormat="false" ht="15" hidden="false" customHeight="false" outlineLevel="0" collapsed="false">
      <c r="A128" s="29" t="str">
        <f aca="false">IF($C128="","",ROW()-4)</f>
        <v/>
      </c>
      <c r="B128" s="35" t="str">
        <f aca="false">IF($C128="","",IFERROR(INDEX(电梯片区,MATCH($E128,电梯键,0)),""))</f>
        <v/>
      </c>
      <c r="C128" s="24"/>
      <c r="D128" s="24"/>
      <c r="E128" s="30" t="str">
        <f aca="false">IF($C128="","",$C128&amp;" ｜ "&amp;$D128)</f>
        <v/>
      </c>
      <c r="F128" s="25"/>
      <c r="G128" s="25"/>
      <c r="H128" s="33"/>
      <c r="I128" s="33"/>
      <c r="J128" s="32"/>
      <c r="K128" s="38" t="str">
        <f aca="false">IF($C128="","",SUMIF(电梯键,$E128,电梯台量))</f>
        <v/>
      </c>
      <c r="L128" s="39"/>
      <c r="M128" s="25"/>
      <c r="N128" s="25"/>
      <c r="O128" s="38" t="str">
        <f aca="false">IF($C128="","",SUMIFS(电梯台量,电梯键,$E128,电梯状态,"安装免保")+SUMIFS(电梯台量,电梯键,$E128,电梯状态,"技术免保")+SUMIFS(电梯台量,电梯键,$E128,电梯状态,"质保期内"))</f>
        <v/>
      </c>
      <c r="P128" s="38" t="str">
        <f aca="false">IF($C128="","",$K128-$O128)</f>
        <v/>
      </c>
      <c r="Q128" s="34" t="str">
        <f aca="true">IF($C128="","",IF($G128="已终止","",IF($I128="","▲没填合同止期",IF($I128&lt;TODAY(),"已到期 "&amp;TEXT(TODAY()-$I128,"0")&amp;" 天",IF($I128-TODAY()&lt;=合同提醒天,"将到期 "&amp;TEXT($I128-TODAY(),"0")&amp;" 天","")))))</f>
        <v/>
      </c>
      <c r="R128" s="34" t="str">
        <f aca="false">IF($C128="","",IF($G128="","▲合同状态没选",IF(OR($G128="已签未回",$G128="未签",$G128="续签中"),"▲合同未回（"&amp;$G128&amp;"）","")))</f>
        <v/>
      </c>
      <c r="S128" s="35" t="str">
        <f aca="false">IF($C128="","",IF(N($J128)=N($K128),"一致","★合同"&amp;TEXT(N($J128),"0")&amp;"台 / 在册"&amp;TEXT(N($K128),"0")&amp;"台"))</f>
        <v/>
      </c>
      <c r="T128" s="40" t="str">
        <f aca="false">IF($C128="","",ROUND(SUMIFS(应收金额,应收键,$E128,应收年度,管理年度),2))</f>
        <v/>
      </c>
      <c r="U128" s="40" t="str">
        <f aca="false">IF($C128="","",ROUND(SUMIFS(收款金额,收款键,$E128,收款年度,管理年度),2))</f>
        <v/>
      </c>
      <c r="V128" s="41" t="str">
        <f aca="false">IF($C128="","",ROUND(SUMIF(应收键,$E128,应收金额)-SUMIF(收款键,$E128,收款金额),2))</f>
        <v/>
      </c>
      <c r="W128" s="24"/>
      <c r="X128" s="35" t="str">
        <f aca="false">IF($C128="","",IF($D128="","★项目名称没填",IF(COUNTIF($E$5:$E$304,$E128)&gt;1,"★键重复",IF(AND($H128&lt;&gt;"",$I128&lt;&gt;"",$I128&lt;$H128),"★合同起止反了",IF(N($K128)=0,"★电梯资料里没有这个项目","OK")))))</f>
        <v/>
      </c>
    </row>
    <row r="129" customFormat="false" ht="15" hidden="false" customHeight="false" outlineLevel="0" collapsed="false">
      <c r="A129" s="29" t="str">
        <f aca="false">IF($C129="","",ROW()-4)</f>
        <v/>
      </c>
      <c r="B129" s="35" t="str">
        <f aca="false">IF($C129="","",IFERROR(INDEX(电梯片区,MATCH($E129,电梯键,0)),""))</f>
        <v/>
      </c>
      <c r="C129" s="24"/>
      <c r="D129" s="24"/>
      <c r="E129" s="30" t="str">
        <f aca="false">IF($C129="","",$C129&amp;" ｜ "&amp;$D129)</f>
        <v/>
      </c>
      <c r="F129" s="25"/>
      <c r="G129" s="25"/>
      <c r="H129" s="33"/>
      <c r="I129" s="33"/>
      <c r="J129" s="32"/>
      <c r="K129" s="38" t="str">
        <f aca="false">IF($C129="","",SUMIF(电梯键,$E129,电梯台量))</f>
        <v/>
      </c>
      <c r="L129" s="39"/>
      <c r="M129" s="25"/>
      <c r="N129" s="25"/>
      <c r="O129" s="38" t="str">
        <f aca="false">IF($C129="","",SUMIFS(电梯台量,电梯键,$E129,电梯状态,"安装免保")+SUMIFS(电梯台量,电梯键,$E129,电梯状态,"技术免保")+SUMIFS(电梯台量,电梯键,$E129,电梯状态,"质保期内"))</f>
        <v/>
      </c>
      <c r="P129" s="38" t="str">
        <f aca="false">IF($C129="","",$K129-$O129)</f>
        <v/>
      </c>
      <c r="Q129" s="34" t="str">
        <f aca="true">IF($C129="","",IF($G129="已终止","",IF($I129="","▲没填合同止期",IF($I129&lt;TODAY(),"已到期 "&amp;TEXT(TODAY()-$I129,"0")&amp;" 天",IF($I129-TODAY()&lt;=合同提醒天,"将到期 "&amp;TEXT($I129-TODAY(),"0")&amp;" 天","")))))</f>
        <v/>
      </c>
      <c r="R129" s="34" t="str">
        <f aca="false">IF($C129="","",IF($G129="","▲合同状态没选",IF(OR($G129="已签未回",$G129="未签",$G129="续签中"),"▲合同未回（"&amp;$G129&amp;"）","")))</f>
        <v/>
      </c>
      <c r="S129" s="35" t="str">
        <f aca="false">IF($C129="","",IF(N($J129)=N($K129),"一致","★合同"&amp;TEXT(N($J129),"0")&amp;"台 / 在册"&amp;TEXT(N($K129),"0")&amp;"台"))</f>
        <v/>
      </c>
      <c r="T129" s="40" t="str">
        <f aca="false">IF($C129="","",ROUND(SUMIFS(应收金额,应收键,$E129,应收年度,管理年度),2))</f>
        <v/>
      </c>
      <c r="U129" s="40" t="str">
        <f aca="false">IF($C129="","",ROUND(SUMIFS(收款金额,收款键,$E129,收款年度,管理年度),2))</f>
        <v/>
      </c>
      <c r="V129" s="41" t="str">
        <f aca="false">IF($C129="","",ROUND(SUMIF(应收键,$E129,应收金额)-SUMIF(收款键,$E129,收款金额),2))</f>
        <v/>
      </c>
      <c r="W129" s="24"/>
      <c r="X129" s="35" t="str">
        <f aca="false">IF($C129="","",IF($D129="","★项目名称没填",IF(COUNTIF($E$5:$E$304,$E129)&gt;1,"★键重复",IF(AND($H129&lt;&gt;"",$I129&lt;&gt;"",$I129&lt;$H129),"★合同起止反了",IF(N($K129)=0,"★电梯资料里没有这个项目","OK")))))</f>
        <v/>
      </c>
    </row>
    <row r="130" customFormat="false" ht="15" hidden="false" customHeight="false" outlineLevel="0" collapsed="false">
      <c r="A130" s="29" t="str">
        <f aca="false">IF($C130="","",ROW()-4)</f>
        <v/>
      </c>
      <c r="B130" s="35" t="str">
        <f aca="false">IF($C130="","",IFERROR(INDEX(电梯片区,MATCH($E130,电梯键,0)),""))</f>
        <v/>
      </c>
      <c r="C130" s="24"/>
      <c r="D130" s="24"/>
      <c r="E130" s="30" t="str">
        <f aca="false">IF($C130="","",$C130&amp;" ｜ "&amp;$D130)</f>
        <v/>
      </c>
      <c r="F130" s="25"/>
      <c r="G130" s="25"/>
      <c r="H130" s="33"/>
      <c r="I130" s="33"/>
      <c r="J130" s="32"/>
      <c r="K130" s="38" t="str">
        <f aca="false">IF($C130="","",SUMIF(电梯键,$E130,电梯台量))</f>
        <v/>
      </c>
      <c r="L130" s="39"/>
      <c r="M130" s="25"/>
      <c r="N130" s="25"/>
      <c r="O130" s="38" t="str">
        <f aca="false">IF($C130="","",SUMIFS(电梯台量,电梯键,$E130,电梯状态,"安装免保")+SUMIFS(电梯台量,电梯键,$E130,电梯状态,"技术免保")+SUMIFS(电梯台量,电梯键,$E130,电梯状态,"质保期内"))</f>
        <v/>
      </c>
      <c r="P130" s="38" t="str">
        <f aca="false">IF($C130="","",$K130-$O130)</f>
        <v/>
      </c>
      <c r="Q130" s="34" t="str">
        <f aca="true">IF($C130="","",IF($G130="已终止","",IF($I130="","▲没填合同止期",IF($I130&lt;TODAY(),"已到期 "&amp;TEXT(TODAY()-$I130,"0")&amp;" 天",IF($I130-TODAY()&lt;=合同提醒天,"将到期 "&amp;TEXT($I130-TODAY(),"0")&amp;" 天","")))))</f>
        <v/>
      </c>
      <c r="R130" s="34" t="str">
        <f aca="false">IF($C130="","",IF($G130="","▲合同状态没选",IF(OR($G130="已签未回",$G130="未签",$G130="续签中"),"▲合同未回（"&amp;$G130&amp;"）","")))</f>
        <v/>
      </c>
      <c r="S130" s="35" t="str">
        <f aca="false">IF($C130="","",IF(N($J130)=N($K130),"一致","★合同"&amp;TEXT(N($J130),"0")&amp;"台 / 在册"&amp;TEXT(N($K130),"0")&amp;"台"))</f>
        <v/>
      </c>
      <c r="T130" s="40" t="str">
        <f aca="false">IF($C130="","",ROUND(SUMIFS(应收金额,应收键,$E130,应收年度,管理年度),2))</f>
        <v/>
      </c>
      <c r="U130" s="40" t="str">
        <f aca="false">IF($C130="","",ROUND(SUMIFS(收款金额,收款键,$E130,收款年度,管理年度),2))</f>
        <v/>
      </c>
      <c r="V130" s="41" t="str">
        <f aca="false">IF($C130="","",ROUND(SUMIF(应收键,$E130,应收金额)-SUMIF(收款键,$E130,收款金额),2))</f>
        <v/>
      </c>
      <c r="W130" s="24"/>
      <c r="X130" s="35" t="str">
        <f aca="false">IF($C130="","",IF($D130="","★项目名称没填",IF(COUNTIF($E$5:$E$304,$E130)&gt;1,"★键重复",IF(AND($H130&lt;&gt;"",$I130&lt;&gt;"",$I130&lt;$H130),"★合同起止反了",IF(N($K130)=0,"★电梯资料里没有这个项目","OK")))))</f>
        <v/>
      </c>
    </row>
    <row r="131" customFormat="false" ht="15" hidden="false" customHeight="false" outlineLevel="0" collapsed="false">
      <c r="A131" s="29" t="str">
        <f aca="false">IF($C131="","",ROW()-4)</f>
        <v/>
      </c>
      <c r="B131" s="35" t="str">
        <f aca="false">IF($C131="","",IFERROR(INDEX(电梯片区,MATCH($E131,电梯键,0)),""))</f>
        <v/>
      </c>
      <c r="C131" s="24"/>
      <c r="D131" s="24"/>
      <c r="E131" s="30" t="str">
        <f aca="false">IF($C131="","",$C131&amp;" ｜ "&amp;$D131)</f>
        <v/>
      </c>
      <c r="F131" s="25"/>
      <c r="G131" s="25"/>
      <c r="H131" s="33"/>
      <c r="I131" s="33"/>
      <c r="J131" s="32"/>
      <c r="K131" s="38" t="str">
        <f aca="false">IF($C131="","",SUMIF(电梯键,$E131,电梯台量))</f>
        <v/>
      </c>
      <c r="L131" s="39"/>
      <c r="M131" s="25"/>
      <c r="N131" s="25"/>
      <c r="O131" s="38" t="str">
        <f aca="false">IF($C131="","",SUMIFS(电梯台量,电梯键,$E131,电梯状态,"安装免保")+SUMIFS(电梯台量,电梯键,$E131,电梯状态,"技术免保")+SUMIFS(电梯台量,电梯键,$E131,电梯状态,"质保期内"))</f>
        <v/>
      </c>
      <c r="P131" s="38" t="str">
        <f aca="false">IF($C131="","",$K131-$O131)</f>
        <v/>
      </c>
      <c r="Q131" s="34" t="str">
        <f aca="true">IF($C131="","",IF($G131="已终止","",IF($I131="","▲没填合同止期",IF($I131&lt;TODAY(),"已到期 "&amp;TEXT(TODAY()-$I131,"0")&amp;" 天",IF($I131-TODAY()&lt;=合同提醒天,"将到期 "&amp;TEXT($I131-TODAY(),"0")&amp;" 天","")))))</f>
        <v/>
      </c>
      <c r="R131" s="34" t="str">
        <f aca="false">IF($C131="","",IF($G131="","▲合同状态没选",IF(OR($G131="已签未回",$G131="未签",$G131="续签中"),"▲合同未回（"&amp;$G131&amp;"）","")))</f>
        <v/>
      </c>
      <c r="S131" s="35" t="str">
        <f aca="false">IF($C131="","",IF(N($J131)=N($K131),"一致","★合同"&amp;TEXT(N($J131),"0")&amp;"台 / 在册"&amp;TEXT(N($K131),"0")&amp;"台"))</f>
        <v/>
      </c>
      <c r="T131" s="40" t="str">
        <f aca="false">IF($C131="","",ROUND(SUMIFS(应收金额,应收键,$E131,应收年度,管理年度),2))</f>
        <v/>
      </c>
      <c r="U131" s="40" t="str">
        <f aca="false">IF($C131="","",ROUND(SUMIFS(收款金额,收款键,$E131,收款年度,管理年度),2))</f>
        <v/>
      </c>
      <c r="V131" s="41" t="str">
        <f aca="false">IF($C131="","",ROUND(SUMIF(应收键,$E131,应收金额)-SUMIF(收款键,$E131,收款金额),2))</f>
        <v/>
      </c>
      <c r="W131" s="24"/>
      <c r="X131" s="35" t="str">
        <f aca="false">IF($C131="","",IF($D131="","★项目名称没填",IF(COUNTIF($E$5:$E$304,$E131)&gt;1,"★键重复",IF(AND($H131&lt;&gt;"",$I131&lt;&gt;"",$I131&lt;$H131),"★合同起止反了",IF(N($K131)=0,"★电梯资料里没有这个项目","OK")))))</f>
        <v/>
      </c>
    </row>
    <row r="132" customFormat="false" ht="15" hidden="false" customHeight="false" outlineLevel="0" collapsed="false">
      <c r="A132" s="29" t="str">
        <f aca="false">IF($C132="","",ROW()-4)</f>
        <v/>
      </c>
      <c r="B132" s="35" t="str">
        <f aca="false">IF($C132="","",IFERROR(INDEX(电梯片区,MATCH($E132,电梯键,0)),""))</f>
        <v/>
      </c>
      <c r="C132" s="24"/>
      <c r="D132" s="24"/>
      <c r="E132" s="30" t="str">
        <f aca="false">IF($C132="","",$C132&amp;" ｜ "&amp;$D132)</f>
        <v/>
      </c>
      <c r="F132" s="25"/>
      <c r="G132" s="25"/>
      <c r="H132" s="33"/>
      <c r="I132" s="33"/>
      <c r="J132" s="32"/>
      <c r="K132" s="38" t="str">
        <f aca="false">IF($C132="","",SUMIF(电梯键,$E132,电梯台量))</f>
        <v/>
      </c>
      <c r="L132" s="39"/>
      <c r="M132" s="25"/>
      <c r="N132" s="25"/>
      <c r="O132" s="38" t="str">
        <f aca="false">IF($C132="","",SUMIFS(电梯台量,电梯键,$E132,电梯状态,"安装免保")+SUMIFS(电梯台量,电梯键,$E132,电梯状态,"技术免保")+SUMIFS(电梯台量,电梯键,$E132,电梯状态,"质保期内"))</f>
        <v/>
      </c>
      <c r="P132" s="38" t="str">
        <f aca="false">IF($C132="","",$K132-$O132)</f>
        <v/>
      </c>
      <c r="Q132" s="34" t="str">
        <f aca="true">IF($C132="","",IF($G132="已终止","",IF($I132="","▲没填合同止期",IF($I132&lt;TODAY(),"已到期 "&amp;TEXT(TODAY()-$I132,"0")&amp;" 天",IF($I132-TODAY()&lt;=合同提醒天,"将到期 "&amp;TEXT($I132-TODAY(),"0")&amp;" 天","")))))</f>
        <v/>
      </c>
      <c r="R132" s="34" t="str">
        <f aca="false">IF($C132="","",IF($G132="","▲合同状态没选",IF(OR($G132="已签未回",$G132="未签",$G132="续签中"),"▲合同未回（"&amp;$G132&amp;"）","")))</f>
        <v/>
      </c>
      <c r="S132" s="35" t="str">
        <f aca="false">IF($C132="","",IF(N($J132)=N($K132),"一致","★合同"&amp;TEXT(N($J132),"0")&amp;"台 / 在册"&amp;TEXT(N($K132),"0")&amp;"台"))</f>
        <v/>
      </c>
      <c r="T132" s="40" t="str">
        <f aca="false">IF($C132="","",ROUND(SUMIFS(应收金额,应收键,$E132,应收年度,管理年度),2))</f>
        <v/>
      </c>
      <c r="U132" s="40" t="str">
        <f aca="false">IF($C132="","",ROUND(SUMIFS(收款金额,收款键,$E132,收款年度,管理年度),2))</f>
        <v/>
      </c>
      <c r="V132" s="41" t="str">
        <f aca="false">IF($C132="","",ROUND(SUMIF(应收键,$E132,应收金额)-SUMIF(收款键,$E132,收款金额),2))</f>
        <v/>
      </c>
      <c r="W132" s="24"/>
      <c r="X132" s="35" t="str">
        <f aca="false">IF($C132="","",IF($D132="","★项目名称没填",IF(COUNTIF($E$5:$E$304,$E132)&gt;1,"★键重复",IF(AND($H132&lt;&gt;"",$I132&lt;&gt;"",$I132&lt;$H132),"★合同起止反了",IF(N($K132)=0,"★电梯资料里没有这个项目","OK")))))</f>
        <v/>
      </c>
    </row>
    <row r="133" customFormat="false" ht="15" hidden="false" customHeight="false" outlineLevel="0" collapsed="false">
      <c r="A133" s="29" t="str">
        <f aca="false">IF($C133="","",ROW()-4)</f>
        <v/>
      </c>
      <c r="B133" s="35" t="str">
        <f aca="false">IF($C133="","",IFERROR(INDEX(电梯片区,MATCH($E133,电梯键,0)),""))</f>
        <v/>
      </c>
      <c r="C133" s="24"/>
      <c r="D133" s="24"/>
      <c r="E133" s="30" t="str">
        <f aca="false">IF($C133="","",$C133&amp;" ｜ "&amp;$D133)</f>
        <v/>
      </c>
      <c r="F133" s="25"/>
      <c r="G133" s="25"/>
      <c r="H133" s="33"/>
      <c r="I133" s="33"/>
      <c r="J133" s="32"/>
      <c r="K133" s="38" t="str">
        <f aca="false">IF($C133="","",SUMIF(电梯键,$E133,电梯台量))</f>
        <v/>
      </c>
      <c r="L133" s="39"/>
      <c r="M133" s="25"/>
      <c r="N133" s="25"/>
      <c r="O133" s="38" t="str">
        <f aca="false">IF($C133="","",SUMIFS(电梯台量,电梯键,$E133,电梯状态,"安装免保")+SUMIFS(电梯台量,电梯键,$E133,电梯状态,"技术免保")+SUMIFS(电梯台量,电梯键,$E133,电梯状态,"质保期内"))</f>
        <v/>
      </c>
      <c r="P133" s="38" t="str">
        <f aca="false">IF($C133="","",$K133-$O133)</f>
        <v/>
      </c>
      <c r="Q133" s="34" t="str">
        <f aca="true">IF($C133="","",IF($G133="已终止","",IF($I133="","▲没填合同止期",IF($I133&lt;TODAY(),"已到期 "&amp;TEXT(TODAY()-$I133,"0")&amp;" 天",IF($I133-TODAY()&lt;=合同提醒天,"将到期 "&amp;TEXT($I133-TODAY(),"0")&amp;" 天","")))))</f>
        <v/>
      </c>
      <c r="R133" s="34" t="str">
        <f aca="false">IF($C133="","",IF($G133="","▲合同状态没选",IF(OR($G133="已签未回",$G133="未签",$G133="续签中"),"▲合同未回（"&amp;$G133&amp;"）","")))</f>
        <v/>
      </c>
      <c r="S133" s="35" t="str">
        <f aca="false">IF($C133="","",IF(N($J133)=N($K133),"一致","★合同"&amp;TEXT(N($J133),"0")&amp;"台 / 在册"&amp;TEXT(N($K133),"0")&amp;"台"))</f>
        <v/>
      </c>
      <c r="T133" s="40" t="str">
        <f aca="false">IF($C133="","",ROUND(SUMIFS(应收金额,应收键,$E133,应收年度,管理年度),2))</f>
        <v/>
      </c>
      <c r="U133" s="40" t="str">
        <f aca="false">IF($C133="","",ROUND(SUMIFS(收款金额,收款键,$E133,收款年度,管理年度),2))</f>
        <v/>
      </c>
      <c r="V133" s="41" t="str">
        <f aca="false">IF($C133="","",ROUND(SUMIF(应收键,$E133,应收金额)-SUMIF(收款键,$E133,收款金额),2))</f>
        <v/>
      </c>
      <c r="W133" s="24"/>
      <c r="X133" s="35" t="str">
        <f aca="false">IF($C133="","",IF($D133="","★项目名称没填",IF(COUNTIF($E$5:$E$304,$E133)&gt;1,"★键重复",IF(AND($H133&lt;&gt;"",$I133&lt;&gt;"",$I133&lt;$H133),"★合同起止反了",IF(N($K133)=0,"★电梯资料里没有这个项目","OK")))))</f>
        <v/>
      </c>
    </row>
    <row r="134" customFormat="false" ht="15" hidden="false" customHeight="false" outlineLevel="0" collapsed="false">
      <c r="A134" s="29" t="str">
        <f aca="false">IF($C134="","",ROW()-4)</f>
        <v/>
      </c>
      <c r="B134" s="35" t="str">
        <f aca="false">IF($C134="","",IFERROR(INDEX(电梯片区,MATCH($E134,电梯键,0)),""))</f>
        <v/>
      </c>
      <c r="C134" s="24"/>
      <c r="D134" s="24"/>
      <c r="E134" s="30" t="str">
        <f aca="false">IF($C134="","",$C134&amp;" ｜ "&amp;$D134)</f>
        <v/>
      </c>
      <c r="F134" s="25"/>
      <c r="G134" s="25"/>
      <c r="H134" s="33"/>
      <c r="I134" s="33"/>
      <c r="J134" s="32"/>
      <c r="K134" s="38" t="str">
        <f aca="false">IF($C134="","",SUMIF(电梯键,$E134,电梯台量))</f>
        <v/>
      </c>
      <c r="L134" s="39"/>
      <c r="M134" s="25"/>
      <c r="N134" s="25"/>
      <c r="O134" s="38" t="str">
        <f aca="false">IF($C134="","",SUMIFS(电梯台量,电梯键,$E134,电梯状态,"安装免保")+SUMIFS(电梯台量,电梯键,$E134,电梯状态,"技术免保")+SUMIFS(电梯台量,电梯键,$E134,电梯状态,"质保期内"))</f>
        <v/>
      </c>
      <c r="P134" s="38" t="str">
        <f aca="false">IF($C134="","",$K134-$O134)</f>
        <v/>
      </c>
      <c r="Q134" s="34" t="str">
        <f aca="true">IF($C134="","",IF($G134="已终止","",IF($I134="","▲没填合同止期",IF($I134&lt;TODAY(),"已到期 "&amp;TEXT(TODAY()-$I134,"0")&amp;" 天",IF($I134-TODAY()&lt;=合同提醒天,"将到期 "&amp;TEXT($I134-TODAY(),"0")&amp;" 天","")))))</f>
        <v/>
      </c>
      <c r="R134" s="34" t="str">
        <f aca="false">IF($C134="","",IF($G134="","▲合同状态没选",IF(OR($G134="已签未回",$G134="未签",$G134="续签中"),"▲合同未回（"&amp;$G134&amp;"）","")))</f>
        <v/>
      </c>
      <c r="S134" s="35" t="str">
        <f aca="false">IF($C134="","",IF(N($J134)=N($K134),"一致","★合同"&amp;TEXT(N($J134),"0")&amp;"台 / 在册"&amp;TEXT(N($K134),"0")&amp;"台"))</f>
        <v/>
      </c>
      <c r="T134" s="40" t="str">
        <f aca="false">IF($C134="","",ROUND(SUMIFS(应收金额,应收键,$E134,应收年度,管理年度),2))</f>
        <v/>
      </c>
      <c r="U134" s="40" t="str">
        <f aca="false">IF($C134="","",ROUND(SUMIFS(收款金额,收款键,$E134,收款年度,管理年度),2))</f>
        <v/>
      </c>
      <c r="V134" s="41" t="str">
        <f aca="false">IF($C134="","",ROUND(SUMIF(应收键,$E134,应收金额)-SUMIF(收款键,$E134,收款金额),2))</f>
        <v/>
      </c>
      <c r="W134" s="24"/>
      <c r="X134" s="35" t="str">
        <f aca="false">IF($C134="","",IF($D134="","★项目名称没填",IF(COUNTIF($E$5:$E$304,$E134)&gt;1,"★键重复",IF(AND($H134&lt;&gt;"",$I134&lt;&gt;"",$I134&lt;$H134),"★合同起止反了",IF(N($K134)=0,"★电梯资料里没有这个项目","OK")))))</f>
        <v/>
      </c>
    </row>
    <row r="135" customFormat="false" ht="15" hidden="false" customHeight="false" outlineLevel="0" collapsed="false">
      <c r="A135" s="29" t="str">
        <f aca="false">IF($C135="","",ROW()-4)</f>
        <v/>
      </c>
      <c r="B135" s="35" t="str">
        <f aca="false">IF($C135="","",IFERROR(INDEX(电梯片区,MATCH($E135,电梯键,0)),""))</f>
        <v/>
      </c>
      <c r="C135" s="24"/>
      <c r="D135" s="24"/>
      <c r="E135" s="30" t="str">
        <f aca="false">IF($C135="","",$C135&amp;" ｜ "&amp;$D135)</f>
        <v/>
      </c>
      <c r="F135" s="25"/>
      <c r="G135" s="25"/>
      <c r="H135" s="33"/>
      <c r="I135" s="33"/>
      <c r="J135" s="32"/>
      <c r="K135" s="38" t="str">
        <f aca="false">IF($C135="","",SUMIF(电梯键,$E135,电梯台量))</f>
        <v/>
      </c>
      <c r="L135" s="39"/>
      <c r="M135" s="25"/>
      <c r="N135" s="25"/>
      <c r="O135" s="38" t="str">
        <f aca="false">IF($C135="","",SUMIFS(电梯台量,电梯键,$E135,电梯状态,"安装免保")+SUMIFS(电梯台量,电梯键,$E135,电梯状态,"技术免保")+SUMIFS(电梯台量,电梯键,$E135,电梯状态,"质保期内"))</f>
        <v/>
      </c>
      <c r="P135" s="38" t="str">
        <f aca="false">IF($C135="","",$K135-$O135)</f>
        <v/>
      </c>
      <c r="Q135" s="34" t="str">
        <f aca="true">IF($C135="","",IF($G135="已终止","",IF($I135="","▲没填合同止期",IF($I135&lt;TODAY(),"已到期 "&amp;TEXT(TODAY()-$I135,"0")&amp;" 天",IF($I135-TODAY()&lt;=合同提醒天,"将到期 "&amp;TEXT($I135-TODAY(),"0")&amp;" 天","")))))</f>
        <v/>
      </c>
      <c r="R135" s="34" t="str">
        <f aca="false">IF($C135="","",IF($G135="","▲合同状态没选",IF(OR($G135="已签未回",$G135="未签",$G135="续签中"),"▲合同未回（"&amp;$G135&amp;"）","")))</f>
        <v/>
      </c>
      <c r="S135" s="35" t="str">
        <f aca="false">IF($C135="","",IF(N($J135)=N($K135),"一致","★合同"&amp;TEXT(N($J135),"0")&amp;"台 / 在册"&amp;TEXT(N($K135),"0")&amp;"台"))</f>
        <v/>
      </c>
      <c r="T135" s="40" t="str">
        <f aca="false">IF($C135="","",ROUND(SUMIFS(应收金额,应收键,$E135,应收年度,管理年度),2))</f>
        <v/>
      </c>
      <c r="U135" s="40" t="str">
        <f aca="false">IF($C135="","",ROUND(SUMIFS(收款金额,收款键,$E135,收款年度,管理年度),2))</f>
        <v/>
      </c>
      <c r="V135" s="41" t="str">
        <f aca="false">IF($C135="","",ROUND(SUMIF(应收键,$E135,应收金额)-SUMIF(收款键,$E135,收款金额),2))</f>
        <v/>
      </c>
      <c r="W135" s="24"/>
      <c r="X135" s="35" t="str">
        <f aca="false">IF($C135="","",IF($D135="","★项目名称没填",IF(COUNTIF($E$5:$E$304,$E135)&gt;1,"★键重复",IF(AND($H135&lt;&gt;"",$I135&lt;&gt;"",$I135&lt;$H135),"★合同起止反了",IF(N($K135)=0,"★电梯资料里没有这个项目","OK")))))</f>
        <v/>
      </c>
    </row>
    <row r="136" customFormat="false" ht="15" hidden="false" customHeight="false" outlineLevel="0" collapsed="false">
      <c r="A136" s="29" t="str">
        <f aca="false">IF($C136="","",ROW()-4)</f>
        <v/>
      </c>
      <c r="B136" s="35" t="str">
        <f aca="false">IF($C136="","",IFERROR(INDEX(电梯片区,MATCH($E136,电梯键,0)),""))</f>
        <v/>
      </c>
      <c r="C136" s="24"/>
      <c r="D136" s="24"/>
      <c r="E136" s="30" t="str">
        <f aca="false">IF($C136="","",$C136&amp;" ｜ "&amp;$D136)</f>
        <v/>
      </c>
      <c r="F136" s="25"/>
      <c r="G136" s="25"/>
      <c r="H136" s="33"/>
      <c r="I136" s="33"/>
      <c r="J136" s="32"/>
      <c r="K136" s="38" t="str">
        <f aca="false">IF($C136="","",SUMIF(电梯键,$E136,电梯台量))</f>
        <v/>
      </c>
      <c r="L136" s="39"/>
      <c r="M136" s="25"/>
      <c r="N136" s="25"/>
      <c r="O136" s="38" t="str">
        <f aca="false">IF($C136="","",SUMIFS(电梯台量,电梯键,$E136,电梯状态,"安装免保")+SUMIFS(电梯台量,电梯键,$E136,电梯状态,"技术免保")+SUMIFS(电梯台量,电梯键,$E136,电梯状态,"质保期内"))</f>
        <v/>
      </c>
      <c r="P136" s="38" t="str">
        <f aca="false">IF($C136="","",$K136-$O136)</f>
        <v/>
      </c>
      <c r="Q136" s="34" t="str">
        <f aca="true">IF($C136="","",IF($G136="已终止","",IF($I136="","▲没填合同止期",IF($I136&lt;TODAY(),"已到期 "&amp;TEXT(TODAY()-$I136,"0")&amp;" 天",IF($I136-TODAY()&lt;=合同提醒天,"将到期 "&amp;TEXT($I136-TODAY(),"0")&amp;" 天","")))))</f>
        <v/>
      </c>
      <c r="R136" s="34" t="str">
        <f aca="false">IF($C136="","",IF($G136="","▲合同状态没选",IF(OR($G136="已签未回",$G136="未签",$G136="续签中"),"▲合同未回（"&amp;$G136&amp;"）","")))</f>
        <v/>
      </c>
      <c r="S136" s="35" t="str">
        <f aca="false">IF($C136="","",IF(N($J136)=N($K136),"一致","★合同"&amp;TEXT(N($J136),"0")&amp;"台 / 在册"&amp;TEXT(N($K136),"0")&amp;"台"))</f>
        <v/>
      </c>
      <c r="T136" s="40" t="str">
        <f aca="false">IF($C136="","",ROUND(SUMIFS(应收金额,应收键,$E136,应收年度,管理年度),2))</f>
        <v/>
      </c>
      <c r="U136" s="40" t="str">
        <f aca="false">IF($C136="","",ROUND(SUMIFS(收款金额,收款键,$E136,收款年度,管理年度),2))</f>
        <v/>
      </c>
      <c r="V136" s="41" t="str">
        <f aca="false">IF($C136="","",ROUND(SUMIF(应收键,$E136,应收金额)-SUMIF(收款键,$E136,收款金额),2))</f>
        <v/>
      </c>
      <c r="W136" s="24"/>
      <c r="X136" s="35" t="str">
        <f aca="false">IF($C136="","",IF($D136="","★项目名称没填",IF(COUNTIF($E$5:$E$304,$E136)&gt;1,"★键重复",IF(AND($H136&lt;&gt;"",$I136&lt;&gt;"",$I136&lt;$H136),"★合同起止反了",IF(N($K136)=0,"★电梯资料里没有这个项目","OK")))))</f>
        <v/>
      </c>
    </row>
    <row r="137" customFormat="false" ht="15" hidden="false" customHeight="false" outlineLevel="0" collapsed="false">
      <c r="A137" s="29" t="str">
        <f aca="false">IF($C137="","",ROW()-4)</f>
        <v/>
      </c>
      <c r="B137" s="35" t="str">
        <f aca="false">IF($C137="","",IFERROR(INDEX(电梯片区,MATCH($E137,电梯键,0)),""))</f>
        <v/>
      </c>
      <c r="C137" s="24"/>
      <c r="D137" s="24"/>
      <c r="E137" s="30" t="str">
        <f aca="false">IF($C137="","",$C137&amp;" ｜ "&amp;$D137)</f>
        <v/>
      </c>
      <c r="F137" s="25"/>
      <c r="G137" s="25"/>
      <c r="H137" s="33"/>
      <c r="I137" s="33"/>
      <c r="J137" s="32"/>
      <c r="K137" s="38" t="str">
        <f aca="false">IF($C137="","",SUMIF(电梯键,$E137,电梯台量))</f>
        <v/>
      </c>
      <c r="L137" s="39"/>
      <c r="M137" s="25"/>
      <c r="N137" s="25"/>
      <c r="O137" s="38" t="str">
        <f aca="false">IF($C137="","",SUMIFS(电梯台量,电梯键,$E137,电梯状态,"安装免保")+SUMIFS(电梯台量,电梯键,$E137,电梯状态,"技术免保")+SUMIFS(电梯台量,电梯键,$E137,电梯状态,"质保期内"))</f>
        <v/>
      </c>
      <c r="P137" s="38" t="str">
        <f aca="false">IF($C137="","",$K137-$O137)</f>
        <v/>
      </c>
      <c r="Q137" s="34" t="str">
        <f aca="true">IF($C137="","",IF($G137="已终止","",IF($I137="","▲没填合同止期",IF($I137&lt;TODAY(),"已到期 "&amp;TEXT(TODAY()-$I137,"0")&amp;" 天",IF($I137-TODAY()&lt;=合同提醒天,"将到期 "&amp;TEXT($I137-TODAY(),"0")&amp;" 天","")))))</f>
        <v/>
      </c>
      <c r="R137" s="34" t="str">
        <f aca="false">IF($C137="","",IF($G137="","▲合同状态没选",IF(OR($G137="已签未回",$G137="未签",$G137="续签中"),"▲合同未回（"&amp;$G137&amp;"）","")))</f>
        <v/>
      </c>
      <c r="S137" s="35" t="str">
        <f aca="false">IF($C137="","",IF(N($J137)=N($K137),"一致","★合同"&amp;TEXT(N($J137),"0")&amp;"台 / 在册"&amp;TEXT(N($K137),"0")&amp;"台"))</f>
        <v/>
      </c>
      <c r="T137" s="40" t="str">
        <f aca="false">IF($C137="","",ROUND(SUMIFS(应收金额,应收键,$E137,应收年度,管理年度),2))</f>
        <v/>
      </c>
      <c r="U137" s="40" t="str">
        <f aca="false">IF($C137="","",ROUND(SUMIFS(收款金额,收款键,$E137,收款年度,管理年度),2))</f>
        <v/>
      </c>
      <c r="V137" s="41" t="str">
        <f aca="false">IF($C137="","",ROUND(SUMIF(应收键,$E137,应收金额)-SUMIF(收款键,$E137,收款金额),2))</f>
        <v/>
      </c>
      <c r="W137" s="24"/>
      <c r="X137" s="35" t="str">
        <f aca="false">IF($C137="","",IF($D137="","★项目名称没填",IF(COUNTIF($E$5:$E$304,$E137)&gt;1,"★键重复",IF(AND($H137&lt;&gt;"",$I137&lt;&gt;"",$I137&lt;$H137),"★合同起止反了",IF(N($K137)=0,"★电梯资料里没有这个项目","OK")))))</f>
        <v/>
      </c>
    </row>
    <row r="138" customFormat="false" ht="15" hidden="false" customHeight="false" outlineLevel="0" collapsed="false">
      <c r="A138" s="29" t="str">
        <f aca="false">IF($C138="","",ROW()-4)</f>
        <v/>
      </c>
      <c r="B138" s="35" t="str">
        <f aca="false">IF($C138="","",IFERROR(INDEX(电梯片区,MATCH($E138,电梯键,0)),""))</f>
        <v/>
      </c>
      <c r="C138" s="24"/>
      <c r="D138" s="24"/>
      <c r="E138" s="30" t="str">
        <f aca="false">IF($C138="","",$C138&amp;" ｜ "&amp;$D138)</f>
        <v/>
      </c>
      <c r="F138" s="25"/>
      <c r="G138" s="25"/>
      <c r="H138" s="33"/>
      <c r="I138" s="33"/>
      <c r="J138" s="32"/>
      <c r="K138" s="38" t="str">
        <f aca="false">IF($C138="","",SUMIF(电梯键,$E138,电梯台量))</f>
        <v/>
      </c>
      <c r="L138" s="39"/>
      <c r="M138" s="25"/>
      <c r="N138" s="25"/>
      <c r="O138" s="38" t="str">
        <f aca="false">IF($C138="","",SUMIFS(电梯台量,电梯键,$E138,电梯状态,"安装免保")+SUMIFS(电梯台量,电梯键,$E138,电梯状态,"技术免保")+SUMIFS(电梯台量,电梯键,$E138,电梯状态,"质保期内"))</f>
        <v/>
      </c>
      <c r="P138" s="38" t="str">
        <f aca="false">IF($C138="","",$K138-$O138)</f>
        <v/>
      </c>
      <c r="Q138" s="34" t="str">
        <f aca="true">IF($C138="","",IF($G138="已终止","",IF($I138="","▲没填合同止期",IF($I138&lt;TODAY(),"已到期 "&amp;TEXT(TODAY()-$I138,"0")&amp;" 天",IF($I138-TODAY()&lt;=合同提醒天,"将到期 "&amp;TEXT($I138-TODAY(),"0")&amp;" 天","")))))</f>
        <v/>
      </c>
      <c r="R138" s="34" t="str">
        <f aca="false">IF($C138="","",IF($G138="","▲合同状态没选",IF(OR($G138="已签未回",$G138="未签",$G138="续签中"),"▲合同未回（"&amp;$G138&amp;"）","")))</f>
        <v/>
      </c>
      <c r="S138" s="35" t="str">
        <f aca="false">IF($C138="","",IF(N($J138)=N($K138),"一致","★合同"&amp;TEXT(N($J138),"0")&amp;"台 / 在册"&amp;TEXT(N($K138),"0")&amp;"台"))</f>
        <v/>
      </c>
      <c r="T138" s="40" t="str">
        <f aca="false">IF($C138="","",ROUND(SUMIFS(应收金额,应收键,$E138,应收年度,管理年度),2))</f>
        <v/>
      </c>
      <c r="U138" s="40" t="str">
        <f aca="false">IF($C138="","",ROUND(SUMIFS(收款金额,收款键,$E138,收款年度,管理年度),2))</f>
        <v/>
      </c>
      <c r="V138" s="41" t="str">
        <f aca="false">IF($C138="","",ROUND(SUMIF(应收键,$E138,应收金额)-SUMIF(收款键,$E138,收款金额),2))</f>
        <v/>
      </c>
      <c r="W138" s="24"/>
      <c r="X138" s="35" t="str">
        <f aca="false">IF($C138="","",IF($D138="","★项目名称没填",IF(COUNTIF($E$5:$E$304,$E138)&gt;1,"★键重复",IF(AND($H138&lt;&gt;"",$I138&lt;&gt;"",$I138&lt;$H138),"★合同起止反了",IF(N($K138)=0,"★电梯资料里没有这个项目","OK")))))</f>
        <v/>
      </c>
    </row>
    <row r="139" customFormat="false" ht="15" hidden="false" customHeight="false" outlineLevel="0" collapsed="false">
      <c r="A139" s="29" t="str">
        <f aca="false">IF($C139="","",ROW()-4)</f>
        <v/>
      </c>
      <c r="B139" s="35" t="str">
        <f aca="false">IF($C139="","",IFERROR(INDEX(电梯片区,MATCH($E139,电梯键,0)),""))</f>
        <v/>
      </c>
      <c r="C139" s="24"/>
      <c r="D139" s="24"/>
      <c r="E139" s="30" t="str">
        <f aca="false">IF($C139="","",$C139&amp;" ｜ "&amp;$D139)</f>
        <v/>
      </c>
      <c r="F139" s="25"/>
      <c r="G139" s="25"/>
      <c r="H139" s="33"/>
      <c r="I139" s="33"/>
      <c r="J139" s="32"/>
      <c r="K139" s="38" t="str">
        <f aca="false">IF($C139="","",SUMIF(电梯键,$E139,电梯台量))</f>
        <v/>
      </c>
      <c r="L139" s="39"/>
      <c r="M139" s="25"/>
      <c r="N139" s="25"/>
      <c r="O139" s="38" t="str">
        <f aca="false">IF($C139="","",SUMIFS(电梯台量,电梯键,$E139,电梯状态,"安装免保")+SUMIFS(电梯台量,电梯键,$E139,电梯状态,"技术免保")+SUMIFS(电梯台量,电梯键,$E139,电梯状态,"质保期内"))</f>
        <v/>
      </c>
      <c r="P139" s="38" t="str">
        <f aca="false">IF($C139="","",$K139-$O139)</f>
        <v/>
      </c>
      <c r="Q139" s="34" t="str">
        <f aca="true">IF($C139="","",IF($G139="已终止","",IF($I139="","▲没填合同止期",IF($I139&lt;TODAY(),"已到期 "&amp;TEXT(TODAY()-$I139,"0")&amp;" 天",IF($I139-TODAY()&lt;=合同提醒天,"将到期 "&amp;TEXT($I139-TODAY(),"0")&amp;" 天","")))))</f>
        <v/>
      </c>
      <c r="R139" s="34" t="str">
        <f aca="false">IF($C139="","",IF($G139="","▲合同状态没选",IF(OR($G139="已签未回",$G139="未签",$G139="续签中"),"▲合同未回（"&amp;$G139&amp;"）","")))</f>
        <v/>
      </c>
      <c r="S139" s="35" t="str">
        <f aca="false">IF($C139="","",IF(N($J139)=N($K139),"一致","★合同"&amp;TEXT(N($J139),"0")&amp;"台 / 在册"&amp;TEXT(N($K139),"0")&amp;"台"))</f>
        <v/>
      </c>
      <c r="T139" s="40" t="str">
        <f aca="false">IF($C139="","",ROUND(SUMIFS(应收金额,应收键,$E139,应收年度,管理年度),2))</f>
        <v/>
      </c>
      <c r="U139" s="40" t="str">
        <f aca="false">IF($C139="","",ROUND(SUMIFS(收款金额,收款键,$E139,收款年度,管理年度),2))</f>
        <v/>
      </c>
      <c r="V139" s="41" t="str">
        <f aca="false">IF($C139="","",ROUND(SUMIF(应收键,$E139,应收金额)-SUMIF(收款键,$E139,收款金额),2))</f>
        <v/>
      </c>
      <c r="W139" s="24"/>
      <c r="X139" s="35" t="str">
        <f aca="false">IF($C139="","",IF($D139="","★项目名称没填",IF(COUNTIF($E$5:$E$304,$E139)&gt;1,"★键重复",IF(AND($H139&lt;&gt;"",$I139&lt;&gt;"",$I139&lt;$H139),"★合同起止反了",IF(N($K139)=0,"★电梯资料里没有这个项目","OK")))))</f>
        <v/>
      </c>
    </row>
    <row r="140" customFormat="false" ht="15" hidden="false" customHeight="false" outlineLevel="0" collapsed="false">
      <c r="A140" s="29" t="str">
        <f aca="false">IF($C140="","",ROW()-4)</f>
        <v/>
      </c>
      <c r="B140" s="35" t="str">
        <f aca="false">IF($C140="","",IFERROR(INDEX(电梯片区,MATCH($E140,电梯键,0)),""))</f>
        <v/>
      </c>
      <c r="C140" s="24"/>
      <c r="D140" s="24"/>
      <c r="E140" s="30" t="str">
        <f aca="false">IF($C140="","",$C140&amp;" ｜ "&amp;$D140)</f>
        <v/>
      </c>
      <c r="F140" s="25"/>
      <c r="G140" s="25"/>
      <c r="H140" s="33"/>
      <c r="I140" s="33"/>
      <c r="J140" s="32"/>
      <c r="K140" s="38" t="str">
        <f aca="false">IF($C140="","",SUMIF(电梯键,$E140,电梯台量))</f>
        <v/>
      </c>
      <c r="L140" s="39"/>
      <c r="M140" s="25"/>
      <c r="N140" s="25"/>
      <c r="O140" s="38" t="str">
        <f aca="false">IF($C140="","",SUMIFS(电梯台量,电梯键,$E140,电梯状态,"安装免保")+SUMIFS(电梯台量,电梯键,$E140,电梯状态,"技术免保")+SUMIFS(电梯台量,电梯键,$E140,电梯状态,"质保期内"))</f>
        <v/>
      </c>
      <c r="P140" s="38" t="str">
        <f aca="false">IF($C140="","",$K140-$O140)</f>
        <v/>
      </c>
      <c r="Q140" s="34" t="str">
        <f aca="true">IF($C140="","",IF($G140="已终止","",IF($I140="","▲没填合同止期",IF($I140&lt;TODAY(),"已到期 "&amp;TEXT(TODAY()-$I140,"0")&amp;" 天",IF($I140-TODAY()&lt;=合同提醒天,"将到期 "&amp;TEXT($I140-TODAY(),"0")&amp;" 天","")))))</f>
        <v/>
      </c>
      <c r="R140" s="34" t="str">
        <f aca="false">IF($C140="","",IF($G140="","▲合同状态没选",IF(OR($G140="已签未回",$G140="未签",$G140="续签中"),"▲合同未回（"&amp;$G140&amp;"）","")))</f>
        <v/>
      </c>
      <c r="S140" s="35" t="str">
        <f aca="false">IF($C140="","",IF(N($J140)=N($K140),"一致","★合同"&amp;TEXT(N($J140),"0")&amp;"台 / 在册"&amp;TEXT(N($K140),"0")&amp;"台"))</f>
        <v/>
      </c>
      <c r="T140" s="40" t="str">
        <f aca="false">IF($C140="","",ROUND(SUMIFS(应收金额,应收键,$E140,应收年度,管理年度),2))</f>
        <v/>
      </c>
      <c r="U140" s="40" t="str">
        <f aca="false">IF($C140="","",ROUND(SUMIFS(收款金额,收款键,$E140,收款年度,管理年度),2))</f>
        <v/>
      </c>
      <c r="V140" s="41" t="str">
        <f aca="false">IF($C140="","",ROUND(SUMIF(应收键,$E140,应收金额)-SUMIF(收款键,$E140,收款金额),2))</f>
        <v/>
      </c>
      <c r="W140" s="24"/>
      <c r="X140" s="35" t="str">
        <f aca="false">IF($C140="","",IF($D140="","★项目名称没填",IF(COUNTIF($E$5:$E$304,$E140)&gt;1,"★键重复",IF(AND($H140&lt;&gt;"",$I140&lt;&gt;"",$I140&lt;$H140),"★合同起止反了",IF(N($K140)=0,"★电梯资料里没有这个项目","OK")))))</f>
        <v/>
      </c>
    </row>
    <row r="141" customFormat="false" ht="15" hidden="false" customHeight="false" outlineLevel="0" collapsed="false">
      <c r="A141" s="29" t="str">
        <f aca="false">IF($C141="","",ROW()-4)</f>
        <v/>
      </c>
      <c r="B141" s="35" t="str">
        <f aca="false">IF($C141="","",IFERROR(INDEX(电梯片区,MATCH($E141,电梯键,0)),""))</f>
        <v/>
      </c>
      <c r="C141" s="24"/>
      <c r="D141" s="24"/>
      <c r="E141" s="30" t="str">
        <f aca="false">IF($C141="","",$C141&amp;" ｜ "&amp;$D141)</f>
        <v/>
      </c>
      <c r="F141" s="25"/>
      <c r="G141" s="25"/>
      <c r="H141" s="33"/>
      <c r="I141" s="33"/>
      <c r="J141" s="32"/>
      <c r="K141" s="38" t="str">
        <f aca="false">IF($C141="","",SUMIF(电梯键,$E141,电梯台量))</f>
        <v/>
      </c>
      <c r="L141" s="39"/>
      <c r="M141" s="25"/>
      <c r="N141" s="25"/>
      <c r="O141" s="38" t="str">
        <f aca="false">IF($C141="","",SUMIFS(电梯台量,电梯键,$E141,电梯状态,"安装免保")+SUMIFS(电梯台量,电梯键,$E141,电梯状态,"技术免保")+SUMIFS(电梯台量,电梯键,$E141,电梯状态,"质保期内"))</f>
        <v/>
      </c>
      <c r="P141" s="38" t="str">
        <f aca="false">IF($C141="","",$K141-$O141)</f>
        <v/>
      </c>
      <c r="Q141" s="34" t="str">
        <f aca="true">IF($C141="","",IF($G141="已终止","",IF($I141="","▲没填合同止期",IF($I141&lt;TODAY(),"已到期 "&amp;TEXT(TODAY()-$I141,"0")&amp;" 天",IF($I141-TODAY()&lt;=合同提醒天,"将到期 "&amp;TEXT($I141-TODAY(),"0")&amp;" 天","")))))</f>
        <v/>
      </c>
      <c r="R141" s="34" t="str">
        <f aca="false">IF($C141="","",IF($G141="","▲合同状态没选",IF(OR($G141="已签未回",$G141="未签",$G141="续签中"),"▲合同未回（"&amp;$G141&amp;"）","")))</f>
        <v/>
      </c>
      <c r="S141" s="35" t="str">
        <f aca="false">IF($C141="","",IF(N($J141)=N($K141),"一致","★合同"&amp;TEXT(N($J141),"0")&amp;"台 / 在册"&amp;TEXT(N($K141),"0")&amp;"台"))</f>
        <v/>
      </c>
      <c r="T141" s="40" t="str">
        <f aca="false">IF($C141="","",ROUND(SUMIFS(应收金额,应收键,$E141,应收年度,管理年度),2))</f>
        <v/>
      </c>
      <c r="U141" s="40" t="str">
        <f aca="false">IF($C141="","",ROUND(SUMIFS(收款金额,收款键,$E141,收款年度,管理年度),2))</f>
        <v/>
      </c>
      <c r="V141" s="41" t="str">
        <f aca="false">IF($C141="","",ROUND(SUMIF(应收键,$E141,应收金额)-SUMIF(收款键,$E141,收款金额),2))</f>
        <v/>
      </c>
      <c r="W141" s="24"/>
      <c r="X141" s="35" t="str">
        <f aca="false">IF($C141="","",IF($D141="","★项目名称没填",IF(COUNTIF($E$5:$E$304,$E141)&gt;1,"★键重复",IF(AND($H141&lt;&gt;"",$I141&lt;&gt;"",$I141&lt;$H141),"★合同起止反了",IF(N($K141)=0,"★电梯资料里没有这个项目","OK")))))</f>
        <v/>
      </c>
    </row>
    <row r="142" customFormat="false" ht="15" hidden="false" customHeight="false" outlineLevel="0" collapsed="false">
      <c r="A142" s="29" t="str">
        <f aca="false">IF($C142="","",ROW()-4)</f>
        <v/>
      </c>
      <c r="B142" s="35" t="str">
        <f aca="false">IF($C142="","",IFERROR(INDEX(电梯片区,MATCH($E142,电梯键,0)),""))</f>
        <v/>
      </c>
      <c r="C142" s="24"/>
      <c r="D142" s="24"/>
      <c r="E142" s="30" t="str">
        <f aca="false">IF($C142="","",$C142&amp;" ｜ "&amp;$D142)</f>
        <v/>
      </c>
      <c r="F142" s="25"/>
      <c r="G142" s="25"/>
      <c r="H142" s="33"/>
      <c r="I142" s="33"/>
      <c r="J142" s="32"/>
      <c r="K142" s="38" t="str">
        <f aca="false">IF($C142="","",SUMIF(电梯键,$E142,电梯台量))</f>
        <v/>
      </c>
      <c r="L142" s="39"/>
      <c r="M142" s="25"/>
      <c r="N142" s="25"/>
      <c r="O142" s="38" t="str">
        <f aca="false">IF($C142="","",SUMIFS(电梯台量,电梯键,$E142,电梯状态,"安装免保")+SUMIFS(电梯台量,电梯键,$E142,电梯状态,"技术免保")+SUMIFS(电梯台量,电梯键,$E142,电梯状态,"质保期内"))</f>
        <v/>
      </c>
      <c r="P142" s="38" t="str">
        <f aca="false">IF($C142="","",$K142-$O142)</f>
        <v/>
      </c>
      <c r="Q142" s="34" t="str">
        <f aca="true">IF($C142="","",IF($G142="已终止","",IF($I142="","▲没填合同止期",IF($I142&lt;TODAY(),"已到期 "&amp;TEXT(TODAY()-$I142,"0")&amp;" 天",IF($I142-TODAY()&lt;=合同提醒天,"将到期 "&amp;TEXT($I142-TODAY(),"0")&amp;" 天","")))))</f>
        <v/>
      </c>
      <c r="R142" s="34" t="str">
        <f aca="false">IF($C142="","",IF($G142="","▲合同状态没选",IF(OR($G142="已签未回",$G142="未签",$G142="续签中"),"▲合同未回（"&amp;$G142&amp;"）","")))</f>
        <v/>
      </c>
      <c r="S142" s="35" t="str">
        <f aca="false">IF($C142="","",IF(N($J142)=N($K142),"一致","★合同"&amp;TEXT(N($J142),"0")&amp;"台 / 在册"&amp;TEXT(N($K142),"0")&amp;"台"))</f>
        <v/>
      </c>
      <c r="T142" s="40" t="str">
        <f aca="false">IF($C142="","",ROUND(SUMIFS(应收金额,应收键,$E142,应收年度,管理年度),2))</f>
        <v/>
      </c>
      <c r="U142" s="40" t="str">
        <f aca="false">IF($C142="","",ROUND(SUMIFS(收款金额,收款键,$E142,收款年度,管理年度),2))</f>
        <v/>
      </c>
      <c r="V142" s="41" t="str">
        <f aca="false">IF($C142="","",ROUND(SUMIF(应收键,$E142,应收金额)-SUMIF(收款键,$E142,收款金额),2))</f>
        <v/>
      </c>
      <c r="W142" s="24"/>
      <c r="X142" s="35" t="str">
        <f aca="false">IF($C142="","",IF($D142="","★项目名称没填",IF(COUNTIF($E$5:$E$304,$E142)&gt;1,"★键重复",IF(AND($H142&lt;&gt;"",$I142&lt;&gt;"",$I142&lt;$H142),"★合同起止反了",IF(N($K142)=0,"★电梯资料里没有这个项目","OK")))))</f>
        <v/>
      </c>
    </row>
    <row r="143" customFormat="false" ht="15" hidden="false" customHeight="false" outlineLevel="0" collapsed="false">
      <c r="A143" s="29" t="str">
        <f aca="false">IF($C143="","",ROW()-4)</f>
        <v/>
      </c>
      <c r="B143" s="35" t="str">
        <f aca="false">IF($C143="","",IFERROR(INDEX(电梯片区,MATCH($E143,电梯键,0)),""))</f>
        <v/>
      </c>
      <c r="C143" s="24"/>
      <c r="D143" s="24"/>
      <c r="E143" s="30" t="str">
        <f aca="false">IF($C143="","",$C143&amp;" ｜ "&amp;$D143)</f>
        <v/>
      </c>
      <c r="F143" s="25"/>
      <c r="G143" s="25"/>
      <c r="H143" s="33"/>
      <c r="I143" s="33"/>
      <c r="J143" s="32"/>
      <c r="K143" s="38" t="str">
        <f aca="false">IF($C143="","",SUMIF(电梯键,$E143,电梯台量))</f>
        <v/>
      </c>
      <c r="L143" s="39"/>
      <c r="M143" s="25"/>
      <c r="N143" s="25"/>
      <c r="O143" s="38" t="str">
        <f aca="false">IF($C143="","",SUMIFS(电梯台量,电梯键,$E143,电梯状态,"安装免保")+SUMIFS(电梯台量,电梯键,$E143,电梯状态,"技术免保")+SUMIFS(电梯台量,电梯键,$E143,电梯状态,"质保期内"))</f>
        <v/>
      </c>
      <c r="P143" s="38" t="str">
        <f aca="false">IF($C143="","",$K143-$O143)</f>
        <v/>
      </c>
      <c r="Q143" s="34" t="str">
        <f aca="true">IF($C143="","",IF($G143="已终止","",IF($I143="","▲没填合同止期",IF($I143&lt;TODAY(),"已到期 "&amp;TEXT(TODAY()-$I143,"0")&amp;" 天",IF($I143-TODAY()&lt;=合同提醒天,"将到期 "&amp;TEXT($I143-TODAY(),"0")&amp;" 天","")))))</f>
        <v/>
      </c>
      <c r="R143" s="34" t="str">
        <f aca="false">IF($C143="","",IF($G143="","▲合同状态没选",IF(OR($G143="已签未回",$G143="未签",$G143="续签中"),"▲合同未回（"&amp;$G143&amp;"）","")))</f>
        <v/>
      </c>
      <c r="S143" s="35" t="str">
        <f aca="false">IF($C143="","",IF(N($J143)=N($K143),"一致","★合同"&amp;TEXT(N($J143),"0")&amp;"台 / 在册"&amp;TEXT(N($K143),"0")&amp;"台"))</f>
        <v/>
      </c>
      <c r="T143" s="40" t="str">
        <f aca="false">IF($C143="","",ROUND(SUMIFS(应收金额,应收键,$E143,应收年度,管理年度),2))</f>
        <v/>
      </c>
      <c r="U143" s="40" t="str">
        <f aca="false">IF($C143="","",ROUND(SUMIFS(收款金额,收款键,$E143,收款年度,管理年度),2))</f>
        <v/>
      </c>
      <c r="V143" s="41" t="str">
        <f aca="false">IF($C143="","",ROUND(SUMIF(应收键,$E143,应收金额)-SUMIF(收款键,$E143,收款金额),2))</f>
        <v/>
      </c>
      <c r="W143" s="24"/>
      <c r="X143" s="35" t="str">
        <f aca="false">IF($C143="","",IF($D143="","★项目名称没填",IF(COUNTIF($E$5:$E$304,$E143)&gt;1,"★键重复",IF(AND($H143&lt;&gt;"",$I143&lt;&gt;"",$I143&lt;$H143),"★合同起止反了",IF(N($K143)=0,"★电梯资料里没有这个项目","OK")))))</f>
        <v/>
      </c>
    </row>
    <row r="144" customFormat="false" ht="15" hidden="false" customHeight="false" outlineLevel="0" collapsed="false">
      <c r="A144" s="29" t="str">
        <f aca="false">IF($C144="","",ROW()-4)</f>
        <v/>
      </c>
      <c r="B144" s="35" t="str">
        <f aca="false">IF($C144="","",IFERROR(INDEX(电梯片区,MATCH($E144,电梯键,0)),""))</f>
        <v/>
      </c>
      <c r="C144" s="24"/>
      <c r="D144" s="24"/>
      <c r="E144" s="30" t="str">
        <f aca="false">IF($C144="","",$C144&amp;" ｜ "&amp;$D144)</f>
        <v/>
      </c>
      <c r="F144" s="25"/>
      <c r="G144" s="25"/>
      <c r="H144" s="33"/>
      <c r="I144" s="33"/>
      <c r="J144" s="32"/>
      <c r="K144" s="38" t="str">
        <f aca="false">IF($C144="","",SUMIF(电梯键,$E144,电梯台量))</f>
        <v/>
      </c>
      <c r="L144" s="39"/>
      <c r="M144" s="25"/>
      <c r="N144" s="25"/>
      <c r="O144" s="38" t="str">
        <f aca="false">IF($C144="","",SUMIFS(电梯台量,电梯键,$E144,电梯状态,"安装免保")+SUMIFS(电梯台量,电梯键,$E144,电梯状态,"技术免保")+SUMIFS(电梯台量,电梯键,$E144,电梯状态,"质保期内"))</f>
        <v/>
      </c>
      <c r="P144" s="38" t="str">
        <f aca="false">IF($C144="","",$K144-$O144)</f>
        <v/>
      </c>
      <c r="Q144" s="34" t="str">
        <f aca="true">IF($C144="","",IF($G144="已终止","",IF($I144="","▲没填合同止期",IF($I144&lt;TODAY(),"已到期 "&amp;TEXT(TODAY()-$I144,"0")&amp;" 天",IF($I144-TODAY()&lt;=合同提醒天,"将到期 "&amp;TEXT($I144-TODAY(),"0")&amp;" 天","")))))</f>
        <v/>
      </c>
      <c r="R144" s="34" t="str">
        <f aca="false">IF($C144="","",IF($G144="","▲合同状态没选",IF(OR($G144="已签未回",$G144="未签",$G144="续签中"),"▲合同未回（"&amp;$G144&amp;"）","")))</f>
        <v/>
      </c>
      <c r="S144" s="35" t="str">
        <f aca="false">IF($C144="","",IF(N($J144)=N($K144),"一致","★合同"&amp;TEXT(N($J144),"0")&amp;"台 / 在册"&amp;TEXT(N($K144),"0")&amp;"台"))</f>
        <v/>
      </c>
      <c r="T144" s="40" t="str">
        <f aca="false">IF($C144="","",ROUND(SUMIFS(应收金额,应收键,$E144,应收年度,管理年度),2))</f>
        <v/>
      </c>
      <c r="U144" s="40" t="str">
        <f aca="false">IF($C144="","",ROUND(SUMIFS(收款金额,收款键,$E144,收款年度,管理年度),2))</f>
        <v/>
      </c>
      <c r="V144" s="41" t="str">
        <f aca="false">IF($C144="","",ROUND(SUMIF(应收键,$E144,应收金额)-SUMIF(收款键,$E144,收款金额),2))</f>
        <v/>
      </c>
      <c r="W144" s="24"/>
      <c r="X144" s="35" t="str">
        <f aca="false">IF($C144="","",IF($D144="","★项目名称没填",IF(COUNTIF($E$5:$E$304,$E144)&gt;1,"★键重复",IF(AND($H144&lt;&gt;"",$I144&lt;&gt;"",$I144&lt;$H144),"★合同起止反了",IF(N($K144)=0,"★电梯资料里没有这个项目","OK")))))</f>
        <v/>
      </c>
    </row>
    <row r="145" customFormat="false" ht="15" hidden="false" customHeight="false" outlineLevel="0" collapsed="false">
      <c r="A145" s="29" t="str">
        <f aca="false">IF($C145="","",ROW()-4)</f>
        <v/>
      </c>
      <c r="B145" s="35" t="str">
        <f aca="false">IF($C145="","",IFERROR(INDEX(电梯片区,MATCH($E145,电梯键,0)),""))</f>
        <v/>
      </c>
      <c r="C145" s="24"/>
      <c r="D145" s="24"/>
      <c r="E145" s="30" t="str">
        <f aca="false">IF($C145="","",$C145&amp;" ｜ "&amp;$D145)</f>
        <v/>
      </c>
      <c r="F145" s="25"/>
      <c r="G145" s="25"/>
      <c r="H145" s="33"/>
      <c r="I145" s="33"/>
      <c r="J145" s="32"/>
      <c r="K145" s="38" t="str">
        <f aca="false">IF($C145="","",SUMIF(电梯键,$E145,电梯台量))</f>
        <v/>
      </c>
      <c r="L145" s="39"/>
      <c r="M145" s="25"/>
      <c r="N145" s="25"/>
      <c r="O145" s="38" t="str">
        <f aca="false">IF($C145="","",SUMIFS(电梯台量,电梯键,$E145,电梯状态,"安装免保")+SUMIFS(电梯台量,电梯键,$E145,电梯状态,"技术免保")+SUMIFS(电梯台量,电梯键,$E145,电梯状态,"质保期内"))</f>
        <v/>
      </c>
      <c r="P145" s="38" t="str">
        <f aca="false">IF($C145="","",$K145-$O145)</f>
        <v/>
      </c>
      <c r="Q145" s="34" t="str">
        <f aca="true">IF($C145="","",IF($G145="已终止","",IF($I145="","▲没填合同止期",IF($I145&lt;TODAY(),"已到期 "&amp;TEXT(TODAY()-$I145,"0")&amp;" 天",IF($I145-TODAY()&lt;=合同提醒天,"将到期 "&amp;TEXT($I145-TODAY(),"0")&amp;" 天","")))))</f>
        <v/>
      </c>
      <c r="R145" s="34" t="str">
        <f aca="false">IF($C145="","",IF($G145="","▲合同状态没选",IF(OR($G145="已签未回",$G145="未签",$G145="续签中"),"▲合同未回（"&amp;$G145&amp;"）","")))</f>
        <v/>
      </c>
      <c r="S145" s="35" t="str">
        <f aca="false">IF($C145="","",IF(N($J145)=N($K145),"一致","★合同"&amp;TEXT(N($J145),"0")&amp;"台 / 在册"&amp;TEXT(N($K145),"0")&amp;"台"))</f>
        <v/>
      </c>
      <c r="T145" s="40" t="str">
        <f aca="false">IF($C145="","",ROUND(SUMIFS(应收金额,应收键,$E145,应收年度,管理年度),2))</f>
        <v/>
      </c>
      <c r="U145" s="40" t="str">
        <f aca="false">IF($C145="","",ROUND(SUMIFS(收款金额,收款键,$E145,收款年度,管理年度),2))</f>
        <v/>
      </c>
      <c r="V145" s="41" t="str">
        <f aca="false">IF($C145="","",ROUND(SUMIF(应收键,$E145,应收金额)-SUMIF(收款键,$E145,收款金额),2))</f>
        <v/>
      </c>
      <c r="W145" s="24"/>
      <c r="X145" s="35" t="str">
        <f aca="false">IF($C145="","",IF($D145="","★项目名称没填",IF(COUNTIF($E$5:$E$304,$E145)&gt;1,"★键重复",IF(AND($H145&lt;&gt;"",$I145&lt;&gt;"",$I145&lt;$H145),"★合同起止反了",IF(N($K145)=0,"★电梯资料里没有这个项目","OK")))))</f>
        <v/>
      </c>
    </row>
    <row r="146" customFormat="false" ht="15" hidden="false" customHeight="false" outlineLevel="0" collapsed="false">
      <c r="A146" s="29" t="str">
        <f aca="false">IF($C146="","",ROW()-4)</f>
        <v/>
      </c>
      <c r="B146" s="35" t="str">
        <f aca="false">IF($C146="","",IFERROR(INDEX(电梯片区,MATCH($E146,电梯键,0)),""))</f>
        <v/>
      </c>
      <c r="C146" s="24"/>
      <c r="D146" s="24"/>
      <c r="E146" s="30" t="str">
        <f aca="false">IF($C146="","",$C146&amp;" ｜ "&amp;$D146)</f>
        <v/>
      </c>
      <c r="F146" s="25"/>
      <c r="G146" s="25"/>
      <c r="H146" s="33"/>
      <c r="I146" s="33"/>
      <c r="J146" s="32"/>
      <c r="K146" s="38" t="str">
        <f aca="false">IF($C146="","",SUMIF(电梯键,$E146,电梯台量))</f>
        <v/>
      </c>
      <c r="L146" s="39"/>
      <c r="M146" s="25"/>
      <c r="N146" s="25"/>
      <c r="O146" s="38" t="str">
        <f aca="false">IF($C146="","",SUMIFS(电梯台量,电梯键,$E146,电梯状态,"安装免保")+SUMIFS(电梯台量,电梯键,$E146,电梯状态,"技术免保")+SUMIFS(电梯台量,电梯键,$E146,电梯状态,"质保期内"))</f>
        <v/>
      </c>
      <c r="P146" s="38" t="str">
        <f aca="false">IF($C146="","",$K146-$O146)</f>
        <v/>
      </c>
      <c r="Q146" s="34" t="str">
        <f aca="true">IF($C146="","",IF($G146="已终止","",IF($I146="","▲没填合同止期",IF($I146&lt;TODAY(),"已到期 "&amp;TEXT(TODAY()-$I146,"0")&amp;" 天",IF($I146-TODAY()&lt;=合同提醒天,"将到期 "&amp;TEXT($I146-TODAY(),"0")&amp;" 天","")))))</f>
        <v/>
      </c>
      <c r="R146" s="34" t="str">
        <f aca="false">IF($C146="","",IF($G146="","▲合同状态没选",IF(OR($G146="已签未回",$G146="未签",$G146="续签中"),"▲合同未回（"&amp;$G146&amp;"）","")))</f>
        <v/>
      </c>
      <c r="S146" s="35" t="str">
        <f aca="false">IF($C146="","",IF(N($J146)=N($K146),"一致","★合同"&amp;TEXT(N($J146),"0")&amp;"台 / 在册"&amp;TEXT(N($K146),"0")&amp;"台"))</f>
        <v/>
      </c>
      <c r="T146" s="40" t="str">
        <f aca="false">IF($C146="","",ROUND(SUMIFS(应收金额,应收键,$E146,应收年度,管理年度),2))</f>
        <v/>
      </c>
      <c r="U146" s="40" t="str">
        <f aca="false">IF($C146="","",ROUND(SUMIFS(收款金额,收款键,$E146,收款年度,管理年度),2))</f>
        <v/>
      </c>
      <c r="V146" s="41" t="str">
        <f aca="false">IF($C146="","",ROUND(SUMIF(应收键,$E146,应收金额)-SUMIF(收款键,$E146,收款金额),2))</f>
        <v/>
      </c>
      <c r="W146" s="24"/>
      <c r="X146" s="35" t="str">
        <f aca="false">IF($C146="","",IF($D146="","★项目名称没填",IF(COUNTIF($E$5:$E$304,$E146)&gt;1,"★键重复",IF(AND($H146&lt;&gt;"",$I146&lt;&gt;"",$I146&lt;$H146),"★合同起止反了",IF(N($K146)=0,"★电梯资料里没有这个项目","OK")))))</f>
        <v/>
      </c>
    </row>
    <row r="147" customFormat="false" ht="15" hidden="false" customHeight="false" outlineLevel="0" collapsed="false">
      <c r="A147" s="29" t="str">
        <f aca="false">IF($C147="","",ROW()-4)</f>
        <v/>
      </c>
      <c r="B147" s="35" t="str">
        <f aca="false">IF($C147="","",IFERROR(INDEX(电梯片区,MATCH($E147,电梯键,0)),""))</f>
        <v/>
      </c>
      <c r="C147" s="24"/>
      <c r="D147" s="24"/>
      <c r="E147" s="30" t="str">
        <f aca="false">IF($C147="","",$C147&amp;" ｜ "&amp;$D147)</f>
        <v/>
      </c>
      <c r="F147" s="25"/>
      <c r="G147" s="25"/>
      <c r="H147" s="33"/>
      <c r="I147" s="33"/>
      <c r="J147" s="32"/>
      <c r="K147" s="38" t="str">
        <f aca="false">IF($C147="","",SUMIF(电梯键,$E147,电梯台量))</f>
        <v/>
      </c>
      <c r="L147" s="39"/>
      <c r="M147" s="25"/>
      <c r="N147" s="25"/>
      <c r="O147" s="38" t="str">
        <f aca="false">IF($C147="","",SUMIFS(电梯台量,电梯键,$E147,电梯状态,"安装免保")+SUMIFS(电梯台量,电梯键,$E147,电梯状态,"技术免保")+SUMIFS(电梯台量,电梯键,$E147,电梯状态,"质保期内"))</f>
        <v/>
      </c>
      <c r="P147" s="38" t="str">
        <f aca="false">IF($C147="","",$K147-$O147)</f>
        <v/>
      </c>
      <c r="Q147" s="34" t="str">
        <f aca="true">IF($C147="","",IF($G147="已终止","",IF($I147="","▲没填合同止期",IF($I147&lt;TODAY(),"已到期 "&amp;TEXT(TODAY()-$I147,"0")&amp;" 天",IF($I147-TODAY()&lt;=合同提醒天,"将到期 "&amp;TEXT($I147-TODAY(),"0")&amp;" 天","")))))</f>
        <v/>
      </c>
      <c r="R147" s="34" t="str">
        <f aca="false">IF($C147="","",IF($G147="","▲合同状态没选",IF(OR($G147="已签未回",$G147="未签",$G147="续签中"),"▲合同未回（"&amp;$G147&amp;"）","")))</f>
        <v/>
      </c>
      <c r="S147" s="35" t="str">
        <f aca="false">IF($C147="","",IF(N($J147)=N($K147),"一致","★合同"&amp;TEXT(N($J147),"0")&amp;"台 / 在册"&amp;TEXT(N($K147),"0")&amp;"台"))</f>
        <v/>
      </c>
      <c r="T147" s="40" t="str">
        <f aca="false">IF($C147="","",ROUND(SUMIFS(应收金额,应收键,$E147,应收年度,管理年度),2))</f>
        <v/>
      </c>
      <c r="U147" s="40" t="str">
        <f aca="false">IF($C147="","",ROUND(SUMIFS(收款金额,收款键,$E147,收款年度,管理年度),2))</f>
        <v/>
      </c>
      <c r="V147" s="41" t="str">
        <f aca="false">IF($C147="","",ROUND(SUMIF(应收键,$E147,应收金额)-SUMIF(收款键,$E147,收款金额),2))</f>
        <v/>
      </c>
      <c r="W147" s="24"/>
      <c r="X147" s="35" t="str">
        <f aca="false">IF($C147="","",IF($D147="","★项目名称没填",IF(COUNTIF($E$5:$E$304,$E147)&gt;1,"★键重复",IF(AND($H147&lt;&gt;"",$I147&lt;&gt;"",$I147&lt;$H147),"★合同起止反了",IF(N($K147)=0,"★电梯资料里没有这个项目","OK")))))</f>
        <v/>
      </c>
    </row>
    <row r="148" customFormat="false" ht="15" hidden="false" customHeight="false" outlineLevel="0" collapsed="false">
      <c r="A148" s="29" t="str">
        <f aca="false">IF($C148="","",ROW()-4)</f>
        <v/>
      </c>
      <c r="B148" s="35" t="str">
        <f aca="false">IF($C148="","",IFERROR(INDEX(电梯片区,MATCH($E148,电梯键,0)),""))</f>
        <v/>
      </c>
      <c r="C148" s="24"/>
      <c r="D148" s="24"/>
      <c r="E148" s="30" t="str">
        <f aca="false">IF($C148="","",$C148&amp;" ｜ "&amp;$D148)</f>
        <v/>
      </c>
      <c r="F148" s="25"/>
      <c r="G148" s="25"/>
      <c r="H148" s="33"/>
      <c r="I148" s="33"/>
      <c r="J148" s="32"/>
      <c r="K148" s="38" t="str">
        <f aca="false">IF($C148="","",SUMIF(电梯键,$E148,电梯台量))</f>
        <v/>
      </c>
      <c r="L148" s="39"/>
      <c r="M148" s="25"/>
      <c r="N148" s="25"/>
      <c r="O148" s="38" t="str">
        <f aca="false">IF($C148="","",SUMIFS(电梯台量,电梯键,$E148,电梯状态,"安装免保")+SUMIFS(电梯台量,电梯键,$E148,电梯状态,"技术免保")+SUMIFS(电梯台量,电梯键,$E148,电梯状态,"质保期内"))</f>
        <v/>
      </c>
      <c r="P148" s="38" t="str">
        <f aca="false">IF($C148="","",$K148-$O148)</f>
        <v/>
      </c>
      <c r="Q148" s="34" t="str">
        <f aca="true">IF($C148="","",IF($G148="已终止","",IF($I148="","▲没填合同止期",IF($I148&lt;TODAY(),"已到期 "&amp;TEXT(TODAY()-$I148,"0")&amp;" 天",IF($I148-TODAY()&lt;=合同提醒天,"将到期 "&amp;TEXT($I148-TODAY(),"0")&amp;" 天","")))))</f>
        <v/>
      </c>
      <c r="R148" s="34" t="str">
        <f aca="false">IF($C148="","",IF($G148="","▲合同状态没选",IF(OR($G148="已签未回",$G148="未签",$G148="续签中"),"▲合同未回（"&amp;$G148&amp;"）","")))</f>
        <v/>
      </c>
      <c r="S148" s="35" t="str">
        <f aca="false">IF($C148="","",IF(N($J148)=N($K148),"一致","★合同"&amp;TEXT(N($J148),"0")&amp;"台 / 在册"&amp;TEXT(N($K148),"0")&amp;"台"))</f>
        <v/>
      </c>
      <c r="T148" s="40" t="str">
        <f aca="false">IF($C148="","",ROUND(SUMIFS(应收金额,应收键,$E148,应收年度,管理年度),2))</f>
        <v/>
      </c>
      <c r="U148" s="40" t="str">
        <f aca="false">IF($C148="","",ROUND(SUMIFS(收款金额,收款键,$E148,收款年度,管理年度),2))</f>
        <v/>
      </c>
      <c r="V148" s="41" t="str">
        <f aca="false">IF($C148="","",ROUND(SUMIF(应收键,$E148,应收金额)-SUMIF(收款键,$E148,收款金额),2))</f>
        <v/>
      </c>
      <c r="W148" s="24"/>
      <c r="X148" s="35" t="str">
        <f aca="false">IF($C148="","",IF($D148="","★项目名称没填",IF(COUNTIF($E$5:$E$304,$E148)&gt;1,"★键重复",IF(AND($H148&lt;&gt;"",$I148&lt;&gt;"",$I148&lt;$H148),"★合同起止反了",IF(N($K148)=0,"★电梯资料里没有这个项目","OK")))))</f>
        <v/>
      </c>
    </row>
    <row r="149" customFormat="false" ht="15" hidden="false" customHeight="false" outlineLevel="0" collapsed="false">
      <c r="A149" s="29" t="str">
        <f aca="false">IF($C149="","",ROW()-4)</f>
        <v/>
      </c>
      <c r="B149" s="35" t="str">
        <f aca="false">IF($C149="","",IFERROR(INDEX(电梯片区,MATCH($E149,电梯键,0)),""))</f>
        <v/>
      </c>
      <c r="C149" s="24"/>
      <c r="D149" s="24"/>
      <c r="E149" s="30" t="str">
        <f aca="false">IF($C149="","",$C149&amp;" ｜ "&amp;$D149)</f>
        <v/>
      </c>
      <c r="F149" s="25"/>
      <c r="G149" s="25"/>
      <c r="H149" s="33"/>
      <c r="I149" s="33"/>
      <c r="J149" s="32"/>
      <c r="K149" s="38" t="str">
        <f aca="false">IF($C149="","",SUMIF(电梯键,$E149,电梯台量))</f>
        <v/>
      </c>
      <c r="L149" s="39"/>
      <c r="M149" s="25"/>
      <c r="N149" s="25"/>
      <c r="O149" s="38" t="str">
        <f aca="false">IF($C149="","",SUMIFS(电梯台量,电梯键,$E149,电梯状态,"安装免保")+SUMIFS(电梯台量,电梯键,$E149,电梯状态,"技术免保")+SUMIFS(电梯台量,电梯键,$E149,电梯状态,"质保期内"))</f>
        <v/>
      </c>
      <c r="P149" s="38" t="str">
        <f aca="false">IF($C149="","",$K149-$O149)</f>
        <v/>
      </c>
      <c r="Q149" s="34" t="str">
        <f aca="true">IF($C149="","",IF($G149="已终止","",IF($I149="","▲没填合同止期",IF($I149&lt;TODAY(),"已到期 "&amp;TEXT(TODAY()-$I149,"0")&amp;" 天",IF($I149-TODAY()&lt;=合同提醒天,"将到期 "&amp;TEXT($I149-TODAY(),"0")&amp;" 天","")))))</f>
        <v/>
      </c>
      <c r="R149" s="34" t="str">
        <f aca="false">IF($C149="","",IF($G149="","▲合同状态没选",IF(OR($G149="已签未回",$G149="未签",$G149="续签中"),"▲合同未回（"&amp;$G149&amp;"）","")))</f>
        <v/>
      </c>
      <c r="S149" s="35" t="str">
        <f aca="false">IF($C149="","",IF(N($J149)=N($K149),"一致","★合同"&amp;TEXT(N($J149),"0")&amp;"台 / 在册"&amp;TEXT(N($K149),"0")&amp;"台"))</f>
        <v/>
      </c>
      <c r="T149" s="40" t="str">
        <f aca="false">IF($C149="","",ROUND(SUMIFS(应收金额,应收键,$E149,应收年度,管理年度),2))</f>
        <v/>
      </c>
      <c r="U149" s="40" t="str">
        <f aca="false">IF($C149="","",ROUND(SUMIFS(收款金额,收款键,$E149,收款年度,管理年度),2))</f>
        <v/>
      </c>
      <c r="V149" s="41" t="str">
        <f aca="false">IF($C149="","",ROUND(SUMIF(应收键,$E149,应收金额)-SUMIF(收款键,$E149,收款金额),2))</f>
        <v/>
      </c>
      <c r="W149" s="24"/>
      <c r="X149" s="35" t="str">
        <f aca="false">IF($C149="","",IF($D149="","★项目名称没填",IF(COUNTIF($E$5:$E$304,$E149)&gt;1,"★键重复",IF(AND($H149&lt;&gt;"",$I149&lt;&gt;"",$I149&lt;$H149),"★合同起止反了",IF(N($K149)=0,"★电梯资料里没有这个项目","OK")))))</f>
        <v/>
      </c>
    </row>
    <row r="150" customFormat="false" ht="15" hidden="false" customHeight="false" outlineLevel="0" collapsed="false">
      <c r="A150" s="29" t="str">
        <f aca="false">IF($C150="","",ROW()-4)</f>
        <v/>
      </c>
      <c r="B150" s="35" t="str">
        <f aca="false">IF($C150="","",IFERROR(INDEX(电梯片区,MATCH($E150,电梯键,0)),""))</f>
        <v/>
      </c>
      <c r="C150" s="24"/>
      <c r="D150" s="24"/>
      <c r="E150" s="30" t="str">
        <f aca="false">IF($C150="","",$C150&amp;" ｜ "&amp;$D150)</f>
        <v/>
      </c>
      <c r="F150" s="25"/>
      <c r="G150" s="25"/>
      <c r="H150" s="33"/>
      <c r="I150" s="33"/>
      <c r="J150" s="32"/>
      <c r="K150" s="38" t="str">
        <f aca="false">IF($C150="","",SUMIF(电梯键,$E150,电梯台量))</f>
        <v/>
      </c>
      <c r="L150" s="39"/>
      <c r="M150" s="25"/>
      <c r="N150" s="25"/>
      <c r="O150" s="38" t="str">
        <f aca="false">IF($C150="","",SUMIFS(电梯台量,电梯键,$E150,电梯状态,"安装免保")+SUMIFS(电梯台量,电梯键,$E150,电梯状态,"技术免保")+SUMIFS(电梯台量,电梯键,$E150,电梯状态,"质保期内"))</f>
        <v/>
      </c>
      <c r="P150" s="38" t="str">
        <f aca="false">IF($C150="","",$K150-$O150)</f>
        <v/>
      </c>
      <c r="Q150" s="34" t="str">
        <f aca="true">IF($C150="","",IF($G150="已终止","",IF($I150="","▲没填合同止期",IF($I150&lt;TODAY(),"已到期 "&amp;TEXT(TODAY()-$I150,"0")&amp;" 天",IF($I150-TODAY()&lt;=合同提醒天,"将到期 "&amp;TEXT($I150-TODAY(),"0")&amp;" 天","")))))</f>
        <v/>
      </c>
      <c r="R150" s="34" t="str">
        <f aca="false">IF($C150="","",IF($G150="","▲合同状态没选",IF(OR($G150="已签未回",$G150="未签",$G150="续签中"),"▲合同未回（"&amp;$G150&amp;"）","")))</f>
        <v/>
      </c>
      <c r="S150" s="35" t="str">
        <f aca="false">IF($C150="","",IF(N($J150)=N($K150),"一致","★合同"&amp;TEXT(N($J150),"0")&amp;"台 / 在册"&amp;TEXT(N($K150),"0")&amp;"台"))</f>
        <v/>
      </c>
      <c r="T150" s="40" t="str">
        <f aca="false">IF($C150="","",ROUND(SUMIFS(应收金额,应收键,$E150,应收年度,管理年度),2))</f>
        <v/>
      </c>
      <c r="U150" s="40" t="str">
        <f aca="false">IF($C150="","",ROUND(SUMIFS(收款金额,收款键,$E150,收款年度,管理年度),2))</f>
        <v/>
      </c>
      <c r="V150" s="41" t="str">
        <f aca="false">IF($C150="","",ROUND(SUMIF(应收键,$E150,应收金额)-SUMIF(收款键,$E150,收款金额),2))</f>
        <v/>
      </c>
      <c r="W150" s="24"/>
      <c r="X150" s="35" t="str">
        <f aca="false">IF($C150="","",IF($D150="","★项目名称没填",IF(COUNTIF($E$5:$E$304,$E150)&gt;1,"★键重复",IF(AND($H150&lt;&gt;"",$I150&lt;&gt;"",$I150&lt;$H150),"★合同起止反了",IF(N($K150)=0,"★电梯资料里没有这个项目","OK")))))</f>
        <v/>
      </c>
    </row>
    <row r="151" customFormat="false" ht="15" hidden="false" customHeight="false" outlineLevel="0" collapsed="false">
      <c r="A151" s="29" t="str">
        <f aca="false">IF($C151="","",ROW()-4)</f>
        <v/>
      </c>
      <c r="B151" s="35" t="str">
        <f aca="false">IF($C151="","",IFERROR(INDEX(电梯片区,MATCH($E151,电梯键,0)),""))</f>
        <v/>
      </c>
      <c r="C151" s="24"/>
      <c r="D151" s="24"/>
      <c r="E151" s="30" t="str">
        <f aca="false">IF($C151="","",$C151&amp;" ｜ "&amp;$D151)</f>
        <v/>
      </c>
      <c r="F151" s="25"/>
      <c r="G151" s="25"/>
      <c r="H151" s="33"/>
      <c r="I151" s="33"/>
      <c r="J151" s="32"/>
      <c r="K151" s="38" t="str">
        <f aca="false">IF($C151="","",SUMIF(电梯键,$E151,电梯台量))</f>
        <v/>
      </c>
      <c r="L151" s="39"/>
      <c r="M151" s="25"/>
      <c r="N151" s="25"/>
      <c r="O151" s="38" t="str">
        <f aca="false">IF($C151="","",SUMIFS(电梯台量,电梯键,$E151,电梯状态,"安装免保")+SUMIFS(电梯台量,电梯键,$E151,电梯状态,"技术免保")+SUMIFS(电梯台量,电梯键,$E151,电梯状态,"质保期内"))</f>
        <v/>
      </c>
      <c r="P151" s="38" t="str">
        <f aca="false">IF($C151="","",$K151-$O151)</f>
        <v/>
      </c>
      <c r="Q151" s="34" t="str">
        <f aca="true">IF($C151="","",IF($G151="已终止","",IF($I151="","▲没填合同止期",IF($I151&lt;TODAY(),"已到期 "&amp;TEXT(TODAY()-$I151,"0")&amp;" 天",IF($I151-TODAY()&lt;=合同提醒天,"将到期 "&amp;TEXT($I151-TODAY(),"0")&amp;" 天","")))))</f>
        <v/>
      </c>
      <c r="R151" s="34" t="str">
        <f aca="false">IF($C151="","",IF($G151="","▲合同状态没选",IF(OR($G151="已签未回",$G151="未签",$G151="续签中"),"▲合同未回（"&amp;$G151&amp;"）","")))</f>
        <v/>
      </c>
      <c r="S151" s="35" t="str">
        <f aca="false">IF($C151="","",IF(N($J151)=N($K151),"一致","★合同"&amp;TEXT(N($J151),"0")&amp;"台 / 在册"&amp;TEXT(N($K151),"0")&amp;"台"))</f>
        <v/>
      </c>
      <c r="T151" s="40" t="str">
        <f aca="false">IF($C151="","",ROUND(SUMIFS(应收金额,应收键,$E151,应收年度,管理年度),2))</f>
        <v/>
      </c>
      <c r="U151" s="40" t="str">
        <f aca="false">IF($C151="","",ROUND(SUMIFS(收款金额,收款键,$E151,收款年度,管理年度),2))</f>
        <v/>
      </c>
      <c r="V151" s="41" t="str">
        <f aca="false">IF($C151="","",ROUND(SUMIF(应收键,$E151,应收金额)-SUMIF(收款键,$E151,收款金额),2))</f>
        <v/>
      </c>
      <c r="W151" s="24"/>
      <c r="X151" s="35" t="str">
        <f aca="false">IF($C151="","",IF($D151="","★项目名称没填",IF(COUNTIF($E$5:$E$304,$E151)&gt;1,"★键重复",IF(AND($H151&lt;&gt;"",$I151&lt;&gt;"",$I151&lt;$H151),"★合同起止反了",IF(N($K151)=0,"★电梯资料里没有这个项目","OK")))))</f>
        <v/>
      </c>
    </row>
    <row r="152" customFormat="false" ht="15" hidden="false" customHeight="false" outlineLevel="0" collapsed="false">
      <c r="A152" s="29" t="str">
        <f aca="false">IF($C152="","",ROW()-4)</f>
        <v/>
      </c>
      <c r="B152" s="35" t="str">
        <f aca="false">IF($C152="","",IFERROR(INDEX(电梯片区,MATCH($E152,电梯键,0)),""))</f>
        <v/>
      </c>
      <c r="C152" s="24"/>
      <c r="D152" s="24"/>
      <c r="E152" s="30" t="str">
        <f aca="false">IF($C152="","",$C152&amp;" ｜ "&amp;$D152)</f>
        <v/>
      </c>
      <c r="F152" s="25"/>
      <c r="G152" s="25"/>
      <c r="H152" s="33"/>
      <c r="I152" s="33"/>
      <c r="J152" s="32"/>
      <c r="K152" s="38" t="str">
        <f aca="false">IF($C152="","",SUMIF(电梯键,$E152,电梯台量))</f>
        <v/>
      </c>
      <c r="L152" s="39"/>
      <c r="M152" s="25"/>
      <c r="N152" s="25"/>
      <c r="O152" s="38" t="str">
        <f aca="false">IF($C152="","",SUMIFS(电梯台量,电梯键,$E152,电梯状态,"安装免保")+SUMIFS(电梯台量,电梯键,$E152,电梯状态,"技术免保")+SUMIFS(电梯台量,电梯键,$E152,电梯状态,"质保期内"))</f>
        <v/>
      </c>
      <c r="P152" s="38" t="str">
        <f aca="false">IF($C152="","",$K152-$O152)</f>
        <v/>
      </c>
      <c r="Q152" s="34" t="str">
        <f aca="true">IF($C152="","",IF($G152="已终止","",IF($I152="","▲没填合同止期",IF($I152&lt;TODAY(),"已到期 "&amp;TEXT(TODAY()-$I152,"0")&amp;" 天",IF($I152-TODAY()&lt;=合同提醒天,"将到期 "&amp;TEXT($I152-TODAY(),"0")&amp;" 天","")))))</f>
        <v/>
      </c>
      <c r="R152" s="34" t="str">
        <f aca="false">IF($C152="","",IF($G152="","▲合同状态没选",IF(OR($G152="已签未回",$G152="未签",$G152="续签中"),"▲合同未回（"&amp;$G152&amp;"）","")))</f>
        <v/>
      </c>
      <c r="S152" s="35" t="str">
        <f aca="false">IF($C152="","",IF(N($J152)=N($K152),"一致","★合同"&amp;TEXT(N($J152),"0")&amp;"台 / 在册"&amp;TEXT(N($K152),"0")&amp;"台"))</f>
        <v/>
      </c>
      <c r="T152" s="40" t="str">
        <f aca="false">IF($C152="","",ROUND(SUMIFS(应收金额,应收键,$E152,应收年度,管理年度),2))</f>
        <v/>
      </c>
      <c r="U152" s="40" t="str">
        <f aca="false">IF($C152="","",ROUND(SUMIFS(收款金额,收款键,$E152,收款年度,管理年度),2))</f>
        <v/>
      </c>
      <c r="V152" s="41" t="str">
        <f aca="false">IF($C152="","",ROUND(SUMIF(应收键,$E152,应收金额)-SUMIF(收款键,$E152,收款金额),2))</f>
        <v/>
      </c>
      <c r="W152" s="24"/>
      <c r="X152" s="35" t="str">
        <f aca="false">IF($C152="","",IF($D152="","★项目名称没填",IF(COUNTIF($E$5:$E$304,$E152)&gt;1,"★键重复",IF(AND($H152&lt;&gt;"",$I152&lt;&gt;"",$I152&lt;$H152),"★合同起止反了",IF(N($K152)=0,"★电梯资料里没有这个项目","OK")))))</f>
        <v/>
      </c>
    </row>
    <row r="153" customFormat="false" ht="15" hidden="false" customHeight="false" outlineLevel="0" collapsed="false">
      <c r="A153" s="29" t="str">
        <f aca="false">IF($C153="","",ROW()-4)</f>
        <v/>
      </c>
      <c r="B153" s="35" t="str">
        <f aca="false">IF($C153="","",IFERROR(INDEX(电梯片区,MATCH($E153,电梯键,0)),""))</f>
        <v/>
      </c>
      <c r="C153" s="24"/>
      <c r="D153" s="24"/>
      <c r="E153" s="30" t="str">
        <f aca="false">IF($C153="","",$C153&amp;" ｜ "&amp;$D153)</f>
        <v/>
      </c>
      <c r="F153" s="25"/>
      <c r="G153" s="25"/>
      <c r="H153" s="33"/>
      <c r="I153" s="33"/>
      <c r="J153" s="32"/>
      <c r="K153" s="38" t="str">
        <f aca="false">IF($C153="","",SUMIF(电梯键,$E153,电梯台量))</f>
        <v/>
      </c>
      <c r="L153" s="39"/>
      <c r="M153" s="25"/>
      <c r="N153" s="25"/>
      <c r="O153" s="38" t="str">
        <f aca="false">IF($C153="","",SUMIFS(电梯台量,电梯键,$E153,电梯状态,"安装免保")+SUMIFS(电梯台量,电梯键,$E153,电梯状态,"技术免保")+SUMIFS(电梯台量,电梯键,$E153,电梯状态,"质保期内"))</f>
        <v/>
      </c>
      <c r="P153" s="38" t="str">
        <f aca="false">IF($C153="","",$K153-$O153)</f>
        <v/>
      </c>
      <c r="Q153" s="34" t="str">
        <f aca="true">IF($C153="","",IF($G153="已终止","",IF($I153="","▲没填合同止期",IF($I153&lt;TODAY(),"已到期 "&amp;TEXT(TODAY()-$I153,"0")&amp;" 天",IF($I153-TODAY()&lt;=合同提醒天,"将到期 "&amp;TEXT($I153-TODAY(),"0")&amp;" 天","")))))</f>
        <v/>
      </c>
      <c r="R153" s="34" t="str">
        <f aca="false">IF($C153="","",IF($G153="","▲合同状态没选",IF(OR($G153="已签未回",$G153="未签",$G153="续签中"),"▲合同未回（"&amp;$G153&amp;"）","")))</f>
        <v/>
      </c>
      <c r="S153" s="35" t="str">
        <f aca="false">IF($C153="","",IF(N($J153)=N($K153),"一致","★合同"&amp;TEXT(N($J153),"0")&amp;"台 / 在册"&amp;TEXT(N($K153),"0")&amp;"台"))</f>
        <v/>
      </c>
      <c r="T153" s="40" t="str">
        <f aca="false">IF($C153="","",ROUND(SUMIFS(应收金额,应收键,$E153,应收年度,管理年度),2))</f>
        <v/>
      </c>
      <c r="U153" s="40" t="str">
        <f aca="false">IF($C153="","",ROUND(SUMIFS(收款金额,收款键,$E153,收款年度,管理年度),2))</f>
        <v/>
      </c>
      <c r="V153" s="41" t="str">
        <f aca="false">IF($C153="","",ROUND(SUMIF(应收键,$E153,应收金额)-SUMIF(收款键,$E153,收款金额),2))</f>
        <v/>
      </c>
      <c r="W153" s="24"/>
      <c r="X153" s="35" t="str">
        <f aca="false">IF($C153="","",IF($D153="","★项目名称没填",IF(COUNTIF($E$5:$E$304,$E153)&gt;1,"★键重复",IF(AND($H153&lt;&gt;"",$I153&lt;&gt;"",$I153&lt;$H153),"★合同起止反了",IF(N($K153)=0,"★电梯资料里没有这个项目","OK")))))</f>
        <v/>
      </c>
    </row>
    <row r="154" customFormat="false" ht="15" hidden="false" customHeight="false" outlineLevel="0" collapsed="false">
      <c r="A154" s="29" t="str">
        <f aca="false">IF($C154="","",ROW()-4)</f>
        <v/>
      </c>
      <c r="B154" s="35" t="str">
        <f aca="false">IF($C154="","",IFERROR(INDEX(电梯片区,MATCH($E154,电梯键,0)),""))</f>
        <v/>
      </c>
      <c r="C154" s="24"/>
      <c r="D154" s="24"/>
      <c r="E154" s="30" t="str">
        <f aca="false">IF($C154="","",$C154&amp;" ｜ "&amp;$D154)</f>
        <v/>
      </c>
      <c r="F154" s="25"/>
      <c r="G154" s="25"/>
      <c r="H154" s="33"/>
      <c r="I154" s="33"/>
      <c r="J154" s="32"/>
      <c r="K154" s="38" t="str">
        <f aca="false">IF($C154="","",SUMIF(电梯键,$E154,电梯台量))</f>
        <v/>
      </c>
      <c r="L154" s="39"/>
      <c r="M154" s="25"/>
      <c r="N154" s="25"/>
      <c r="O154" s="38" t="str">
        <f aca="false">IF($C154="","",SUMIFS(电梯台量,电梯键,$E154,电梯状态,"安装免保")+SUMIFS(电梯台量,电梯键,$E154,电梯状态,"技术免保")+SUMIFS(电梯台量,电梯键,$E154,电梯状态,"质保期内"))</f>
        <v/>
      </c>
      <c r="P154" s="38" t="str">
        <f aca="false">IF($C154="","",$K154-$O154)</f>
        <v/>
      </c>
      <c r="Q154" s="34" t="str">
        <f aca="true">IF($C154="","",IF($G154="已终止","",IF($I154="","▲没填合同止期",IF($I154&lt;TODAY(),"已到期 "&amp;TEXT(TODAY()-$I154,"0")&amp;" 天",IF($I154-TODAY()&lt;=合同提醒天,"将到期 "&amp;TEXT($I154-TODAY(),"0")&amp;" 天","")))))</f>
        <v/>
      </c>
      <c r="R154" s="34" t="str">
        <f aca="false">IF($C154="","",IF($G154="","▲合同状态没选",IF(OR($G154="已签未回",$G154="未签",$G154="续签中"),"▲合同未回（"&amp;$G154&amp;"）","")))</f>
        <v/>
      </c>
      <c r="S154" s="35" t="str">
        <f aca="false">IF($C154="","",IF(N($J154)=N($K154),"一致","★合同"&amp;TEXT(N($J154),"0")&amp;"台 / 在册"&amp;TEXT(N($K154),"0")&amp;"台"))</f>
        <v/>
      </c>
      <c r="T154" s="40" t="str">
        <f aca="false">IF($C154="","",ROUND(SUMIFS(应收金额,应收键,$E154,应收年度,管理年度),2))</f>
        <v/>
      </c>
      <c r="U154" s="40" t="str">
        <f aca="false">IF($C154="","",ROUND(SUMIFS(收款金额,收款键,$E154,收款年度,管理年度),2))</f>
        <v/>
      </c>
      <c r="V154" s="41" t="str">
        <f aca="false">IF($C154="","",ROUND(SUMIF(应收键,$E154,应收金额)-SUMIF(收款键,$E154,收款金额),2))</f>
        <v/>
      </c>
      <c r="W154" s="24"/>
      <c r="X154" s="35" t="str">
        <f aca="false">IF($C154="","",IF($D154="","★项目名称没填",IF(COUNTIF($E$5:$E$304,$E154)&gt;1,"★键重复",IF(AND($H154&lt;&gt;"",$I154&lt;&gt;"",$I154&lt;$H154),"★合同起止反了",IF(N($K154)=0,"★电梯资料里没有这个项目","OK")))))</f>
        <v/>
      </c>
    </row>
    <row r="155" customFormat="false" ht="15" hidden="false" customHeight="false" outlineLevel="0" collapsed="false">
      <c r="A155" s="29" t="str">
        <f aca="false">IF($C155="","",ROW()-4)</f>
        <v/>
      </c>
      <c r="B155" s="35" t="str">
        <f aca="false">IF($C155="","",IFERROR(INDEX(电梯片区,MATCH($E155,电梯键,0)),""))</f>
        <v/>
      </c>
      <c r="C155" s="24"/>
      <c r="D155" s="24"/>
      <c r="E155" s="30" t="str">
        <f aca="false">IF($C155="","",$C155&amp;" ｜ "&amp;$D155)</f>
        <v/>
      </c>
      <c r="F155" s="25"/>
      <c r="G155" s="25"/>
      <c r="H155" s="33"/>
      <c r="I155" s="33"/>
      <c r="J155" s="32"/>
      <c r="K155" s="38" t="str">
        <f aca="false">IF($C155="","",SUMIF(电梯键,$E155,电梯台量))</f>
        <v/>
      </c>
      <c r="L155" s="39"/>
      <c r="M155" s="25"/>
      <c r="N155" s="25"/>
      <c r="O155" s="38" t="str">
        <f aca="false">IF($C155="","",SUMIFS(电梯台量,电梯键,$E155,电梯状态,"安装免保")+SUMIFS(电梯台量,电梯键,$E155,电梯状态,"技术免保")+SUMIFS(电梯台量,电梯键,$E155,电梯状态,"质保期内"))</f>
        <v/>
      </c>
      <c r="P155" s="38" t="str">
        <f aca="false">IF($C155="","",$K155-$O155)</f>
        <v/>
      </c>
      <c r="Q155" s="34" t="str">
        <f aca="true">IF($C155="","",IF($G155="已终止","",IF($I155="","▲没填合同止期",IF($I155&lt;TODAY(),"已到期 "&amp;TEXT(TODAY()-$I155,"0")&amp;" 天",IF($I155-TODAY()&lt;=合同提醒天,"将到期 "&amp;TEXT($I155-TODAY(),"0")&amp;" 天","")))))</f>
        <v/>
      </c>
      <c r="R155" s="34" t="str">
        <f aca="false">IF($C155="","",IF($G155="","▲合同状态没选",IF(OR($G155="已签未回",$G155="未签",$G155="续签中"),"▲合同未回（"&amp;$G155&amp;"）","")))</f>
        <v/>
      </c>
      <c r="S155" s="35" t="str">
        <f aca="false">IF($C155="","",IF(N($J155)=N($K155),"一致","★合同"&amp;TEXT(N($J155),"0")&amp;"台 / 在册"&amp;TEXT(N($K155),"0")&amp;"台"))</f>
        <v/>
      </c>
      <c r="T155" s="40" t="str">
        <f aca="false">IF($C155="","",ROUND(SUMIFS(应收金额,应收键,$E155,应收年度,管理年度),2))</f>
        <v/>
      </c>
      <c r="U155" s="40" t="str">
        <f aca="false">IF($C155="","",ROUND(SUMIFS(收款金额,收款键,$E155,收款年度,管理年度),2))</f>
        <v/>
      </c>
      <c r="V155" s="41" t="str">
        <f aca="false">IF($C155="","",ROUND(SUMIF(应收键,$E155,应收金额)-SUMIF(收款键,$E155,收款金额),2))</f>
        <v/>
      </c>
      <c r="W155" s="24"/>
      <c r="X155" s="35" t="str">
        <f aca="false">IF($C155="","",IF($D155="","★项目名称没填",IF(COUNTIF($E$5:$E$304,$E155)&gt;1,"★键重复",IF(AND($H155&lt;&gt;"",$I155&lt;&gt;"",$I155&lt;$H155),"★合同起止反了",IF(N($K155)=0,"★电梯资料里没有这个项目","OK")))))</f>
        <v/>
      </c>
    </row>
    <row r="156" customFormat="false" ht="15" hidden="false" customHeight="false" outlineLevel="0" collapsed="false">
      <c r="A156" s="29" t="str">
        <f aca="false">IF($C156="","",ROW()-4)</f>
        <v/>
      </c>
      <c r="B156" s="35" t="str">
        <f aca="false">IF($C156="","",IFERROR(INDEX(电梯片区,MATCH($E156,电梯键,0)),""))</f>
        <v/>
      </c>
      <c r="C156" s="24"/>
      <c r="D156" s="24"/>
      <c r="E156" s="30" t="str">
        <f aca="false">IF($C156="","",$C156&amp;" ｜ "&amp;$D156)</f>
        <v/>
      </c>
      <c r="F156" s="25"/>
      <c r="G156" s="25"/>
      <c r="H156" s="33"/>
      <c r="I156" s="33"/>
      <c r="J156" s="32"/>
      <c r="K156" s="38" t="str">
        <f aca="false">IF($C156="","",SUMIF(电梯键,$E156,电梯台量))</f>
        <v/>
      </c>
      <c r="L156" s="39"/>
      <c r="M156" s="25"/>
      <c r="N156" s="25"/>
      <c r="O156" s="38" t="str">
        <f aca="false">IF($C156="","",SUMIFS(电梯台量,电梯键,$E156,电梯状态,"安装免保")+SUMIFS(电梯台量,电梯键,$E156,电梯状态,"技术免保")+SUMIFS(电梯台量,电梯键,$E156,电梯状态,"质保期内"))</f>
        <v/>
      </c>
      <c r="P156" s="38" t="str">
        <f aca="false">IF($C156="","",$K156-$O156)</f>
        <v/>
      </c>
      <c r="Q156" s="34" t="str">
        <f aca="true">IF($C156="","",IF($G156="已终止","",IF($I156="","▲没填合同止期",IF($I156&lt;TODAY(),"已到期 "&amp;TEXT(TODAY()-$I156,"0")&amp;" 天",IF($I156-TODAY()&lt;=合同提醒天,"将到期 "&amp;TEXT($I156-TODAY(),"0")&amp;" 天","")))))</f>
        <v/>
      </c>
      <c r="R156" s="34" t="str">
        <f aca="false">IF($C156="","",IF($G156="","▲合同状态没选",IF(OR($G156="已签未回",$G156="未签",$G156="续签中"),"▲合同未回（"&amp;$G156&amp;"）","")))</f>
        <v/>
      </c>
      <c r="S156" s="35" t="str">
        <f aca="false">IF($C156="","",IF(N($J156)=N($K156),"一致","★合同"&amp;TEXT(N($J156),"0")&amp;"台 / 在册"&amp;TEXT(N($K156),"0")&amp;"台"))</f>
        <v/>
      </c>
      <c r="T156" s="40" t="str">
        <f aca="false">IF($C156="","",ROUND(SUMIFS(应收金额,应收键,$E156,应收年度,管理年度),2))</f>
        <v/>
      </c>
      <c r="U156" s="40" t="str">
        <f aca="false">IF($C156="","",ROUND(SUMIFS(收款金额,收款键,$E156,收款年度,管理年度),2))</f>
        <v/>
      </c>
      <c r="V156" s="41" t="str">
        <f aca="false">IF($C156="","",ROUND(SUMIF(应收键,$E156,应收金额)-SUMIF(收款键,$E156,收款金额),2))</f>
        <v/>
      </c>
      <c r="W156" s="24"/>
      <c r="X156" s="35" t="str">
        <f aca="false">IF($C156="","",IF($D156="","★项目名称没填",IF(COUNTIF($E$5:$E$304,$E156)&gt;1,"★键重复",IF(AND($H156&lt;&gt;"",$I156&lt;&gt;"",$I156&lt;$H156),"★合同起止反了",IF(N($K156)=0,"★电梯资料里没有这个项目","OK")))))</f>
        <v/>
      </c>
    </row>
    <row r="157" customFormat="false" ht="15" hidden="false" customHeight="false" outlineLevel="0" collapsed="false">
      <c r="A157" s="29" t="str">
        <f aca="false">IF($C157="","",ROW()-4)</f>
        <v/>
      </c>
      <c r="B157" s="35" t="str">
        <f aca="false">IF($C157="","",IFERROR(INDEX(电梯片区,MATCH($E157,电梯键,0)),""))</f>
        <v/>
      </c>
      <c r="C157" s="24"/>
      <c r="D157" s="24"/>
      <c r="E157" s="30" t="str">
        <f aca="false">IF($C157="","",$C157&amp;" ｜ "&amp;$D157)</f>
        <v/>
      </c>
      <c r="F157" s="25"/>
      <c r="G157" s="25"/>
      <c r="H157" s="33"/>
      <c r="I157" s="33"/>
      <c r="J157" s="32"/>
      <c r="K157" s="38" t="str">
        <f aca="false">IF($C157="","",SUMIF(电梯键,$E157,电梯台量))</f>
        <v/>
      </c>
      <c r="L157" s="39"/>
      <c r="M157" s="25"/>
      <c r="N157" s="25"/>
      <c r="O157" s="38" t="str">
        <f aca="false">IF($C157="","",SUMIFS(电梯台量,电梯键,$E157,电梯状态,"安装免保")+SUMIFS(电梯台量,电梯键,$E157,电梯状态,"技术免保")+SUMIFS(电梯台量,电梯键,$E157,电梯状态,"质保期内"))</f>
        <v/>
      </c>
      <c r="P157" s="38" t="str">
        <f aca="false">IF($C157="","",$K157-$O157)</f>
        <v/>
      </c>
      <c r="Q157" s="34" t="str">
        <f aca="true">IF($C157="","",IF($G157="已终止","",IF($I157="","▲没填合同止期",IF($I157&lt;TODAY(),"已到期 "&amp;TEXT(TODAY()-$I157,"0")&amp;" 天",IF($I157-TODAY()&lt;=合同提醒天,"将到期 "&amp;TEXT($I157-TODAY(),"0")&amp;" 天","")))))</f>
        <v/>
      </c>
      <c r="R157" s="34" t="str">
        <f aca="false">IF($C157="","",IF($G157="","▲合同状态没选",IF(OR($G157="已签未回",$G157="未签",$G157="续签中"),"▲合同未回（"&amp;$G157&amp;"）","")))</f>
        <v/>
      </c>
      <c r="S157" s="35" t="str">
        <f aca="false">IF($C157="","",IF(N($J157)=N($K157),"一致","★合同"&amp;TEXT(N($J157),"0")&amp;"台 / 在册"&amp;TEXT(N($K157),"0")&amp;"台"))</f>
        <v/>
      </c>
      <c r="T157" s="40" t="str">
        <f aca="false">IF($C157="","",ROUND(SUMIFS(应收金额,应收键,$E157,应收年度,管理年度),2))</f>
        <v/>
      </c>
      <c r="U157" s="40" t="str">
        <f aca="false">IF($C157="","",ROUND(SUMIFS(收款金额,收款键,$E157,收款年度,管理年度),2))</f>
        <v/>
      </c>
      <c r="V157" s="41" t="str">
        <f aca="false">IF($C157="","",ROUND(SUMIF(应收键,$E157,应收金额)-SUMIF(收款键,$E157,收款金额),2))</f>
        <v/>
      </c>
      <c r="W157" s="24"/>
      <c r="X157" s="35" t="str">
        <f aca="false">IF($C157="","",IF($D157="","★项目名称没填",IF(COUNTIF($E$5:$E$304,$E157)&gt;1,"★键重复",IF(AND($H157&lt;&gt;"",$I157&lt;&gt;"",$I157&lt;$H157),"★合同起止反了",IF(N($K157)=0,"★电梯资料里没有这个项目","OK")))))</f>
        <v/>
      </c>
    </row>
    <row r="158" customFormat="false" ht="15" hidden="false" customHeight="false" outlineLevel="0" collapsed="false">
      <c r="A158" s="29" t="str">
        <f aca="false">IF($C158="","",ROW()-4)</f>
        <v/>
      </c>
      <c r="B158" s="35" t="str">
        <f aca="false">IF($C158="","",IFERROR(INDEX(电梯片区,MATCH($E158,电梯键,0)),""))</f>
        <v/>
      </c>
      <c r="C158" s="24"/>
      <c r="D158" s="24"/>
      <c r="E158" s="30" t="str">
        <f aca="false">IF($C158="","",$C158&amp;" ｜ "&amp;$D158)</f>
        <v/>
      </c>
      <c r="F158" s="25"/>
      <c r="G158" s="25"/>
      <c r="H158" s="33"/>
      <c r="I158" s="33"/>
      <c r="J158" s="32"/>
      <c r="K158" s="38" t="str">
        <f aca="false">IF($C158="","",SUMIF(电梯键,$E158,电梯台量))</f>
        <v/>
      </c>
      <c r="L158" s="39"/>
      <c r="M158" s="25"/>
      <c r="N158" s="25"/>
      <c r="O158" s="38" t="str">
        <f aca="false">IF($C158="","",SUMIFS(电梯台量,电梯键,$E158,电梯状态,"安装免保")+SUMIFS(电梯台量,电梯键,$E158,电梯状态,"技术免保")+SUMIFS(电梯台量,电梯键,$E158,电梯状态,"质保期内"))</f>
        <v/>
      </c>
      <c r="P158" s="38" t="str">
        <f aca="false">IF($C158="","",$K158-$O158)</f>
        <v/>
      </c>
      <c r="Q158" s="34" t="str">
        <f aca="true">IF($C158="","",IF($G158="已终止","",IF($I158="","▲没填合同止期",IF($I158&lt;TODAY(),"已到期 "&amp;TEXT(TODAY()-$I158,"0")&amp;" 天",IF($I158-TODAY()&lt;=合同提醒天,"将到期 "&amp;TEXT($I158-TODAY(),"0")&amp;" 天","")))))</f>
        <v/>
      </c>
      <c r="R158" s="34" t="str">
        <f aca="false">IF($C158="","",IF($G158="","▲合同状态没选",IF(OR($G158="已签未回",$G158="未签",$G158="续签中"),"▲合同未回（"&amp;$G158&amp;"）","")))</f>
        <v/>
      </c>
      <c r="S158" s="35" t="str">
        <f aca="false">IF($C158="","",IF(N($J158)=N($K158),"一致","★合同"&amp;TEXT(N($J158),"0")&amp;"台 / 在册"&amp;TEXT(N($K158),"0")&amp;"台"))</f>
        <v/>
      </c>
      <c r="T158" s="40" t="str">
        <f aca="false">IF($C158="","",ROUND(SUMIFS(应收金额,应收键,$E158,应收年度,管理年度),2))</f>
        <v/>
      </c>
      <c r="U158" s="40" t="str">
        <f aca="false">IF($C158="","",ROUND(SUMIFS(收款金额,收款键,$E158,收款年度,管理年度),2))</f>
        <v/>
      </c>
      <c r="V158" s="41" t="str">
        <f aca="false">IF($C158="","",ROUND(SUMIF(应收键,$E158,应收金额)-SUMIF(收款键,$E158,收款金额),2))</f>
        <v/>
      </c>
      <c r="W158" s="24"/>
      <c r="X158" s="35" t="str">
        <f aca="false">IF($C158="","",IF($D158="","★项目名称没填",IF(COUNTIF($E$5:$E$304,$E158)&gt;1,"★键重复",IF(AND($H158&lt;&gt;"",$I158&lt;&gt;"",$I158&lt;$H158),"★合同起止反了",IF(N($K158)=0,"★电梯资料里没有这个项目","OK")))))</f>
        <v/>
      </c>
    </row>
    <row r="159" customFormat="false" ht="15" hidden="false" customHeight="false" outlineLevel="0" collapsed="false">
      <c r="A159" s="29" t="str">
        <f aca="false">IF($C159="","",ROW()-4)</f>
        <v/>
      </c>
      <c r="B159" s="35" t="str">
        <f aca="false">IF($C159="","",IFERROR(INDEX(电梯片区,MATCH($E159,电梯键,0)),""))</f>
        <v/>
      </c>
      <c r="C159" s="24"/>
      <c r="D159" s="24"/>
      <c r="E159" s="30" t="str">
        <f aca="false">IF($C159="","",$C159&amp;" ｜ "&amp;$D159)</f>
        <v/>
      </c>
      <c r="F159" s="25"/>
      <c r="G159" s="25"/>
      <c r="H159" s="33"/>
      <c r="I159" s="33"/>
      <c r="J159" s="32"/>
      <c r="K159" s="38" t="str">
        <f aca="false">IF($C159="","",SUMIF(电梯键,$E159,电梯台量))</f>
        <v/>
      </c>
      <c r="L159" s="39"/>
      <c r="M159" s="25"/>
      <c r="N159" s="25"/>
      <c r="O159" s="38" t="str">
        <f aca="false">IF($C159="","",SUMIFS(电梯台量,电梯键,$E159,电梯状态,"安装免保")+SUMIFS(电梯台量,电梯键,$E159,电梯状态,"技术免保")+SUMIFS(电梯台量,电梯键,$E159,电梯状态,"质保期内"))</f>
        <v/>
      </c>
      <c r="P159" s="38" t="str">
        <f aca="false">IF($C159="","",$K159-$O159)</f>
        <v/>
      </c>
      <c r="Q159" s="34" t="str">
        <f aca="true">IF($C159="","",IF($G159="已终止","",IF($I159="","▲没填合同止期",IF($I159&lt;TODAY(),"已到期 "&amp;TEXT(TODAY()-$I159,"0")&amp;" 天",IF($I159-TODAY()&lt;=合同提醒天,"将到期 "&amp;TEXT($I159-TODAY(),"0")&amp;" 天","")))))</f>
        <v/>
      </c>
      <c r="R159" s="34" t="str">
        <f aca="false">IF($C159="","",IF($G159="","▲合同状态没选",IF(OR($G159="已签未回",$G159="未签",$G159="续签中"),"▲合同未回（"&amp;$G159&amp;"）","")))</f>
        <v/>
      </c>
      <c r="S159" s="35" t="str">
        <f aca="false">IF($C159="","",IF(N($J159)=N($K159),"一致","★合同"&amp;TEXT(N($J159),"0")&amp;"台 / 在册"&amp;TEXT(N($K159),"0")&amp;"台"))</f>
        <v/>
      </c>
      <c r="T159" s="40" t="str">
        <f aca="false">IF($C159="","",ROUND(SUMIFS(应收金额,应收键,$E159,应收年度,管理年度),2))</f>
        <v/>
      </c>
      <c r="U159" s="40" t="str">
        <f aca="false">IF($C159="","",ROUND(SUMIFS(收款金额,收款键,$E159,收款年度,管理年度),2))</f>
        <v/>
      </c>
      <c r="V159" s="41" t="str">
        <f aca="false">IF($C159="","",ROUND(SUMIF(应收键,$E159,应收金额)-SUMIF(收款键,$E159,收款金额),2))</f>
        <v/>
      </c>
      <c r="W159" s="24"/>
      <c r="X159" s="35" t="str">
        <f aca="false">IF($C159="","",IF($D159="","★项目名称没填",IF(COUNTIF($E$5:$E$304,$E159)&gt;1,"★键重复",IF(AND($H159&lt;&gt;"",$I159&lt;&gt;"",$I159&lt;$H159),"★合同起止反了",IF(N($K159)=0,"★电梯资料里没有这个项目","OK")))))</f>
        <v/>
      </c>
    </row>
    <row r="160" customFormat="false" ht="15" hidden="false" customHeight="false" outlineLevel="0" collapsed="false">
      <c r="A160" s="29" t="str">
        <f aca="false">IF($C160="","",ROW()-4)</f>
        <v/>
      </c>
      <c r="B160" s="35" t="str">
        <f aca="false">IF($C160="","",IFERROR(INDEX(电梯片区,MATCH($E160,电梯键,0)),""))</f>
        <v/>
      </c>
      <c r="C160" s="24"/>
      <c r="D160" s="24"/>
      <c r="E160" s="30" t="str">
        <f aca="false">IF($C160="","",$C160&amp;" ｜ "&amp;$D160)</f>
        <v/>
      </c>
      <c r="F160" s="25"/>
      <c r="G160" s="25"/>
      <c r="H160" s="33"/>
      <c r="I160" s="33"/>
      <c r="J160" s="32"/>
      <c r="K160" s="38" t="str">
        <f aca="false">IF($C160="","",SUMIF(电梯键,$E160,电梯台量))</f>
        <v/>
      </c>
      <c r="L160" s="39"/>
      <c r="M160" s="25"/>
      <c r="N160" s="25"/>
      <c r="O160" s="38" t="str">
        <f aca="false">IF($C160="","",SUMIFS(电梯台量,电梯键,$E160,电梯状态,"安装免保")+SUMIFS(电梯台量,电梯键,$E160,电梯状态,"技术免保")+SUMIFS(电梯台量,电梯键,$E160,电梯状态,"质保期内"))</f>
        <v/>
      </c>
      <c r="P160" s="38" t="str">
        <f aca="false">IF($C160="","",$K160-$O160)</f>
        <v/>
      </c>
      <c r="Q160" s="34" t="str">
        <f aca="true">IF($C160="","",IF($G160="已终止","",IF($I160="","▲没填合同止期",IF($I160&lt;TODAY(),"已到期 "&amp;TEXT(TODAY()-$I160,"0")&amp;" 天",IF($I160-TODAY()&lt;=合同提醒天,"将到期 "&amp;TEXT($I160-TODAY(),"0")&amp;" 天","")))))</f>
        <v/>
      </c>
      <c r="R160" s="34" t="str">
        <f aca="false">IF($C160="","",IF($G160="","▲合同状态没选",IF(OR($G160="已签未回",$G160="未签",$G160="续签中"),"▲合同未回（"&amp;$G160&amp;"）","")))</f>
        <v/>
      </c>
      <c r="S160" s="35" t="str">
        <f aca="false">IF($C160="","",IF(N($J160)=N($K160),"一致","★合同"&amp;TEXT(N($J160),"0")&amp;"台 / 在册"&amp;TEXT(N($K160),"0")&amp;"台"))</f>
        <v/>
      </c>
      <c r="T160" s="40" t="str">
        <f aca="false">IF($C160="","",ROUND(SUMIFS(应收金额,应收键,$E160,应收年度,管理年度),2))</f>
        <v/>
      </c>
      <c r="U160" s="40" t="str">
        <f aca="false">IF($C160="","",ROUND(SUMIFS(收款金额,收款键,$E160,收款年度,管理年度),2))</f>
        <v/>
      </c>
      <c r="V160" s="41" t="str">
        <f aca="false">IF($C160="","",ROUND(SUMIF(应收键,$E160,应收金额)-SUMIF(收款键,$E160,收款金额),2))</f>
        <v/>
      </c>
      <c r="W160" s="24"/>
      <c r="X160" s="35" t="str">
        <f aca="false">IF($C160="","",IF($D160="","★项目名称没填",IF(COUNTIF($E$5:$E$304,$E160)&gt;1,"★键重复",IF(AND($H160&lt;&gt;"",$I160&lt;&gt;"",$I160&lt;$H160),"★合同起止反了",IF(N($K160)=0,"★电梯资料里没有这个项目","OK")))))</f>
        <v/>
      </c>
    </row>
    <row r="161" customFormat="false" ht="15" hidden="false" customHeight="false" outlineLevel="0" collapsed="false">
      <c r="A161" s="29" t="str">
        <f aca="false">IF($C161="","",ROW()-4)</f>
        <v/>
      </c>
      <c r="B161" s="35" t="str">
        <f aca="false">IF($C161="","",IFERROR(INDEX(电梯片区,MATCH($E161,电梯键,0)),""))</f>
        <v/>
      </c>
      <c r="C161" s="24"/>
      <c r="D161" s="24"/>
      <c r="E161" s="30" t="str">
        <f aca="false">IF($C161="","",$C161&amp;" ｜ "&amp;$D161)</f>
        <v/>
      </c>
      <c r="F161" s="25"/>
      <c r="G161" s="25"/>
      <c r="H161" s="33"/>
      <c r="I161" s="33"/>
      <c r="J161" s="32"/>
      <c r="K161" s="38" t="str">
        <f aca="false">IF($C161="","",SUMIF(电梯键,$E161,电梯台量))</f>
        <v/>
      </c>
      <c r="L161" s="39"/>
      <c r="M161" s="25"/>
      <c r="N161" s="25"/>
      <c r="O161" s="38" t="str">
        <f aca="false">IF($C161="","",SUMIFS(电梯台量,电梯键,$E161,电梯状态,"安装免保")+SUMIFS(电梯台量,电梯键,$E161,电梯状态,"技术免保")+SUMIFS(电梯台量,电梯键,$E161,电梯状态,"质保期内"))</f>
        <v/>
      </c>
      <c r="P161" s="38" t="str">
        <f aca="false">IF($C161="","",$K161-$O161)</f>
        <v/>
      </c>
      <c r="Q161" s="34" t="str">
        <f aca="true">IF($C161="","",IF($G161="已终止","",IF($I161="","▲没填合同止期",IF($I161&lt;TODAY(),"已到期 "&amp;TEXT(TODAY()-$I161,"0")&amp;" 天",IF($I161-TODAY()&lt;=合同提醒天,"将到期 "&amp;TEXT($I161-TODAY(),"0")&amp;" 天","")))))</f>
        <v/>
      </c>
      <c r="R161" s="34" t="str">
        <f aca="false">IF($C161="","",IF($G161="","▲合同状态没选",IF(OR($G161="已签未回",$G161="未签",$G161="续签中"),"▲合同未回（"&amp;$G161&amp;"）","")))</f>
        <v/>
      </c>
      <c r="S161" s="35" t="str">
        <f aca="false">IF($C161="","",IF(N($J161)=N($K161),"一致","★合同"&amp;TEXT(N($J161),"0")&amp;"台 / 在册"&amp;TEXT(N($K161),"0")&amp;"台"))</f>
        <v/>
      </c>
      <c r="T161" s="40" t="str">
        <f aca="false">IF($C161="","",ROUND(SUMIFS(应收金额,应收键,$E161,应收年度,管理年度),2))</f>
        <v/>
      </c>
      <c r="U161" s="40" t="str">
        <f aca="false">IF($C161="","",ROUND(SUMIFS(收款金额,收款键,$E161,收款年度,管理年度),2))</f>
        <v/>
      </c>
      <c r="V161" s="41" t="str">
        <f aca="false">IF($C161="","",ROUND(SUMIF(应收键,$E161,应收金额)-SUMIF(收款键,$E161,收款金额),2))</f>
        <v/>
      </c>
      <c r="W161" s="24"/>
      <c r="X161" s="35" t="str">
        <f aca="false">IF($C161="","",IF($D161="","★项目名称没填",IF(COUNTIF($E$5:$E$304,$E161)&gt;1,"★键重复",IF(AND($H161&lt;&gt;"",$I161&lt;&gt;"",$I161&lt;$H161),"★合同起止反了",IF(N($K161)=0,"★电梯资料里没有这个项目","OK")))))</f>
        <v/>
      </c>
    </row>
    <row r="162" customFormat="false" ht="15" hidden="false" customHeight="false" outlineLevel="0" collapsed="false">
      <c r="A162" s="29" t="str">
        <f aca="false">IF($C162="","",ROW()-4)</f>
        <v/>
      </c>
      <c r="B162" s="35" t="str">
        <f aca="false">IF($C162="","",IFERROR(INDEX(电梯片区,MATCH($E162,电梯键,0)),""))</f>
        <v/>
      </c>
      <c r="C162" s="24"/>
      <c r="D162" s="24"/>
      <c r="E162" s="30" t="str">
        <f aca="false">IF($C162="","",$C162&amp;" ｜ "&amp;$D162)</f>
        <v/>
      </c>
      <c r="F162" s="25"/>
      <c r="G162" s="25"/>
      <c r="H162" s="33"/>
      <c r="I162" s="33"/>
      <c r="J162" s="32"/>
      <c r="K162" s="38" t="str">
        <f aca="false">IF($C162="","",SUMIF(电梯键,$E162,电梯台量))</f>
        <v/>
      </c>
      <c r="L162" s="39"/>
      <c r="M162" s="25"/>
      <c r="N162" s="25"/>
      <c r="O162" s="38" t="str">
        <f aca="false">IF($C162="","",SUMIFS(电梯台量,电梯键,$E162,电梯状态,"安装免保")+SUMIFS(电梯台量,电梯键,$E162,电梯状态,"技术免保")+SUMIFS(电梯台量,电梯键,$E162,电梯状态,"质保期内"))</f>
        <v/>
      </c>
      <c r="P162" s="38" t="str">
        <f aca="false">IF($C162="","",$K162-$O162)</f>
        <v/>
      </c>
      <c r="Q162" s="34" t="str">
        <f aca="true">IF($C162="","",IF($G162="已终止","",IF($I162="","▲没填合同止期",IF($I162&lt;TODAY(),"已到期 "&amp;TEXT(TODAY()-$I162,"0")&amp;" 天",IF($I162-TODAY()&lt;=合同提醒天,"将到期 "&amp;TEXT($I162-TODAY(),"0")&amp;" 天","")))))</f>
        <v/>
      </c>
      <c r="R162" s="34" t="str">
        <f aca="false">IF($C162="","",IF($G162="","▲合同状态没选",IF(OR($G162="已签未回",$G162="未签",$G162="续签中"),"▲合同未回（"&amp;$G162&amp;"）","")))</f>
        <v/>
      </c>
      <c r="S162" s="35" t="str">
        <f aca="false">IF($C162="","",IF(N($J162)=N($K162),"一致","★合同"&amp;TEXT(N($J162),"0")&amp;"台 / 在册"&amp;TEXT(N($K162),"0")&amp;"台"))</f>
        <v/>
      </c>
      <c r="T162" s="40" t="str">
        <f aca="false">IF($C162="","",ROUND(SUMIFS(应收金额,应收键,$E162,应收年度,管理年度),2))</f>
        <v/>
      </c>
      <c r="U162" s="40" t="str">
        <f aca="false">IF($C162="","",ROUND(SUMIFS(收款金额,收款键,$E162,收款年度,管理年度),2))</f>
        <v/>
      </c>
      <c r="V162" s="41" t="str">
        <f aca="false">IF($C162="","",ROUND(SUMIF(应收键,$E162,应收金额)-SUMIF(收款键,$E162,收款金额),2))</f>
        <v/>
      </c>
      <c r="W162" s="24"/>
      <c r="X162" s="35" t="str">
        <f aca="false">IF($C162="","",IF($D162="","★项目名称没填",IF(COUNTIF($E$5:$E$304,$E162)&gt;1,"★键重复",IF(AND($H162&lt;&gt;"",$I162&lt;&gt;"",$I162&lt;$H162),"★合同起止反了",IF(N($K162)=0,"★电梯资料里没有这个项目","OK")))))</f>
        <v/>
      </c>
    </row>
    <row r="163" customFormat="false" ht="15" hidden="false" customHeight="false" outlineLevel="0" collapsed="false">
      <c r="A163" s="29" t="str">
        <f aca="false">IF($C163="","",ROW()-4)</f>
        <v/>
      </c>
      <c r="B163" s="35" t="str">
        <f aca="false">IF($C163="","",IFERROR(INDEX(电梯片区,MATCH($E163,电梯键,0)),""))</f>
        <v/>
      </c>
      <c r="C163" s="24"/>
      <c r="D163" s="24"/>
      <c r="E163" s="30" t="str">
        <f aca="false">IF($C163="","",$C163&amp;" ｜ "&amp;$D163)</f>
        <v/>
      </c>
      <c r="F163" s="25"/>
      <c r="G163" s="25"/>
      <c r="H163" s="33"/>
      <c r="I163" s="33"/>
      <c r="J163" s="32"/>
      <c r="K163" s="38" t="str">
        <f aca="false">IF($C163="","",SUMIF(电梯键,$E163,电梯台量))</f>
        <v/>
      </c>
      <c r="L163" s="39"/>
      <c r="M163" s="25"/>
      <c r="N163" s="25"/>
      <c r="O163" s="38" t="str">
        <f aca="false">IF($C163="","",SUMIFS(电梯台量,电梯键,$E163,电梯状态,"安装免保")+SUMIFS(电梯台量,电梯键,$E163,电梯状态,"技术免保")+SUMIFS(电梯台量,电梯键,$E163,电梯状态,"质保期内"))</f>
        <v/>
      </c>
      <c r="P163" s="38" t="str">
        <f aca="false">IF($C163="","",$K163-$O163)</f>
        <v/>
      </c>
      <c r="Q163" s="34" t="str">
        <f aca="true">IF($C163="","",IF($G163="已终止","",IF($I163="","▲没填合同止期",IF($I163&lt;TODAY(),"已到期 "&amp;TEXT(TODAY()-$I163,"0")&amp;" 天",IF($I163-TODAY()&lt;=合同提醒天,"将到期 "&amp;TEXT($I163-TODAY(),"0")&amp;" 天","")))))</f>
        <v/>
      </c>
      <c r="R163" s="34" t="str">
        <f aca="false">IF($C163="","",IF($G163="","▲合同状态没选",IF(OR($G163="已签未回",$G163="未签",$G163="续签中"),"▲合同未回（"&amp;$G163&amp;"）","")))</f>
        <v/>
      </c>
      <c r="S163" s="35" t="str">
        <f aca="false">IF($C163="","",IF(N($J163)=N($K163),"一致","★合同"&amp;TEXT(N($J163),"0")&amp;"台 / 在册"&amp;TEXT(N($K163),"0")&amp;"台"))</f>
        <v/>
      </c>
      <c r="T163" s="40" t="str">
        <f aca="false">IF($C163="","",ROUND(SUMIFS(应收金额,应收键,$E163,应收年度,管理年度),2))</f>
        <v/>
      </c>
      <c r="U163" s="40" t="str">
        <f aca="false">IF($C163="","",ROUND(SUMIFS(收款金额,收款键,$E163,收款年度,管理年度),2))</f>
        <v/>
      </c>
      <c r="V163" s="41" t="str">
        <f aca="false">IF($C163="","",ROUND(SUMIF(应收键,$E163,应收金额)-SUMIF(收款键,$E163,收款金额),2))</f>
        <v/>
      </c>
      <c r="W163" s="24"/>
      <c r="X163" s="35" t="str">
        <f aca="false">IF($C163="","",IF($D163="","★项目名称没填",IF(COUNTIF($E$5:$E$304,$E163)&gt;1,"★键重复",IF(AND($H163&lt;&gt;"",$I163&lt;&gt;"",$I163&lt;$H163),"★合同起止反了",IF(N($K163)=0,"★电梯资料里没有这个项目","OK")))))</f>
        <v/>
      </c>
    </row>
    <row r="164" customFormat="false" ht="15" hidden="false" customHeight="false" outlineLevel="0" collapsed="false">
      <c r="A164" s="29" t="str">
        <f aca="false">IF($C164="","",ROW()-4)</f>
        <v/>
      </c>
      <c r="B164" s="35" t="str">
        <f aca="false">IF($C164="","",IFERROR(INDEX(电梯片区,MATCH($E164,电梯键,0)),""))</f>
        <v/>
      </c>
      <c r="C164" s="24"/>
      <c r="D164" s="24"/>
      <c r="E164" s="30" t="str">
        <f aca="false">IF($C164="","",$C164&amp;" ｜ "&amp;$D164)</f>
        <v/>
      </c>
      <c r="F164" s="25"/>
      <c r="G164" s="25"/>
      <c r="H164" s="33"/>
      <c r="I164" s="33"/>
      <c r="J164" s="32"/>
      <c r="K164" s="38" t="str">
        <f aca="false">IF($C164="","",SUMIF(电梯键,$E164,电梯台量))</f>
        <v/>
      </c>
      <c r="L164" s="39"/>
      <c r="M164" s="25"/>
      <c r="N164" s="25"/>
      <c r="O164" s="38" t="str">
        <f aca="false">IF($C164="","",SUMIFS(电梯台量,电梯键,$E164,电梯状态,"安装免保")+SUMIFS(电梯台量,电梯键,$E164,电梯状态,"技术免保")+SUMIFS(电梯台量,电梯键,$E164,电梯状态,"质保期内"))</f>
        <v/>
      </c>
      <c r="P164" s="38" t="str">
        <f aca="false">IF($C164="","",$K164-$O164)</f>
        <v/>
      </c>
      <c r="Q164" s="34" t="str">
        <f aca="true">IF($C164="","",IF($G164="已终止","",IF($I164="","▲没填合同止期",IF($I164&lt;TODAY(),"已到期 "&amp;TEXT(TODAY()-$I164,"0")&amp;" 天",IF($I164-TODAY()&lt;=合同提醒天,"将到期 "&amp;TEXT($I164-TODAY(),"0")&amp;" 天","")))))</f>
        <v/>
      </c>
      <c r="R164" s="34" t="str">
        <f aca="false">IF($C164="","",IF($G164="","▲合同状态没选",IF(OR($G164="已签未回",$G164="未签",$G164="续签中"),"▲合同未回（"&amp;$G164&amp;"）","")))</f>
        <v/>
      </c>
      <c r="S164" s="35" t="str">
        <f aca="false">IF($C164="","",IF(N($J164)=N($K164),"一致","★合同"&amp;TEXT(N($J164),"0")&amp;"台 / 在册"&amp;TEXT(N($K164),"0")&amp;"台"))</f>
        <v/>
      </c>
      <c r="T164" s="40" t="str">
        <f aca="false">IF($C164="","",ROUND(SUMIFS(应收金额,应收键,$E164,应收年度,管理年度),2))</f>
        <v/>
      </c>
      <c r="U164" s="40" t="str">
        <f aca="false">IF($C164="","",ROUND(SUMIFS(收款金额,收款键,$E164,收款年度,管理年度),2))</f>
        <v/>
      </c>
      <c r="V164" s="41" t="str">
        <f aca="false">IF($C164="","",ROUND(SUMIF(应收键,$E164,应收金额)-SUMIF(收款键,$E164,收款金额),2))</f>
        <v/>
      </c>
      <c r="W164" s="24"/>
      <c r="X164" s="35" t="str">
        <f aca="false">IF($C164="","",IF($D164="","★项目名称没填",IF(COUNTIF($E$5:$E$304,$E164)&gt;1,"★键重复",IF(AND($H164&lt;&gt;"",$I164&lt;&gt;"",$I164&lt;$H164),"★合同起止反了",IF(N($K164)=0,"★电梯资料里没有这个项目","OK")))))</f>
        <v/>
      </c>
    </row>
    <row r="165" customFormat="false" ht="15" hidden="false" customHeight="false" outlineLevel="0" collapsed="false">
      <c r="A165" s="29" t="str">
        <f aca="false">IF($C165="","",ROW()-4)</f>
        <v/>
      </c>
      <c r="B165" s="35" t="str">
        <f aca="false">IF($C165="","",IFERROR(INDEX(电梯片区,MATCH($E165,电梯键,0)),""))</f>
        <v/>
      </c>
      <c r="C165" s="24"/>
      <c r="D165" s="24"/>
      <c r="E165" s="30" t="str">
        <f aca="false">IF($C165="","",$C165&amp;" ｜ "&amp;$D165)</f>
        <v/>
      </c>
      <c r="F165" s="25"/>
      <c r="G165" s="25"/>
      <c r="H165" s="33"/>
      <c r="I165" s="33"/>
      <c r="J165" s="32"/>
      <c r="K165" s="38" t="str">
        <f aca="false">IF($C165="","",SUMIF(电梯键,$E165,电梯台量))</f>
        <v/>
      </c>
      <c r="L165" s="39"/>
      <c r="M165" s="25"/>
      <c r="N165" s="25"/>
      <c r="O165" s="38" t="str">
        <f aca="false">IF($C165="","",SUMIFS(电梯台量,电梯键,$E165,电梯状态,"安装免保")+SUMIFS(电梯台量,电梯键,$E165,电梯状态,"技术免保")+SUMIFS(电梯台量,电梯键,$E165,电梯状态,"质保期内"))</f>
        <v/>
      </c>
      <c r="P165" s="38" t="str">
        <f aca="false">IF($C165="","",$K165-$O165)</f>
        <v/>
      </c>
      <c r="Q165" s="34" t="str">
        <f aca="true">IF($C165="","",IF($G165="已终止","",IF($I165="","▲没填合同止期",IF($I165&lt;TODAY(),"已到期 "&amp;TEXT(TODAY()-$I165,"0")&amp;" 天",IF($I165-TODAY()&lt;=合同提醒天,"将到期 "&amp;TEXT($I165-TODAY(),"0")&amp;" 天","")))))</f>
        <v/>
      </c>
      <c r="R165" s="34" t="str">
        <f aca="false">IF($C165="","",IF($G165="","▲合同状态没选",IF(OR($G165="已签未回",$G165="未签",$G165="续签中"),"▲合同未回（"&amp;$G165&amp;"）","")))</f>
        <v/>
      </c>
      <c r="S165" s="35" t="str">
        <f aca="false">IF($C165="","",IF(N($J165)=N($K165),"一致","★合同"&amp;TEXT(N($J165),"0")&amp;"台 / 在册"&amp;TEXT(N($K165),"0")&amp;"台"))</f>
        <v/>
      </c>
      <c r="T165" s="40" t="str">
        <f aca="false">IF($C165="","",ROUND(SUMIFS(应收金额,应收键,$E165,应收年度,管理年度),2))</f>
        <v/>
      </c>
      <c r="U165" s="40" t="str">
        <f aca="false">IF($C165="","",ROUND(SUMIFS(收款金额,收款键,$E165,收款年度,管理年度),2))</f>
        <v/>
      </c>
      <c r="V165" s="41" t="str">
        <f aca="false">IF($C165="","",ROUND(SUMIF(应收键,$E165,应收金额)-SUMIF(收款键,$E165,收款金额),2))</f>
        <v/>
      </c>
      <c r="W165" s="24"/>
      <c r="X165" s="35" t="str">
        <f aca="false">IF($C165="","",IF($D165="","★项目名称没填",IF(COUNTIF($E$5:$E$304,$E165)&gt;1,"★键重复",IF(AND($H165&lt;&gt;"",$I165&lt;&gt;"",$I165&lt;$H165),"★合同起止反了",IF(N($K165)=0,"★电梯资料里没有这个项目","OK")))))</f>
        <v/>
      </c>
    </row>
    <row r="166" customFormat="false" ht="15" hidden="false" customHeight="false" outlineLevel="0" collapsed="false">
      <c r="A166" s="29" t="str">
        <f aca="false">IF($C166="","",ROW()-4)</f>
        <v/>
      </c>
      <c r="B166" s="35" t="str">
        <f aca="false">IF($C166="","",IFERROR(INDEX(电梯片区,MATCH($E166,电梯键,0)),""))</f>
        <v/>
      </c>
      <c r="C166" s="24"/>
      <c r="D166" s="24"/>
      <c r="E166" s="30" t="str">
        <f aca="false">IF($C166="","",$C166&amp;" ｜ "&amp;$D166)</f>
        <v/>
      </c>
      <c r="F166" s="25"/>
      <c r="G166" s="25"/>
      <c r="H166" s="33"/>
      <c r="I166" s="33"/>
      <c r="J166" s="32"/>
      <c r="K166" s="38" t="str">
        <f aca="false">IF($C166="","",SUMIF(电梯键,$E166,电梯台量))</f>
        <v/>
      </c>
      <c r="L166" s="39"/>
      <c r="M166" s="25"/>
      <c r="N166" s="25"/>
      <c r="O166" s="38" t="str">
        <f aca="false">IF($C166="","",SUMIFS(电梯台量,电梯键,$E166,电梯状态,"安装免保")+SUMIFS(电梯台量,电梯键,$E166,电梯状态,"技术免保")+SUMIFS(电梯台量,电梯键,$E166,电梯状态,"质保期内"))</f>
        <v/>
      </c>
      <c r="P166" s="38" t="str">
        <f aca="false">IF($C166="","",$K166-$O166)</f>
        <v/>
      </c>
      <c r="Q166" s="34" t="str">
        <f aca="true">IF($C166="","",IF($G166="已终止","",IF($I166="","▲没填合同止期",IF($I166&lt;TODAY(),"已到期 "&amp;TEXT(TODAY()-$I166,"0")&amp;" 天",IF($I166-TODAY()&lt;=合同提醒天,"将到期 "&amp;TEXT($I166-TODAY(),"0")&amp;" 天","")))))</f>
        <v/>
      </c>
      <c r="R166" s="34" t="str">
        <f aca="false">IF($C166="","",IF($G166="","▲合同状态没选",IF(OR($G166="已签未回",$G166="未签",$G166="续签中"),"▲合同未回（"&amp;$G166&amp;"）","")))</f>
        <v/>
      </c>
      <c r="S166" s="35" t="str">
        <f aca="false">IF($C166="","",IF(N($J166)=N($K166),"一致","★合同"&amp;TEXT(N($J166),"0")&amp;"台 / 在册"&amp;TEXT(N($K166),"0")&amp;"台"))</f>
        <v/>
      </c>
      <c r="T166" s="40" t="str">
        <f aca="false">IF($C166="","",ROUND(SUMIFS(应收金额,应收键,$E166,应收年度,管理年度),2))</f>
        <v/>
      </c>
      <c r="U166" s="40" t="str">
        <f aca="false">IF($C166="","",ROUND(SUMIFS(收款金额,收款键,$E166,收款年度,管理年度),2))</f>
        <v/>
      </c>
      <c r="V166" s="41" t="str">
        <f aca="false">IF($C166="","",ROUND(SUMIF(应收键,$E166,应收金额)-SUMIF(收款键,$E166,收款金额),2))</f>
        <v/>
      </c>
      <c r="W166" s="24"/>
      <c r="X166" s="35" t="str">
        <f aca="false">IF($C166="","",IF($D166="","★项目名称没填",IF(COUNTIF($E$5:$E$304,$E166)&gt;1,"★键重复",IF(AND($H166&lt;&gt;"",$I166&lt;&gt;"",$I166&lt;$H166),"★合同起止反了",IF(N($K166)=0,"★电梯资料里没有这个项目","OK")))))</f>
        <v/>
      </c>
    </row>
    <row r="167" customFormat="false" ht="15" hidden="false" customHeight="false" outlineLevel="0" collapsed="false">
      <c r="A167" s="29" t="str">
        <f aca="false">IF($C167="","",ROW()-4)</f>
        <v/>
      </c>
      <c r="B167" s="35" t="str">
        <f aca="false">IF($C167="","",IFERROR(INDEX(电梯片区,MATCH($E167,电梯键,0)),""))</f>
        <v/>
      </c>
      <c r="C167" s="24"/>
      <c r="D167" s="24"/>
      <c r="E167" s="30" t="str">
        <f aca="false">IF($C167="","",$C167&amp;" ｜ "&amp;$D167)</f>
        <v/>
      </c>
      <c r="F167" s="25"/>
      <c r="G167" s="25"/>
      <c r="H167" s="33"/>
      <c r="I167" s="33"/>
      <c r="J167" s="32"/>
      <c r="K167" s="38" t="str">
        <f aca="false">IF($C167="","",SUMIF(电梯键,$E167,电梯台量))</f>
        <v/>
      </c>
      <c r="L167" s="39"/>
      <c r="M167" s="25"/>
      <c r="N167" s="25"/>
      <c r="O167" s="38" t="str">
        <f aca="false">IF($C167="","",SUMIFS(电梯台量,电梯键,$E167,电梯状态,"安装免保")+SUMIFS(电梯台量,电梯键,$E167,电梯状态,"技术免保")+SUMIFS(电梯台量,电梯键,$E167,电梯状态,"质保期内"))</f>
        <v/>
      </c>
      <c r="P167" s="38" t="str">
        <f aca="false">IF($C167="","",$K167-$O167)</f>
        <v/>
      </c>
      <c r="Q167" s="34" t="str">
        <f aca="true">IF($C167="","",IF($G167="已终止","",IF($I167="","▲没填合同止期",IF($I167&lt;TODAY(),"已到期 "&amp;TEXT(TODAY()-$I167,"0")&amp;" 天",IF($I167-TODAY()&lt;=合同提醒天,"将到期 "&amp;TEXT($I167-TODAY(),"0")&amp;" 天","")))))</f>
        <v/>
      </c>
      <c r="R167" s="34" t="str">
        <f aca="false">IF($C167="","",IF($G167="","▲合同状态没选",IF(OR($G167="已签未回",$G167="未签",$G167="续签中"),"▲合同未回（"&amp;$G167&amp;"）","")))</f>
        <v/>
      </c>
      <c r="S167" s="35" t="str">
        <f aca="false">IF($C167="","",IF(N($J167)=N($K167),"一致","★合同"&amp;TEXT(N($J167),"0")&amp;"台 / 在册"&amp;TEXT(N($K167),"0")&amp;"台"))</f>
        <v/>
      </c>
      <c r="T167" s="40" t="str">
        <f aca="false">IF($C167="","",ROUND(SUMIFS(应收金额,应收键,$E167,应收年度,管理年度),2))</f>
        <v/>
      </c>
      <c r="U167" s="40" t="str">
        <f aca="false">IF($C167="","",ROUND(SUMIFS(收款金额,收款键,$E167,收款年度,管理年度),2))</f>
        <v/>
      </c>
      <c r="V167" s="41" t="str">
        <f aca="false">IF($C167="","",ROUND(SUMIF(应收键,$E167,应收金额)-SUMIF(收款键,$E167,收款金额),2))</f>
        <v/>
      </c>
      <c r="W167" s="24"/>
      <c r="X167" s="35" t="str">
        <f aca="false">IF($C167="","",IF($D167="","★项目名称没填",IF(COUNTIF($E$5:$E$304,$E167)&gt;1,"★键重复",IF(AND($H167&lt;&gt;"",$I167&lt;&gt;"",$I167&lt;$H167),"★合同起止反了",IF(N($K167)=0,"★电梯资料里没有这个项目","OK")))))</f>
        <v/>
      </c>
    </row>
    <row r="168" customFormat="false" ht="15" hidden="false" customHeight="false" outlineLevel="0" collapsed="false">
      <c r="A168" s="29" t="str">
        <f aca="false">IF($C168="","",ROW()-4)</f>
        <v/>
      </c>
      <c r="B168" s="35" t="str">
        <f aca="false">IF($C168="","",IFERROR(INDEX(电梯片区,MATCH($E168,电梯键,0)),""))</f>
        <v/>
      </c>
      <c r="C168" s="24"/>
      <c r="D168" s="24"/>
      <c r="E168" s="30" t="str">
        <f aca="false">IF($C168="","",$C168&amp;" ｜ "&amp;$D168)</f>
        <v/>
      </c>
      <c r="F168" s="25"/>
      <c r="G168" s="25"/>
      <c r="H168" s="33"/>
      <c r="I168" s="33"/>
      <c r="J168" s="32"/>
      <c r="K168" s="38" t="str">
        <f aca="false">IF($C168="","",SUMIF(电梯键,$E168,电梯台量))</f>
        <v/>
      </c>
      <c r="L168" s="39"/>
      <c r="M168" s="25"/>
      <c r="N168" s="25"/>
      <c r="O168" s="38" t="str">
        <f aca="false">IF($C168="","",SUMIFS(电梯台量,电梯键,$E168,电梯状态,"安装免保")+SUMIFS(电梯台量,电梯键,$E168,电梯状态,"技术免保")+SUMIFS(电梯台量,电梯键,$E168,电梯状态,"质保期内"))</f>
        <v/>
      </c>
      <c r="P168" s="38" t="str">
        <f aca="false">IF($C168="","",$K168-$O168)</f>
        <v/>
      </c>
      <c r="Q168" s="34" t="str">
        <f aca="true">IF($C168="","",IF($G168="已终止","",IF($I168="","▲没填合同止期",IF($I168&lt;TODAY(),"已到期 "&amp;TEXT(TODAY()-$I168,"0")&amp;" 天",IF($I168-TODAY()&lt;=合同提醒天,"将到期 "&amp;TEXT($I168-TODAY(),"0")&amp;" 天","")))))</f>
        <v/>
      </c>
      <c r="R168" s="34" t="str">
        <f aca="false">IF($C168="","",IF($G168="","▲合同状态没选",IF(OR($G168="已签未回",$G168="未签",$G168="续签中"),"▲合同未回（"&amp;$G168&amp;"）","")))</f>
        <v/>
      </c>
      <c r="S168" s="35" t="str">
        <f aca="false">IF($C168="","",IF(N($J168)=N($K168),"一致","★合同"&amp;TEXT(N($J168),"0")&amp;"台 / 在册"&amp;TEXT(N($K168),"0")&amp;"台"))</f>
        <v/>
      </c>
      <c r="T168" s="40" t="str">
        <f aca="false">IF($C168="","",ROUND(SUMIFS(应收金额,应收键,$E168,应收年度,管理年度),2))</f>
        <v/>
      </c>
      <c r="U168" s="40" t="str">
        <f aca="false">IF($C168="","",ROUND(SUMIFS(收款金额,收款键,$E168,收款年度,管理年度),2))</f>
        <v/>
      </c>
      <c r="V168" s="41" t="str">
        <f aca="false">IF($C168="","",ROUND(SUMIF(应收键,$E168,应收金额)-SUMIF(收款键,$E168,收款金额),2))</f>
        <v/>
      </c>
      <c r="W168" s="24"/>
      <c r="X168" s="35" t="str">
        <f aca="false">IF($C168="","",IF($D168="","★项目名称没填",IF(COUNTIF($E$5:$E$304,$E168)&gt;1,"★键重复",IF(AND($H168&lt;&gt;"",$I168&lt;&gt;"",$I168&lt;$H168),"★合同起止反了",IF(N($K168)=0,"★电梯资料里没有这个项目","OK")))))</f>
        <v/>
      </c>
    </row>
    <row r="169" customFormat="false" ht="15" hidden="false" customHeight="false" outlineLevel="0" collapsed="false">
      <c r="A169" s="29" t="str">
        <f aca="false">IF($C169="","",ROW()-4)</f>
        <v/>
      </c>
      <c r="B169" s="35" t="str">
        <f aca="false">IF($C169="","",IFERROR(INDEX(电梯片区,MATCH($E169,电梯键,0)),""))</f>
        <v/>
      </c>
      <c r="C169" s="24"/>
      <c r="D169" s="24"/>
      <c r="E169" s="30" t="str">
        <f aca="false">IF($C169="","",$C169&amp;" ｜ "&amp;$D169)</f>
        <v/>
      </c>
      <c r="F169" s="25"/>
      <c r="G169" s="25"/>
      <c r="H169" s="33"/>
      <c r="I169" s="33"/>
      <c r="J169" s="32"/>
      <c r="K169" s="38" t="str">
        <f aca="false">IF($C169="","",SUMIF(电梯键,$E169,电梯台量))</f>
        <v/>
      </c>
      <c r="L169" s="39"/>
      <c r="M169" s="25"/>
      <c r="N169" s="25"/>
      <c r="O169" s="38" t="str">
        <f aca="false">IF($C169="","",SUMIFS(电梯台量,电梯键,$E169,电梯状态,"安装免保")+SUMIFS(电梯台量,电梯键,$E169,电梯状态,"技术免保")+SUMIFS(电梯台量,电梯键,$E169,电梯状态,"质保期内"))</f>
        <v/>
      </c>
      <c r="P169" s="38" t="str">
        <f aca="false">IF($C169="","",$K169-$O169)</f>
        <v/>
      </c>
      <c r="Q169" s="34" t="str">
        <f aca="true">IF($C169="","",IF($G169="已终止","",IF($I169="","▲没填合同止期",IF($I169&lt;TODAY(),"已到期 "&amp;TEXT(TODAY()-$I169,"0")&amp;" 天",IF($I169-TODAY()&lt;=合同提醒天,"将到期 "&amp;TEXT($I169-TODAY(),"0")&amp;" 天","")))))</f>
        <v/>
      </c>
      <c r="R169" s="34" t="str">
        <f aca="false">IF($C169="","",IF($G169="","▲合同状态没选",IF(OR($G169="已签未回",$G169="未签",$G169="续签中"),"▲合同未回（"&amp;$G169&amp;"）","")))</f>
        <v/>
      </c>
      <c r="S169" s="35" t="str">
        <f aca="false">IF($C169="","",IF(N($J169)=N($K169),"一致","★合同"&amp;TEXT(N($J169),"0")&amp;"台 / 在册"&amp;TEXT(N($K169),"0")&amp;"台"))</f>
        <v/>
      </c>
      <c r="T169" s="40" t="str">
        <f aca="false">IF($C169="","",ROUND(SUMIFS(应收金额,应收键,$E169,应收年度,管理年度),2))</f>
        <v/>
      </c>
      <c r="U169" s="40" t="str">
        <f aca="false">IF($C169="","",ROUND(SUMIFS(收款金额,收款键,$E169,收款年度,管理年度),2))</f>
        <v/>
      </c>
      <c r="V169" s="41" t="str">
        <f aca="false">IF($C169="","",ROUND(SUMIF(应收键,$E169,应收金额)-SUMIF(收款键,$E169,收款金额),2))</f>
        <v/>
      </c>
      <c r="W169" s="24"/>
      <c r="X169" s="35" t="str">
        <f aca="false">IF($C169="","",IF($D169="","★项目名称没填",IF(COUNTIF($E$5:$E$304,$E169)&gt;1,"★键重复",IF(AND($H169&lt;&gt;"",$I169&lt;&gt;"",$I169&lt;$H169),"★合同起止反了",IF(N($K169)=0,"★电梯资料里没有这个项目","OK")))))</f>
        <v/>
      </c>
    </row>
    <row r="170" customFormat="false" ht="15" hidden="false" customHeight="false" outlineLevel="0" collapsed="false">
      <c r="A170" s="29" t="str">
        <f aca="false">IF($C170="","",ROW()-4)</f>
        <v/>
      </c>
      <c r="B170" s="35" t="str">
        <f aca="false">IF($C170="","",IFERROR(INDEX(电梯片区,MATCH($E170,电梯键,0)),""))</f>
        <v/>
      </c>
      <c r="C170" s="24"/>
      <c r="D170" s="24"/>
      <c r="E170" s="30" t="str">
        <f aca="false">IF($C170="","",$C170&amp;" ｜ "&amp;$D170)</f>
        <v/>
      </c>
      <c r="F170" s="25"/>
      <c r="G170" s="25"/>
      <c r="H170" s="33"/>
      <c r="I170" s="33"/>
      <c r="J170" s="32"/>
      <c r="K170" s="38" t="str">
        <f aca="false">IF($C170="","",SUMIF(电梯键,$E170,电梯台量))</f>
        <v/>
      </c>
      <c r="L170" s="39"/>
      <c r="M170" s="25"/>
      <c r="N170" s="25"/>
      <c r="O170" s="38" t="str">
        <f aca="false">IF($C170="","",SUMIFS(电梯台量,电梯键,$E170,电梯状态,"安装免保")+SUMIFS(电梯台量,电梯键,$E170,电梯状态,"技术免保")+SUMIFS(电梯台量,电梯键,$E170,电梯状态,"质保期内"))</f>
        <v/>
      </c>
      <c r="P170" s="38" t="str">
        <f aca="false">IF($C170="","",$K170-$O170)</f>
        <v/>
      </c>
      <c r="Q170" s="34" t="str">
        <f aca="true">IF($C170="","",IF($G170="已终止","",IF($I170="","▲没填合同止期",IF($I170&lt;TODAY(),"已到期 "&amp;TEXT(TODAY()-$I170,"0")&amp;" 天",IF($I170-TODAY()&lt;=合同提醒天,"将到期 "&amp;TEXT($I170-TODAY(),"0")&amp;" 天","")))))</f>
        <v/>
      </c>
      <c r="R170" s="34" t="str">
        <f aca="false">IF($C170="","",IF($G170="","▲合同状态没选",IF(OR($G170="已签未回",$G170="未签",$G170="续签中"),"▲合同未回（"&amp;$G170&amp;"）","")))</f>
        <v/>
      </c>
      <c r="S170" s="35" t="str">
        <f aca="false">IF($C170="","",IF(N($J170)=N($K170),"一致","★合同"&amp;TEXT(N($J170),"0")&amp;"台 / 在册"&amp;TEXT(N($K170),"0")&amp;"台"))</f>
        <v/>
      </c>
      <c r="T170" s="40" t="str">
        <f aca="false">IF($C170="","",ROUND(SUMIFS(应收金额,应收键,$E170,应收年度,管理年度),2))</f>
        <v/>
      </c>
      <c r="U170" s="40" t="str">
        <f aca="false">IF($C170="","",ROUND(SUMIFS(收款金额,收款键,$E170,收款年度,管理年度),2))</f>
        <v/>
      </c>
      <c r="V170" s="41" t="str">
        <f aca="false">IF($C170="","",ROUND(SUMIF(应收键,$E170,应收金额)-SUMIF(收款键,$E170,收款金额),2))</f>
        <v/>
      </c>
      <c r="W170" s="24"/>
      <c r="X170" s="35" t="str">
        <f aca="false">IF($C170="","",IF($D170="","★项目名称没填",IF(COUNTIF($E$5:$E$304,$E170)&gt;1,"★键重复",IF(AND($H170&lt;&gt;"",$I170&lt;&gt;"",$I170&lt;$H170),"★合同起止反了",IF(N($K170)=0,"★电梯资料里没有这个项目","OK")))))</f>
        <v/>
      </c>
    </row>
    <row r="171" customFormat="false" ht="15" hidden="false" customHeight="false" outlineLevel="0" collapsed="false">
      <c r="A171" s="29" t="str">
        <f aca="false">IF($C171="","",ROW()-4)</f>
        <v/>
      </c>
      <c r="B171" s="35" t="str">
        <f aca="false">IF($C171="","",IFERROR(INDEX(电梯片区,MATCH($E171,电梯键,0)),""))</f>
        <v/>
      </c>
      <c r="C171" s="24"/>
      <c r="D171" s="24"/>
      <c r="E171" s="30" t="str">
        <f aca="false">IF($C171="","",$C171&amp;" ｜ "&amp;$D171)</f>
        <v/>
      </c>
      <c r="F171" s="25"/>
      <c r="G171" s="25"/>
      <c r="H171" s="33"/>
      <c r="I171" s="33"/>
      <c r="J171" s="32"/>
      <c r="K171" s="38" t="str">
        <f aca="false">IF($C171="","",SUMIF(电梯键,$E171,电梯台量))</f>
        <v/>
      </c>
      <c r="L171" s="39"/>
      <c r="M171" s="25"/>
      <c r="N171" s="25"/>
      <c r="O171" s="38" t="str">
        <f aca="false">IF($C171="","",SUMIFS(电梯台量,电梯键,$E171,电梯状态,"安装免保")+SUMIFS(电梯台量,电梯键,$E171,电梯状态,"技术免保")+SUMIFS(电梯台量,电梯键,$E171,电梯状态,"质保期内"))</f>
        <v/>
      </c>
      <c r="P171" s="38" t="str">
        <f aca="false">IF($C171="","",$K171-$O171)</f>
        <v/>
      </c>
      <c r="Q171" s="34" t="str">
        <f aca="true">IF($C171="","",IF($G171="已终止","",IF($I171="","▲没填合同止期",IF($I171&lt;TODAY(),"已到期 "&amp;TEXT(TODAY()-$I171,"0")&amp;" 天",IF($I171-TODAY()&lt;=合同提醒天,"将到期 "&amp;TEXT($I171-TODAY(),"0")&amp;" 天","")))))</f>
        <v/>
      </c>
      <c r="R171" s="34" t="str">
        <f aca="false">IF($C171="","",IF($G171="","▲合同状态没选",IF(OR($G171="已签未回",$G171="未签",$G171="续签中"),"▲合同未回（"&amp;$G171&amp;"）","")))</f>
        <v/>
      </c>
      <c r="S171" s="35" t="str">
        <f aca="false">IF($C171="","",IF(N($J171)=N($K171),"一致","★合同"&amp;TEXT(N($J171),"0")&amp;"台 / 在册"&amp;TEXT(N($K171),"0")&amp;"台"))</f>
        <v/>
      </c>
      <c r="T171" s="40" t="str">
        <f aca="false">IF($C171="","",ROUND(SUMIFS(应收金额,应收键,$E171,应收年度,管理年度),2))</f>
        <v/>
      </c>
      <c r="U171" s="40" t="str">
        <f aca="false">IF($C171="","",ROUND(SUMIFS(收款金额,收款键,$E171,收款年度,管理年度),2))</f>
        <v/>
      </c>
      <c r="V171" s="41" t="str">
        <f aca="false">IF($C171="","",ROUND(SUMIF(应收键,$E171,应收金额)-SUMIF(收款键,$E171,收款金额),2))</f>
        <v/>
      </c>
      <c r="W171" s="24"/>
      <c r="X171" s="35" t="str">
        <f aca="false">IF($C171="","",IF($D171="","★项目名称没填",IF(COUNTIF($E$5:$E$304,$E171)&gt;1,"★键重复",IF(AND($H171&lt;&gt;"",$I171&lt;&gt;"",$I171&lt;$H171),"★合同起止反了",IF(N($K171)=0,"★电梯资料里没有这个项目","OK")))))</f>
        <v/>
      </c>
    </row>
    <row r="172" customFormat="false" ht="15" hidden="false" customHeight="false" outlineLevel="0" collapsed="false">
      <c r="A172" s="29" t="str">
        <f aca="false">IF($C172="","",ROW()-4)</f>
        <v/>
      </c>
      <c r="B172" s="35" t="str">
        <f aca="false">IF($C172="","",IFERROR(INDEX(电梯片区,MATCH($E172,电梯键,0)),""))</f>
        <v/>
      </c>
      <c r="C172" s="24"/>
      <c r="D172" s="24"/>
      <c r="E172" s="30" t="str">
        <f aca="false">IF($C172="","",$C172&amp;" ｜ "&amp;$D172)</f>
        <v/>
      </c>
      <c r="F172" s="25"/>
      <c r="G172" s="25"/>
      <c r="H172" s="33"/>
      <c r="I172" s="33"/>
      <c r="J172" s="32"/>
      <c r="K172" s="38" t="str">
        <f aca="false">IF($C172="","",SUMIF(电梯键,$E172,电梯台量))</f>
        <v/>
      </c>
      <c r="L172" s="39"/>
      <c r="M172" s="25"/>
      <c r="N172" s="25"/>
      <c r="O172" s="38" t="str">
        <f aca="false">IF($C172="","",SUMIFS(电梯台量,电梯键,$E172,电梯状态,"安装免保")+SUMIFS(电梯台量,电梯键,$E172,电梯状态,"技术免保")+SUMIFS(电梯台量,电梯键,$E172,电梯状态,"质保期内"))</f>
        <v/>
      </c>
      <c r="P172" s="38" t="str">
        <f aca="false">IF($C172="","",$K172-$O172)</f>
        <v/>
      </c>
      <c r="Q172" s="34" t="str">
        <f aca="true">IF($C172="","",IF($G172="已终止","",IF($I172="","▲没填合同止期",IF($I172&lt;TODAY(),"已到期 "&amp;TEXT(TODAY()-$I172,"0")&amp;" 天",IF($I172-TODAY()&lt;=合同提醒天,"将到期 "&amp;TEXT($I172-TODAY(),"0")&amp;" 天","")))))</f>
        <v/>
      </c>
      <c r="R172" s="34" t="str">
        <f aca="false">IF($C172="","",IF($G172="","▲合同状态没选",IF(OR($G172="已签未回",$G172="未签",$G172="续签中"),"▲合同未回（"&amp;$G172&amp;"）","")))</f>
        <v/>
      </c>
      <c r="S172" s="35" t="str">
        <f aca="false">IF($C172="","",IF(N($J172)=N($K172),"一致","★合同"&amp;TEXT(N($J172),"0")&amp;"台 / 在册"&amp;TEXT(N($K172),"0")&amp;"台"))</f>
        <v/>
      </c>
      <c r="T172" s="40" t="str">
        <f aca="false">IF($C172="","",ROUND(SUMIFS(应收金额,应收键,$E172,应收年度,管理年度),2))</f>
        <v/>
      </c>
      <c r="U172" s="40" t="str">
        <f aca="false">IF($C172="","",ROUND(SUMIFS(收款金额,收款键,$E172,收款年度,管理年度),2))</f>
        <v/>
      </c>
      <c r="V172" s="41" t="str">
        <f aca="false">IF($C172="","",ROUND(SUMIF(应收键,$E172,应收金额)-SUMIF(收款键,$E172,收款金额),2))</f>
        <v/>
      </c>
      <c r="W172" s="24"/>
      <c r="X172" s="35" t="str">
        <f aca="false">IF($C172="","",IF($D172="","★项目名称没填",IF(COUNTIF($E$5:$E$304,$E172)&gt;1,"★键重复",IF(AND($H172&lt;&gt;"",$I172&lt;&gt;"",$I172&lt;$H172),"★合同起止反了",IF(N($K172)=0,"★电梯资料里没有这个项目","OK")))))</f>
        <v/>
      </c>
    </row>
    <row r="173" customFormat="false" ht="15" hidden="false" customHeight="false" outlineLevel="0" collapsed="false">
      <c r="A173" s="29" t="str">
        <f aca="false">IF($C173="","",ROW()-4)</f>
        <v/>
      </c>
      <c r="B173" s="35" t="str">
        <f aca="false">IF($C173="","",IFERROR(INDEX(电梯片区,MATCH($E173,电梯键,0)),""))</f>
        <v/>
      </c>
      <c r="C173" s="24"/>
      <c r="D173" s="24"/>
      <c r="E173" s="30" t="str">
        <f aca="false">IF($C173="","",$C173&amp;" ｜ "&amp;$D173)</f>
        <v/>
      </c>
      <c r="F173" s="25"/>
      <c r="G173" s="25"/>
      <c r="H173" s="33"/>
      <c r="I173" s="33"/>
      <c r="J173" s="32"/>
      <c r="K173" s="38" t="str">
        <f aca="false">IF($C173="","",SUMIF(电梯键,$E173,电梯台量))</f>
        <v/>
      </c>
      <c r="L173" s="39"/>
      <c r="M173" s="25"/>
      <c r="N173" s="25"/>
      <c r="O173" s="38" t="str">
        <f aca="false">IF($C173="","",SUMIFS(电梯台量,电梯键,$E173,电梯状态,"安装免保")+SUMIFS(电梯台量,电梯键,$E173,电梯状态,"技术免保")+SUMIFS(电梯台量,电梯键,$E173,电梯状态,"质保期内"))</f>
        <v/>
      </c>
      <c r="P173" s="38" t="str">
        <f aca="false">IF($C173="","",$K173-$O173)</f>
        <v/>
      </c>
      <c r="Q173" s="34" t="str">
        <f aca="true">IF($C173="","",IF($G173="已终止","",IF($I173="","▲没填合同止期",IF($I173&lt;TODAY(),"已到期 "&amp;TEXT(TODAY()-$I173,"0")&amp;" 天",IF($I173-TODAY()&lt;=合同提醒天,"将到期 "&amp;TEXT($I173-TODAY(),"0")&amp;" 天","")))))</f>
        <v/>
      </c>
      <c r="R173" s="34" t="str">
        <f aca="false">IF($C173="","",IF($G173="","▲合同状态没选",IF(OR($G173="已签未回",$G173="未签",$G173="续签中"),"▲合同未回（"&amp;$G173&amp;"）","")))</f>
        <v/>
      </c>
      <c r="S173" s="35" t="str">
        <f aca="false">IF($C173="","",IF(N($J173)=N($K173),"一致","★合同"&amp;TEXT(N($J173),"0")&amp;"台 / 在册"&amp;TEXT(N($K173),"0")&amp;"台"))</f>
        <v/>
      </c>
      <c r="T173" s="40" t="str">
        <f aca="false">IF($C173="","",ROUND(SUMIFS(应收金额,应收键,$E173,应收年度,管理年度),2))</f>
        <v/>
      </c>
      <c r="U173" s="40" t="str">
        <f aca="false">IF($C173="","",ROUND(SUMIFS(收款金额,收款键,$E173,收款年度,管理年度),2))</f>
        <v/>
      </c>
      <c r="V173" s="41" t="str">
        <f aca="false">IF($C173="","",ROUND(SUMIF(应收键,$E173,应收金额)-SUMIF(收款键,$E173,收款金额),2))</f>
        <v/>
      </c>
      <c r="W173" s="24"/>
      <c r="X173" s="35" t="str">
        <f aca="false">IF($C173="","",IF($D173="","★项目名称没填",IF(COUNTIF($E$5:$E$304,$E173)&gt;1,"★键重复",IF(AND($H173&lt;&gt;"",$I173&lt;&gt;"",$I173&lt;$H173),"★合同起止反了",IF(N($K173)=0,"★电梯资料里没有这个项目","OK")))))</f>
        <v/>
      </c>
    </row>
    <row r="174" customFormat="false" ht="15" hidden="false" customHeight="false" outlineLevel="0" collapsed="false">
      <c r="A174" s="29" t="str">
        <f aca="false">IF($C174="","",ROW()-4)</f>
        <v/>
      </c>
      <c r="B174" s="35" t="str">
        <f aca="false">IF($C174="","",IFERROR(INDEX(电梯片区,MATCH($E174,电梯键,0)),""))</f>
        <v/>
      </c>
      <c r="C174" s="24"/>
      <c r="D174" s="24"/>
      <c r="E174" s="30" t="str">
        <f aca="false">IF($C174="","",$C174&amp;" ｜ "&amp;$D174)</f>
        <v/>
      </c>
      <c r="F174" s="25"/>
      <c r="G174" s="25"/>
      <c r="H174" s="33"/>
      <c r="I174" s="33"/>
      <c r="J174" s="32"/>
      <c r="K174" s="38" t="str">
        <f aca="false">IF($C174="","",SUMIF(电梯键,$E174,电梯台量))</f>
        <v/>
      </c>
      <c r="L174" s="39"/>
      <c r="M174" s="25"/>
      <c r="N174" s="25"/>
      <c r="O174" s="38" t="str">
        <f aca="false">IF($C174="","",SUMIFS(电梯台量,电梯键,$E174,电梯状态,"安装免保")+SUMIFS(电梯台量,电梯键,$E174,电梯状态,"技术免保")+SUMIFS(电梯台量,电梯键,$E174,电梯状态,"质保期内"))</f>
        <v/>
      </c>
      <c r="P174" s="38" t="str">
        <f aca="false">IF($C174="","",$K174-$O174)</f>
        <v/>
      </c>
      <c r="Q174" s="34" t="str">
        <f aca="true">IF($C174="","",IF($G174="已终止","",IF($I174="","▲没填合同止期",IF($I174&lt;TODAY(),"已到期 "&amp;TEXT(TODAY()-$I174,"0")&amp;" 天",IF($I174-TODAY()&lt;=合同提醒天,"将到期 "&amp;TEXT($I174-TODAY(),"0")&amp;" 天","")))))</f>
        <v/>
      </c>
      <c r="R174" s="34" t="str">
        <f aca="false">IF($C174="","",IF($G174="","▲合同状态没选",IF(OR($G174="已签未回",$G174="未签",$G174="续签中"),"▲合同未回（"&amp;$G174&amp;"）","")))</f>
        <v/>
      </c>
      <c r="S174" s="35" t="str">
        <f aca="false">IF($C174="","",IF(N($J174)=N($K174),"一致","★合同"&amp;TEXT(N($J174),"0")&amp;"台 / 在册"&amp;TEXT(N($K174),"0")&amp;"台"))</f>
        <v/>
      </c>
      <c r="T174" s="40" t="str">
        <f aca="false">IF($C174="","",ROUND(SUMIFS(应收金额,应收键,$E174,应收年度,管理年度),2))</f>
        <v/>
      </c>
      <c r="U174" s="40" t="str">
        <f aca="false">IF($C174="","",ROUND(SUMIFS(收款金额,收款键,$E174,收款年度,管理年度),2))</f>
        <v/>
      </c>
      <c r="V174" s="41" t="str">
        <f aca="false">IF($C174="","",ROUND(SUMIF(应收键,$E174,应收金额)-SUMIF(收款键,$E174,收款金额),2))</f>
        <v/>
      </c>
      <c r="W174" s="24"/>
      <c r="X174" s="35" t="str">
        <f aca="false">IF($C174="","",IF($D174="","★项目名称没填",IF(COUNTIF($E$5:$E$304,$E174)&gt;1,"★键重复",IF(AND($H174&lt;&gt;"",$I174&lt;&gt;"",$I174&lt;$H174),"★合同起止反了",IF(N($K174)=0,"★电梯资料里没有这个项目","OK")))))</f>
        <v/>
      </c>
    </row>
    <row r="175" customFormat="false" ht="15" hidden="false" customHeight="false" outlineLevel="0" collapsed="false">
      <c r="A175" s="29" t="str">
        <f aca="false">IF($C175="","",ROW()-4)</f>
        <v/>
      </c>
      <c r="B175" s="35" t="str">
        <f aca="false">IF($C175="","",IFERROR(INDEX(电梯片区,MATCH($E175,电梯键,0)),""))</f>
        <v/>
      </c>
      <c r="C175" s="24"/>
      <c r="D175" s="24"/>
      <c r="E175" s="30" t="str">
        <f aca="false">IF($C175="","",$C175&amp;" ｜ "&amp;$D175)</f>
        <v/>
      </c>
      <c r="F175" s="25"/>
      <c r="G175" s="25"/>
      <c r="H175" s="33"/>
      <c r="I175" s="33"/>
      <c r="J175" s="32"/>
      <c r="K175" s="38" t="str">
        <f aca="false">IF($C175="","",SUMIF(电梯键,$E175,电梯台量))</f>
        <v/>
      </c>
      <c r="L175" s="39"/>
      <c r="M175" s="25"/>
      <c r="N175" s="25"/>
      <c r="O175" s="38" t="str">
        <f aca="false">IF($C175="","",SUMIFS(电梯台量,电梯键,$E175,电梯状态,"安装免保")+SUMIFS(电梯台量,电梯键,$E175,电梯状态,"技术免保")+SUMIFS(电梯台量,电梯键,$E175,电梯状态,"质保期内"))</f>
        <v/>
      </c>
      <c r="P175" s="38" t="str">
        <f aca="false">IF($C175="","",$K175-$O175)</f>
        <v/>
      </c>
      <c r="Q175" s="34" t="str">
        <f aca="true">IF($C175="","",IF($G175="已终止","",IF($I175="","▲没填合同止期",IF($I175&lt;TODAY(),"已到期 "&amp;TEXT(TODAY()-$I175,"0")&amp;" 天",IF($I175-TODAY()&lt;=合同提醒天,"将到期 "&amp;TEXT($I175-TODAY(),"0")&amp;" 天","")))))</f>
        <v/>
      </c>
      <c r="R175" s="34" t="str">
        <f aca="false">IF($C175="","",IF($G175="","▲合同状态没选",IF(OR($G175="已签未回",$G175="未签",$G175="续签中"),"▲合同未回（"&amp;$G175&amp;"）","")))</f>
        <v/>
      </c>
      <c r="S175" s="35" t="str">
        <f aca="false">IF($C175="","",IF(N($J175)=N($K175),"一致","★合同"&amp;TEXT(N($J175),"0")&amp;"台 / 在册"&amp;TEXT(N($K175),"0")&amp;"台"))</f>
        <v/>
      </c>
      <c r="T175" s="40" t="str">
        <f aca="false">IF($C175="","",ROUND(SUMIFS(应收金额,应收键,$E175,应收年度,管理年度),2))</f>
        <v/>
      </c>
      <c r="U175" s="40" t="str">
        <f aca="false">IF($C175="","",ROUND(SUMIFS(收款金额,收款键,$E175,收款年度,管理年度),2))</f>
        <v/>
      </c>
      <c r="V175" s="41" t="str">
        <f aca="false">IF($C175="","",ROUND(SUMIF(应收键,$E175,应收金额)-SUMIF(收款键,$E175,收款金额),2))</f>
        <v/>
      </c>
      <c r="W175" s="24"/>
      <c r="X175" s="35" t="str">
        <f aca="false">IF($C175="","",IF($D175="","★项目名称没填",IF(COUNTIF($E$5:$E$304,$E175)&gt;1,"★键重复",IF(AND($H175&lt;&gt;"",$I175&lt;&gt;"",$I175&lt;$H175),"★合同起止反了",IF(N($K175)=0,"★电梯资料里没有这个项目","OK")))))</f>
        <v/>
      </c>
    </row>
    <row r="176" customFormat="false" ht="15" hidden="false" customHeight="false" outlineLevel="0" collapsed="false">
      <c r="A176" s="29" t="str">
        <f aca="false">IF($C176="","",ROW()-4)</f>
        <v/>
      </c>
      <c r="B176" s="35" t="str">
        <f aca="false">IF($C176="","",IFERROR(INDEX(电梯片区,MATCH($E176,电梯键,0)),""))</f>
        <v/>
      </c>
      <c r="C176" s="24"/>
      <c r="D176" s="24"/>
      <c r="E176" s="30" t="str">
        <f aca="false">IF($C176="","",$C176&amp;" ｜ "&amp;$D176)</f>
        <v/>
      </c>
      <c r="F176" s="25"/>
      <c r="G176" s="25"/>
      <c r="H176" s="33"/>
      <c r="I176" s="33"/>
      <c r="J176" s="32"/>
      <c r="K176" s="38" t="str">
        <f aca="false">IF($C176="","",SUMIF(电梯键,$E176,电梯台量))</f>
        <v/>
      </c>
      <c r="L176" s="39"/>
      <c r="M176" s="25"/>
      <c r="N176" s="25"/>
      <c r="O176" s="38" t="str">
        <f aca="false">IF($C176="","",SUMIFS(电梯台量,电梯键,$E176,电梯状态,"安装免保")+SUMIFS(电梯台量,电梯键,$E176,电梯状态,"技术免保")+SUMIFS(电梯台量,电梯键,$E176,电梯状态,"质保期内"))</f>
        <v/>
      </c>
      <c r="P176" s="38" t="str">
        <f aca="false">IF($C176="","",$K176-$O176)</f>
        <v/>
      </c>
      <c r="Q176" s="34" t="str">
        <f aca="true">IF($C176="","",IF($G176="已终止","",IF($I176="","▲没填合同止期",IF($I176&lt;TODAY(),"已到期 "&amp;TEXT(TODAY()-$I176,"0")&amp;" 天",IF($I176-TODAY()&lt;=合同提醒天,"将到期 "&amp;TEXT($I176-TODAY(),"0")&amp;" 天","")))))</f>
        <v/>
      </c>
      <c r="R176" s="34" t="str">
        <f aca="false">IF($C176="","",IF($G176="","▲合同状态没选",IF(OR($G176="已签未回",$G176="未签",$G176="续签中"),"▲合同未回（"&amp;$G176&amp;"）","")))</f>
        <v/>
      </c>
      <c r="S176" s="35" t="str">
        <f aca="false">IF($C176="","",IF(N($J176)=N($K176),"一致","★合同"&amp;TEXT(N($J176),"0")&amp;"台 / 在册"&amp;TEXT(N($K176),"0")&amp;"台"))</f>
        <v/>
      </c>
      <c r="T176" s="40" t="str">
        <f aca="false">IF($C176="","",ROUND(SUMIFS(应收金额,应收键,$E176,应收年度,管理年度),2))</f>
        <v/>
      </c>
      <c r="U176" s="40" t="str">
        <f aca="false">IF($C176="","",ROUND(SUMIFS(收款金额,收款键,$E176,收款年度,管理年度),2))</f>
        <v/>
      </c>
      <c r="V176" s="41" t="str">
        <f aca="false">IF($C176="","",ROUND(SUMIF(应收键,$E176,应收金额)-SUMIF(收款键,$E176,收款金额),2))</f>
        <v/>
      </c>
      <c r="W176" s="24"/>
      <c r="X176" s="35" t="str">
        <f aca="false">IF($C176="","",IF($D176="","★项目名称没填",IF(COUNTIF($E$5:$E$304,$E176)&gt;1,"★键重复",IF(AND($H176&lt;&gt;"",$I176&lt;&gt;"",$I176&lt;$H176),"★合同起止反了",IF(N($K176)=0,"★电梯资料里没有这个项目","OK")))))</f>
        <v/>
      </c>
    </row>
    <row r="177" customFormat="false" ht="15" hidden="false" customHeight="false" outlineLevel="0" collapsed="false">
      <c r="A177" s="29" t="str">
        <f aca="false">IF($C177="","",ROW()-4)</f>
        <v/>
      </c>
      <c r="B177" s="35" t="str">
        <f aca="false">IF($C177="","",IFERROR(INDEX(电梯片区,MATCH($E177,电梯键,0)),""))</f>
        <v/>
      </c>
      <c r="C177" s="24"/>
      <c r="D177" s="24"/>
      <c r="E177" s="30" t="str">
        <f aca="false">IF($C177="","",$C177&amp;" ｜ "&amp;$D177)</f>
        <v/>
      </c>
      <c r="F177" s="25"/>
      <c r="G177" s="25"/>
      <c r="H177" s="33"/>
      <c r="I177" s="33"/>
      <c r="J177" s="32"/>
      <c r="K177" s="38" t="str">
        <f aca="false">IF($C177="","",SUMIF(电梯键,$E177,电梯台量))</f>
        <v/>
      </c>
      <c r="L177" s="39"/>
      <c r="M177" s="25"/>
      <c r="N177" s="25"/>
      <c r="O177" s="38" t="str">
        <f aca="false">IF($C177="","",SUMIFS(电梯台量,电梯键,$E177,电梯状态,"安装免保")+SUMIFS(电梯台量,电梯键,$E177,电梯状态,"技术免保")+SUMIFS(电梯台量,电梯键,$E177,电梯状态,"质保期内"))</f>
        <v/>
      </c>
      <c r="P177" s="38" t="str">
        <f aca="false">IF($C177="","",$K177-$O177)</f>
        <v/>
      </c>
      <c r="Q177" s="34" t="str">
        <f aca="true">IF($C177="","",IF($G177="已终止","",IF($I177="","▲没填合同止期",IF($I177&lt;TODAY(),"已到期 "&amp;TEXT(TODAY()-$I177,"0")&amp;" 天",IF($I177-TODAY()&lt;=合同提醒天,"将到期 "&amp;TEXT($I177-TODAY(),"0")&amp;" 天","")))))</f>
        <v/>
      </c>
      <c r="R177" s="34" t="str">
        <f aca="false">IF($C177="","",IF($G177="","▲合同状态没选",IF(OR($G177="已签未回",$G177="未签",$G177="续签中"),"▲合同未回（"&amp;$G177&amp;"）","")))</f>
        <v/>
      </c>
      <c r="S177" s="35" t="str">
        <f aca="false">IF($C177="","",IF(N($J177)=N($K177),"一致","★合同"&amp;TEXT(N($J177),"0")&amp;"台 / 在册"&amp;TEXT(N($K177),"0")&amp;"台"))</f>
        <v/>
      </c>
      <c r="T177" s="40" t="str">
        <f aca="false">IF($C177="","",ROUND(SUMIFS(应收金额,应收键,$E177,应收年度,管理年度),2))</f>
        <v/>
      </c>
      <c r="U177" s="40" t="str">
        <f aca="false">IF($C177="","",ROUND(SUMIFS(收款金额,收款键,$E177,收款年度,管理年度),2))</f>
        <v/>
      </c>
      <c r="V177" s="41" t="str">
        <f aca="false">IF($C177="","",ROUND(SUMIF(应收键,$E177,应收金额)-SUMIF(收款键,$E177,收款金额),2))</f>
        <v/>
      </c>
      <c r="W177" s="24"/>
      <c r="X177" s="35" t="str">
        <f aca="false">IF($C177="","",IF($D177="","★项目名称没填",IF(COUNTIF($E$5:$E$304,$E177)&gt;1,"★键重复",IF(AND($H177&lt;&gt;"",$I177&lt;&gt;"",$I177&lt;$H177),"★合同起止反了",IF(N($K177)=0,"★电梯资料里没有这个项目","OK")))))</f>
        <v/>
      </c>
    </row>
    <row r="178" customFormat="false" ht="15" hidden="false" customHeight="false" outlineLevel="0" collapsed="false">
      <c r="A178" s="29" t="str">
        <f aca="false">IF($C178="","",ROW()-4)</f>
        <v/>
      </c>
      <c r="B178" s="35" t="str">
        <f aca="false">IF($C178="","",IFERROR(INDEX(电梯片区,MATCH($E178,电梯键,0)),""))</f>
        <v/>
      </c>
      <c r="C178" s="24"/>
      <c r="D178" s="24"/>
      <c r="E178" s="30" t="str">
        <f aca="false">IF($C178="","",$C178&amp;" ｜ "&amp;$D178)</f>
        <v/>
      </c>
      <c r="F178" s="25"/>
      <c r="G178" s="25"/>
      <c r="H178" s="33"/>
      <c r="I178" s="33"/>
      <c r="J178" s="32"/>
      <c r="K178" s="38" t="str">
        <f aca="false">IF($C178="","",SUMIF(电梯键,$E178,电梯台量))</f>
        <v/>
      </c>
      <c r="L178" s="39"/>
      <c r="M178" s="25"/>
      <c r="N178" s="25"/>
      <c r="O178" s="38" t="str">
        <f aca="false">IF($C178="","",SUMIFS(电梯台量,电梯键,$E178,电梯状态,"安装免保")+SUMIFS(电梯台量,电梯键,$E178,电梯状态,"技术免保")+SUMIFS(电梯台量,电梯键,$E178,电梯状态,"质保期内"))</f>
        <v/>
      </c>
      <c r="P178" s="38" t="str">
        <f aca="false">IF($C178="","",$K178-$O178)</f>
        <v/>
      </c>
      <c r="Q178" s="34" t="str">
        <f aca="true">IF($C178="","",IF($G178="已终止","",IF($I178="","▲没填合同止期",IF($I178&lt;TODAY(),"已到期 "&amp;TEXT(TODAY()-$I178,"0")&amp;" 天",IF($I178-TODAY()&lt;=合同提醒天,"将到期 "&amp;TEXT($I178-TODAY(),"0")&amp;" 天","")))))</f>
        <v/>
      </c>
      <c r="R178" s="34" t="str">
        <f aca="false">IF($C178="","",IF($G178="","▲合同状态没选",IF(OR($G178="已签未回",$G178="未签",$G178="续签中"),"▲合同未回（"&amp;$G178&amp;"）","")))</f>
        <v/>
      </c>
      <c r="S178" s="35" t="str">
        <f aca="false">IF($C178="","",IF(N($J178)=N($K178),"一致","★合同"&amp;TEXT(N($J178),"0")&amp;"台 / 在册"&amp;TEXT(N($K178),"0")&amp;"台"))</f>
        <v/>
      </c>
      <c r="T178" s="40" t="str">
        <f aca="false">IF($C178="","",ROUND(SUMIFS(应收金额,应收键,$E178,应收年度,管理年度),2))</f>
        <v/>
      </c>
      <c r="U178" s="40" t="str">
        <f aca="false">IF($C178="","",ROUND(SUMIFS(收款金额,收款键,$E178,收款年度,管理年度),2))</f>
        <v/>
      </c>
      <c r="V178" s="41" t="str">
        <f aca="false">IF($C178="","",ROUND(SUMIF(应收键,$E178,应收金额)-SUMIF(收款键,$E178,收款金额),2))</f>
        <v/>
      </c>
      <c r="W178" s="24"/>
      <c r="X178" s="35" t="str">
        <f aca="false">IF($C178="","",IF($D178="","★项目名称没填",IF(COUNTIF($E$5:$E$304,$E178)&gt;1,"★键重复",IF(AND($H178&lt;&gt;"",$I178&lt;&gt;"",$I178&lt;$H178),"★合同起止反了",IF(N($K178)=0,"★电梯资料里没有这个项目","OK")))))</f>
        <v/>
      </c>
    </row>
    <row r="179" customFormat="false" ht="15" hidden="false" customHeight="false" outlineLevel="0" collapsed="false">
      <c r="A179" s="29" t="str">
        <f aca="false">IF($C179="","",ROW()-4)</f>
        <v/>
      </c>
      <c r="B179" s="35" t="str">
        <f aca="false">IF($C179="","",IFERROR(INDEX(电梯片区,MATCH($E179,电梯键,0)),""))</f>
        <v/>
      </c>
      <c r="C179" s="24"/>
      <c r="D179" s="24"/>
      <c r="E179" s="30" t="str">
        <f aca="false">IF($C179="","",$C179&amp;" ｜ "&amp;$D179)</f>
        <v/>
      </c>
      <c r="F179" s="25"/>
      <c r="G179" s="25"/>
      <c r="H179" s="33"/>
      <c r="I179" s="33"/>
      <c r="J179" s="32"/>
      <c r="K179" s="38" t="str">
        <f aca="false">IF($C179="","",SUMIF(电梯键,$E179,电梯台量))</f>
        <v/>
      </c>
      <c r="L179" s="39"/>
      <c r="M179" s="25"/>
      <c r="N179" s="25"/>
      <c r="O179" s="38" t="str">
        <f aca="false">IF($C179="","",SUMIFS(电梯台量,电梯键,$E179,电梯状态,"安装免保")+SUMIFS(电梯台量,电梯键,$E179,电梯状态,"技术免保")+SUMIFS(电梯台量,电梯键,$E179,电梯状态,"质保期内"))</f>
        <v/>
      </c>
      <c r="P179" s="38" t="str">
        <f aca="false">IF($C179="","",$K179-$O179)</f>
        <v/>
      </c>
      <c r="Q179" s="34" t="str">
        <f aca="true">IF($C179="","",IF($G179="已终止","",IF($I179="","▲没填合同止期",IF($I179&lt;TODAY(),"已到期 "&amp;TEXT(TODAY()-$I179,"0")&amp;" 天",IF($I179-TODAY()&lt;=合同提醒天,"将到期 "&amp;TEXT($I179-TODAY(),"0")&amp;" 天","")))))</f>
        <v/>
      </c>
      <c r="R179" s="34" t="str">
        <f aca="false">IF($C179="","",IF($G179="","▲合同状态没选",IF(OR($G179="已签未回",$G179="未签",$G179="续签中"),"▲合同未回（"&amp;$G179&amp;"）","")))</f>
        <v/>
      </c>
      <c r="S179" s="35" t="str">
        <f aca="false">IF($C179="","",IF(N($J179)=N($K179),"一致","★合同"&amp;TEXT(N($J179),"0")&amp;"台 / 在册"&amp;TEXT(N($K179),"0")&amp;"台"))</f>
        <v/>
      </c>
      <c r="T179" s="40" t="str">
        <f aca="false">IF($C179="","",ROUND(SUMIFS(应收金额,应收键,$E179,应收年度,管理年度),2))</f>
        <v/>
      </c>
      <c r="U179" s="40" t="str">
        <f aca="false">IF($C179="","",ROUND(SUMIFS(收款金额,收款键,$E179,收款年度,管理年度),2))</f>
        <v/>
      </c>
      <c r="V179" s="41" t="str">
        <f aca="false">IF($C179="","",ROUND(SUMIF(应收键,$E179,应收金额)-SUMIF(收款键,$E179,收款金额),2))</f>
        <v/>
      </c>
      <c r="W179" s="24"/>
      <c r="X179" s="35" t="str">
        <f aca="false">IF($C179="","",IF($D179="","★项目名称没填",IF(COUNTIF($E$5:$E$304,$E179)&gt;1,"★键重复",IF(AND($H179&lt;&gt;"",$I179&lt;&gt;"",$I179&lt;$H179),"★合同起止反了",IF(N($K179)=0,"★电梯资料里没有这个项目","OK")))))</f>
        <v/>
      </c>
    </row>
    <row r="180" customFormat="false" ht="15" hidden="false" customHeight="false" outlineLevel="0" collapsed="false">
      <c r="A180" s="29" t="str">
        <f aca="false">IF($C180="","",ROW()-4)</f>
        <v/>
      </c>
      <c r="B180" s="35" t="str">
        <f aca="false">IF($C180="","",IFERROR(INDEX(电梯片区,MATCH($E180,电梯键,0)),""))</f>
        <v/>
      </c>
      <c r="C180" s="24"/>
      <c r="D180" s="24"/>
      <c r="E180" s="30" t="str">
        <f aca="false">IF($C180="","",$C180&amp;" ｜ "&amp;$D180)</f>
        <v/>
      </c>
      <c r="F180" s="25"/>
      <c r="G180" s="25"/>
      <c r="H180" s="33"/>
      <c r="I180" s="33"/>
      <c r="J180" s="32"/>
      <c r="K180" s="38" t="str">
        <f aca="false">IF($C180="","",SUMIF(电梯键,$E180,电梯台量))</f>
        <v/>
      </c>
      <c r="L180" s="39"/>
      <c r="M180" s="25"/>
      <c r="N180" s="25"/>
      <c r="O180" s="38" t="str">
        <f aca="false">IF($C180="","",SUMIFS(电梯台量,电梯键,$E180,电梯状态,"安装免保")+SUMIFS(电梯台量,电梯键,$E180,电梯状态,"技术免保")+SUMIFS(电梯台量,电梯键,$E180,电梯状态,"质保期内"))</f>
        <v/>
      </c>
      <c r="P180" s="38" t="str">
        <f aca="false">IF($C180="","",$K180-$O180)</f>
        <v/>
      </c>
      <c r="Q180" s="34" t="str">
        <f aca="true">IF($C180="","",IF($G180="已终止","",IF($I180="","▲没填合同止期",IF($I180&lt;TODAY(),"已到期 "&amp;TEXT(TODAY()-$I180,"0")&amp;" 天",IF($I180-TODAY()&lt;=合同提醒天,"将到期 "&amp;TEXT($I180-TODAY(),"0")&amp;" 天","")))))</f>
        <v/>
      </c>
      <c r="R180" s="34" t="str">
        <f aca="false">IF($C180="","",IF($G180="","▲合同状态没选",IF(OR($G180="已签未回",$G180="未签",$G180="续签中"),"▲合同未回（"&amp;$G180&amp;"）","")))</f>
        <v/>
      </c>
      <c r="S180" s="35" t="str">
        <f aca="false">IF($C180="","",IF(N($J180)=N($K180),"一致","★合同"&amp;TEXT(N($J180),"0")&amp;"台 / 在册"&amp;TEXT(N($K180),"0")&amp;"台"))</f>
        <v/>
      </c>
      <c r="T180" s="40" t="str">
        <f aca="false">IF($C180="","",ROUND(SUMIFS(应收金额,应收键,$E180,应收年度,管理年度),2))</f>
        <v/>
      </c>
      <c r="U180" s="40" t="str">
        <f aca="false">IF($C180="","",ROUND(SUMIFS(收款金额,收款键,$E180,收款年度,管理年度),2))</f>
        <v/>
      </c>
      <c r="V180" s="41" t="str">
        <f aca="false">IF($C180="","",ROUND(SUMIF(应收键,$E180,应收金额)-SUMIF(收款键,$E180,收款金额),2))</f>
        <v/>
      </c>
      <c r="W180" s="24"/>
      <c r="X180" s="35" t="str">
        <f aca="false">IF($C180="","",IF($D180="","★项目名称没填",IF(COUNTIF($E$5:$E$304,$E180)&gt;1,"★键重复",IF(AND($H180&lt;&gt;"",$I180&lt;&gt;"",$I180&lt;$H180),"★合同起止反了",IF(N($K180)=0,"★电梯资料里没有这个项目","OK")))))</f>
        <v/>
      </c>
    </row>
    <row r="181" customFormat="false" ht="15" hidden="false" customHeight="false" outlineLevel="0" collapsed="false">
      <c r="A181" s="29" t="str">
        <f aca="false">IF($C181="","",ROW()-4)</f>
        <v/>
      </c>
      <c r="B181" s="35" t="str">
        <f aca="false">IF($C181="","",IFERROR(INDEX(电梯片区,MATCH($E181,电梯键,0)),""))</f>
        <v/>
      </c>
      <c r="C181" s="24"/>
      <c r="D181" s="24"/>
      <c r="E181" s="30" t="str">
        <f aca="false">IF($C181="","",$C181&amp;" ｜ "&amp;$D181)</f>
        <v/>
      </c>
      <c r="F181" s="25"/>
      <c r="G181" s="25"/>
      <c r="H181" s="33"/>
      <c r="I181" s="33"/>
      <c r="J181" s="32"/>
      <c r="K181" s="38" t="str">
        <f aca="false">IF($C181="","",SUMIF(电梯键,$E181,电梯台量))</f>
        <v/>
      </c>
      <c r="L181" s="39"/>
      <c r="M181" s="25"/>
      <c r="N181" s="25"/>
      <c r="O181" s="38" t="str">
        <f aca="false">IF($C181="","",SUMIFS(电梯台量,电梯键,$E181,电梯状态,"安装免保")+SUMIFS(电梯台量,电梯键,$E181,电梯状态,"技术免保")+SUMIFS(电梯台量,电梯键,$E181,电梯状态,"质保期内"))</f>
        <v/>
      </c>
      <c r="P181" s="38" t="str">
        <f aca="false">IF($C181="","",$K181-$O181)</f>
        <v/>
      </c>
      <c r="Q181" s="34" t="str">
        <f aca="true">IF($C181="","",IF($G181="已终止","",IF($I181="","▲没填合同止期",IF($I181&lt;TODAY(),"已到期 "&amp;TEXT(TODAY()-$I181,"0")&amp;" 天",IF($I181-TODAY()&lt;=合同提醒天,"将到期 "&amp;TEXT($I181-TODAY(),"0")&amp;" 天","")))))</f>
        <v/>
      </c>
      <c r="R181" s="34" t="str">
        <f aca="false">IF($C181="","",IF($G181="","▲合同状态没选",IF(OR($G181="已签未回",$G181="未签",$G181="续签中"),"▲合同未回（"&amp;$G181&amp;"）","")))</f>
        <v/>
      </c>
      <c r="S181" s="35" t="str">
        <f aca="false">IF($C181="","",IF(N($J181)=N($K181),"一致","★合同"&amp;TEXT(N($J181),"0")&amp;"台 / 在册"&amp;TEXT(N($K181),"0")&amp;"台"))</f>
        <v/>
      </c>
      <c r="T181" s="40" t="str">
        <f aca="false">IF($C181="","",ROUND(SUMIFS(应收金额,应收键,$E181,应收年度,管理年度),2))</f>
        <v/>
      </c>
      <c r="U181" s="40" t="str">
        <f aca="false">IF($C181="","",ROUND(SUMIFS(收款金额,收款键,$E181,收款年度,管理年度),2))</f>
        <v/>
      </c>
      <c r="V181" s="41" t="str">
        <f aca="false">IF($C181="","",ROUND(SUMIF(应收键,$E181,应收金额)-SUMIF(收款键,$E181,收款金额),2))</f>
        <v/>
      </c>
      <c r="W181" s="24"/>
      <c r="X181" s="35" t="str">
        <f aca="false">IF($C181="","",IF($D181="","★项目名称没填",IF(COUNTIF($E$5:$E$304,$E181)&gt;1,"★键重复",IF(AND($H181&lt;&gt;"",$I181&lt;&gt;"",$I181&lt;$H181),"★合同起止反了",IF(N($K181)=0,"★电梯资料里没有这个项目","OK")))))</f>
        <v/>
      </c>
    </row>
    <row r="182" customFormat="false" ht="15" hidden="false" customHeight="false" outlineLevel="0" collapsed="false">
      <c r="A182" s="29" t="str">
        <f aca="false">IF($C182="","",ROW()-4)</f>
        <v/>
      </c>
      <c r="B182" s="35" t="str">
        <f aca="false">IF($C182="","",IFERROR(INDEX(电梯片区,MATCH($E182,电梯键,0)),""))</f>
        <v/>
      </c>
      <c r="C182" s="24"/>
      <c r="D182" s="24"/>
      <c r="E182" s="30" t="str">
        <f aca="false">IF($C182="","",$C182&amp;" ｜ "&amp;$D182)</f>
        <v/>
      </c>
      <c r="F182" s="25"/>
      <c r="G182" s="25"/>
      <c r="H182" s="33"/>
      <c r="I182" s="33"/>
      <c r="J182" s="32"/>
      <c r="K182" s="38" t="str">
        <f aca="false">IF($C182="","",SUMIF(电梯键,$E182,电梯台量))</f>
        <v/>
      </c>
      <c r="L182" s="39"/>
      <c r="M182" s="25"/>
      <c r="N182" s="25"/>
      <c r="O182" s="38" t="str">
        <f aca="false">IF($C182="","",SUMIFS(电梯台量,电梯键,$E182,电梯状态,"安装免保")+SUMIFS(电梯台量,电梯键,$E182,电梯状态,"技术免保")+SUMIFS(电梯台量,电梯键,$E182,电梯状态,"质保期内"))</f>
        <v/>
      </c>
      <c r="P182" s="38" t="str">
        <f aca="false">IF($C182="","",$K182-$O182)</f>
        <v/>
      </c>
      <c r="Q182" s="34" t="str">
        <f aca="true">IF($C182="","",IF($G182="已终止","",IF($I182="","▲没填合同止期",IF($I182&lt;TODAY(),"已到期 "&amp;TEXT(TODAY()-$I182,"0")&amp;" 天",IF($I182-TODAY()&lt;=合同提醒天,"将到期 "&amp;TEXT($I182-TODAY(),"0")&amp;" 天","")))))</f>
        <v/>
      </c>
      <c r="R182" s="34" t="str">
        <f aca="false">IF($C182="","",IF($G182="","▲合同状态没选",IF(OR($G182="已签未回",$G182="未签",$G182="续签中"),"▲合同未回（"&amp;$G182&amp;"）","")))</f>
        <v/>
      </c>
      <c r="S182" s="35" t="str">
        <f aca="false">IF($C182="","",IF(N($J182)=N($K182),"一致","★合同"&amp;TEXT(N($J182),"0")&amp;"台 / 在册"&amp;TEXT(N($K182),"0")&amp;"台"))</f>
        <v/>
      </c>
      <c r="T182" s="40" t="str">
        <f aca="false">IF($C182="","",ROUND(SUMIFS(应收金额,应收键,$E182,应收年度,管理年度),2))</f>
        <v/>
      </c>
      <c r="U182" s="40" t="str">
        <f aca="false">IF($C182="","",ROUND(SUMIFS(收款金额,收款键,$E182,收款年度,管理年度),2))</f>
        <v/>
      </c>
      <c r="V182" s="41" t="str">
        <f aca="false">IF($C182="","",ROUND(SUMIF(应收键,$E182,应收金额)-SUMIF(收款键,$E182,收款金额),2))</f>
        <v/>
      </c>
      <c r="W182" s="24"/>
      <c r="X182" s="35" t="str">
        <f aca="false">IF($C182="","",IF($D182="","★项目名称没填",IF(COUNTIF($E$5:$E$304,$E182)&gt;1,"★键重复",IF(AND($H182&lt;&gt;"",$I182&lt;&gt;"",$I182&lt;$H182),"★合同起止反了",IF(N($K182)=0,"★电梯资料里没有这个项目","OK")))))</f>
        <v/>
      </c>
    </row>
    <row r="183" customFormat="false" ht="15" hidden="false" customHeight="false" outlineLevel="0" collapsed="false">
      <c r="A183" s="29" t="str">
        <f aca="false">IF($C183="","",ROW()-4)</f>
        <v/>
      </c>
      <c r="B183" s="35" t="str">
        <f aca="false">IF($C183="","",IFERROR(INDEX(电梯片区,MATCH($E183,电梯键,0)),""))</f>
        <v/>
      </c>
      <c r="C183" s="24"/>
      <c r="D183" s="24"/>
      <c r="E183" s="30" t="str">
        <f aca="false">IF($C183="","",$C183&amp;" ｜ "&amp;$D183)</f>
        <v/>
      </c>
      <c r="F183" s="25"/>
      <c r="G183" s="25"/>
      <c r="H183" s="33"/>
      <c r="I183" s="33"/>
      <c r="J183" s="32"/>
      <c r="K183" s="38" t="str">
        <f aca="false">IF($C183="","",SUMIF(电梯键,$E183,电梯台量))</f>
        <v/>
      </c>
      <c r="L183" s="39"/>
      <c r="M183" s="25"/>
      <c r="N183" s="25"/>
      <c r="O183" s="38" t="str">
        <f aca="false">IF($C183="","",SUMIFS(电梯台量,电梯键,$E183,电梯状态,"安装免保")+SUMIFS(电梯台量,电梯键,$E183,电梯状态,"技术免保")+SUMIFS(电梯台量,电梯键,$E183,电梯状态,"质保期内"))</f>
        <v/>
      </c>
      <c r="P183" s="38" t="str">
        <f aca="false">IF($C183="","",$K183-$O183)</f>
        <v/>
      </c>
      <c r="Q183" s="34" t="str">
        <f aca="true">IF($C183="","",IF($G183="已终止","",IF($I183="","▲没填合同止期",IF($I183&lt;TODAY(),"已到期 "&amp;TEXT(TODAY()-$I183,"0")&amp;" 天",IF($I183-TODAY()&lt;=合同提醒天,"将到期 "&amp;TEXT($I183-TODAY(),"0")&amp;" 天","")))))</f>
        <v/>
      </c>
      <c r="R183" s="34" t="str">
        <f aca="false">IF($C183="","",IF($G183="","▲合同状态没选",IF(OR($G183="已签未回",$G183="未签",$G183="续签中"),"▲合同未回（"&amp;$G183&amp;"）","")))</f>
        <v/>
      </c>
      <c r="S183" s="35" t="str">
        <f aca="false">IF($C183="","",IF(N($J183)=N($K183),"一致","★合同"&amp;TEXT(N($J183),"0")&amp;"台 / 在册"&amp;TEXT(N($K183),"0")&amp;"台"))</f>
        <v/>
      </c>
      <c r="T183" s="40" t="str">
        <f aca="false">IF($C183="","",ROUND(SUMIFS(应收金额,应收键,$E183,应收年度,管理年度),2))</f>
        <v/>
      </c>
      <c r="U183" s="40" t="str">
        <f aca="false">IF($C183="","",ROUND(SUMIFS(收款金额,收款键,$E183,收款年度,管理年度),2))</f>
        <v/>
      </c>
      <c r="V183" s="41" t="str">
        <f aca="false">IF($C183="","",ROUND(SUMIF(应收键,$E183,应收金额)-SUMIF(收款键,$E183,收款金额),2))</f>
        <v/>
      </c>
      <c r="W183" s="24"/>
      <c r="X183" s="35" t="str">
        <f aca="false">IF($C183="","",IF($D183="","★项目名称没填",IF(COUNTIF($E$5:$E$304,$E183)&gt;1,"★键重复",IF(AND($H183&lt;&gt;"",$I183&lt;&gt;"",$I183&lt;$H183),"★合同起止反了",IF(N($K183)=0,"★电梯资料里没有这个项目","OK")))))</f>
        <v/>
      </c>
    </row>
    <row r="184" customFormat="false" ht="15" hidden="false" customHeight="false" outlineLevel="0" collapsed="false">
      <c r="A184" s="29" t="str">
        <f aca="false">IF($C184="","",ROW()-4)</f>
        <v/>
      </c>
      <c r="B184" s="35" t="str">
        <f aca="false">IF($C184="","",IFERROR(INDEX(电梯片区,MATCH($E184,电梯键,0)),""))</f>
        <v/>
      </c>
      <c r="C184" s="24"/>
      <c r="D184" s="24"/>
      <c r="E184" s="30" t="str">
        <f aca="false">IF($C184="","",$C184&amp;" ｜ "&amp;$D184)</f>
        <v/>
      </c>
      <c r="F184" s="25"/>
      <c r="G184" s="25"/>
      <c r="H184" s="33"/>
      <c r="I184" s="33"/>
      <c r="J184" s="32"/>
      <c r="K184" s="38" t="str">
        <f aca="false">IF($C184="","",SUMIF(电梯键,$E184,电梯台量))</f>
        <v/>
      </c>
      <c r="L184" s="39"/>
      <c r="M184" s="25"/>
      <c r="N184" s="25"/>
      <c r="O184" s="38" t="str">
        <f aca="false">IF($C184="","",SUMIFS(电梯台量,电梯键,$E184,电梯状态,"安装免保")+SUMIFS(电梯台量,电梯键,$E184,电梯状态,"技术免保")+SUMIFS(电梯台量,电梯键,$E184,电梯状态,"质保期内"))</f>
        <v/>
      </c>
      <c r="P184" s="38" t="str">
        <f aca="false">IF($C184="","",$K184-$O184)</f>
        <v/>
      </c>
      <c r="Q184" s="34" t="str">
        <f aca="true">IF($C184="","",IF($G184="已终止","",IF($I184="","▲没填合同止期",IF($I184&lt;TODAY(),"已到期 "&amp;TEXT(TODAY()-$I184,"0")&amp;" 天",IF($I184-TODAY()&lt;=合同提醒天,"将到期 "&amp;TEXT($I184-TODAY(),"0")&amp;" 天","")))))</f>
        <v/>
      </c>
      <c r="R184" s="34" t="str">
        <f aca="false">IF($C184="","",IF($G184="","▲合同状态没选",IF(OR($G184="已签未回",$G184="未签",$G184="续签中"),"▲合同未回（"&amp;$G184&amp;"）","")))</f>
        <v/>
      </c>
      <c r="S184" s="35" t="str">
        <f aca="false">IF($C184="","",IF(N($J184)=N($K184),"一致","★合同"&amp;TEXT(N($J184),"0")&amp;"台 / 在册"&amp;TEXT(N($K184),"0")&amp;"台"))</f>
        <v/>
      </c>
      <c r="T184" s="40" t="str">
        <f aca="false">IF($C184="","",ROUND(SUMIFS(应收金额,应收键,$E184,应收年度,管理年度),2))</f>
        <v/>
      </c>
      <c r="U184" s="40" t="str">
        <f aca="false">IF($C184="","",ROUND(SUMIFS(收款金额,收款键,$E184,收款年度,管理年度),2))</f>
        <v/>
      </c>
      <c r="V184" s="41" t="str">
        <f aca="false">IF($C184="","",ROUND(SUMIF(应收键,$E184,应收金额)-SUMIF(收款键,$E184,收款金额),2))</f>
        <v/>
      </c>
      <c r="W184" s="24"/>
      <c r="X184" s="35" t="str">
        <f aca="false">IF($C184="","",IF($D184="","★项目名称没填",IF(COUNTIF($E$5:$E$304,$E184)&gt;1,"★键重复",IF(AND($H184&lt;&gt;"",$I184&lt;&gt;"",$I184&lt;$H184),"★合同起止反了",IF(N($K184)=0,"★电梯资料里没有这个项目","OK")))))</f>
        <v/>
      </c>
    </row>
    <row r="185" customFormat="false" ht="15" hidden="false" customHeight="false" outlineLevel="0" collapsed="false">
      <c r="A185" s="29" t="str">
        <f aca="false">IF($C185="","",ROW()-4)</f>
        <v/>
      </c>
      <c r="B185" s="35" t="str">
        <f aca="false">IF($C185="","",IFERROR(INDEX(电梯片区,MATCH($E185,电梯键,0)),""))</f>
        <v/>
      </c>
      <c r="C185" s="24"/>
      <c r="D185" s="24"/>
      <c r="E185" s="30" t="str">
        <f aca="false">IF($C185="","",$C185&amp;" ｜ "&amp;$D185)</f>
        <v/>
      </c>
      <c r="F185" s="25"/>
      <c r="G185" s="25"/>
      <c r="H185" s="33"/>
      <c r="I185" s="33"/>
      <c r="J185" s="32"/>
      <c r="K185" s="38" t="str">
        <f aca="false">IF($C185="","",SUMIF(电梯键,$E185,电梯台量))</f>
        <v/>
      </c>
      <c r="L185" s="39"/>
      <c r="M185" s="25"/>
      <c r="N185" s="25"/>
      <c r="O185" s="38" t="str">
        <f aca="false">IF($C185="","",SUMIFS(电梯台量,电梯键,$E185,电梯状态,"安装免保")+SUMIFS(电梯台量,电梯键,$E185,电梯状态,"技术免保")+SUMIFS(电梯台量,电梯键,$E185,电梯状态,"质保期内"))</f>
        <v/>
      </c>
      <c r="P185" s="38" t="str">
        <f aca="false">IF($C185="","",$K185-$O185)</f>
        <v/>
      </c>
      <c r="Q185" s="34" t="str">
        <f aca="true">IF($C185="","",IF($G185="已终止","",IF($I185="","▲没填合同止期",IF($I185&lt;TODAY(),"已到期 "&amp;TEXT(TODAY()-$I185,"0")&amp;" 天",IF($I185-TODAY()&lt;=合同提醒天,"将到期 "&amp;TEXT($I185-TODAY(),"0")&amp;" 天","")))))</f>
        <v/>
      </c>
      <c r="R185" s="34" t="str">
        <f aca="false">IF($C185="","",IF($G185="","▲合同状态没选",IF(OR($G185="已签未回",$G185="未签",$G185="续签中"),"▲合同未回（"&amp;$G185&amp;"）","")))</f>
        <v/>
      </c>
      <c r="S185" s="35" t="str">
        <f aca="false">IF($C185="","",IF(N($J185)=N($K185),"一致","★合同"&amp;TEXT(N($J185),"0")&amp;"台 / 在册"&amp;TEXT(N($K185),"0")&amp;"台"))</f>
        <v/>
      </c>
      <c r="T185" s="40" t="str">
        <f aca="false">IF($C185="","",ROUND(SUMIFS(应收金额,应收键,$E185,应收年度,管理年度),2))</f>
        <v/>
      </c>
      <c r="U185" s="40" t="str">
        <f aca="false">IF($C185="","",ROUND(SUMIFS(收款金额,收款键,$E185,收款年度,管理年度),2))</f>
        <v/>
      </c>
      <c r="V185" s="41" t="str">
        <f aca="false">IF($C185="","",ROUND(SUMIF(应收键,$E185,应收金额)-SUMIF(收款键,$E185,收款金额),2))</f>
        <v/>
      </c>
      <c r="W185" s="24"/>
      <c r="X185" s="35" t="str">
        <f aca="false">IF($C185="","",IF($D185="","★项目名称没填",IF(COUNTIF($E$5:$E$304,$E185)&gt;1,"★键重复",IF(AND($H185&lt;&gt;"",$I185&lt;&gt;"",$I185&lt;$H185),"★合同起止反了",IF(N($K185)=0,"★电梯资料里没有这个项目","OK")))))</f>
        <v/>
      </c>
    </row>
    <row r="186" customFormat="false" ht="15" hidden="false" customHeight="false" outlineLevel="0" collapsed="false">
      <c r="A186" s="29" t="str">
        <f aca="false">IF($C186="","",ROW()-4)</f>
        <v/>
      </c>
      <c r="B186" s="35" t="str">
        <f aca="false">IF($C186="","",IFERROR(INDEX(电梯片区,MATCH($E186,电梯键,0)),""))</f>
        <v/>
      </c>
      <c r="C186" s="24"/>
      <c r="D186" s="24"/>
      <c r="E186" s="30" t="str">
        <f aca="false">IF($C186="","",$C186&amp;" ｜ "&amp;$D186)</f>
        <v/>
      </c>
      <c r="F186" s="25"/>
      <c r="G186" s="25"/>
      <c r="H186" s="33"/>
      <c r="I186" s="33"/>
      <c r="J186" s="32"/>
      <c r="K186" s="38" t="str">
        <f aca="false">IF($C186="","",SUMIF(电梯键,$E186,电梯台量))</f>
        <v/>
      </c>
      <c r="L186" s="39"/>
      <c r="M186" s="25"/>
      <c r="N186" s="25"/>
      <c r="O186" s="38" t="str">
        <f aca="false">IF($C186="","",SUMIFS(电梯台量,电梯键,$E186,电梯状态,"安装免保")+SUMIFS(电梯台量,电梯键,$E186,电梯状态,"技术免保")+SUMIFS(电梯台量,电梯键,$E186,电梯状态,"质保期内"))</f>
        <v/>
      </c>
      <c r="P186" s="38" t="str">
        <f aca="false">IF($C186="","",$K186-$O186)</f>
        <v/>
      </c>
      <c r="Q186" s="34" t="str">
        <f aca="true">IF($C186="","",IF($G186="已终止","",IF($I186="","▲没填合同止期",IF($I186&lt;TODAY(),"已到期 "&amp;TEXT(TODAY()-$I186,"0")&amp;" 天",IF($I186-TODAY()&lt;=合同提醒天,"将到期 "&amp;TEXT($I186-TODAY(),"0")&amp;" 天","")))))</f>
        <v/>
      </c>
      <c r="R186" s="34" t="str">
        <f aca="false">IF($C186="","",IF($G186="","▲合同状态没选",IF(OR($G186="已签未回",$G186="未签",$G186="续签中"),"▲合同未回（"&amp;$G186&amp;"）","")))</f>
        <v/>
      </c>
      <c r="S186" s="35" t="str">
        <f aca="false">IF($C186="","",IF(N($J186)=N($K186),"一致","★合同"&amp;TEXT(N($J186),"0")&amp;"台 / 在册"&amp;TEXT(N($K186),"0")&amp;"台"))</f>
        <v/>
      </c>
      <c r="T186" s="40" t="str">
        <f aca="false">IF($C186="","",ROUND(SUMIFS(应收金额,应收键,$E186,应收年度,管理年度),2))</f>
        <v/>
      </c>
      <c r="U186" s="40" t="str">
        <f aca="false">IF($C186="","",ROUND(SUMIFS(收款金额,收款键,$E186,收款年度,管理年度),2))</f>
        <v/>
      </c>
      <c r="V186" s="41" t="str">
        <f aca="false">IF($C186="","",ROUND(SUMIF(应收键,$E186,应收金额)-SUMIF(收款键,$E186,收款金额),2))</f>
        <v/>
      </c>
      <c r="W186" s="24"/>
      <c r="X186" s="35" t="str">
        <f aca="false">IF($C186="","",IF($D186="","★项目名称没填",IF(COUNTIF($E$5:$E$304,$E186)&gt;1,"★键重复",IF(AND($H186&lt;&gt;"",$I186&lt;&gt;"",$I186&lt;$H186),"★合同起止反了",IF(N($K186)=0,"★电梯资料里没有这个项目","OK")))))</f>
        <v/>
      </c>
    </row>
    <row r="187" customFormat="false" ht="15" hidden="false" customHeight="false" outlineLevel="0" collapsed="false">
      <c r="A187" s="29" t="str">
        <f aca="false">IF($C187="","",ROW()-4)</f>
        <v/>
      </c>
      <c r="B187" s="35" t="str">
        <f aca="false">IF($C187="","",IFERROR(INDEX(电梯片区,MATCH($E187,电梯键,0)),""))</f>
        <v/>
      </c>
      <c r="C187" s="24"/>
      <c r="D187" s="24"/>
      <c r="E187" s="30" t="str">
        <f aca="false">IF($C187="","",$C187&amp;" ｜ "&amp;$D187)</f>
        <v/>
      </c>
      <c r="F187" s="25"/>
      <c r="G187" s="25"/>
      <c r="H187" s="33"/>
      <c r="I187" s="33"/>
      <c r="J187" s="32"/>
      <c r="K187" s="38" t="str">
        <f aca="false">IF($C187="","",SUMIF(电梯键,$E187,电梯台量))</f>
        <v/>
      </c>
      <c r="L187" s="39"/>
      <c r="M187" s="25"/>
      <c r="N187" s="25"/>
      <c r="O187" s="38" t="str">
        <f aca="false">IF($C187="","",SUMIFS(电梯台量,电梯键,$E187,电梯状态,"安装免保")+SUMIFS(电梯台量,电梯键,$E187,电梯状态,"技术免保")+SUMIFS(电梯台量,电梯键,$E187,电梯状态,"质保期内"))</f>
        <v/>
      </c>
      <c r="P187" s="38" t="str">
        <f aca="false">IF($C187="","",$K187-$O187)</f>
        <v/>
      </c>
      <c r="Q187" s="34" t="str">
        <f aca="true">IF($C187="","",IF($G187="已终止","",IF($I187="","▲没填合同止期",IF($I187&lt;TODAY(),"已到期 "&amp;TEXT(TODAY()-$I187,"0")&amp;" 天",IF($I187-TODAY()&lt;=合同提醒天,"将到期 "&amp;TEXT($I187-TODAY(),"0")&amp;" 天","")))))</f>
        <v/>
      </c>
      <c r="R187" s="34" t="str">
        <f aca="false">IF($C187="","",IF($G187="","▲合同状态没选",IF(OR($G187="已签未回",$G187="未签",$G187="续签中"),"▲合同未回（"&amp;$G187&amp;"）","")))</f>
        <v/>
      </c>
      <c r="S187" s="35" t="str">
        <f aca="false">IF($C187="","",IF(N($J187)=N($K187),"一致","★合同"&amp;TEXT(N($J187),"0")&amp;"台 / 在册"&amp;TEXT(N($K187),"0")&amp;"台"))</f>
        <v/>
      </c>
      <c r="T187" s="40" t="str">
        <f aca="false">IF($C187="","",ROUND(SUMIFS(应收金额,应收键,$E187,应收年度,管理年度),2))</f>
        <v/>
      </c>
      <c r="U187" s="40" t="str">
        <f aca="false">IF($C187="","",ROUND(SUMIFS(收款金额,收款键,$E187,收款年度,管理年度),2))</f>
        <v/>
      </c>
      <c r="V187" s="41" t="str">
        <f aca="false">IF($C187="","",ROUND(SUMIF(应收键,$E187,应收金额)-SUMIF(收款键,$E187,收款金额),2))</f>
        <v/>
      </c>
      <c r="W187" s="24"/>
      <c r="X187" s="35" t="str">
        <f aca="false">IF($C187="","",IF($D187="","★项目名称没填",IF(COUNTIF($E$5:$E$304,$E187)&gt;1,"★键重复",IF(AND($H187&lt;&gt;"",$I187&lt;&gt;"",$I187&lt;$H187),"★合同起止反了",IF(N($K187)=0,"★电梯资料里没有这个项目","OK")))))</f>
        <v/>
      </c>
    </row>
    <row r="188" customFormat="false" ht="15" hidden="false" customHeight="false" outlineLevel="0" collapsed="false">
      <c r="A188" s="29" t="str">
        <f aca="false">IF($C188="","",ROW()-4)</f>
        <v/>
      </c>
      <c r="B188" s="35" t="str">
        <f aca="false">IF($C188="","",IFERROR(INDEX(电梯片区,MATCH($E188,电梯键,0)),""))</f>
        <v/>
      </c>
      <c r="C188" s="24"/>
      <c r="D188" s="24"/>
      <c r="E188" s="30" t="str">
        <f aca="false">IF($C188="","",$C188&amp;" ｜ "&amp;$D188)</f>
        <v/>
      </c>
      <c r="F188" s="25"/>
      <c r="G188" s="25"/>
      <c r="H188" s="33"/>
      <c r="I188" s="33"/>
      <c r="J188" s="32"/>
      <c r="K188" s="38" t="str">
        <f aca="false">IF($C188="","",SUMIF(电梯键,$E188,电梯台量))</f>
        <v/>
      </c>
      <c r="L188" s="39"/>
      <c r="M188" s="25"/>
      <c r="N188" s="25"/>
      <c r="O188" s="38" t="str">
        <f aca="false">IF($C188="","",SUMIFS(电梯台量,电梯键,$E188,电梯状态,"安装免保")+SUMIFS(电梯台量,电梯键,$E188,电梯状态,"技术免保")+SUMIFS(电梯台量,电梯键,$E188,电梯状态,"质保期内"))</f>
        <v/>
      </c>
      <c r="P188" s="38" t="str">
        <f aca="false">IF($C188="","",$K188-$O188)</f>
        <v/>
      </c>
      <c r="Q188" s="34" t="str">
        <f aca="true">IF($C188="","",IF($G188="已终止","",IF($I188="","▲没填合同止期",IF($I188&lt;TODAY(),"已到期 "&amp;TEXT(TODAY()-$I188,"0")&amp;" 天",IF($I188-TODAY()&lt;=合同提醒天,"将到期 "&amp;TEXT($I188-TODAY(),"0")&amp;" 天","")))))</f>
        <v/>
      </c>
      <c r="R188" s="34" t="str">
        <f aca="false">IF($C188="","",IF($G188="","▲合同状态没选",IF(OR($G188="已签未回",$G188="未签",$G188="续签中"),"▲合同未回（"&amp;$G188&amp;"）","")))</f>
        <v/>
      </c>
      <c r="S188" s="35" t="str">
        <f aca="false">IF($C188="","",IF(N($J188)=N($K188),"一致","★合同"&amp;TEXT(N($J188),"0")&amp;"台 / 在册"&amp;TEXT(N($K188),"0")&amp;"台"))</f>
        <v/>
      </c>
      <c r="T188" s="40" t="str">
        <f aca="false">IF($C188="","",ROUND(SUMIFS(应收金额,应收键,$E188,应收年度,管理年度),2))</f>
        <v/>
      </c>
      <c r="U188" s="40" t="str">
        <f aca="false">IF($C188="","",ROUND(SUMIFS(收款金额,收款键,$E188,收款年度,管理年度),2))</f>
        <v/>
      </c>
      <c r="V188" s="41" t="str">
        <f aca="false">IF($C188="","",ROUND(SUMIF(应收键,$E188,应收金额)-SUMIF(收款键,$E188,收款金额),2))</f>
        <v/>
      </c>
      <c r="W188" s="24"/>
      <c r="X188" s="35" t="str">
        <f aca="false">IF($C188="","",IF($D188="","★项目名称没填",IF(COUNTIF($E$5:$E$304,$E188)&gt;1,"★键重复",IF(AND($H188&lt;&gt;"",$I188&lt;&gt;"",$I188&lt;$H188),"★合同起止反了",IF(N($K188)=0,"★电梯资料里没有这个项目","OK")))))</f>
        <v/>
      </c>
    </row>
    <row r="189" customFormat="false" ht="15" hidden="false" customHeight="false" outlineLevel="0" collapsed="false">
      <c r="A189" s="29" t="str">
        <f aca="false">IF($C189="","",ROW()-4)</f>
        <v/>
      </c>
      <c r="B189" s="35" t="str">
        <f aca="false">IF($C189="","",IFERROR(INDEX(电梯片区,MATCH($E189,电梯键,0)),""))</f>
        <v/>
      </c>
      <c r="C189" s="24"/>
      <c r="D189" s="24"/>
      <c r="E189" s="30" t="str">
        <f aca="false">IF($C189="","",$C189&amp;" ｜ "&amp;$D189)</f>
        <v/>
      </c>
      <c r="F189" s="25"/>
      <c r="G189" s="25"/>
      <c r="H189" s="33"/>
      <c r="I189" s="33"/>
      <c r="J189" s="32"/>
      <c r="K189" s="38" t="str">
        <f aca="false">IF($C189="","",SUMIF(电梯键,$E189,电梯台量))</f>
        <v/>
      </c>
      <c r="L189" s="39"/>
      <c r="M189" s="25"/>
      <c r="N189" s="25"/>
      <c r="O189" s="38" t="str">
        <f aca="false">IF($C189="","",SUMIFS(电梯台量,电梯键,$E189,电梯状态,"安装免保")+SUMIFS(电梯台量,电梯键,$E189,电梯状态,"技术免保")+SUMIFS(电梯台量,电梯键,$E189,电梯状态,"质保期内"))</f>
        <v/>
      </c>
      <c r="P189" s="38" t="str">
        <f aca="false">IF($C189="","",$K189-$O189)</f>
        <v/>
      </c>
      <c r="Q189" s="34" t="str">
        <f aca="true">IF($C189="","",IF($G189="已终止","",IF($I189="","▲没填合同止期",IF($I189&lt;TODAY(),"已到期 "&amp;TEXT(TODAY()-$I189,"0")&amp;" 天",IF($I189-TODAY()&lt;=合同提醒天,"将到期 "&amp;TEXT($I189-TODAY(),"0")&amp;" 天","")))))</f>
        <v/>
      </c>
      <c r="R189" s="34" t="str">
        <f aca="false">IF($C189="","",IF($G189="","▲合同状态没选",IF(OR($G189="已签未回",$G189="未签",$G189="续签中"),"▲合同未回（"&amp;$G189&amp;"）","")))</f>
        <v/>
      </c>
      <c r="S189" s="35" t="str">
        <f aca="false">IF($C189="","",IF(N($J189)=N($K189),"一致","★合同"&amp;TEXT(N($J189),"0")&amp;"台 / 在册"&amp;TEXT(N($K189),"0")&amp;"台"))</f>
        <v/>
      </c>
      <c r="T189" s="40" t="str">
        <f aca="false">IF($C189="","",ROUND(SUMIFS(应收金额,应收键,$E189,应收年度,管理年度),2))</f>
        <v/>
      </c>
      <c r="U189" s="40" t="str">
        <f aca="false">IF($C189="","",ROUND(SUMIFS(收款金额,收款键,$E189,收款年度,管理年度),2))</f>
        <v/>
      </c>
      <c r="V189" s="41" t="str">
        <f aca="false">IF($C189="","",ROUND(SUMIF(应收键,$E189,应收金额)-SUMIF(收款键,$E189,收款金额),2))</f>
        <v/>
      </c>
      <c r="W189" s="24"/>
      <c r="X189" s="35" t="str">
        <f aca="false">IF($C189="","",IF($D189="","★项目名称没填",IF(COUNTIF($E$5:$E$304,$E189)&gt;1,"★键重复",IF(AND($H189&lt;&gt;"",$I189&lt;&gt;"",$I189&lt;$H189),"★合同起止反了",IF(N($K189)=0,"★电梯资料里没有这个项目","OK")))))</f>
        <v/>
      </c>
    </row>
    <row r="190" customFormat="false" ht="15" hidden="false" customHeight="false" outlineLevel="0" collapsed="false">
      <c r="A190" s="29" t="str">
        <f aca="false">IF($C190="","",ROW()-4)</f>
        <v/>
      </c>
      <c r="B190" s="35" t="str">
        <f aca="false">IF($C190="","",IFERROR(INDEX(电梯片区,MATCH($E190,电梯键,0)),""))</f>
        <v/>
      </c>
      <c r="C190" s="24"/>
      <c r="D190" s="24"/>
      <c r="E190" s="30" t="str">
        <f aca="false">IF($C190="","",$C190&amp;" ｜ "&amp;$D190)</f>
        <v/>
      </c>
      <c r="F190" s="25"/>
      <c r="G190" s="25"/>
      <c r="H190" s="33"/>
      <c r="I190" s="33"/>
      <c r="J190" s="32"/>
      <c r="K190" s="38" t="str">
        <f aca="false">IF($C190="","",SUMIF(电梯键,$E190,电梯台量))</f>
        <v/>
      </c>
      <c r="L190" s="39"/>
      <c r="M190" s="25"/>
      <c r="N190" s="25"/>
      <c r="O190" s="38" t="str">
        <f aca="false">IF($C190="","",SUMIFS(电梯台量,电梯键,$E190,电梯状态,"安装免保")+SUMIFS(电梯台量,电梯键,$E190,电梯状态,"技术免保")+SUMIFS(电梯台量,电梯键,$E190,电梯状态,"质保期内"))</f>
        <v/>
      </c>
      <c r="P190" s="38" t="str">
        <f aca="false">IF($C190="","",$K190-$O190)</f>
        <v/>
      </c>
      <c r="Q190" s="34" t="str">
        <f aca="true">IF($C190="","",IF($G190="已终止","",IF($I190="","▲没填合同止期",IF($I190&lt;TODAY(),"已到期 "&amp;TEXT(TODAY()-$I190,"0")&amp;" 天",IF($I190-TODAY()&lt;=合同提醒天,"将到期 "&amp;TEXT($I190-TODAY(),"0")&amp;" 天","")))))</f>
        <v/>
      </c>
      <c r="R190" s="34" t="str">
        <f aca="false">IF($C190="","",IF($G190="","▲合同状态没选",IF(OR($G190="已签未回",$G190="未签",$G190="续签中"),"▲合同未回（"&amp;$G190&amp;"）","")))</f>
        <v/>
      </c>
      <c r="S190" s="35" t="str">
        <f aca="false">IF($C190="","",IF(N($J190)=N($K190),"一致","★合同"&amp;TEXT(N($J190),"0")&amp;"台 / 在册"&amp;TEXT(N($K190),"0")&amp;"台"))</f>
        <v/>
      </c>
      <c r="T190" s="40" t="str">
        <f aca="false">IF($C190="","",ROUND(SUMIFS(应收金额,应收键,$E190,应收年度,管理年度),2))</f>
        <v/>
      </c>
      <c r="U190" s="40" t="str">
        <f aca="false">IF($C190="","",ROUND(SUMIFS(收款金额,收款键,$E190,收款年度,管理年度),2))</f>
        <v/>
      </c>
      <c r="V190" s="41" t="str">
        <f aca="false">IF($C190="","",ROUND(SUMIF(应收键,$E190,应收金额)-SUMIF(收款键,$E190,收款金额),2))</f>
        <v/>
      </c>
      <c r="W190" s="24"/>
      <c r="X190" s="35" t="str">
        <f aca="false">IF($C190="","",IF($D190="","★项目名称没填",IF(COUNTIF($E$5:$E$304,$E190)&gt;1,"★键重复",IF(AND($H190&lt;&gt;"",$I190&lt;&gt;"",$I190&lt;$H190),"★合同起止反了",IF(N($K190)=0,"★电梯资料里没有这个项目","OK")))))</f>
        <v/>
      </c>
    </row>
    <row r="191" customFormat="false" ht="15" hidden="false" customHeight="false" outlineLevel="0" collapsed="false">
      <c r="A191" s="29" t="str">
        <f aca="false">IF($C191="","",ROW()-4)</f>
        <v/>
      </c>
      <c r="B191" s="35" t="str">
        <f aca="false">IF($C191="","",IFERROR(INDEX(电梯片区,MATCH($E191,电梯键,0)),""))</f>
        <v/>
      </c>
      <c r="C191" s="24"/>
      <c r="D191" s="24"/>
      <c r="E191" s="30" t="str">
        <f aca="false">IF($C191="","",$C191&amp;" ｜ "&amp;$D191)</f>
        <v/>
      </c>
      <c r="F191" s="25"/>
      <c r="G191" s="25"/>
      <c r="H191" s="33"/>
      <c r="I191" s="33"/>
      <c r="J191" s="32"/>
      <c r="K191" s="38" t="str">
        <f aca="false">IF($C191="","",SUMIF(电梯键,$E191,电梯台量))</f>
        <v/>
      </c>
      <c r="L191" s="39"/>
      <c r="M191" s="25"/>
      <c r="N191" s="25"/>
      <c r="O191" s="38" t="str">
        <f aca="false">IF($C191="","",SUMIFS(电梯台量,电梯键,$E191,电梯状态,"安装免保")+SUMIFS(电梯台量,电梯键,$E191,电梯状态,"技术免保")+SUMIFS(电梯台量,电梯键,$E191,电梯状态,"质保期内"))</f>
        <v/>
      </c>
      <c r="P191" s="38" t="str">
        <f aca="false">IF($C191="","",$K191-$O191)</f>
        <v/>
      </c>
      <c r="Q191" s="34" t="str">
        <f aca="true">IF($C191="","",IF($G191="已终止","",IF($I191="","▲没填合同止期",IF($I191&lt;TODAY(),"已到期 "&amp;TEXT(TODAY()-$I191,"0")&amp;" 天",IF($I191-TODAY()&lt;=合同提醒天,"将到期 "&amp;TEXT($I191-TODAY(),"0")&amp;" 天","")))))</f>
        <v/>
      </c>
      <c r="R191" s="34" t="str">
        <f aca="false">IF($C191="","",IF($G191="","▲合同状态没选",IF(OR($G191="已签未回",$G191="未签",$G191="续签中"),"▲合同未回（"&amp;$G191&amp;"）","")))</f>
        <v/>
      </c>
      <c r="S191" s="35" t="str">
        <f aca="false">IF($C191="","",IF(N($J191)=N($K191),"一致","★合同"&amp;TEXT(N($J191),"0")&amp;"台 / 在册"&amp;TEXT(N($K191),"0")&amp;"台"))</f>
        <v/>
      </c>
      <c r="T191" s="40" t="str">
        <f aca="false">IF($C191="","",ROUND(SUMIFS(应收金额,应收键,$E191,应收年度,管理年度),2))</f>
        <v/>
      </c>
      <c r="U191" s="40" t="str">
        <f aca="false">IF($C191="","",ROUND(SUMIFS(收款金额,收款键,$E191,收款年度,管理年度),2))</f>
        <v/>
      </c>
      <c r="V191" s="41" t="str">
        <f aca="false">IF($C191="","",ROUND(SUMIF(应收键,$E191,应收金额)-SUMIF(收款键,$E191,收款金额),2))</f>
        <v/>
      </c>
      <c r="W191" s="24"/>
      <c r="X191" s="35" t="str">
        <f aca="false">IF($C191="","",IF($D191="","★项目名称没填",IF(COUNTIF($E$5:$E$304,$E191)&gt;1,"★键重复",IF(AND($H191&lt;&gt;"",$I191&lt;&gt;"",$I191&lt;$H191),"★合同起止反了",IF(N($K191)=0,"★电梯资料里没有这个项目","OK")))))</f>
        <v/>
      </c>
    </row>
    <row r="192" customFormat="false" ht="15" hidden="false" customHeight="false" outlineLevel="0" collapsed="false">
      <c r="A192" s="29" t="str">
        <f aca="false">IF($C192="","",ROW()-4)</f>
        <v/>
      </c>
      <c r="B192" s="35" t="str">
        <f aca="false">IF($C192="","",IFERROR(INDEX(电梯片区,MATCH($E192,电梯键,0)),""))</f>
        <v/>
      </c>
      <c r="C192" s="24"/>
      <c r="D192" s="24"/>
      <c r="E192" s="30" t="str">
        <f aca="false">IF($C192="","",$C192&amp;" ｜ "&amp;$D192)</f>
        <v/>
      </c>
      <c r="F192" s="25"/>
      <c r="G192" s="25"/>
      <c r="H192" s="33"/>
      <c r="I192" s="33"/>
      <c r="J192" s="32"/>
      <c r="K192" s="38" t="str">
        <f aca="false">IF($C192="","",SUMIF(电梯键,$E192,电梯台量))</f>
        <v/>
      </c>
      <c r="L192" s="39"/>
      <c r="M192" s="25"/>
      <c r="N192" s="25"/>
      <c r="O192" s="38" t="str">
        <f aca="false">IF($C192="","",SUMIFS(电梯台量,电梯键,$E192,电梯状态,"安装免保")+SUMIFS(电梯台量,电梯键,$E192,电梯状态,"技术免保")+SUMIFS(电梯台量,电梯键,$E192,电梯状态,"质保期内"))</f>
        <v/>
      </c>
      <c r="P192" s="38" t="str">
        <f aca="false">IF($C192="","",$K192-$O192)</f>
        <v/>
      </c>
      <c r="Q192" s="34" t="str">
        <f aca="true">IF($C192="","",IF($G192="已终止","",IF($I192="","▲没填合同止期",IF($I192&lt;TODAY(),"已到期 "&amp;TEXT(TODAY()-$I192,"0")&amp;" 天",IF($I192-TODAY()&lt;=合同提醒天,"将到期 "&amp;TEXT($I192-TODAY(),"0")&amp;" 天","")))))</f>
        <v/>
      </c>
      <c r="R192" s="34" t="str">
        <f aca="false">IF($C192="","",IF($G192="","▲合同状态没选",IF(OR($G192="已签未回",$G192="未签",$G192="续签中"),"▲合同未回（"&amp;$G192&amp;"）","")))</f>
        <v/>
      </c>
      <c r="S192" s="35" t="str">
        <f aca="false">IF($C192="","",IF(N($J192)=N($K192),"一致","★合同"&amp;TEXT(N($J192),"0")&amp;"台 / 在册"&amp;TEXT(N($K192),"0")&amp;"台"))</f>
        <v/>
      </c>
      <c r="T192" s="40" t="str">
        <f aca="false">IF($C192="","",ROUND(SUMIFS(应收金额,应收键,$E192,应收年度,管理年度),2))</f>
        <v/>
      </c>
      <c r="U192" s="40" t="str">
        <f aca="false">IF($C192="","",ROUND(SUMIFS(收款金额,收款键,$E192,收款年度,管理年度),2))</f>
        <v/>
      </c>
      <c r="V192" s="41" t="str">
        <f aca="false">IF($C192="","",ROUND(SUMIF(应收键,$E192,应收金额)-SUMIF(收款键,$E192,收款金额),2))</f>
        <v/>
      </c>
      <c r="W192" s="24"/>
      <c r="X192" s="35" t="str">
        <f aca="false">IF($C192="","",IF($D192="","★项目名称没填",IF(COUNTIF($E$5:$E$304,$E192)&gt;1,"★键重复",IF(AND($H192&lt;&gt;"",$I192&lt;&gt;"",$I192&lt;$H192),"★合同起止反了",IF(N($K192)=0,"★电梯资料里没有这个项目","OK")))))</f>
        <v/>
      </c>
    </row>
    <row r="193" customFormat="false" ht="15" hidden="false" customHeight="false" outlineLevel="0" collapsed="false">
      <c r="A193" s="29" t="str">
        <f aca="false">IF($C193="","",ROW()-4)</f>
        <v/>
      </c>
      <c r="B193" s="35" t="str">
        <f aca="false">IF($C193="","",IFERROR(INDEX(电梯片区,MATCH($E193,电梯键,0)),""))</f>
        <v/>
      </c>
      <c r="C193" s="24"/>
      <c r="D193" s="24"/>
      <c r="E193" s="30" t="str">
        <f aca="false">IF($C193="","",$C193&amp;" ｜ "&amp;$D193)</f>
        <v/>
      </c>
      <c r="F193" s="25"/>
      <c r="G193" s="25"/>
      <c r="H193" s="33"/>
      <c r="I193" s="33"/>
      <c r="J193" s="32"/>
      <c r="K193" s="38" t="str">
        <f aca="false">IF($C193="","",SUMIF(电梯键,$E193,电梯台量))</f>
        <v/>
      </c>
      <c r="L193" s="39"/>
      <c r="M193" s="25"/>
      <c r="N193" s="25"/>
      <c r="O193" s="38" t="str">
        <f aca="false">IF($C193="","",SUMIFS(电梯台量,电梯键,$E193,电梯状态,"安装免保")+SUMIFS(电梯台量,电梯键,$E193,电梯状态,"技术免保")+SUMIFS(电梯台量,电梯键,$E193,电梯状态,"质保期内"))</f>
        <v/>
      </c>
      <c r="P193" s="38" t="str">
        <f aca="false">IF($C193="","",$K193-$O193)</f>
        <v/>
      </c>
      <c r="Q193" s="34" t="str">
        <f aca="true">IF($C193="","",IF($G193="已终止","",IF($I193="","▲没填合同止期",IF($I193&lt;TODAY(),"已到期 "&amp;TEXT(TODAY()-$I193,"0")&amp;" 天",IF($I193-TODAY()&lt;=合同提醒天,"将到期 "&amp;TEXT($I193-TODAY(),"0")&amp;" 天","")))))</f>
        <v/>
      </c>
      <c r="R193" s="34" t="str">
        <f aca="false">IF($C193="","",IF($G193="","▲合同状态没选",IF(OR($G193="已签未回",$G193="未签",$G193="续签中"),"▲合同未回（"&amp;$G193&amp;"）","")))</f>
        <v/>
      </c>
      <c r="S193" s="35" t="str">
        <f aca="false">IF($C193="","",IF(N($J193)=N($K193),"一致","★合同"&amp;TEXT(N($J193),"0")&amp;"台 / 在册"&amp;TEXT(N($K193),"0")&amp;"台"))</f>
        <v/>
      </c>
      <c r="T193" s="40" t="str">
        <f aca="false">IF($C193="","",ROUND(SUMIFS(应收金额,应收键,$E193,应收年度,管理年度),2))</f>
        <v/>
      </c>
      <c r="U193" s="40" t="str">
        <f aca="false">IF($C193="","",ROUND(SUMIFS(收款金额,收款键,$E193,收款年度,管理年度),2))</f>
        <v/>
      </c>
      <c r="V193" s="41" t="str">
        <f aca="false">IF($C193="","",ROUND(SUMIF(应收键,$E193,应收金额)-SUMIF(收款键,$E193,收款金额),2))</f>
        <v/>
      </c>
      <c r="W193" s="24"/>
      <c r="X193" s="35" t="str">
        <f aca="false">IF($C193="","",IF($D193="","★项目名称没填",IF(COUNTIF($E$5:$E$304,$E193)&gt;1,"★键重复",IF(AND($H193&lt;&gt;"",$I193&lt;&gt;"",$I193&lt;$H193),"★合同起止反了",IF(N($K193)=0,"★电梯资料里没有这个项目","OK")))))</f>
        <v/>
      </c>
    </row>
    <row r="194" customFormat="false" ht="15" hidden="false" customHeight="false" outlineLevel="0" collapsed="false">
      <c r="A194" s="29" t="str">
        <f aca="false">IF($C194="","",ROW()-4)</f>
        <v/>
      </c>
      <c r="B194" s="35" t="str">
        <f aca="false">IF($C194="","",IFERROR(INDEX(电梯片区,MATCH($E194,电梯键,0)),""))</f>
        <v/>
      </c>
      <c r="C194" s="24"/>
      <c r="D194" s="24"/>
      <c r="E194" s="30" t="str">
        <f aca="false">IF($C194="","",$C194&amp;" ｜ "&amp;$D194)</f>
        <v/>
      </c>
      <c r="F194" s="25"/>
      <c r="G194" s="25"/>
      <c r="H194" s="33"/>
      <c r="I194" s="33"/>
      <c r="J194" s="32"/>
      <c r="K194" s="38" t="str">
        <f aca="false">IF($C194="","",SUMIF(电梯键,$E194,电梯台量))</f>
        <v/>
      </c>
      <c r="L194" s="39"/>
      <c r="M194" s="25"/>
      <c r="N194" s="25"/>
      <c r="O194" s="38" t="str">
        <f aca="false">IF($C194="","",SUMIFS(电梯台量,电梯键,$E194,电梯状态,"安装免保")+SUMIFS(电梯台量,电梯键,$E194,电梯状态,"技术免保")+SUMIFS(电梯台量,电梯键,$E194,电梯状态,"质保期内"))</f>
        <v/>
      </c>
      <c r="P194" s="38" t="str">
        <f aca="false">IF($C194="","",$K194-$O194)</f>
        <v/>
      </c>
      <c r="Q194" s="34" t="str">
        <f aca="true">IF($C194="","",IF($G194="已终止","",IF($I194="","▲没填合同止期",IF($I194&lt;TODAY(),"已到期 "&amp;TEXT(TODAY()-$I194,"0")&amp;" 天",IF($I194-TODAY()&lt;=合同提醒天,"将到期 "&amp;TEXT($I194-TODAY(),"0")&amp;" 天","")))))</f>
        <v/>
      </c>
      <c r="R194" s="34" t="str">
        <f aca="false">IF($C194="","",IF($G194="","▲合同状态没选",IF(OR($G194="已签未回",$G194="未签",$G194="续签中"),"▲合同未回（"&amp;$G194&amp;"）","")))</f>
        <v/>
      </c>
      <c r="S194" s="35" t="str">
        <f aca="false">IF($C194="","",IF(N($J194)=N($K194),"一致","★合同"&amp;TEXT(N($J194),"0")&amp;"台 / 在册"&amp;TEXT(N($K194),"0")&amp;"台"))</f>
        <v/>
      </c>
      <c r="T194" s="40" t="str">
        <f aca="false">IF($C194="","",ROUND(SUMIFS(应收金额,应收键,$E194,应收年度,管理年度),2))</f>
        <v/>
      </c>
      <c r="U194" s="40" t="str">
        <f aca="false">IF($C194="","",ROUND(SUMIFS(收款金额,收款键,$E194,收款年度,管理年度),2))</f>
        <v/>
      </c>
      <c r="V194" s="41" t="str">
        <f aca="false">IF($C194="","",ROUND(SUMIF(应收键,$E194,应收金额)-SUMIF(收款键,$E194,收款金额),2))</f>
        <v/>
      </c>
      <c r="W194" s="24"/>
      <c r="X194" s="35" t="str">
        <f aca="false">IF($C194="","",IF($D194="","★项目名称没填",IF(COUNTIF($E$5:$E$304,$E194)&gt;1,"★键重复",IF(AND($H194&lt;&gt;"",$I194&lt;&gt;"",$I194&lt;$H194),"★合同起止反了",IF(N($K194)=0,"★电梯资料里没有这个项目","OK")))))</f>
        <v/>
      </c>
    </row>
    <row r="195" customFormat="false" ht="15" hidden="false" customHeight="false" outlineLevel="0" collapsed="false">
      <c r="A195" s="29" t="str">
        <f aca="false">IF($C195="","",ROW()-4)</f>
        <v/>
      </c>
      <c r="B195" s="35" t="str">
        <f aca="false">IF($C195="","",IFERROR(INDEX(电梯片区,MATCH($E195,电梯键,0)),""))</f>
        <v/>
      </c>
      <c r="C195" s="24"/>
      <c r="D195" s="24"/>
      <c r="E195" s="30" t="str">
        <f aca="false">IF($C195="","",$C195&amp;" ｜ "&amp;$D195)</f>
        <v/>
      </c>
      <c r="F195" s="25"/>
      <c r="G195" s="25"/>
      <c r="H195" s="33"/>
      <c r="I195" s="33"/>
      <c r="J195" s="32"/>
      <c r="K195" s="38" t="str">
        <f aca="false">IF($C195="","",SUMIF(电梯键,$E195,电梯台量))</f>
        <v/>
      </c>
      <c r="L195" s="39"/>
      <c r="M195" s="25"/>
      <c r="N195" s="25"/>
      <c r="O195" s="38" t="str">
        <f aca="false">IF($C195="","",SUMIFS(电梯台量,电梯键,$E195,电梯状态,"安装免保")+SUMIFS(电梯台量,电梯键,$E195,电梯状态,"技术免保")+SUMIFS(电梯台量,电梯键,$E195,电梯状态,"质保期内"))</f>
        <v/>
      </c>
      <c r="P195" s="38" t="str">
        <f aca="false">IF($C195="","",$K195-$O195)</f>
        <v/>
      </c>
      <c r="Q195" s="34" t="str">
        <f aca="true">IF($C195="","",IF($G195="已终止","",IF($I195="","▲没填合同止期",IF($I195&lt;TODAY(),"已到期 "&amp;TEXT(TODAY()-$I195,"0")&amp;" 天",IF($I195-TODAY()&lt;=合同提醒天,"将到期 "&amp;TEXT($I195-TODAY(),"0")&amp;" 天","")))))</f>
        <v/>
      </c>
      <c r="R195" s="34" t="str">
        <f aca="false">IF($C195="","",IF($G195="","▲合同状态没选",IF(OR($G195="已签未回",$G195="未签",$G195="续签中"),"▲合同未回（"&amp;$G195&amp;"）","")))</f>
        <v/>
      </c>
      <c r="S195" s="35" t="str">
        <f aca="false">IF($C195="","",IF(N($J195)=N($K195),"一致","★合同"&amp;TEXT(N($J195),"0")&amp;"台 / 在册"&amp;TEXT(N($K195),"0")&amp;"台"))</f>
        <v/>
      </c>
      <c r="T195" s="40" t="str">
        <f aca="false">IF($C195="","",ROUND(SUMIFS(应收金额,应收键,$E195,应收年度,管理年度),2))</f>
        <v/>
      </c>
      <c r="U195" s="40" t="str">
        <f aca="false">IF($C195="","",ROUND(SUMIFS(收款金额,收款键,$E195,收款年度,管理年度),2))</f>
        <v/>
      </c>
      <c r="V195" s="41" t="str">
        <f aca="false">IF($C195="","",ROUND(SUMIF(应收键,$E195,应收金额)-SUMIF(收款键,$E195,收款金额),2))</f>
        <v/>
      </c>
      <c r="W195" s="24"/>
      <c r="X195" s="35" t="str">
        <f aca="false">IF($C195="","",IF($D195="","★项目名称没填",IF(COUNTIF($E$5:$E$304,$E195)&gt;1,"★键重复",IF(AND($H195&lt;&gt;"",$I195&lt;&gt;"",$I195&lt;$H195),"★合同起止反了",IF(N($K195)=0,"★电梯资料里没有这个项目","OK")))))</f>
        <v/>
      </c>
    </row>
    <row r="196" customFormat="false" ht="15" hidden="false" customHeight="false" outlineLevel="0" collapsed="false">
      <c r="A196" s="29" t="str">
        <f aca="false">IF($C196="","",ROW()-4)</f>
        <v/>
      </c>
      <c r="B196" s="35" t="str">
        <f aca="false">IF($C196="","",IFERROR(INDEX(电梯片区,MATCH($E196,电梯键,0)),""))</f>
        <v/>
      </c>
      <c r="C196" s="24"/>
      <c r="D196" s="24"/>
      <c r="E196" s="30" t="str">
        <f aca="false">IF($C196="","",$C196&amp;" ｜ "&amp;$D196)</f>
        <v/>
      </c>
      <c r="F196" s="25"/>
      <c r="G196" s="25"/>
      <c r="H196" s="33"/>
      <c r="I196" s="33"/>
      <c r="J196" s="32"/>
      <c r="K196" s="38" t="str">
        <f aca="false">IF($C196="","",SUMIF(电梯键,$E196,电梯台量))</f>
        <v/>
      </c>
      <c r="L196" s="39"/>
      <c r="M196" s="25"/>
      <c r="N196" s="25"/>
      <c r="O196" s="38" t="str">
        <f aca="false">IF($C196="","",SUMIFS(电梯台量,电梯键,$E196,电梯状态,"安装免保")+SUMIFS(电梯台量,电梯键,$E196,电梯状态,"技术免保")+SUMIFS(电梯台量,电梯键,$E196,电梯状态,"质保期内"))</f>
        <v/>
      </c>
      <c r="P196" s="38" t="str">
        <f aca="false">IF($C196="","",$K196-$O196)</f>
        <v/>
      </c>
      <c r="Q196" s="34" t="str">
        <f aca="true">IF($C196="","",IF($G196="已终止","",IF($I196="","▲没填合同止期",IF($I196&lt;TODAY(),"已到期 "&amp;TEXT(TODAY()-$I196,"0")&amp;" 天",IF($I196-TODAY()&lt;=合同提醒天,"将到期 "&amp;TEXT($I196-TODAY(),"0")&amp;" 天","")))))</f>
        <v/>
      </c>
      <c r="R196" s="34" t="str">
        <f aca="false">IF($C196="","",IF($G196="","▲合同状态没选",IF(OR($G196="已签未回",$G196="未签",$G196="续签中"),"▲合同未回（"&amp;$G196&amp;"）","")))</f>
        <v/>
      </c>
      <c r="S196" s="35" t="str">
        <f aca="false">IF($C196="","",IF(N($J196)=N($K196),"一致","★合同"&amp;TEXT(N($J196),"0")&amp;"台 / 在册"&amp;TEXT(N($K196),"0")&amp;"台"))</f>
        <v/>
      </c>
      <c r="T196" s="40" t="str">
        <f aca="false">IF($C196="","",ROUND(SUMIFS(应收金额,应收键,$E196,应收年度,管理年度),2))</f>
        <v/>
      </c>
      <c r="U196" s="40" t="str">
        <f aca="false">IF($C196="","",ROUND(SUMIFS(收款金额,收款键,$E196,收款年度,管理年度),2))</f>
        <v/>
      </c>
      <c r="V196" s="41" t="str">
        <f aca="false">IF($C196="","",ROUND(SUMIF(应收键,$E196,应收金额)-SUMIF(收款键,$E196,收款金额),2))</f>
        <v/>
      </c>
      <c r="W196" s="24"/>
      <c r="X196" s="35" t="str">
        <f aca="false">IF($C196="","",IF($D196="","★项目名称没填",IF(COUNTIF($E$5:$E$304,$E196)&gt;1,"★键重复",IF(AND($H196&lt;&gt;"",$I196&lt;&gt;"",$I196&lt;$H196),"★合同起止反了",IF(N($K196)=0,"★电梯资料里没有这个项目","OK")))))</f>
        <v/>
      </c>
    </row>
    <row r="197" customFormat="false" ht="15" hidden="false" customHeight="false" outlineLevel="0" collapsed="false">
      <c r="A197" s="29" t="str">
        <f aca="false">IF($C197="","",ROW()-4)</f>
        <v/>
      </c>
      <c r="B197" s="35" t="str">
        <f aca="false">IF($C197="","",IFERROR(INDEX(电梯片区,MATCH($E197,电梯键,0)),""))</f>
        <v/>
      </c>
      <c r="C197" s="24"/>
      <c r="D197" s="24"/>
      <c r="E197" s="30" t="str">
        <f aca="false">IF($C197="","",$C197&amp;" ｜ "&amp;$D197)</f>
        <v/>
      </c>
      <c r="F197" s="25"/>
      <c r="G197" s="25"/>
      <c r="H197" s="33"/>
      <c r="I197" s="33"/>
      <c r="J197" s="32"/>
      <c r="K197" s="38" t="str">
        <f aca="false">IF($C197="","",SUMIF(电梯键,$E197,电梯台量))</f>
        <v/>
      </c>
      <c r="L197" s="39"/>
      <c r="M197" s="25"/>
      <c r="N197" s="25"/>
      <c r="O197" s="38" t="str">
        <f aca="false">IF($C197="","",SUMIFS(电梯台量,电梯键,$E197,电梯状态,"安装免保")+SUMIFS(电梯台量,电梯键,$E197,电梯状态,"技术免保")+SUMIFS(电梯台量,电梯键,$E197,电梯状态,"质保期内"))</f>
        <v/>
      </c>
      <c r="P197" s="38" t="str">
        <f aca="false">IF($C197="","",$K197-$O197)</f>
        <v/>
      </c>
      <c r="Q197" s="34" t="str">
        <f aca="true">IF($C197="","",IF($G197="已终止","",IF($I197="","▲没填合同止期",IF($I197&lt;TODAY(),"已到期 "&amp;TEXT(TODAY()-$I197,"0")&amp;" 天",IF($I197-TODAY()&lt;=合同提醒天,"将到期 "&amp;TEXT($I197-TODAY(),"0")&amp;" 天","")))))</f>
        <v/>
      </c>
      <c r="R197" s="34" t="str">
        <f aca="false">IF($C197="","",IF($G197="","▲合同状态没选",IF(OR($G197="已签未回",$G197="未签",$G197="续签中"),"▲合同未回（"&amp;$G197&amp;"）","")))</f>
        <v/>
      </c>
      <c r="S197" s="35" t="str">
        <f aca="false">IF($C197="","",IF(N($J197)=N($K197),"一致","★合同"&amp;TEXT(N($J197),"0")&amp;"台 / 在册"&amp;TEXT(N($K197),"0")&amp;"台"))</f>
        <v/>
      </c>
      <c r="T197" s="40" t="str">
        <f aca="false">IF($C197="","",ROUND(SUMIFS(应收金额,应收键,$E197,应收年度,管理年度),2))</f>
        <v/>
      </c>
      <c r="U197" s="40" t="str">
        <f aca="false">IF($C197="","",ROUND(SUMIFS(收款金额,收款键,$E197,收款年度,管理年度),2))</f>
        <v/>
      </c>
      <c r="V197" s="41" t="str">
        <f aca="false">IF($C197="","",ROUND(SUMIF(应收键,$E197,应收金额)-SUMIF(收款键,$E197,收款金额),2))</f>
        <v/>
      </c>
      <c r="W197" s="24"/>
      <c r="X197" s="35" t="str">
        <f aca="false">IF($C197="","",IF($D197="","★项目名称没填",IF(COUNTIF($E$5:$E$304,$E197)&gt;1,"★键重复",IF(AND($H197&lt;&gt;"",$I197&lt;&gt;"",$I197&lt;$H197),"★合同起止反了",IF(N($K197)=0,"★电梯资料里没有这个项目","OK")))))</f>
        <v/>
      </c>
    </row>
    <row r="198" customFormat="false" ht="15" hidden="false" customHeight="false" outlineLevel="0" collapsed="false">
      <c r="A198" s="29" t="str">
        <f aca="false">IF($C198="","",ROW()-4)</f>
        <v/>
      </c>
      <c r="B198" s="35" t="str">
        <f aca="false">IF($C198="","",IFERROR(INDEX(电梯片区,MATCH($E198,电梯键,0)),""))</f>
        <v/>
      </c>
      <c r="C198" s="24"/>
      <c r="D198" s="24"/>
      <c r="E198" s="30" t="str">
        <f aca="false">IF($C198="","",$C198&amp;" ｜ "&amp;$D198)</f>
        <v/>
      </c>
      <c r="F198" s="25"/>
      <c r="G198" s="25"/>
      <c r="H198" s="33"/>
      <c r="I198" s="33"/>
      <c r="J198" s="32"/>
      <c r="K198" s="38" t="str">
        <f aca="false">IF($C198="","",SUMIF(电梯键,$E198,电梯台量))</f>
        <v/>
      </c>
      <c r="L198" s="39"/>
      <c r="M198" s="25"/>
      <c r="N198" s="25"/>
      <c r="O198" s="38" t="str">
        <f aca="false">IF($C198="","",SUMIFS(电梯台量,电梯键,$E198,电梯状态,"安装免保")+SUMIFS(电梯台量,电梯键,$E198,电梯状态,"技术免保")+SUMIFS(电梯台量,电梯键,$E198,电梯状态,"质保期内"))</f>
        <v/>
      </c>
      <c r="P198" s="38" t="str">
        <f aca="false">IF($C198="","",$K198-$O198)</f>
        <v/>
      </c>
      <c r="Q198" s="34" t="str">
        <f aca="true">IF($C198="","",IF($G198="已终止","",IF($I198="","▲没填合同止期",IF($I198&lt;TODAY(),"已到期 "&amp;TEXT(TODAY()-$I198,"0")&amp;" 天",IF($I198-TODAY()&lt;=合同提醒天,"将到期 "&amp;TEXT($I198-TODAY(),"0")&amp;" 天","")))))</f>
        <v/>
      </c>
      <c r="R198" s="34" t="str">
        <f aca="false">IF($C198="","",IF($G198="","▲合同状态没选",IF(OR($G198="已签未回",$G198="未签",$G198="续签中"),"▲合同未回（"&amp;$G198&amp;"）","")))</f>
        <v/>
      </c>
      <c r="S198" s="35" t="str">
        <f aca="false">IF($C198="","",IF(N($J198)=N($K198),"一致","★合同"&amp;TEXT(N($J198),"0")&amp;"台 / 在册"&amp;TEXT(N($K198),"0")&amp;"台"))</f>
        <v/>
      </c>
      <c r="T198" s="40" t="str">
        <f aca="false">IF($C198="","",ROUND(SUMIFS(应收金额,应收键,$E198,应收年度,管理年度),2))</f>
        <v/>
      </c>
      <c r="U198" s="40" t="str">
        <f aca="false">IF($C198="","",ROUND(SUMIFS(收款金额,收款键,$E198,收款年度,管理年度),2))</f>
        <v/>
      </c>
      <c r="V198" s="41" t="str">
        <f aca="false">IF($C198="","",ROUND(SUMIF(应收键,$E198,应收金额)-SUMIF(收款键,$E198,收款金额),2))</f>
        <v/>
      </c>
      <c r="W198" s="24"/>
      <c r="X198" s="35" t="str">
        <f aca="false">IF($C198="","",IF($D198="","★项目名称没填",IF(COUNTIF($E$5:$E$304,$E198)&gt;1,"★键重复",IF(AND($H198&lt;&gt;"",$I198&lt;&gt;"",$I198&lt;$H198),"★合同起止反了",IF(N($K198)=0,"★电梯资料里没有这个项目","OK")))))</f>
        <v/>
      </c>
    </row>
    <row r="199" customFormat="false" ht="15" hidden="false" customHeight="false" outlineLevel="0" collapsed="false">
      <c r="A199" s="29" t="str">
        <f aca="false">IF($C199="","",ROW()-4)</f>
        <v/>
      </c>
      <c r="B199" s="35" t="str">
        <f aca="false">IF($C199="","",IFERROR(INDEX(电梯片区,MATCH($E199,电梯键,0)),""))</f>
        <v/>
      </c>
      <c r="C199" s="24"/>
      <c r="D199" s="24"/>
      <c r="E199" s="30" t="str">
        <f aca="false">IF($C199="","",$C199&amp;" ｜ "&amp;$D199)</f>
        <v/>
      </c>
      <c r="F199" s="25"/>
      <c r="G199" s="25"/>
      <c r="H199" s="33"/>
      <c r="I199" s="33"/>
      <c r="J199" s="32"/>
      <c r="K199" s="38" t="str">
        <f aca="false">IF($C199="","",SUMIF(电梯键,$E199,电梯台量))</f>
        <v/>
      </c>
      <c r="L199" s="39"/>
      <c r="M199" s="25"/>
      <c r="N199" s="25"/>
      <c r="O199" s="38" t="str">
        <f aca="false">IF($C199="","",SUMIFS(电梯台量,电梯键,$E199,电梯状态,"安装免保")+SUMIFS(电梯台量,电梯键,$E199,电梯状态,"技术免保")+SUMIFS(电梯台量,电梯键,$E199,电梯状态,"质保期内"))</f>
        <v/>
      </c>
      <c r="P199" s="38" t="str">
        <f aca="false">IF($C199="","",$K199-$O199)</f>
        <v/>
      </c>
      <c r="Q199" s="34" t="str">
        <f aca="true">IF($C199="","",IF($G199="已终止","",IF($I199="","▲没填合同止期",IF($I199&lt;TODAY(),"已到期 "&amp;TEXT(TODAY()-$I199,"0")&amp;" 天",IF($I199-TODAY()&lt;=合同提醒天,"将到期 "&amp;TEXT($I199-TODAY(),"0")&amp;" 天","")))))</f>
        <v/>
      </c>
      <c r="R199" s="34" t="str">
        <f aca="false">IF($C199="","",IF($G199="","▲合同状态没选",IF(OR($G199="已签未回",$G199="未签",$G199="续签中"),"▲合同未回（"&amp;$G199&amp;"）","")))</f>
        <v/>
      </c>
      <c r="S199" s="35" t="str">
        <f aca="false">IF($C199="","",IF(N($J199)=N($K199),"一致","★合同"&amp;TEXT(N($J199),"0")&amp;"台 / 在册"&amp;TEXT(N($K199),"0")&amp;"台"))</f>
        <v/>
      </c>
      <c r="T199" s="40" t="str">
        <f aca="false">IF($C199="","",ROUND(SUMIFS(应收金额,应收键,$E199,应收年度,管理年度),2))</f>
        <v/>
      </c>
      <c r="U199" s="40" t="str">
        <f aca="false">IF($C199="","",ROUND(SUMIFS(收款金额,收款键,$E199,收款年度,管理年度),2))</f>
        <v/>
      </c>
      <c r="V199" s="41" t="str">
        <f aca="false">IF($C199="","",ROUND(SUMIF(应收键,$E199,应收金额)-SUMIF(收款键,$E199,收款金额),2))</f>
        <v/>
      </c>
      <c r="W199" s="24"/>
      <c r="X199" s="35" t="str">
        <f aca="false">IF($C199="","",IF($D199="","★项目名称没填",IF(COUNTIF($E$5:$E$304,$E199)&gt;1,"★键重复",IF(AND($H199&lt;&gt;"",$I199&lt;&gt;"",$I199&lt;$H199),"★合同起止反了",IF(N($K199)=0,"★电梯资料里没有这个项目","OK")))))</f>
        <v/>
      </c>
    </row>
    <row r="200" customFormat="false" ht="15" hidden="false" customHeight="false" outlineLevel="0" collapsed="false">
      <c r="A200" s="29" t="str">
        <f aca="false">IF($C200="","",ROW()-4)</f>
        <v/>
      </c>
      <c r="B200" s="35" t="str">
        <f aca="false">IF($C200="","",IFERROR(INDEX(电梯片区,MATCH($E200,电梯键,0)),""))</f>
        <v/>
      </c>
      <c r="C200" s="24"/>
      <c r="D200" s="24"/>
      <c r="E200" s="30" t="str">
        <f aca="false">IF($C200="","",$C200&amp;" ｜ "&amp;$D200)</f>
        <v/>
      </c>
      <c r="F200" s="25"/>
      <c r="G200" s="25"/>
      <c r="H200" s="33"/>
      <c r="I200" s="33"/>
      <c r="J200" s="32"/>
      <c r="K200" s="38" t="str">
        <f aca="false">IF($C200="","",SUMIF(电梯键,$E200,电梯台量))</f>
        <v/>
      </c>
      <c r="L200" s="39"/>
      <c r="M200" s="25"/>
      <c r="N200" s="25"/>
      <c r="O200" s="38" t="str">
        <f aca="false">IF($C200="","",SUMIFS(电梯台量,电梯键,$E200,电梯状态,"安装免保")+SUMIFS(电梯台量,电梯键,$E200,电梯状态,"技术免保")+SUMIFS(电梯台量,电梯键,$E200,电梯状态,"质保期内"))</f>
        <v/>
      </c>
      <c r="P200" s="38" t="str">
        <f aca="false">IF($C200="","",$K200-$O200)</f>
        <v/>
      </c>
      <c r="Q200" s="34" t="str">
        <f aca="true">IF($C200="","",IF($G200="已终止","",IF($I200="","▲没填合同止期",IF($I200&lt;TODAY(),"已到期 "&amp;TEXT(TODAY()-$I200,"0")&amp;" 天",IF($I200-TODAY()&lt;=合同提醒天,"将到期 "&amp;TEXT($I200-TODAY(),"0")&amp;" 天","")))))</f>
        <v/>
      </c>
      <c r="R200" s="34" t="str">
        <f aca="false">IF($C200="","",IF($G200="","▲合同状态没选",IF(OR($G200="已签未回",$G200="未签",$G200="续签中"),"▲合同未回（"&amp;$G200&amp;"）","")))</f>
        <v/>
      </c>
      <c r="S200" s="35" t="str">
        <f aca="false">IF($C200="","",IF(N($J200)=N($K200),"一致","★合同"&amp;TEXT(N($J200),"0")&amp;"台 / 在册"&amp;TEXT(N($K200),"0")&amp;"台"))</f>
        <v/>
      </c>
      <c r="T200" s="40" t="str">
        <f aca="false">IF($C200="","",ROUND(SUMIFS(应收金额,应收键,$E200,应收年度,管理年度),2))</f>
        <v/>
      </c>
      <c r="U200" s="40" t="str">
        <f aca="false">IF($C200="","",ROUND(SUMIFS(收款金额,收款键,$E200,收款年度,管理年度),2))</f>
        <v/>
      </c>
      <c r="V200" s="41" t="str">
        <f aca="false">IF($C200="","",ROUND(SUMIF(应收键,$E200,应收金额)-SUMIF(收款键,$E200,收款金额),2))</f>
        <v/>
      </c>
      <c r="W200" s="24"/>
      <c r="X200" s="35" t="str">
        <f aca="false">IF($C200="","",IF($D200="","★项目名称没填",IF(COUNTIF($E$5:$E$304,$E200)&gt;1,"★键重复",IF(AND($H200&lt;&gt;"",$I200&lt;&gt;"",$I200&lt;$H200),"★合同起止反了",IF(N($K200)=0,"★电梯资料里没有这个项目","OK")))))</f>
        <v/>
      </c>
    </row>
    <row r="201" customFormat="false" ht="15" hidden="false" customHeight="false" outlineLevel="0" collapsed="false">
      <c r="A201" s="29" t="str">
        <f aca="false">IF($C201="","",ROW()-4)</f>
        <v/>
      </c>
      <c r="B201" s="35" t="str">
        <f aca="false">IF($C201="","",IFERROR(INDEX(电梯片区,MATCH($E201,电梯键,0)),""))</f>
        <v/>
      </c>
      <c r="C201" s="24"/>
      <c r="D201" s="24"/>
      <c r="E201" s="30" t="str">
        <f aca="false">IF($C201="","",$C201&amp;" ｜ "&amp;$D201)</f>
        <v/>
      </c>
      <c r="F201" s="25"/>
      <c r="G201" s="25"/>
      <c r="H201" s="33"/>
      <c r="I201" s="33"/>
      <c r="J201" s="32"/>
      <c r="K201" s="38" t="str">
        <f aca="false">IF($C201="","",SUMIF(电梯键,$E201,电梯台量))</f>
        <v/>
      </c>
      <c r="L201" s="39"/>
      <c r="M201" s="25"/>
      <c r="N201" s="25"/>
      <c r="O201" s="38" t="str">
        <f aca="false">IF($C201="","",SUMIFS(电梯台量,电梯键,$E201,电梯状态,"安装免保")+SUMIFS(电梯台量,电梯键,$E201,电梯状态,"技术免保")+SUMIFS(电梯台量,电梯键,$E201,电梯状态,"质保期内"))</f>
        <v/>
      </c>
      <c r="P201" s="38" t="str">
        <f aca="false">IF($C201="","",$K201-$O201)</f>
        <v/>
      </c>
      <c r="Q201" s="34" t="str">
        <f aca="true">IF($C201="","",IF($G201="已终止","",IF($I201="","▲没填合同止期",IF($I201&lt;TODAY(),"已到期 "&amp;TEXT(TODAY()-$I201,"0")&amp;" 天",IF($I201-TODAY()&lt;=合同提醒天,"将到期 "&amp;TEXT($I201-TODAY(),"0")&amp;" 天","")))))</f>
        <v/>
      </c>
      <c r="R201" s="34" t="str">
        <f aca="false">IF($C201="","",IF($G201="","▲合同状态没选",IF(OR($G201="已签未回",$G201="未签",$G201="续签中"),"▲合同未回（"&amp;$G201&amp;"）","")))</f>
        <v/>
      </c>
      <c r="S201" s="35" t="str">
        <f aca="false">IF($C201="","",IF(N($J201)=N($K201),"一致","★合同"&amp;TEXT(N($J201),"0")&amp;"台 / 在册"&amp;TEXT(N($K201),"0")&amp;"台"))</f>
        <v/>
      </c>
      <c r="T201" s="40" t="str">
        <f aca="false">IF($C201="","",ROUND(SUMIFS(应收金额,应收键,$E201,应收年度,管理年度),2))</f>
        <v/>
      </c>
      <c r="U201" s="40" t="str">
        <f aca="false">IF($C201="","",ROUND(SUMIFS(收款金额,收款键,$E201,收款年度,管理年度),2))</f>
        <v/>
      </c>
      <c r="V201" s="41" t="str">
        <f aca="false">IF($C201="","",ROUND(SUMIF(应收键,$E201,应收金额)-SUMIF(收款键,$E201,收款金额),2))</f>
        <v/>
      </c>
      <c r="W201" s="24"/>
      <c r="X201" s="35" t="str">
        <f aca="false">IF($C201="","",IF($D201="","★项目名称没填",IF(COUNTIF($E$5:$E$304,$E201)&gt;1,"★键重复",IF(AND($H201&lt;&gt;"",$I201&lt;&gt;"",$I201&lt;$H201),"★合同起止反了",IF(N($K201)=0,"★电梯资料里没有这个项目","OK")))))</f>
        <v/>
      </c>
    </row>
    <row r="202" customFormat="false" ht="15" hidden="false" customHeight="false" outlineLevel="0" collapsed="false">
      <c r="A202" s="29" t="str">
        <f aca="false">IF($C202="","",ROW()-4)</f>
        <v/>
      </c>
      <c r="B202" s="35" t="str">
        <f aca="false">IF($C202="","",IFERROR(INDEX(电梯片区,MATCH($E202,电梯键,0)),""))</f>
        <v/>
      </c>
      <c r="C202" s="24"/>
      <c r="D202" s="24"/>
      <c r="E202" s="30" t="str">
        <f aca="false">IF($C202="","",$C202&amp;" ｜ "&amp;$D202)</f>
        <v/>
      </c>
      <c r="F202" s="25"/>
      <c r="G202" s="25"/>
      <c r="H202" s="33"/>
      <c r="I202" s="33"/>
      <c r="J202" s="32"/>
      <c r="K202" s="38" t="str">
        <f aca="false">IF($C202="","",SUMIF(电梯键,$E202,电梯台量))</f>
        <v/>
      </c>
      <c r="L202" s="39"/>
      <c r="M202" s="25"/>
      <c r="N202" s="25"/>
      <c r="O202" s="38" t="str">
        <f aca="false">IF($C202="","",SUMIFS(电梯台量,电梯键,$E202,电梯状态,"安装免保")+SUMIFS(电梯台量,电梯键,$E202,电梯状态,"技术免保")+SUMIFS(电梯台量,电梯键,$E202,电梯状态,"质保期内"))</f>
        <v/>
      </c>
      <c r="P202" s="38" t="str">
        <f aca="false">IF($C202="","",$K202-$O202)</f>
        <v/>
      </c>
      <c r="Q202" s="34" t="str">
        <f aca="true">IF($C202="","",IF($G202="已终止","",IF($I202="","▲没填合同止期",IF($I202&lt;TODAY(),"已到期 "&amp;TEXT(TODAY()-$I202,"0")&amp;" 天",IF($I202-TODAY()&lt;=合同提醒天,"将到期 "&amp;TEXT($I202-TODAY(),"0")&amp;" 天","")))))</f>
        <v/>
      </c>
      <c r="R202" s="34" t="str">
        <f aca="false">IF($C202="","",IF($G202="","▲合同状态没选",IF(OR($G202="已签未回",$G202="未签",$G202="续签中"),"▲合同未回（"&amp;$G202&amp;"）","")))</f>
        <v/>
      </c>
      <c r="S202" s="35" t="str">
        <f aca="false">IF($C202="","",IF(N($J202)=N($K202),"一致","★合同"&amp;TEXT(N($J202),"0")&amp;"台 / 在册"&amp;TEXT(N($K202),"0")&amp;"台"))</f>
        <v/>
      </c>
      <c r="T202" s="40" t="str">
        <f aca="false">IF($C202="","",ROUND(SUMIFS(应收金额,应收键,$E202,应收年度,管理年度),2))</f>
        <v/>
      </c>
      <c r="U202" s="40" t="str">
        <f aca="false">IF($C202="","",ROUND(SUMIFS(收款金额,收款键,$E202,收款年度,管理年度),2))</f>
        <v/>
      </c>
      <c r="V202" s="41" t="str">
        <f aca="false">IF($C202="","",ROUND(SUMIF(应收键,$E202,应收金额)-SUMIF(收款键,$E202,收款金额),2))</f>
        <v/>
      </c>
      <c r="W202" s="24"/>
      <c r="X202" s="35" t="str">
        <f aca="false">IF($C202="","",IF($D202="","★项目名称没填",IF(COUNTIF($E$5:$E$304,$E202)&gt;1,"★键重复",IF(AND($H202&lt;&gt;"",$I202&lt;&gt;"",$I202&lt;$H202),"★合同起止反了",IF(N($K202)=0,"★电梯资料里没有这个项目","OK")))))</f>
        <v/>
      </c>
    </row>
    <row r="203" customFormat="false" ht="15" hidden="false" customHeight="false" outlineLevel="0" collapsed="false">
      <c r="A203" s="29" t="str">
        <f aca="false">IF($C203="","",ROW()-4)</f>
        <v/>
      </c>
      <c r="B203" s="35" t="str">
        <f aca="false">IF($C203="","",IFERROR(INDEX(电梯片区,MATCH($E203,电梯键,0)),""))</f>
        <v/>
      </c>
      <c r="C203" s="24"/>
      <c r="D203" s="24"/>
      <c r="E203" s="30" t="str">
        <f aca="false">IF($C203="","",$C203&amp;" ｜ "&amp;$D203)</f>
        <v/>
      </c>
      <c r="F203" s="25"/>
      <c r="G203" s="25"/>
      <c r="H203" s="33"/>
      <c r="I203" s="33"/>
      <c r="J203" s="32"/>
      <c r="K203" s="38" t="str">
        <f aca="false">IF($C203="","",SUMIF(电梯键,$E203,电梯台量))</f>
        <v/>
      </c>
      <c r="L203" s="39"/>
      <c r="M203" s="25"/>
      <c r="N203" s="25"/>
      <c r="O203" s="38" t="str">
        <f aca="false">IF($C203="","",SUMIFS(电梯台量,电梯键,$E203,电梯状态,"安装免保")+SUMIFS(电梯台量,电梯键,$E203,电梯状态,"技术免保")+SUMIFS(电梯台量,电梯键,$E203,电梯状态,"质保期内"))</f>
        <v/>
      </c>
      <c r="P203" s="38" t="str">
        <f aca="false">IF($C203="","",$K203-$O203)</f>
        <v/>
      </c>
      <c r="Q203" s="34" t="str">
        <f aca="true">IF($C203="","",IF($G203="已终止","",IF($I203="","▲没填合同止期",IF($I203&lt;TODAY(),"已到期 "&amp;TEXT(TODAY()-$I203,"0")&amp;" 天",IF($I203-TODAY()&lt;=合同提醒天,"将到期 "&amp;TEXT($I203-TODAY(),"0")&amp;" 天","")))))</f>
        <v/>
      </c>
      <c r="R203" s="34" t="str">
        <f aca="false">IF($C203="","",IF($G203="","▲合同状态没选",IF(OR($G203="已签未回",$G203="未签",$G203="续签中"),"▲合同未回（"&amp;$G203&amp;"）","")))</f>
        <v/>
      </c>
      <c r="S203" s="35" t="str">
        <f aca="false">IF($C203="","",IF(N($J203)=N($K203),"一致","★合同"&amp;TEXT(N($J203),"0")&amp;"台 / 在册"&amp;TEXT(N($K203),"0")&amp;"台"))</f>
        <v/>
      </c>
      <c r="T203" s="40" t="str">
        <f aca="false">IF($C203="","",ROUND(SUMIFS(应收金额,应收键,$E203,应收年度,管理年度),2))</f>
        <v/>
      </c>
      <c r="U203" s="40" t="str">
        <f aca="false">IF($C203="","",ROUND(SUMIFS(收款金额,收款键,$E203,收款年度,管理年度),2))</f>
        <v/>
      </c>
      <c r="V203" s="41" t="str">
        <f aca="false">IF($C203="","",ROUND(SUMIF(应收键,$E203,应收金额)-SUMIF(收款键,$E203,收款金额),2))</f>
        <v/>
      </c>
      <c r="W203" s="24"/>
      <c r="X203" s="35" t="str">
        <f aca="false">IF($C203="","",IF($D203="","★项目名称没填",IF(COUNTIF($E$5:$E$304,$E203)&gt;1,"★键重复",IF(AND($H203&lt;&gt;"",$I203&lt;&gt;"",$I203&lt;$H203),"★合同起止反了",IF(N($K203)=0,"★电梯资料里没有这个项目","OK")))))</f>
        <v/>
      </c>
    </row>
    <row r="204" customFormat="false" ht="15" hidden="false" customHeight="false" outlineLevel="0" collapsed="false">
      <c r="A204" s="29" t="str">
        <f aca="false">IF($C204="","",ROW()-4)</f>
        <v/>
      </c>
      <c r="B204" s="35" t="str">
        <f aca="false">IF($C204="","",IFERROR(INDEX(电梯片区,MATCH($E204,电梯键,0)),""))</f>
        <v/>
      </c>
      <c r="C204" s="24"/>
      <c r="D204" s="24"/>
      <c r="E204" s="30" t="str">
        <f aca="false">IF($C204="","",$C204&amp;" ｜ "&amp;$D204)</f>
        <v/>
      </c>
      <c r="F204" s="25"/>
      <c r="G204" s="25"/>
      <c r="H204" s="33"/>
      <c r="I204" s="33"/>
      <c r="J204" s="32"/>
      <c r="K204" s="38" t="str">
        <f aca="false">IF($C204="","",SUMIF(电梯键,$E204,电梯台量))</f>
        <v/>
      </c>
      <c r="L204" s="39"/>
      <c r="M204" s="25"/>
      <c r="N204" s="25"/>
      <c r="O204" s="38" t="str">
        <f aca="false">IF($C204="","",SUMIFS(电梯台量,电梯键,$E204,电梯状态,"安装免保")+SUMIFS(电梯台量,电梯键,$E204,电梯状态,"技术免保")+SUMIFS(电梯台量,电梯键,$E204,电梯状态,"质保期内"))</f>
        <v/>
      </c>
      <c r="P204" s="38" t="str">
        <f aca="false">IF($C204="","",$K204-$O204)</f>
        <v/>
      </c>
      <c r="Q204" s="34" t="str">
        <f aca="true">IF($C204="","",IF($G204="已终止","",IF($I204="","▲没填合同止期",IF($I204&lt;TODAY(),"已到期 "&amp;TEXT(TODAY()-$I204,"0")&amp;" 天",IF($I204-TODAY()&lt;=合同提醒天,"将到期 "&amp;TEXT($I204-TODAY(),"0")&amp;" 天","")))))</f>
        <v/>
      </c>
      <c r="R204" s="34" t="str">
        <f aca="false">IF($C204="","",IF($G204="","▲合同状态没选",IF(OR($G204="已签未回",$G204="未签",$G204="续签中"),"▲合同未回（"&amp;$G204&amp;"）","")))</f>
        <v/>
      </c>
      <c r="S204" s="35" t="str">
        <f aca="false">IF($C204="","",IF(N($J204)=N($K204),"一致","★合同"&amp;TEXT(N($J204),"0")&amp;"台 / 在册"&amp;TEXT(N($K204),"0")&amp;"台"))</f>
        <v/>
      </c>
      <c r="T204" s="40" t="str">
        <f aca="false">IF($C204="","",ROUND(SUMIFS(应收金额,应收键,$E204,应收年度,管理年度),2))</f>
        <v/>
      </c>
      <c r="U204" s="40" t="str">
        <f aca="false">IF($C204="","",ROUND(SUMIFS(收款金额,收款键,$E204,收款年度,管理年度),2))</f>
        <v/>
      </c>
      <c r="V204" s="41" t="str">
        <f aca="false">IF($C204="","",ROUND(SUMIF(应收键,$E204,应收金额)-SUMIF(收款键,$E204,收款金额),2))</f>
        <v/>
      </c>
      <c r="W204" s="24"/>
      <c r="X204" s="35" t="str">
        <f aca="false">IF($C204="","",IF($D204="","★项目名称没填",IF(COUNTIF($E$5:$E$304,$E204)&gt;1,"★键重复",IF(AND($H204&lt;&gt;"",$I204&lt;&gt;"",$I204&lt;$H204),"★合同起止反了",IF(N($K204)=0,"★电梯资料里没有这个项目","OK")))))</f>
        <v/>
      </c>
    </row>
    <row r="205" customFormat="false" ht="15" hidden="false" customHeight="false" outlineLevel="0" collapsed="false">
      <c r="A205" s="29" t="str">
        <f aca="false">IF($C205="","",ROW()-4)</f>
        <v/>
      </c>
      <c r="B205" s="35" t="str">
        <f aca="false">IF($C205="","",IFERROR(INDEX(电梯片区,MATCH($E205,电梯键,0)),""))</f>
        <v/>
      </c>
      <c r="C205" s="24"/>
      <c r="D205" s="24"/>
      <c r="E205" s="30" t="str">
        <f aca="false">IF($C205="","",$C205&amp;" ｜ "&amp;$D205)</f>
        <v/>
      </c>
      <c r="F205" s="25"/>
      <c r="G205" s="25"/>
      <c r="H205" s="33"/>
      <c r="I205" s="33"/>
      <c r="J205" s="32"/>
      <c r="K205" s="38" t="str">
        <f aca="false">IF($C205="","",SUMIF(电梯键,$E205,电梯台量))</f>
        <v/>
      </c>
      <c r="L205" s="39"/>
      <c r="M205" s="25"/>
      <c r="N205" s="25"/>
      <c r="O205" s="38" t="str">
        <f aca="false">IF($C205="","",SUMIFS(电梯台量,电梯键,$E205,电梯状态,"安装免保")+SUMIFS(电梯台量,电梯键,$E205,电梯状态,"技术免保")+SUMIFS(电梯台量,电梯键,$E205,电梯状态,"质保期内"))</f>
        <v/>
      </c>
      <c r="P205" s="38" t="str">
        <f aca="false">IF($C205="","",$K205-$O205)</f>
        <v/>
      </c>
      <c r="Q205" s="34" t="str">
        <f aca="true">IF($C205="","",IF($G205="已终止","",IF($I205="","▲没填合同止期",IF($I205&lt;TODAY(),"已到期 "&amp;TEXT(TODAY()-$I205,"0")&amp;" 天",IF($I205-TODAY()&lt;=合同提醒天,"将到期 "&amp;TEXT($I205-TODAY(),"0")&amp;" 天","")))))</f>
        <v/>
      </c>
      <c r="R205" s="34" t="str">
        <f aca="false">IF($C205="","",IF($G205="","▲合同状态没选",IF(OR($G205="已签未回",$G205="未签",$G205="续签中"),"▲合同未回（"&amp;$G205&amp;"）","")))</f>
        <v/>
      </c>
      <c r="S205" s="35" t="str">
        <f aca="false">IF($C205="","",IF(N($J205)=N($K205),"一致","★合同"&amp;TEXT(N($J205),"0")&amp;"台 / 在册"&amp;TEXT(N($K205),"0")&amp;"台"))</f>
        <v/>
      </c>
      <c r="T205" s="40" t="str">
        <f aca="false">IF($C205="","",ROUND(SUMIFS(应收金额,应收键,$E205,应收年度,管理年度),2))</f>
        <v/>
      </c>
      <c r="U205" s="40" t="str">
        <f aca="false">IF($C205="","",ROUND(SUMIFS(收款金额,收款键,$E205,收款年度,管理年度),2))</f>
        <v/>
      </c>
      <c r="V205" s="41" t="str">
        <f aca="false">IF($C205="","",ROUND(SUMIF(应收键,$E205,应收金额)-SUMIF(收款键,$E205,收款金额),2))</f>
        <v/>
      </c>
      <c r="W205" s="24"/>
      <c r="X205" s="35" t="str">
        <f aca="false">IF($C205="","",IF($D205="","★项目名称没填",IF(COUNTIF($E$5:$E$304,$E205)&gt;1,"★键重复",IF(AND($H205&lt;&gt;"",$I205&lt;&gt;"",$I205&lt;$H205),"★合同起止反了",IF(N($K205)=0,"★电梯资料里没有这个项目","OK")))))</f>
        <v/>
      </c>
    </row>
    <row r="206" customFormat="false" ht="15" hidden="false" customHeight="false" outlineLevel="0" collapsed="false">
      <c r="A206" s="29" t="str">
        <f aca="false">IF($C206="","",ROW()-4)</f>
        <v/>
      </c>
      <c r="B206" s="35" t="str">
        <f aca="false">IF($C206="","",IFERROR(INDEX(电梯片区,MATCH($E206,电梯键,0)),""))</f>
        <v/>
      </c>
      <c r="C206" s="24"/>
      <c r="D206" s="24"/>
      <c r="E206" s="30" t="str">
        <f aca="false">IF($C206="","",$C206&amp;" ｜ "&amp;$D206)</f>
        <v/>
      </c>
      <c r="F206" s="25"/>
      <c r="G206" s="25"/>
      <c r="H206" s="33"/>
      <c r="I206" s="33"/>
      <c r="J206" s="32"/>
      <c r="K206" s="38" t="str">
        <f aca="false">IF($C206="","",SUMIF(电梯键,$E206,电梯台量))</f>
        <v/>
      </c>
      <c r="L206" s="39"/>
      <c r="M206" s="25"/>
      <c r="N206" s="25"/>
      <c r="O206" s="38" t="str">
        <f aca="false">IF($C206="","",SUMIFS(电梯台量,电梯键,$E206,电梯状态,"安装免保")+SUMIFS(电梯台量,电梯键,$E206,电梯状态,"技术免保")+SUMIFS(电梯台量,电梯键,$E206,电梯状态,"质保期内"))</f>
        <v/>
      </c>
      <c r="P206" s="38" t="str">
        <f aca="false">IF($C206="","",$K206-$O206)</f>
        <v/>
      </c>
      <c r="Q206" s="34" t="str">
        <f aca="true">IF($C206="","",IF($G206="已终止","",IF($I206="","▲没填合同止期",IF($I206&lt;TODAY(),"已到期 "&amp;TEXT(TODAY()-$I206,"0")&amp;" 天",IF($I206-TODAY()&lt;=合同提醒天,"将到期 "&amp;TEXT($I206-TODAY(),"0")&amp;" 天","")))))</f>
        <v/>
      </c>
      <c r="R206" s="34" t="str">
        <f aca="false">IF($C206="","",IF($G206="","▲合同状态没选",IF(OR($G206="已签未回",$G206="未签",$G206="续签中"),"▲合同未回（"&amp;$G206&amp;"）","")))</f>
        <v/>
      </c>
      <c r="S206" s="35" t="str">
        <f aca="false">IF($C206="","",IF(N($J206)=N($K206),"一致","★合同"&amp;TEXT(N($J206),"0")&amp;"台 / 在册"&amp;TEXT(N($K206),"0")&amp;"台"))</f>
        <v/>
      </c>
      <c r="T206" s="40" t="str">
        <f aca="false">IF($C206="","",ROUND(SUMIFS(应收金额,应收键,$E206,应收年度,管理年度),2))</f>
        <v/>
      </c>
      <c r="U206" s="40" t="str">
        <f aca="false">IF($C206="","",ROUND(SUMIFS(收款金额,收款键,$E206,收款年度,管理年度),2))</f>
        <v/>
      </c>
      <c r="V206" s="41" t="str">
        <f aca="false">IF($C206="","",ROUND(SUMIF(应收键,$E206,应收金额)-SUMIF(收款键,$E206,收款金额),2))</f>
        <v/>
      </c>
      <c r="W206" s="24"/>
      <c r="X206" s="35" t="str">
        <f aca="false">IF($C206="","",IF($D206="","★项目名称没填",IF(COUNTIF($E$5:$E$304,$E206)&gt;1,"★键重复",IF(AND($H206&lt;&gt;"",$I206&lt;&gt;"",$I206&lt;$H206),"★合同起止反了",IF(N($K206)=0,"★电梯资料里没有这个项目","OK")))))</f>
        <v/>
      </c>
    </row>
    <row r="207" customFormat="false" ht="15" hidden="false" customHeight="false" outlineLevel="0" collapsed="false">
      <c r="A207" s="29" t="str">
        <f aca="false">IF($C207="","",ROW()-4)</f>
        <v/>
      </c>
      <c r="B207" s="35" t="str">
        <f aca="false">IF($C207="","",IFERROR(INDEX(电梯片区,MATCH($E207,电梯键,0)),""))</f>
        <v/>
      </c>
      <c r="C207" s="24"/>
      <c r="D207" s="24"/>
      <c r="E207" s="30" t="str">
        <f aca="false">IF($C207="","",$C207&amp;" ｜ "&amp;$D207)</f>
        <v/>
      </c>
      <c r="F207" s="25"/>
      <c r="G207" s="25"/>
      <c r="H207" s="33"/>
      <c r="I207" s="33"/>
      <c r="J207" s="32"/>
      <c r="K207" s="38" t="str">
        <f aca="false">IF($C207="","",SUMIF(电梯键,$E207,电梯台量))</f>
        <v/>
      </c>
      <c r="L207" s="39"/>
      <c r="M207" s="25"/>
      <c r="N207" s="25"/>
      <c r="O207" s="38" t="str">
        <f aca="false">IF($C207="","",SUMIFS(电梯台量,电梯键,$E207,电梯状态,"安装免保")+SUMIFS(电梯台量,电梯键,$E207,电梯状态,"技术免保")+SUMIFS(电梯台量,电梯键,$E207,电梯状态,"质保期内"))</f>
        <v/>
      </c>
      <c r="P207" s="38" t="str">
        <f aca="false">IF($C207="","",$K207-$O207)</f>
        <v/>
      </c>
      <c r="Q207" s="34" t="str">
        <f aca="true">IF($C207="","",IF($G207="已终止","",IF($I207="","▲没填合同止期",IF($I207&lt;TODAY(),"已到期 "&amp;TEXT(TODAY()-$I207,"0")&amp;" 天",IF($I207-TODAY()&lt;=合同提醒天,"将到期 "&amp;TEXT($I207-TODAY(),"0")&amp;" 天","")))))</f>
        <v/>
      </c>
      <c r="R207" s="34" t="str">
        <f aca="false">IF($C207="","",IF($G207="","▲合同状态没选",IF(OR($G207="已签未回",$G207="未签",$G207="续签中"),"▲合同未回（"&amp;$G207&amp;"）","")))</f>
        <v/>
      </c>
      <c r="S207" s="35" t="str">
        <f aca="false">IF($C207="","",IF(N($J207)=N($K207),"一致","★合同"&amp;TEXT(N($J207),"0")&amp;"台 / 在册"&amp;TEXT(N($K207),"0")&amp;"台"))</f>
        <v/>
      </c>
      <c r="T207" s="40" t="str">
        <f aca="false">IF($C207="","",ROUND(SUMIFS(应收金额,应收键,$E207,应收年度,管理年度),2))</f>
        <v/>
      </c>
      <c r="U207" s="40" t="str">
        <f aca="false">IF($C207="","",ROUND(SUMIFS(收款金额,收款键,$E207,收款年度,管理年度),2))</f>
        <v/>
      </c>
      <c r="V207" s="41" t="str">
        <f aca="false">IF($C207="","",ROUND(SUMIF(应收键,$E207,应收金额)-SUMIF(收款键,$E207,收款金额),2))</f>
        <v/>
      </c>
      <c r="W207" s="24"/>
      <c r="X207" s="35" t="str">
        <f aca="false">IF($C207="","",IF($D207="","★项目名称没填",IF(COUNTIF($E$5:$E$304,$E207)&gt;1,"★键重复",IF(AND($H207&lt;&gt;"",$I207&lt;&gt;"",$I207&lt;$H207),"★合同起止反了",IF(N($K207)=0,"★电梯资料里没有这个项目","OK")))))</f>
        <v/>
      </c>
    </row>
    <row r="208" customFormat="false" ht="15" hidden="false" customHeight="false" outlineLevel="0" collapsed="false">
      <c r="A208" s="29" t="str">
        <f aca="false">IF($C208="","",ROW()-4)</f>
        <v/>
      </c>
      <c r="B208" s="35" t="str">
        <f aca="false">IF($C208="","",IFERROR(INDEX(电梯片区,MATCH($E208,电梯键,0)),""))</f>
        <v/>
      </c>
      <c r="C208" s="24"/>
      <c r="D208" s="24"/>
      <c r="E208" s="30" t="str">
        <f aca="false">IF($C208="","",$C208&amp;" ｜ "&amp;$D208)</f>
        <v/>
      </c>
      <c r="F208" s="25"/>
      <c r="G208" s="25"/>
      <c r="H208" s="33"/>
      <c r="I208" s="33"/>
      <c r="J208" s="32"/>
      <c r="K208" s="38" t="str">
        <f aca="false">IF($C208="","",SUMIF(电梯键,$E208,电梯台量))</f>
        <v/>
      </c>
      <c r="L208" s="39"/>
      <c r="M208" s="25"/>
      <c r="N208" s="25"/>
      <c r="O208" s="38" t="str">
        <f aca="false">IF($C208="","",SUMIFS(电梯台量,电梯键,$E208,电梯状态,"安装免保")+SUMIFS(电梯台量,电梯键,$E208,电梯状态,"技术免保")+SUMIFS(电梯台量,电梯键,$E208,电梯状态,"质保期内"))</f>
        <v/>
      </c>
      <c r="P208" s="38" t="str">
        <f aca="false">IF($C208="","",$K208-$O208)</f>
        <v/>
      </c>
      <c r="Q208" s="34" t="str">
        <f aca="true">IF($C208="","",IF($G208="已终止","",IF($I208="","▲没填合同止期",IF($I208&lt;TODAY(),"已到期 "&amp;TEXT(TODAY()-$I208,"0")&amp;" 天",IF($I208-TODAY()&lt;=合同提醒天,"将到期 "&amp;TEXT($I208-TODAY(),"0")&amp;" 天","")))))</f>
        <v/>
      </c>
      <c r="R208" s="34" t="str">
        <f aca="false">IF($C208="","",IF($G208="","▲合同状态没选",IF(OR($G208="已签未回",$G208="未签",$G208="续签中"),"▲合同未回（"&amp;$G208&amp;"）","")))</f>
        <v/>
      </c>
      <c r="S208" s="35" t="str">
        <f aca="false">IF($C208="","",IF(N($J208)=N($K208),"一致","★合同"&amp;TEXT(N($J208),"0")&amp;"台 / 在册"&amp;TEXT(N($K208),"0")&amp;"台"))</f>
        <v/>
      </c>
      <c r="T208" s="40" t="str">
        <f aca="false">IF($C208="","",ROUND(SUMIFS(应收金额,应收键,$E208,应收年度,管理年度),2))</f>
        <v/>
      </c>
      <c r="U208" s="40" t="str">
        <f aca="false">IF($C208="","",ROUND(SUMIFS(收款金额,收款键,$E208,收款年度,管理年度),2))</f>
        <v/>
      </c>
      <c r="V208" s="41" t="str">
        <f aca="false">IF($C208="","",ROUND(SUMIF(应收键,$E208,应收金额)-SUMIF(收款键,$E208,收款金额),2))</f>
        <v/>
      </c>
      <c r="W208" s="24"/>
      <c r="X208" s="35" t="str">
        <f aca="false">IF($C208="","",IF($D208="","★项目名称没填",IF(COUNTIF($E$5:$E$304,$E208)&gt;1,"★键重复",IF(AND($H208&lt;&gt;"",$I208&lt;&gt;"",$I208&lt;$H208),"★合同起止反了",IF(N($K208)=0,"★电梯资料里没有这个项目","OK")))))</f>
        <v/>
      </c>
    </row>
    <row r="209" customFormat="false" ht="15" hidden="false" customHeight="false" outlineLevel="0" collapsed="false">
      <c r="A209" s="29" t="str">
        <f aca="false">IF($C209="","",ROW()-4)</f>
        <v/>
      </c>
      <c r="B209" s="35" t="str">
        <f aca="false">IF($C209="","",IFERROR(INDEX(电梯片区,MATCH($E209,电梯键,0)),""))</f>
        <v/>
      </c>
      <c r="C209" s="24"/>
      <c r="D209" s="24"/>
      <c r="E209" s="30" t="str">
        <f aca="false">IF($C209="","",$C209&amp;" ｜ "&amp;$D209)</f>
        <v/>
      </c>
      <c r="F209" s="25"/>
      <c r="G209" s="25"/>
      <c r="H209" s="33"/>
      <c r="I209" s="33"/>
      <c r="J209" s="32"/>
      <c r="K209" s="38" t="str">
        <f aca="false">IF($C209="","",SUMIF(电梯键,$E209,电梯台量))</f>
        <v/>
      </c>
      <c r="L209" s="39"/>
      <c r="M209" s="25"/>
      <c r="N209" s="25"/>
      <c r="O209" s="38" t="str">
        <f aca="false">IF($C209="","",SUMIFS(电梯台量,电梯键,$E209,电梯状态,"安装免保")+SUMIFS(电梯台量,电梯键,$E209,电梯状态,"技术免保")+SUMIFS(电梯台量,电梯键,$E209,电梯状态,"质保期内"))</f>
        <v/>
      </c>
      <c r="P209" s="38" t="str">
        <f aca="false">IF($C209="","",$K209-$O209)</f>
        <v/>
      </c>
      <c r="Q209" s="34" t="str">
        <f aca="true">IF($C209="","",IF($G209="已终止","",IF($I209="","▲没填合同止期",IF($I209&lt;TODAY(),"已到期 "&amp;TEXT(TODAY()-$I209,"0")&amp;" 天",IF($I209-TODAY()&lt;=合同提醒天,"将到期 "&amp;TEXT($I209-TODAY(),"0")&amp;" 天","")))))</f>
        <v/>
      </c>
      <c r="R209" s="34" t="str">
        <f aca="false">IF($C209="","",IF($G209="","▲合同状态没选",IF(OR($G209="已签未回",$G209="未签",$G209="续签中"),"▲合同未回（"&amp;$G209&amp;"）","")))</f>
        <v/>
      </c>
      <c r="S209" s="35" t="str">
        <f aca="false">IF($C209="","",IF(N($J209)=N($K209),"一致","★合同"&amp;TEXT(N($J209),"0")&amp;"台 / 在册"&amp;TEXT(N($K209),"0")&amp;"台"))</f>
        <v/>
      </c>
      <c r="T209" s="40" t="str">
        <f aca="false">IF($C209="","",ROUND(SUMIFS(应收金额,应收键,$E209,应收年度,管理年度),2))</f>
        <v/>
      </c>
      <c r="U209" s="40" t="str">
        <f aca="false">IF($C209="","",ROUND(SUMIFS(收款金额,收款键,$E209,收款年度,管理年度),2))</f>
        <v/>
      </c>
      <c r="V209" s="41" t="str">
        <f aca="false">IF($C209="","",ROUND(SUMIF(应收键,$E209,应收金额)-SUMIF(收款键,$E209,收款金额),2))</f>
        <v/>
      </c>
      <c r="W209" s="24"/>
      <c r="X209" s="35" t="str">
        <f aca="false">IF($C209="","",IF($D209="","★项目名称没填",IF(COUNTIF($E$5:$E$304,$E209)&gt;1,"★键重复",IF(AND($H209&lt;&gt;"",$I209&lt;&gt;"",$I209&lt;$H209),"★合同起止反了",IF(N($K209)=0,"★电梯资料里没有这个项目","OK")))))</f>
        <v/>
      </c>
    </row>
    <row r="210" customFormat="false" ht="15" hidden="false" customHeight="false" outlineLevel="0" collapsed="false">
      <c r="A210" s="29" t="str">
        <f aca="false">IF($C210="","",ROW()-4)</f>
        <v/>
      </c>
      <c r="B210" s="35" t="str">
        <f aca="false">IF($C210="","",IFERROR(INDEX(电梯片区,MATCH($E210,电梯键,0)),""))</f>
        <v/>
      </c>
      <c r="C210" s="24"/>
      <c r="D210" s="24"/>
      <c r="E210" s="30" t="str">
        <f aca="false">IF($C210="","",$C210&amp;" ｜ "&amp;$D210)</f>
        <v/>
      </c>
      <c r="F210" s="25"/>
      <c r="G210" s="25"/>
      <c r="H210" s="33"/>
      <c r="I210" s="33"/>
      <c r="J210" s="32"/>
      <c r="K210" s="38" t="str">
        <f aca="false">IF($C210="","",SUMIF(电梯键,$E210,电梯台量))</f>
        <v/>
      </c>
      <c r="L210" s="39"/>
      <c r="M210" s="25"/>
      <c r="N210" s="25"/>
      <c r="O210" s="38" t="str">
        <f aca="false">IF($C210="","",SUMIFS(电梯台量,电梯键,$E210,电梯状态,"安装免保")+SUMIFS(电梯台量,电梯键,$E210,电梯状态,"技术免保")+SUMIFS(电梯台量,电梯键,$E210,电梯状态,"质保期内"))</f>
        <v/>
      </c>
      <c r="P210" s="38" t="str">
        <f aca="false">IF($C210="","",$K210-$O210)</f>
        <v/>
      </c>
      <c r="Q210" s="34" t="str">
        <f aca="true">IF($C210="","",IF($G210="已终止","",IF($I210="","▲没填合同止期",IF($I210&lt;TODAY(),"已到期 "&amp;TEXT(TODAY()-$I210,"0")&amp;" 天",IF($I210-TODAY()&lt;=合同提醒天,"将到期 "&amp;TEXT($I210-TODAY(),"0")&amp;" 天","")))))</f>
        <v/>
      </c>
      <c r="R210" s="34" t="str">
        <f aca="false">IF($C210="","",IF($G210="","▲合同状态没选",IF(OR($G210="已签未回",$G210="未签",$G210="续签中"),"▲合同未回（"&amp;$G210&amp;"）","")))</f>
        <v/>
      </c>
      <c r="S210" s="35" t="str">
        <f aca="false">IF($C210="","",IF(N($J210)=N($K210),"一致","★合同"&amp;TEXT(N($J210),"0")&amp;"台 / 在册"&amp;TEXT(N($K210),"0")&amp;"台"))</f>
        <v/>
      </c>
      <c r="T210" s="40" t="str">
        <f aca="false">IF($C210="","",ROUND(SUMIFS(应收金额,应收键,$E210,应收年度,管理年度),2))</f>
        <v/>
      </c>
      <c r="U210" s="40" t="str">
        <f aca="false">IF($C210="","",ROUND(SUMIFS(收款金额,收款键,$E210,收款年度,管理年度),2))</f>
        <v/>
      </c>
      <c r="V210" s="41" t="str">
        <f aca="false">IF($C210="","",ROUND(SUMIF(应收键,$E210,应收金额)-SUMIF(收款键,$E210,收款金额),2))</f>
        <v/>
      </c>
      <c r="W210" s="24"/>
      <c r="X210" s="35" t="str">
        <f aca="false">IF($C210="","",IF($D210="","★项目名称没填",IF(COUNTIF($E$5:$E$304,$E210)&gt;1,"★键重复",IF(AND($H210&lt;&gt;"",$I210&lt;&gt;"",$I210&lt;$H210),"★合同起止反了",IF(N($K210)=0,"★电梯资料里没有这个项目","OK")))))</f>
        <v/>
      </c>
    </row>
    <row r="211" customFormat="false" ht="15" hidden="false" customHeight="false" outlineLevel="0" collapsed="false">
      <c r="A211" s="29" t="str">
        <f aca="false">IF($C211="","",ROW()-4)</f>
        <v/>
      </c>
      <c r="B211" s="35" t="str">
        <f aca="false">IF($C211="","",IFERROR(INDEX(电梯片区,MATCH($E211,电梯键,0)),""))</f>
        <v/>
      </c>
      <c r="C211" s="24"/>
      <c r="D211" s="24"/>
      <c r="E211" s="30" t="str">
        <f aca="false">IF($C211="","",$C211&amp;" ｜ "&amp;$D211)</f>
        <v/>
      </c>
      <c r="F211" s="25"/>
      <c r="G211" s="25"/>
      <c r="H211" s="33"/>
      <c r="I211" s="33"/>
      <c r="J211" s="32"/>
      <c r="K211" s="38" t="str">
        <f aca="false">IF($C211="","",SUMIF(电梯键,$E211,电梯台量))</f>
        <v/>
      </c>
      <c r="L211" s="39"/>
      <c r="M211" s="25"/>
      <c r="N211" s="25"/>
      <c r="O211" s="38" t="str">
        <f aca="false">IF($C211="","",SUMIFS(电梯台量,电梯键,$E211,电梯状态,"安装免保")+SUMIFS(电梯台量,电梯键,$E211,电梯状态,"技术免保")+SUMIFS(电梯台量,电梯键,$E211,电梯状态,"质保期内"))</f>
        <v/>
      </c>
      <c r="P211" s="38" t="str">
        <f aca="false">IF($C211="","",$K211-$O211)</f>
        <v/>
      </c>
      <c r="Q211" s="34" t="str">
        <f aca="true">IF($C211="","",IF($G211="已终止","",IF($I211="","▲没填合同止期",IF($I211&lt;TODAY(),"已到期 "&amp;TEXT(TODAY()-$I211,"0")&amp;" 天",IF($I211-TODAY()&lt;=合同提醒天,"将到期 "&amp;TEXT($I211-TODAY(),"0")&amp;" 天","")))))</f>
        <v/>
      </c>
      <c r="R211" s="34" t="str">
        <f aca="false">IF($C211="","",IF($G211="","▲合同状态没选",IF(OR($G211="已签未回",$G211="未签",$G211="续签中"),"▲合同未回（"&amp;$G211&amp;"）","")))</f>
        <v/>
      </c>
      <c r="S211" s="35" t="str">
        <f aca="false">IF($C211="","",IF(N($J211)=N($K211),"一致","★合同"&amp;TEXT(N($J211),"0")&amp;"台 / 在册"&amp;TEXT(N($K211),"0")&amp;"台"))</f>
        <v/>
      </c>
      <c r="T211" s="40" t="str">
        <f aca="false">IF($C211="","",ROUND(SUMIFS(应收金额,应收键,$E211,应收年度,管理年度),2))</f>
        <v/>
      </c>
      <c r="U211" s="40" t="str">
        <f aca="false">IF($C211="","",ROUND(SUMIFS(收款金额,收款键,$E211,收款年度,管理年度),2))</f>
        <v/>
      </c>
      <c r="V211" s="41" t="str">
        <f aca="false">IF($C211="","",ROUND(SUMIF(应收键,$E211,应收金额)-SUMIF(收款键,$E211,收款金额),2))</f>
        <v/>
      </c>
      <c r="W211" s="24"/>
      <c r="X211" s="35" t="str">
        <f aca="false">IF($C211="","",IF($D211="","★项目名称没填",IF(COUNTIF($E$5:$E$304,$E211)&gt;1,"★键重复",IF(AND($H211&lt;&gt;"",$I211&lt;&gt;"",$I211&lt;$H211),"★合同起止反了",IF(N($K211)=0,"★电梯资料里没有这个项目","OK")))))</f>
        <v/>
      </c>
    </row>
    <row r="212" customFormat="false" ht="15" hidden="false" customHeight="false" outlineLevel="0" collapsed="false">
      <c r="A212" s="29" t="str">
        <f aca="false">IF($C212="","",ROW()-4)</f>
        <v/>
      </c>
      <c r="B212" s="35" t="str">
        <f aca="false">IF($C212="","",IFERROR(INDEX(电梯片区,MATCH($E212,电梯键,0)),""))</f>
        <v/>
      </c>
      <c r="C212" s="24"/>
      <c r="D212" s="24"/>
      <c r="E212" s="30" t="str">
        <f aca="false">IF($C212="","",$C212&amp;" ｜ "&amp;$D212)</f>
        <v/>
      </c>
      <c r="F212" s="25"/>
      <c r="G212" s="25"/>
      <c r="H212" s="33"/>
      <c r="I212" s="33"/>
      <c r="J212" s="32"/>
      <c r="K212" s="38" t="str">
        <f aca="false">IF($C212="","",SUMIF(电梯键,$E212,电梯台量))</f>
        <v/>
      </c>
      <c r="L212" s="39"/>
      <c r="M212" s="25"/>
      <c r="N212" s="25"/>
      <c r="O212" s="38" t="str">
        <f aca="false">IF($C212="","",SUMIFS(电梯台量,电梯键,$E212,电梯状态,"安装免保")+SUMIFS(电梯台量,电梯键,$E212,电梯状态,"技术免保")+SUMIFS(电梯台量,电梯键,$E212,电梯状态,"质保期内"))</f>
        <v/>
      </c>
      <c r="P212" s="38" t="str">
        <f aca="false">IF($C212="","",$K212-$O212)</f>
        <v/>
      </c>
      <c r="Q212" s="34" t="str">
        <f aca="true">IF($C212="","",IF($G212="已终止","",IF($I212="","▲没填合同止期",IF($I212&lt;TODAY(),"已到期 "&amp;TEXT(TODAY()-$I212,"0")&amp;" 天",IF($I212-TODAY()&lt;=合同提醒天,"将到期 "&amp;TEXT($I212-TODAY(),"0")&amp;" 天","")))))</f>
        <v/>
      </c>
      <c r="R212" s="34" t="str">
        <f aca="false">IF($C212="","",IF($G212="","▲合同状态没选",IF(OR($G212="已签未回",$G212="未签",$G212="续签中"),"▲合同未回（"&amp;$G212&amp;"）","")))</f>
        <v/>
      </c>
      <c r="S212" s="35" t="str">
        <f aca="false">IF($C212="","",IF(N($J212)=N($K212),"一致","★合同"&amp;TEXT(N($J212),"0")&amp;"台 / 在册"&amp;TEXT(N($K212),"0")&amp;"台"))</f>
        <v/>
      </c>
      <c r="T212" s="40" t="str">
        <f aca="false">IF($C212="","",ROUND(SUMIFS(应收金额,应收键,$E212,应收年度,管理年度),2))</f>
        <v/>
      </c>
      <c r="U212" s="40" t="str">
        <f aca="false">IF($C212="","",ROUND(SUMIFS(收款金额,收款键,$E212,收款年度,管理年度),2))</f>
        <v/>
      </c>
      <c r="V212" s="41" t="str">
        <f aca="false">IF($C212="","",ROUND(SUMIF(应收键,$E212,应收金额)-SUMIF(收款键,$E212,收款金额),2))</f>
        <v/>
      </c>
      <c r="W212" s="24"/>
      <c r="X212" s="35" t="str">
        <f aca="false">IF($C212="","",IF($D212="","★项目名称没填",IF(COUNTIF($E$5:$E$304,$E212)&gt;1,"★键重复",IF(AND($H212&lt;&gt;"",$I212&lt;&gt;"",$I212&lt;$H212),"★合同起止反了",IF(N($K212)=0,"★电梯资料里没有这个项目","OK")))))</f>
        <v/>
      </c>
    </row>
    <row r="213" customFormat="false" ht="15" hidden="false" customHeight="false" outlineLevel="0" collapsed="false">
      <c r="A213" s="29" t="str">
        <f aca="false">IF($C213="","",ROW()-4)</f>
        <v/>
      </c>
      <c r="B213" s="35" t="str">
        <f aca="false">IF($C213="","",IFERROR(INDEX(电梯片区,MATCH($E213,电梯键,0)),""))</f>
        <v/>
      </c>
      <c r="C213" s="24"/>
      <c r="D213" s="24"/>
      <c r="E213" s="30" t="str">
        <f aca="false">IF($C213="","",$C213&amp;" ｜ "&amp;$D213)</f>
        <v/>
      </c>
      <c r="F213" s="25"/>
      <c r="G213" s="25"/>
      <c r="H213" s="33"/>
      <c r="I213" s="33"/>
      <c r="J213" s="32"/>
      <c r="K213" s="38" t="str">
        <f aca="false">IF($C213="","",SUMIF(电梯键,$E213,电梯台量))</f>
        <v/>
      </c>
      <c r="L213" s="39"/>
      <c r="M213" s="25"/>
      <c r="N213" s="25"/>
      <c r="O213" s="38" t="str">
        <f aca="false">IF($C213="","",SUMIFS(电梯台量,电梯键,$E213,电梯状态,"安装免保")+SUMIFS(电梯台量,电梯键,$E213,电梯状态,"技术免保")+SUMIFS(电梯台量,电梯键,$E213,电梯状态,"质保期内"))</f>
        <v/>
      </c>
      <c r="P213" s="38" t="str">
        <f aca="false">IF($C213="","",$K213-$O213)</f>
        <v/>
      </c>
      <c r="Q213" s="34" t="str">
        <f aca="true">IF($C213="","",IF($G213="已终止","",IF($I213="","▲没填合同止期",IF($I213&lt;TODAY(),"已到期 "&amp;TEXT(TODAY()-$I213,"0")&amp;" 天",IF($I213-TODAY()&lt;=合同提醒天,"将到期 "&amp;TEXT($I213-TODAY(),"0")&amp;" 天","")))))</f>
        <v/>
      </c>
      <c r="R213" s="34" t="str">
        <f aca="false">IF($C213="","",IF($G213="","▲合同状态没选",IF(OR($G213="已签未回",$G213="未签",$G213="续签中"),"▲合同未回（"&amp;$G213&amp;"）","")))</f>
        <v/>
      </c>
      <c r="S213" s="35" t="str">
        <f aca="false">IF($C213="","",IF(N($J213)=N($K213),"一致","★合同"&amp;TEXT(N($J213),"0")&amp;"台 / 在册"&amp;TEXT(N($K213),"0")&amp;"台"))</f>
        <v/>
      </c>
      <c r="T213" s="40" t="str">
        <f aca="false">IF($C213="","",ROUND(SUMIFS(应收金额,应收键,$E213,应收年度,管理年度),2))</f>
        <v/>
      </c>
      <c r="U213" s="40" t="str">
        <f aca="false">IF($C213="","",ROUND(SUMIFS(收款金额,收款键,$E213,收款年度,管理年度),2))</f>
        <v/>
      </c>
      <c r="V213" s="41" t="str">
        <f aca="false">IF($C213="","",ROUND(SUMIF(应收键,$E213,应收金额)-SUMIF(收款键,$E213,收款金额),2))</f>
        <v/>
      </c>
      <c r="W213" s="24"/>
      <c r="X213" s="35" t="str">
        <f aca="false">IF($C213="","",IF($D213="","★项目名称没填",IF(COUNTIF($E$5:$E$304,$E213)&gt;1,"★键重复",IF(AND($H213&lt;&gt;"",$I213&lt;&gt;"",$I213&lt;$H213),"★合同起止反了",IF(N($K213)=0,"★电梯资料里没有这个项目","OK")))))</f>
        <v/>
      </c>
    </row>
    <row r="214" customFormat="false" ht="15" hidden="false" customHeight="false" outlineLevel="0" collapsed="false">
      <c r="A214" s="29" t="str">
        <f aca="false">IF($C214="","",ROW()-4)</f>
        <v/>
      </c>
      <c r="B214" s="35" t="str">
        <f aca="false">IF($C214="","",IFERROR(INDEX(电梯片区,MATCH($E214,电梯键,0)),""))</f>
        <v/>
      </c>
      <c r="C214" s="24"/>
      <c r="D214" s="24"/>
      <c r="E214" s="30" t="str">
        <f aca="false">IF($C214="","",$C214&amp;" ｜ "&amp;$D214)</f>
        <v/>
      </c>
      <c r="F214" s="25"/>
      <c r="G214" s="25"/>
      <c r="H214" s="33"/>
      <c r="I214" s="33"/>
      <c r="J214" s="32"/>
      <c r="K214" s="38" t="str">
        <f aca="false">IF($C214="","",SUMIF(电梯键,$E214,电梯台量))</f>
        <v/>
      </c>
      <c r="L214" s="39"/>
      <c r="M214" s="25"/>
      <c r="N214" s="25"/>
      <c r="O214" s="38" t="str">
        <f aca="false">IF($C214="","",SUMIFS(电梯台量,电梯键,$E214,电梯状态,"安装免保")+SUMIFS(电梯台量,电梯键,$E214,电梯状态,"技术免保")+SUMIFS(电梯台量,电梯键,$E214,电梯状态,"质保期内"))</f>
        <v/>
      </c>
      <c r="P214" s="38" t="str">
        <f aca="false">IF($C214="","",$K214-$O214)</f>
        <v/>
      </c>
      <c r="Q214" s="34" t="str">
        <f aca="true">IF($C214="","",IF($G214="已终止","",IF($I214="","▲没填合同止期",IF($I214&lt;TODAY(),"已到期 "&amp;TEXT(TODAY()-$I214,"0")&amp;" 天",IF($I214-TODAY()&lt;=合同提醒天,"将到期 "&amp;TEXT($I214-TODAY(),"0")&amp;" 天","")))))</f>
        <v/>
      </c>
      <c r="R214" s="34" t="str">
        <f aca="false">IF($C214="","",IF($G214="","▲合同状态没选",IF(OR($G214="已签未回",$G214="未签",$G214="续签中"),"▲合同未回（"&amp;$G214&amp;"）","")))</f>
        <v/>
      </c>
      <c r="S214" s="35" t="str">
        <f aca="false">IF($C214="","",IF(N($J214)=N($K214),"一致","★合同"&amp;TEXT(N($J214),"0")&amp;"台 / 在册"&amp;TEXT(N($K214),"0")&amp;"台"))</f>
        <v/>
      </c>
      <c r="T214" s="40" t="str">
        <f aca="false">IF($C214="","",ROUND(SUMIFS(应收金额,应收键,$E214,应收年度,管理年度),2))</f>
        <v/>
      </c>
      <c r="U214" s="40" t="str">
        <f aca="false">IF($C214="","",ROUND(SUMIFS(收款金额,收款键,$E214,收款年度,管理年度),2))</f>
        <v/>
      </c>
      <c r="V214" s="41" t="str">
        <f aca="false">IF($C214="","",ROUND(SUMIF(应收键,$E214,应收金额)-SUMIF(收款键,$E214,收款金额),2))</f>
        <v/>
      </c>
      <c r="W214" s="24"/>
      <c r="X214" s="35" t="str">
        <f aca="false">IF($C214="","",IF($D214="","★项目名称没填",IF(COUNTIF($E$5:$E$304,$E214)&gt;1,"★键重复",IF(AND($H214&lt;&gt;"",$I214&lt;&gt;"",$I214&lt;$H214),"★合同起止反了",IF(N($K214)=0,"★电梯资料里没有这个项目","OK")))))</f>
        <v/>
      </c>
    </row>
    <row r="215" customFormat="false" ht="15" hidden="false" customHeight="false" outlineLevel="0" collapsed="false">
      <c r="A215" s="29" t="str">
        <f aca="false">IF($C215="","",ROW()-4)</f>
        <v/>
      </c>
      <c r="B215" s="35" t="str">
        <f aca="false">IF($C215="","",IFERROR(INDEX(电梯片区,MATCH($E215,电梯键,0)),""))</f>
        <v/>
      </c>
      <c r="C215" s="24"/>
      <c r="D215" s="24"/>
      <c r="E215" s="30" t="str">
        <f aca="false">IF($C215="","",$C215&amp;" ｜ "&amp;$D215)</f>
        <v/>
      </c>
      <c r="F215" s="25"/>
      <c r="G215" s="25"/>
      <c r="H215" s="33"/>
      <c r="I215" s="33"/>
      <c r="J215" s="32"/>
      <c r="K215" s="38" t="str">
        <f aca="false">IF($C215="","",SUMIF(电梯键,$E215,电梯台量))</f>
        <v/>
      </c>
      <c r="L215" s="39"/>
      <c r="M215" s="25"/>
      <c r="N215" s="25"/>
      <c r="O215" s="38" t="str">
        <f aca="false">IF($C215="","",SUMIFS(电梯台量,电梯键,$E215,电梯状态,"安装免保")+SUMIFS(电梯台量,电梯键,$E215,电梯状态,"技术免保")+SUMIFS(电梯台量,电梯键,$E215,电梯状态,"质保期内"))</f>
        <v/>
      </c>
      <c r="P215" s="38" t="str">
        <f aca="false">IF($C215="","",$K215-$O215)</f>
        <v/>
      </c>
      <c r="Q215" s="34" t="str">
        <f aca="true">IF($C215="","",IF($G215="已终止","",IF($I215="","▲没填合同止期",IF($I215&lt;TODAY(),"已到期 "&amp;TEXT(TODAY()-$I215,"0")&amp;" 天",IF($I215-TODAY()&lt;=合同提醒天,"将到期 "&amp;TEXT($I215-TODAY(),"0")&amp;" 天","")))))</f>
        <v/>
      </c>
      <c r="R215" s="34" t="str">
        <f aca="false">IF($C215="","",IF($G215="","▲合同状态没选",IF(OR($G215="已签未回",$G215="未签",$G215="续签中"),"▲合同未回（"&amp;$G215&amp;"）","")))</f>
        <v/>
      </c>
      <c r="S215" s="35" t="str">
        <f aca="false">IF($C215="","",IF(N($J215)=N($K215),"一致","★合同"&amp;TEXT(N($J215),"0")&amp;"台 / 在册"&amp;TEXT(N($K215),"0")&amp;"台"))</f>
        <v/>
      </c>
      <c r="T215" s="40" t="str">
        <f aca="false">IF($C215="","",ROUND(SUMIFS(应收金额,应收键,$E215,应收年度,管理年度),2))</f>
        <v/>
      </c>
      <c r="U215" s="40" t="str">
        <f aca="false">IF($C215="","",ROUND(SUMIFS(收款金额,收款键,$E215,收款年度,管理年度),2))</f>
        <v/>
      </c>
      <c r="V215" s="41" t="str">
        <f aca="false">IF($C215="","",ROUND(SUMIF(应收键,$E215,应收金额)-SUMIF(收款键,$E215,收款金额),2))</f>
        <v/>
      </c>
      <c r="W215" s="24"/>
      <c r="X215" s="35" t="str">
        <f aca="false">IF($C215="","",IF($D215="","★项目名称没填",IF(COUNTIF($E$5:$E$304,$E215)&gt;1,"★键重复",IF(AND($H215&lt;&gt;"",$I215&lt;&gt;"",$I215&lt;$H215),"★合同起止反了",IF(N($K215)=0,"★电梯资料里没有这个项目","OK")))))</f>
        <v/>
      </c>
    </row>
    <row r="216" customFormat="false" ht="15" hidden="false" customHeight="false" outlineLevel="0" collapsed="false">
      <c r="A216" s="29" t="str">
        <f aca="false">IF($C216="","",ROW()-4)</f>
        <v/>
      </c>
      <c r="B216" s="35" t="str">
        <f aca="false">IF($C216="","",IFERROR(INDEX(电梯片区,MATCH($E216,电梯键,0)),""))</f>
        <v/>
      </c>
      <c r="C216" s="24"/>
      <c r="D216" s="24"/>
      <c r="E216" s="30" t="str">
        <f aca="false">IF($C216="","",$C216&amp;" ｜ "&amp;$D216)</f>
        <v/>
      </c>
      <c r="F216" s="25"/>
      <c r="G216" s="25"/>
      <c r="H216" s="33"/>
      <c r="I216" s="33"/>
      <c r="J216" s="32"/>
      <c r="K216" s="38" t="str">
        <f aca="false">IF($C216="","",SUMIF(电梯键,$E216,电梯台量))</f>
        <v/>
      </c>
      <c r="L216" s="39"/>
      <c r="M216" s="25"/>
      <c r="N216" s="25"/>
      <c r="O216" s="38" t="str">
        <f aca="false">IF($C216="","",SUMIFS(电梯台量,电梯键,$E216,电梯状态,"安装免保")+SUMIFS(电梯台量,电梯键,$E216,电梯状态,"技术免保")+SUMIFS(电梯台量,电梯键,$E216,电梯状态,"质保期内"))</f>
        <v/>
      </c>
      <c r="P216" s="38" t="str">
        <f aca="false">IF($C216="","",$K216-$O216)</f>
        <v/>
      </c>
      <c r="Q216" s="34" t="str">
        <f aca="true">IF($C216="","",IF($G216="已终止","",IF($I216="","▲没填合同止期",IF($I216&lt;TODAY(),"已到期 "&amp;TEXT(TODAY()-$I216,"0")&amp;" 天",IF($I216-TODAY()&lt;=合同提醒天,"将到期 "&amp;TEXT($I216-TODAY(),"0")&amp;" 天","")))))</f>
        <v/>
      </c>
      <c r="R216" s="34" t="str">
        <f aca="false">IF($C216="","",IF($G216="","▲合同状态没选",IF(OR($G216="已签未回",$G216="未签",$G216="续签中"),"▲合同未回（"&amp;$G216&amp;"）","")))</f>
        <v/>
      </c>
      <c r="S216" s="35" t="str">
        <f aca="false">IF($C216="","",IF(N($J216)=N($K216),"一致","★合同"&amp;TEXT(N($J216),"0")&amp;"台 / 在册"&amp;TEXT(N($K216),"0")&amp;"台"))</f>
        <v/>
      </c>
      <c r="T216" s="40" t="str">
        <f aca="false">IF($C216="","",ROUND(SUMIFS(应收金额,应收键,$E216,应收年度,管理年度),2))</f>
        <v/>
      </c>
      <c r="U216" s="40" t="str">
        <f aca="false">IF($C216="","",ROUND(SUMIFS(收款金额,收款键,$E216,收款年度,管理年度),2))</f>
        <v/>
      </c>
      <c r="V216" s="41" t="str">
        <f aca="false">IF($C216="","",ROUND(SUMIF(应收键,$E216,应收金额)-SUMIF(收款键,$E216,收款金额),2))</f>
        <v/>
      </c>
      <c r="W216" s="24"/>
      <c r="X216" s="35" t="str">
        <f aca="false">IF($C216="","",IF($D216="","★项目名称没填",IF(COUNTIF($E$5:$E$304,$E216)&gt;1,"★键重复",IF(AND($H216&lt;&gt;"",$I216&lt;&gt;"",$I216&lt;$H216),"★合同起止反了",IF(N($K216)=0,"★电梯资料里没有这个项目","OK")))))</f>
        <v/>
      </c>
    </row>
    <row r="217" customFormat="false" ht="15" hidden="false" customHeight="false" outlineLevel="0" collapsed="false">
      <c r="A217" s="29" t="str">
        <f aca="false">IF($C217="","",ROW()-4)</f>
        <v/>
      </c>
      <c r="B217" s="35" t="str">
        <f aca="false">IF($C217="","",IFERROR(INDEX(电梯片区,MATCH($E217,电梯键,0)),""))</f>
        <v/>
      </c>
      <c r="C217" s="24"/>
      <c r="D217" s="24"/>
      <c r="E217" s="30" t="str">
        <f aca="false">IF($C217="","",$C217&amp;" ｜ "&amp;$D217)</f>
        <v/>
      </c>
      <c r="F217" s="25"/>
      <c r="G217" s="25"/>
      <c r="H217" s="33"/>
      <c r="I217" s="33"/>
      <c r="J217" s="32"/>
      <c r="K217" s="38" t="str">
        <f aca="false">IF($C217="","",SUMIF(电梯键,$E217,电梯台量))</f>
        <v/>
      </c>
      <c r="L217" s="39"/>
      <c r="M217" s="25"/>
      <c r="N217" s="25"/>
      <c r="O217" s="38" t="str">
        <f aca="false">IF($C217="","",SUMIFS(电梯台量,电梯键,$E217,电梯状态,"安装免保")+SUMIFS(电梯台量,电梯键,$E217,电梯状态,"技术免保")+SUMIFS(电梯台量,电梯键,$E217,电梯状态,"质保期内"))</f>
        <v/>
      </c>
      <c r="P217" s="38" t="str">
        <f aca="false">IF($C217="","",$K217-$O217)</f>
        <v/>
      </c>
      <c r="Q217" s="34" t="str">
        <f aca="true">IF($C217="","",IF($G217="已终止","",IF($I217="","▲没填合同止期",IF($I217&lt;TODAY(),"已到期 "&amp;TEXT(TODAY()-$I217,"0")&amp;" 天",IF($I217-TODAY()&lt;=合同提醒天,"将到期 "&amp;TEXT($I217-TODAY(),"0")&amp;" 天","")))))</f>
        <v/>
      </c>
      <c r="R217" s="34" t="str">
        <f aca="false">IF($C217="","",IF($G217="","▲合同状态没选",IF(OR($G217="已签未回",$G217="未签",$G217="续签中"),"▲合同未回（"&amp;$G217&amp;"）","")))</f>
        <v/>
      </c>
      <c r="S217" s="35" t="str">
        <f aca="false">IF($C217="","",IF(N($J217)=N($K217),"一致","★合同"&amp;TEXT(N($J217),"0")&amp;"台 / 在册"&amp;TEXT(N($K217),"0")&amp;"台"))</f>
        <v/>
      </c>
      <c r="T217" s="40" t="str">
        <f aca="false">IF($C217="","",ROUND(SUMIFS(应收金额,应收键,$E217,应收年度,管理年度),2))</f>
        <v/>
      </c>
      <c r="U217" s="40" t="str">
        <f aca="false">IF($C217="","",ROUND(SUMIFS(收款金额,收款键,$E217,收款年度,管理年度),2))</f>
        <v/>
      </c>
      <c r="V217" s="41" t="str">
        <f aca="false">IF($C217="","",ROUND(SUMIF(应收键,$E217,应收金额)-SUMIF(收款键,$E217,收款金额),2))</f>
        <v/>
      </c>
      <c r="W217" s="24"/>
      <c r="X217" s="35" t="str">
        <f aca="false">IF($C217="","",IF($D217="","★项目名称没填",IF(COUNTIF($E$5:$E$304,$E217)&gt;1,"★键重复",IF(AND($H217&lt;&gt;"",$I217&lt;&gt;"",$I217&lt;$H217),"★合同起止反了",IF(N($K217)=0,"★电梯资料里没有这个项目","OK")))))</f>
        <v/>
      </c>
    </row>
    <row r="218" customFormat="false" ht="15" hidden="false" customHeight="false" outlineLevel="0" collapsed="false">
      <c r="A218" s="29" t="str">
        <f aca="false">IF($C218="","",ROW()-4)</f>
        <v/>
      </c>
      <c r="B218" s="35" t="str">
        <f aca="false">IF($C218="","",IFERROR(INDEX(电梯片区,MATCH($E218,电梯键,0)),""))</f>
        <v/>
      </c>
      <c r="C218" s="24"/>
      <c r="D218" s="24"/>
      <c r="E218" s="30" t="str">
        <f aca="false">IF($C218="","",$C218&amp;" ｜ "&amp;$D218)</f>
        <v/>
      </c>
      <c r="F218" s="25"/>
      <c r="G218" s="25"/>
      <c r="H218" s="33"/>
      <c r="I218" s="33"/>
      <c r="J218" s="32"/>
      <c r="K218" s="38" t="str">
        <f aca="false">IF($C218="","",SUMIF(电梯键,$E218,电梯台量))</f>
        <v/>
      </c>
      <c r="L218" s="39"/>
      <c r="M218" s="25"/>
      <c r="N218" s="25"/>
      <c r="O218" s="38" t="str">
        <f aca="false">IF($C218="","",SUMIFS(电梯台量,电梯键,$E218,电梯状态,"安装免保")+SUMIFS(电梯台量,电梯键,$E218,电梯状态,"技术免保")+SUMIFS(电梯台量,电梯键,$E218,电梯状态,"质保期内"))</f>
        <v/>
      </c>
      <c r="P218" s="38" t="str">
        <f aca="false">IF($C218="","",$K218-$O218)</f>
        <v/>
      </c>
      <c r="Q218" s="34" t="str">
        <f aca="true">IF($C218="","",IF($G218="已终止","",IF($I218="","▲没填合同止期",IF($I218&lt;TODAY(),"已到期 "&amp;TEXT(TODAY()-$I218,"0")&amp;" 天",IF($I218-TODAY()&lt;=合同提醒天,"将到期 "&amp;TEXT($I218-TODAY(),"0")&amp;" 天","")))))</f>
        <v/>
      </c>
      <c r="R218" s="34" t="str">
        <f aca="false">IF($C218="","",IF($G218="","▲合同状态没选",IF(OR($G218="已签未回",$G218="未签",$G218="续签中"),"▲合同未回（"&amp;$G218&amp;"）","")))</f>
        <v/>
      </c>
      <c r="S218" s="35" t="str">
        <f aca="false">IF($C218="","",IF(N($J218)=N($K218),"一致","★合同"&amp;TEXT(N($J218),"0")&amp;"台 / 在册"&amp;TEXT(N($K218),"0")&amp;"台"))</f>
        <v/>
      </c>
      <c r="T218" s="40" t="str">
        <f aca="false">IF($C218="","",ROUND(SUMIFS(应收金额,应收键,$E218,应收年度,管理年度),2))</f>
        <v/>
      </c>
      <c r="U218" s="40" t="str">
        <f aca="false">IF($C218="","",ROUND(SUMIFS(收款金额,收款键,$E218,收款年度,管理年度),2))</f>
        <v/>
      </c>
      <c r="V218" s="41" t="str">
        <f aca="false">IF($C218="","",ROUND(SUMIF(应收键,$E218,应收金额)-SUMIF(收款键,$E218,收款金额),2))</f>
        <v/>
      </c>
      <c r="W218" s="24"/>
      <c r="X218" s="35" t="str">
        <f aca="false">IF($C218="","",IF($D218="","★项目名称没填",IF(COUNTIF($E$5:$E$304,$E218)&gt;1,"★键重复",IF(AND($H218&lt;&gt;"",$I218&lt;&gt;"",$I218&lt;$H218),"★合同起止反了",IF(N($K218)=0,"★电梯资料里没有这个项目","OK")))))</f>
        <v/>
      </c>
    </row>
    <row r="219" customFormat="false" ht="15" hidden="false" customHeight="false" outlineLevel="0" collapsed="false">
      <c r="A219" s="29" t="str">
        <f aca="false">IF($C219="","",ROW()-4)</f>
        <v/>
      </c>
      <c r="B219" s="35" t="str">
        <f aca="false">IF($C219="","",IFERROR(INDEX(电梯片区,MATCH($E219,电梯键,0)),""))</f>
        <v/>
      </c>
      <c r="C219" s="24"/>
      <c r="D219" s="24"/>
      <c r="E219" s="30" t="str">
        <f aca="false">IF($C219="","",$C219&amp;" ｜ "&amp;$D219)</f>
        <v/>
      </c>
      <c r="F219" s="25"/>
      <c r="G219" s="25"/>
      <c r="H219" s="33"/>
      <c r="I219" s="33"/>
      <c r="J219" s="32"/>
      <c r="K219" s="38" t="str">
        <f aca="false">IF($C219="","",SUMIF(电梯键,$E219,电梯台量))</f>
        <v/>
      </c>
      <c r="L219" s="39"/>
      <c r="M219" s="25"/>
      <c r="N219" s="25"/>
      <c r="O219" s="38" t="str">
        <f aca="false">IF($C219="","",SUMIFS(电梯台量,电梯键,$E219,电梯状态,"安装免保")+SUMIFS(电梯台量,电梯键,$E219,电梯状态,"技术免保")+SUMIFS(电梯台量,电梯键,$E219,电梯状态,"质保期内"))</f>
        <v/>
      </c>
      <c r="P219" s="38" t="str">
        <f aca="false">IF($C219="","",$K219-$O219)</f>
        <v/>
      </c>
      <c r="Q219" s="34" t="str">
        <f aca="true">IF($C219="","",IF($G219="已终止","",IF($I219="","▲没填合同止期",IF($I219&lt;TODAY(),"已到期 "&amp;TEXT(TODAY()-$I219,"0")&amp;" 天",IF($I219-TODAY()&lt;=合同提醒天,"将到期 "&amp;TEXT($I219-TODAY(),"0")&amp;" 天","")))))</f>
        <v/>
      </c>
      <c r="R219" s="34" t="str">
        <f aca="false">IF($C219="","",IF($G219="","▲合同状态没选",IF(OR($G219="已签未回",$G219="未签",$G219="续签中"),"▲合同未回（"&amp;$G219&amp;"）","")))</f>
        <v/>
      </c>
      <c r="S219" s="35" t="str">
        <f aca="false">IF($C219="","",IF(N($J219)=N($K219),"一致","★合同"&amp;TEXT(N($J219),"0")&amp;"台 / 在册"&amp;TEXT(N($K219),"0")&amp;"台"))</f>
        <v/>
      </c>
      <c r="T219" s="40" t="str">
        <f aca="false">IF($C219="","",ROUND(SUMIFS(应收金额,应收键,$E219,应收年度,管理年度),2))</f>
        <v/>
      </c>
      <c r="U219" s="40" t="str">
        <f aca="false">IF($C219="","",ROUND(SUMIFS(收款金额,收款键,$E219,收款年度,管理年度),2))</f>
        <v/>
      </c>
      <c r="V219" s="41" t="str">
        <f aca="false">IF($C219="","",ROUND(SUMIF(应收键,$E219,应收金额)-SUMIF(收款键,$E219,收款金额),2))</f>
        <v/>
      </c>
      <c r="W219" s="24"/>
      <c r="X219" s="35" t="str">
        <f aca="false">IF($C219="","",IF($D219="","★项目名称没填",IF(COUNTIF($E$5:$E$304,$E219)&gt;1,"★键重复",IF(AND($H219&lt;&gt;"",$I219&lt;&gt;"",$I219&lt;$H219),"★合同起止反了",IF(N($K219)=0,"★电梯资料里没有这个项目","OK")))))</f>
        <v/>
      </c>
    </row>
    <row r="220" customFormat="false" ht="15" hidden="false" customHeight="false" outlineLevel="0" collapsed="false">
      <c r="A220" s="29" t="str">
        <f aca="false">IF($C220="","",ROW()-4)</f>
        <v/>
      </c>
      <c r="B220" s="35" t="str">
        <f aca="false">IF($C220="","",IFERROR(INDEX(电梯片区,MATCH($E220,电梯键,0)),""))</f>
        <v/>
      </c>
      <c r="C220" s="24"/>
      <c r="D220" s="24"/>
      <c r="E220" s="30" t="str">
        <f aca="false">IF($C220="","",$C220&amp;" ｜ "&amp;$D220)</f>
        <v/>
      </c>
      <c r="F220" s="25"/>
      <c r="G220" s="25"/>
      <c r="H220" s="33"/>
      <c r="I220" s="33"/>
      <c r="J220" s="32"/>
      <c r="K220" s="38" t="str">
        <f aca="false">IF($C220="","",SUMIF(电梯键,$E220,电梯台量))</f>
        <v/>
      </c>
      <c r="L220" s="39"/>
      <c r="M220" s="25"/>
      <c r="N220" s="25"/>
      <c r="O220" s="38" t="str">
        <f aca="false">IF($C220="","",SUMIFS(电梯台量,电梯键,$E220,电梯状态,"安装免保")+SUMIFS(电梯台量,电梯键,$E220,电梯状态,"技术免保")+SUMIFS(电梯台量,电梯键,$E220,电梯状态,"质保期内"))</f>
        <v/>
      </c>
      <c r="P220" s="38" t="str">
        <f aca="false">IF($C220="","",$K220-$O220)</f>
        <v/>
      </c>
      <c r="Q220" s="34" t="str">
        <f aca="true">IF($C220="","",IF($G220="已终止","",IF($I220="","▲没填合同止期",IF($I220&lt;TODAY(),"已到期 "&amp;TEXT(TODAY()-$I220,"0")&amp;" 天",IF($I220-TODAY()&lt;=合同提醒天,"将到期 "&amp;TEXT($I220-TODAY(),"0")&amp;" 天","")))))</f>
        <v/>
      </c>
      <c r="R220" s="34" t="str">
        <f aca="false">IF($C220="","",IF($G220="","▲合同状态没选",IF(OR($G220="已签未回",$G220="未签",$G220="续签中"),"▲合同未回（"&amp;$G220&amp;"）","")))</f>
        <v/>
      </c>
      <c r="S220" s="35" t="str">
        <f aca="false">IF($C220="","",IF(N($J220)=N($K220),"一致","★合同"&amp;TEXT(N($J220),"0")&amp;"台 / 在册"&amp;TEXT(N($K220),"0")&amp;"台"))</f>
        <v/>
      </c>
      <c r="T220" s="40" t="str">
        <f aca="false">IF($C220="","",ROUND(SUMIFS(应收金额,应收键,$E220,应收年度,管理年度),2))</f>
        <v/>
      </c>
      <c r="U220" s="40" t="str">
        <f aca="false">IF($C220="","",ROUND(SUMIFS(收款金额,收款键,$E220,收款年度,管理年度),2))</f>
        <v/>
      </c>
      <c r="V220" s="41" t="str">
        <f aca="false">IF($C220="","",ROUND(SUMIF(应收键,$E220,应收金额)-SUMIF(收款键,$E220,收款金额),2))</f>
        <v/>
      </c>
      <c r="W220" s="24"/>
      <c r="X220" s="35" t="str">
        <f aca="false">IF($C220="","",IF($D220="","★项目名称没填",IF(COUNTIF($E$5:$E$304,$E220)&gt;1,"★键重复",IF(AND($H220&lt;&gt;"",$I220&lt;&gt;"",$I220&lt;$H220),"★合同起止反了",IF(N($K220)=0,"★电梯资料里没有这个项目","OK")))))</f>
        <v/>
      </c>
    </row>
    <row r="221" customFormat="false" ht="15" hidden="false" customHeight="false" outlineLevel="0" collapsed="false">
      <c r="A221" s="29" t="str">
        <f aca="false">IF($C221="","",ROW()-4)</f>
        <v/>
      </c>
      <c r="B221" s="35" t="str">
        <f aca="false">IF($C221="","",IFERROR(INDEX(电梯片区,MATCH($E221,电梯键,0)),""))</f>
        <v/>
      </c>
      <c r="C221" s="24"/>
      <c r="D221" s="24"/>
      <c r="E221" s="30" t="str">
        <f aca="false">IF($C221="","",$C221&amp;" ｜ "&amp;$D221)</f>
        <v/>
      </c>
      <c r="F221" s="25"/>
      <c r="G221" s="25"/>
      <c r="H221" s="33"/>
      <c r="I221" s="33"/>
      <c r="J221" s="32"/>
      <c r="K221" s="38" t="str">
        <f aca="false">IF($C221="","",SUMIF(电梯键,$E221,电梯台量))</f>
        <v/>
      </c>
      <c r="L221" s="39"/>
      <c r="M221" s="25"/>
      <c r="N221" s="25"/>
      <c r="O221" s="38" t="str">
        <f aca="false">IF($C221="","",SUMIFS(电梯台量,电梯键,$E221,电梯状态,"安装免保")+SUMIFS(电梯台量,电梯键,$E221,电梯状态,"技术免保")+SUMIFS(电梯台量,电梯键,$E221,电梯状态,"质保期内"))</f>
        <v/>
      </c>
      <c r="P221" s="38" t="str">
        <f aca="false">IF($C221="","",$K221-$O221)</f>
        <v/>
      </c>
      <c r="Q221" s="34" t="str">
        <f aca="true">IF($C221="","",IF($G221="已终止","",IF($I221="","▲没填合同止期",IF($I221&lt;TODAY(),"已到期 "&amp;TEXT(TODAY()-$I221,"0")&amp;" 天",IF($I221-TODAY()&lt;=合同提醒天,"将到期 "&amp;TEXT($I221-TODAY(),"0")&amp;" 天","")))))</f>
        <v/>
      </c>
      <c r="R221" s="34" t="str">
        <f aca="false">IF($C221="","",IF($G221="","▲合同状态没选",IF(OR($G221="已签未回",$G221="未签",$G221="续签中"),"▲合同未回（"&amp;$G221&amp;"）","")))</f>
        <v/>
      </c>
      <c r="S221" s="35" t="str">
        <f aca="false">IF($C221="","",IF(N($J221)=N($K221),"一致","★合同"&amp;TEXT(N($J221),"0")&amp;"台 / 在册"&amp;TEXT(N($K221),"0")&amp;"台"))</f>
        <v/>
      </c>
      <c r="T221" s="40" t="str">
        <f aca="false">IF($C221="","",ROUND(SUMIFS(应收金额,应收键,$E221,应收年度,管理年度),2))</f>
        <v/>
      </c>
      <c r="U221" s="40" t="str">
        <f aca="false">IF($C221="","",ROUND(SUMIFS(收款金额,收款键,$E221,收款年度,管理年度),2))</f>
        <v/>
      </c>
      <c r="V221" s="41" t="str">
        <f aca="false">IF($C221="","",ROUND(SUMIF(应收键,$E221,应收金额)-SUMIF(收款键,$E221,收款金额),2))</f>
        <v/>
      </c>
      <c r="W221" s="24"/>
      <c r="X221" s="35" t="str">
        <f aca="false">IF($C221="","",IF($D221="","★项目名称没填",IF(COUNTIF($E$5:$E$304,$E221)&gt;1,"★键重复",IF(AND($H221&lt;&gt;"",$I221&lt;&gt;"",$I221&lt;$H221),"★合同起止反了",IF(N($K221)=0,"★电梯资料里没有这个项目","OK")))))</f>
        <v/>
      </c>
    </row>
    <row r="222" customFormat="false" ht="15" hidden="false" customHeight="false" outlineLevel="0" collapsed="false">
      <c r="A222" s="29" t="str">
        <f aca="false">IF($C222="","",ROW()-4)</f>
        <v/>
      </c>
      <c r="B222" s="35" t="str">
        <f aca="false">IF($C222="","",IFERROR(INDEX(电梯片区,MATCH($E222,电梯键,0)),""))</f>
        <v/>
      </c>
      <c r="C222" s="24"/>
      <c r="D222" s="24"/>
      <c r="E222" s="30" t="str">
        <f aca="false">IF($C222="","",$C222&amp;" ｜ "&amp;$D222)</f>
        <v/>
      </c>
      <c r="F222" s="25"/>
      <c r="G222" s="25"/>
      <c r="H222" s="33"/>
      <c r="I222" s="33"/>
      <c r="J222" s="32"/>
      <c r="K222" s="38" t="str">
        <f aca="false">IF($C222="","",SUMIF(电梯键,$E222,电梯台量))</f>
        <v/>
      </c>
      <c r="L222" s="39"/>
      <c r="M222" s="25"/>
      <c r="N222" s="25"/>
      <c r="O222" s="38" t="str">
        <f aca="false">IF($C222="","",SUMIFS(电梯台量,电梯键,$E222,电梯状态,"安装免保")+SUMIFS(电梯台量,电梯键,$E222,电梯状态,"技术免保")+SUMIFS(电梯台量,电梯键,$E222,电梯状态,"质保期内"))</f>
        <v/>
      </c>
      <c r="P222" s="38" t="str">
        <f aca="false">IF($C222="","",$K222-$O222)</f>
        <v/>
      </c>
      <c r="Q222" s="34" t="str">
        <f aca="true">IF($C222="","",IF($G222="已终止","",IF($I222="","▲没填合同止期",IF($I222&lt;TODAY(),"已到期 "&amp;TEXT(TODAY()-$I222,"0")&amp;" 天",IF($I222-TODAY()&lt;=合同提醒天,"将到期 "&amp;TEXT($I222-TODAY(),"0")&amp;" 天","")))))</f>
        <v/>
      </c>
      <c r="R222" s="34" t="str">
        <f aca="false">IF($C222="","",IF($G222="","▲合同状态没选",IF(OR($G222="已签未回",$G222="未签",$G222="续签中"),"▲合同未回（"&amp;$G222&amp;"）","")))</f>
        <v/>
      </c>
      <c r="S222" s="35" t="str">
        <f aca="false">IF($C222="","",IF(N($J222)=N($K222),"一致","★合同"&amp;TEXT(N($J222),"0")&amp;"台 / 在册"&amp;TEXT(N($K222),"0")&amp;"台"))</f>
        <v/>
      </c>
      <c r="T222" s="40" t="str">
        <f aca="false">IF($C222="","",ROUND(SUMIFS(应收金额,应收键,$E222,应收年度,管理年度),2))</f>
        <v/>
      </c>
      <c r="U222" s="40" t="str">
        <f aca="false">IF($C222="","",ROUND(SUMIFS(收款金额,收款键,$E222,收款年度,管理年度),2))</f>
        <v/>
      </c>
      <c r="V222" s="41" t="str">
        <f aca="false">IF($C222="","",ROUND(SUMIF(应收键,$E222,应收金额)-SUMIF(收款键,$E222,收款金额),2))</f>
        <v/>
      </c>
      <c r="W222" s="24"/>
      <c r="X222" s="35" t="str">
        <f aca="false">IF($C222="","",IF($D222="","★项目名称没填",IF(COUNTIF($E$5:$E$304,$E222)&gt;1,"★键重复",IF(AND($H222&lt;&gt;"",$I222&lt;&gt;"",$I222&lt;$H222),"★合同起止反了",IF(N($K222)=0,"★电梯资料里没有这个项目","OK")))))</f>
        <v/>
      </c>
    </row>
    <row r="223" customFormat="false" ht="15" hidden="false" customHeight="false" outlineLevel="0" collapsed="false">
      <c r="A223" s="29" t="str">
        <f aca="false">IF($C223="","",ROW()-4)</f>
        <v/>
      </c>
      <c r="B223" s="35" t="str">
        <f aca="false">IF($C223="","",IFERROR(INDEX(电梯片区,MATCH($E223,电梯键,0)),""))</f>
        <v/>
      </c>
      <c r="C223" s="24"/>
      <c r="D223" s="24"/>
      <c r="E223" s="30" t="str">
        <f aca="false">IF($C223="","",$C223&amp;" ｜ "&amp;$D223)</f>
        <v/>
      </c>
      <c r="F223" s="25"/>
      <c r="G223" s="25"/>
      <c r="H223" s="33"/>
      <c r="I223" s="33"/>
      <c r="J223" s="32"/>
      <c r="K223" s="38" t="str">
        <f aca="false">IF($C223="","",SUMIF(电梯键,$E223,电梯台量))</f>
        <v/>
      </c>
      <c r="L223" s="39"/>
      <c r="M223" s="25"/>
      <c r="N223" s="25"/>
      <c r="O223" s="38" t="str">
        <f aca="false">IF($C223="","",SUMIFS(电梯台量,电梯键,$E223,电梯状态,"安装免保")+SUMIFS(电梯台量,电梯键,$E223,电梯状态,"技术免保")+SUMIFS(电梯台量,电梯键,$E223,电梯状态,"质保期内"))</f>
        <v/>
      </c>
      <c r="P223" s="38" t="str">
        <f aca="false">IF($C223="","",$K223-$O223)</f>
        <v/>
      </c>
      <c r="Q223" s="34" t="str">
        <f aca="true">IF($C223="","",IF($G223="已终止","",IF($I223="","▲没填合同止期",IF($I223&lt;TODAY(),"已到期 "&amp;TEXT(TODAY()-$I223,"0")&amp;" 天",IF($I223-TODAY()&lt;=合同提醒天,"将到期 "&amp;TEXT($I223-TODAY(),"0")&amp;" 天","")))))</f>
        <v/>
      </c>
      <c r="R223" s="34" t="str">
        <f aca="false">IF($C223="","",IF($G223="","▲合同状态没选",IF(OR($G223="已签未回",$G223="未签",$G223="续签中"),"▲合同未回（"&amp;$G223&amp;"）","")))</f>
        <v/>
      </c>
      <c r="S223" s="35" t="str">
        <f aca="false">IF($C223="","",IF(N($J223)=N($K223),"一致","★合同"&amp;TEXT(N($J223),"0")&amp;"台 / 在册"&amp;TEXT(N($K223),"0")&amp;"台"))</f>
        <v/>
      </c>
      <c r="T223" s="40" t="str">
        <f aca="false">IF($C223="","",ROUND(SUMIFS(应收金额,应收键,$E223,应收年度,管理年度),2))</f>
        <v/>
      </c>
      <c r="U223" s="40" t="str">
        <f aca="false">IF($C223="","",ROUND(SUMIFS(收款金额,收款键,$E223,收款年度,管理年度),2))</f>
        <v/>
      </c>
      <c r="V223" s="41" t="str">
        <f aca="false">IF($C223="","",ROUND(SUMIF(应收键,$E223,应收金额)-SUMIF(收款键,$E223,收款金额),2))</f>
        <v/>
      </c>
      <c r="W223" s="24"/>
      <c r="X223" s="35" t="str">
        <f aca="false">IF($C223="","",IF($D223="","★项目名称没填",IF(COUNTIF($E$5:$E$304,$E223)&gt;1,"★键重复",IF(AND($H223&lt;&gt;"",$I223&lt;&gt;"",$I223&lt;$H223),"★合同起止反了",IF(N($K223)=0,"★电梯资料里没有这个项目","OK")))))</f>
        <v/>
      </c>
    </row>
    <row r="224" customFormat="false" ht="15" hidden="false" customHeight="false" outlineLevel="0" collapsed="false">
      <c r="A224" s="29" t="str">
        <f aca="false">IF($C224="","",ROW()-4)</f>
        <v/>
      </c>
      <c r="B224" s="35" t="str">
        <f aca="false">IF($C224="","",IFERROR(INDEX(电梯片区,MATCH($E224,电梯键,0)),""))</f>
        <v/>
      </c>
      <c r="C224" s="24"/>
      <c r="D224" s="24"/>
      <c r="E224" s="30" t="str">
        <f aca="false">IF($C224="","",$C224&amp;" ｜ "&amp;$D224)</f>
        <v/>
      </c>
      <c r="F224" s="25"/>
      <c r="G224" s="25"/>
      <c r="H224" s="33"/>
      <c r="I224" s="33"/>
      <c r="J224" s="32"/>
      <c r="K224" s="38" t="str">
        <f aca="false">IF($C224="","",SUMIF(电梯键,$E224,电梯台量))</f>
        <v/>
      </c>
      <c r="L224" s="39"/>
      <c r="M224" s="25"/>
      <c r="N224" s="25"/>
      <c r="O224" s="38" t="str">
        <f aca="false">IF($C224="","",SUMIFS(电梯台量,电梯键,$E224,电梯状态,"安装免保")+SUMIFS(电梯台量,电梯键,$E224,电梯状态,"技术免保")+SUMIFS(电梯台量,电梯键,$E224,电梯状态,"质保期内"))</f>
        <v/>
      </c>
      <c r="P224" s="38" t="str">
        <f aca="false">IF($C224="","",$K224-$O224)</f>
        <v/>
      </c>
      <c r="Q224" s="34" t="str">
        <f aca="true">IF($C224="","",IF($G224="已终止","",IF($I224="","▲没填合同止期",IF($I224&lt;TODAY(),"已到期 "&amp;TEXT(TODAY()-$I224,"0")&amp;" 天",IF($I224-TODAY()&lt;=合同提醒天,"将到期 "&amp;TEXT($I224-TODAY(),"0")&amp;" 天","")))))</f>
        <v/>
      </c>
      <c r="R224" s="34" t="str">
        <f aca="false">IF($C224="","",IF($G224="","▲合同状态没选",IF(OR($G224="已签未回",$G224="未签",$G224="续签中"),"▲合同未回（"&amp;$G224&amp;"）","")))</f>
        <v/>
      </c>
      <c r="S224" s="35" t="str">
        <f aca="false">IF($C224="","",IF(N($J224)=N($K224),"一致","★合同"&amp;TEXT(N($J224),"0")&amp;"台 / 在册"&amp;TEXT(N($K224),"0")&amp;"台"))</f>
        <v/>
      </c>
      <c r="T224" s="40" t="str">
        <f aca="false">IF($C224="","",ROUND(SUMIFS(应收金额,应收键,$E224,应收年度,管理年度),2))</f>
        <v/>
      </c>
      <c r="U224" s="40" t="str">
        <f aca="false">IF($C224="","",ROUND(SUMIFS(收款金额,收款键,$E224,收款年度,管理年度),2))</f>
        <v/>
      </c>
      <c r="V224" s="41" t="str">
        <f aca="false">IF($C224="","",ROUND(SUMIF(应收键,$E224,应收金额)-SUMIF(收款键,$E224,收款金额),2))</f>
        <v/>
      </c>
      <c r="W224" s="24"/>
      <c r="X224" s="35" t="str">
        <f aca="false">IF($C224="","",IF($D224="","★项目名称没填",IF(COUNTIF($E$5:$E$304,$E224)&gt;1,"★键重复",IF(AND($H224&lt;&gt;"",$I224&lt;&gt;"",$I224&lt;$H224),"★合同起止反了",IF(N($K224)=0,"★电梯资料里没有这个项目","OK")))))</f>
        <v/>
      </c>
    </row>
    <row r="225" customFormat="false" ht="15" hidden="false" customHeight="false" outlineLevel="0" collapsed="false">
      <c r="A225" s="29" t="str">
        <f aca="false">IF($C225="","",ROW()-4)</f>
        <v/>
      </c>
      <c r="B225" s="35" t="str">
        <f aca="false">IF($C225="","",IFERROR(INDEX(电梯片区,MATCH($E225,电梯键,0)),""))</f>
        <v/>
      </c>
      <c r="C225" s="24"/>
      <c r="D225" s="24"/>
      <c r="E225" s="30" t="str">
        <f aca="false">IF($C225="","",$C225&amp;" ｜ "&amp;$D225)</f>
        <v/>
      </c>
      <c r="F225" s="25"/>
      <c r="G225" s="25"/>
      <c r="H225" s="33"/>
      <c r="I225" s="33"/>
      <c r="J225" s="32"/>
      <c r="K225" s="38" t="str">
        <f aca="false">IF($C225="","",SUMIF(电梯键,$E225,电梯台量))</f>
        <v/>
      </c>
      <c r="L225" s="39"/>
      <c r="M225" s="25"/>
      <c r="N225" s="25"/>
      <c r="O225" s="38" t="str">
        <f aca="false">IF($C225="","",SUMIFS(电梯台量,电梯键,$E225,电梯状态,"安装免保")+SUMIFS(电梯台量,电梯键,$E225,电梯状态,"技术免保")+SUMIFS(电梯台量,电梯键,$E225,电梯状态,"质保期内"))</f>
        <v/>
      </c>
      <c r="P225" s="38" t="str">
        <f aca="false">IF($C225="","",$K225-$O225)</f>
        <v/>
      </c>
      <c r="Q225" s="34" t="str">
        <f aca="true">IF($C225="","",IF($G225="已终止","",IF($I225="","▲没填合同止期",IF($I225&lt;TODAY(),"已到期 "&amp;TEXT(TODAY()-$I225,"0")&amp;" 天",IF($I225-TODAY()&lt;=合同提醒天,"将到期 "&amp;TEXT($I225-TODAY(),"0")&amp;" 天","")))))</f>
        <v/>
      </c>
      <c r="R225" s="34" t="str">
        <f aca="false">IF($C225="","",IF($G225="","▲合同状态没选",IF(OR($G225="已签未回",$G225="未签",$G225="续签中"),"▲合同未回（"&amp;$G225&amp;"）","")))</f>
        <v/>
      </c>
      <c r="S225" s="35" t="str">
        <f aca="false">IF($C225="","",IF(N($J225)=N($K225),"一致","★合同"&amp;TEXT(N($J225),"0")&amp;"台 / 在册"&amp;TEXT(N($K225),"0")&amp;"台"))</f>
        <v/>
      </c>
      <c r="T225" s="40" t="str">
        <f aca="false">IF($C225="","",ROUND(SUMIFS(应收金额,应收键,$E225,应收年度,管理年度),2))</f>
        <v/>
      </c>
      <c r="U225" s="40" t="str">
        <f aca="false">IF($C225="","",ROUND(SUMIFS(收款金额,收款键,$E225,收款年度,管理年度),2))</f>
        <v/>
      </c>
      <c r="V225" s="41" t="str">
        <f aca="false">IF($C225="","",ROUND(SUMIF(应收键,$E225,应收金额)-SUMIF(收款键,$E225,收款金额),2))</f>
        <v/>
      </c>
      <c r="W225" s="24"/>
      <c r="X225" s="35" t="str">
        <f aca="false">IF($C225="","",IF($D225="","★项目名称没填",IF(COUNTIF($E$5:$E$304,$E225)&gt;1,"★键重复",IF(AND($H225&lt;&gt;"",$I225&lt;&gt;"",$I225&lt;$H225),"★合同起止反了",IF(N($K225)=0,"★电梯资料里没有这个项目","OK")))))</f>
        <v/>
      </c>
    </row>
    <row r="226" customFormat="false" ht="15" hidden="false" customHeight="false" outlineLevel="0" collapsed="false">
      <c r="A226" s="29" t="str">
        <f aca="false">IF($C226="","",ROW()-4)</f>
        <v/>
      </c>
      <c r="B226" s="35" t="str">
        <f aca="false">IF($C226="","",IFERROR(INDEX(电梯片区,MATCH($E226,电梯键,0)),""))</f>
        <v/>
      </c>
      <c r="C226" s="24"/>
      <c r="D226" s="24"/>
      <c r="E226" s="30" t="str">
        <f aca="false">IF($C226="","",$C226&amp;" ｜ "&amp;$D226)</f>
        <v/>
      </c>
      <c r="F226" s="25"/>
      <c r="G226" s="25"/>
      <c r="H226" s="33"/>
      <c r="I226" s="33"/>
      <c r="J226" s="32"/>
      <c r="K226" s="38" t="str">
        <f aca="false">IF($C226="","",SUMIF(电梯键,$E226,电梯台量))</f>
        <v/>
      </c>
      <c r="L226" s="39"/>
      <c r="M226" s="25"/>
      <c r="N226" s="25"/>
      <c r="O226" s="38" t="str">
        <f aca="false">IF($C226="","",SUMIFS(电梯台量,电梯键,$E226,电梯状态,"安装免保")+SUMIFS(电梯台量,电梯键,$E226,电梯状态,"技术免保")+SUMIFS(电梯台量,电梯键,$E226,电梯状态,"质保期内"))</f>
        <v/>
      </c>
      <c r="P226" s="38" t="str">
        <f aca="false">IF($C226="","",$K226-$O226)</f>
        <v/>
      </c>
      <c r="Q226" s="34" t="str">
        <f aca="true">IF($C226="","",IF($G226="已终止","",IF($I226="","▲没填合同止期",IF($I226&lt;TODAY(),"已到期 "&amp;TEXT(TODAY()-$I226,"0")&amp;" 天",IF($I226-TODAY()&lt;=合同提醒天,"将到期 "&amp;TEXT($I226-TODAY(),"0")&amp;" 天","")))))</f>
        <v/>
      </c>
      <c r="R226" s="34" t="str">
        <f aca="false">IF($C226="","",IF($G226="","▲合同状态没选",IF(OR($G226="已签未回",$G226="未签",$G226="续签中"),"▲合同未回（"&amp;$G226&amp;"）","")))</f>
        <v/>
      </c>
      <c r="S226" s="35" t="str">
        <f aca="false">IF($C226="","",IF(N($J226)=N($K226),"一致","★合同"&amp;TEXT(N($J226),"0")&amp;"台 / 在册"&amp;TEXT(N($K226),"0")&amp;"台"))</f>
        <v/>
      </c>
      <c r="T226" s="40" t="str">
        <f aca="false">IF($C226="","",ROUND(SUMIFS(应收金额,应收键,$E226,应收年度,管理年度),2))</f>
        <v/>
      </c>
      <c r="U226" s="40" t="str">
        <f aca="false">IF($C226="","",ROUND(SUMIFS(收款金额,收款键,$E226,收款年度,管理年度),2))</f>
        <v/>
      </c>
      <c r="V226" s="41" t="str">
        <f aca="false">IF($C226="","",ROUND(SUMIF(应收键,$E226,应收金额)-SUMIF(收款键,$E226,收款金额),2))</f>
        <v/>
      </c>
      <c r="W226" s="24"/>
      <c r="X226" s="35" t="str">
        <f aca="false">IF($C226="","",IF($D226="","★项目名称没填",IF(COUNTIF($E$5:$E$304,$E226)&gt;1,"★键重复",IF(AND($H226&lt;&gt;"",$I226&lt;&gt;"",$I226&lt;$H226),"★合同起止反了",IF(N($K226)=0,"★电梯资料里没有这个项目","OK")))))</f>
        <v/>
      </c>
    </row>
    <row r="227" customFormat="false" ht="15" hidden="false" customHeight="false" outlineLevel="0" collapsed="false">
      <c r="A227" s="29" t="str">
        <f aca="false">IF($C227="","",ROW()-4)</f>
        <v/>
      </c>
      <c r="B227" s="35" t="str">
        <f aca="false">IF($C227="","",IFERROR(INDEX(电梯片区,MATCH($E227,电梯键,0)),""))</f>
        <v/>
      </c>
      <c r="C227" s="24"/>
      <c r="D227" s="24"/>
      <c r="E227" s="30" t="str">
        <f aca="false">IF($C227="","",$C227&amp;" ｜ "&amp;$D227)</f>
        <v/>
      </c>
      <c r="F227" s="25"/>
      <c r="G227" s="25"/>
      <c r="H227" s="33"/>
      <c r="I227" s="33"/>
      <c r="J227" s="32"/>
      <c r="K227" s="38" t="str">
        <f aca="false">IF($C227="","",SUMIF(电梯键,$E227,电梯台量))</f>
        <v/>
      </c>
      <c r="L227" s="39"/>
      <c r="M227" s="25"/>
      <c r="N227" s="25"/>
      <c r="O227" s="38" t="str">
        <f aca="false">IF($C227="","",SUMIFS(电梯台量,电梯键,$E227,电梯状态,"安装免保")+SUMIFS(电梯台量,电梯键,$E227,电梯状态,"技术免保")+SUMIFS(电梯台量,电梯键,$E227,电梯状态,"质保期内"))</f>
        <v/>
      </c>
      <c r="P227" s="38" t="str">
        <f aca="false">IF($C227="","",$K227-$O227)</f>
        <v/>
      </c>
      <c r="Q227" s="34" t="str">
        <f aca="true">IF($C227="","",IF($G227="已终止","",IF($I227="","▲没填合同止期",IF($I227&lt;TODAY(),"已到期 "&amp;TEXT(TODAY()-$I227,"0")&amp;" 天",IF($I227-TODAY()&lt;=合同提醒天,"将到期 "&amp;TEXT($I227-TODAY(),"0")&amp;" 天","")))))</f>
        <v/>
      </c>
      <c r="R227" s="34" t="str">
        <f aca="false">IF($C227="","",IF($G227="","▲合同状态没选",IF(OR($G227="已签未回",$G227="未签",$G227="续签中"),"▲合同未回（"&amp;$G227&amp;"）","")))</f>
        <v/>
      </c>
      <c r="S227" s="35" t="str">
        <f aca="false">IF($C227="","",IF(N($J227)=N($K227),"一致","★合同"&amp;TEXT(N($J227),"0")&amp;"台 / 在册"&amp;TEXT(N($K227),"0")&amp;"台"))</f>
        <v/>
      </c>
      <c r="T227" s="40" t="str">
        <f aca="false">IF($C227="","",ROUND(SUMIFS(应收金额,应收键,$E227,应收年度,管理年度),2))</f>
        <v/>
      </c>
      <c r="U227" s="40" t="str">
        <f aca="false">IF($C227="","",ROUND(SUMIFS(收款金额,收款键,$E227,收款年度,管理年度),2))</f>
        <v/>
      </c>
      <c r="V227" s="41" t="str">
        <f aca="false">IF($C227="","",ROUND(SUMIF(应收键,$E227,应收金额)-SUMIF(收款键,$E227,收款金额),2))</f>
        <v/>
      </c>
      <c r="W227" s="24"/>
      <c r="X227" s="35" t="str">
        <f aca="false">IF($C227="","",IF($D227="","★项目名称没填",IF(COUNTIF($E$5:$E$304,$E227)&gt;1,"★键重复",IF(AND($H227&lt;&gt;"",$I227&lt;&gt;"",$I227&lt;$H227),"★合同起止反了",IF(N($K227)=0,"★电梯资料里没有这个项目","OK")))))</f>
        <v/>
      </c>
    </row>
    <row r="228" customFormat="false" ht="15" hidden="false" customHeight="false" outlineLevel="0" collapsed="false">
      <c r="A228" s="29" t="str">
        <f aca="false">IF($C228="","",ROW()-4)</f>
        <v/>
      </c>
      <c r="B228" s="35" t="str">
        <f aca="false">IF($C228="","",IFERROR(INDEX(电梯片区,MATCH($E228,电梯键,0)),""))</f>
        <v/>
      </c>
      <c r="C228" s="24"/>
      <c r="D228" s="24"/>
      <c r="E228" s="30" t="str">
        <f aca="false">IF($C228="","",$C228&amp;" ｜ "&amp;$D228)</f>
        <v/>
      </c>
      <c r="F228" s="25"/>
      <c r="G228" s="25"/>
      <c r="H228" s="33"/>
      <c r="I228" s="33"/>
      <c r="J228" s="32"/>
      <c r="K228" s="38" t="str">
        <f aca="false">IF($C228="","",SUMIF(电梯键,$E228,电梯台量))</f>
        <v/>
      </c>
      <c r="L228" s="39"/>
      <c r="M228" s="25"/>
      <c r="N228" s="25"/>
      <c r="O228" s="38" t="str">
        <f aca="false">IF($C228="","",SUMIFS(电梯台量,电梯键,$E228,电梯状态,"安装免保")+SUMIFS(电梯台量,电梯键,$E228,电梯状态,"技术免保")+SUMIFS(电梯台量,电梯键,$E228,电梯状态,"质保期内"))</f>
        <v/>
      </c>
      <c r="P228" s="38" t="str">
        <f aca="false">IF($C228="","",$K228-$O228)</f>
        <v/>
      </c>
      <c r="Q228" s="34" t="str">
        <f aca="true">IF($C228="","",IF($G228="已终止","",IF($I228="","▲没填合同止期",IF($I228&lt;TODAY(),"已到期 "&amp;TEXT(TODAY()-$I228,"0")&amp;" 天",IF($I228-TODAY()&lt;=合同提醒天,"将到期 "&amp;TEXT($I228-TODAY(),"0")&amp;" 天","")))))</f>
        <v/>
      </c>
      <c r="R228" s="34" t="str">
        <f aca="false">IF($C228="","",IF($G228="","▲合同状态没选",IF(OR($G228="已签未回",$G228="未签",$G228="续签中"),"▲合同未回（"&amp;$G228&amp;"）","")))</f>
        <v/>
      </c>
      <c r="S228" s="35" t="str">
        <f aca="false">IF($C228="","",IF(N($J228)=N($K228),"一致","★合同"&amp;TEXT(N($J228),"0")&amp;"台 / 在册"&amp;TEXT(N($K228),"0")&amp;"台"))</f>
        <v/>
      </c>
      <c r="T228" s="40" t="str">
        <f aca="false">IF($C228="","",ROUND(SUMIFS(应收金额,应收键,$E228,应收年度,管理年度),2))</f>
        <v/>
      </c>
      <c r="U228" s="40" t="str">
        <f aca="false">IF($C228="","",ROUND(SUMIFS(收款金额,收款键,$E228,收款年度,管理年度),2))</f>
        <v/>
      </c>
      <c r="V228" s="41" t="str">
        <f aca="false">IF($C228="","",ROUND(SUMIF(应收键,$E228,应收金额)-SUMIF(收款键,$E228,收款金额),2))</f>
        <v/>
      </c>
      <c r="W228" s="24"/>
      <c r="X228" s="35" t="str">
        <f aca="false">IF($C228="","",IF($D228="","★项目名称没填",IF(COUNTIF($E$5:$E$304,$E228)&gt;1,"★键重复",IF(AND($H228&lt;&gt;"",$I228&lt;&gt;"",$I228&lt;$H228),"★合同起止反了",IF(N($K228)=0,"★电梯资料里没有这个项目","OK")))))</f>
        <v/>
      </c>
    </row>
    <row r="229" customFormat="false" ht="15" hidden="false" customHeight="false" outlineLevel="0" collapsed="false">
      <c r="A229" s="29" t="str">
        <f aca="false">IF($C229="","",ROW()-4)</f>
        <v/>
      </c>
      <c r="B229" s="35" t="str">
        <f aca="false">IF($C229="","",IFERROR(INDEX(电梯片区,MATCH($E229,电梯键,0)),""))</f>
        <v/>
      </c>
      <c r="C229" s="24"/>
      <c r="D229" s="24"/>
      <c r="E229" s="30" t="str">
        <f aca="false">IF($C229="","",$C229&amp;" ｜ "&amp;$D229)</f>
        <v/>
      </c>
      <c r="F229" s="25"/>
      <c r="G229" s="25"/>
      <c r="H229" s="33"/>
      <c r="I229" s="33"/>
      <c r="J229" s="32"/>
      <c r="K229" s="38" t="str">
        <f aca="false">IF($C229="","",SUMIF(电梯键,$E229,电梯台量))</f>
        <v/>
      </c>
      <c r="L229" s="39"/>
      <c r="M229" s="25"/>
      <c r="N229" s="25"/>
      <c r="O229" s="38" t="str">
        <f aca="false">IF($C229="","",SUMIFS(电梯台量,电梯键,$E229,电梯状态,"安装免保")+SUMIFS(电梯台量,电梯键,$E229,电梯状态,"技术免保")+SUMIFS(电梯台量,电梯键,$E229,电梯状态,"质保期内"))</f>
        <v/>
      </c>
      <c r="P229" s="38" t="str">
        <f aca="false">IF($C229="","",$K229-$O229)</f>
        <v/>
      </c>
      <c r="Q229" s="34" t="str">
        <f aca="true">IF($C229="","",IF($G229="已终止","",IF($I229="","▲没填合同止期",IF($I229&lt;TODAY(),"已到期 "&amp;TEXT(TODAY()-$I229,"0")&amp;" 天",IF($I229-TODAY()&lt;=合同提醒天,"将到期 "&amp;TEXT($I229-TODAY(),"0")&amp;" 天","")))))</f>
        <v/>
      </c>
      <c r="R229" s="34" t="str">
        <f aca="false">IF($C229="","",IF($G229="","▲合同状态没选",IF(OR($G229="已签未回",$G229="未签",$G229="续签中"),"▲合同未回（"&amp;$G229&amp;"）","")))</f>
        <v/>
      </c>
      <c r="S229" s="35" t="str">
        <f aca="false">IF($C229="","",IF(N($J229)=N($K229),"一致","★合同"&amp;TEXT(N($J229),"0")&amp;"台 / 在册"&amp;TEXT(N($K229),"0")&amp;"台"))</f>
        <v/>
      </c>
      <c r="T229" s="40" t="str">
        <f aca="false">IF($C229="","",ROUND(SUMIFS(应收金额,应收键,$E229,应收年度,管理年度),2))</f>
        <v/>
      </c>
      <c r="U229" s="40" t="str">
        <f aca="false">IF($C229="","",ROUND(SUMIFS(收款金额,收款键,$E229,收款年度,管理年度),2))</f>
        <v/>
      </c>
      <c r="V229" s="41" t="str">
        <f aca="false">IF($C229="","",ROUND(SUMIF(应收键,$E229,应收金额)-SUMIF(收款键,$E229,收款金额),2))</f>
        <v/>
      </c>
      <c r="W229" s="24"/>
      <c r="X229" s="35" t="str">
        <f aca="false">IF($C229="","",IF($D229="","★项目名称没填",IF(COUNTIF($E$5:$E$304,$E229)&gt;1,"★键重复",IF(AND($H229&lt;&gt;"",$I229&lt;&gt;"",$I229&lt;$H229),"★合同起止反了",IF(N($K229)=0,"★电梯资料里没有这个项目","OK")))))</f>
        <v/>
      </c>
    </row>
    <row r="230" customFormat="false" ht="15" hidden="false" customHeight="false" outlineLevel="0" collapsed="false">
      <c r="A230" s="29" t="str">
        <f aca="false">IF($C230="","",ROW()-4)</f>
        <v/>
      </c>
      <c r="B230" s="35" t="str">
        <f aca="false">IF($C230="","",IFERROR(INDEX(电梯片区,MATCH($E230,电梯键,0)),""))</f>
        <v/>
      </c>
      <c r="C230" s="24"/>
      <c r="D230" s="24"/>
      <c r="E230" s="30" t="str">
        <f aca="false">IF($C230="","",$C230&amp;" ｜ "&amp;$D230)</f>
        <v/>
      </c>
      <c r="F230" s="25"/>
      <c r="G230" s="25"/>
      <c r="H230" s="33"/>
      <c r="I230" s="33"/>
      <c r="J230" s="32"/>
      <c r="K230" s="38" t="str">
        <f aca="false">IF($C230="","",SUMIF(电梯键,$E230,电梯台量))</f>
        <v/>
      </c>
      <c r="L230" s="39"/>
      <c r="M230" s="25"/>
      <c r="N230" s="25"/>
      <c r="O230" s="38" t="str">
        <f aca="false">IF($C230="","",SUMIFS(电梯台量,电梯键,$E230,电梯状态,"安装免保")+SUMIFS(电梯台量,电梯键,$E230,电梯状态,"技术免保")+SUMIFS(电梯台量,电梯键,$E230,电梯状态,"质保期内"))</f>
        <v/>
      </c>
      <c r="P230" s="38" t="str">
        <f aca="false">IF($C230="","",$K230-$O230)</f>
        <v/>
      </c>
      <c r="Q230" s="34" t="str">
        <f aca="true">IF($C230="","",IF($G230="已终止","",IF($I230="","▲没填合同止期",IF($I230&lt;TODAY(),"已到期 "&amp;TEXT(TODAY()-$I230,"0")&amp;" 天",IF($I230-TODAY()&lt;=合同提醒天,"将到期 "&amp;TEXT($I230-TODAY(),"0")&amp;" 天","")))))</f>
        <v/>
      </c>
      <c r="R230" s="34" t="str">
        <f aca="false">IF($C230="","",IF($G230="","▲合同状态没选",IF(OR($G230="已签未回",$G230="未签",$G230="续签中"),"▲合同未回（"&amp;$G230&amp;"）","")))</f>
        <v/>
      </c>
      <c r="S230" s="35" t="str">
        <f aca="false">IF($C230="","",IF(N($J230)=N($K230),"一致","★合同"&amp;TEXT(N($J230),"0")&amp;"台 / 在册"&amp;TEXT(N($K230),"0")&amp;"台"))</f>
        <v/>
      </c>
      <c r="T230" s="40" t="str">
        <f aca="false">IF($C230="","",ROUND(SUMIFS(应收金额,应收键,$E230,应收年度,管理年度),2))</f>
        <v/>
      </c>
      <c r="U230" s="40" t="str">
        <f aca="false">IF($C230="","",ROUND(SUMIFS(收款金额,收款键,$E230,收款年度,管理年度),2))</f>
        <v/>
      </c>
      <c r="V230" s="41" t="str">
        <f aca="false">IF($C230="","",ROUND(SUMIF(应收键,$E230,应收金额)-SUMIF(收款键,$E230,收款金额),2))</f>
        <v/>
      </c>
      <c r="W230" s="24"/>
      <c r="X230" s="35" t="str">
        <f aca="false">IF($C230="","",IF($D230="","★项目名称没填",IF(COUNTIF($E$5:$E$304,$E230)&gt;1,"★键重复",IF(AND($H230&lt;&gt;"",$I230&lt;&gt;"",$I230&lt;$H230),"★合同起止反了",IF(N($K230)=0,"★电梯资料里没有这个项目","OK")))))</f>
        <v/>
      </c>
    </row>
    <row r="231" customFormat="false" ht="15" hidden="false" customHeight="false" outlineLevel="0" collapsed="false">
      <c r="A231" s="29" t="str">
        <f aca="false">IF($C231="","",ROW()-4)</f>
        <v/>
      </c>
      <c r="B231" s="35" t="str">
        <f aca="false">IF($C231="","",IFERROR(INDEX(电梯片区,MATCH($E231,电梯键,0)),""))</f>
        <v/>
      </c>
      <c r="C231" s="24"/>
      <c r="D231" s="24"/>
      <c r="E231" s="30" t="str">
        <f aca="false">IF($C231="","",$C231&amp;" ｜ "&amp;$D231)</f>
        <v/>
      </c>
      <c r="F231" s="25"/>
      <c r="G231" s="25"/>
      <c r="H231" s="33"/>
      <c r="I231" s="33"/>
      <c r="J231" s="32"/>
      <c r="K231" s="38" t="str">
        <f aca="false">IF($C231="","",SUMIF(电梯键,$E231,电梯台量))</f>
        <v/>
      </c>
      <c r="L231" s="39"/>
      <c r="M231" s="25"/>
      <c r="N231" s="25"/>
      <c r="O231" s="38" t="str">
        <f aca="false">IF($C231="","",SUMIFS(电梯台量,电梯键,$E231,电梯状态,"安装免保")+SUMIFS(电梯台量,电梯键,$E231,电梯状态,"技术免保")+SUMIFS(电梯台量,电梯键,$E231,电梯状态,"质保期内"))</f>
        <v/>
      </c>
      <c r="P231" s="38" t="str">
        <f aca="false">IF($C231="","",$K231-$O231)</f>
        <v/>
      </c>
      <c r="Q231" s="34" t="str">
        <f aca="true">IF($C231="","",IF($G231="已终止","",IF($I231="","▲没填合同止期",IF($I231&lt;TODAY(),"已到期 "&amp;TEXT(TODAY()-$I231,"0")&amp;" 天",IF($I231-TODAY()&lt;=合同提醒天,"将到期 "&amp;TEXT($I231-TODAY(),"0")&amp;" 天","")))))</f>
        <v/>
      </c>
      <c r="R231" s="34" t="str">
        <f aca="false">IF($C231="","",IF($G231="","▲合同状态没选",IF(OR($G231="已签未回",$G231="未签",$G231="续签中"),"▲合同未回（"&amp;$G231&amp;"）","")))</f>
        <v/>
      </c>
      <c r="S231" s="35" t="str">
        <f aca="false">IF($C231="","",IF(N($J231)=N($K231),"一致","★合同"&amp;TEXT(N($J231),"0")&amp;"台 / 在册"&amp;TEXT(N($K231),"0")&amp;"台"))</f>
        <v/>
      </c>
      <c r="T231" s="40" t="str">
        <f aca="false">IF($C231="","",ROUND(SUMIFS(应收金额,应收键,$E231,应收年度,管理年度),2))</f>
        <v/>
      </c>
      <c r="U231" s="40" t="str">
        <f aca="false">IF($C231="","",ROUND(SUMIFS(收款金额,收款键,$E231,收款年度,管理年度),2))</f>
        <v/>
      </c>
      <c r="V231" s="41" t="str">
        <f aca="false">IF($C231="","",ROUND(SUMIF(应收键,$E231,应收金额)-SUMIF(收款键,$E231,收款金额),2))</f>
        <v/>
      </c>
      <c r="W231" s="24"/>
      <c r="X231" s="35" t="str">
        <f aca="false">IF($C231="","",IF($D231="","★项目名称没填",IF(COUNTIF($E$5:$E$304,$E231)&gt;1,"★键重复",IF(AND($H231&lt;&gt;"",$I231&lt;&gt;"",$I231&lt;$H231),"★合同起止反了",IF(N($K231)=0,"★电梯资料里没有这个项目","OK")))))</f>
        <v/>
      </c>
    </row>
    <row r="232" customFormat="false" ht="15" hidden="false" customHeight="false" outlineLevel="0" collapsed="false">
      <c r="A232" s="29" t="str">
        <f aca="false">IF($C232="","",ROW()-4)</f>
        <v/>
      </c>
      <c r="B232" s="35" t="str">
        <f aca="false">IF($C232="","",IFERROR(INDEX(电梯片区,MATCH($E232,电梯键,0)),""))</f>
        <v/>
      </c>
      <c r="C232" s="24"/>
      <c r="D232" s="24"/>
      <c r="E232" s="30" t="str">
        <f aca="false">IF($C232="","",$C232&amp;" ｜ "&amp;$D232)</f>
        <v/>
      </c>
      <c r="F232" s="25"/>
      <c r="G232" s="25"/>
      <c r="H232" s="33"/>
      <c r="I232" s="33"/>
      <c r="J232" s="32"/>
      <c r="K232" s="38" t="str">
        <f aca="false">IF($C232="","",SUMIF(电梯键,$E232,电梯台量))</f>
        <v/>
      </c>
      <c r="L232" s="39"/>
      <c r="M232" s="25"/>
      <c r="N232" s="25"/>
      <c r="O232" s="38" t="str">
        <f aca="false">IF($C232="","",SUMIFS(电梯台量,电梯键,$E232,电梯状态,"安装免保")+SUMIFS(电梯台量,电梯键,$E232,电梯状态,"技术免保")+SUMIFS(电梯台量,电梯键,$E232,电梯状态,"质保期内"))</f>
        <v/>
      </c>
      <c r="P232" s="38" t="str">
        <f aca="false">IF($C232="","",$K232-$O232)</f>
        <v/>
      </c>
      <c r="Q232" s="34" t="str">
        <f aca="true">IF($C232="","",IF($G232="已终止","",IF($I232="","▲没填合同止期",IF($I232&lt;TODAY(),"已到期 "&amp;TEXT(TODAY()-$I232,"0")&amp;" 天",IF($I232-TODAY()&lt;=合同提醒天,"将到期 "&amp;TEXT($I232-TODAY(),"0")&amp;" 天","")))))</f>
        <v/>
      </c>
      <c r="R232" s="34" t="str">
        <f aca="false">IF($C232="","",IF($G232="","▲合同状态没选",IF(OR($G232="已签未回",$G232="未签",$G232="续签中"),"▲合同未回（"&amp;$G232&amp;"）","")))</f>
        <v/>
      </c>
      <c r="S232" s="35" t="str">
        <f aca="false">IF($C232="","",IF(N($J232)=N($K232),"一致","★合同"&amp;TEXT(N($J232),"0")&amp;"台 / 在册"&amp;TEXT(N($K232),"0")&amp;"台"))</f>
        <v/>
      </c>
      <c r="T232" s="40" t="str">
        <f aca="false">IF($C232="","",ROUND(SUMIFS(应收金额,应收键,$E232,应收年度,管理年度),2))</f>
        <v/>
      </c>
      <c r="U232" s="40" t="str">
        <f aca="false">IF($C232="","",ROUND(SUMIFS(收款金额,收款键,$E232,收款年度,管理年度),2))</f>
        <v/>
      </c>
      <c r="V232" s="41" t="str">
        <f aca="false">IF($C232="","",ROUND(SUMIF(应收键,$E232,应收金额)-SUMIF(收款键,$E232,收款金额),2))</f>
        <v/>
      </c>
      <c r="W232" s="24"/>
      <c r="X232" s="35" t="str">
        <f aca="false">IF($C232="","",IF($D232="","★项目名称没填",IF(COUNTIF($E$5:$E$304,$E232)&gt;1,"★键重复",IF(AND($H232&lt;&gt;"",$I232&lt;&gt;"",$I232&lt;$H232),"★合同起止反了",IF(N($K232)=0,"★电梯资料里没有这个项目","OK")))))</f>
        <v/>
      </c>
    </row>
    <row r="233" customFormat="false" ht="15" hidden="false" customHeight="false" outlineLevel="0" collapsed="false">
      <c r="A233" s="29" t="str">
        <f aca="false">IF($C233="","",ROW()-4)</f>
        <v/>
      </c>
      <c r="B233" s="35" t="str">
        <f aca="false">IF($C233="","",IFERROR(INDEX(电梯片区,MATCH($E233,电梯键,0)),""))</f>
        <v/>
      </c>
      <c r="C233" s="24"/>
      <c r="D233" s="24"/>
      <c r="E233" s="30" t="str">
        <f aca="false">IF($C233="","",$C233&amp;" ｜ "&amp;$D233)</f>
        <v/>
      </c>
      <c r="F233" s="25"/>
      <c r="G233" s="25"/>
      <c r="H233" s="33"/>
      <c r="I233" s="33"/>
      <c r="J233" s="32"/>
      <c r="K233" s="38" t="str">
        <f aca="false">IF($C233="","",SUMIF(电梯键,$E233,电梯台量))</f>
        <v/>
      </c>
      <c r="L233" s="39"/>
      <c r="M233" s="25"/>
      <c r="N233" s="25"/>
      <c r="O233" s="38" t="str">
        <f aca="false">IF($C233="","",SUMIFS(电梯台量,电梯键,$E233,电梯状态,"安装免保")+SUMIFS(电梯台量,电梯键,$E233,电梯状态,"技术免保")+SUMIFS(电梯台量,电梯键,$E233,电梯状态,"质保期内"))</f>
        <v/>
      </c>
      <c r="P233" s="38" t="str">
        <f aca="false">IF($C233="","",$K233-$O233)</f>
        <v/>
      </c>
      <c r="Q233" s="34" t="str">
        <f aca="true">IF($C233="","",IF($G233="已终止","",IF($I233="","▲没填合同止期",IF($I233&lt;TODAY(),"已到期 "&amp;TEXT(TODAY()-$I233,"0")&amp;" 天",IF($I233-TODAY()&lt;=合同提醒天,"将到期 "&amp;TEXT($I233-TODAY(),"0")&amp;" 天","")))))</f>
        <v/>
      </c>
      <c r="R233" s="34" t="str">
        <f aca="false">IF($C233="","",IF($G233="","▲合同状态没选",IF(OR($G233="已签未回",$G233="未签",$G233="续签中"),"▲合同未回（"&amp;$G233&amp;"）","")))</f>
        <v/>
      </c>
      <c r="S233" s="35" t="str">
        <f aca="false">IF($C233="","",IF(N($J233)=N($K233),"一致","★合同"&amp;TEXT(N($J233),"0")&amp;"台 / 在册"&amp;TEXT(N($K233),"0")&amp;"台"))</f>
        <v/>
      </c>
      <c r="T233" s="40" t="str">
        <f aca="false">IF($C233="","",ROUND(SUMIFS(应收金额,应收键,$E233,应收年度,管理年度),2))</f>
        <v/>
      </c>
      <c r="U233" s="40" t="str">
        <f aca="false">IF($C233="","",ROUND(SUMIFS(收款金额,收款键,$E233,收款年度,管理年度),2))</f>
        <v/>
      </c>
      <c r="V233" s="41" t="str">
        <f aca="false">IF($C233="","",ROUND(SUMIF(应收键,$E233,应收金额)-SUMIF(收款键,$E233,收款金额),2))</f>
        <v/>
      </c>
      <c r="W233" s="24"/>
      <c r="X233" s="35" t="str">
        <f aca="false">IF($C233="","",IF($D233="","★项目名称没填",IF(COUNTIF($E$5:$E$304,$E233)&gt;1,"★键重复",IF(AND($H233&lt;&gt;"",$I233&lt;&gt;"",$I233&lt;$H233),"★合同起止反了",IF(N($K233)=0,"★电梯资料里没有这个项目","OK")))))</f>
        <v/>
      </c>
    </row>
    <row r="234" customFormat="false" ht="15" hidden="false" customHeight="false" outlineLevel="0" collapsed="false">
      <c r="A234" s="29" t="str">
        <f aca="false">IF($C234="","",ROW()-4)</f>
        <v/>
      </c>
      <c r="B234" s="35" t="str">
        <f aca="false">IF($C234="","",IFERROR(INDEX(电梯片区,MATCH($E234,电梯键,0)),""))</f>
        <v/>
      </c>
      <c r="C234" s="24"/>
      <c r="D234" s="24"/>
      <c r="E234" s="30" t="str">
        <f aca="false">IF($C234="","",$C234&amp;" ｜ "&amp;$D234)</f>
        <v/>
      </c>
      <c r="F234" s="25"/>
      <c r="G234" s="25"/>
      <c r="H234" s="33"/>
      <c r="I234" s="33"/>
      <c r="J234" s="32"/>
      <c r="K234" s="38" t="str">
        <f aca="false">IF($C234="","",SUMIF(电梯键,$E234,电梯台量))</f>
        <v/>
      </c>
      <c r="L234" s="39"/>
      <c r="M234" s="25"/>
      <c r="N234" s="25"/>
      <c r="O234" s="38" t="str">
        <f aca="false">IF($C234="","",SUMIFS(电梯台量,电梯键,$E234,电梯状态,"安装免保")+SUMIFS(电梯台量,电梯键,$E234,电梯状态,"技术免保")+SUMIFS(电梯台量,电梯键,$E234,电梯状态,"质保期内"))</f>
        <v/>
      </c>
      <c r="P234" s="38" t="str">
        <f aca="false">IF($C234="","",$K234-$O234)</f>
        <v/>
      </c>
      <c r="Q234" s="34" t="str">
        <f aca="true">IF($C234="","",IF($G234="已终止","",IF($I234="","▲没填合同止期",IF($I234&lt;TODAY(),"已到期 "&amp;TEXT(TODAY()-$I234,"0")&amp;" 天",IF($I234-TODAY()&lt;=合同提醒天,"将到期 "&amp;TEXT($I234-TODAY(),"0")&amp;" 天","")))))</f>
        <v/>
      </c>
      <c r="R234" s="34" t="str">
        <f aca="false">IF($C234="","",IF($G234="","▲合同状态没选",IF(OR($G234="已签未回",$G234="未签",$G234="续签中"),"▲合同未回（"&amp;$G234&amp;"）","")))</f>
        <v/>
      </c>
      <c r="S234" s="35" t="str">
        <f aca="false">IF($C234="","",IF(N($J234)=N($K234),"一致","★合同"&amp;TEXT(N($J234),"0")&amp;"台 / 在册"&amp;TEXT(N($K234),"0")&amp;"台"))</f>
        <v/>
      </c>
      <c r="T234" s="40" t="str">
        <f aca="false">IF($C234="","",ROUND(SUMIFS(应收金额,应收键,$E234,应收年度,管理年度),2))</f>
        <v/>
      </c>
      <c r="U234" s="40" t="str">
        <f aca="false">IF($C234="","",ROUND(SUMIFS(收款金额,收款键,$E234,收款年度,管理年度),2))</f>
        <v/>
      </c>
      <c r="V234" s="41" t="str">
        <f aca="false">IF($C234="","",ROUND(SUMIF(应收键,$E234,应收金额)-SUMIF(收款键,$E234,收款金额),2))</f>
        <v/>
      </c>
      <c r="W234" s="24"/>
      <c r="X234" s="35" t="str">
        <f aca="false">IF($C234="","",IF($D234="","★项目名称没填",IF(COUNTIF($E$5:$E$304,$E234)&gt;1,"★键重复",IF(AND($H234&lt;&gt;"",$I234&lt;&gt;"",$I234&lt;$H234),"★合同起止反了",IF(N($K234)=0,"★电梯资料里没有这个项目","OK")))))</f>
        <v/>
      </c>
    </row>
    <row r="235" customFormat="false" ht="15" hidden="false" customHeight="false" outlineLevel="0" collapsed="false">
      <c r="A235" s="29" t="str">
        <f aca="false">IF($C235="","",ROW()-4)</f>
        <v/>
      </c>
      <c r="B235" s="35" t="str">
        <f aca="false">IF($C235="","",IFERROR(INDEX(电梯片区,MATCH($E235,电梯键,0)),""))</f>
        <v/>
      </c>
      <c r="C235" s="24"/>
      <c r="D235" s="24"/>
      <c r="E235" s="30" t="str">
        <f aca="false">IF($C235="","",$C235&amp;" ｜ "&amp;$D235)</f>
        <v/>
      </c>
      <c r="F235" s="25"/>
      <c r="G235" s="25"/>
      <c r="H235" s="33"/>
      <c r="I235" s="33"/>
      <c r="J235" s="32"/>
      <c r="K235" s="38" t="str">
        <f aca="false">IF($C235="","",SUMIF(电梯键,$E235,电梯台量))</f>
        <v/>
      </c>
      <c r="L235" s="39"/>
      <c r="M235" s="25"/>
      <c r="N235" s="25"/>
      <c r="O235" s="38" t="str">
        <f aca="false">IF($C235="","",SUMIFS(电梯台量,电梯键,$E235,电梯状态,"安装免保")+SUMIFS(电梯台量,电梯键,$E235,电梯状态,"技术免保")+SUMIFS(电梯台量,电梯键,$E235,电梯状态,"质保期内"))</f>
        <v/>
      </c>
      <c r="P235" s="38" t="str">
        <f aca="false">IF($C235="","",$K235-$O235)</f>
        <v/>
      </c>
      <c r="Q235" s="34" t="str">
        <f aca="true">IF($C235="","",IF($G235="已终止","",IF($I235="","▲没填合同止期",IF($I235&lt;TODAY(),"已到期 "&amp;TEXT(TODAY()-$I235,"0")&amp;" 天",IF($I235-TODAY()&lt;=合同提醒天,"将到期 "&amp;TEXT($I235-TODAY(),"0")&amp;" 天","")))))</f>
        <v/>
      </c>
      <c r="R235" s="34" t="str">
        <f aca="false">IF($C235="","",IF($G235="","▲合同状态没选",IF(OR($G235="已签未回",$G235="未签",$G235="续签中"),"▲合同未回（"&amp;$G235&amp;"）","")))</f>
        <v/>
      </c>
      <c r="S235" s="35" t="str">
        <f aca="false">IF($C235="","",IF(N($J235)=N($K235),"一致","★合同"&amp;TEXT(N($J235),"0")&amp;"台 / 在册"&amp;TEXT(N($K235),"0")&amp;"台"))</f>
        <v/>
      </c>
      <c r="T235" s="40" t="str">
        <f aca="false">IF($C235="","",ROUND(SUMIFS(应收金额,应收键,$E235,应收年度,管理年度),2))</f>
        <v/>
      </c>
      <c r="U235" s="40" t="str">
        <f aca="false">IF($C235="","",ROUND(SUMIFS(收款金额,收款键,$E235,收款年度,管理年度),2))</f>
        <v/>
      </c>
      <c r="V235" s="41" t="str">
        <f aca="false">IF($C235="","",ROUND(SUMIF(应收键,$E235,应收金额)-SUMIF(收款键,$E235,收款金额),2))</f>
        <v/>
      </c>
      <c r="W235" s="24"/>
      <c r="X235" s="35" t="str">
        <f aca="false">IF($C235="","",IF($D235="","★项目名称没填",IF(COUNTIF($E$5:$E$304,$E235)&gt;1,"★键重复",IF(AND($H235&lt;&gt;"",$I235&lt;&gt;"",$I235&lt;$H235),"★合同起止反了",IF(N($K235)=0,"★电梯资料里没有这个项目","OK")))))</f>
        <v/>
      </c>
    </row>
    <row r="236" customFormat="false" ht="15" hidden="false" customHeight="false" outlineLevel="0" collapsed="false">
      <c r="A236" s="29" t="str">
        <f aca="false">IF($C236="","",ROW()-4)</f>
        <v/>
      </c>
      <c r="B236" s="35" t="str">
        <f aca="false">IF($C236="","",IFERROR(INDEX(电梯片区,MATCH($E236,电梯键,0)),""))</f>
        <v/>
      </c>
      <c r="C236" s="24"/>
      <c r="D236" s="24"/>
      <c r="E236" s="30" t="str">
        <f aca="false">IF($C236="","",$C236&amp;" ｜ "&amp;$D236)</f>
        <v/>
      </c>
      <c r="F236" s="25"/>
      <c r="G236" s="25"/>
      <c r="H236" s="33"/>
      <c r="I236" s="33"/>
      <c r="J236" s="32"/>
      <c r="K236" s="38" t="str">
        <f aca="false">IF($C236="","",SUMIF(电梯键,$E236,电梯台量))</f>
        <v/>
      </c>
      <c r="L236" s="39"/>
      <c r="M236" s="25"/>
      <c r="N236" s="25"/>
      <c r="O236" s="38" t="str">
        <f aca="false">IF($C236="","",SUMIFS(电梯台量,电梯键,$E236,电梯状态,"安装免保")+SUMIFS(电梯台量,电梯键,$E236,电梯状态,"技术免保")+SUMIFS(电梯台量,电梯键,$E236,电梯状态,"质保期内"))</f>
        <v/>
      </c>
      <c r="P236" s="38" t="str">
        <f aca="false">IF($C236="","",$K236-$O236)</f>
        <v/>
      </c>
      <c r="Q236" s="34" t="str">
        <f aca="true">IF($C236="","",IF($G236="已终止","",IF($I236="","▲没填合同止期",IF($I236&lt;TODAY(),"已到期 "&amp;TEXT(TODAY()-$I236,"0")&amp;" 天",IF($I236-TODAY()&lt;=合同提醒天,"将到期 "&amp;TEXT($I236-TODAY(),"0")&amp;" 天","")))))</f>
        <v/>
      </c>
      <c r="R236" s="34" t="str">
        <f aca="false">IF($C236="","",IF($G236="","▲合同状态没选",IF(OR($G236="已签未回",$G236="未签",$G236="续签中"),"▲合同未回（"&amp;$G236&amp;"）","")))</f>
        <v/>
      </c>
      <c r="S236" s="35" t="str">
        <f aca="false">IF($C236="","",IF(N($J236)=N($K236),"一致","★合同"&amp;TEXT(N($J236),"0")&amp;"台 / 在册"&amp;TEXT(N($K236),"0")&amp;"台"))</f>
        <v/>
      </c>
      <c r="T236" s="40" t="str">
        <f aca="false">IF($C236="","",ROUND(SUMIFS(应收金额,应收键,$E236,应收年度,管理年度),2))</f>
        <v/>
      </c>
      <c r="U236" s="40" t="str">
        <f aca="false">IF($C236="","",ROUND(SUMIFS(收款金额,收款键,$E236,收款年度,管理年度),2))</f>
        <v/>
      </c>
      <c r="V236" s="41" t="str">
        <f aca="false">IF($C236="","",ROUND(SUMIF(应收键,$E236,应收金额)-SUMIF(收款键,$E236,收款金额),2))</f>
        <v/>
      </c>
      <c r="W236" s="24"/>
      <c r="X236" s="35" t="str">
        <f aca="false">IF($C236="","",IF($D236="","★项目名称没填",IF(COUNTIF($E$5:$E$304,$E236)&gt;1,"★键重复",IF(AND($H236&lt;&gt;"",$I236&lt;&gt;"",$I236&lt;$H236),"★合同起止反了",IF(N($K236)=0,"★电梯资料里没有这个项目","OK")))))</f>
        <v/>
      </c>
    </row>
    <row r="237" customFormat="false" ht="15" hidden="false" customHeight="false" outlineLevel="0" collapsed="false">
      <c r="A237" s="29" t="str">
        <f aca="false">IF($C237="","",ROW()-4)</f>
        <v/>
      </c>
      <c r="B237" s="35" t="str">
        <f aca="false">IF($C237="","",IFERROR(INDEX(电梯片区,MATCH($E237,电梯键,0)),""))</f>
        <v/>
      </c>
      <c r="C237" s="24"/>
      <c r="D237" s="24"/>
      <c r="E237" s="30" t="str">
        <f aca="false">IF($C237="","",$C237&amp;" ｜ "&amp;$D237)</f>
        <v/>
      </c>
      <c r="F237" s="25"/>
      <c r="G237" s="25"/>
      <c r="H237" s="33"/>
      <c r="I237" s="33"/>
      <c r="J237" s="32"/>
      <c r="K237" s="38" t="str">
        <f aca="false">IF($C237="","",SUMIF(电梯键,$E237,电梯台量))</f>
        <v/>
      </c>
      <c r="L237" s="39"/>
      <c r="M237" s="25"/>
      <c r="N237" s="25"/>
      <c r="O237" s="38" t="str">
        <f aca="false">IF($C237="","",SUMIFS(电梯台量,电梯键,$E237,电梯状态,"安装免保")+SUMIFS(电梯台量,电梯键,$E237,电梯状态,"技术免保")+SUMIFS(电梯台量,电梯键,$E237,电梯状态,"质保期内"))</f>
        <v/>
      </c>
      <c r="P237" s="38" t="str">
        <f aca="false">IF($C237="","",$K237-$O237)</f>
        <v/>
      </c>
      <c r="Q237" s="34" t="str">
        <f aca="true">IF($C237="","",IF($G237="已终止","",IF($I237="","▲没填合同止期",IF($I237&lt;TODAY(),"已到期 "&amp;TEXT(TODAY()-$I237,"0")&amp;" 天",IF($I237-TODAY()&lt;=合同提醒天,"将到期 "&amp;TEXT($I237-TODAY(),"0")&amp;" 天","")))))</f>
        <v/>
      </c>
      <c r="R237" s="34" t="str">
        <f aca="false">IF($C237="","",IF($G237="","▲合同状态没选",IF(OR($G237="已签未回",$G237="未签",$G237="续签中"),"▲合同未回（"&amp;$G237&amp;"）","")))</f>
        <v/>
      </c>
      <c r="S237" s="35" t="str">
        <f aca="false">IF($C237="","",IF(N($J237)=N($K237),"一致","★合同"&amp;TEXT(N($J237),"0")&amp;"台 / 在册"&amp;TEXT(N($K237),"0")&amp;"台"))</f>
        <v/>
      </c>
      <c r="T237" s="40" t="str">
        <f aca="false">IF($C237="","",ROUND(SUMIFS(应收金额,应收键,$E237,应收年度,管理年度),2))</f>
        <v/>
      </c>
      <c r="U237" s="40" t="str">
        <f aca="false">IF($C237="","",ROUND(SUMIFS(收款金额,收款键,$E237,收款年度,管理年度),2))</f>
        <v/>
      </c>
      <c r="V237" s="41" t="str">
        <f aca="false">IF($C237="","",ROUND(SUMIF(应收键,$E237,应收金额)-SUMIF(收款键,$E237,收款金额),2))</f>
        <v/>
      </c>
      <c r="W237" s="24"/>
      <c r="X237" s="35" t="str">
        <f aca="false">IF($C237="","",IF($D237="","★项目名称没填",IF(COUNTIF($E$5:$E$304,$E237)&gt;1,"★键重复",IF(AND($H237&lt;&gt;"",$I237&lt;&gt;"",$I237&lt;$H237),"★合同起止反了",IF(N($K237)=0,"★电梯资料里没有这个项目","OK")))))</f>
        <v/>
      </c>
    </row>
    <row r="238" customFormat="false" ht="15" hidden="false" customHeight="false" outlineLevel="0" collapsed="false">
      <c r="A238" s="29" t="str">
        <f aca="false">IF($C238="","",ROW()-4)</f>
        <v/>
      </c>
      <c r="B238" s="35" t="str">
        <f aca="false">IF($C238="","",IFERROR(INDEX(电梯片区,MATCH($E238,电梯键,0)),""))</f>
        <v/>
      </c>
      <c r="C238" s="24"/>
      <c r="D238" s="24"/>
      <c r="E238" s="30" t="str">
        <f aca="false">IF($C238="","",$C238&amp;" ｜ "&amp;$D238)</f>
        <v/>
      </c>
      <c r="F238" s="25"/>
      <c r="G238" s="25"/>
      <c r="H238" s="33"/>
      <c r="I238" s="33"/>
      <c r="J238" s="32"/>
      <c r="K238" s="38" t="str">
        <f aca="false">IF($C238="","",SUMIF(电梯键,$E238,电梯台量))</f>
        <v/>
      </c>
      <c r="L238" s="39"/>
      <c r="M238" s="25"/>
      <c r="N238" s="25"/>
      <c r="O238" s="38" t="str">
        <f aca="false">IF($C238="","",SUMIFS(电梯台量,电梯键,$E238,电梯状态,"安装免保")+SUMIFS(电梯台量,电梯键,$E238,电梯状态,"技术免保")+SUMIFS(电梯台量,电梯键,$E238,电梯状态,"质保期内"))</f>
        <v/>
      </c>
      <c r="P238" s="38" t="str">
        <f aca="false">IF($C238="","",$K238-$O238)</f>
        <v/>
      </c>
      <c r="Q238" s="34" t="str">
        <f aca="true">IF($C238="","",IF($G238="已终止","",IF($I238="","▲没填合同止期",IF($I238&lt;TODAY(),"已到期 "&amp;TEXT(TODAY()-$I238,"0")&amp;" 天",IF($I238-TODAY()&lt;=合同提醒天,"将到期 "&amp;TEXT($I238-TODAY(),"0")&amp;" 天","")))))</f>
        <v/>
      </c>
      <c r="R238" s="34" t="str">
        <f aca="false">IF($C238="","",IF($G238="","▲合同状态没选",IF(OR($G238="已签未回",$G238="未签",$G238="续签中"),"▲合同未回（"&amp;$G238&amp;"）","")))</f>
        <v/>
      </c>
      <c r="S238" s="35" t="str">
        <f aca="false">IF($C238="","",IF(N($J238)=N($K238),"一致","★合同"&amp;TEXT(N($J238),"0")&amp;"台 / 在册"&amp;TEXT(N($K238),"0")&amp;"台"))</f>
        <v/>
      </c>
      <c r="T238" s="40" t="str">
        <f aca="false">IF($C238="","",ROUND(SUMIFS(应收金额,应收键,$E238,应收年度,管理年度),2))</f>
        <v/>
      </c>
      <c r="U238" s="40" t="str">
        <f aca="false">IF($C238="","",ROUND(SUMIFS(收款金额,收款键,$E238,收款年度,管理年度),2))</f>
        <v/>
      </c>
      <c r="V238" s="41" t="str">
        <f aca="false">IF($C238="","",ROUND(SUMIF(应收键,$E238,应收金额)-SUMIF(收款键,$E238,收款金额),2))</f>
        <v/>
      </c>
      <c r="W238" s="24"/>
      <c r="X238" s="35" t="str">
        <f aca="false">IF($C238="","",IF($D238="","★项目名称没填",IF(COUNTIF($E$5:$E$304,$E238)&gt;1,"★键重复",IF(AND($H238&lt;&gt;"",$I238&lt;&gt;"",$I238&lt;$H238),"★合同起止反了",IF(N($K238)=0,"★电梯资料里没有这个项目","OK")))))</f>
        <v/>
      </c>
    </row>
    <row r="239" customFormat="false" ht="15" hidden="false" customHeight="false" outlineLevel="0" collapsed="false">
      <c r="A239" s="29" t="str">
        <f aca="false">IF($C239="","",ROW()-4)</f>
        <v/>
      </c>
      <c r="B239" s="35" t="str">
        <f aca="false">IF($C239="","",IFERROR(INDEX(电梯片区,MATCH($E239,电梯键,0)),""))</f>
        <v/>
      </c>
      <c r="C239" s="24"/>
      <c r="D239" s="24"/>
      <c r="E239" s="30" t="str">
        <f aca="false">IF($C239="","",$C239&amp;" ｜ "&amp;$D239)</f>
        <v/>
      </c>
      <c r="F239" s="25"/>
      <c r="G239" s="25"/>
      <c r="H239" s="33"/>
      <c r="I239" s="33"/>
      <c r="J239" s="32"/>
      <c r="K239" s="38" t="str">
        <f aca="false">IF($C239="","",SUMIF(电梯键,$E239,电梯台量))</f>
        <v/>
      </c>
      <c r="L239" s="39"/>
      <c r="M239" s="25"/>
      <c r="N239" s="25"/>
      <c r="O239" s="38" t="str">
        <f aca="false">IF($C239="","",SUMIFS(电梯台量,电梯键,$E239,电梯状态,"安装免保")+SUMIFS(电梯台量,电梯键,$E239,电梯状态,"技术免保")+SUMIFS(电梯台量,电梯键,$E239,电梯状态,"质保期内"))</f>
        <v/>
      </c>
      <c r="P239" s="38" t="str">
        <f aca="false">IF($C239="","",$K239-$O239)</f>
        <v/>
      </c>
      <c r="Q239" s="34" t="str">
        <f aca="true">IF($C239="","",IF($G239="已终止","",IF($I239="","▲没填合同止期",IF($I239&lt;TODAY(),"已到期 "&amp;TEXT(TODAY()-$I239,"0")&amp;" 天",IF($I239-TODAY()&lt;=合同提醒天,"将到期 "&amp;TEXT($I239-TODAY(),"0")&amp;" 天","")))))</f>
        <v/>
      </c>
      <c r="R239" s="34" t="str">
        <f aca="false">IF($C239="","",IF($G239="","▲合同状态没选",IF(OR($G239="已签未回",$G239="未签",$G239="续签中"),"▲合同未回（"&amp;$G239&amp;"）","")))</f>
        <v/>
      </c>
      <c r="S239" s="35" t="str">
        <f aca="false">IF($C239="","",IF(N($J239)=N($K239),"一致","★合同"&amp;TEXT(N($J239),"0")&amp;"台 / 在册"&amp;TEXT(N($K239),"0")&amp;"台"))</f>
        <v/>
      </c>
      <c r="T239" s="40" t="str">
        <f aca="false">IF($C239="","",ROUND(SUMIFS(应收金额,应收键,$E239,应收年度,管理年度),2))</f>
        <v/>
      </c>
      <c r="U239" s="40" t="str">
        <f aca="false">IF($C239="","",ROUND(SUMIFS(收款金额,收款键,$E239,收款年度,管理年度),2))</f>
        <v/>
      </c>
      <c r="V239" s="41" t="str">
        <f aca="false">IF($C239="","",ROUND(SUMIF(应收键,$E239,应收金额)-SUMIF(收款键,$E239,收款金额),2))</f>
        <v/>
      </c>
      <c r="W239" s="24"/>
      <c r="X239" s="35" t="str">
        <f aca="false">IF($C239="","",IF($D239="","★项目名称没填",IF(COUNTIF($E$5:$E$304,$E239)&gt;1,"★键重复",IF(AND($H239&lt;&gt;"",$I239&lt;&gt;"",$I239&lt;$H239),"★合同起止反了",IF(N($K239)=0,"★电梯资料里没有这个项目","OK")))))</f>
        <v/>
      </c>
    </row>
    <row r="240" customFormat="false" ht="15" hidden="false" customHeight="false" outlineLevel="0" collapsed="false">
      <c r="A240" s="29" t="str">
        <f aca="false">IF($C240="","",ROW()-4)</f>
        <v/>
      </c>
      <c r="B240" s="35" t="str">
        <f aca="false">IF($C240="","",IFERROR(INDEX(电梯片区,MATCH($E240,电梯键,0)),""))</f>
        <v/>
      </c>
      <c r="C240" s="24"/>
      <c r="D240" s="24"/>
      <c r="E240" s="30" t="str">
        <f aca="false">IF($C240="","",$C240&amp;" ｜ "&amp;$D240)</f>
        <v/>
      </c>
      <c r="F240" s="25"/>
      <c r="G240" s="25"/>
      <c r="H240" s="33"/>
      <c r="I240" s="33"/>
      <c r="J240" s="32"/>
      <c r="K240" s="38" t="str">
        <f aca="false">IF($C240="","",SUMIF(电梯键,$E240,电梯台量))</f>
        <v/>
      </c>
      <c r="L240" s="39"/>
      <c r="M240" s="25"/>
      <c r="N240" s="25"/>
      <c r="O240" s="38" t="str">
        <f aca="false">IF($C240="","",SUMIFS(电梯台量,电梯键,$E240,电梯状态,"安装免保")+SUMIFS(电梯台量,电梯键,$E240,电梯状态,"技术免保")+SUMIFS(电梯台量,电梯键,$E240,电梯状态,"质保期内"))</f>
        <v/>
      </c>
      <c r="P240" s="38" t="str">
        <f aca="false">IF($C240="","",$K240-$O240)</f>
        <v/>
      </c>
      <c r="Q240" s="34" t="str">
        <f aca="true">IF($C240="","",IF($G240="已终止","",IF($I240="","▲没填合同止期",IF($I240&lt;TODAY(),"已到期 "&amp;TEXT(TODAY()-$I240,"0")&amp;" 天",IF($I240-TODAY()&lt;=合同提醒天,"将到期 "&amp;TEXT($I240-TODAY(),"0")&amp;" 天","")))))</f>
        <v/>
      </c>
      <c r="R240" s="34" t="str">
        <f aca="false">IF($C240="","",IF($G240="","▲合同状态没选",IF(OR($G240="已签未回",$G240="未签",$G240="续签中"),"▲合同未回（"&amp;$G240&amp;"）","")))</f>
        <v/>
      </c>
      <c r="S240" s="35" t="str">
        <f aca="false">IF($C240="","",IF(N($J240)=N($K240),"一致","★合同"&amp;TEXT(N($J240),"0")&amp;"台 / 在册"&amp;TEXT(N($K240),"0")&amp;"台"))</f>
        <v/>
      </c>
      <c r="T240" s="40" t="str">
        <f aca="false">IF($C240="","",ROUND(SUMIFS(应收金额,应收键,$E240,应收年度,管理年度),2))</f>
        <v/>
      </c>
      <c r="U240" s="40" t="str">
        <f aca="false">IF($C240="","",ROUND(SUMIFS(收款金额,收款键,$E240,收款年度,管理年度),2))</f>
        <v/>
      </c>
      <c r="V240" s="41" t="str">
        <f aca="false">IF($C240="","",ROUND(SUMIF(应收键,$E240,应收金额)-SUMIF(收款键,$E240,收款金额),2))</f>
        <v/>
      </c>
      <c r="W240" s="24"/>
      <c r="X240" s="35" t="str">
        <f aca="false">IF($C240="","",IF($D240="","★项目名称没填",IF(COUNTIF($E$5:$E$304,$E240)&gt;1,"★键重复",IF(AND($H240&lt;&gt;"",$I240&lt;&gt;"",$I240&lt;$H240),"★合同起止反了",IF(N($K240)=0,"★电梯资料里没有这个项目","OK")))))</f>
        <v/>
      </c>
    </row>
    <row r="241" customFormat="false" ht="15" hidden="false" customHeight="false" outlineLevel="0" collapsed="false">
      <c r="A241" s="29" t="str">
        <f aca="false">IF($C241="","",ROW()-4)</f>
        <v/>
      </c>
      <c r="B241" s="35" t="str">
        <f aca="false">IF($C241="","",IFERROR(INDEX(电梯片区,MATCH($E241,电梯键,0)),""))</f>
        <v/>
      </c>
      <c r="C241" s="24"/>
      <c r="D241" s="24"/>
      <c r="E241" s="30" t="str">
        <f aca="false">IF($C241="","",$C241&amp;" ｜ "&amp;$D241)</f>
        <v/>
      </c>
      <c r="F241" s="25"/>
      <c r="G241" s="25"/>
      <c r="H241" s="33"/>
      <c r="I241" s="33"/>
      <c r="J241" s="32"/>
      <c r="K241" s="38" t="str">
        <f aca="false">IF($C241="","",SUMIF(电梯键,$E241,电梯台量))</f>
        <v/>
      </c>
      <c r="L241" s="39"/>
      <c r="M241" s="25"/>
      <c r="N241" s="25"/>
      <c r="O241" s="38" t="str">
        <f aca="false">IF($C241="","",SUMIFS(电梯台量,电梯键,$E241,电梯状态,"安装免保")+SUMIFS(电梯台量,电梯键,$E241,电梯状态,"技术免保")+SUMIFS(电梯台量,电梯键,$E241,电梯状态,"质保期内"))</f>
        <v/>
      </c>
      <c r="P241" s="38" t="str">
        <f aca="false">IF($C241="","",$K241-$O241)</f>
        <v/>
      </c>
      <c r="Q241" s="34" t="str">
        <f aca="true">IF($C241="","",IF($G241="已终止","",IF($I241="","▲没填合同止期",IF($I241&lt;TODAY(),"已到期 "&amp;TEXT(TODAY()-$I241,"0")&amp;" 天",IF($I241-TODAY()&lt;=合同提醒天,"将到期 "&amp;TEXT($I241-TODAY(),"0")&amp;" 天","")))))</f>
        <v/>
      </c>
      <c r="R241" s="34" t="str">
        <f aca="false">IF($C241="","",IF($G241="","▲合同状态没选",IF(OR($G241="已签未回",$G241="未签",$G241="续签中"),"▲合同未回（"&amp;$G241&amp;"）","")))</f>
        <v/>
      </c>
      <c r="S241" s="35" t="str">
        <f aca="false">IF($C241="","",IF(N($J241)=N($K241),"一致","★合同"&amp;TEXT(N($J241),"0")&amp;"台 / 在册"&amp;TEXT(N($K241),"0")&amp;"台"))</f>
        <v/>
      </c>
      <c r="T241" s="40" t="str">
        <f aca="false">IF($C241="","",ROUND(SUMIFS(应收金额,应收键,$E241,应收年度,管理年度),2))</f>
        <v/>
      </c>
      <c r="U241" s="40" t="str">
        <f aca="false">IF($C241="","",ROUND(SUMIFS(收款金额,收款键,$E241,收款年度,管理年度),2))</f>
        <v/>
      </c>
      <c r="V241" s="41" t="str">
        <f aca="false">IF($C241="","",ROUND(SUMIF(应收键,$E241,应收金额)-SUMIF(收款键,$E241,收款金额),2))</f>
        <v/>
      </c>
      <c r="W241" s="24"/>
      <c r="X241" s="35" t="str">
        <f aca="false">IF($C241="","",IF($D241="","★项目名称没填",IF(COUNTIF($E$5:$E$304,$E241)&gt;1,"★键重复",IF(AND($H241&lt;&gt;"",$I241&lt;&gt;"",$I241&lt;$H241),"★合同起止反了",IF(N($K241)=0,"★电梯资料里没有这个项目","OK")))))</f>
        <v/>
      </c>
    </row>
    <row r="242" customFormat="false" ht="15" hidden="false" customHeight="false" outlineLevel="0" collapsed="false">
      <c r="A242" s="29" t="str">
        <f aca="false">IF($C242="","",ROW()-4)</f>
        <v/>
      </c>
      <c r="B242" s="35" t="str">
        <f aca="false">IF($C242="","",IFERROR(INDEX(电梯片区,MATCH($E242,电梯键,0)),""))</f>
        <v/>
      </c>
      <c r="C242" s="24"/>
      <c r="D242" s="24"/>
      <c r="E242" s="30" t="str">
        <f aca="false">IF($C242="","",$C242&amp;" ｜ "&amp;$D242)</f>
        <v/>
      </c>
      <c r="F242" s="25"/>
      <c r="G242" s="25"/>
      <c r="H242" s="33"/>
      <c r="I242" s="33"/>
      <c r="J242" s="32"/>
      <c r="K242" s="38" t="str">
        <f aca="false">IF($C242="","",SUMIF(电梯键,$E242,电梯台量))</f>
        <v/>
      </c>
      <c r="L242" s="39"/>
      <c r="M242" s="25"/>
      <c r="N242" s="25"/>
      <c r="O242" s="38" t="str">
        <f aca="false">IF($C242="","",SUMIFS(电梯台量,电梯键,$E242,电梯状态,"安装免保")+SUMIFS(电梯台量,电梯键,$E242,电梯状态,"技术免保")+SUMIFS(电梯台量,电梯键,$E242,电梯状态,"质保期内"))</f>
        <v/>
      </c>
      <c r="P242" s="38" t="str">
        <f aca="false">IF($C242="","",$K242-$O242)</f>
        <v/>
      </c>
      <c r="Q242" s="34" t="str">
        <f aca="true">IF($C242="","",IF($G242="已终止","",IF($I242="","▲没填合同止期",IF($I242&lt;TODAY(),"已到期 "&amp;TEXT(TODAY()-$I242,"0")&amp;" 天",IF($I242-TODAY()&lt;=合同提醒天,"将到期 "&amp;TEXT($I242-TODAY(),"0")&amp;" 天","")))))</f>
        <v/>
      </c>
      <c r="R242" s="34" t="str">
        <f aca="false">IF($C242="","",IF($G242="","▲合同状态没选",IF(OR($G242="已签未回",$G242="未签",$G242="续签中"),"▲合同未回（"&amp;$G242&amp;"）","")))</f>
        <v/>
      </c>
      <c r="S242" s="35" t="str">
        <f aca="false">IF($C242="","",IF(N($J242)=N($K242),"一致","★合同"&amp;TEXT(N($J242),"0")&amp;"台 / 在册"&amp;TEXT(N($K242),"0")&amp;"台"))</f>
        <v/>
      </c>
      <c r="T242" s="40" t="str">
        <f aca="false">IF($C242="","",ROUND(SUMIFS(应收金额,应收键,$E242,应收年度,管理年度),2))</f>
        <v/>
      </c>
      <c r="U242" s="40" t="str">
        <f aca="false">IF($C242="","",ROUND(SUMIFS(收款金额,收款键,$E242,收款年度,管理年度),2))</f>
        <v/>
      </c>
      <c r="V242" s="41" t="str">
        <f aca="false">IF($C242="","",ROUND(SUMIF(应收键,$E242,应收金额)-SUMIF(收款键,$E242,收款金额),2))</f>
        <v/>
      </c>
      <c r="W242" s="24"/>
      <c r="X242" s="35" t="str">
        <f aca="false">IF($C242="","",IF($D242="","★项目名称没填",IF(COUNTIF($E$5:$E$304,$E242)&gt;1,"★键重复",IF(AND($H242&lt;&gt;"",$I242&lt;&gt;"",$I242&lt;$H242),"★合同起止反了",IF(N($K242)=0,"★电梯资料里没有这个项目","OK")))))</f>
        <v/>
      </c>
    </row>
    <row r="243" customFormat="false" ht="15" hidden="false" customHeight="false" outlineLevel="0" collapsed="false">
      <c r="A243" s="29" t="str">
        <f aca="false">IF($C243="","",ROW()-4)</f>
        <v/>
      </c>
      <c r="B243" s="35" t="str">
        <f aca="false">IF($C243="","",IFERROR(INDEX(电梯片区,MATCH($E243,电梯键,0)),""))</f>
        <v/>
      </c>
      <c r="C243" s="24"/>
      <c r="D243" s="24"/>
      <c r="E243" s="30" t="str">
        <f aca="false">IF($C243="","",$C243&amp;" ｜ "&amp;$D243)</f>
        <v/>
      </c>
      <c r="F243" s="25"/>
      <c r="G243" s="25"/>
      <c r="H243" s="33"/>
      <c r="I243" s="33"/>
      <c r="J243" s="32"/>
      <c r="K243" s="38" t="str">
        <f aca="false">IF($C243="","",SUMIF(电梯键,$E243,电梯台量))</f>
        <v/>
      </c>
      <c r="L243" s="39"/>
      <c r="M243" s="25"/>
      <c r="N243" s="25"/>
      <c r="O243" s="38" t="str">
        <f aca="false">IF($C243="","",SUMIFS(电梯台量,电梯键,$E243,电梯状态,"安装免保")+SUMIFS(电梯台量,电梯键,$E243,电梯状态,"技术免保")+SUMIFS(电梯台量,电梯键,$E243,电梯状态,"质保期内"))</f>
        <v/>
      </c>
      <c r="P243" s="38" t="str">
        <f aca="false">IF($C243="","",$K243-$O243)</f>
        <v/>
      </c>
      <c r="Q243" s="34" t="str">
        <f aca="true">IF($C243="","",IF($G243="已终止","",IF($I243="","▲没填合同止期",IF($I243&lt;TODAY(),"已到期 "&amp;TEXT(TODAY()-$I243,"0")&amp;" 天",IF($I243-TODAY()&lt;=合同提醒天,"将到期 "&amp;TEXT($I243-TODAY(),"0")&amp;" 天","")))))</f>
        <v/>
      </c>
      <c r="R243" s="34" t="str">
        <f aca="false">IF($C243="","",IF($G243="","▲合同状态没选",IF(OR($G243="已签未回",$G243="未签",$G243="续签中"),"▲合同未回（"&amp;$G243&amp;"）","")))</f>
        <v/>
      </c>
      <c r="S243" s="35" t="str">
        <f aca="false">IF($C243="","",IF(N($J243)=N($K243),"一致","★合同"&amp;TEXT(N($J243),"0")&amp;"台 / 在册"&amp;TEXT(N($K243),"0")&amp;"台"))</f>
        <v/>
      </c>
      <c r="T243" s="40" t="str">
        <f aca="false">IF($C243="","",ROUND(SUMIFS(应收金额,应收键,$E243,应收年度,管理年度),2))</f>
        <v/>
      </c>
      <c r="U243" s="40" t="str">
        <f aca="false">IF($C243="","",ROUND(SUMIFS(收款金额,收款键,$E243,收款年度,管理年度),2))</f>
        <v/>
      </c>
      <c r="V243" s="41" t="str">
        <f aca="false">IF($C243="","",ROUND(SUMIF(应收键,$E243,应收金额)-SUMIF(收款键,$E243,收款金额),2))</f>
        <v/>
      </c>
      <c r="W243" s="24"/>
      <c r="X243" s="35" t="str">
        <f aca="false">IF($C243="","",IF($D243="","★项目名称没填",IF(COUNTIF($E$5:$E$304,$E243)&gt;1,"★键重复",IF(AND($H243&lt;&gt;"",$I243&lt;&gt;"",$I243&lt;$H243),"★合同起止反了",IF(N($K243)=0,"★电梯资料里没有这个项目","OK")))))</f>
        <v/>
      </c>
    </row>
    <row r="244" customFormat="false" ht="15" hidden="false" customHeight="false" outlineLevel="0" collapsed="false">
      <c r="A244" s="29" t="str">
        <f aca="false">IF($C244="","",ROW()-4)</f>
        <v/>
      </c>
      <c r="B244" s="35" t="str">
        <f aca="false">IF($C244="","",IFERROR(INDEX(电梯片区,MATCH($E244,电梯键,0)),""))</f>
        <v/>
      </c>
      <c r="C244" s="24"/>
      <c r="D244" s="24"/>
      <c r="E244" s="30" t="str">
        <f aca="false">IF($C244="","",$C244&amp;" ｜ "&amp;$D244)</f>
        <v/>
      </c>
      <c r="F244" s="25"/>
      <c r="G244" s="25"/>
      <c r="H244" s="33"/>
      <c r="I244" s="33"/>
      <c r="J244" s="32"/>
      <c r="K244" s="38" t="str">
        <f aca="false">IF($C244="","",SUMIF(电梯键,$E244,电梯台量))</f>
        <v/>
      </c>
      <c r="L244" s="39"/>
      <c r="M244" s="25"/>
      <c r="N244" s="25"/>
      <c r="O244" s="38" t="str">
        <f aca="false">IF($C244="","",SUMIFS(电梯台量,电梯键,$E244,电梯状态,"安装免保")+SUMIFS(电梯台量,电梯键,$E244,电梯状态,"技术免保")+SUMIFS(电梯台量,电梯键,$E244,电梯状态,"质保期内"))</f>
        <v/>
      </c>
      <c r="P244" s="38" t="str">
        <f aca="false">IF($C244="","",$K244-$O244)</f>
        <v/>
      </c>
      <c r="Q244" s="34" t="str">
        <f aca="true">IF($C244="","",IF($G244="已终止","",IF($I244="","▲没填合同止期",IF($I244&lt;TODAY(),"已到期 "&amp;TEXT(TODAY()-$I244,"0")&amp;" 天",IF($I244-TODAY()&lt;=合同提醒天,"将到期 "&amp;TEXT($I244-TODAY(),"0")&amp;" 天","")))))</f>
        <v/>
      </c>
      <c r="R244" s="34" t="str">
        <f aca="false">IF($C244="","",IF($G244="","▲合同状态没选",IF(OR($G244="已签未回",$G244="未签",$G244="续签中"),"▲合同未回（"&amp;$G244&amp;"）","")))</f>
        <v/>
      </c>
      <c r="S244" s="35" t="str">
        <f aca="false">IF($C244="","",IF(N($J244)=N($K244),"一致","★合同"&amp;TEXT(N($J244),"0")&amp;"台 / 在册"&amp;TEXT(N($K244),"0")&amp;"台"))</f>
        <v/>
      </c>
      <c r="T244" s="40" t="str">
        <f aca="false">IF($C244="","",ROUND(SUMIFS(应收金额,应收键,$E244,应收年度,管理年度),2))</f>
        <v/>
      </c>
      <c r="U244" s="40" t="str">
        <f aca="false">IF($C244="","",ROUND(SUMIFS(收款金额,收款键,$E244,收款年度,管理年度),2))</f>
        <v/>
      </c>
      <c r="V244" s="41" t="str">
        <f aca="false">IF($C244="","",ROUND(SUMIF(应收键,$E244,应收金额)-SUMIF(收款键,$E244,收款金额),2))</f>
        <v/>
      </c>
      <c r="W244" s="24"/>
      <c r="X244" s="35" t="str">
        <f aca="false">IF($C244="","",IF($D244="","★项目名称没填",IF(COUNTIF($E$5:$E$304,$E244)&gt;1,"★键重复",IF(AND($H244&lt;&gt;"",$I244&lt;&gt;"",$I244&lt;$H244),"★合同起止反了",IF(N($K244)=0,"★电梯资料里没有这个项目","OK")))))</f>
        <v/>
      </c>
    </row>
    <row r="245" customFormat="false" ht="15" hidden="false" customHeight="false" outlineLevel="0" collapsed="false">
      <c r="A245" s="29" t="str">
        <f aca="false">IF($C245="","",ROW()-4)</f>
        <v/>
      </c>
      <c r="B245" s="35" t="str">
        <f aca="false">IF($C245="","",IFERROR(INDEX(电梯片区,MATCH($E245,电梯键,0)),""))</f>
        <v/>
      </c>
      <c r="C245" s="24"/>
      <c r="D245" s="24"/>
      <c r="E245" s="30" t="str">
        <f aca="false">IF($C245="","",$C245&amp;" ｜ "&amp;$D245)</f>
        <v/>
      </c>
      <c r="F245" s="25"/>
      <c r="G245" s="25"/>
      <c r="H245" s="33"/>
      <c r="I245" s="33"/>
      <c r="J245" s="32"/>
      <c r="K245" s="38" t="str">
        <f aca="false">IF($C245="","",SUMIF(电梯键,$E245,电梯台量))</f>
        <v/>
      </c>
      <c r="L245" s="39"/>
      <c r="M245" s="25"/>
      <c r="N245" s="25"/>
      <c r="O245" s="38" t="str">
        <f aca="false">IF($C245="","",SUMIFS(电梯台量,电梯键,$E245,电梯状态,"安装免保")+SUMIFS(电梯台量,电梯键,$E245,电梯状态,"技术免保")+SUMIFS(电梯台量,电梯键,$E245,电梯状态,"质保期内"))</f>
        <v/>
      </c>
      <c r="P245" s="38" t="str">
        <f aca="false">IF($C245="","",$K245-$O245)</f>
        <v/>
      </c>
      <c r="Q245" s="34" t="str">
        <f aca="true">IF($C245="","",IF($G245="已终止","",IF($I245="","▲没填合同止期",IF($I245&lt;TODAY(),"已到期 "&amp;TEXT(TODAY()-$I245,"0")&amp;" 天",IF($I245-TODAY()&lt;=合同提醒天,"将到期 "&amp;TEXT($I245-TODAY(),"0")&amp;" 天","")))))</f>
        <v/>
      </c>
      <c r="R245" s="34" t="str">
        <f aca="false">IF($C245="","",IF($G245="","▲合同状态没选",IF(OR($G245="已签未回",$G245="未签",$G245="续签中"),"▲合同未回（"&amp;$G245&amp;"）","")))</f>
        <v/>
      </c>
      <c r="S245" s="35" t="str">
        <f aca="false">IF($C245="","",IF(N($J245)=N($K245),"一致","★合同"&amp;TEXT(N($J245),"0")&amp;"台 / 在册"&amp;TEXT(N($K245),"0")&amp;"台"))</f>
        <v/>
      </c>
      <c r="T245" s="40" t="str">
        <f aca="false">IF($C245="","",ROUND(SUMIFS(应收金额,应收键,$E245,应收年度,管理年度),2))</f>
        <v/>
      </c>
      <c r="U245" s="40" t="str">
        <f aca="false">IF($C245="","",ROUND(SUMIFS(收款金额,收款键,$E245,收款年度,管理年度),2))</f>
        <v/>
      </c>
      <c r="V245" s="41" t="str">
        <f aca="false">IF($C245="","",ROUND(SUMIF(应收键,$E245,应收金额)-SUMIF(收款键,$E245,收款金额),2))</f>
        <v/>
      </c>
      <c r="W245" s="24"/>
      <c r="X245" s="35" t="str">
        <f aca="false">IF($C245="","",IF($D245="","★项目名称没填",IF(COUNTIF($E$5:$E$304,$E245)&gt;1,"★键重复",IF(AND($H245&lt;&gt;"",$I245&lt;&gt;"",$I245&lt;$H245),"★合同起止反了",IF(N($K245)=0,"★电梯资料里没有这个项目","OK")))))</f>
        <v/>
      </c>
    </row>
    <row r="246" customFormat="false" ht="15" hidden="false" customHeight="false" outlineLevel="0" collapsed="false">
      <c r="A246" s="29" t="str">
        <f aca="false">IF($C246="","",ROW()-4)</f>
        <v/>
      </c>
      <c r="B246" s="35" t="str">
        <f aca="false">IF($C246="","",IFERROR(INDEX(电梯片区,MATCH($E246,电梯键,0)),""))</f>
        <v/>
      </c>
      <c r="C246" s="24"/>
      <c r="D246" s="24"/>
      <c r="E246" s="30" t="str">
        <f aca="false">IF($C246="","",$C246&amp;" ｜ "&amp;$D246)</f>
        <v/>
      </c>
      <c r="F246" s="25"/>
      <c r="G246" s="25"/>
      <c r="H246" s="33"/>
      <c r="I246" s="33"/>
      <c r="J246" s="32"/>
      <c r="K246" s="38" t="str">
        <f aca="false">IF($C246="","",SUMIF(电梯键,$E246,电梯台量))</f>
        <v/>
      </c>
      <c r="L246" s="39"/>
      <c r="M246" s="25"/>
      <c r="N246" s="25"/>
      <c r="O246" s="38" t="str">
        <f aca="false">IF($C246="","",SUMIFS(电梯台量,电梯键,$E246,电梯状态,"安装免保")+SUMIFS(电梯台量,电梯键,$E246,电梯状态,"技术免保")+SUMIFS(电梯台量,电梯键,$E246,电梯状态,"质保期内"))</f>
        <v/>
      </c>
      <c r="P246" s="38" t="str">
        <f aca="false">IF($C246="","",$K246-$O246)</f>
        <v/>
      </c>
      <c r="Q246" s="34" t="str">
        <f aca="true">IF($C246="","",IF($G246="已终止","",IF($I246="","▲没填合同止期",IF($I246&lt;TODAY(),"已到期 "&amp;TEXT(TODAY()-$I246,"0")&amp;" 天",IF($I246-TODAY()&lt;=合同提醒天,"将到期 "&amp;TEXT($I246-TODAY(),"0")&amp;" 天","")))))</f>
        <v/>
      </c>
      <c r="R246" s="34" t="str">
        <f aca="false">IF($C246="","",IF($G246="","▲合同状态没选",IF(OR($G246="已签未回",$G246="未签",$G246="续签中"),"▲合同未回（"&amp;$G246&amp;"）","")))</f>
        <v/>
      </c>
      <c r="S246" s="35" t="str">
        <f aca="false">IF($C246="","",IF(N($J246)=N($K246),"一致","★合同"&amp;TEXT(N($J246),"0")&amp;"台 / 在册"&amp;TEXT(N($K246),"0")&amp;"台"))</f>
        <v/>
      </c>
      <c r="T246" s="40" t="str">
        <f aca="false">IF($C246="","",ROUND(SUMIFS(应收金额,应收键,$E246,应收年度,管理年度),2))</f>
        <v/>
      </c>
      <c r="U246" s="40" t="str">
        <f aca="false">IF($C246="","",ROUND(SUMIFS(收款金额,收款键,$E246,收款年度,管理年度),2))</f>
        <v/>
      </c>
      <c r="V246" s="41" t="str">
        <f aca="false">IF($C246="","",ROUND(SUMIF(应收键,$E246,应收金额)-SUMIF(收款键,$E246,收款金额),2))</f>
        <v/>
      </c>
      <c r="W246" s="24"/>
      <c r="X246" s="35" t="str">
        <f aca="false">IF($C246="","",IF($D246="","★项目名称没填",IF(COUNTIF($E$5:$E$304,$E246)&gt;1,"★键重复",IF(AND($H246&lt;&gt;"",$I246&lt;&gt;"",$I246&lt;$H246),"★合同起止反了",IF(N($K246)=0,"★电梯资料里没有这个项目","OK")))))</f>
        <v/>
      </c>
    </row>
    <row r="247" customFormat="false" ht="15" hidden="false" customHeight="false" outlineLevel="0" collapsed="false">
      <c r="A247" s="29" t="str">
        <f aca="false">IF($C247="","",ROW()-4)</f>
        <v/>
      </c>
      <c r="B247" s="35" t="str">
        <f aca="false">IF($C247="","",IFERROR(INDEX(电梯片区,MATCH($E247,电梯键,0)),""))</f>
        <v/>
      </c>
      <c r="C247" s="24"/>
      <c r="D247" s="24"/>
      <c r="E247" s="30" t="str">
        <f aca="false">IF($C247="","",$C247&amp;" ｜ "&amp;$D247)</f>
        <v/>
      </c>
      <c r="F247" s="25"/>
      <c r="G247" s="25"/>
      <c r="H247" s="33"/>
      <c r="I247" s="33"/>
      <c r="J247" s="32"/>
      <c r="K247" s="38" t="str">
        <f aca="false">IF($C247="","",SUMIF(电梯键,$E247,电梯台量))</f>
        <v/>
      </c>
      <c r="L247" s="39"/>
      <c r="M247" s="25"/>
      <c r="N247" s="25"/>
      <c r="O247" s="38" t="str">
        <f aca="false">IF($C247="","",SUMIFS(电梯台量,电梯键,$E247,电梯状态,"安装免保")+SUMIFS(电梯台量,电梯键,$E247,电梯状态,"技术免保")+SUMIFS(电梯台量,电梯键,$E247,电梯状态,"质保期内"))</f>
        <v/>
      </c>
      <c r="P247" s="38" t="str">
        <f aca="false">IF($C247="","",$K247-$O247)</f>
        <v/>
      </c>
      <c r="Q247" s="34" t="str">
        <f aca="true">IF($C247="","",IF($G247="已终止","",IF($I247="","▲没填合同止期",IF($I247&lt;TODAY(),"已到期 "&amp;TEXT(TODAY()-$I247,"0")&amp;" 天",IF($I247-TODAY()&lt;=合同提醒天,"将到期 "&amp;TEXT($I247-TODAY(),"0")&amp;" 天","")))))</f>
        <v/>
      </c>
      <c r="R247" s="34" t="str">
        <f aca="false">IF($C247="","",IF($G247="","▲合同状态没选",IF(OR($G247="已签未回",$G247="未签",$G247="续签中"),"▲合同未回（"&amp;$G247&amp;"）","")))</f>
        <v/>
      </c>
      <c r="S247" s="35" t="str">
        <f aca="false">IF($C247="","",IF(N($J247)=N($K247),"一致","★合同"&amp;TEXT(N($J247),"0")&amp;"台 / 在册"&amp;TEXT(N($K247),"0")&amp;"台"))</f>
        <v/>
      </c>
      <c r="T247" s="40" t="str">
        <f aca="false">IF($C247="","",ROUND(SUMIFS(应收金额,应收键,$E247,应收年度,管理年度),2))</f>
        <v/>
      </c>
      <c r="U247" s="40" t="str">
        <f aca="false">IF($C247="","",ROUND(SUMIFS(收款金额,收款键,$E247,收款年度,管理年度),2))</f>
        <v/>
      </c>
      <c r="V247" s="41" t="str">
        <f aca="false">IF($C247="","",ROUND(SUMIF(应收键,$E247,应收金额)-SUMIF(收款键,$E247,收款金额),2))</f>
        <v/>
      </c>
      <c r="W247" s="24"/>
      <c r="X247" s="35" t="str">
        <f aca="false">IF($C247="","",IF($D247="","★项目名称没填",IF(COUNTIF($E$5:$E$304,$E247)&gt;1,"★键重复",IF(AND($H247&lt;&gt;"",$I247&lt;&gt;"",$I247&lt;$H247),"★合同起止反了",IF(N($K247)=0,"★电梯资料里没有这个项目","OK")))))</f>
        <v/>
      </c>
    </row>
    <row r="248" customFormat="false" ht="15" hidden="false" customHeight="false" outlineLevel="0" collapsed="false">
      <c r="A248" s="29" t="str">
        <f aca="false">IF($C248="","",ROW()-4)</f>
        <v/>
      </c>
      <c r="B248" s="35" t="str">
        <f aca="false">IF($C248="","",IFERROR(INDEX(电梯片区,MATCH($E248,电梯键,0)),""))</f>
        <v/>
      </c>
      <c r="C248" s="24"/>
      <c r="D248" s="24"/>
      <c r="E248" s="30" t="str">
        <f aca="false">IF($C248="","",$C248&amp;" ｜ "&amp;$D248)</f>
        <v/>
      </c>
      <c r="F248" s="25"/>
      <c r="G248" s="25"/>
      <c r="H248" s="33"/>
      <c r="I248" s="33"/>
      <c r="J248" s="32"/>
      <c r="K248" s="38" t="str">
        <f aca="false">IF($C248="","",SUMIF(电梯键,$E248,电梯台量))</f>
        <v/>
      </c>
      <c r="L248" s="39"/>
      <c r="M248" s="25"/>
      <c r="N248" s="25"/>
      <c r="O248" s="38" t="str">
        <f aca="false">IF($C248="","",SUMIFS(电梯台量,电梯键,$E248,电梯状态,"安装免保")+SUMIFS(电梯台量,电梯键,$E248,电梯状态,"技术免保")+SUMIFS(电梯台量,电梯键,$E248,电梯状态,"质保期内"))</f>
        <v/>
      </c>
      <c r="P248" s="38" t="str">
        <f aca="false">IF($C248="","",$K248-$O248)</f>
        <v/>
      </c>
      <c r="Q248" s="34" t="str">
        <f aca="true">IF($C248="","",IF($G248="已终止","",IF($I248="","▲没填合同止期",IF($I248&lt;TODAY(),"已到期 "&amp;TEXT(TODAY()-$I248,"0")&amp;" 天",IF($I248-TODAY()&lt;=合同提醒天,"将到期 "&amp;TEXT($I248-TODAY(),"0")&amp;" 天","")))))</f>
        <v/>
      </c>
      <c r="R248" s="34" t="str">
        <f aca="false">IF($C248="","",IF($G248="","▲合同状态没选",IF(OR($G248="已签未回",$G248="未签",$G248="续签中"),"▲合同未回（"&amp;$G248&amp;"）","")))</f>
        <v/>
      </c>
      <c r="S248" s="35" t="str">
        <f aca="false">IF($C248="","",IF(N($J248)=N($K248),"一致","★合同"&amp;TEXT(N($J248),"0")&amp;"台 / 在册"&amp;TEXT(N($K248),"0")&amp;"台"))</f>
        <v/>
      </c>
      <c r="T248" s="40" t="str">
        <f aca="false">IF($C248="","",ROUND(SUMIFS(应收金额,应收键,$E248,应收年度,管理年度),2))</f>
        <v/>
      </c>
      <c r="U248" s="40" t="str">
        <f aca="false">IF($C248="","",ROUND(SUMIFS(收款金额,收款键,$E248,收款年度,管理年度),2))</f>
        <v/>
      </c>
      <c r="V248" s="41" t="str">
        <f aca="false">IF($C248="","",ROUND(SUMIF(应收键,$E248,应收金额)-SUMIF(收款键,$E248,收款金额),2))</f>
        <v/>
      </c>
      <c r="W248" s="24"/>
      <c r="X248" s="35" t="str">
        <f aca="false">IF($C248="","",IF($D248="","★项目名称没填",IF(COUNTIF($E$5:$E$304,$E248)&gt;1,"★键重复",IF(AND($H248&lt;&gt;"",$I248&lt;&gt;"",$I248&lt;$H248),"★合同起止反了",IF(N($K248)=0,"★电梯资料里没有这个项目","OK")))))</f>
        <v/>
      </c>
    </row>
    <row r="249" customFormat="false" ht="15" hidden="false" customHeight="false" outlineLevel="0" collapsed="false">
      <c r="A249" s="29" t="str">
        <f aca="false">IF($C249="","",ROW()-4)</f>
        <v/>
      </c>
      <c r="B249" s="35" t="str">
        <f aca="false">IF($C249="","",IFERROR(INDEX(电梯片区,MATCH($E249,电梯键,0)),""))</f>
        <v/>
      </c>
      <c r="C249" s="24"/>
      <c r="D249" s="24"/>
      <c r="E249" s="30" t="str">
        <f aca="false">IF($C249="","",$C249&amp;" ｜ "&amp;$D249)</f>
        <v/>
      </c>
      <c r="F249" s="25"/>
      <c r="G249" s="25"/>
      <c r="H249" s="33"/>
      <c r="I249" s="33"/>
      <c r="J249" s="32"/>
      <c r="K249" s="38" t="str">
        <f aca="false">IF($C249="","",SUMIF(电梯键,$E249,电梯台量))</f>
        <v/>
      </c>
      <c r="L249" s="39"/>
      <c r="M249" s="25"/>
      <c r="N249" s="25"/>
      <c r="O249" s="38" t="str">
        <f aca="false">IF($C249="","",SUMIFS(电梯台量,电梯键,$E249,电梯状态,"安装免保")+SUMIFS(电梯台量,电梯键,$E249,电梯状态,"技术免保")+SUMIFS(电梯台量,电梯键,$E249,电梯状态,"质保期内"))</f>
        <v/>
      </c>
      <c r="P249" s="38" t="str">
        <f aca="false">IF($C249="","",$K249-$O249)</f>
        <v/>
      </c>
      <c r="Q249" s="34" t="str">
        <f aca="true">IF($C249="","",IF($G249="已终止","",IF($I249="","▲没填合同止期",IF($I249&lt;TODAY(),"已到期 "&amp;TEXT(TODAY()-$I249,"0")&amp;" 天",IF($I249-TODAY()&lt;=合同提醒天,"将到期 "&amp;TEXT($I249-TODAY(),"0")&amp;" 天","")))))</f>
        <v/>
      </c>
      <c r="R249" s="34" t="str">
        <f aca="false">IF($C249="","",IF($G249="","▲合同状态没选",IF(OR($G249="已签未回",$G249="未签",$G249="续签中"),"▲合同未回（"&amp;$G249&amp;"）","")))</f>
        <v/>
      </c>
      <c r="S249" s="35" t="str">
        <f aca="false">IF($C249="","",IF(N($J249)=N($K249),"一致","★合同"&amp;TEXT(N($J249),"0")&amp;"台 / 在册"&amp;TEXT(N($K249),"0")&amp;"台"))</f>
        <v/>
      </c>
      <c r="T249" s="40" t="str">
        <f aca="false">IF($C249="","",ROUND(SUMIFS(应收金额,应收键,$E249,应收年度,管理年度),2))</f>
        <v/>
      </c>
      <c r="U249" s="40" t="str">
        <f aca="false">IF($C249="","",ROUND(SUMIFS(收款金额,收款键,$E249,收款年度,管理年度),2))</f>
        <v/>
      </c>
      <c r="V249" s="41" t="str">
        <f aca="false">IF($C249="","",ROUND(SUMIF(应收键,$E249,应收金额)-SUMIF(收款键,$E249,收款金额),2))</f>
        <v/>
      </c>
      <c r="W249" s="24"/>
      <c r="X249" s="35" t="str">
        <f aca="false">IF($C249="","",IF($D249="","★项目名称没填",IF(COUNTIF($E$5:$E$304,$E249)&gt;1,"★键重复",IF(AND($H249&lt;&gt;"",$I249&lt;&gt;"",$I249&lt;$H249),"★合同起止反了",IF(N($K249)=0,"★电梯资料里没有这个项目","OK")))))</f>
        <v/>
      </c>
    </row>
    <row r="250" customFormat="false" ht="15" hidden="false" customHeight="false" outlineLevel="0" collapsed="false">
      <c r="A250" s="29" t="str">
        <f aca="false">IF($C250="","",ROW()-4)</f>
        <v/>
      </c>
      <c r="B250" s="35" t="str">
        <f aca="false">IF($C250="","",IFERROR(INDEX(电梯片区,MATCH($E250,电梯键,0)),""))</f>
        <v/>
      </c>
      <c r="C250" s="24"/>
      <c r="D250" s="24"/>
      <c r="E250" s="30" t="str">
        <f aca="false">IF($C250="","",$C250&amp;" ｜ "&amp;$D250)</f>
        <v/>
      </c>
      <c r="F250" s="25"/>
      <c r="G250" s="25"/>
      <c r="H250" s="33"/>
      <c r="I250" s="33"/>
      <c r="J250" s="32"/>
      <c r="K250" s="38" t="str">
        <f aca="false">IF($C250="","",SUMIF(电梯键,$E250,电梯台量))</f>
        <v/>
      </c>
      <c r="L250" s="39"/>
      <c r="M250" s="25"/>
      <c r="N250" s="25"/>
      <c r="O250" s="38" t="str">
        <f aca="false">IF($C250="","",SUMIFS(电梯台量,电梯键,$E250,电梯状态,"安装免保")+SUMIFS(电梯台量,电梯键,$E250,电梯状态,"技术免保")+SUMIFS(电梯台量,电梯键,$E250,电梯状态,"质保期内"))</f>
        <v/>
      </c>
      <c r="P250" s="38" t="str">
        <f aca="false">IF($C250="","",$K250-$O250)</f>
        <v/>
      </c>
      <c r="Q250" s="34" t="str">
        <f aca="true">IF($C250="","",IF($G250="已终止","",IF($I250="","▲没填合同止期",IF($I250&lt;TODAY(),"已到期 "&amp;TEXT(TODAY()-$I250,"0")&amp;" 天",IF($I250-TODAY()&lt;=合同提醒天,"将到期 "&amp;TEXT($I250-TODAY(),"0")&amp;" 天","")))))</f>
        <v/>
      </c>
      <c r="R250" s="34" t="str">
        <f aca="false">IF($C250="","",IF($G250="","▲合同状态没选",IF(OR($G250="已签未回",$G250="未签",$G250="续签中"),"▲合同未回（"&amp;$G250&amp;"）","")))</f>
        <v/>
      </c>
      <c r="S250" s="35" t="str">
        <f aca="false">IF($C250="","",IF(N($J250)=N($K250),"一致","★合同"&amp;TEXT(N($J250),"0")&amp;"台 / 在册"&amp;TEXT(N($K250),"0")&amp;"台"))</f>
        <v/>
      </c>
      <c r="T250" s="40" t="str">
        <f aca="false">IF($C250="","",ROUND(SUMIFS(应收金额,应收键,$E250,应收年度,管理年度),2))</f>
        <v/>
      </c>
      <c r="U250" s="40" t="str">
        <f aca="false">IF($C250="","",ROUND(SUMIFS(收款金额,收款键,$E250,收款年度,管理年度),2))</f>
        <v/>
      </c>
      <c r="V250" s="41" t="str">
        <f aca="false">IF($C250="","",ROUND(SUMIF(应收键,$E250,应收金额)-SUMIF(收款键,$E250,收款金额),2))</f>
        <v/>
      </c>
      <c r="W250" s="24"/>
      <c r="X250" s="35" t="str">
        <f aca="false">IF($C250="","",IF($D250="","★项目名称没填",IF(COUNTIF($E$5:$E$304,$E250)&gt;1,"★键重复",IF(AND($H250&lt;&gt;"",$I250&lt;&gt;"",$I250&lt;$H250),"★合同起止反了",IF(N($K250)=0,"★电梯资料里没有这个项目","OK")))))</f>
        <v/>
      </c>
    </row>
    <row r="251" customFormat="false" ht="15" hidden="false" customHeight="false" outlineLevel="0" collapsed="false">
      <c r="A251" s="29" t="str">
        <f aca="false">IF($C251="","",ROW()-4)</f>
        <v/>
      </c>
      <c r="B251" s="35" t="str">
        <f aca="false">IF($C251="","",IFERROR(INDEX(电梯片区,MATCH($E251,电梯键,0)),""))</f>
        <v/>
      </c>
      <c r="C251" s="24"/>
      <c r="D251" s="24"/>
      <c r="E251" s="30" t="str">
        <f aca="false">IF($C251="","",$C251&amp;" ｜ "&amp;$D251)</f>
        <v/>
      </c>
      <c r="F251" s="25"/>
      <c r="G251" s="25"/>
      <c r="H251" s="33"/>
      <c r="I251" s="33"/>
      <c r="J251" s="32"/>
      <c r="K251" s="38" t="str">
        <f aca="false">IF($C251="","",SUMIF(电梯键,$E251,电梯台量))</f>
        <v/>
      </c>
      <c r="L251" s="39"/>
      <c r="M251" s="25"/>
      <c r="N251" s="25"/>
      <c r="O251" s="38" t="str">
        <f aca="false">IF($C251="","",SUMIFS(电梯台量,电梯键,$E251,电梯状态,"安装免保")+SUMIFS(电梯台量,电梯键,$E251,电梯状态,"技术免保")+SUMIFS(电梯台量,电梯键,$E251,电梯状态,"质保期内"))</f>
        <v/>
      </c>
      <c r="P251" s="38" t="str">
        <f aca="false">IF($C251="","",$K251-$O251)</f>
        <v/>
      </c>
      <c r="Q251" s="34" t="str">
        <f aca="true">IF($C251="","",IF($G251="已终止","",IF($I251="","▲没填合同止期",IF($I251&lt;TODAY(),"已到期 "&amp;TEXT(TODAY()-$I251,"0")&amp;" 天",IF($I251-TODAY()&lt;=合同提醒天,"将到期 "&amp;TEXT($I251-TODAY(),"0")&amp;" 天","")))))</f>
        <v/>
      </c>
      <c r="R251" s="34" t="str">
        <f aca="false">IF($C251="","",IF($G251="","▲合同状态没选",IF(OR($G251="已签未回",$G251="未签",$G251="续签中"),"▲合同未回（"&amp;$G251&amp;"）","")))</f>
        <v/>
      </c>
      <c r="S251" s="35" t="str">
        <f aca="false">IF($C251="","",IF(N($J251)=N($K251),"一致","★合同"&amp;TEXT(N($J251),"0")&amp;"台 / 在册"&amp;TEXT(N($K251),"0")&amp;"台"))</f>
        <v/>
      </c>
      <c r="T251" s="40" t="str">
        <f aca="false">IF($C251="","",ROUND(SUMIFS(应收金额,应收键,$E251,应收年度,管理年度),2))</f>
        <v/>
      </c>
      <c r="U251" s="40" t="str">
        <f aca="false">IF($C251="","",ROUND(SUMIFS(收款金额,收款键,$E251,收款年度,管理年度),2))</f>
        <v/>
      </c>
      <c r="V251" s="41" t="str">
        <f aca="false">IF($C251="","",ROUND(SUMIF(应收键,$E251,应收金额)-SUMIF(收款键,$E251,收款金额),2))</f>
        <v/>
      </c>
      <c r="W251" s="24"/>
      <c r="X251" s="35" t="str">
        <f aca="false">IF($C251="","",IF($D251="","★项目名称没填",IF(COUNTIF($E$5:$E$304,$E251)&gt;1,"★键重复",IF(AND($H251&lt;&gt;"",$I251&lt;&gt;"",$I251&lt;$H251),"★合同起止反了",IF(N($K251)=0,"★电梯资料里没有这个项目","OK")))))</f>
        <v/>
      </c>
    </row>
    <row r="252" customFormat="false" ht="15" hidden="false" customHeight="false" outlineLevel="0" collapsed="false">
      <c r="A252" s="29" t="str">
        <f aca="false">IF($C252="","",ROW()-4)</f>
        <v/>
      </c>
      <c r="B252" s="35" t="str">
        <f aca="false">IF($C252="","",IFERROR(INDEX(电梯片区,MATCH($E252,电梯键,0)),""))</f>
        <v/>
      </c>
      <c r="C252" s="24"/>
      <c r="D252" s="24"/>
      <c r="E252" s="30" t="str">
        <f aca="false">IF($C252="","",$C252&amp;" ｜ "&amp;$D252)</f>
        <v/>
      </c>
      <c r="F252" s="25"/>
      <c r="G252" s="25"/>
      <c r="H252" s="33"/>
      <c r="I252" s="33"/>
      <c r="J252" s="32"/>
      <c r="K252" s="38" t="str">
        <f aca="false">IF($C252="","",SUMIF(电梯键,$E252,电梯台量))</f>
        <v/>
      </c>
      <c r="L252" s="39"/>
      <c r="M252" s="25"/>
      <c r="N252" s="25"/>
      <c r="O252" s="38" t="str">
        <f aca="false">IF($C252="","",SUMIFS(电梯台量,电梯键,$E252,电梯状态,"安装免保")+SUMIFS(电梯台量,电梯键,$E252,电梯状态,"技术免保")+SUMIFS(电梯台量,电梯键,$E252,电梯状态,"质保期内"))</f>
        <v/>
      </c>
      <c r="P252" s="38" t="str">
        <f aca="false">IF($C252="","",$K252-$O252)</f>
        <v/>
      </c>
      <c r="Q252" s="34" t="str">
        <f aca="true">IF($C252="","",IF($G252="已终止","",IF($I252="","▲没填合同止期",IF($I252&lt;TODAY(),"已到期 "&amp;TEXT(TODAY()-$I252,"0")&amp;" 天",IF($I252-TODAY()&lt;=合同提醒天,"将到期 "&amp;TEXT($I252-TODAY(),"0")&amp;" 天","")))))</f>
        <v/>
      </c>
      <c r="R252" s="34" t="str">
        <f aca="false">IF($C252="","",IF($G252="","▲合同状态没选",IF(OR($G252="已签未回",$G252="未签",$G252="续签中"),"▲合同未回（"&amp;$G252&amp;"）","")))</f>
        <v/>
      </c>
      <c r="S252" s="35" t="str">
        <f aca="false">IF($C252="","",IF(N($J252)=N($K252),"一致","★合同"&amp;TEXT(N($J252),"0")&amp;"台 / 在册"&amp;TEXT(N($K252),"0")&amp;"台"))</f>
        <v/>
      </c>
      <c r="T252" s="40" t="str">
        <f aca="false">IF($C252="","",ROUND(SUMIFS(应收金额,应收键,$E252,应收年度,管理年度),2))</f>
        <v/>
      </c>
      <c r="U252" s="40" t="str">
        <f aca="false">IF($C252="","",ROUND(SUMIFS(收款金额,收款键,$E252,收款年度,管理年度),2))</f>
        <v/>
      </c>
      <c r="V252" s="41" t="str">
        <f aca="false">IF($C252="","",ROUND(SUMIF(应收键,$E252,应收金额)-SUMIF(收款键,$E252,收款金额),2))</f>
        <v/>
      </c>
      <c r="W252" s="24"/>
      <c r="X252" s="35" t="str">
        <f aca="false">IF($C252="","",IF($D252="","★项目名称没填",IF(COUNTIF($E$5:$E$304,$E252)&gt;1,"★键重复",IF(AND($H252&lt;&gt;"",$I252&lt;&gt;"",$I252&lt;$H252),"★合同起止反了",IF(N($K252)=0,"★电梯资料里没有这个项目","OK")))))</f>
        <v/>
      </c>
    </row>
    <row r="253" customFormat="false" ht="15" hidden="false" customHeight="false" outlineLevel="0" collapsed="false">
      <c r="A253" s="29" t="str">
        <f aca="false">IF($C253="","",ROW()-4)</f>
        <v/>
      </c>
      <c r="B253" s="35" t="str">
        <f aca="false">IF($C253="","",IFERROR(INDEX(电梯片区,MATCH($E253,电梯键,0)),""))</f>
        <v/>
      </c>
      <c r="C253" s="24"/>
      <c r="D253" s="24"/>
      <c r="E253" s="30" t="str">
        <f aca="false">IF($C253="","",$C253&amp;" ｜ "&amp;$D253)</f>
        <v/>
      </c>
      <c r="F253" s="25"/>
      <c r="G253" s="25"/>
      <c r="H253" s="33"/>
      <c r="I253" s="33"/>
      <c r="J253" s="32"/>
      <c r="K253" s="38" t="str">
        <f aca="false">IF($C253="","",SUMIF(电梯键,$E253,电梯台量))</f>
        <v/>
      </c>
      <c r="L253" s="39"/>
      <c r="M253" s="25"/>
      <c r="N253" s="25"/>
      <c r="O253" s="38" t="str">
        <f aca="false">IF($C253="","",SUMIFS(电梯台量,电梯键,$E253,电梯状态,"安装免保")+SUMIFS(电梯台量,电梯键,$E253,电梯状态,"技术免保")+SUMIFS(电梯台量,电梯键,$E253,电梯状态,"质保期内"))</f>
        <v/>
      </c>
      <c r="P253" s="38" t="str">
        <f aca="false">IF($C253="","",$K253-$O253)</f>
        <v/>
      </c>
      <c r="Q253" s="34" t="str">
        <f aca="true">IF($C253="","",IF($G253="已终止","",IF($I253="","▲没填合同止期",IF($I253&lt;TODAY(),"已到期 "&amp;TEXT(TODAY()-$I253,"0")&amp;" 天",IF($I253-TODAY()&lt;=合同提醒天,"将到期 "&amp;TEXT($I253-TODAY(),"0")&amp;" 天","")))))</f>
        <v/>
      </c>
      <c r="R253" s="34" t="str">
        <f aca="false">IF($C253="","",IF($G253="","▲合同状态没选",IF(OR($G253="已签未回",$G253="未签",$G253="续签中"),"▲合同未回（"&amp;$G253&amp;"）","")))</f>
        <v/>
      </c>
      <c r="S253" s="35" t="str">
        <f aca="false">IF($C253="","",IF(N($J253)=N($K253),"一致","★合同"&amp;TEXT(N($J253),"0")&amp;"台 / 在册"&amp;TEXT(N($K253),"0")&amp;"台"))</f>
        <v/>
      </c>
      <c r="T253" s="40" t="str">
        <f aca="false">IF($C253="","",ROUND(SUMIFS(应收金额,应收键,$E253,应收年度,管理年度),2))</f>
        <v/>
      </c>
      <c r="U253" s="40" t="str">
        <f aca="false">IF($C253="","",ROUND(SUMIFS(收款金额,收款键,$E253,收款年度,管理年度),2))</f>
        <v/>
      </c>
      <c r="V253" s="41" t="str">
        <f aca="false">IF($C253="","",ROUND(SUMIF(应收键,$E253,应收金额)-SUMIF(收款键,$E253,收款金额),2))</f>
        <v/>
      </c>
      <c r="W253" s="24"/>
      <c r="X253" s="35" t="str">
        <f aca="false">IF($C253="","",IF($D253="","★项目名称没填",IF(COUNTIF($E$5:$E$304,$E253)&gt;1,"★键重复",IF(AND($H253&lt;&gt;"",$I253&lt;&gt;"",$I253&lt;$H253),"★合同起止反了",IF(N($K253)=0,"★电梯资料里没有这个项目","OK")))))</f>
        <v/>
      </c>
    </row>
    <row r="254" customFormat="false" ht="15" hidden="false" customHeight="false" outlineLevel="0" collapsed="false">
      <c r="A254" s="29" t="str">
        <f aca="false">IF($C254="","",ROW()-4)</f>
        <v/>
      </c>
      <c r="B254" s="35" t="str">
        <f aca="false">IF($C254="","",IFERROR(INDEX(电梯片区,MATCH($E254,电梯键,0)),""))</f>
        <v/>
      </c>
      <c r="C254" s="24"/>
      <c r="D254" s="24"/>
      <c r="E254" s="30" t="str">
        <f aca="false">IF($C254="","",$C254&amp;" ｜ "&amp;$D254)</f>
        <v/>
      </c>
      <c r="F254" s="25"/>
      <c r="G254" s="25"/>
      <c r="H254" s="33"/>
      <c r="I254" s="33"/>
      <c r="J254" s="32"/>
      <c r="K254" s="38" t="str">
        <f aca="false">IF($C254="","",SUMIF(电梯键,$E254,电梯台量))</f>
        <v/>
      </c>
      <c r="L254" s="39"/>
      <c r="M254" s="25"/>
      <c r="N254" s="25"/>
      <c r="O254" s="38" t="str">
        <f aca="false">IF($C254="","",SUMIFS(电梯台量,电梯键,$E254,电梯状态,"安装免保")+SUMIFS(电梯台量,电梯键,$E254,电梯状态,"技术免保")+SUMIFS(电梯台量,电梯键,$E254,电梯状态,"质保期内"))</f>
        <v/>
      </c>
      <c r="P254" s="38" t="str">
        <f aca="false">IF($C254="","",$K254-$O254)</f>
        <v/>
      </c>
      <c r="Q254" s="34" t="str">
        <f aca="true">IF($C254="","",IF($G254="已终止","",IF($I254="","▲没填合同止期",IF($I254&lt;TODAY(),"已到期 "&amp;TEXT(TODAY()-$I254,"0")&amp;" 天",IF($I254-TODAY()&lt;=合同提醒天,"将到期 "&amp;TEXT($I254-TODAY(),"0")&amp;" 天","")))))</f>
        <v/>
      </c>
      <c r="R254" s="34" t="str">
        <f aca="false">IF($C254="","",IF($G254="","▲合同状态没选",IF(OR($G254="已签未回",$G254="未签",$G254="续签中"),"▲合同未回（"&amp;$G254&amp;"）","")))</f>
        <v/>
      </c>
      <c r="S254" s="35" t="str">
        <f aca="false">IF($C254="","",IF(N($J254)=N($K254),"一致","★合同"&amp;TEXT(N($J254),"0")&amp;"台 / 在册"&amp;TEXT(N($K254),"0")&amp;"台"))</f>
        <v/>
      </c>
      <c r="T254" s="40" t="str">
        <f aca="false">IF($C254="","",ROUND(SUMIFS(应收金额,应收键,$E254,应收年度,管理年度),2))</f>
        <v/>
      </c>
      <c r="U254" s="40" t="str">
        <f aca="false">IF($C254="","",ROUND(SUMIFS(收款金额,收款键,$E254,收款年度,管理年度),2))</f>
        <v/>
      </c>
      <c r="V254" s="41" t="str">
        <f aca="false">IF($C254="","",ROUND(SUMIF(应收键,$E254,应收金额)-SUMIF(收款键,$E254,收款金额),2))</f>
        <v/>
      </c>
      <c r="W254" s="24"/>
      <c r="X254" s="35" t="str">
        <f aca="false">IF($C254="","",IF($D254="","★项目名称没填",IF(COUNTIF($E$5:$E$304,$E254)&gt;1,"★键重复",IF(AND($H254&lt;&gt;"",$I254&lt;&gt;"",$I254&lt;$H254),"★合同起止反了",IF(N($K254)=0,"★电梯资料里没有这个项目","OK")))))</f>
        <v/>
      </c>
    </row>
    <row r="255" customFormat="false" ht="15" hidden="false" customHeight="false" outlineLevel="0" collapsed="false">
      <c r="A255" s="29" t="str">
        <f aca="false">IF($C255="","",ROW()-4)</f>
        <v/>
      </c>
      <c r="B255" s="35" t="str">
        <f aca="false">IF($C255="","",IFERROR(INDEX(电梯片区,MATCH($E255,电梯键,0)),""))</f>
        <v/>
      </c>
      <c r="C255" s="24"/>
      <c r="D255" s="24"/>
      <c r="E255" s="30" t="str">
        <f aca="false">IF($C255="","",$C255&amp;" ｜ "&amp;$D255)</f>
        <v/>
      </c>
      <c r="F255" s="25"/>
      <c r="G255" s="25"/>
      <c r="H255" s="33"/>
      <c r="I255" s="33"/>
      <c r="J255" s="32"/>
      <c r="K255" s="38" t="str">
        <f aca="false">IF($C255="","",SUMIF(电梯键,$E255,电梯台量))</f>
        <v/>
      </c>
      <c r="L255" s="39"/>
      <c r="M255" s="25"/>
      <c r="N255" s="25"/>
      <c r="O255" s="38" t="str">
        <f aca="false">IF($C255="","",SUMIFS(电梯台量,电梯键,$E255,电梯状态,"安装免保")+SUMIFS(电梯台量,电梯键,$E255,电梯状态,"技术免保")+SUMIFS(电梯台量,电梯键,$E255,电梯状态,"质保期内"))</f>
        <v/>
      </c>
      <c r="P255" s="38" t="str">
        <f aca="false">IF($C255="","",$K255-$O255)</f>
        <v/>
      </c>
      <c r="Q255" s="34" t="str">
        <f aca="true">IF($C255="","",IF($G255="已终止","",IF($I255="","▲没填合同止期",IF($I255&lt;TODAY(),"已到期 "&amp;TEXT(TODAY()-$I255,"0")&amp;" 天",IF($I255-TODAY()&lt;=合同提醒天,"将到期 "&amp;TEXT($I255-TODAY(),"0")&amp;" 天","")))))</f>
        <v/>
      </c>
      <c r="R255" s="34" t="str">
        <f aca="false">IF($C255="","",IF($G255="","▲合同状态没选",IF(OR($G255="已签未回",$G255="未签",$G255="续签中"),"▲合同未回（"&amp;$G255&amp;"）","")))</f>
        <v/>
      </c>
      <c r="S255" s="35" t="str">
        <f aca="false">IF($C255="","",IF(N($J255)=N($K255),"一致","★合同"&amp;TEXT(N($J255),"0")&amp;"台 / 在册"&amp;TEXT(N($K255),"0")&amp;"台"))</f>
        <v/>
      </c>
      <c r="T255" s="40" t="str">
        <f aca="false">IF($C255="","",ROUND(SUMIFS(应收金额,应收键,$E255,应收年度,管理年度),2))</f>
        <v/>
      </c>
      <c r="U255" s="40" t="str">
        <f aca="false">IF($C255="","",ROUND(SUMIFS(收款金额,收款键,$E255,收款年度,管理年度),2))</f>
        <v/>
      </c>
      <c r="V255" s="41" t="str">
        <f aca="false">IF($C255="","",ROUND(SUMIF(应收键,$E255,应收金额)-SUMIF(收款键,$E255,收款金额),2))</f>
        <v/>
      </c>
      <c r="W255" s="24"/>
      <c r="X255" s="35" t="str">
        <f aca="false">IF($C255="","",IF($D255="","★项目名称没填",IF(COUNTIF($E$5:$E$304,$E255)&gt;1,"★键重复",IF(AND($H255&lt;&gt;"",$I255&lt;&gt;"",$I255&lt;$H255),"★合同起止反了",IF(N($K255)=0,"★电梯资料里没有这个项目","OK")))))</f>
        <v/>
      </c>
    </row>
    <row r="256" customFormat="false" ht="15" hidden="false" customHeight="false" outlineLevel="0" collapsed="false">
      <c r="A256" s="29" t="str">
        <f aca="false">IF($C256="","",ROW()-4)</f>
        <v/>
      </c>
      <c r="B256" s="35" t="str">
        <f aca="false">IF($C256="","",IFERROR(INDEX(电梯片区,MATCH($E256,电梯键,0)),""))</f>
        <v/>
      </c>
      <c r="C256" s="24"/>
      <c r="D256" s="24"/>
      <c r="E256" s="30" t="str">
        <f aca="false">IF($C256="","",$C256&amp;" ｜ "&amp;$D256)</f>
        <v/>
      </c>
      <c r="F256" s="25"/>
      <c r="G256" s="25"/>
      <c r="H256" s="33"/>
      <c r="I256" s="33"/>
      <c r="J256" s="32"/>
      <c r="K256" s="38" t="str">
        <f aca="false">IF($C256="","",SUMIF(电梯键,$E256,电梯台量))</f>
        <v/>
      </c>
      <c r="L256" s="39"/>
      <c r="M256" s="25"/>
      <c r="N256" s="25"/>
      <c r="O256" s="38" t="str">
        <f aca="false">IF($C256="","",SUMIFS(电梯台量,电梯键,$E256,电梯状态,"安装免保")+SUMIFS(电梯台量,电梯键,$E256,电梯状态,"技术免保")+SUMIFS(电梯台量,电梯键,$E256,电梯状态,"质保期内"))</f>
        <v/>
      </c>
      <c r="P256" s="38" t="str">
        <f aca="false">IF($C256="","",$K256-$O256)</f>
        <v/>
      </c>
      <c r="Q256" s="34" t="str">
        <f aca="true">IF($C256="","",IF($G256="已终止","",IF($I256="","▲没填合同止期",IF($I256&lt;TODAY(),"已到期 "&amp;TEXT(TODAY()-$I256,"0")&amp;" 天",IF($I256-TODAY()&lt;=合同提醒天,"将到期 "&amp;TEXT($I256-TODAY(),"0")&amp;" 天","")))))</f>
        <v/>
      </c>
      <c r="R256" s="34" t="str">
        <f aca="false">IF($C256="","",IF($G256="","▲合同状态没选",IF(OR($G256="已签未回",$G256="未签",$G256="续签中"),"▲合同未回（"&amp;$G256&amp;"）","")))</f>
        <v/>
      </c>
      <c r="S256" s="35" t="str">
        <f aca="false">IF($C256="","",IF(N($J256)=N($K256),"一致","★合同"&amp;TEXT(N($J256),"0")&amp;"台 / 在册"&amp;TEXT(N($K256),"0")&amp;"台"))</f>
        <v/>
      </c>
      <c r="T256" s="40" t="str">
        <f aca="false">IF($C256="","",ROUND(SUMIFS(应收金额,应收键,$E256,应收年度,管理年度),2))</f>
        <v/>
      </c>
      <c r="U256" s="40" t="str">
        <f aca="false">IF($C256="","",ROUND(SUMIFS(收款金额,收款键,$E256,收款年度,管理年度),2))</f>
        <v/>
      </c>
      <c r="V256" s="41" t="str">
        <f aca="false">IF($C256="","",ROUND(SUMIF(应收键,$E256,应收金额)-SUMIF(收款键,$E256,收款金额),2))</f>
        <v/>
      </c>
      <c r="W256" s="24"/>
      <c r="X256" s="35" t="str">
        <f aca="false">IF($C256="","",IF($D256="","★项目名称没填",IF(COUNTIF($E$5:$E$304,$E256)&gt;1,"★键重复",IF(AND($H256&lt;&gt;"",$I256&lt;&gt;"",$I256&lt;$H256),"★合同起止反了",IF(N($K256)=0,"★电梯资料里没有这个项目","OK")))))</f>
        <v/>
      </c>
    </row>
    <row r="257" customFormat="false" ht="15" hidden="false" customHeight="false" outlineLevel="0" collapsed="false">
      <c r="A257" s="29" t="str">
        <f aca="false">IF($C257="","",ROW()-4)</f>
        <v/>
      </c>
      <c r="B257" s="35" t="str">
        <f aca="false">IF($C257="","",IFERROR(INDEX(电梯片区,MATCH($E257,电梯键,0)),""))</f>
        <v/>
      </c>
      <c r="C257" s="24"/>
      <c r="D257" s="24"/>
      <c r="E257" s="30" t="str">
        <f aca="false">IF($C257="","",$C257&amp;" ｜ "&amp;$D257)</f>
        <v/>
      </c>
      <c r="F257" s="25"/>
      <c r="G257" s="25"/>
      <c r="H257" s="33"/>
      <c r="I257" s="33"/>
      <c r="J257" s="32"/>
      <c r="K257" s="38" t="str">
        <f aca="false">IF($C257="","",SUMIF(电梯键,$E257,电梯台量))</f>
        <v/>
      </c>
      <c r="L257" s="39"/>
      <c r="M257" s="25"/>
      <c r="N257" s="25"/>
      <c r="O257" s="38" t="str">
        <f aca="false">IF($C257="","",SUMIFS(电梯台量,电梯键,$E257,电梯状态,"安装免保")+SUMIFS(电梯台量,电梯键,$E257,电梯状态,"技术免保")+SUMIFS(电梯台量,电梯键,$E257,电梯状态,"质保期内"))</f>
        <v/>
      </c>
      <c r="P257" s="38" t="str">
        <f aca="false">IF($C257="","",$K257-$O257)</f>
        <v/>
      </c>
      <c r="Q257" s="34" t="str">
        <f aca="true">IF($C257="","",IF($G257="已终止","",IF($I257="","▲没填合同止期",IF($I257&lt;TODAY(),"已到期 "&amp;TEXT(TODAY()-$I257,"0")&amp;" 天",IF($I257-TODAY()&lt;=合同提醒天,"将到期 "&amp;TEXT($I257-TODAY(),"0")&amp;" 天","")))))</f>
        <v/>
      </c>
      <c r="R257" s="34" t="str">
        <f aca="false">IF($C257="","",IF($G257="","▲合同状态没选",IF(OR($G257="已签未回",$G257="未签",$G257="续签中"),"▲合同未回（"&amp;$G257&amp;"）","")))</f>
        <v/>
      </c>
      <c r="S257" s="35" t="str">
        <f aca="false">IF($C257="","",IF(N($J257)=N($K257),"一致","★合同"&amp;TEXT(N($J257),"0")&amp;"台 / 在册"&amp;TEXT(N($K257),"0")&amp;"台"))</f>
        <v/>
      </c>
      <c r="T257" s="40" t="str">
        <f aca="false">IF($C257="","",ROUND(SUMIFS(应收金额,应收键,$E257,应收年度,管理年度),2))</f>
        <v/>
      </c>
      <c r="U257" s="40" t="str">
        <f aca="false">IF($C257="","",ROUND(SUMIFS(收款金额,收款键,$E257,收款年度,管理年度),2))</f>
        <v/>
      </c>
      <c r="V257" s="41" t="str">
        <f aca="false">IF($C257="","",ROUND(SUMIF(应收键,$E257,应收金额)-SUMIF(收款键,$E257,收款金额),2))</f>
        <v/>
      </c>
      <c r="W257" s="24"/>
      <c r="X257" s="35" t="str">
        <f aca="false">IF($C257="","",IF($D257="","★项目名称没填",IF(COUNTIF($E$5:$E$304,$E257)&gt;1,"★键重复",IF(AND($H257&lt;&gt;"",$I257&lt;&gt;"",$I257&lt;$H257),"★合同起止反了",IF(N($K257)=0,"★电梯资料里没有这个项目","OK")))))</f>
        <v/>
      </c>
    </row>
    <row r="258" customFormat="false" ht="15" hidden="false" customHeight="false" outlineLevel="0" collapsed="false">
      <c r="A258" s="29" t="str">
        <f aca="false">IF($C258="","",ROW()-4)</f>
        <v/>
      </c>
      <c r="B258" s="35" t="str">
        <f aca="false">IF($C258="","",IFERROR(INDEX(电梯片区,MATCH($E258,电梯键,0)),""))</f>
        <v/>
      </c>
      <c r="C258" s="24"/>
      <c r="D258" s="24"/>
      <c r="E258" s="30" t="str">
        <f aca="false">IF($C258="","",$C258&amp;" ｜ "&amp;$D258)</f>
        <v/>
      </c>
      <c r="F258" s="25"/>
      <c r="G258" s="25"/>
      <c r="H258" s="33"/>
      <c r="I258" s="33"/>
      <c r="J258" s="32"/>
      <c r="K258" s="38" t="str">
        <f aca="false">IF($C258="","",SUMIF(电梯键,$E258,电梯台量))</f>
        <v/>
      </c>
      <c r="L258" s="39"/>
      <c r="M258" s="25"/>
      <c r="N258" s="25"/>
      <c r="O258" s="38" t="str">
        <f aca="false">IF($C258="","",SUMIFS(电梯台量,电梯键,$E258,电梯状态,"安装免保")+SUMIFS(电梯台量,电梯键,$E258,电梯状态,"技术免保")+SUMIFS(电梯台量,电梯键,$E258,电梯状态,"质保期内"))</f>
        <v/>
      </c>
      <c r="P258" s="38" t="str">
        <f aca="false">IF($C258="","",$K258-$O258)</f>
        <v/>
      </c>
      <c r="Q258" s="34" t="str">
        <f aca="true">IF($C258="","",IF($G258="已终止","",IF($I258="","▲没填合同止期",IF($I258&lt;TODAY(),"已到期 "&amp;TEXT(TODAY()-$I258,"0")&amp;" 天",IF($I258-TODAY()&lt;=合同提醒天,"将到期 "&amp;TEXT($I258-TODAY(),"0")&amp;" 天","")))))</f>
        <v/>
      </c>
      <c r="R258" s="34" t="str">
        <f aca="false">IF($C258="","",IF($G258="","▲合同状态没选",IF(OR($G258="已签未回",$G258="未签",$G258="续签中"),"▲合同未回（"&amp;$G258&amp;"）","")))</f>
        <v/>
      </c>
      <c r="S258" s="35" t="str">
        <f aca="false">IF($C258="","",IF(N($J258)=N($K258),"一致","★合同"&amp;TEXT(N($J258),"0")&amp;"台 / 在册"&amp;TEXT(N($K258),"0")&amp;"台"))</f>
        <v/>
      </c>
      <c r="T258" s="40" t="str">
        <f aca="false">IF($C258="","",ROUND(SUMIFS(应收金额,应收键,$E258,应收年度,管理年度),2))</f>
        <v/>
      </c>
      <c r="U258" s="40" t="str">
        <f aca="false">IF($C258="","",ROUND(SUMIFS(收款金额,收款键,$E258,收款年度,管理年度),2))</f>
        <v/>
      </c>
      <c r="V258" s="41" t="str">
        <f aca="false">IF($C258="","",ROUND(SUMIF(应收键,$E258,应收金额)-SUMIF(收款键,$E258,收款金额),2))</f>
        <v/>
      </c>
      <c r="W258" s="24"/>
      <c r="X258" s="35" t="str">
        <f aca="false">IF($C258="","",IF($D258="","★项目名称没填",IF(COUNTIF($E$5:$E$304,$E258)&gt;1,"★键重复",IF(AND($H258&lt;&gt;"",$I258&lt;&gt;"",$I258&lt;$H258),"★合同起止反了",IF(N($K258)=0,"★电梯资料里没有这个项目","OK")))))</f>
        <v/>
      </c>
    </row>
    <row r="259" customFormat="false" ht="15" hidden="false" customHeight="false" outlineLevel="0" collapsed="false">
      <c r="A259" s="29" t="str">
        <f aca="false">IF($C259="","",ROW()-4)</f>
        <v/>
      </c>
      <c r="B259" s="35" t="str">
        <f aca="false">IF($C259="","",IFERROR(INDEX(电梯片区,MATCH($E259,电梯键,0)),""))</f>
        <v/>
      </c>
      <c r="C259" s="24"/>
      <c r="D259" s="24"/>
      <c r="E259" s="30" t="str">
        <f aca="false">IF($C259="","",$C259&amp;" ｜ "&amp;$D259)</f>
        <v/>
      </c>
      <c r="F259" s="25"/>
      <c r="G259" s="25"/>
      <c r="H259" s="33"/>
      <c r="I259" s="33"/>
      <c r="J259" s="32"/>
      <c r="K259" s="38" t="str">
        <f aca="false">IF($C259="","",SUMIF(电梯键,$E259,电梯台量))</f>
        <v/>
      </c>
      <c r="L259" s="39"/>
      <c r="M259" s="25"/>
      <c r="N259" s="25"/>
      <c r="O259" s="38" t="str">
        <f aca="false">IF($C259="","",SUMIFS(电梯台量,电梯键,$E259,电梯状态,"安装免保")+SUMIFS(电梯台量,电梯键,$E259,电梯状态,"技术免保")+SUMIFS(电梯台量,电梯键,$E259,电梯状态,"质保期内"))</f>
        <v/>
      </c>
      <c r="P259" s="38" t="str">
        <f aca="false">IF($C259="","",$K259-$O259)</f>
        <v/>
      </c>
      <c r="Q259" s="34" t="str">
        <f aca="true">IF($C259="","",IF($G259="已终止","",IF($I259="","▲没填合同止期",IF($I259&lt;TODAY(),"已到期 "&amp;TEXT(TODAY()-$I259,"0")&amp;" 天",IF($I259-TODAY()&lt;=合同提醒天,"将到期 "&amp;TEXT($I259-TODAY(),"0")&amp;" 天","")))))</f>
        <v/>
      </c>
      <c r="R259" s="34" t="str">
        <f aca="false">IF($C259="","",IF($G259="","▲合同状态没选",IF(OR($G259="已签未回",$G259="未签",$G259="续签中"),"▲合同未回（"&amp;$G259&amp;"）","")))</f>
        <v/>
      </c>
      <c r="S259" s="35" t="str">
        <f aca="false">IF($C259="","",IF(N($J259)=N($K259),"一致","★合同"&amp;TEXT(N($J259),"0")&amp;"台 / 在册"&amp;TEXT(N($K259),"0")&amp;"台"))</f>
        <v/>
      </c>
      <c r="T259" s="40" t="str">
        <f aca="false">IF($C259="","",ROUND(SUMIFS(应收金额,应收键,$E259,应收年度,管理年度),2))</f>
        <v/>
      </c>
      <c r="U259" s="40" t="str">
        <f aca="false">IF($C259="","",ROUND(SUMIFS(收款金额,收款键,$E259,收款年度,管理年度),2))</f>
        <v/>
      </c>
      <c r="V259" s="41" t="str">
        <f aca="false">IF($C259="","",ROUND(SUMIF(应收键,$E259,应收金额)-SUMIF(收款键,$E259,收款金额),2))</f>
        <v/>
      </c>
      <c r="W259" s="24"/>
      <c r="X259" s="35" t="str">
        <f aca="false">IF($C259="","",IF($D259="","★项目名称没填",IF(COUNTIF($E$5:$E$304,$E259)&gt;1,"★键重复",IF(AND($H259&lt;&gt;"",$I259&lt;&gt;"",$I259&lt;$H259),"★合同起止反了",IF(N($K259)=0,"★电梯资料里没有这个项目","OK")))))</f>
        <v/>
      </c>
    </row>
    <row r="260" customFormat="false" ht="15" hidden="false" customHeight="false" outlineLevel="0" collapsed="false">
      <c r="A260" s="29" t="str">
        <f aca="false">IF($C260="","",ROW()-4)</f>
        <v/>
      </c>
      <c r="B260" s="35" t="str">
        <f aca="false">IF($C260="","",IFERROR(INDEX(电梯片区,MATCH($E260,电梯键,0)),""))</f>
        <v/>
      </c>
      <c r="C260" s="24"/>
      <c r="D260" s="24"/>
      <c r="E260" s="30" t="str">
        <f aca="false">IF($C260="","",$C260&amp;" ｜ "&amp;$D260)</f>
        <v/>
      </c>
      <c r="F260" s="25"/>
      <c r="G260" s="25"/>
      <c r="H260" s="33"/>
      <c r="I260" s="33"/>
      <c r="J260" s="32"/>
      <c r="K260" s="38" t="str">
        <f aca="false">IF($C260="","",SUMIF(电梯键,$E260,电梯台量))</f>
        <v/>
      </c>
      <c r="L260" s="39"/>
      <c r="M260" s="25"/>
      <c r="N260" s="25"/>
      <c r="O260" s="38" t="str">
        <f aca="false">IF($C260="","",SUMIFS(电梯台量,电梯键,$E260,电梯状态,"安装免保")+SUMIFS(电梯台量,电梯键,$E260,电梯状态,"技术免保")+SUMIFS(电梯台量,电梯键,$E260,电梯状态,"质保期内"))</f>
        <v/>
      </c>
      <c r="P260" s="38" t="str">
        <f aca="false">IF($C260="","",$K260-$O260)</f>
        <v/>
      </c>
      <c r="Q260" s="34" t="str">
        <f aca="true">IF($C260="","",IF($G260="已终止","",IF($I260="","▲没填合同止期",IF($I260&lt;TODAY(),"已到期 "&amp;TEXT(TODAY()-$I260,"0")&amp;" 天",IF($I260-TODAY()&lt;=合同提醒天,"将到期 "&amp;TEXT($I260-TODAY(),"0")&amp;" 天","")))))</f>
        <v/>
      </c>
      <c r="R260" s="34" t="str">
        <f aca="false">IF($C260="","",IF($G260="","▲合同状态没选",IF(OR($G260="已签未回",$G260="未签",$G260="续签中"),"▲合同未回（"&amp;$G260&amp;"）","")))</f>
        <v/>
      </c>
      <c r="S260" s="35" t="str">
        <f aca="false">IF($C260="","",IF(N($J260)=N($K260),"一致","★合同"&amp;TEXT(N($J260),"0")&amp;"台 / 在册"&amp;TEXT(N($K260),"0")&amp;"台"))</f>
        <v/>
      </c>
      <c r="T260" s="40" t="str">
        <f aca="false">IF($C260="","",ROUND(SUMIFS(应收金额,应收键,$E260,应收年度,管理年度),2))</f>
        <v/>
      </c>
      <c r="U260" s="40" t="str">
        <f aca="false">IF($C260="","",ROUND(SUMIFS(收款金额,收款键,$E260,收款年度,管理年度),2))</f>
        <v/>
      </c>
      <c r="V260" s="41" t="str">
        <f aca="false">IF($C260="","",ROUND(SUMIF(应收键,$E260,应收金额)-SUMIF(收款键,$E260,收款金额),2))</f>
        <v/>
      </c>
      <c r="W260" s="24"/>
      <c r="X260" s="35" t="str">
        <f aca="false">IF($C260="","",IF($D260="","★项目名称没填",IF(COUNTIF($E$5:$E$304,$E260)&gt;1,"★键重复",IF(AND($H260&lt;&gt;"",$I260&lt;&gt;"",$I260&lt;$H260),"★合同起止反了",IF(N($K260)=0,"★电梯资料里没有这个项目","OK")))))</f>
        <v/>
      </c>
    </row>
    <row r="261" customFormat="false" ht="15" hidden="false" customHeight="false" outlineLevel="0" collapsed="false">
      <c r="A261" s="29" t="str">
        <f aca="false">IF($C261="","",ROW()-4)</f>
        <v/>
      </c>
      <c r="B261" s="35" t="str">
        <f aca="false">IF($C261="","",IFERROR(INDEX(电梯片区,MATCH($E261,电梯键,0)),""))</f>
        <v/>
      </c>
      <c r="C261" s="24"/>
      <c r="D261" s="24"/>
      <c r="E261" s="30" t="str">
        <f aca="false">IF($C261="","",$C261&amp;" ｜ "&amp;$D261)</f>
        <v/>
      </c>
      <c r="F261" s="25"/>
      <c r="G261" s="25"/>
      <c r="H261" s="33"/>
      <c r="I261" s="33"/>
      <c r="J261" s="32"/>
      <c r="K261" s="38" t="str">
        <f aca="false">IF($C261="","",SUMIF(电梯键,$E261,电梯台量))</f>
        <v/>
      </c>
      <c r="L261" s="39"/>
      <c r="M261" s="25"/>
      <c r="N261" s="25"/>
      <c r="O261" s="38" t="str">
        <f aca="false">IF($C261="","",SUMIFS(电梯台量,电梯键,$E261,电梯状态,"安装免保")+SUMIFS(电梯台量,电梯键,$E261,电梯状态,"技术免保")+SUMIFS(电梯台量,电梯键,$E261,电梯状态,"质保期内"))</f>
        <v/>
      </c>
      <c r="P261" s="38" t="str">
        <f aca="false">IF($C261="","",$K261-$O261)</f>
        <v/>
      </c>
      <c r="Q261" s="34" t="str">
        <f aca="true">IF($C261="","",IF($G261="已终止","",IF($I261="","▲没填合同止期",IF($I261&lt;TODAY(),"已到期 "&amp;TEXT(TODAY()-$I261,"0")&amp;" 天",IF($I261-TODAY()&lt;=合同提醒天,"将到期 "&amp;TEXT($I261-TODAY(),"0")&amp;" 天","")))))</f>
        <v/>
      </c>
      <c r="R261" s="34" t="str">
        <f aca="false">IF($C261="","",IF($G261="","▲合同状态没选",IF(OR($G261="已签未回",$G261="未签",$G261="续签中"),"▲合同未回（"&amp;$G261&amp;"）","")))</f>
        <v/>
      </c>
      <c r="S261" s="35" t="str">
        <f aca="false">IF($C261="","",IF(N($J261)=N($K261),"一致","★合同"&amp;TEXT(N($J261),"0")&amp;"台 / 在册"&amp;TEXT(N($K261),"0")&amp;"台"))</f>
        <v/>
      </c>
      <c r="T261" s="40" t="str">
        <f aca="false">IF($C261="","",ROUND(SUMIFS(应收金额,应收键,$E261,应收年度,管理年度),2))</f>
        <v/>
      </c>
      <c r="U261" s="40" t="str">
        <f aca="false">IF($C261="","",ROUND(SUMIFS(收款金额,收款键,$E261,收款年度,管理年度),2))</f>
        <v/>
      </c>
      <c r="V261" s="41" t="str">
        <f aca="false">IF($C261="","",ROUND(SUMIF(应收键,$E261,应收金额)-SUMIF(收款键,$E261,收款金额),2))</f>
        <v/>
      </c>
      <c r="W261" s="24"/>
      <c r="X261" s="35" t="str">
        <f aca="false">IF($C261="","",IF($D261="","★项目名称没填",IF(COUNTIF($E$5:$E$304,$E261)&gt;1,"★键重复",IF(AND($H261&lt;&gt;"",$I261&lt;&gt;"",$I261&lt;$H261),"★合同起止反了",IF(N($K261)=0,"★电梯资料里没有这个项目","OK")))))</f>
        <v/>
      </c>
    </row>
    <row r="262" customFormat="false" ht="15" hidden="false" customHeight="false" outlineLevel="0" collapsed="false">
      <c r="A262" s="29" t="str">
        <f aca="false">IF($C262="","",ROW()-4)</f>
        <v/>
      </c>
      <c r="B262" s="35" t="str">
        <f aca="false">IF($C262="","",IFERROR(INDEX(电梯片区,MATCH($E262,电梯键,0)),""))</f>
        <v/>
      </c>
      <c r="C262" s="24"/>
      <c r="D262" s="24"/>
      <c r="E262" s="30" t="str">
        <f aca="false">IF($C262="","",$C262&amp;" ｜ "&amp;$D262)</f>
        <v/>
      </c>
      <c r="F262" s="25"/>
      <c r="G262" s="25"/>
      <c r="H262" s="33"/>
      <c r="I262" s="33"/>
      <c r="J262" s="32"/>
      <c r="K262" s="38" t="str">
        <f aca="false">IF($C262="","",SUMIF(电梯键,$E262,电梯台量))</f>
        <v/>
      </c>
      <c r="L262" s="39"/>
      <c r="M262" s="25"/>
      <c r="N262" s="25"/>
      <c r="O262" s="38" t="str">
        <f aca="false">IF($C262="","",SUMIFS(电梯台量,电梯键,$E262,电梯状态,"安装免保")+SUMIFS(电梯台量,电梯键,$E262,电梯状态,"技术免保")+SUMIFS(电梯台量,电梯键,$E262,电梯状态,"质保期内"))</f>
        <v/>
      </c>
      <c r="P262" s="38" t="str">
        <f aca="false">IF($C262="","",$K262-$O262)</f>
        <v/>
      </c>
      <c r="Q262" s="34" t="str">
        <f aca="true">IF($C262="","",IF($G262="已终止","",IF($I262="","▲没填合同止期",IF($I262&lt;TODAY(),"已到期 "&amp;TEXT(TODAY()-$I262,"0")&amp;" 天",IF($I262-TODAY()&lt;=合同提醒天,"将到期 "&amp;TEXT($I262-TODAY(),"0")&amp;" 天","")))))</f>
        <v/>
      </c>
      <c r="R262" s="34" t="str">
        <f aca="false">IF($C262="","",IF($G262="","▲合同状态没选",IF(OR($G262="已签未回",$G262="未签",$G262="续签中"),"▲合同未回（"&amp;$G262&amp;"）","")))</f>
        <v/>
      </c>
      <c r="S262" s="35" t="str">
        <f aca="false">IF($C262="","",IF(N($J262)=N($K262),"一致","★合同"&amp;TEXT(N($J262),"0")&amp;"台 / 在册"&amp;TEXT(N($K262),"0")&amp;"台"))</f>
        <v/>
      </c>
      <c r="T262" s="40" t="str">
        <f aca="false">IF($C262="","",ROUND(SUMIFS(应收金额,应收键,$E262,应收年度,管理年度),2))</f>
        <v/>
      </c>
      <c r="U262" s="40" t="str">
        <f aca="false">IF($C262="","",ROUND(SUMIFS(收款金额,收款键,$E262,收款年度,管理年度),2))</f>
        <v/>
      </c>
      <c r="V262" s="41" t="str">
        <f aca="false">IF($C262="","",ROUND(SUMIF(应收键,$E262,应收金额)-SUMIF(收款键,$E262,收款金额),2))</f>
        <v/>
      </c>
      <c r="W262" s="24"/>
      <c r="X262" s="35" t="str">
        <f aca="false">IF($C262="","",IF($D262="","★项目名称没填",IF(COUNTIF($E$5:$E$304,$E262)&gt;1,"★键重复",IF(AND($H262&lt;&gt;"",$I262&lt;&gt;"",$I262&lt;$H262),"★合同起止反了",IF(N($K262)=0,"★电梯资料里没有这个项目","OK")))))</f>
        <v/>
      </c>
    </row>
    <row r="263" customFormat="false" ht="15" hidden="false" customHeight="false" outlineLevel="0" collapsed="false">
      <c r="A263" s="29" t="str">
        <f aca="false">IF($C263="","",ROW()-4)</f>
        <v/>
      </c>
      <c r="B263" s="35" t="str">
        <f aca="false">IF($C263="","",IFERROR(INDEX(电梯片区,MATCH($E263,电梯键,0)),""))</f>
        <v/>
      </c>
      <c r="C263" s="24"/>
      <c r="D263" s="24"/>
      <c r="E263" s="30" t="str">
        <f aca="false">IF($C263="","",$C263&amp;" ｜ "&amp;$D263)</f>
        <v/>
      </c>
      <c r="F263" s="25"/>
      <c r="G263" s="25"/>
      <c r="H263" s="33"/>
      <c r="I263" s="33"/>
      <c r="J263" s="32"/>
      <c r="K263" s="38" t="str">
        <f aca="false">IF($C263="","",SUMIF(电梯键,$E263,电梯台量))</f>
        <v/>
      </c>
      <c r="L263" s="39"/>
      <c r="M263" s="25"/>
      <c r="N263" s="25"/>
      <c r="O263" s="38" t="str">
        <f aca="false">IF($C263="","",SUMIFS(电梯台量,电梯键,$E263,电梯状态,"安装免保")+SUMIFS(电梯台量,电梯键,$E263,电梯状态,"技术免保")+SUMIFS(电梯台量,电梯键,$E263,电梯状态,"质保期内"))</f>
        <v/>
      </c>
      <c r="P263" s="38" t="str">
        <f aca="false">IF($C263="","",$K263-$O263)</f>
        <v/>
      </c>
      <c r="Q263" s="34" t="str">
        <f aca="true">IF($C263="","",IF($G263="已终止","",IF($I263="","▲没填合同止期",IF($I263&lt;TODAY(),"已到期 "&amp;TEXT(TODAY()-$I263,"0")&amp;" 天",IF($I263-TODAY()&lt;=合同提醒天,"将到期 "&amp;TEXT($I263-TODAY(),"0")&amp;" 天","")))))</f>
        <v/>
      </c>
      <c r="R263" s="34" t="str">
        <f aca="false">IF($C263="","",IF($G263="","▲合同状态没选",IF(OR($G263="已签未回",$G263="未签",$G263="续签中"),"▲合同未回（"&amp;$G263&amp;"）","")))</f>
        <v/>
      </c>
      <c r="S263" s="35" t="str">
        <f aca="false">IF($C263="","",IF(N($J263)=N($K263),"一致","★合同"&amp;TEXT(N($J263),"0")&amp;"台 / 在册"&amp;TEXT(N($K263),"0")&amp;"台"))</f>
        <v/>
      </c>
      <c r="T263" s="40" t="str">
        <f aca="false">IF($C263="","",ROUND(SUMIFS(应收金额,应收键,$E263,应收年度,管理年度),2))</f>
        <v/>
      </c>
      <c r="U263" s="40" t="str">
        <f aca="false">IF($C263="","",ROUND(SUMIFS(收款金额,收款键,$E263,收款年度,管理年度),2))</f>
        <v/>
      </c>
      <c r="V263" s="41" t="str">
        <f aca="false">IF($C263="","",ROUND(SUMIF(应收键,$E263,应收金额)-SUMIF(收款键,$E263,收款金额),2))</f>
        <v/>
      </c>
      <c r="W263" s="24"/>
      <c r="X263" s="35" t="str">
        <f aca="false">IF($C263="","",IF($D263="","★项目名称没填",IF(COUNTIF($E$5:$E$304,$E263)&gt;1,"★键重复",IF(AND($H263&lt;&gt;"",$I263&lt;&gt;"",$I263&lt;$H263),"★合同起止反了",IF(N($K263)=0,"★电梯资料里没有这个项目","OK")))))</f>
        <v/>
      </c>
    </row>
    <row r="264" customFormat="false" ht="15" hidden="false" customHeight="false" outlineLevel="0" collapsed="false">
      <c r="A264" s="29" t="str">
        <f aca="false">IF($C264="","",ROW()-4)</f>
        <v/>
      </c>
      <c r="B264" s="35" t="str">
        <f aca="false">IF($C264="","",IFERROR(INDEX(电梯片区,MATCH($E264,电梯键,0)),""))</f>
        <v/>
      </c>
      <c r="C264" s="24"/>
      <c r="D264" s="24"/>
      <c r="E264" s="30" t="str">
        <f aca="false">IF($C264="","",$C264&amp;" ｜ "&amp;$D264)</f>
        <v/>
      </c>
      <c r="F264" s="25"/>
      <c r="G264" s="25"/>
      <c r="H264" s="33"/>
      <c r="I264" s="33"/>
      <c r="J264" s="32"/>
      <c r="K264" s="38" t="str">
        <f aca="false">IF($C264="","",SUMIF(电梯键,$E264,电梯台量))</f>
        <v/>
      </c>
      <c r="L264" s="39"/>
      <c r="M264" s="25"/>
      <c r="N264" s="25"/>
      <c r="O264" s="38" t="str">
        <f aca="false">IF($C264="","",SUMIFS(电梯台量,电梯键,$E264,电梯状态,"安装免保")+SUMIFS(电梯台量,电梯键,$E264,电梯状态,"技术免保")+SUMIFS(电梯台量,电梯键,$E264,电梯状态,"质保期内"))</f>
        <v/>
      </c>
      <c r="P264" s="38" t="str">
        <f aca="false">IF($C264="","",$K264-$O264)</f>
        <v/>
      </c>
      <c r="Q264" s="34" t="str">
        <f aca="true">IF($C264="","",IF($G264="已终止","",IF($I264="","▲没填合同止期",IF($I264&lt;TODAY(),"已到期 "&amp;TEXT(TODAY()-$I264,"0")&amp;" 天",IF($I264-TODAY()&lt;=合同提醒天,"将到期 "&amp;TEXT($I264-TODAY(),"0")&amp;" 天","")))))</f>
        <v/>
      </c>
      <c r="R264" s="34" t="str">
        <f aca="false">IF($C264="","",IF($G264="","▲合同状态没选",IF(OR($G264="已签未回",$G264="未签",$G264="续签中"),"▲合同未回（"&amp;$G264&amp;"）","")))</f>
        <v/>
      </c>
      <c r="S264" s="35" t="str">
        <f aca="false">IF($C264="","",IF(N($J264)=N($K264),"一致","★合同"&amp;TEXT(N($J264),"0")&amp;"台 / 在册"&amp;TEXT(N($K264),"0")&amp;"台"))</f>
        <v/>
      </c>
      <c r="T264" s="40" t="str">
        <f aca="false">IF($C264="","",ROUND(SUMIFS(应收金额,应收键,$E264,应收年度,管理年度),2))</f>
        <v/>
      </c>
      <c r="U264" s="40" t="str">
        <f aca="false">IF($C264="","",ROUND(SUMIFS(收款金额,收款键,$E264,收款年度,管理年度),2))</f>
        <v/>
      </c>
      <c r="V264" s="41" t="str">
        <f aca="false">IF($C264="","",ROUND(SUMIF(应收键,$E264,应收金额)-SUMIF(收款键,$E264,收款金额),2))</f>
        <v/>
      </c>
      <c r="W264" s="24"/>
      <c r="X264" s="35" t="str">
        <f aca="false">IF($C264="","",IF($D264="","★项目名称没填",IF(COUNTIF($E$5:$E$304,$E264)&gt;1,"★键重复",IF(AND($H264&lt;&gt;"",$I264&lt;&gt;"",$I264&lt;$H264),"★合同起止反了",IF(N($K264)=0,"★电梯资料里没有这个项目","OK")))))</f>
        <v/>
      </c>
    </row>
    <row r="265" customFormat="false" ht="15" hidden="false" customHeight="false" outlineLevel="0" collapsed="false">
      <c r="A265" s="29" t="str">
        <f aca="false">IF($C265="","",ROW()-4)</f>
        <v/>
      </c>
      <c r="B265" s="35" t="str">
        <f aca="false">IF($C265="","",IFERROR(INDEX(电梯片区,MATCH($E265,电梯键,0)),""))</f>
        <v/>
      </c>
      <c r="C265" s="24"/>
      <c r="D265" s="24"/>
      <c r="E265" s="30" t="str">
        <f aca="false">IF($C265="","",$C265&amp;" ｜ "&amp;$D265)</f>
        <v/>
      </c>
      <c r="F265" s="25"/>
      <c r="G265" s="25"/>
      <c r="H265" s="33"/>
      <c r="I265" s="33"/>
      <c r="J265" s="32"/>
      <c r="K265" s="38" t="str">
        <f aca="false">IF($C265="","",SUMIF(电梯键,$E265,电梯台量))</f>
        <v/>
      </c>
      <c r="L265" s="39"/>
      <c r="M265" s="25"/>
      <c r="N265" s="25"/>
      <c r="O265" s="38" t="str">
        <f aca="false">IF($C265="","",SUMIFS(电梯台量,电梯键,$E265,电梯状态,"安装免保")+SUMIFS(电梯台量,电梯键,$E265,电梯状态,"技术免保")+SUMIFS(电梯台量,电梯键,$E265,电梯状态,"质保期内"))</f>
        <v/>
      </c>
      <c r="P265" s="38" t="str">
        <f aca="false">IF($C265="","",$K265-$O265)</f>
        <v/>
      </c>
      <c r="Q265" s="34" t="str">
        <f aca="true">IF($C265="","",IF($G265="已终止","",IF($I265="","▲没填合同止期",IF($I265&lt;TODAY(),"已到期 "&amp;TEXT(TODAY()-$I265,"0")&amp;" 天",IF($I265-TODAY()&lt;=合同提醒天,"将到期 "&amp;TEXT($I265-TODAY(),"0")&amp;" 天","")))))</f>
        <v/>
      </c>
      <c r="R265" s="34" t="str">
        <f aca="false">IF($C265="","",IF($G265="","▲合同状态没选",IF(OR($G265="已签未回",$G265="未签",$G265="续签中"),"▲合同未回（"&amp;$G265&amp;"）","")))</f>
        <v/>
      </c>
      <c r="S265" s="35" t="str">
        <f aca="false">IF($C265="","",IF(N($J265)=N($K265),"一致","★合同"&amp;TEXT(N($J265),"0")&amp;"台 / 在册"&amp;TEXT(N($K265),"0")&amp;"台"))</f>
        <v/>
      </c>
      <c r="T265" s="40" t="str">
        <f aca="false">IF($C265="","",ROUND(SUMIFS(应收金额,应收键,$E265,应收年度,管理年度),2))</f>
        <v/>
      </c>
      <c r="U265" s="40" t="str">
        <f aca="false">IF($C265="","",ROUND(SUMIFS(收款金额,收款键,$E265,收款年度,管理年度),2))</f>
        <v/>
      </c>
      <c r="V265" s="41" t="str">
        <f aca="false">IF($C265="","",ROUND(SUMIF(应收键,$E265,应收金额)-SUMIF(收款键,$E265,收款金额),2))</f>
        <v/>
      </c>
      <c r="W265" s="24"/>
      <c r="X265" s="35" t="str">
        <f aca="false">IF($C265="","",IF($D265="","★项目名称没填",IF(COUNTIF($E$5:$E$304,$E265)&gt;1,"★键重复",IF(AND($H265&lt;&gt;"",$I265&lt;&gt;"",$I265&lt;$H265),"★合同起止反了",IF(N($K265)=0,"★电梯资料里没有这个项目","OK")))))</f>
        <v/>
      </c>
    </row>
    <row r="266" customFormat="false" ht="15" hidden="false" customHeight="false" outlineLevel="0" collapsed="false">
      <c r="A266" s="29" t="str">
        <f aca="false">IF($C266="","",ROW()-4)</f>
        <v/>
      </c>
      <c r="B266" s="35" t="str">
        <f aca="false">IF($C266="","",IFERROR(INDEX(电梯片区,MATCH($E266,电梯键,0)),""))</f>
        <v/>
      </c>
      <c r="C266" s="24"/>
      <c r="D266" s="24"/>
      <c r="E266" s="30" t="str">
        <f aca="false">IF($C266="","",$C266&amp;" ｜ "&amp;$D266)</f>
        <v/>
      </c>
      <c r="F266" s="25"/>
      <c r="G266" s="25"/>
      <c r="H266" s="33"/>
      <c r="I266" s="33"/>
      <c r="J266" s="32"/>
      <c r="K266" s="38" t="str">
        <f aca="false">IF($C266="","",SUMIF(电梯键,$E266,电梯台量))</f>
        <v/>
      </c>
      <c r="L266" s="39"/>
      <c r="M266" s="25"/>
      <c r="N266" s="25"/>
      <c r="O266" s="38" t="str">
        <f aca="false">IF($C266="","",SUMIFS(电梯台量,电梯键,$E266,电梯状态,"安装免保")+SUMIFS(电梯台量,电梯键,$E266,电梯状态,"技术免保")+SUMIFS(电梯台量,电梯键,$E266,电梯状态,"质保期内"))</f>
        <v/>
      </c>
      <c r="P266" s="38" t="str">
        <f aca="false">IF($C266="","",$K266-$O266)</f>
        <v/>
      </c>
      <c r="Q266" s="34" t="str">
        <f aca="true">IF($C266="","",IF($G266="已终止","",IF($I266="","▲没填合同止期",IF($I266&lt;TODAY(),"已到期 "&amp;TEXT(TODAY()-$I266,"0")&amp;" 天",IF($I266-TODAY()&lt;=合同提醒天,"将到期 "&amp;TEXT($I266-TODAY(),"0")&amp;" 天","")))))</f>
        <v/>
      </c>
      <c r="R266" s="34" t="str">
        <f aca="false">IF($C266="","",IF($G266="","▲合同状态没选",IF(OR($G266="已签未回",$G266="未签",$G266="续签中"),"▲合同未回（"&amp;$G266&amp;"）","")))</f>
        <v/>
      </c>
      <c r="S266" s="35" t="str">
        <f aca="false">IF($C266="","",IF(N($J266)=N($K266),"一致","★合同"&amp;TEXT(N($J266),"0")&amp;"台 / 在册"&amp;TEXT(N($K266),"0")&amp;"台"))</f>
        <v/>
      </c>
      <c r="T266" s="40" t="str">
        <f aca="false">IF($C266="","",ROUND(SUMIFS(应收金额,应收键,$E266,应收年度,管理年度),2))</f>
        <v/>
      </c>
      <c r="U266" s="40" t="str">
        <f aca="false">IF($C266="","",ROUND(SUMIFS(收款金额,收款键,$E266,收款年度,管理年度),2))</f>
        <v/>
      </c>
      <c r="V266" s="41" t="str">
        <f aca="false">IF($C266="","",ROUND(SUMIF(应收键,$E266,应收金额)-SUMIF(收款键,$E266,收款金额),2))</f>
        <v/>
      </c>
      <c r="W266" s="24"/>
      <c r="X266" s="35" t="str">
        <f aca="false">IF($C266="","",IF($D266="","★项目名称没填",IF(COUNTIF($E$5:$E$304,$E266)&gt;1,"★键重复",IF(AND($H266&lt;&gt;"",$I266&lt;&gt;"",$I266&lt;$H266),"★合同起止反了",IF(N($K266)=0,"★电梯资料里没有这个项目","OK")))))</f>
        <v/>
      </c>
    </row>
    <row r="267" customFormat="false" ht="15" hidden="false" customHeight="false" outlineLevel="0" collapsed="false">
      <c r="A267" s="29" t="str">
        <f aca="false">IF($C267="","",ROW()-4)</f>
        <v/>
      </c>
      <c r="B267" s="35" t="str">
        <f aca="false">IF($C267="","",IFERROR(INDEX(电梯片区,MATCH($E267,电梯键,0)),""))</f>
        <v/>
      </c>
      <c r="C267" s="24"/>
      <c r="D267" s="24"/>
      <c r="E267" s="30" t="str">
        <f aca="false">IF($C267="","",$C267&amp;" ｜ "&amp;$D267)</f>
        <v/>
      </c>
      <c r="F267" s="25"/>
      <c r="G267" s="25"/>
      <c r="H267" s="33"/>
      <c r="I267" s="33"/>
      <c r="J267" s="32"/>
      <c r="K267" s="38" t="str">
        <f aca="false">IF($C267="","",SUMIF(电梯键,$E267,电梯台量))</f>
        <v/>
      </c>
      <c r="L267" s="39"/>
      <c r="M267" s="25"/>
      <c r="N267" s="25"/>
      <c r="O267" s="38" t="str">
        <f aca="false">IF($C267="","",SUMIFS(电梯台量,电梯键,$E267,电梯状态,"安装免保")+SUMIFS(电梯台量,电梯键,$E267,电梯状态,"技术免保")+SUMIFS(电梯台量,电梯键,$E267,电梯状态,"质保期内"))</f>
        <v/>
      </c>
      <c r="P267" s="38" t="str">
        <f aca="false">IF($C267="","",$K267-$O267)</f>
        <v/>
      </c>
      <c r="Q267" s="34" t="str">
        <f aca="true">IF($C267="","",IF($G267="已终止","",IF($I267="","▲没填合同止期",IF($I267&lt;TODAY(),"已到期 "&amp;TEXT(TODAY()-$I267,"0")&amp;" 天",IF($I267-TODAY()&lt;=合同提醒天,"将到期 "&amp;TEXT($I267-TODAY(),"0")&amp;" 天","")))))</f>
        <v/>
      </c>
      <c r="R267" s="34" t="str">
        <f aca="false">IF($C267="","",IF($G267="","▲合同状态没选",IF(OR($G267="已签未回",$G267="未签",$G267="续签中"),"▲合同未回（"&amp;$G267&amp;"）","")))</f>
        <v/>
      </c>
      <c r="S267" s="35" t="str">
        <f aca="false">IF($C267="","",IF(N($J267)=N($K267),"一致","★合同"&amp;TEXT(N($J267),"0")&amp;"台 / 在册"&amp;TEXT(N($K267),"0")&amp;"台"))</f>
        <v/>
      </c>
      <c r="T267" s="40" t="str">
        <f aca="false">IF($C267="","",ROUND(SUMIFS(应收金额,应收键,$E267,应收年度,管理年度),2))</f>
        <v/>
      </c>
      <c r="U267" s="40" t="str">
        <f aca="false">IF($C267="","",ROUND(SUMIFS(收款金额,收款键,$E267,收款年度,管理年度),2))</f>
        <v/>
      </c>
      <c r="V267" s="41" t="str">
        <f aca="false">IF($C267="","",ROUND(SUMIF(应收键,$E267,应收金额)-SUMIF(收款键,$E267,收款金额),2))</f>
        <v/>
      </c>
      <c r="W267" s="24"/>
      <c r="X267" s="35" t="str">
        <f aca="false">IF($C267="","",IF($D267="","★项目名称没填",IF(COUNTIF($E$5:$E$304,$E267)&gt;1,"★键重复",IF(AND($H267&lt;&gt;"",$I267&lt;&gt;"",$I267&lt;$H267),"★合同起止反了",IF(N($K267)=0,"★电梯资料里没有这个项目","OK")))))</f>
        <v/>
      </c>
    </row>
    <row r="268" customFormat="false" ht="15" hidden="false" customHeight="false" outlineLevel="0" collapsed="false">
      <c r="A268" s="29" t="str">
        <f aca="false">IF($C268="","",ROW()-4)</f>
        <v/>
      </c>
      <c r="B268" s="35" t="str">
        <f aca="false">IF($C268="","",IFERROR(INDEX(电梯片区,MATCH($E268,电梯键,0)),""))</f>
        <v/>
      </c>
      <c r="C268" s="24"/>
      <c r="D268" s="24"/>
      <c r="E268" s="30" t="str">
        <f aca="false">IF($C268="","",$C268&amp;" ｜ "&amp;$D268)</f>
        <v/>
      </c>
      <c r="F268" s="25"/>
      <c r="G268" s="25"/>
      <c r="H268" s="33"/>
      <c r="I268" s="33"/>
      <c r="J268" s="32"/>
      <c r="K268" s="38" t="str">
        <f aca="false">IF($C268="","",SUMIF(电梯键,$E268,电梯台量))</f>
        <v/>
      </c>
      <c r="L268" s="39"/>
      <c r="M268" s="25"/>
      <c r="N268" s="25"/>
      <c r="O268" s="38" t="str">
        <f aca="false">IF($C268="","",SUMIFS(电梯台量,电梯键,$E268,电梯状态,"安装免保")+SUMIFS(电梯台量,电梯键,$E268,电梯状态,"技术免保")+SUMIFS(电梯台量,电梯键,$E268,电梯状态,"质保期内"))</f>
        <v/>
      </c>
      <c r="P268" s="38" t="str">
        <f aca="false">IF($C268="","",$K268-$O268)</f>
        <v/>
      </c>
      <c r="Q268" s="34" t="str">
        <f aca="true">IF($C268="","",IF($G268="已终止","",IF($I268="","▲没填合同止期",IF($I268&lt;TODAY(),"已到期 "&amp;TEXT(TODAY()-$I268,"0")&amp;" 天",IF($I268-TODAY()&lt;=合同提醒天,"将到期 "&amp;TEXT($I268-TODAY(),"0")&amp;" 天","")))))</f>
        <v/>
      </c>
      <c r="R268" s="34" t="str">
        <f aca="false">IF($C268="","",IF($G268="","▲合同状态没选",IF(OR($G268="已签未回",$G268="未签",$G268="续签中"),"▲合同未回（"&amp;$G268&amp;"）","")))</f>
        <v/>
      </c>
      <c r="S268" s="35" t="str">
        <f aca="false">IF($C268="","",IF(N($J268)=N($K268),"一致","★合同"&amp;TEXT(N($J268),"0")&amp;"台 / 在册"&amp;TEXT(N($K268),"0")&amp;"台"))</f>
        <v/>
      </c>
      <c r="T268" s="40" t="str">
        <f aca="false">IF($C268="","",ROUND(SUMIFS(应收金额,应收键,$E268,应收年度,管理年度),2))</f>
        <v/>
      </c>
      <c r="U268" s="40" t="str">
        <f aca="false">IF($C268="","",ROUND(SUMIFS(收款金额,收款键,$E268,收款年度,管理年度),2))</f>
        <v/>
      </c>
      <c r="V268" s="41" t="str">
        <f aca="false">IF($C268="","",ROUND(SUMIF(应收键,$E268,应收金额)-SUMIF(收款键,$E268,收款金额),2))</f>
        <v/>
      </c>
      <c r="W268" s="24"/>
      <c r="X268" s="35" t="str">
        <f aca="false">IF($C268="","",IF($D268="","★项目名称没填",IF(COUNTIF($E$5:$E$304,$E268)&gt;1,"★键重复",IF(AND($H268&lt;&gt;"",$I268&lt;&gt;"",$I268&lt;$H268),"★合同起止反了",IF(N($K268)=0,"★电梯资料里没有这个项目","OK")))))</f>
        <v/>
      </c>
    </row>
    <row r="269" customFormat="false" ht="15" hidden="false" customHeight="false" outlineLevel="0" collapsed="false">
      <c r="A269" s="29" t="str">
        <f aca="false">IF($C269="","",ROW()-4)</f>
        <v/>
      </c>
      <c r="B269" s="35" t="str">
        <f aca="false">IF($C269="","",IFERROR(INDEX(电梯片区,MATCH($E269,电梯键,0)),""))</f>
        <v/>
      </c>
      <c r="C269" s="24"/>
      <c r="D269" s="24"/>
      <c r="E269" s="30" t="str">
        <f aca="false">IF($C269="","",$C269&amp;" ｜ "&amp;$D269)</f>
        <v/>
      </c>
      <c r="F269" s="25"/>
      <c r="G269" s="25"/>
      <c r="H269" s="33"/>
      <c r="I269" s="33"/>
      <c r="J269" s="32"/>
      <c r="K269" s="38" t="str">
        <f aca="false">IF($C269="","",SUMIF(电梯键,$E269,电梯台量))</f>
        <v/>
      </c>
      <c r="L269" s="39"/>
      <c r="M269" s="25"/>
      <c r="N269" s="25"/>
      <c r="O269" s="38" t="str">
        <f aca="false">IF($C269="","",SUMIFS(电梯台量,电梯键,$E269,电梯状态,"安装免保")+SUMIFS(电梯台量,电梯键,$E269,电梯状态,"技术免保")+SUMIFS(电梯台量,电梯键,$E269,电梯状态,"质保期内"))</f>
        <v/>
      </c>
      <c r="P269" s="38" t="str">
        <f aca="false">IF($C269="","",$K269-$O269)</f>
        <v/>
      </c>
      <c r="Q269" s="34" t="str">
        <f aca="true">IF($C269="","",IF($G269="已终止","",IF($I269="","▲没填合同止期",IF($I269&lt;TODAY(),"已到期 "&amp;TEXT(TODAY()-$I269,"0")&amp;" 天",IF($I269-TODAY()&lt;=合同提醒天,"将到期 "&amp;TEXT($I269-TODAY(),"0")&amp;" 天","")))))</f>
        <v/>
      </c>
      <c r="R269" s="34" t="str">
        <f aca="false">IF($C269="","",IF($G269="","▲合同状态没选",IF(OR($G269="已签未回",$G269="未签",$G269="续签中"),"▲合同未回（"&amp;$G269&amp;"）","")))</f>
        <v/>
      </c>
      <c r="S269" s="35" t="str">
        <f aca="false">IF($C269="","",IF(N($J269)=N($K269),"一致","★合同"&amp;TEXT(N($J269),"0")&amp;"台 / 在册"&amp;TEXT(N($K269),"0")&amp;"台"))</f>
        <v/>
      </c>
      <c r="T269" s="40" t="str">
        <f aca="false">IF($C269="","",ROUND(SUMIFS(应收金额,应收键,$E269,应收年度,管理年度),2))</f>
        <v/>
      </c>
      <c r="U269" s="40" t="str">
        <f aca="false">IF($C269="","",ROUND(SUMIFS(收款金额,收款键,$E269,收款年度,管理年度),2))</f>
        <v/>
      </c>
      <c r="V269" s="41" t="str">
        <f aca="false">IF($C269="","",ROUND(SUMIF(应收键,$E269,应收金额)-SUMIF(收款键,$E269,收款金额),2))</f>
        <v/>
      </c>
      <c r="W269" s="24"/>
      <c r="X269" s="35" t="str">
        <f aca="false">IF($C269="","",IF($D269="","★项目名称没填",IF(COUNTIF($E$5:$E$304,$E269)&gt;1,"★键重复",IF(AND($H269&lt;&gt;"",$I269&lt;&gt;"",$I269&lt;$H269),"★合同起止反了",IF(N($K269)=0,"★电梯资料里没有这个项目","OK")))))</f>
        <v/>
      </c>
    </row>
    <row r="270" customFormat="false" ht="15" hidden="false" customHeight="false" outlineLevel="0" collapsed="false">
      <c r="A270" s="29" t="str">
        <f aca="false">IF($C270="","",ROW()-4)</f>
        <v/>
      </c>
      <c r="B270" s="35" t="str">
        <f aca="false">IF($C270="","",IFERROR(INDEX(电梯片区,MATCH($E270,电梯键,0)),""))</f>
        <v/>
      </c>
      <c r="C270" s="24"/>
      <c r="D270" s="24"/>
      <c r="E270" s="30" t="str">
        <f aca="false">IF($C270="","",$C270&amp;" ｜ "&amp;$D270)</f>
        <v/>
      </c>
      <c r="F270" s="25"/>
      <c r="G270" s="25"/>
      <c r="H270" s="33"/>
      <c r="I270" s="33"/>
      <c r="J270" s="32"/>
      <c r="K270" s="38" t="str">
        <f aca="false">IF($C270="","",SUMIF(电梯键,$E270,电梯台量))</f>
        <v/>
      </c>
      <c r="L270" s="39"/>
      <c r="M270" s="25"/>
      <c r="N270" s="25"/>
      <c r="O270" s="38" t="str">
        <f aca="false">IF($C270="","",SUMIFS(电梯台量,电梯键,$E270,电梯状态,"安装免保")+SUMIFS(电梯台量,电梯键,$E270,电梯状态,"技术免保")+SUMIFS(电梯台量,电梯键,$E270,电梯状态,"质保期内"))</f>
        <v/>
      </c>
      <c r="P270" s="38" t="str">
        <f aca="false">IF($C270="","",$K270-$O270)</f>
        <v/>
      </c>
      <c r="Q270" s="34" t="str">
        <f aca="true">IF($C270="","",IF($G270="已终止","",IF($I270="","▲没填合同止期",IF($I270&lt;TODAY(),"已到期 "&amp;TEXT(TODAY()-$I270,"0")&amp;" 天",IF($I270-TODAY()&lt;=合同提醒天,"将到期 "&amp;TEXT($I270-TODAY(),"0")&amp;" 天","")))))</f>
        <v/>
      </c>
      <c r="R270" s="34" t="str">
        <f aca="false">IF($C270="","",IF($G270="","▲合同状态没选",IF(OR($G270="已签未回",$G270="未签",$G270="续签中"),"▲合同未回（"&amp;$G270&amp;"）","")))</f>
        <v/>
      </c>
      <c r="S270" s="35" t="str">
        <f aca="false">IF($C270="","",IF(N($J270)=N($K270),"一致","★合同"&amp;TEXT(N($J270),"0")&amp;"台 / 在册"&amp;TEXT(N($K270),"0")&amp;"台"))</f>
        <v/>
      </c>
      <c r="T270" s="40" t="str">
        <f aca="false">IF($C270="","",ROUND(SUMIFS(应收金额,应收键,$E270,应收年度,管理年度),2))</f>
        <v/>
      </c>
      <c r="U270" s="40" t="str">
        <f aca="false">IF($C270="","",ROUND(SUMIFS(收款金额,收款键,$E270,收款年度,管理年度),2))</f>
        <v/>
      </c>
      <c r="V270" s="41" t="str">
        <f aca="false">IF($C270="","",ROUND(SUMIF(应收键,$E270,应收金额)-SUMIF(收款键,$E270,收款金额),2))</f>
        <v/>
      </c>
      <c r="W270" s="24"/>
      <c r="X270" s="35" t="str">
        <f aca="false">IF($C270="","",IF($D270="","★项目名称没填",IF(COUNTIF($E$5:$E$304,$E270)&gt;1,"★键重复",IF(AND($H270&lt;&gt;"",$I270&lt;&gt;"",$I270&lt;$H270),"★合同起止反了",IF(N($K270)=0,"★电梯资料里没有这个项目","OK")))))</f>
        <v/>
      </c>
    </row>
    <row r="271" customFormat="false" ht="15" hidden="false" customHeight="false" outlineLevel="0" collapsed="false">
      <c r="A271" s="29" t="str">
        <f aca="false">IF($C271="","",ROW()-4)</f>
        <v/>
      </c>
      <c r="B271" s="35" t="str">
        <f aca="false">IF($C271="","",IFERROR(INDEX(电梯片区,MATCH($E271,电梯键,0)),""))</f>
        <v/>
      </c>
      <c r="C271" s="24"/>
      <c r="D271" s="24"/>
      <c r="E271" s="30" t="str">
        <f aca="false">IF($C271="","",$C271&amp;" ｜ "&amp;$D271)</f>
        <v/>
      </c>
      <c r="F271" s="25"/>
      <c r="G271" s="25"/>
      <c r="H271" s="33"/>
      <c r="I271" s="33"/>
      <c r="J271" s="32"/>
      <c r="K271" s="38" t="str">
        <f aca="false">IF($C271="","",SUMIF(电梯键,$E271,电梯台量))</f>
        <v/>
      </c>
      <c r="L271" s="39"/>
      <c r="M271" s="25"/>
      <c r="N271" s="25"/>
      <c r="O271" s="38" t="str">
        <f aca="false">IF($C271="","",SUMIFS(电梯台量,电梯键,$E271,电梯状态,"安装免保")+SUMIFS(电梯台量,电梯键,$E271,电梯状态,"技术免保")+SUMIFS(电梯台量,电梯键,$E271,电梯状态,"质保期内"))</f>
        <v/>
      </c>
      <c r="P271" s="38" t="str">
        <f aca="false">IF($C271="","",$K271-$O271)</f>
        <v/>
      </c>
      <c r="Q271" s="34" t="str">
        <f aca="true">IF($C271="","",IF($G271="已终止","",IF($I271="","▲没填合同止期",IF($I271&lt;TODAY(),"已到期 "&amp;TEXT(TODAY()-$I271,"0")&amp;" 天",IF($I271-TODAY()&lt;=合同提醒天,"将到期 "&amp;TEXT($I271-TODAY(),"0")&amp;" 天","")))))</f>
        <v/>
      </c>
      <c r="R271" s="34" t="str">
        <f aca="false">IF($C271="","",IF($G271="","▲合同状态没选",IF(OR($G271="已签未回",$G271="未签",$G271="续签中"),"▲合同未回（"&amp;$G271&amp;"）","")))</f>
        <v/>
      </c>
      <c r="S271" s="35" t="str">
        <f aca="false">IF($C271="","",IF(N($J271)=N($K271),"一致","★合同"&amp;TEXT(N($J271),"0")&amp;"台 / 在册"&amp;TEXT(N($K271),"0")&amp;"台"))</f>
        <v/>
      </c>
      <c r="T271" s="40" t="str">
        <f aca="false">IF($C271="","",ROUND(SUMIFS(应收金额,应收键,$E271,应收年度,管理年度),2))</f>
        <v/>
      </c>
      <c r="U271" s="40" t="str">
        <f aca="false">IF($C271="","",ROUND(SUMIFS(收款金额,收款键,$E271,收款年度,管理年度),2))</f>
        <v/>
      </c>
      <c r="V271" s="41" t="str">
        <f aca="false">IF($C271="","",ROUND(SUMIF(应收键,$E271,应收金额)-SUMIF(收款键,$E271,收款金额),2))</f>
        <v/>
      </c>
      <c r="W271" s="24"/>
      <c r="X271" s="35" t="str">
        <f aca="false">IF($C271="","",IF($D271="","★项目名称没填",IF(COUNTIF($E$5:$E$304,$E271)&gt;1,"★键重复",IF(AND($H271&lt;&gt;"",$I271&lt;&gt;"",$I271&lt;$H271),"★合同起止反了",IF(N($K271)=0,"★电梯资料里没有这个项目","OK")))))</f>
        <v/>
      </c>
    </row>
    <row r="272" customFormat="false" ht="15" hidden="false" customHeight="false" outlineLevel="0" collapsed="false">
      <c r="A272" s="29" t="str">
        <f aca="false">IF($C272="","",ROW()-4)</f>
        <v/>
      </c>
      <c r="B272" s="35" t="str">
        <f aca="false">IF($C272="","",IFERROR(INDEX(电梯片区,MATCH($E272,电梯键,0)),""))</f>
        <v/>
      </c>
      <c r="C272" s="24"/>
      <c r="D272" s="24"/>
      <c r="E272" s="30" t="str">
        <f aca="false">IF($C272="","",$C272&amp;" ｜ "&amp;$D272)</f>
        <v/>
      </c>
      <c r="F272" s="25"/>
      <c r="G272" s="25"/>
      <c r="H272" s="33"/>
      <c r="I272" s="33"/>
      <c r="J272" s="32"/>
      <c r="K272" s="38" t="str">
        <f aca="false">IF($C272="","",SUMIF(电梯键,$E272,电梯台量))</f>
        <v/>
      </c>
      <c r="L272" s="39"/>
      <c r="M272" s="25"/>
      <c r="N272" s="25"/>
      <c r="O272" s="38" t="str">
        <f aca="false">IF($C272="","",SUMIFS(电梯台量,电梯键,$E272,电梯状态,"安装免保")+SUMIFS(电梯台量,电梯键,$E272,电梯状态,"技术免保")+SUMIFS(电梯台量,电梯键,$E272,电梯状态,"质保期内"))</f>
        <v/>
      </c>
      <c r="P272" s="38" t="str">
        <f aca="false">IF($C272="","",$K272-$O272)</f>
        <v/>
      </c>
      <c r="Q272" s="34" t="str">
        <f aca="true">IF($C272="","",IF($G272="已终止","",IF($I272="","▲没填合同止期",IF($I272&lt;TODAY(),"已到期 "&amp;TEXT(TODAY()-$I272,"0")&amp;" 天",IF($I272-TODAY()&lt;=合同提醒天,"将到期 "&amp;TEXT($I272-TODAY(),"0")&amp;" 天","")))))</f>
        <v/>
      </c>
      <c r="R272" s="34" t="str">
        <f aca="false">IF($C272="","",IF($G272="","▲合同状态没选",IF(OR($G272="已签未回",$G272="未签",$G272="续签中"),"▲合同未回（"&amp;$G272&amp;"）","")))</f>
        <v/>
      </c>
      <c r="S272" s="35" t="str">
        <f aca="false">IF($C272="","",IF(N($J272)=N($K272),"一致","★合同"&amp;TEXT(N($J272),"0")&amp;"台 / 在册"&amp;TEXT(N($K272),"0")&amp;"台"))</f>
        <v/>
      </c>
      <c r="T272" s="40" t="str">
        <f aca="false">IF($C272="","",ROUND(SUMIFS(应收金额,应收键,$E272,应收年度,管理年度),2))</f>
        <v/>
      </c>
      <c r="U272" s="40" t="str">
        <f aca="false">IF($C272="","",ROUND(SUMIFS(收款金额,收款键,$E272,收款年度,管理年度),2))</f>
        <v/>
      </c>
      <c r="V272" s="41" t="str">
        <f aca="false">IF($C272="","",ROUND(SUMIF(应收键,$E272,应收金额)-SUMIF(收款键,$E272,收款金额),2))</f>
        <v/>
      </c>
      <c r="W272" s="24"/>
      <c r="X272" s="35" t="str">
        <f aca="false">IF($C272="","",IF($D272="","★项目名称没填",IF(COUNTIF($E$5:$E$304,$E272)&gt;1,"★键重复",IF(AND($H272&lt;&gt;"",$I272&lt;&gt;"",$I272&lt;$H272),"★合同起止反了",IF(N($K272)=0,"★电梯资料里没有这个项目","OK")))))</f>
        <v/>
      </c>
    </row>
    <row r="273" customFormat="false" ht="15" hidden="false" customHeight="false" outlineLevel="0" collapsed="false">
      <c r="A273" s="29" t="str">
        <f aca="false">IF($C273="","",ROW()-4)</f>
        <v/>
      </c>
      <c r="B273" s="35" t="str">
        <f aca="false">IF($C273="","",IFERROR(INDEX(电梯片区,MATCH($E273,电梯键,0)),""))</f>
        <v/>
      </c>
      <c r="C273" s="24"/>
      <c r="D273" s="24"/>
      <c r="E273" s="30" t="str">
        <f aca="false">IF($C273="","",$C273&amp;" ｜ "&amp;$D273)</f>
        <v/>
      </c>
      <c r="F273" s="25"/>
      <c r="G273" s="25"/>
      <c r="H273" s="33"/>
      <c r="I273" s="33"/>
      <c r="J273" s="32"/>
      <c r="K273" s="38" t="str">
        <f aca="false">IF($C273="","",SUMIF(电梯键,$E273,电梯台量))</f>
        <v/>
      </c>
      <c r="L273" s="39"/>
      <c r="M273" s="25"/>
      <c r="N273" s="25"/>
      <c r="O273" s="38" t="str">
        <f aca="false">IF($C273="","",SUMIFS(电梯台量,电梯键,$E273,电梯状态,"安装免保")+SUMIFS(电梯台量,电梯键,$E273,电梯状态,"技术免保")+SUMIFS(电梯台量,电梯键,$E273,电梯状态,"质保期内"))</f>
        <v/>
      </c>
      <c r="P273" s="38" t="str">
        <f aca="false">IF($C273="","",$K273-$O273)</f>
        <v/>
      </c>
      <c r="Q273" s="34" t="str">
        <f aca="true">IF($C273="","",IF($G273="已终止","",IF($I273="","▲没填合同止期",IF($I273&lt;TODAY(),"已到期 "&amp;TEXT(TODAY()-$I273,"0")&amp;" 天",IF($I273-TODAY()&lt;=合同提醒天,"将到期 "&amp;TEXT($I273-TODAY(),"0")&amp;" 天","")))))</f>
        <v/>
      </c>
      <c r="R273" s="34" t="str">
        <f aca="false">IF($C273="","",IF($G273="","▲合同状态没选",IF(OR($G273="已签未回",$G273="未签",$G273="续签中"),"▲合同未回（"&amp;$G273&amp;"）","")))</f>
        <v/>
      </c>
      <c r="S273" s="35" t="str">
        <f aca="false">IF($C273="","",IF(N($J273)=N($K273),"一致","★合同"&amp;TEXT(N($J273),"0")&amp;"台 / 在册"&amp;TEXT(N($K273),"0")&amp;"台"))</f>
        <v/>
      </c>
      <c r="T273" s="40" t="str">
        <f aca="false">IF($C273="","",ROUND(SUMIFS(应收金额,应收键,$E273,应收年度,管理年度),2))</f>
        <v/>
      </c>
      <c r="U273" s="40" t="str">
        <f aca="false">IF($C273="","",ROUND(SUMIFS(收款金额,收款键,$E273,收款年度,管理年度),2))</f>
        <v/>
      </c>
      <c r="V273" s="41" t="str">
        <f aca="false">IF($C273="","",ROUND(SUMIF(应收键,$E273,应收金额)-SUMIF(收款键,$E273,收款金额),2))</f>
        <v/>
      </c>
      <c r="W273" s="24"/>
      <c r="X273" s="35" t="str">
        <f aca="false">IF($C273="","",IF($D273="","★项目名称没填",IF(COUNTIF($E$5:$E$304,$E273)&gt;1,"★键重复",IF(AND($H273&lt;&gt;"",$I273&lt;&gt;"",$I273&lt;$H273),"★合同起止反了",IF(N($K273)=0,"★电梯资料里没有这个项目","OK")))))</f>
        <v/>
      </c>
    </row>
    <row r="274" customFormat="false" ht="15" hidden="false" customHeight="false" outlineLevel="0" collapsed="false">
      <c r="A274" s="29" t="str">
        <f aca="false">IF($C274="","",ROW()-4)</f>
        <v/>
      </c>
      <c r="B274" s="35" t="str">
        <f aca="false">IF($C274="","",IFERROR(INDEX(电梯片区,MATCH($E274,电梯键,0)),""))</f>
        <v/>
      </c>
      <c r="C274" s="24"/>
      <c r="D274" s="24"/>
      <c r="E274" s="30" t="str">
        <f aca="false">IF($C274="","",$C274&amp;" ｜ "&amp;$D274)</f>
        <v/>
      </c>
      <c r="F274" s="25"/>
      <c r="G274" s="25"/>
      <c r="H274" s="33"/>
      <c r="I274" s="33"/>
      <c r="J274" s="32"/>
      <c r="K274" s="38" t="str">
        <f aca="false">IF($C274="","",SUMIF(电梯键,$E274,电梯台量))</f>
        <v/>
      </c>
      <c r="L274" s="39"/>
      <c r="M274" s="25"/>
      <c r="N274" s="25"/>
      <c r="O274" s="38" t="str">
        <f aca="false">IF($C274="","",SUMIFS(电梯台量,电梯键,$E274,电梯状态,"安装免保")+SUMIFS(电梯台量,电梯键,$E274,电梯状态,"技术免保")+SUMIFS(电梯台量,电梯键,$E274,电梯状态,"质保期内"))</f>
        <v/>
      </c>
      <c r="P274" s="38" t="str">
        <f aca="false">IF($C274="","",$K274-$O274)</f>
        <v/>
      </c>
      <c r="Q274" s="34" t="str">
        <f aca="true">IF($C274="","",IF($G274="已终止","",IF($I274="","▲没填合同止期",IF($I274&lt;TODAY(),"已到期 "&amp;TEXT(TODAY()-$I274,"0")&amp;" 天",IF($I274-TODAY()&lt;=合同提醒天,"将到期 "&amp;TEXT($I274-TODAY(),"0")&amp;" 天","")))))</f>
        <v/>
      </c>
      <c r="R274" s="34" t="str">
        <f aca="false">IF($C274="","",IF($G274="","▲合同状态没选",IF(OR($G274="已签未回",$G274="未签",$G274="续签中"),"▲合同未回（"&amp;$G274&amp;"）","")))</f>
        <v/>
      </c>
      <c r="S274" s="35" t="str">
        <f aca="false">IF($C274="","",IF(N($J274)=N($K274),"一致","★合同"&amp;TEXT(N($J274),"0")&amp;"台 / 在册"&amp;TEXT(N($K274),"0")&amp;"台"))</f>
        <v/>
      </c>
      <c r="T274" s="40" t="str">
        <f aca="false">IF($C274="","",ROUND(SUMIFS(应收金额,应收键,$E274,应收年度,管理年度),2))</f>
        <v/>
      </c>
      <c r="U274" s="40" t="str">
        <f aca="false">IF($C274="","",ROUND(SUMIFS(收款金额,收款键,$E274,收款年度,管理年度),2))</f>
        <v/>
      </c>
      <c r="V274" s="41" t="str">
        <f aca="false">IF($C274="","",ROUND(SUMIF(应收键,$E274,应收金额)-SUMIF(收款键,$E274,收款金额),2))</f>
        <v/>
      </c>
      <c r="W274" s="24"/>
      <c r="X274" s="35" t="str">
        <f aca="false">IF($C274="","",IF($D274="","★项目名称没填",IF(COUNTIF($E$5:$E$304,$E274)&gt;1,"★键重复",IF(AND($H274&lt;&gt;"",$I274&lt;&gt;"",$I274&lt;$H274),"★合同起止反了",IF(N($K274)=0,"★电梯资料里没有这个项目","OK")))))</f>
        <v/>
      </c>
    </row>
    <row r="275" customFormat="false" ht="15" hidden="false" customHeight="false" outlineLevel="0" collapsed="false">
      <c r="A275" s="29" t="str">
        <f aca="false">IF($C275="","",ROW()-4)</f>
        <v/>
      </c>
      <c r="B275" s="35" t="str">
        <f aca="false">IF($C275="","",IFERROR(INDEX(电梯片区,MATCH($E275,电梯键,0)),""))</f>
        <v/>
      </c>
      <c r="C275" s="24"/>
      <c r="D275" s="24"/>
      <c r="E275" s="30" t="str">
        <f aca="false">IF($C275="","",$C275&amp;" ｜ "&amp;$D275)</f>
        <v/>
      </c>
      <c r="F275" s="25"/>
      <c r="G275" s="25"/>
      <c r="H275" s="33"/>
      <c r="I275" s="33"/>
      <c r="J275" s="32"/>
      <c r="K275" s="38" t="str">
        <f aca="false">IF($C275="","",SUMIF(电梯键,$E275,电梯台量))</f>
        <v/>
      </c>
      <c r="L275" s="39"/>
      <c r="M275" s="25"/>
      <c r="N275" s="25"/>
      <c r="O275" s="38" t="str">
        <f aca="false">IF($C275="","",SUMIFS(电梯台量,电梯键,$E275,电梯状态,"安装免保")+SUMIFS(电梯台量,电梯键,$E275,电梯状态,"技术免保")+SUMIFS(电梯台量,电梯键,$E275,电梯状态,"质保期内"))</f>
        <v/>
      </c>
      <c r="P275" s="38" t="str">
        <f aca="false">IF($C275="","",$K275-$O275)</f>
        <v/>
      </c>
      <c r="Q275" s="34" t="str">
        <f aca="true">IF($C275="","",IF($G275="已终止","",IF($I275="","▲没填合同止期",IF($I275&lt;TODAY(),"已到期 "&amp;TEXT(TODAY()-$I275,"0")&amp;" 天",IF($I275-TODAY()&lt;=合同提醒天,"将到期 "&amp;TEXT($I275-TODAY(),"0")&amp;" 天","")))))</f>
        <v/>
      </c>
      <c r="R275" s="34" t="str">
        <f aca="false">IF($C275="","",IF($G275="","▲合同状态没选",IF(OR($G275="已签未回",$G275="未签",$G275="续签中"),"▲合同未回（"&amp;$G275&amp;"）","")))</f>
        <v/>
      </c>
      <c r="S275" s="35" t="str">
        <f aca="false">IF($C275="","",IF(N($J275)=N($K275),"一致","★合同"&amp;TEXT(N($J275),"0")&amp;"台 / 在册"&amp;TEXT(N($K275),"0")&amp;"台"))</f>
        <v/>
      </c>
      <c r="T275" s="40" t="str">
        <f aca="false">IF($C275="","",ROUND(SUMIFS(应收金额,应收键,$E275,应收年度,管理年度),2))</f>
        <v/>
      </c>
      <c r="U275" s="40" t="str">
        <f aca="false">IF($C275="","",ROUND(SUMIFS(收款金额,收款键,$E275,收款年度,管理年度),2))</f>
        <v/>
      </c>
      <c r="V275" s="41" t="str">
        <f aca="false">IF($C275="","",ROUND(SUMIF(应收键,$E275,应收金额)-SUMIF(收款键,$E275,收款金额),2))</f>
        <v/>
      </c>
      <c r="W275" s="24"/>
      <c r="X275" s="35" t="str">
        <f aca="false">IF($C275="","",IF($D275="","★项目名称没填",IF(COUNTIF($E$5:$E$304,$E275)&gt;1,"★键重复",IF(AND($H275&lt;&gt;"",$I275&lt;&gt;"",$I275&lt;$H275),"★合同起止反了",IF(N($K275)=0,"★电梯资料里没有这个项目","OK")))))</f>
        <v/>
      </c>
    </row>
    <row r="276" customFormat="false" ht="15" hidden="false" customHeight="false" outlineLevel="0" collapsed="false">
      <c r="A276" s="29" t="str">
        <f aca="false">IF($C276="","",ROW()-4)</f>
        <v/>
      </c>
      <c r="B276" s="35" t="str">
        <f aca="false">IF($C276="","",IFERROR(INDEX(电梯片区,MATCH($E276,电梯键,0)),""))</f>
        <v/>
      </c>
      <c r="C276" s="24"/>
      <c r="D276" s="24"/>
      <c r="E276" s="30" t="str">
        <f aca="false">IF($C276="","",$C276&amp;" ｜ "&amp;$D276)</f>
        <v/>
      </c>
      <c r="F276" s="25"/>
      <c r="G276" s="25"/>
      <c r="H276" s="33"/>
      <c r="I276" s="33"/>
      <c r="J276" s="32"/>
      <c r="K276" s="38" t="str">
        <f aca="false">IF($C276="","",SUMIF(电梯键,$E276,电梯台量))</f>
        <v/>
      </c>
      <c r="L276" s="39"/>
      <c r="M276" s="25"/>
      <c r="N276" s="25"/>
      <c r="O276" s="38" t="str">
        <f aca="false">IF($C276="","",SUMIFS(电梯台量,电梯键,$E276,电梯状态,"安装免保")+SUMIFS(电梯台量,电梯键,$E276,电梯状态,"技术免保")+SUMIFS(电梯台量,电梯键,$E276,电梯状态,"质保期内"))</f>
        <v/>
      </c>
      <c r="P276" s="38" t="str">
        <f aca="false">IF($C276="","",$K276-$O276)</f>
        <v/>
      </c>
      <c r="Q276" s="34" t="str">
        <f aca="true">IF($C276="","",IF($G276="已终止","",IF($I276="","▲没填合同止期",IF($I276&lt;TODAY(),"已到期 "&amp;TEXT(TODAY()-$I276,"0")&amp;" 天",IF($I276-TODAY()&lt;=合同提醒天,"将到期 "&amp;TEXT($I276-TODAY(),"0")&amp;" 天","")))))</f>
        <v/>
      </c>
      <c r="R276" s="34" t="str">
        <f aca="false">IF($C276="","",IF($G276="","▲合同状态没选",IF(OR($G276="已签未回",$G276="未签",$G276="续签中"),"▲合同未回（"&amp;$G276&amp;"）","")))</f>
        <v/>
      </c>
      <c r="S276" s="35" t="str">
        <f aca="false">IF($C276="","",IF(N($J276)=N($K276),"一致","★合同"&amp;TEXT(N($J276),"0")&amp;"台 / 在册"&amp;TEXT(N($K276),"0")&amp;"台"))</f>
        <v/>
      </c>
      <c r="T276" s="40" t="str">
        <f aca="false">IF($C276="","",ROUND(SUMIFS(应收金额,应收键,$E276,应收年度,管理年度),2))</f>
        <v/>
      </c>
      <c r="U276" s="40" t="str">
        <f aca="false">IF($C276="","",ROUND(SUMIFS(收款金额,收款键,$E276,收款年度,管理年度),2))</f>
        <v/>
      </c>
      <c r="V276" s="41" t="str">
        <f aca="false">IF($C276="","",ROUND(SUMIF(应收键,$E276,应收金额)-SUMIF(收款键,$E276,收款金额),2))</f>
        <v/>
      </c>
      <c r="W276" s="24"/>
      <c r="X276" s="35" t="str">
        <f aca="false">IF($C276="","",IF($D276="","★项目名称没填",IF(COUNTIF($E$5:$E$304,$E276)&gt;1,"★键重复",IF(AND($H276&lt;&gt;"",$I276&lt;&gt;"",$I276&lt;$H276),"★合同起止反了",IF(N($K276)=0,"★电梯资料里没有这个项目","OK")))))</f>
        <v/>
      </c>
    </row>
    <row r="277" customFormat="false" ht="15" hidden="false" customHeight="false" outlineLevel="0" collapsed="false">
      <c r="A277" s="29" t="str">
        <f aca="false">IF($C277="","",ROW()-4)</f>
        <v/>
      </c>
      <c r="B277" s="35" t="str">
        <f aca="false">IF($C277="","",IFERROR(INDEX(电梯片区,MATCH($E277,电梯键,0)),""))</f>
        <v/>
      </c>
      <c r="C277" s="24"/>
      <c r="D277" s="24"/>
      <c r="E277" s="30" t="str">
        <f aca="false">IF($C277="","",$C277&amp;" ｜ "&amp;$D277)</f>
        <v/>
      </c>
      <c r="F277" s="25"/>
      <c r="G277" s="25"/>
      <c r="H277" s="33"/>
      <c r="I277" s="33"/>
      <c r="J277" s="32"/>
      <c r="K277" s="38" t="str">
        <f aca="false">IF($C277="","",SUMIF(电梯键,$E277,电梯台量))</f>
        <v/>
      </c>
      <c r="L277" s="39"/>
      <c r="M277" s="25"/>
      <c r="N277" s="25"/>
      <c r="O277" s="38" t="str">
        <f aca="false">IF($C277="","",SUMIFS(电梯台量,电梯键,$E277,电梯状态,"安装免保")+SUMIFS(电梯台量,电梯键,$E277,电梯状态,"技术免保")+SUMIFS(电梯台量,电梯键,$E277,电梯状态,"质保期内"))</f>
        <v/>
      </c>
      <c r="P277" s="38" t="str">
        <f aca="false">IF($C277="","",$K277-$O277)</f>
        <v/>
      </c>
      <c r="Q277" s="34" t="str">
        <f aca="true">IF($C277="","",IF($G277="已终止","",IF($I277="","▲没填合同止期",IF($I277&lt;TODAY(),"已到期 "&amp;TEXT(TODAY()-$I277,"0")&amp;" 天",IF($I277-TODAY()&lt;=合同提醒天,"将到期 "&amp;TEXT($I277-TODAY(),"0")&amp;" 天","")))))</f>
        <v/>
      </c>
      <c r="R277" s="34" t="str">
        <f aca="false">IF($C277="","",IF($G277="","▲合同状态没选",IF(OR($G277="已签未回",$G277="未签",$G277="续签中"),"▲合同未回（"&amp;$G277&amp;"）","")))</f>
        <v/>
      </c>
      <c r="S277" s="35" t="str">
        <f aca="false">IF($C277="","",IF(N($J277)=N($K277),"一致","★合同"&amp;TEXT(N($J277),"0")&amp;"台 / 在册"&amp;TEXT(N($K277),"0")&amp;"台"))</f>
        <v/>
      </c>
      <c r="T277" s="40" t="str">
        <f aca="false">IF($C277="","",ROUND(SUMIFS(应收金额,应收键,$E277,应收年度,管理年度),2))</f>
        <v/>
      </c>
      <c r="U277" s="40" t="str">
        <f aca="false">IF($C277="","",ROUND(SUMIFS(收款金额,收款键,$E277,收款年度,管理年度),2))</f>
        <v/>
      </c>
      <c r="V277" s="41" t="str">
        <f aca="false">IF($C277="","",ROUND(SUMIF(应收键,$E277,应收金额)-SUMIF(收款键,$E277,收款金额),2))</f>
        <v/>
      </c>
      <c r="W277" s="24"/>
      <c r="X277" s="35" t="str">
        <f aca="false">IF($C277="","",IF($D277="","★项目名称没填",IF(COUNTIF($E$5:$E$304,$E277)&gt;1,"★键重复",IF(AND($H277&lt;&gt;"",$I277&lt;&gt;"",$I277&lt;$H277),"★合同起止反了",IF(N($K277)=0,"★电梯资料里没有这个项目","OK")))))</f>
        <v/>
      </c>
    </row>
    <row r="278" customFormat="false" ht="15" hidden="false" customHeight="false" outlineLevel="0" collapsed="false">
      <c r="A278" s="29" t="str">
        <f aca="false">IF($C278="","",ROW()-4)</f>
        <v/>
      </c>
      <c r="B278" s="35" t="str">
        <f aca="false">IF($C278="","",IFERROR(INDEX(电梯片区,MATCH($E278,电梯键,0)),""))</f>
        <v/>
      </c>
      <c r="C278" s="24"/>
      <c r="D278" s="24"/>
      <c r="E278" s="30" t="str">
        <f aca="false">IF($C278="","",$C278&amp;" ｜ "&amp;$D278)</f>
        <v/>
      </c>
      <c r="F278" s="25"/>
      <c r="G278" s="25"/>
      <c r="H278" s="33"/>
      <c r="I278" s="33"/>
      <c r="J278" s="32"/>
      <c r="K278" s="38" t="str">
        <f aca="false">IF($C278="","",SUMIF(电梯键,$E278,电梯台量))</f>
        <v/>
      </c>
      <c r="L278" s="39"/>
      <c r="M278" s="25"/>
      <c r="N278" s="25"/>
      <c r="O278" s="38" t="str">
        <f aca="false">IF($C278="","",SUMIFS(电梯台量,电梯键,$E278,电梯状态,"安装免保")+SUMIFS(电梯台量,电梯键,$E278,电梯状态,"技术免保")+SUMIFS(电梯台量,电梯键,$E278,电梯状态,"质保期内"))</f>
        <v/>
      </c>
      <c r="P278" s="38" t="str">
        <f aca="false">IF($C278="","",$K278-$O278)</f>
        <v/>
      </c>
      <c r="Q278" s="34" t="str">
        <f aca="true">IF($C278="","",IF($G278="已终止","",IF($I278="","▲没填合同止期",IF($I278&lt;TODAY(),"已到期 "&amp;TEXT(TODAY()-$I278,"0")&amp;" 天",IF($I278-TODAY()&lt;=合同提醒天,"将到期 "&amp;TEXT($I278-TODAY(),"0")&amp;" 天","")))))</f>
        <v/>
      </c>
      <c r="R278" s="34" t="str">
        <f aca="false">IF($C278="","",IF($G278="","▲合同状态没选",IF(OR($G278="已签未回",$G278="未签",$G278="续签中"),"▲合同未回（"&amp;$G278&amp;"）","")))</f>
        <v/>
      </c>
      <c r="S278" s="35" t="str">
        <f aca="false">IF($C278="","",IF(N($J278)=N($K278),"一致","★合同"&amp;TEXT(N($J278),"0")&amp;"台 / 在册"&amp;TEXT(N($K278),"0")&amp;"台"))</f>
        <v/>
      </c>
      <c r="T278" s="40" t="str">
        <f aca="false">IF($C278="","",ROUND(SUMIFS(应收金额,应收键,$E278,应收年度,管理年度),2))</f>
        <v/>
      </c>
      <c r="U278" s="40" t="str">
        <f aca="false">IF($C278="","",ROUND(SUMIFS(收款金额,收款键,$E278,收款年度,管理年度),2))</f>
        <v/>
      </c>
      <c r="V278" s="41" t="str">
        <f aca="false">IF($C278="","",ROUND(SUMIF(应收键,$E278,应收金额)-SUMIF(收款键,$E278,收款金额),2))</f>
        <v/>
      </c>
      <c r="W278" s="24"/>
      <c r="X278" s="35" t="str">
        <f aca="false">IF($C278="","",IF($D278="","★项目名称没填",IF(COUNTIF($E$5:$E$304,$E278)&gt;1,"★键重复",IF(AND($H278&lt;&gt;"",$I278&lt;&gt;"",$I278&lt;$H278),"★合同起止反了",IF(N($K278)=0,"★电梯资料里没有这个项目","OK")))))</f>
        <v/>
      </c>
    </row>
    <row r="279" customFormat="false" ht="15" hidden="false" customHeight="false" outlineLevel="0" collapsed="false">
      <c r="A279" s="29" t="str">
        <f aca="false">IF($C279="","",ROW()-4)</f>
        <v/>
      </c>
      <c r="B279" s="35" t="str">
        <f aca="false">IF($C279="","",IFERROR(INDEX(电梯片区,MATCH($E279,电梯键,0)),""))</f>
        <v/>
      </c>
      <c r="C279" s="24"/>
      <c r="D279" s="24"/>
      <c r="E279" s="30" t="str">
        <f aca="false">IF($C279="","",$C279&amp;" ｜ "&amp;$D279)</f>
        <v/>
      </c>
      <c r="F279" s="25"/>
      <c r="G279" s="25"/>
      <c r="H279" s="33"/>
      <c r="I279" s="33"/>
      <c r="J279" s="32"/>
      <c r="K279" s="38" t="str">
        <f aca="false">IF($C279="","",SUMIF(电梯键,$E279,电梯台量))</f>
        <v/>
      </c>
      <c r="L279" s="39"/>
      <c r="M279" s="25"/>
      <c r="N279" s="25"/>
      <c r="O279" s="38" t="str">
        <f aca="false">IF($C279="","",SUMIFS(电梯台量,电梯键,$E279,电梯状态,"安装免保")+SUMIFS(电梯台量,电梯键,$E279,电梯状态,"技术免保")+SUMIFS(电梯台量,电梯键,$E279,电梯状态,"质保期内"))</f>
        <v/>
      </c>
      <c r="P279" s="38" t="str">
        <f aca="false">IF($C279="","",$K279-$O279)</f>
        <v/>
      </c>
      <c r="Q279" s="34" t="str">
        <f aca="true">IF($C279="","",IF($G279="已终止","",IF($I279="","▲没填合同止期",IF($I279&lt;TODAY(),"已到期 "&amp;TEXT(TODAY()-$I279,"0")&amp;" 天",IF($I279-TODAY()&lt;=合同提醒天,"将到期 "&amp;TEXT($I279-TODAY(),"0")&amp;" 天","")))))</f>
        <v/>
      </c>
      <c r="R279" s="34" t="str">
        <f aca="false">IF($C279="","",IF($G279="","▲合同状态没选",IF(OR($G279="已签未回",$G279="未签",$G279="续签中"),"▲合同未回（"&amp;$G279&amp;"）","")))</f>
        <v/>
      </c>
      <c r="S279" s="35" t="str">
        <f aca="false">IF($C279="","",IF(N($J279)=N($K279),"一致","★合同"&amp;TEXT(N($J279),"0")&amp;"台 / 在册"&amp;TEXT(N($K279),"0")&amp;"台"))</f>
        <v/>
      </c>
      <c r="T279" s="40" t="str">
        <f aca="false">IF($C279="","",ROUND(SUMIFS(应收金额,应收键,$E279,应收年度,管理年度),2))</f>
        <v/>
      </c>
      <c r="U279" s="40" t="str">
        <f aca="false">IF($C279="","",ROUND(SUMIFS(收款金额,收款键,$E279,收款年度,管理年度),2))</f>
        <v/>
      </c>
      <c r="V279" s="41" t="str">
        <f aca="false">IF($C279="","",ROUND(SUMIF(应收键,$E279,应收金额)-SUMIF(收款键,$E279,收款金额),2))</f>
        <v/>
      </c>
      <c r="W279" s="24"/>
      <c r="X279" s="35" t="str">
        <f aca="false">IF($C279="","",IF($D279="","★项目名称没填",IF(COUNTIF($E$5:$E$304,$E279)&gt;1,"★键重复",IF(AND($H279&lt;&gt;"",$I279&lt;&gt;"",$I279&lt;$H279),"★合同起止反了",IF(N($K279)=0,"★电梯资料里没有这个项目","OK")))))</f>
        <v/>
      </c>
    </row>
    <row r="280" customFormat="false" ht="15" hidden="false" customHeight="false" outlineLevel="0" collapsed="false">
      <c r="A280" s="29" t="str">
        <f aca="false">IF($C280="","",ROW()-4)</f>
        <v/>
      </c>
      <c r="B280" s="35" t="str">
        <f aca="false">IF($C280="","",IFERROR(INDEX(电梯片区,MATCH($E280,电梯键,0)),""))</f>
        <v/>
      </c>
      <c r="C280" s="24"/>
      <c r="D280" s="24"/>
      <c r="E280" s="30" t="str">
        <f aca="false">IF($C280="","",$C280&amp;" ｜ "&amp;$D280)</f>
        <v/>
      </c>
      <c r="F280" s="25"/>
      <c r="G280" s="25"/>
      <c r="H280" s="33"/>
      <c r="I280" s="33"/>
      <c r="J280" s="32"/>
      <c r="K280" s="38" t="str">
        <f aca="false">IF($C280="","",SUMIF(电梯键,$E280,电梯台量))</f>
        <v/>
      </c>
      <c r="L280" s="39"/>
      <c r="M280" s="25"/>
      <c r="N280" s="25"/>
      <c r="O280" s="38" t="str">
        <f aca="false">IF($C280="","",SUMIFS(电梯台量,电梯键,$E280,电梯状态,"安装免保")+SUMIFS(电梯台量,电梯键,$E280,电梯状态,"技术免保")+SUMIFS(电梯台量,电梯键,$E280,电梯状态,"质保期内"))</f>
        <v/>
      </c>
      <c r="P280" s="38" t="str">
        <f aca="false">IF($C280="","",$K280-$O280)</f>
        <v/>
      </c>
      <c r="Q280" s="34" t="str">
        <f aca="true">IF($C280="","",IF($G280="已终止","",IF($I280="","▲没填合同止期",IF($I280&lt;TODAY(),"已到期 "&amp;TEXT(TODAY()-$I280,"0")&amp;" 天",IF($I280-TODAY()&lt;=合同提醒天,"将到期 "&amp;TEXT($I280-TODAY(),"0")&amp;" 天","")))))</f>
        <v/>
      </c>
      <c r="R280" s="34" t="str">
        <f aca="false">IF($C280="","",IF($G280="","▲合同状态没选",IF(OR($G280="已签未回",$G280="未签",$G280="续签中"),"▲合同未回（"&amp;$G280&amp;"）","")))</f>
        <v/>
      </c>
      <c r="S280" s="35" t="str">
        <f aca="false">IF($C280="","",IF(N($J280)=N($K280),"一致","★合同"&amp;TEXT(N($J280),"0")&amp;"台 / 在册"&amp;TEXT(N($K280),"0")&amp;"台"))</f>
        <v/>
      </c>
      <c r="T280" s="40" t="str">
        <f aca="false">IF($C280="","",ROUND(SUMIFS(应收金额,应收键,$E280,应收年度,管理年度),2))</f>
        <v/>
      </c>
      <c r="U280" s="40" t="str">
        <f aca="false">IF($C280="","",ROUND(SUMIFS(收款金额,收款键,$E280,收款年度,管理年度),2))</f>
        <v/>
      </c>
      <c r="V280" s="41" t="str">
        <f aca="false">IF($C280="","",ROUND(SUMIF(应收键,$E280,应收金额)-SUMIF(收款键,$E280,收款金额),2))</f>
        <v/>
      </c>
      <c r="W280" s="24"/>
      <c r="X280" s="35" t="str">
        <f aca="false">IF($C280="","",IF($D280="","★项目名称没填",IF(COUNTIF($E$5:$E$304,$E280)&gt;1,"★键重复",IF(AND($H280&lt;&gt;"",$I280&lt;&gt;"",$I280&lt;$H280),"★合同起止反了",IF(N($K280)=0,"★电梯资料里没有这个项目","OK")))))</f>
        <v/>
      </c>
    </row>
    <row r="281" customFormat="false" ht="15" hidden="false" customHeight="false" outlineLevel="0" collapsed="false">
      <c r="A281" s="29" t="str">
        <f aca="false">IF($C281="","",ROW()-4)</f>
        <v/>
      </c>
      <c r="B281" s="35" t="str">
        <f aca="false">IF($C281="","",IFERROR(INDEX(电梯片区,MATCH($E281,电梯键,0)),""))</f>
        <v/>
      </c>
      <c r="C281" s="24"/>
      <c r="D281" s="24"/>
      <c r="E281" s="30" t="str">
        <f aca="false">IF($C281="","",$C281&amp;" ｜ "&amp;$D281)</f>
        <v/>
      </c>
      <c r="F281" s="25"/>
      <c r="G281" s="25"/>
      <c r="H281" s="33"/>
      <c r="I281" s="33"/>
      <c r="J281" s="32"/>
      <c r="K281" s="38" t="str">
        <f aca="false">IF($C281="","",SUMIF(电梯键,$E281,电梯台量))</f>
        <v/>
      </c>
      <c r="L281" s="39"/>
      <c r="M281" s="25"/>
      <c r="N281" s="25"/>
      <c r="O281" s="38" t="str">
        <f aca="false">IF($C281="","",SUMIFS(电梯台量,电梯键,$E281,电梯状态,"安装免保")+SUMIFS(电梯台量,电梯键,$E281,电梯状态,"技术免保")+SUMIFS(电梯台量,电梯键,$E281,电梯状态,"质保期内"))</f>
        <v/>
      </c>
      <c r="P281" s="38" t="str">
        <f aca="false">IF($C281="","",$K281-$O281)</f>
        <v/>
      </c>
      <c r="Q281" s="34" t="str">
        <f aca="true">IF($C281="","",IF($G281="已终止","",IF($I281="","▲没填合同止期",IF($I281&lt;TODAY(),"已到期 "&amp;TEXT(TODAY()-$I281,"0")&amp;" 天",IF($I281-TODAY()&lt;=合同提醒天,"将到期 "&amp;TEXT($I281-TODAY(),"0")&amp;" 天","")))))</f>
        <v/>
      </c>
      <c r="R281" s="34" t="str">
        <f aca="false">IF($C281="","",IF($G281="","▲合同状态没选",IF(OR($G281="已签未回",$G281="未签",$G281="续签中"),"▲合同未回（"&amp;$G281&amp;"）","")))</f>
        <v/>
      </c>
      <c r="S281" s="35" t="str">
        <f aca="false">IF($C281="","",IF(N($J281)=N($K281),"一致","★合同"&amp;TEXT(N($J281),"0")&amp;"台 / 在册"&amp;TEXT(N($K281),"0")&amp;"台"))</f>
        <v/>
      </c>
      <c r="T281" s="40" t="str">
        <f aca="false">IF($C281="","",ROUND(SUMIFS(应收金额,应收键,$E281,应收年度,管理年度),2))</f>
        <v/>
      </c>
      <c r="U281" s="40" t="str">
        <f aca="false">IF($C281="","",ROUND(SUMIFS(收款金额,收款键,$E281,收款年度,管理年度),2))</f>
        <v/>
      </c>
      <c r="V281" s="41" t="str">
        <f aca="false">IF($C281="","",ROUND(SUMIF(应收键,$E281,应收金额)-SUMIF(收款键,$E281,收款金额),2))</f>
        <v/>
      </c>
      <c r="W281" s="24"/>
      <c r="X281" s="35" t="str">
        <f aca="false">IF($C281="","",IF($D281="","★项目名称没填",IF(COUNTIF($E$5:$E$304,$E281)&gt;1,"★键重复",IF(AND($H281&lt;&gt;"",$I281&lt;&gt;"",$I281&lt;$H281),"★合同起止反了",IF(N($K281)=0,"★电梯资料里没有这个项目","OK")))))</f>
        <v/>
      </c>
    </row>
    <row r="282" customFormat="false" ht="15" hidden="false" customHeight="false" outlineLevel="0" collapsed="false">
      <c r="A282" s="29" t="str">
        <f aca="false">IF($C282="","",ROW()-4)</f>
        <v/>
      </c>
      <c r="B282" s="35" t="str">
        <f aca="false">IF($C282="","",IFERROR(INDEX(电梯片区,MATCH($E282,电梯键,0)),""))</f>
        <v/>
      </c>
      <c r="C282" s="24"/>
      <c r="D282" s="24"/>
      <c r="E282" s="30" t="str">
        <f aca="false">IF($C282="","",$C282&amp;" ｜ "&amp;$D282)</f>
        <v/>
      </c>
      <c r="F282" s="25"/>
      <c r="G282" s="25"/>
      <c r="H282" s="33"/>
      <c r="I282" s="33"/>
      <c r="J282" s="32"/>
      <c r="K282" s="38" t="str">
        <f aca="false">IF($C282="","",SUMIF(电梯键,$E282,电梯台量))</f>
        <v/>
      </c>
      <c r="L282" s="39"/>
      <c r="M282" s="25"/>
      <c r="N282" s="25"/>
      <c r="O282" s="38" t="str">
        <f aca="false">IF($C282="","",SUMIFS(电梯台量,电梯键,$E282,电梯状态,"安装免保")+SUMIFS(电梯台量,电梯键,$E282,电梯状态,"技术免保")+SUMIFS(电梯台量,电梯键,$E282,电梯状态,"质保期内"))</f>
        <v/>
      </c>
      <c r="P282" s="38" t="str">
        <f aca="false">IF($C282="","",$K282-$O282)</f>
        <v/>
      </c>
      <c r="Q282" s="34" t="str">
        <f aca="true">IF($C282="","",IF($G282="已终止","",IF($I282="","▲没填合同止期",IF($I282&lt;TODAY(),"已到期 "&amp;TEXT(TODAY()-$I282,"0")&amp;" 天",IF($I282-TODAY()&lt;=合同提醒天,"将到期 "&amp;TEXT($I282-TODAY(),"0")&amp;" 天","")))))</f>
        <v/>
      </c>
      <c r="R282" s="34" t="str">
        <f aca="false">IF($C282="","",IF($G282="","▲合同状态没选",IF(OR($G282="已签未回",$G282="未签",$G282="续签中"),"▲合同未回（"&amp;$G282&amp;"）","")))</f>
        <v/>
      </c>
      <c r="S282" s="35" t="str">
        <f aca="false">IF($C282="","",IF(N($J282)=N($K282),"一致","★合同"&amp;TEXT(N($J282),"0")&amp;"台 / 在册"&amp;TEXT(N($K282),"0")&amp;"台"))</f>
        <v/>
      </c>
      <c r="T282" s="40" t="str">
        <f aca="false">IF($C282="","",ROUND(SUMIFS(应收金额,应收键,$E282,应收年度,管理年度),2))</f>
        <v/>
      </c>
      <c r="U282" s="40" t="str">
        <f aca="false">IF($C282="","",ROUND(SUMIFS(收款金额,收款键,$E282,收款年度,管理年度),2))</f>
        <v/>
      </c>
      <c r="V282" s="41" t="str">
        <f aca="false">IF($C282="","",ROUND(SUMIF(应收键,$E282,应收金额)-SUMIF(收款键,$E282,收款金额),2))</f>
        <v/>
      </c>
      <c r="W282" s="24"/>
      <c r="X282" s="35" t="str">
        <f aca="false">IF($C282="","",IF($D282="","★项目名称没填",IF(COUNTIF($E$5:$E$304,$E282)&gt;1,"★键重复",IF(AND($H282&lt;&gt;"",$I282&lt;&gt;"",$I282&lt;$H282),"★合同起止反了",IF(N($K282)=0,"★电梯资料里没有这个项目","OK")))))</f>
        <v/>
      </c>
    </row>
    <row r="283" customFormat="false" ht="15" hidden="false" customHeight="false" outlineLevel="0" collapsed="false">
      <c r="A283" s="29" t="str">
        <f aca="false">IF($C283="","",ROW()-4)</f>
        <v/>
      </c>
      <c r="B283" s="35" t="str">
        <f aca="false">IF($C283="","",IFERROR(INDEX(电梯片区,MATCH($E283,电梯键,0)),""))</f>
        <v/>
      </c>
      <c r="C283" s="24"/>
      <c r="D283" s="24"/>
      <c r="E283" s="30" t="str">
        <f aca="false">IF($C283="","",$C283&amp;" ｜ "&amp;$D283)</f>
        <v/>
      </c>
      <c r="F283" s="25"/>
      <c r="G283" s="25"/>
      <c r="H283" s="33"/>
      <c r="I283" s="33"/>
      <c r="J283" s="32"/>
      <c r="K283" s="38" t="str">
        <f aca="false">IF($C283="","",SUMIF(电梯键,$E283,电梯台量))</f>
        <v/>
      </c>
      <c r="L283" s="39"/>
      <c r="M283" s="25"/>
      <c r="N283" s="25"/>
      <c r="O283" s="38" t="str">
        <f aca="false">IF($C283="","",SUMIFS(电梯台量,电梯键,$E283,电梯状态,"安装免保")+SUMIFS(电梯台量,电梯键,$E283,电梯状态,"技术免保")+SUMIFS(电梯台量,电梯键,$E283,电梯状态,"质保期内"))</f>
        <v/>
      </c>
      <c r="P283" s="38" t="str">
        <f aca="false">IF($C283="","",$K283-$O283)</f>
        <v/>
      </c>
      <c r="Q283" s="34" t="str">
        <f aca="true">IF($C283="","",IF($G283="已终止","",IF($I283="","▲没填合同止期",IF($I283&lt;TODAY(),"已到期 "&amp;TEXT(TODAY()-$I283,"0")&amp;" 天",IF($I283-TODAY()&lt;=合同提醒天,"将到期 "&amp;TEXT($I283-TODAY(),"0")&amp;" 天","")))))</f>
        <v/>
      </c>
      <c r="R283" s="34" t="str">
        <f aca="false">IF($C283="","",IF($G283="","▲合同状态没选",IF(OR($G283="已签未回",$G283="未签",$G283="续签中"),"▲合同未回（"&amp;$G283&amp;"）","")))</f>
        <v/>
      </c>
      <c r="S283" s="35" t="str">
        <f aca="false">IF($C283="","",IF(N($J283)=N($K283),"一致","★合同"&amp;TEXT(N($J283),"0")&amp;"台 / 在册"&amp;TEXT(N($K283),"0")&amp;"台"))</f>
        <v/>
      </c>
      <c r="T283" s="40" t="str">
        <f aca="false">IF($C283="","",ROUND(SUMIFS(应收金额,应收键,$E283,应收年度,管理年度),2))</f>
        <v/>
      </c>
      <c r="U283" s="40" t="str">
        <f aca="false">IF($C283="","",ROUND(SUMIFS(收款金额,收款键,$E283,收款年度,管理年度),2))</f>
        <v/>
      </c>
      <c r="V283" s="41" t="str">
        <f aca="false">IF($C283="","",ROUND(SUMIF(应收键,$E283,应收金额)-SUMIF(收款键,$E283,收款金额),2))</f>
        <v/>
      </c>
      <c r="W283" s="24"/>
      <c r="X283" s="35" t="str">
        <f aca="false">IF($C283="","",IF($D283="","★项目名称没填",IF(COUNTIF($E$5:$E$304,$E283)&gt;1,"★键重复",IF(AND($H283&lt;&gt;"",$I283&lt;&gt;"",$I283&lt;$H283),"★合同起止反了",IF(N($K283)=0,"★电梯资料里没有这个项目","OK")))))</f>
        <v/>
      </c>
    </row>
    <row r="284" customFormat="false" ht="15" hidden="false" customHeight="false" outlineLevel="0" collapsed="false">
      <c r="A284" s="29" t="str">
        <f aca="false">IF($C284="","",ROW()-4)</f>
        <v/>
      </c>
      <c r="B284" s="35" t="str">
        <f aca="false">IF($C284="","",IFERROR(INDEX(电梯片区,MATCH($E284,电梯键,0)),""))</f>
        <v/>
      </c>
      <c r="C284" s="24"/>
      <c r="D284" s="24"/>
      <c r="E284" s="30" t="str">
        <f aca="false">IF($C284="","",$C284&amp;" ｜ "&amp;$D284)</f>
        <v/>
      </c>
      <c r="F284" s="25"/>
      <c r="G284" s="25"/>
      <c r="H284" s="33"/>
      <c r="I284" s="33"/>
      <c r="J284" s="32"/>
      <c r="K284" s="38" t="str">
        <f aca="false">IF($C284="","",SUMIF(电梯键,$E284,电梯台量))</f>
        <v/>
      </c>
      <c r="L284" s="39"/>
      <c r="M284" s="25"/>
      <c r="N284" s="25"/>
      <c r="O284" s="38" t="str">
        <f aca="false">IF($C284="","",SUMIFS(电梯台量,电梯键,$E284,电梯状态,"安装免保")+SUMIFS(电梯台量,电梯键,$E284,电梯状态,"技术免保")+SUMIFS(电梯台量,电梯键,$E284,电梯状态,"质保期内"))</f>
        <v/>
      </c>
      <c r="P284" s="38" t="str">
        <f aca="false">IF($C284="","",$K284-$O284)</f>
        <v/>
      </c>
      <c r="Q284" s="34" t="str">
        <f aca="true">IF($C284="","",IF($G284="已终止","",IF($I284="","▲没填合同止期",IF($I284&lt;TODAY(),"已到期 "&amp;TEXT(TODAY()-$I284,"0")&amp;" 天",IF($I284-TODAY()&lt;=合同提醒天,"将到期 "&amp;TEXT($I284-TODAY(),"0")&amp;" 天","")))))</f>
        <v/>
      </c>
      <c r="R284" s="34" t="str">
        <f aca="false">IF($C284="","",IF($G284="","▲合同状态没选",IF(OR($G284="已签未回",$G284="未签",$G284="续签中"),"▲合同未回（"&amp;$G284&amp;"）","")))</f>
        <v/>
      </c>
      <c r="S284" s="35" t="str">
        <f aca="false">IF($C284="","",IF(N($J284)=N($K284),"一致","★合同"&amp;TEXT(N($J284),"0")&amp;"台 / 在册"&amp;TEXT(N($K284),"0")&amp;"台"))</f>
        <v/>
      </c>
      <c r="T284" s="40" t="str">
        <f aca="false">IF($C284="","",ROUND(SUMIFS(应收金额,应收键,$E284,应收年度,管理年度),2))</f>
        <v/>
      </c>
      <c r="U284" s="40" t="str">
        <f aca="false">IF($C284="","",ROUND(SUMIFS(收款金额,收款键,$E284,收款年度,管理年度),2))</f>
        <v/>
      </c>
      <c r="V284" s="41" t="str">
        <f aca="false">IF($C284="","",ROUND(SUMIF(应收键,$E284,应收金额)-SUMIF(收款键,$E284,收款金额),2))</f>
        <v/>
      </c>
      <c r="W284" s="24"/>
      <c r="X284" s="35" t="str">
        <f aca="false">IF($C284="","",IF($D284="","★项目名称没填",IF(COUNTIF($E$5:$E$304,$E284)&gt;1,"★键重复",IF(AND($H284&lt;&gt;"",$I284&lt;&gt;"",$I284&lt;$H284),"★合同起止反了",IF(N($K284)=0,"★电梯资料里没有这个项目","OK")))))</f>
        <v/>
      </c>
    </row>
    <row r="285" customFormat="false" ht="15" hidden="false" customHeight="false" outlineLevel="0" collapsed="false">
      <c r="A285" s="29" t="str">
        <f aca="false">IF($C285="","",ROW()-4)</f>
        <v/>
      </c>
      <c r="B285" s="35" t="str">
        <f aca="false">IF($C285="","",IFERROR(INDEX(电梯片区,MATCH($E285,电梯键,0)),""))</f>
        <v/>
      </c>
      <c r="C285" s="24"/>
      <c r="D285" s="24"/>
      <c r="E285" s="30" t="str">
        <f aca="false">IF($C285="","",$C285&amp;" ｜ "&amp;$D285)</f>
        <v/>
      </c>
      <c r="F285" s="25"/>
      <c r="G285" s="25"/>
      <c r="H285" s="33"/>
      <c r="I285" s="33"/>
      <c r="J285" s="32"/>
      <c r="K285" s="38" t="str">
        <f aca="false">IF($C285="","",SUMIF(电梯键,$E285,电梯台量))</f>
        <v/>
      </c>
      <c r="L285" s="39"/>
      <c r="M285" s="25"/>
      <c r="N285" s="25"/>
      <c r="O285" s="38" t="str">
        <f aca="false">IF($C285="","",SUMIFS(电梯台量,电梯键,$E285,电梯状态,"安装免保")+SUMIFS(电梯台量,电梯键,$E285,电梯状态,"技术免保")+SUMIFS(电梯台量,电梯键,$E285,电梯状态,"质保期内"))</f>
        <v/>
      </c>
      <c r="P285" s="38" t="str">
        <f aca="false">IF($C285="","",$K285-$O285)</f>
        <v/>
      </c>
      <c r="Q285" s="34" t="str">
        <f aca="true">IF($C285="","",IF($G285="已终止","",IF($I285="","▲没填合同止期",IF($I285&lt;TODAY(),"已到期 "&amp;TEXT(TODAY()-$I285,"0")&amp;" 天",IF($I285-TODAY()&lt;=合同提醒天,"将到期 "&amp;TEXT($I285-TODAY(),"0")&amp;" 天","")))))</f>
        <v/>
      </c>
      <c r="R285" s="34" t="str">
        <f aca="false">IF($C285="","",IF($G285="","▲合同状态没选",IF(OR($G285="已签未回",$G285="未签",$G285="续签中"),"▲合同未回（"&amp;$G285&amp;"）","")))</f>
        <v/>
      </c>
      <c r="S285" s="35" t="str">
        <f aca="false">IF($C285="","",IF(N($J285)=N($K285),"一致","★合同"&amp;TEXT(N($J285),"0")&amp;"台 / 在册"&amp;TEXT(N($K285),"0")&amp;"台"))</f>
        <v/>
      </c>
      <c r="T285" s="40" t="str">
        <f aca="false">IF($C285="","",ROUND(SUMIFS(应收金额,应收键,$E285,应收年度,管理年度),2))</f>
        <v/>
      </c>
      <c r="U285" s="40" t="str">
        <f aca="false">IF($C285="","",ROUND(SUMIFS(收款金额,收款键,$E285,收款年度,管理年度),2))</f>
        <v/>
      </c>
      <c r="V285" s="41" t="str">
        <f aca="false">IF($C285="","",ROUND(SUMIF(应收键,$E285,应收金额)-SUMIF(收款键,$E285,收款金额),2))</f>
        <v/>
      </c>
      <c r="W285" s="24"/>
      <c r="X285" s="35" t="str">
        <f aca="false">IF($C285="","",IF($D285="","★项目名称没填",IF(COUNTIF($E$5:$E$304,$E285)&gt;1,"★键重复",IF(AND($H285&lt;&gt;"",$I285&lt;&gt;"",$I285&lt;$H285),"★合同起止反了",IF(N($K285)=0,"★电梯资料里没有这个项目","OK")))))</f>
        <v/>
      </c>
    </row>
    <row r="286" customFormat="false" ht="15" hidden="false" customHeight="false" outlineLevel="0" collapsed="false">
      <c r="A286" s="29" t="str">
        <f aca="false">IF($C286="","",ROW()-4)</f>
        <v/>
      </c>
      <c r="B286" s="35" t="str">
        <f aca="false">IF($C286="","",IFERROR(INDEX(电梯片区,MATCH($E286,电梯键,0)),""))</f>
        <v/>
      </c>
      <c r="C286" s="24"/>
      <c r="D286" s="24"/>
      <c r="E286" s="30" t="str">
        <f aca="false">IF($C286="","",$C286&amp;" ｜ "&amp;$D286)</f>
        <v/>
      </c>
      <c r="F286" s="25"/>
      <c r="G286" s="25"/>
      <c r="H286" s="33"/>
      <c r="I286" s="33"/>
      <c r="J286" s="32"/>
      <c r="K286" s="38" t="str">
        <f aca="false">IF($C286="","",SUMIF(电梯键,$E286,电梯台量))</f>
        <v/>
      </c>
      <c r="L286" s="39"/>
      <c r="M286" s="25"/>
      <c r="N286" s="25"/>
      <c r="O286" s="38" t="str">
        <f aca="false">IF($C286="","",SUMIFS(电梯台量,电梯键,$E286,电梯状态,"安装免保")+SUMIFS(电梯台量,电梯键,$E286,电梯状态,"技术免保")+SUMIFS(电梯台量,电梯键,$E286,电梯状态,"质保期内"))</f>
        <v/>
      </c>
      <c r="P286" s="38" t="str">
        <f aca="false">IF($C286="","",$K286-$O286)</f>
        <v/>
      </c>
      <c r="Q286" s="34" t="str">
        <f aca="true">IF($C286="","",IF($G286="已终止","",IF($I286="","▲没填合同止期",IF($I286&lt;TODAY(),"已到期 "&amp;TEXT(TODAY()-$I286,"0")&amp;" 天",IF($I286-TODAY()&lt;=合同提醒天,"将到期 "&amp;TEXT($I286-TODAY(),"0")&amp;" 天","")))))</f>
        <v/>
      </c>
      <c r="R286" s="34" t="str">
        <f aca="false">IF($C286="","",IF($G286="","▲合同状态没选",IF(OR($G286="已签未回",$G286="未签",$G286="续签中"),"▲合同未回（"&amp;$G286&amp;"）","")))</f>
        <v/>
      </c>
      <c r="S286" s="35" t="str">
        <f aca="false">IF($C286="","",IF(N($J286)=N($K286),"一致","★合同"&amp;TEXT(N($J286),"0")&amp;"台 / 在册"&amp;TEXT(N($K286),"0")&amp;"台"))</f>
        <v/>
      </c>
      <c r="T286" s="40" t="str">
        <f aca="false">IF($C286="","",ROUND(SUMIFS(应收金额,应收键,$E286,应收年度,管理年度),2))</f>
        <v/>
      </c>
      <c r="U286" s="40" t="str">
        <f aca="false">IF($C286="","",ROUND(SUMIFS(收款金额,收款键,$E286,收款年度,管理年度),2))</f>
        <v/>
      </c>
      <c r="V286" s="41" t="str">
        <f aca="false">IF($C286="","",ROUND(SUMIF(应收键,$E286,应收金额)-SUMIF(收款键,$E286,收款金额),2))</f>
        <v/>
      </c>
      <c r="W286" s="24"/>
      <c r="X286" s="35" t="str">
        <f aca="false">IF($C286="","",IF($D286="","★项目名称没填",IF(COUNTIF($E$5:$E$304,$E286)&gt;1,"★键重复",IF(AND($H286&lt;&gt;"",$I286&lt;&gt;"",$I286&lt;$H286),"★合同起止反了",IF(N($K286)=0,"★电梯资料里没有这个项目","OK")))))</f>
        <v/>
      </c>
    </row>
    <row r="287" customFormat="false" ht="15" hidden="false" customHeight="false" outlineLevel="0" collapsed="false">
      <c r="A287" s="29" t="str">
        <f aca="false">IF($C287="","",ROW()-4)</f>
        <v/>
      </c>
      <c r="B287" s="35" t="str">
        <f aca="false">IF($C287="","",IFERROR(INDEX(电梯片区,MATCH($E287,电梯键,0)),""))</f>
        <v/>
      </c>
      <c r="C287" s="24"/>
      <c r="D287" s="24"/>
      <c r="E287" s="30" t="str">
        <f aca="false">IF($C287="","",$C287&amp;" ｜ "&amp;$D287)</f>
        <v/>
      </c>
      <c r="F287" s="25"/>
      <c r="G287" s="25"/>
      <c r="H287" s="33"/>
      <c r="I287" s="33"/>
      <c r="J287" s="32"/>
      <c r="K287" s="38" t="str">
        <f aca="false">IF($C287="","",SUMIF(电梯键,$E287,电梯台量))</f>
        <v/>
      </c>
      <c r="L287" s="39"/>
      <c r="M287" s="25"/>
      <c r="N287" s="25"/>
      <c r="O287" s="38" t="str">
        <f aca="false">IF($C287="","",SUMIFS(电梯台量,电梯键,$E287,电梯状态,"安装免保")+SUMIFS(电梯台量,电梯键,$E287,电梯状态,"技术免保")+SUMIFS(电梯台量,电梯键,$E287,电梯状态,"质保期内"))</f>
        <v/>
      </c>
      <c r="P287" s="38" t="str">
        <f aca="false">IF($C287="","",$K287-$O287)</f>
        <v/>
      </c>
      <c r="Q287" s="34" t="str">
        <f aca="true">IF($C287="","",IF($G287="已终止","",IF($I287="","▲没填合同止期",IF($I287&lt;TODAY(),"已到期 "&amp;TEXT(TODAY()-$I287,"0")&amp;" 天",IF($I287-TODAY()&lt;=合同提醒天,"将到期 "&amp;TEXT($I287-TODAY(),"0")&amp;" 天","")))))</f>
        <v/>
      </c>
      <c r="R287" s="34" t="str">
        <f aca="false">IF($C287="","",IF($G287="","▲合同状态没选",IF(OR($G287="已签未回",$G287="未签",$G287="续签中"),"▲合同未回（"&amp;$G287&amp;"）","")))</f>
        <v/>
      </c>
      <c r="S287" s="35" t="str">
        <f aca="false">IF($C287="","",IF(N($J287)=N($K287),"一致","★合同"&amp;TEXT(N($J287),"0")&amp;"台 / 在册"&amp;TEXT(N($K287),"0")&amp;"台"))</f>
        <v/>
      </c>
      <c r="T287" s="40" t="str">
        <f aca="false">IF($C287="","",ROUND(SUMIFS(应收金额,应收键,$E287,应收年度,管理年度),2))</f>
        <v/>
      </c>
      <c r="U287" s="40" t="str">
        <f aca="false">IF($C287="","",ROUND(SUMIFS(收款金额,收款键,$E287,收款年度,管理年度),2))</f>
        <v/>
      </c>
      <c r="V287" s="41" t="str">
        <f aca="false">IF($C287="","",ROUND(SUMIF(应收键,$E287,应收金额)-SUMIF(收款键,$E287,收款金额),2))</f>
        <v/>
      </c>
      <c r="W287" s="24"/>
      <c r="X287" s="35" t="str">
        <f aca="false">IF($C287="","",IF($D287="","★项目名称没填",IF(COUNTIF($E$5:$E$304,$E287)&gt;1,"★键重复",IF(AND($H287&lt;&gt;"",$I287&lt;&gt;"",$I287&lt;$H287),"★合同起止反了",IF(N($K287)=0,"★电梯资料里没有这个项目","OK")))))</f>
        <v/>
      </c>
    </row>
    <row r="288" customFormat="false" ht="15" hidden="false" customHeight="false" outlineLevel="0" collapsed="false">
      <c r="A288" s="29" t="str">
        <f aca="false">IF($C288="","",ROW()-4)</f>
        <v/>
      </c>
      <c r="B288" s="35" t="str">
        <f aca="false">IF($C288="","",IFERROR(INDEX(电梯片区,MATCH($E288,电梯键,0)),""))</f>
        <v/>
      </c>
      <c r="C288" s="24"/>
      <c r="D288" s="24"/>
      <c r="E288" s="30" t="str">
        <f aca="false">IF($C288="","",$C288&amp;" ｜ "&amp;$D288)</f>
        <v/>
      </c>
      <c r="F288" s="25"/>
      <c r="G288" s="25"/>
      <c r="H288" s="33"/>
      <c r="I288" s="33"/>
      <c r="J288" s="32"/>
      <c r="K288" s="38" t="str">
        <f aca="false">IF($C288="","",SUMIF(电梯键,$E288,电梯台量))</f>
        <v/>
      </c>
      <c r="L288" s="39"/>
      <c r="M288" s="25"/>
      <c r="N288" s="25"/>
      <c r="O288" s="38" t="str">
        <f aca="false">IF($C288="","",SUMIFS(电梯台量,电梯键,$E288,电梯状态,"安装免保")+SUMIFS(电梯台量,电梯键,$E288,电梯状态,"技术免保")+SUMIFS(电梯台量,电梯键,$E288,电梯状态,"质保期内"))</f>
        <v/>
      </c>
      <c r="P288" s="38" t="str">
        <f aca="false">IF($C288="","",$K288-$O288)</f>
        <v/>
      </c>
      <c r="Q288" s="34" t="str">
        <f aca="true">IF($C288="","",IF($G288="已终止","",IF($I288="","▲没填合同止期",IF($I288&lt;TODAY(),"已到期 "&amp;TEXT(TODAY()-$I288,"0")&amp;" 天",IF($I288-TODAY()&lt;=合同提醒天,"将到期 "&amp;TEXT($I288-TODAY(),"0")&amp;" 天","")))))</f>
        <v/>
      </c>
      <c r="R288" s="34" t="str">
        <f aca="false">IF($C288="","",IF($G288="","▲合同状态没选",IF(OR($G288="已签未回",$G288="未签",$G288="续签中"),"▲合同未回（"&amp;$G288&amp;"）","")))</f>
        <v/>
      </c>
      <c r="S288" s="35" t="str">
        <f aca="false">IF($C288="","",IF(N($J288)=N($K288),"一致","★合同"&amp;TEXT(N($J288),"0")&amp;"台 / 在册"&amp;TEXT(N($K288),"0")&amp;"台"))</f>
        <v/>
      </c>
      <c r="T288" s="40" t="str">
        <f aca="false">IF($C288="","",ROUND(SUMIFS(应收金额,应收键,$E288,应收年度,管理年度),2))</f>
        <v/>
      </c>
      <c r="U288" s="40" t="str">
        <f aca="false">IF($C288="","",ROUND(SUMIFS(收款金额,收款键,$E288,收款年度,管理年度),2))</f>
        <v/>
      </c>
      <c r="V288" s="41" t="str">
        <f aca="false">IF($C288="","",ROUND(SUMIF(应收键,$E288,应收金额)-SUMIF(收款键,$E288,收款金额),2))</f>
        <v/>
      </c>
      <c r="W288" s="24"/>
      <c r="X288" s="35" t="str">
        <f aca="false">IF($C288="","",IF($D288="","★项目名称没填",IF(COUNTIF($E$5:$E$304,$E288)&gt;1,"★键重复",IF(AND($H288&lt;&gt;"",$I288&lt;&gt;"",$I288&lt;$H288),"★合同起止反了",IF(N($K288)=0,"★电梯资料里没有这个项目","OK")))))</f>
        <v/>
      </c>
    </row>
    <row r="289" customFormat="false" ht="15" hidden="false" customHeight="false" outlineLevel="0" collapsed="false">
      <c r="A289" s="29" t="str">
        <f aca="false">IF($C289="","",ROW()-4)</f>
        <v/>
      </c>
      <c r="B289" s="35" t="str">
        <f aca="false">IF($C289="","",IFERROR(INDEX(电梯片区,MATCH($E289,电梯键,0)),""))</f>
        <v/>
      </c>
      <c r="C289" s="24"/>
      <c r="D289" s="24"/>
      <c r="E289" s="30" t="str">
        <f aca="false">IF($C289="","",$C289&amp;" ｜ "&amp;$D289)</f>
        <v/>
      </c>
      <c r="F289" s="25"/>
      <c r="G289" s="25"/>
      <c r="H289" s="33"/>
      <c r="I289" s="33"/>
      <c r="J289" s="32"/>
      <c r="K289" s="38" t="str">
        <f aca="false">IF($C289="","",SUMIF(电梯键,$E289,电梯台量))</f>
        <v/>
      </c>
      <c r="L289" s="39"/>
      <c r="M289" s="25"/>
      <c r="N289" s="25"/>
      <c r="O289" s="38" t="str">
        <f aca="false">IF($C289="","",SUMIFS(电梯台量,电梯键,$E289,电梯状态,"安装免保")+SUMIFS(电梯台量,电梯键,$E289,电梯状态,"技术免保")+SUMIFS(电梯台量,电梯键,$E289,电梯状态,"质保期内"))</f>
        <v/>
      </c>
      <c r="P289" s="38" t="str">
        <f aca="false">IF($C289="","",$K289-$O289)</f>
        <v/>
      </c>
      <c r="Q289" s="34" t="str">
        <f aca="true">IF($C289="","",IF($G289="已终止","",IF($I289="","▲没填合同止期",IF($I289&lt;TODAY(),"已到期 "&amp;TEXT(TODAY()-$I289,"0")&amp;" 天",IF($I289-TODAY()&lt;=合同提醒天,"将到期 "&amp;TEXT($I289-TODAY(),"0")&amp;" 天","")))))</f>
        <v/>
      </c>
      <c r="R289" s="34" t="str">
        <f aca="false">IF($C289="","",IF($G289="","▲合同状态没选",IF(OR($G289="已签未回",$G289="未签",$G289="续签中"),"▲合同未回（"&amp;$G289&amp;"）","")))</f>
        <v/>
      </c>
      <c r="S289" s="35" t="str">
        <f aca="false">IF($C289="","",IF(N($J289)=N($K289),"一致","★合同"&amp;TEXT(N($J289),"0")&amp;"台 / 在册"&amp;TEXT(N($K289),"0")&amp;"台"))</f>
        <v/>
      </c>
      <c r="T289" s="40" t="str">
        <f aca="false">IF($C289="","",ROUND(SUMIFS(应收金额,应收键,$E289,应收年度,管理年度),2))</f>
        <v/>
      </c>
      <c r="U289" s="40" t="str">
        <f aca="false">IF($C289="","",ROUND(SUMIFS(收款金额,收款键,$E289,收款年度,管理年度),2))</f>
        <v/>
      </c>
      <c r="V289" s="41" t="str">
        <f aca="false">IF($C289="","",ROUND(SUMIF(应收键,$E289,应收金额)-SUMIF(收款键,$E289,收款金额),2))</f>
        <v/>
      </c>
      <c r="W289" s="24"/>
      <c r="X289" s="35" t="str">
        <f aca="false">IF($C289="","",IF($D289="","★项目名称没填",IF(COUNTIF($E$5:$E$304,$E289)&gt;1,"★键重复",IF(AND($H289&lt;&gt;"",$I289&lt;&gt;"",$I289&lt;$H289),"★合同起止反了",IF(N($K289)=0,"★电梯资料里没有这个项目","OK")))))</f>
        <v/>
      </c>
    </row>
    <row r="290" customFormat="false" ht="15" hidden="false" customHeight="false" outlineLevel="0" collapsed="false">
      <c r="A290" s="29" t="str">
        <f aca="false">IF($C290="","",ROW()-4)</f>
        <v/>
      </c>
      <c r="B290" s="35" t="str">
        <f aca="false">IF($C290="","",IFERROR(INDEX(电梯片区,MATCH($E290,电梯键,0)),""))</f>
        <v/>
      </c>
      <c r="C290" s="24"/>
      <c r="D290" s="24"/>
      <c r="E290" s="30" t="str">
        <f aca="false">IF($C290="","",$C290&amp;" ｜ "&amp;$D290)</f>
        <v/>
      </c>
      <c r="F290" s="25"/>
      <c r="G290" s="25"/>
      <c r="H290" s="33"/>
      <c r="I290" s="33"/>
      <c r="J290" s="32"/>
      <c r="K290" s="38" t="str">
        <f aca="false">IF($C290="","",SUMIF(电梯键,$E290,电梯台量))</f>
        <v/>
      </c>
      <c r="L290" s="39"/>
      <c r="M290" s="25"/>
      <c r="N290" s="25"/>
      <c r="O290" s="38" t="str">
        <f aca="false">IF($C290="","",SUMIFS(电梯台量,电梯键,$E290,电梯状态,"安装免保")+SUMIFS(电梯台量,电梯键,$E290,电梯状态,"技术免保")+SUMIFS(电梯台量,电梯键,$E290,电梯状态,"质保期内"))</f>
        <v/>
      </c>
      <c r="P290" s="38" t="str">
        <f aca="false">IF($C290="","",$K290-$O290)</f>
        <v/>
      </c>
      <c r="Q290" s="34" t="str">
        <f aca="true">IF($C290="","",IF($G290="已终止","",IF($I290="","▲没填合同止期",IF($I290&lt;TODAY(),"已到期 "&amp;TEXT(TODAY()-$I290,"0")&amp;" 天",IF($I290-TODAY()&lt;=合同提醒天,"将到期 "&amp;TEXT($I290-TODAY(),"0")&amp;" 天","")))))</f>
        <v/>
      </c>
      <c r="R290" s="34" t="str">
        <f aca="false">IF($C290="","",IF($G290="","▲合同状态没选",IF(OR($G290="已签未回",$G290="未签",$G290="续签中"),"▲合同未回（"&amp;$G290&amp;"）","")))</f>
        <v/>
      </c>
      <c r="S290" s="35" t="str">
        <f aca="false">IF($C290="","",IF(N($J290)=N($K290),"一致","★合同"&amp;TEXT(N($J290),"0")&amp;"台 / 在册"&amp;TEXT(N($K290),"0")&amp;"台"))</f>
        <v/>
      </c>
      <c r="T290" s="40" t="str">
        <f aca="false">IF($C290="","",ROUND(SUMIFS(应收金额,应收键,$E290,应收年度,管理年度),2))</f>
        <v/>
      </c>
      <c r="U290" s="40" t="str">
        <f aca="false">IF($C290="","",ROUND(SUMIFS(收款金额,收款键,$E290,收款年度,管理年度),2))</f>
        <v/>
      </c>
      <c r="V290" s="41" t="str">
        <f aca="false">IF($C290="","",ROUND(SUMIF(应收键,$E290,应收金额)-SUMIF(收款键,$E290,收款金额),2))</f>
        <v/>
      </c>
      <c r="W290" s="24"/>
      <c r="X290" s="35" t="str">
        <f aca="false">IF($C290="","",IF($D290="","★项目名称没填",IF(COUNTIF($E$5:$E$304,$E290)&gt;1,"★键重复",IF(AND($H290&lt;&gt;"",$I290&lt;&gt;"",$I290&lt;$H290),"★合同起止反了",IF(N($K290)=0,"★电梯资料里没有这个项目","OK")))))</f>
        <v/>
      </c>
    </row>
    <row r="291" customFormat="false" ht="15" hidden="false" customHeight="false" outlineLevel="0" collapsed="false">
      <c r="A291" s="29" t="str">
        <f aca="false">IF($C291="","",ROW()-4)</f>
        <v/>
      </c>
      <c r="B291" s="35" t="str">
        <f aca="false">IF($C291="","",IFERROR(INDEX(电梯片区,MATCH($E291,电梯键,0)),""))</f>
        <v/>
      </c>
      <c r="C291" s="24"/>
      <c r="D291" s="24"/>
      <c r="E291" s="30" t="str">
        <f aca="false">IF($C291="","",$C291&amp;" ｜ "&amp;$D291)</f>
        <v/>
      </c>
      <c r="F291" s="25"/>
      <c r="G291" s="25"/>
      <c r="H291" s="33"/>
      <c r="I291" s="33"/>
      <c r="J291" s="32"/>
      <c r="K291" s="38" t="str">
        <f aca="false">IF($C291="","",SUMIF(电梯键,$E291,电梯台量))</f>
        <v/>
      </c>
      <c r="L291" s="39"/>
      <c r="M291" s="25"/>
      <c r="N291" s="25"/>
      <c r="O291" s="38" t="str">
        <f aca="false">IF($C291="","",SUMIFS(电梯台量,电梯键,$E291,电梯状态,"安装免保")+SUMIFS(电梯台量,电梯键,$E291,电梯状态,"技术免保")+SUMIFS(电梯台量,电梯键,$E291,电梯状态,"质保期内"))</f>
        <v/>
      </c>
      <c r="P291" s="38" t="str">
        <f aca="false">IF($C291="","",$K291-$O291)</f>
        <v/>
      </c>
      <c r="Q291" s="34" t="str">
        <f aca="true">IF($C291="","",IF($G291="已终止","",IF($I291="","▲没填合同止期",IF($I291&lt;TODAY(),"已到期 "&amp;TEXT(TODAY()-$I291,"0")&amp;" 天",IF($I291-TODAY()&lt;=合同提醒天,"将到期 "&amp;TEXT($I291-TODAY(),"0")&amp;" 天","")))))</f>
        <v/>
      </c>
      <c r="R291" s="34" t="str">
        <f aca="false">IF($C291="","",IF($G291="","▲合同状态没选",IF(OR($G291="已签未回",$G291="未签",$G291="续签中"),"▲合同未回（"&amp;$G291&amp;"）","")))</f>
        <v/>
      </c>
      <c r="S291" s="35" t="str">
        <f aca="false">IF($C291="","",IF(N($J291)=N($K291),"一致","★合同"&amp;TEXT(N($J291),"0")&amp;"台 / 在册"&amp;TEXT(N($K291),"0")&amp;"台"))</f>
        <v/>
      </c>
      <c r="T291" s="40" t="str">
        <f aca="false">IF($C291="","",ROUND(SUMIFS(应收金额,应收键,$E291,应收年度,管理年度),2))</f>
        <v/>
      </c>
      <c r="U291" s="40" t="str">
        <f aca="false">IF($C291="","",ROUND(SUMIFS(收款金额,收款键,$E291,收款年度,管理年度),2))</f>
        <v/>
      </c>
      <c r="V291" s="41" t="str">
        <f aca="false">IF($C291="","",ROUND(SUMIF(应收键,$E291,应收金额)-SUMIF(收款键,$E291,收款金额),2))</f>
        <v/>
      </c>
      <c r="W291" s="24"/>
      <c r="X291" s="35" t="str">
        <f aca="false">IF($C291="","",IF($D291="","★项目名称没填",IF(COUNTIF($E$5:$E$304,$E291)&gt;1,"★键重复",IF(AND($H291&lt;&gt;"",$I291&lt;&gt;"",$I291&lt;$H291),"★合同起止反了",IF(N($K291)=0,"★电梯资料里没有这个项目","OK")))))</f>
        <v/>
      </c>
    </row>
    <row r="292" customFormat="false" ht="15" hidden="false" customHeight="false" outlineLevel="0" collapsed="false">
      <c r="A292" s="29" t="str">
        <f aca="false">IF($C292="","",ROW()-4)</f>
        <v/>
      </c>
      <c r="B292" s="35" t="str">
        <f aca="false">IF($C292="","",IFERROR(INDEX(电梯片区,MATCH($E292,电梯键,0)),""))</f>
        <v/>
      </c>
      <c r="C292" s="24"/>
      <c r="D292" s="24"/>
      <c r="E292" s="30" t="str">
        <f aca="false">IF($C292="","",$C292&amp;" ｜ "&amp;$D292)</f>
        <v/>
      </c>
      <c r="F292" s="25"/>
      <c r="G292" s="25"/>
      <c r="H292" s="33"/>
      <c r="I292" s="33"/>
      <c r="J292" s="32"/>
      <c r="K292" s="38" t="str">
        <f aca="false">IF($C292="","",SUMIF(电梯键,$E292,电梯台量))</f>
        <v/>
      </c>
      <c r="L292" s="39"/>
      <c r="M292" s="25"/>
      <c r="N292" s="25"/>
      <c r="O292" s="38" t="str">
        <f aca="false">IF($C292="","",SUMIFS(电梯台量,电梯键,$E292,电梯状态,"安装免保")+SUMIFS(电梯台量,电梯键,$E292,电梯状态,"技术免保")+SUMIFS(电梯台量,电梯键,$E292,电梯状态,"质保期内"))</f>
        <v/>
      </c>
      <c r="P292" s="38" t="str">
        <f aca="false">IF($C292="","",$K292-$O292)</f>
        <v/>
      </c>
      <c r="Q292" s="34" t="str">
        <f aca="true">IF($C292="","",IF($G292="已终止","",IF($I292="","▲没填合同止期",IF($I292&lt;TODAY(),"已到期 "&amp;TEXT(TODAY()-$I292,"0")&amp;" 天",IF($I292-TODAY()&lt;=合同提醒天,"将到期 "&amp;TEXT($I292-TODAY(),"0")&amp;" 天","")))))</f>
        <v/>
      </c>
      <c r="R292" s="34" t="str">
        <f aca="false">IF($C292="","",IF($G292="","▲合同状态没选",IF(OR($G292="已签未回",$G292="未签",$G292="续签中"),"▲合同未回（"&amp;$G292&amp;"）","")))</f>
        <v/>
      </c>
      <c r="S292" s="35" t="str">
        <f aca="false">IF($C292="","",IF(N($J292)=N($K292),"一致","★合同"&amp;TEXT(N($J292),"0")&amp;"台 / 在册"&amp;TEXT(N($K292),"0")&amp;"台"))</f>
        <v/>
      </c>
      <c r="T292" s="40" t="str">
        <f aca="false">IF($C292="","",ROUND(SUMIFS(应收金额,应收键,$E292,应收年度,管理年度),2))</f>
        <v/>
      </c>
      <c r="U292" s="40" t="str">
        <f aca="false">IF($C292="","",ROUND(SUMIFS(收款金额,收款键,$E292,收款年度,管理年度),2))</f>
        <v/>
      </c>
      <c r="V292" s="41" t="str">
        <f aca="false">IF($C292="","",ROUND(SUMIF(应收键,$E292,应收金额)-SUMIF(收款键,$E292,收款金额),2))</f>
        <v/>
      </c>
      <c r="W292" s="24"/>
      <c r="X292" s="35" t="str">
        <f aca="false">IF($C292="","",IF($D292="","★项目名称没填",IF(COUNTIF($E$5:$E$304,$E292)&gt;1,"★键重复",IF(AND($H292&lt;&gt;"",$I292&lt;&gt;"",$I292&lt;$H292),"★合同起止反了",IF(N($K292)=0,"★电梯资料里没有这个项目","OK")))))</f>
        <v/>
      </c>
    </row>
    <row r="293" customFormat="false" ht="15" hidden="false" customHeight="false" outlineLevel="0" collapsed="false">
      <c r="A293" s="29" t="str">
        <f aca="false">IF($C293="","",ROW()-4)</f>
        <v/>
      </c>
      <c r="B293" s="35" t="str">
        <f aca="false">IF($C293="","",IFERROR(INDEX(电梯片区,MATCH($E293,电梯键,0)),""))</f>
        <v/>
      </c>
      <c r="C293" s="24"/>
      <c r="D293" s="24"/>
      <c r="E293" s="30" t="str">
        <f aca="false">IF($C293="","",$C293&amp;" ｜ "&amp;$D293)</f>
        <v/>
      </c>
      <c r="F293" s="25"/>
      <c r="G293" s="25"/>
      <c r="H293" s="33"/>
      <c r="I293" s="33"/>
      <c r="J293" s="32"/>
      <c r="K293" s="38" t="str">
        <f aca="false">IF($C293="","",SUMIF(电梯键,$E293,电梯台量))</f>
        <v/>
      </c>
      <c r="L293" s="39"/>
      <c r="M293" s="25"/>
      <c r="N293" s="25"/>
      <c r="O293" s="38" t="str">
        <f aca="false">IF($C293="","",SUMIFS(电梯台量,电梯键,$E293,电梯状态,"安装免保")+SUMIFS(电梯台量,电梯键,$E293,电梯状态,"技术免保")+SUMIFS(电梯台量,电梯键,$E293,电梯状态,"质保期内"))</f>
        <v/>
      </c>
      <c r="P293" s="38" t="str">
        <f aca="false">IF($C293="","",$K293-$O293)</f>
        <v/>
      </c>
      <c r="Q293" s="34" t="str">
        <f aca="true">IF($C293="","",IF($G293="已终止","",IF($I293="","▲没填合同止期",IF($I293&lt;TODAY(),"已到期 "&amp;TEXT(TODAY()-$I293,"0")&amp;" 天",IF($I293-TODAY()&lt;=合同提醒天,"将到期 "&amp;TEXT($I293-TODAY(),"0")&amp;" 天","")))))</f>
        <v/>
      </c>
      <c r="R293" s="34" t="str">
        <f aca="false">IF($C293="","",IF($G293="","▲合同状态没选",IF(OR($G293="已签未回",$G293="未签",$G293="续签中"),"▲合同未回（"&amp;$G293&amp;"）","")))</f>
        <v/>
      </c>
      <c r="S293" s="35" t="str">
        <f aca="false">IF($C293="","",IF(N($J293)=N($K293),"一致","★合同"&amp;TEXT(N($J293),"0")&amp;"台 / 在册"&amp;TEXT(N($K293),"0")&amp;"台"))</f>
        <v/>
      </c>
      <c r="T293" s="40" t="str">
        <f aca="false">IF($C293="","",ROUND(SUMIFS(应收金额,应收键,$E293,应收年度,管理年度),2))</f>
        <v/>
      </c>
      <c r="U293" s="40" t="str">
        <f aca="false">IF($C293="","",ROUND(SUMIFS(收款金额,收款键,$E293,收款年度,管理年度),2))</f>
        <v/>
      </c>
      <c r="V293" s="41" t="str">
        <f aca="false">IF($C293="","",ROUND(SUMIF(应收键,$E293,应收金额)-SUMIF(收款键,$E293,收款金额),2))</f>
        <v/>
      </c>
      <c r="W293" s="24"/>
      <c r="X293" s="35" t="str">
        <f aca="false">IF($C293="","",IF($D293="","★项目名称没填",IF(COUNTIF($E$5:$E$304,$E293)&gt;1,"★键重复",IF(AND($H293&lt;&gt;"",$I293&lt;&gt;"",$I293&lt;$H293),"★合同起止反了",IF(N($K293)=0,"★电梯资料里没有这个项目","OK")))))</f>
        <v/>
      </c>
    </row>
    <row r="294" customFormat="false" ht="15" hidden="false" customHeight="false" outlineLevel="0" collapsed="false">
      <c r="A294" s="29" t="str">
        <f aca="false">IF($C294="","",ROW()-4)</f>
        <v/>
      </c>
      <c r="B294" s="35" t="str">
        <f aca="false">IF($C294="","",IFERROR(INDEX(电梯片区,MATCH($E294,电梯键,0)),""))</f>
        <v/>
      </c>
      <c r="C294" s="24"/>
      <c r="D294" s="24"/>
      <c r="E294" s="30" t="str">
        <f aca="false">IF($C294="","",$C294&amp;" ｜ "&amp;$D294)</f>
        <v/>
      </c>
      <c r="F294" s="25"/>
      <c r="G294" s="25"/>
      <c r="H294" s="33"/>
      <c r="I294" s="33"/>
      <c r="J294" s="32"/>
      <c r="K294" s="38" t="str">
        <f aca="false">IF($C294="","",SUMIF(电梯键,$E294,电梯台量))</f>
        <v/>
      </c>
      <c r="L294" s="39"/>
      <c r="M294" s="25"/>
      <c r="N294" s="25"/>
      <c r="O294" s="38" t="str">
        <f aca="false">IF($C294="","",SUMIFS(电梯台量,电梯键,$E294,电梯状态,"安装免保")+SUMIFS(电梯台量,电梯键,$E294,电梯状态,"技术免保")+SUMIFS(电梯台量,电梯键,$E294,电梯状态,"质保期内"))</f>
        <v/>
      </c>
      <c r="P294" s="38" t="str">
        <f aca="false">IF($C294="","",$K294-$O294)</f>
        <v/>
      </c>
      <c r="Q294" s="34" t="str">
        <f aca="true">IF($C294="","",IF($G294="已终止","",IF($I294="","▲没填合同止期",IF($I294&lt;TODAY(),"已到期 "&amp;TEXT(TODAY()-$I294,"0")&amp;" 天",IF($I294-TODAY()&lt;=合同提醒天,"将到期 "&amp;TEXT($I294-TODAY(),"0")&amp;" 天","")))))</f>
        <v/>
      </c>
      <c r="R294" s="34" t="str">
        <f aca="false">IF($C294="","",IF($G294="","▲合同状态没选",IF(OR($G294="已签未回",$G294="未签",$G294="续签中"),"▲合同未回（"&amp;$G294&amp;"）","")))</f>
        <v/>
      </c>
      <c r="S294" s="35" t="str">
        <f aca="false">IF($C294="","",IF(N($J294)=N($K294),"一致","★合同"&amp;TEXT(N($J294),"0")&amp;"台 / 在册"&amp;TEXT(N($K294),"0")&amp;"台"))</f>
        <v/>
      </c>
      <c r="T294" s="40" t="str">
        <f aca="false">IF($C294="","",ROUND(SUMIFS(应收金额,应收键,$E294,应收年度,管理年度),2))</f>
        <v/>
      </c>
      <c r="U294" s="40" t="str">
        <f aca="false">IF($C294="","",ROUND(SUMIFS(收款金额,收款键,$E294,收款年度,管理年度),2))</f>
        <v/>
      </c>
      <c r="V294" s="41" t="str">
        <f aca="false">IF($C294="","",ROUND(SUMIF(应收键,$E294,应收金额)-SUMIF(收款键,$E294,收款金额),2))</f>
        <v/>
      </c>
      <c r="W294" s="24"/>
      <c r="X294" s="35" t="str">
        <f aca="false">IF($C294="","",IF($D294="","★项目名称没填",IF(COUNTIF($E$5:$E$304,$E294)&gt;1,"★键重复",IF(AND($H294&lt;&gt;"",$I294&lt;&gt;"",$I294&lt;$H294),"★合同起止反了",IF(N($K294)=0,"★电梯资料里没有这个项目","OK")))))</f>
        <v/>
      </c>
    </row>
    <row r="295" customFormat="false" ht="15" hidden="false" customHeight="false" outlineLevel="0" collapsed="false">
      <c r="A295" s="29" t="str">
        <f aca="false">IF($C295="","",ROW()-4)</f>
        <v/>
      </c>
      <c r="B295" s="35" t="str">
        <f aca="false">IF($C295="","",IFERROR(INDEX(电梯片区,MATCH($E295,电梯键,0)),""))</f>
        <v/>
      </c>
      <c r="C295" s="24"/>
      <c r="D295" s="24"/>
      <c r="E295" s="30" t="str">
        <f aca="false">IF($C295="","",$C295&amp;" ｜ "&amp;$D295)</f>
        <v/>
      </c>
      <c r="F295" s="25"/>
      <c r="G295" s="25"/>
      <c r="H295" s="33"/>
      <c r="I295" s="33"/>
      <c r="J295" s="32"/>
      <c r="K295" s="38" t="str">
        <f aca="false">IF($C295="","",SUMIF(电梯键,$E295,电梯台量))</f>
        <v/>
      </c>
      <c r="L295" s="39"/>
      <c r="M295" s="25"/>
      <c r="N295" s="25"/>
      <c r="O295" s="38" t="str">
        <f aca="false">IF($C295="","",SUMIFS(电梯台量,电梯键,$E295,电梯状态,"安装免保")+SUMIFS(电梯台量,电梯键,$E295,电梯状态,"技术免保")+SUMIFS(电梯台量,电梯键,$E295,电梯状态,"质保期内"))</f>
        <v/>
      </c>
      <c r="P295" s="38" t="str">
        <f aca="false">IF($C295="","",$K295-$O295)</f>
        <v/>
      </c>
      <c r="Q295" s="34" t="str">
        <f aca="true">IF($C295="","",IF($G295="已终止","",IF($I295="","▲没填合同止期",IF($I295&lt;TODAY(),"已到期 "&amp;TEXT(TODAY()-$I295,"0")&amp;" 天",IF($I295-TODAY()&lt;=合同提醒天,"将到期 "&amp;TEXT($I295-TODAY(),"0")&amp;" 天","")))))</f>
        <v/>
      </c>
      <c r="R295" s="34" t="str">
        <f aca="false">IF($C295="","",IF($G295="","▲合同状态没选",IF(OR($G295="已签未回",$G295="未签",$G295="续签中"),"▲合同未回（"&amp;$G295&amp;"）","")))</f>
        <v/>
      </c>
      <c r="S295" s="35" t="str">
        <f aca="false">IF($C295="","",IF(N($J295)=N($K295),"一致","★合同"&amp;TEXT(N($J295),"0")&amp;"台 / 在册"&amp;TEXT(N($K295),"0")&amp;"台"))</f>
        <v/>
      </c>
      <c r="T295" s="40" t="str">
        <f aca="false">IF($C295="","",ROUND(SUMIFS(应收金额,应收键,$E295,应收年度,管理年度),2))</f>
        <v/>
      </c>
      <c r="U295" s="40" t="str">
        <f aca="false">IF($C295="","",ROUND(SUMIFS(收款金额,收款键,$E295,收款年度,管理年度),2))</f>
        <v/>
      </c>
      <c r="V295" s="41" t="str">
        <f aca="false">IF($C295="","",ROUND(SUMIF(应收键,$E295,应收金额)-SUMIF(收款键,$E295,收款金额),2))</f>
        <v/>
      </c>
      <c r="W295" s="24"/>
      <c r="X295" s="35" t="str">
        <f aca="false">IF($C295="","",IF($D295="","★项目名称没填",IF(COUNTIF($E$5:$E$304,$E295)&gt;1,"★键重复",IF(AND($H295&lt;&gt;"",$I295&lt;&gt;"",$I295&lt;$H295),"★合同起止反了",IF(N($K295)=0,"★电梯资料里没有这个项目","OK")))))</f>
        <v/>
      </c>
    </row>
    <row r="296" customFormat="false" ht="15" hidden="false" customHeight="false" outlineLevel="0" collapsed="false">
      <c r="A296" s="29" t="str">
        <f aca="false">IF($C296="","",ROW()-4)</f>
        <v/>
      </c>
      <c r="B296" s="35" t="str">
        <f aca="false">IF($C296="","",IFERROR(INDEX(电梯片区,MATCH($E296,电梯键,0)),""))</f>
        <v/>
      </c>
      <c r="C296" s="24"/>
      <c r="D296" s="24"/>
      <c r="E296" s="30" t="str">
        <f aca="false">IF($C296="","",$C296&amp;" ｜ "&amp;$D296)</f>
        <v/>
      </c>
      <c r="F296" s="25"/>
      <c r="G296" s="25"/>
      <c r="H296" s="33"/>
      <c r="I296" s="33"/>
      <c r="J296" s="32"/>
      <c r="K296" s="38" t="str">
        <f aca="false">IF($C296="","",SUMIF(电梯键,$E296,电梯台量))</f>
        <v/>
      </c>
      <c r="L296" s="39"/>
      <c r="M296" s="25"/>
      <c r="N296" s="25"/>
      <c r="O296" s="38" t="str">
        <f aca="false">IF($C296="","",SUMIFS(电梯台量,电梯键,$E296,电梯状态,"安装免保")+SUMIFS(电梯台量,电梯键,$E296,电梯状态,"技术免保")+SUMIFS(电梯台量,电梯键,$E296,电梯状态,"质保期内"))</f>
        <v/>
      </c>
      <c r="P296" s="38" t="str">
        <f aca="false">IF($C296="","",$K296-$O296)</f>
        <v/>
      </c>
      <c r="Q296" s="34" t="str">
        <f aca="true">IF($C296="","",IF($G296="已终止","",IF($I296="","▲没填合同止期",IF($I296&lt;TODAY(),"已到期 "&amp;TEXT(TODAY()-$I296,"0")&amp;" 天",IF($I296-TODAY()&lt;=合同提醒天,"将到期 "&amp;TEXT($I296-TODAY(),"0")&amp;" 天","")))))</f>
        <v/>
      </c>
      <c r="R296" s="34" t="str">
        <f aca="false">IF($C296="","",IF($G296="","▲合同状态没选",IF(OR($G296="已签未回",$G296="未签",$G296="续签中"),"▲合同未回（"&amp;$G296&amp;"）","")))</f>
        <v/>
      </c>
      <c r="S296" s="35" t="str">
        <f aca="false">IF($C296="","",IF(N($J296)=N($K296),"一致","★合同"&amp;TEXT(N($J296),"0")&amp;"台 / 在册"&amp;TEXT(N($K296),"0")&amp;"台"))</f>
        <v/>
      </c>
      <c r="T296" s="40" t="str">
        <f aca="false">IF($C296="","",ROUND(SUMIFS(应收金额,应收键,$E296,应收年度,管理年度),2))</f>
        <v/>
      </c>
      <c r="U296" s="40" t="str">
        <f aca="false">IF($C296="","",ROUND(SUMIFS(收款金额,收款键,$E296,收款年度,管理年度),2))</f>
        <v/>
      </c>
      <c r="V296" s="41" t="str">
        <f aca="false">IF($C296="","",ROUND(SUMIF(应收键,$E296,应收金额)-SUMIF(收款键,$E296,收款金额),2))</f>
        <v/>
      </c>
      <c r="W296" s="24"/>
      <c r="X296" s="35" t="str">
        <f aca="false">IF($C296="","",IF($D296="","★项目名称没填",IF(COUNTIF($E$5:$E$304,$E296)&gt;1,"★键重复",IF(AND($H296&lt;&gt;"",$I296&lt;&gt;"",$I296&lt;$H296),"★合同起止反了",IF(N($K296)=0,"★电梯资料里没有这个项目","OK")))))</f>
        <v/>
      </c>
    </row>
    <row r="297" customFormat="false" ht="15" hidden="false" customHeight="false" outlineLevel="0" collapsed="false">
      <c r="A297" s="29" t="str">
        <f aca="false">IF($C297="","",ROW()-4)</f>
        <v/>
      </c>
      <c r="B297" s="35" t="str">
        <f aca="false">IF($C297="","",IFERROR(INDEX(电梯片区,MATCH($E297,电梯键,0)),""))</f>
        <v/>
      </c>
      <c r="C297" s="24"/>
      <c r="D297" s="24"/>
      <c r="E297" s="30" t="str">
        <f aca="false">IF($C297="","",$C297&amp;" ｜ "&amp;$D297)</f>
        <v/>
      </c>
      <c r="F297" s="25"/>
      <c r="G297" s="25"/>
      <c r="H297" s="33"/>
      <c r="I297" s="33"/>
      <c r="J297" s="32"/>
      <c r="K297" s="38" t="str">
        <f aca="false">IF($C297="","",SUMIF(电梯键,$E297,电梯台量))</f>
        <v/>
      </c>
      <c r="L297" s="39"/>
      <c r="M297" s="25"/>
      <c r="N297" s="25"/>
      <c r="O297" s="38" t="str">
        <f aca="false">IF($C297="","",SUMIFS(电梯台量,电梯键,$E297,电梯状态,"安装免保")+SUMIFS(电梯台量,电梯键,$E297,电梯状态,"技术免保")+SUMIFS(电梯台量,电梯键,$E297,电梯状态,"质保期内"))</f>
        <v/>
      </c>
      <c r="P297" s="38" t="str">
        <f aca="false">IF($C297="","",$K297-$O297)</f>
        <v/>
      </c>
      <c r="Q297" s="34" t="str">
        <f aca="true">IF($C297="","",IF($G297="已终止","",IF($I297="","▲没填合同止期",IF($I297&lt;TODAY(),"已到期 "&amp;TEXT(TODAY()-$I297,"0")&amp;" 天",IF($I297-TODAY()&lt;=合同提醒天,"将到期 "&amp;TEXT($I297-TODAY(),"0")&amp;" 天","")))))</f>
        <v/>
      </c>
      <c r="R297" s="34" t="str">
        <f aca="false">IF($C297="","",IF($G297="","▲合同状态没选",IF(OR($G297="已签未回",$G297="未签",$G297="续签中"),"▲合同未回（"&amp;$G297&amp;"）","")))</f>
        <v/>
      </c>
      <c r="S297" s="35" t="str">
        <f aca="false">IF($C297="","",IF(N($J297)=N($K297),"一致","★合同"&amp;TEXT(N($J297),"0")&amp;"台 / 在册"&amp;TEXT(N($K297),"0")&amp;"台"))</f>
        <v/>
      </c>
      <c r="T297" s="40" t="str">
        <f aca="false">IF($C297="","",ROUND(SUMIFS(应收金额,应收键,$E297,应收年度,管理年度),2))</f>
        <v/>
      </c>
      <c r="U297" s="40" t="str">
        <f aca="false">IF($C297="","",ROUND(SUMIFS(收款金额,收款键,$E297,收款年度,管理年度),2))</f>
        <v/>
      </c>
      <c r="V297" s="41" t="str">
        <f aca="false">IF($C297="","",ROUND(SUMIF(应收键,$E297,应收金额)-SUMIF(收款键,$E297,收款金额),2))</f>
        <v/>
      </c>
      <c r="W297" s="24"/>
      <c r="X297" s="35" t="str">
        <f aca="false">IF($C297="","",IF($D297="","★项目名称没填",IF(COUNTIF($E$5:$E$304,$E297)&gt;1,"★键重复",IF(AND($H297&lt;&gt;"",$I297&lt;&gt;"",$I297&lt;$H297),"★合同起止反了",IF(N($K297)=0,"★电梯资料里没有这个项目","OK")))))</f>
        <v/>
      </c>
    </row>
    <row r="298" customFormat="false" ht="15" hidden="false" customHeight="false" outlineLevel="0" collapsed="false">
      <c r="A298" s="29" t="str">
        <f aca="false">IF($C298="","",ROW()-4)</f>
        <v/>
      </c>
      <c r="B298" s="35" t="str">
        <f aca="false">IF($C298="","",IFERROR(INDEX(电梯片区,MATCH($E298,电梯键,0)),""))</f>
        <v/>
      </c>
      <c r="C298" s="24"/>
      <c r="D298" s="24"/>
      <c r="E298" s="30" t="str">
        <f aca="false">IF($C298="","",$C298&amp;" ｜ "&amp;$D298)</f>
        <v/>
      </c>
      <c r="F298" s="25"/>
      <c r="G298" s="25"/>
      <c r="H298" s="33"/>
      <c r="I298" s="33"/>
      <c r="J298" s="32"/>
      <c r="K298" s="38" t="str">
        <f aca="false">IF($C298="","",SUMIF(电梯键,$E298,电梯台量))</f>
        <v/>
      </c>
      <c r="L298" s="39"/>
      <c r="M298" s="25"/>
      <c r="N298" s="25"/>
      <c r="O298" s="38" t="str">
        <f aca="false">IF($C298="","",SUMIFS(电梯台量,电梯键,$E298,电梯状态,"安装免保")+SUMIFS(电梯台量,电梯键,$E298,电梯状态,"技术免保")+SUMIFS(电梯台量,电梯键,$E298,电梯状态,"质保期内"))</f>
        <v/>
      </c>
      <c r="P298" s="38" t="str">
        <f aca="false">IF($C298="","",$K298-$O298)</f>
        <v/>
      </c>
      <c r="Q298" s="34" t="str">
        <f aca="true">IF($C298="","",IF($G298="已终止","",IF($I298="","▲没填合同止期",IF($I298&lt;TODAY(),"已到期 "&amp;TEXT(TODAY()-$I298,"0")&amp;" 天",IF($I298-TODAY()&lt;=合同提醒天,"将到期 "&amp;TEXT($I298-TODAY(),"0")&amp;" 天","")))))</f>
        <v/>
      </c>
      <c r="R298" s="34" t="str">
        <f aca="false">IF($C298="","",IF($G298="","▲合同状态没选",IF(OR($G298="已签未回",$G298="未签",$G298="续签中"),"▲合同未回（"&amp;$G298&amp;"）","")))</f>
        <v/>
      </c>
      <c r="S298" s="35" t="str">
        <f aca="false">IF($C298="","",IF(N($J298)=N($K298),"一致","★合同"&amp;TEXT(N($J298),"0")&amp;"台 / 在册"&amp;TEXT(N($K298),"0")&amp;"台"))</f>
        <v/>
      </c>
      <c r="T298" s="40" t="str">
        <f aca="false">IF($C298="","",ROUND(SUMIFS(应收金额,应收键,$E298,应收年度,管理年度),2))</f>
        <v/>
      </c>
      <c r="U298" s="40" t="str">
        <f aca="false">IF($C298="","",ROUND(SUMIFS(收款金额,收款键,$E298,收款年度,管理年度),2))</f>
        <v/>
      </c>
      <c r="V298" s="41" t="str">
        <f aca="false">IF($C298="","",ROUND(SUMIF(应收键,$E298,应收金额)-SUMIF(收款键,$E298,收款金额),2))</f>
        <v/>
      </c>
      <c r="W298" s="24"/>
      <c r="X298" s="35" t="str">
        <f aca="false">IF($C298="","",IF($D298="","★项目名称没填",IF(COUNTIF($E$5:$E$304,$E298)&gt;1,"★键重复",IF(AND($H298&lt;&gt;"",$I298&lt;&gt;"",$I298&lt;$H298),"★合同起止反了",IF(N($K298)=0,"★电梯资料里没有这个项目","OK")))))</f>
        <v/>
      </c>
    </row>
    <row r="299" customFormat="false" ht="15" hidden="false" customHeight="false" outlineLevel="0" collapsed="false">
      <c r="A299" s="29" t="str">
        <f aca="false">IF($C299="","",ROW()-4)</f>
        <v/>
      </c>
      <c r="B299" s="35" t="str">
        <f aca="false">IF($C299="","",IFERROR(INDEX(电梯片区,MATCH($E299,电梯键,0)),""))</f>
        <v/>
      </c>
      <c r="C299" s="24"/>
      <c r="D299" s="24"/>
      <c r="E299" s="30" t="str">
        <f aca="false">IF($C299="","",$C299&amp;" ｜ "&amp;$D299)</f>
        <v/>
      </c>
      <c r="F299" s="25"/>
      <c r="G299" s="25"/>
      <c r="H299" s="33"/>
      <c r="I299" s="33"/>
      <c r="J299" s="32"/>
      <c r="K299" s="38" t="str">
        <f aca="false">IF($C299="","",SUMIF(电梯键,$E299,电梯台量))</f>
        <v/>
      </c>
      <c r="L299" s="39"/>
      <c r="M299" s="25"/>
      <c r="N299" s="25"/>
      <c r="O299" s="38" t="str">
        <f aca="false">IF($C299="","",SUMIFS(电梯台量,电梯键,$E299,电梯状态,"安装免保")+SUMIFS(电梯台量,电梯键,$E299,电梯状态,"技术免保")+SUMIFS(电梯台量,电梯键,$E299,电梯状态,"质保期内"))</f>
        <v/>
      </c>
      <c r="P299" s="38" t="str">
        <f aca="false">IF($C299="","",$K299-$O299)</f>
        <v/>
      </c>
      <c r="Q299" s="34" t="str">
        <f aca="true">IF($C299="","",IF($G299="已终止","",IF($I299="","▲没填合同止期",IF($I299&lt;TODAY(),"已到期 "&amp;TEXT(TODAY()-$I299,"0")&amp;" 天",IF($I299-TODAY()&lt;=合同提醒天,"将到期 "&amp;TEXT($I299-TODAY(),"0")&amp;" 天","")))))</f>
        <v/>
      </c>
      <c r="R299" s="34" t="str">
        <f aca="false">IF($C299="","",IF($G299="","▲合同状态没选",IF(OR($G299="已签未回",$G299="未签",$G299="续签中"),"▲合同未回（"&amp;$G299&amp;"）","")))</f>
        <v/>
      </c>
      <c r="S299" s="35" t="str">
        <f aca="false">IF($C299="","",IF(N($J299)=N($K299),"一致","★合同"&amp;TEXT(N($J299),"0")&amp;"台 / 在册"&amp;TEXT(N($K299),"0")&amp;"台"))</f>
        <v/>
      </c>
      <c r="T299" s="40" t="str">
        <f aca="false">IF($C299="","",ROUND(SUMIFS(应收金额,应收键,$E299,应收年度,管理年度),2))</f>
        <v/>
      </c>
      <c r="U299" s="40" t="str">
        <f aca="false">IF($C299="","",ROUND(SUMIFS(收款金额,收款键,$E299,收款年度,管理年度),2))</f>
        <v/>
      </c>
      <c r="V299" s="41" t="str">
        <f aca="false">IF($C299="","",ROUND(SUMIF(应收键,$E299,应收金额)-SUMIF(收款键,$E299,收款金额),2))</f>
        <v/>
      </c>
      <c r="W299" s="24"/>
      <c r="X299" s="35" t="str">
        <f aca="false">IF($C299="","",IF($D299="","★项目名称没填",IF(COUNTIF($E$5:$E$304,$E299)&gt;1,"★键重复",IF(AND($H299&lt;&gt;"",$I299&lt;&gt;"",$I299&lt;$H299),"★合同起止反了",IF(N($K299)=0,"★电梯资料里没有这个项目","OK")))))</f>
        <v/>
      </c>
    </row>
    <row r="300" customFormat="false" ht="15" hidden="false" customHeight="false" outlineLevel="0" collapsed="false">
      <c r="A300" s="29" t="str">
        <f aca="false">IF($C300="","",ROW()-4)</f>
        <v/>
      </c>
      <c r="B300" s="35" t="str">
        <f aca="false">IF($C300="","",IFERROR(INDEX(电梯片区,MATCH($E300,电梯键,0)),""))</f>
        <v/>
      </c>
      <c r="C300" s="24"/>
      <c r="D300" s="24"/>
      <c r="E300" s="30" t="str">
        <f aca="false">IF($C300="","",$C300&amp;" ｜ "&amp;$D300)</f>
        <v/>
      </c>
      <c r="F300" s="25"/>
      <c r="G300" s="25"/>
      <c r="H300" s="33"/>
      <c r="I300" s="33"/>
      <c r="J300" s="32"/>
      <c r="K300" s="38" t="str">
        <f aca="false">IF($C300="","",SUMIF(电梯键,$E300,电梯台量))</f>
        <v/>
      </c>
      <c r="L300" s="39"/>
      <c r="M300" s="25"/>
      <c r="N300" s="25"/>
      <c r="O300" s="38" t="str">
        <f aca="false">IF($C300="","",SUMIFS(电梯台量,电梯键,$E300,电梯状态,"安装免保")+SUMIFS(电梯台量,电梯键,$E300,电梯状态,"技术免保")+SUMIFS(电梯台量,电梯键,$E300,电梯状态,"质保期内"))</f>
        <v/>
      </c>
      <c r="P300" s="38" t="str">
        <f aca="false">IF($C300="","",$K300-$O300)</f>
        <v/>
      </c>
      <c r="Q300" s="34" t="str">
        <f aca="true">IF($C300="","",IF($G300="已终止","",IF($I300="","▲没填合同止期",IF($I300&lt;TODAY(),"已到期 "&amp;TEXT(TODAY()-$I300,"0")&amp;" 天",IF($I300-TODAY()&lt;=合同提醒天,"将到期 "&amp;TEXT($I300-TODAY(),"0")&amp;" 天","")))))</f>
        <v/>
      </c>
      <c r="R300" s="34" t="str">
        <f aca="false">IF($C300="","",IF($G300="","▲合同状态没选",IF(OR($G300="已签未回",$G300="未签",$G300="续签中"),"▲合同未回（"&amp;$G300&amp;"）","")))</f>
        <v/>
      </c>
      <c r="S300" s="35" t="str">
        <f aca="false">IF($C300="","",IF(N($J300)=N($K300),"一致","★合同"&amp;TEXT(N($J300),"0")&amp;"台 / 在册"&amp;TEXT(N($K300),"0")&amp;"台"))</f>
        <v/>
      </c>
      <c r="T300" s="40" t="str">
        <f aca="false">IF($C300="","",ROUND(SUMIFS(应收金额,应收键,$E300,应收年度,管理年度),2))</f>
        <v/>
      </c>
      <c r="U300" s="40" t="str">
        <f aca="false">IF($C300="","",ROUND(SUMIFS(收款金额,收款键,$E300,收款年度,管理年度),2))</f>
        <v/>
      </c>
      <c r="V300" s="41" t="str">
        <f aca="false">IF($C300="","",ROUND(SUMIF(应收键,$E300,应收金额)-SUMIF(收款键,$E300,收款金额),2))</f>
        <v/>
      </c>
      <c r="W300" s="24"/>
      <c r="X300" s="35" t="str">
        <f aca="false">IF($C300="","",IF($D300="","★项目名称没填",IF(COUNTIF($E$5:$E$304,$E300)&gt;1,"★键重复",IF(AND($H300&lt;&gt;"",$I300&lt;&gt;"",$I300&lt;$H300),"★合同起止反了",IF(N($K300)=0,"★电梯资料里没有这个项目","OK")))))</f>
        <v/>
      </c>
    </row>
    <row r="301" customFormat="false" ht="15" hidden="false" customHeight="false" outlineLevel="0" collapsed="false">
      <c r="A301" s="29" t="str">
        <f aca="false">IF($C301="","",ROW()-4)</f>
        <v/>
      </c>
      <c r="B301" s="35" t="str">
        <f aca="false">IF($C301="","",IFERROR(INDEX(电梯片区,MATCH($E301,电梯键,0)),""))</f>
        <v/>
      </c>
      <c r="C301" s="24"/>
      <c r="D301" s="24"/>
      <c r="E301" s="30" t="str">
        <f aca="false">IF($C301="","",$C301&amp;" ｜ "&amp;$D301)</f>
        <v/>
      </c>
      <c r="F301" s="25"/>
      <c r="G301" s="25"/>
      <c r="H301" s="33"/>
      <c r="I301" s="33"/>
      <c r="J301" s="32"/>
      <c r="K301" s="38" t="str">
        <f aca="false">IF($C301="","",SUMIF(电梯键,$E301,电梯台量))</f>
        <v/>
      </c>
      <c r="L301" s="39"/>
      <c r="M301" s="25"/>
      <c r="N301" s="25"/>
      <c r="O301" s="38" t="str">
        <f aca="false">IF($C301="","",SUMIFS(电梯台量,电梯键,$E301,电梯状态,"安装免保")+SUMIFS(电梯台量,电梯键,$E301,电梯状态,"技术免保")+SUMIFS(电梯台量,电梯键,$E301,电梯状态,"质保期内"))</f>
        <v/>
      </c>
      <c r="P301" s="38" t="str">
        <f aca="false">IF($C301="","",$K301-$O301)</f>
        <v/>
      </c>
      <c r="Q301" s="34" t="str">
        <f aca="true">IF($C301="","",IF($G301="已终止","",IF($I301="","▲没填合同止期",IF($I301&lt;TODAY(),"已到期 "&amp;TEXT(TODAY()-$I301,"0")&amp;" 天",IF($I301-TODAY()&lt;=合同提醒天,"将到期 "&amp;TEXT($I301-TODAY(),"0")&amp;" 天","")))))</f>
        <v/>
      </c>
      <c r="R301" s="34" t="str">
        <f aca="false">IF($C301="","",IF($G301="","▲合同状态没选",IF(OR($G301="已签未回",$G301="未签",$G301="续签中"),"▲合同未回（"&amp;$G301&amp;"）","")))</f>
        <v/>
      </c>
      <c r="S301" s="35" t="str">
        <f aca="false">IF($C301="","",IF(N($J301)=N($K301),"一致","★合同"&amp;TEXT(N($J301),"0")&amp;"台 / 在册"&amp;TEXT(N($K301),"0")&amp;"台"))</f>
        <v/>
      </c>
      <c r="T301" s="40" t="str">
        <f aca="false">IF($C301="","",ROUND(SUMIFS(应收金额,应收键,$E301,应收年度,管理年度),2))</f>
        <v/>
      </c>
      <c r="U301" s="40" t="str">
        <f aca="false">IF($C301="","",ROUND(SUMIFS(收款金额,收款键,$E301,收款年度,管理年度),2))</f>
        <v/>
      </c>
      <c r="V301" s="41" t="str">
        <f aca="false">IF($C301="","",ROUND(SUMIF(应收键,$E301,应收金额)-SUMIF(收款键,$E301,收款金额),2))</f>
        <v/>
      </c>
      <c r="W301" s="24"/>
      <c r="X301" s="35" t="str">
        <f aca="false">IF($C301="","",IF($D301="","★项目名称没填",IF(COUNTIF($E$5:$E$304,$E301)&gt;1,"★键重复",IF(AND($H301&lt;&gt;"",$I301&lt;&gt;"",$I301&lt;$H301),"★合同起止反了",IF(N($K301)=0,"★电梯资料里没有这个项目","OK")))))</f>
        <v/>
      </c>
    </row>
    <row r="302" customFormat="false" ht="15" hidden="false" customHeight="false" outlineLevel="0" collapsed="false">
      <c r="A302" s="29" t="str">
        <f aca="false">IF($C302="","",ROW()-4)</f>
        <v/>
      </c>
      <c r="B302" s="35" t="str">
        <f aca="false">IF($C302="","",IFERROR(INDEX(电梯片区,MATCH($E302,电梯键,0)),""))</f>
        <v/>
      </c>
      <c r="C302" s="24"/>
      <c r="D302" s="24"/>
      <c r="E302" s="30" t="str">
        <f aca="false">IF($C302="","",$C302&amp;" ｜ "&amp;$D302)</f>
        <v/>
      </c>
      <c r="F302" s="25"/>
      <c r="G302" s="25"/>
      <c r="H302" s="33"/>
      <c r="I302" s="33"/>
      <c r="J302" s="32"/>
      <c r="K302" s="38" t="str">
        <f aca="false">IF($C302="","",SUMIF(电梯键,$E302,电梯台量))</f>
        <v/>
      </c>
      <c r="L302" s="39"/>
      <c r="M302" s="25"/>
      <c r="N302" s="25"/>
      <c r="O302" s="38" t="str">
        <f aca="false">IF($C302="","",SUMIFS(电梯台量,电梯键,$E302,电梯状态,"安装免保")+SUMIFS(电梯台量,电梯键,$E302,电梯状态,"技术免保")+SUMIFS(电梯台量,电梯键,$E302,电梯状态,"质保期内"))</f>
        <v/>
      </c>
      <c r="P302" s="38" t="str">
        <f aca="false">IF($C302="","",$K302-$O302)</f>
        <v/>
      </c>
      <c r="Q302" s="34" t="str">
        <f aca="true">IF($C302="","",IF($G302="已终止","",IF($I302="","▲没填合同止期",IF($I302&lt;TODAY(),"已到期 "&amp;TEXT(TODAY()-$I302,"0")&amp;" 天",IF($I302-TODAY()&lt;=合同提醒天,"将到期 "&amp;TEXT($I302-TODAY(),"0")&amp;" 天","")))))</f>
        <v/>
      </c>
      <c r="R302" s="34" t="str">
        <f aca="false">IF($C302="","",IF($G302="","▲合同状态没选",IF(OR($G302="已签未回",$G302="未签",$G302="续签中"),"▲合同未回（"&amp;$G302&amp;"）","")))</f>
        <v/>
      </c>
      <c r="S302" s="35" t="str">
        <f aca="false">IF($C302="","",IF(N($J302)=N($K302),"一致","★合同"&amp;TEXT(N($J302),"0")&amp;"台 / 在册"&amp;TEXT(N($K302),"0")&amp;"台"))</f>
        <v/>
      </c>
      <c r="T302" s="40" t="str">
        <f aca="false">IF($C302="","",ROUND(SUMIFS(应收金额,应收键,$E302,应收年度,管理年度),2))</f>
        <v/>
      </c>
      <c r="U302" s="40" t="str">
        <f aca="false">IF($C302="","",ROUND(SUMIFS(收款金额,收款键,$E302,收款年度,管理年度),2))</f>
        <v/>
      </c>
      <c r="V302" s="41" t="str">
        <f aca="false">IF($C302="","",ROUND(SUMIF(应收键,$E302,应收金额)-SUMIF(收款键,$E302,收款金额),2))</f>
        <v/>
      </c>
      <c r="W302" s="24"/>
      <c r="X302" s="35" t="str">
        <f aca="false">IF($C302="","",IF($D302="","★项目名称没填",IF(COUNTIF($E$5:$E$304,$E302)&gt;1,"★键重复",IF(AND($H302&lt;&gt;"",$I302&lt;&gt;"",$I302&lt;$H302),"★合同起止反了",IF(N($K302)=0,"★电梯资料里没有这个项目","OK")))))</f>
        <v/>
      </c>
    </row>
    <row r="303" customFormat="false" ht="15" hidden="false" customHeight="false" outlineLevel="0" collapsed="false">
      <c r="A303" s="29" t="str">
        <f aca="false">IF($C303="","",ROW()-4)</f>
        <v/>
      </c>
      <c r="B303" s="35" t="str">
        <f aca="false">IF($C303="","",IFERROR(INDEX(电梯片区,MATCH($E303,电梯键,0)),""))</f>
        <v/>
      </c>
      <c r="C303" s="24"/>
      <c r="D303" s="24"/>
      <c r="E303" s="30" t="str">
        <f aca="false">IF($C303="","",$C303&amp;" ｜ "&amp;$D303)</f>
        <v/>
      </c>
      <c r="F303" s="25"/>
      <c r="G303" s="25"/>
      <c r="H303" s="33"/>
      <c r="I303" s="33"/>
      <c r="J303" s="32"/>
      <c r="K303" s="38" t="str">
        <f aca="false">IF($C303="","",SUMIF(电梯键,$E303,电梯台量))</f>
        <v/>
      </c>
      <c r="L303" s="39"/>
      <c r="M303" s="25"/>
      <c r="N303" s="25"/>
      <c r="O303" s="38" t="str">
        <f aca="false">IF($C303="","",SUMIFS(电梯台量,电梯键,$E303,电梯状态,"安装免保")+SUMIFS(电梯台量,电梯键,$E303,电梯状态,"技术免保")+SUMIFS(电梯台量,电梯键,$E303,电梯状态,"质保期内"))</f>
        <v/>
      </c>
      <c r="P303" s="38" t="str">
        <f aca="false">IF($C303="","",$K303-$O303)</f>
        <v/>
      </c>
      <c r="Q303" s="34" t="str">
        <f aca="true">IF($C303="","",IF($G303="已终止","",IF($I303="","▲没填合同止期",IF($I303&lt;TODAY(),"已到期 "&amp;TEXT(TODAY()-$I303,"0")&amp;" 天",IF($I303-TODAY()&lt;=合同提醒天,"将到期 "&amp;TEXT($I303-TODAY(),"0")&amp;" 天","")))))</f>
        <v/>
      </c>
      <c r="R303" s="34" t="str">
        <f aca="false">IF($C303="","",IF($G303="","▲合同状态没选",IF(OR($G303="已签未回",$G303="未签",$G303="续签中"),"▲合同未回（"&amp;$G303&amp;"）","")))</f>
        <v/>
      </c>
      <c r="S303" s="35" t="str">
        <f aca="false">IF($C303="","",IF(N($J303)=N($K303),"一致","★合同"&amp;TEXT(N($J303),"0")&amp;"台 / 在册"&amp;TEXT(N($K303),"0")&amp;"台"))</f>
        <v/>
      </c>
      <c r="T303" s="40" t="str">
        <f aca="false">IF($C303="","",ROUND(SUMIFS(应收金额,应收键,$E303,应收年度,管理年度),2))</f>
        <v/>
      </c>
      <c r="U303" s="40" t="str">
        <f aca="false">IF($C303="","",ROUND(SUMIFS(收款金额,收款键,$E303,收款年度,管理年度),2))</f>
        <v/>
      </c>
      <c r="V303" s="41" t="str">
        <f aca="false">IF($C303="","",ROUND(SUMIF(应收键,$E303,应收金额)-SUMIF(收款键,$E303,收款金额),2))</f>
        <v/>
      </c>
      <c r="W303" s="24"/>
      <c r="X303" s="35" t="str">
        <f aca="false">IF($C303="","",IF($D303="","★项目名称没填",IF(COUNTIF($E$5:$E$304,$E303)&gt;1,"★键重复",IF(AND($H303&lt;&gt;"",$I303&lt;&gt;"",$I303&lt;$H303),"★合同起止反了",IF(N($K303)=0,"★电梯资料里没有这个项目","OK")))))</f>
        <v/>
      </c>
    </row>
    <row r="304" customFormat="false" ht="15" hidden="false" customHeight="false" outlineLevel="0" collapsed="false">
      <c r="A304" s="29" t="str">
        <f aca="false">IF($C304="","",ROW()-4)</f>
        <v/>
      </c>
      <c r="B304" s="35" t="str">
        <f aca="false">IF($C304="","",IFERROR(INDEX(电梯片区,MATCH($E304,电梯键,0)),""))</f>
        <v/>
      </c>
      <c r="C304" s="24"/>
      <c r="D304" s="24"/>
      <c r="E304" s="30" t="str">
        <f aca="false">IF($C304="","",$C304&amp;" ｜ "&amp;$D304)</f>
        <v/>
      </c>
      <c r="F304" s="25"/>
      <c r="G304" s="25"/>
      <c r="H304" s="33"/>
      <c r="I304" s="33"/>
      <c r="J304" s="32"/>
      <c r="K304" s="38" t="str">
        <f aca="false">IF($C304="","",SUMIF(电梯键,$E304,电梯台量))</f>
        <v/>
      </c>
      <c r="L304" s="39"/>
      <c r="M304" s="25"/>
      <c r="N304" s="25"/>
      <c r="O304" s="38" t="str">
        <f aca="false">IF($C304="","",SUMIFS(电梯台量,电梯键,$E304,电梯状态,"安装免保")+SUMIFS(电梯台量,电梯键,$E304,电梯状态,"技术免保")+SUMIFS(电梯台量,电梯键,$E304,电梯状态,"质保期内"))</f>
        <v/>
      </c>
      <c r="P304" s="38" t="str">
        <f aca="false">IF($C304="","",$K304-$O304)</f>
        <v/>
      </c>
      <c r="Q304" s="34" t="str">
        <f aca="true">IF($C304="","",IF($G304="已终止","",IF($I304="","▲没填合同止期",IF($I304&lt;TODAY(),"已到期 "&amp;TEXT(TODAY()-$I304,"0")&amp;" 天",IF($I304-TODAY()&lt;=合同提醒天,"将到期 "&amp;TEXT($I304-TODAY(),"0")&amp;" 天","")))))</f>
        <v/>
      </c>
      <c r="R304" s="34" t="str">
        <f aca="false">IF($C304="","",IF($G304="","▲合同状态没选",IF(OR($G304="已签未回",$G304="未签",$G304="续签中"),"▲合同未回（"&amp;$G304&amp;"）","")))</f>
        <v/>
      </c>
      <c r="S304" s="35" t="str">
        <f aca="false">IF($C304="","",IF(N($J304)=N($K304),"一致","★合同"&amp;TEXT(N($J304),"0")&amp;"台 / 在册"&amp;TEXT(N($K304),"0")&amp;"台"))</f>
        <v/>
      </c>
      <c r="T304" s="40" t="str">
        <f aca="false">IF($C304="","",ROUND(SUMIFS(应收金额,应收键,$E304,应收年度,管理年度),2))</f>
        <v/>
      </c>
      <c r="U304" s="40" t="str">
        <f aca="false">IF($C304="","",ROUND(SUMIFS(收款金额,收款键,$E304,收款年度,管理年度),2))</f>
        <v/>
      </c>
      <c r="V304" s="41" t="str">
        <f aca="false">IF($C304="","",ROUND(SUMIF(应收键,$E304,应收金额)-SUMIF(收款键,$E304,收款金额),2))</f>
        <v/>
      </c>
      <c r="W304" s="24"/>
      <c r="X304" s="35" t="str">
        <f aca="false">IF($C304="","",IF($D304="","★项目名称没填",IF(COUNTIF($E$5:$E$304,$E304)&gt;1,"★键重复",IF(AND($H304&lt;&gt;"",$I304&lt;&gt;"",$I304&lt;$H304),"★合同起止反了",IF(N($K304)=0,"★电梯资料里没有这个项目","OK")))))</f>
        <v/>
      </c>
    </row>
  </sheetData>
  <autoFilter ref="A4:X304"/>
  <mergeCells count="2">
    <mergeCell ref="A1:X1"/>
    <mergeCell ref="A2:X2"/>
  </mergeCells>
  <dataValidations count="3">
    <dataValidation allowBlank="true" error="这一列要跟【基础资料】的清单一致，请从下拉里选。" errorStyle="stop" errorTitle="只能从下拉里选" operator="between" prompt="合同还没回来就选「已签未回 / 未签 / 续签中」，照样能挂应收。" promptTitle="填写提示" showDropDown="false" showErrorMessage="true" showInputMessage="true" sqref="G5:G304" type="list">
      <formula1>OFFSET(基础资料!$I$5,0,0,MAX(1,COUNTA(基础资料!$I$5:$I$34)),1)</formula1>
      <formula2>0</formula2>
    </dataValidation>
    <dataValidation allowBlank="true" error="这一列要跟【基础资料】的清单一致，请从下拉里选。" errorStyle="stop" errorTitle="只能从下拉里选" operator="between" showDropDown="false" showErrorMessage="true" showInputMessage="false" sqref="M5:M304" type="list">
      <formula1>OFFSET(基础资料!$K$5,0,0,MAX(1,COUNTA(基础资料!$K$5:$K$34)),1)</formula1>
      <formula2>0</formula2>
    </dataValidation>
    <dataValidation allowBlank="true" error="这一列要跟【基础资料】的清单一致，请从下拉里选。" errorStyle="stop" errorTitle="只能从下拉里选" operator="between" showDropDown="false" showErrorMessage="true" showInputMessage="false" sqref="N5:N304" type="list">
      <formula1>OFFSET(基础资料!$E$5,0,0,MAX(1,COUNTA(基础资料!$E$5:$E$34)),1)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Y150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28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5" min="12" style="0" width="12"/>
    <col collapsed="false" customWidth="true" hidden="false" outlineLevel="0" max="17" min="16" style="0" width="13"/>
    <col collapsed="false" customWidth="true" hidden="false" outlineLevel="0" max="18" min="18" style="0" width="8"/>
    <col collapsed="false" customWidth="true" hidden="false" outlineLevel="0" max="19" min="19" style="0" width="26"/>
    <col collapsed="false" customWidth="true" hidden="false" outlineLevel="0" max="20" min="20" style="0" width="24"/>
    <col collapsed="false" customWidth="true" hidden="true" outlineLevel="0" max="21" min="21" style="0" width="10"/>
    <col collapsed="false" customWidth="true" hidden="true" outlineLevel="0" max="23" min="22" style="0" width="12"/>
    <col collapsed="false" customWidth="true" hidden="true" outlineLevel="0" max="24" min="24" style="0" width="16"/>
    <col collapsed="false" customWidth="true" hidden="true" outlineLevel="0" max="25" min="25" style="0" width="8"/>
  </cols>
  <sheetData>
    <row r="1" customFormat="false" ht="30" hidden="false" customHeight="true" outlineLevel="0" collapsed="false">
      <c r="A1" s="43" t="s">
        <v>408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</row>
    <row r="2" customFormat="false" ht="60" hidden="false" customHeight="true" outlineLevel="0" collapsed="false">
      <c r="A2" s="2" t="s">
        <v>409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9.5" hidden="false" customHeight="true" outlineLevel="0" collapsed="false">
      <c r="A3" s="26" t="s">
        <v>198</v>
      </c>
      <c r="C3" s="27" t="str">
        <f aca="false">COUNT($C$5:$C$1504)&amp;" 笔"</f>
        <v>30 笔</v>
      </c>
      <c r="K3" s="36" t="n">
        <f aca="false">ROUND(SUM($K$5:$K$1504),2)</f>
        <v>112100</v>
      </c>
      <c r="N3" s="36" t="n">
        <f aca="false">ROUND(SUM($N$5:$N$1504),2)</f>
        <v>73250</v>
      </c>
      <c r="P3" s="36" t="n">
        <f aca="false">ROUND(SUM($P$5:$P$1504),2)</f>
        <v>67450</v>
      </c>
      <c r="Q3" s="36" t="n">
        <f aca="false">ROUND(SUM($Q$5:$Q$1504),2)</f>
        <v>44650</v>
      </c>
      <c r="T3" s="37" t="str">
        <f aca="false">IF(COUNTIF($T$5:$T$1504,"★*")=0,"全部 OK",COUNTIF($T$5:$T$1504,"★*")&amp;" 笔要改")</f>
        <v>全部 OK</v>
      </c>
    </row>
    <row r="4" customFormat="false" ht="31.5" hidden="false" customHeight="true" outlineLevel="0" collapsed="false">
      <c r="A4" s="44" t="s">
        <v>199</v>
      </c>
      <c r="B4" s="44" t="s">
        <v>410</v>
      </c>
      <c r="C4" s="44" t="s">
        <v>411</v>
      </c>
      <c r="D4" s="44" t="s">
        <v>412</v>
      </c>
      <c r="E4" s="44" t="s">
        <v>413</v>
      </c>
      <c r="F4" s="44" t="s">
        <v>414</v>
      </c>
      <c r="G4" s="44" t="s">
        <v>415</v>
      </c>
      <c r="H4" s="44" t="s">
        <v>416</v>
      </c>
      <c r="I4" s="44" t="s">
        <v>417</v>
      </c>
      <c r="J4" s="44" t="s">
        <v>418</v>
      </c>
      <c r="K4" s="44" t="s">
        <v>419</v>
      </c>
      <c r="L4" s="44" t="s">
        <v>420</v>
      </c>
      <c r="M4" s="44" t="s">
        <v>421</v>
      </c>
      <c r="N4" s="44" t="s">
        <v>422</v>
      </c>
      <c r="O4" s="44" t="s">
        <v>423</v>
      </c>
      <c r="P4" s="44" t="s">
        <v>424</v>
      </c>
      <c r="Q4" s="44" t="s">
        <v>425</v>
      </c>
      <c r="R4" s="44" t="s">
        <v>426</v>
      </c>
      <c r="S4" s="44" t="s">
        <v>391</v>
      </c>
      <c r="T4" s="44" t="s">
        <v>229</v>
      </c>
      <c r="U4" s="44" t="s">
        <v>427</v>
      </c>
      <c r="V4" s="44" t="s">
        <v>428</v>
      </c>
      <c r="W4" s="44" t="s">
        <v>429</v>
      </c>
      <c r="X4" s="44" t="s">
        <v>430</v>
      </c>
      <c r="Y4" s="44" t="s">
        <v>431</v>
      </c>
    </row>
    <row r="5" customFormat="false" ht="15" hidden="false" customHeight="false" outlineLevel="0" collapsed="false">
      <c r="A5" s="29" t="n">
        <f aca="false">IF($C5="","",ROW()-4)</f>
        <v>1</v>
      </c>
      <c r="B5" s="35" t="str">
        <f aca="false">IF($C5="","","YS"&amp;TEXT($C5,"yyyymm")&amp;"-"&amp;TEXT(ROW()-4,"0000"))</f>
        <v>YS202507-0001</v>
      </c>
      <c r="C5" s="33" t="n">
        <v>45839</v>
      </c>
      <c r="D5" s="24" t="s">
        <v>432</v>
      </c>
      <c r="E5" s="30" t="str">
        <f aca="false">IF($D5="","",IFERROR(INDEX(合同单位,MATCH($D5,合同键,0)),IFERROR(TRIM(LEFT($D5,FIND("｜",$D5)-1)),$D5)))</f>
        <v>河南华茂医院有限公司</v>
      </c>
      <c r="F5" s="30" t="str">
        <f aca="false">IF($D5="","",IFERROR(INDEX(合同项目,MATCH($D5,合同键,0)),IFERROR(TRIM(MID($D5,FIND("｜",$D5)+1,99)),"")))</f>
        <v>圣爱医院</v>
      </c>
      <c r="G5" s="24" t="s">
        <v>137</v>
      </c>
      <c r="H5" s="35" t="str">
        <f aca="false">IF($G5="","",IFERROR(INDEX(费用款别,MATCH($G5,费用类别表,0)),"合同外款"))</f>
        <v>合同款</v>
      </c>
      <c r="I5" s="33" t="n">
        <v>45839</v>
      </c>
      <c r="J5" s="33" t="n">
        <v>46022</v>
      </c>
      <c r="K5" s="39" t="n">
        <v>4800</v>
      </c>
      <c r="L5" s="33" t="n">
        <v>45848</v>
      </c>
      <c r="M5" s="31" t="s">
        <v>433</v>
      </c>
      <c r="N5" s="39" t="n">
        <v>4800</v>
      </c>
      <c r="O5" s="35" t="str">
        <f aca="false">IF($C5="","",IF(N($N5)&lt;=0,"未开票",IF(ROUND(N($N5)-N($K5),2)&gt;=0,"已开票",IFERROR("部分开票 "&amp;TEXT(N($N5)/N($K5),"0%"),"部分开票"))))</f>
        <v>已开票</v>
      </c>
      <c r="P5" s="40" t="n">
        <f aca="false">IF($C5="","",ROUND($V5+MIN($W5,MAX(0,(SUMIF(收款键,$D5,收款金额)-SUMIFS(收款金额,收款键,$D5,收款关联,"&lt;&gt;"))-($X5-$W5))),2))</f>
        <v>4800</v>
      </c>
      <c r="Q5" s="41" t="n">
        <f aca="false">IF($C5="","",ROUND(N($K5)-N($P5),2))</f>
        <v>0</v>
      </c>
      <c r="R5" s="29" t="n">
        <f aca="false">IF($C5="","",YEAR($C5))</f>
        <v>2025</v>
      </c>
      <c r="S5" s="24" t="s">
        <v>434</v>
      </c>
      <c r="T5" s="35" t="str">
        <f aca="false">IF($C5="","",IF($D5="","★没选客户项目",IF(COUNTIF(合同键,$D5)=0,"★《维保合同》里没这个项目",IF(N($K5)&lt;=0,"★应收金额要填",IF(ROUND(N($N5)-N($K5),2)&gt;0.001,"★开票金额大于应收",IF(AND($L5&lt;&gt;"",N($N5)&lt;=0),"★填了开票日期没填开票金额",IF(AND($I5&lt;&gt;"",$J5&lt;&gt;"",$J5&lt;$I5),"★计费期间起止反了","OK")))))))</f>
        <v>OK</v>
      </c>
      <c r="U5" s="29" t="n">
        <f aca="false">IF($L5="","",YEAR($L5))</f>
        <v>2025</v>
      </c>
      <c r="V5" s="40" t="n">
        <f aca="false">IF($C5="","",ROUND(SUMIF(收款关联,$B5,收款金额),2))</f>
        <v>4800</v>
      </c>
      <c r="W5" s="40" t="n">
        <f aca="false">IF($C5="","",MAX(0,ROUND(N($K5)-N($V5),2)))</f>
        <v>0</v>
      </c>
      <c r="X5" s="40" t="n">
        <f aca="false">IF($C5="","",ROUND(SUMIFS(应收净额,应收键,$D5,应收行号,"&lt;="&amp;ROW()),2))</f>
        <v>0</v>
      </c>
      <c r="Y5" s="29" t="n">
        <f aca="false">IF($C5="","",ROW())</f>
        <v>5</v>
      </c>
    </row>
    <row r="6" customFormat="false" ht="15" hidden="false" customHeight="false" outlineLevel="0" collapsed="false">
      <c r="A6" s="29" t="n">
        <f aca="false">IF($C6="","",ROW()-4)</f>
        <v>2</v>
      </c>
      <c r="B6" s="35" t="str">
        <f aca="false">IF($C6="","","YS"&amp;TEXT($C6,"yyyymm")&amp;"-"&amp;TEXT(ROW()-4,"0000"))</f>
        <v>YS202510-0002</v>
      </c>
      <c r="C6" s="33" t="n">
        <v>45931</v>
      </c>
      <c r="D6" s="24" t="s">
        <v>435</v>
      </c>
      <c r="E6" s="30" t="str">
        <f aca="false">IF($D6="","",IFERROR(INDEX(合同单位,MATCH($D6,合同键,0)),IFERROR(TRIM(LEFT($D6,FIND("｜",$D6)-1)),$D6)))</f>
        <v>金禧永航集团有限公司</v>
      </c>
      <c r="F6" s="30" t="str">
        <f aca="false">IF($D6="","",IFERROR(INDEX(合同项目,MATCH($D6,合同键,0)),IFERROR(TRIM(MID($D6,FIND("｜",$D6)+1,99)),"")))</f>
        <v>金禧西北路291号</v>
      </c>
      <c r="G6" s="24" t="s">
        <v>137</v>
      </c>
      <c r="H6" s="35" t="str">
        <f aca="false">IF($G6="","",IFERROR(INDEX(费用款别,MATCH($G6,费用类别表,0)),"合同外款"))</f>
        <v>合同款</v>
      </c>
      <c r="I6" s="33" t="n">
        <v>45931</v>
      </c>
      <c r="J6" s="33" t="n">
        <v>46112</v>
      </c>
      <c r="K6" s="39" t="n">
        <v>2400</v>
      </c>
      <c r="L6" s="33" t="n">
        <v>45945</v>
      </c>
      <c r="M6" s="31" t="s">
        <v>436</v>
      </c>
      <c r="N6" s="39" t="n">
        <v>2400</v>
      </c>
      <c r="O6" s="35" t="str">
        <f aca="false">IF($C6="","",IF(N($N6)&lt;=0,"未开票",IF(ROUND(N($N6)-N($K6),2)&gt;=0,"已开票",IFERROR("部分开票 "&amp;TEXT(N($N6)/N($K6),"0%"),"部分开票"))))</f>
        <v>已开票</v>
      </c>
      <c r="P6" s="40" t="n">
        <f aca="false">IF($C6="","",ROUND($V6+MIN($W6,MAX(0,(SUMIF(收款键,$D6,收款金额)-SUMIFS(收款金额,收款键,$D6,收款关联,"&lt;&gt;"))-($X6-$W6))),2))</f>
        <v>2400</v>
      </c>
      <c r="Q6" s="41" t="n">
        <f aca="false">IF($C6="","",ROUND(N($K6)-N($P6),2))</f>
        <v>0</v>
      </c>
      <c r="R6" s="29" t="n">
        <f aca="false">IF($C6="","",YEAR($C6))</f>
        <v>2025</v>
      </c>
      <c r="S6" s="24" t="s">
        <v>437</v>
      </c>
      <c r="T6" s="35" t="str">
        <f aca="false">IF($C6="","",IF($D6="","★没选客户项目",IF(COUNTIF(合同键,$D6)=0,"★《维保合同》里没这个项目",IF(N($K6)&lt;=0,"★应收金额要填",IF(ROUND(N($N6)-N($K6),2)&gt;0.001,"★开票金额大于应收",IF(AND($L6&lt;&gt;"",N($N6)&lt;=0),"★填了开票日期没填开票金额",IF(AND($I6&lt;&gt;"",$J6&lt;&gt;"",$J6&lt;$I6),"★计费期间起止反了","OK")))))))</f>
        <v>OK</v>
      </c>
      <c r="U6" s="29" t="n">
        <f aca="false">IF($L6="","",YEAR($L6))</f>
        <v>2025</v>
      </c>
      <c r="V6" s="40" t="n">
        <f aca="false">IF($C6="","",ROUND(SUMIF(收款关联,$B6,收款金额),2))</f>
        <v>2400</v>
      </c>
      <c r="W6" s="40" t="n">
        <f aca="false">IF($C6="","",MAX(0,ROUND(N($K6)-N($V6),2)))</f>
        <v>0</v>
      </c>
      <c r="X6" s="40" t="n">
        <f aca="false">IF($C6="","",ROUND(SUMIFS(应收净额,应收键,$D6,应收行号,"&lt;="&amp;ROW()),2))</f>
        <v>0</v>
      </c>
      <c r="Y6" s="29" t="n">
        <f aca="false">IF($C6="","",ROW())</f>
        <v>6</v>
      </c>
    </row>
    <row r="7" customFormat="false" ht="15" hidden="false" customHeight="false" outlineLevel="0" collapsed="false">
      <c r="A7" s="29" t="n">
        <f aca="false">IF($C7="","",ROW()-4)</f>
        <v>3</v>
      </c>
      <c r="B7" s="35" t="str">
        <f aca="false">IF($C7="","","YS"&amp;TEXT($C7,"yyyymm")&amp;"-"&amp;TEXT(ROW()-4,"0000"))</f>
        <v>YS202511-0003</v>
      </c>
      <c r="C7" s="33" t="n">
        <v>45971</v>
      </c>
      <c r="D7" s="24" t="s">
        <v>438</v>
      </c>
      <c r="E7" s="30" t="str">
        <f aca="false">IF($D7="","",IFERROR(INDEX(合同单位,MATCH($D7,合同键,0)),IFERROR(TRIM(LEFT($D7,FIND("｜",$D7)-1)),$D7)))</f>
        <v>河南南远电缆科技有限公司</v>
      </c>
      <c r="F7" s="30" t="str">
        <f aca="false">IF($D7="","",IFERROR(INDEX(合同项目,MATCH($D7,合同键,0)),IFERROR(TRIM(MID($D7,FIND("｜",$D7)+1,99)),"")))</f>
        <v>南远电缆</v>
      </c>
      <c r="G7" s="24" t="s">
        <v>167</v>
      </c>
      <c r="H7" s="35" t="str">
        <f aca="false">IF($G7="","",IFERROR(INDEX(费用款别,MATCH($G7,费用类别表,0)),"合同外款"))</f>
        <v>合同外款</v>
      </c>
      <c r="I7" s="33"/>
      <c r="J7" s="33"/>
      <c r="K7" s="39" t="n">
        <v>1800</v>
      </c>
      <c r="L7" s="33"/>
      <c r="M7" s="25"/>
      <c r="N7" s="39"/>
      <c r="O7" s="35" t="str">
        <f aca="false">IF($C7="","",IF(N($N7)&lt;=0,"未开票",IF(ROUND(N($N7)-N($K7),2)&gt;=0,"已开票",IFERROR("部分开票 "&amp;TEXT(N($N7)/N($K7),"0%"),"部分开票"))))</f>
        <v>未开票</v>
      </c>
      <c r="P7" s="40" t="n">
        <f aca="false">IF($C7="","",ROUND($V7+MIN($W7,MAX(0,(SUMIF(收款键,$D7,收款金额)-SUMIFS(收款金额,收款键,$D7,收款关联,"&lt;&gt;"))-($X7-$W7))),2))</f>
        <v>1800</v>
      </c>
      <c r="Q7" s="41" t="n">
        <f aca="false">IF($C7="","",ROUND(N($K7)-N($P7),2))</f>
        <v>0</v>
      </c>
      <c r="R7" s="29" t="n">
        <f aca="false">IF($C7="","",YEAR($C7))</f>
        <v>2025</v>
      </c>
      <c r="S7" s="24" t="s">
        <v>439</v>
      </c>
      <c r="T7" s="35" t="str">
        <f aca="false">IF($C7="","",IF($D7="","★没选客户项目",IF(COUNTIF(合同键,$D7)=0,"★《维保合同》里没这个项目",IF(N($K7)&lt;=0,"★应收金额要填",IF(ROUND(N($N7)-N($K7),2)&gt;0.001,"★开票金额大于应收",IF(AND($L7&lt;&gt;"",N($N7)&lt;=0),"★填了开票日期没填开票金额",IF(AND($I7&lt;&gt;"",$J7&lt;&gt;"",$J7&lt;$I7),"★计费期间起止反了","OK")))))))</f>
        <v>OK</v>
      </c>
      <c r="U7" s="29" t="str">
        <f aca="false">IF($L7="","",YEAR($L7))</f>
        <v/>
      </c>
      <c r="V7" s="40" t="n">
        <f aca="false">IF($C7="","",ROUND(SUMIF(收款关联,$B7,收款金额),2))</f>
        <v>1800</v>
      </c>
      <c r="W7" s="40" t="n">
        <f aca="false">IF($C7="","",MAX(0,ROUND(N($K7)-N($V7),2)))</f>
        <v>0</v>
      </c>
      <c r="X7" s="40" t="n">
        <f aca="false">IF($C7="","",ROUND(SUMIFS(应收净额,应收键,$D7,应收行号,"&lt;="&amp;ROW()),2))</f>
        <v>0</v>
      </c>
      <c r="Y7" s="29" t="n">
        <f aca="false">IF($C7="","",ROW())</f>
        <v>7</v>
      </c>
    </row>
    <row r="8" customFormat="false" ht="15" hidden="false" customHeight="false" outlineLevel="0" collapsed="false">
      <c r="A8" s="29" t="n">
        <f aca="false">IF($C8="","",ROW()-4)</f>
        <v>4</v>
      </c>
      <c r="B8" s="35" t="str">
        <f aca="false">IF($C8="","","YS"&amp;TEXT($C8,"yyyymm")&amp;"-"&amp;TEXT(ROW()-4,"0000"))</f>
        <v>YS202512-0004</v>
      </c>
      <c r="C8" s="33" t="n">
        <v>45992</v>
      </c>
      <c r="D8" s="24" t="s">
        <v>440</v>
      </c>
      <c r="E8" s="30" t="str">
        <f aca="false">IF($D8="","",IFERROR(INDEX(合同单位,MATCH($D8,合同键,0)),IFERROR(TRIM(LEFT($D8,FIND("｜",$D8)-1)),$D8)))</f>
        <v>河南光谷义神新材料孵化器有限公司</v>
      </c>
      <c r="F8" s="30" t="str">
        <f aca="false">IF($D8="","",IFERROR(INDEX(合同项目,MATCH($D8,合同键,0)),IFERROR(TRIM(MID($D8,FIND("｜",$D8)+1,99)),"")))</f>
        <v>永和云居</v>
      </c>
      <c r="G8" s="24" t="s">
        <v>157</v>
      </c>
      <c r="H8" s="35" t="str">
        <f aca="false">IF($G8="","",IFERROR(INDEX(费用款别,MATCH($G8,费用类别表,0)),"合同外款"))</f>
        <v>合同外款</v>
      </c>
      <c r="I8" s="33"/>
      <c r="J8" s="33"/>
      <c r="K8" s="39" t="n">
        <v>3200</v>
      </c>
      <c r="L8" s="33"/>
      <c r="M8" s="25"/>
      <c r="N8" s="39"/>
      <c r="O8" s="35" t="str">
        <f aca="false">IF($C8="","",IF(N($N8)&lt;=0,"未开票",IF(ROUND(N($N8)-N($K8),2)&gt;=0,"已开票",IFERROR("部分开票 "&amp;TEXT(N($N8)/N($K8),"0%"),"部分开票"))))</f>
        <v>未开票</v>
      </c>
      <c r="P8" s="40" t="n">
        <f aca="false">IF($C8="","",ROUND($V8+MIN($W8,MAX(0,(SUMIF(收款键,$D8,收款金额)-SUMIFS(收款金额,收款键,$D8,收款关联,"&lt;&gt;"))-($X8-$W8))),2))</f>
        <v>3200</v>
      </c>
      <c r="Q8" s="41" t="n">
        <f aca="false">IF($C8="","",ROUND(N($K8)-N($P8),2))</f>
        <v>0</v>
      </c>
      <c r="R8" s="29" t="n">
        <f aca="false">IF($C8="","",YEAR($C8))</f>
        <v>2025</v>
      </c>
      <c r="S8" s="24" t="s">
        <v>441</v>
      </c>
      <c r="T8" s="35" t="str">
        <f aca="false">IF($C8="","",IF($D8="","★没选客户项目",IF(COUNTIF(合同键,$D8)=0,"★《维保合同》里没这个项目",IF(N($K8)&lt;=0,"★应收金额要填",IF(ROUND(N($N8)-N($K8),2)&gt;0.001,"★开票金额大于应收",IF(AND($L8&lt;&gt;"",N($N8)&lt;=0),"★填了开票日期没填开票金额",IF(AND($I8&lt;&gt;"",$J8&lt;&gt;"",$J8&lt;$I8),"★计费期间起止反了","OK")))))))</f>
        <v>OK</v>
      </c>
      <c r="U8" s="29" t="str">
        <f aca="false">IF($L8="","",YEAR($L8))</f>
        <v/>
      </c>
      <c r="V8" s="40" t="n">
        <f aca="false">IF($C8="","",ROUND(SUMIF(收款关联,$B8,收款金额),2))</f>
        <v>0</v>
      </c>
      <c r="W8" s="40" t="n">
        <f aca="false">IF($C8="","",MAX(0,ROUND(N($K8)-N($V8),2)))</f>
        <v>3200</v>
      </c>
      <c r="X8" s="40" t="n">
        <f aca="false">IF($C8="","",ROUND(SUMIFS(应收净额,应收键,$D8,应收行号,"&lt;="&amp;ROW()),2))</f>
        <v>3200</v>
      </c>
      <c r="Y8" s="29" t="n">
        <f aca="false">IF($C8="","",ROW())</f>
        <v>8</v>
      </c>
    </row>
    <row r="9" customFormat="false" ht="15" hidden="false" customHeight="false" outlineLevel="0" collapsed="false">
      <c r="A9" s="29" t="n">
        <f aca="false">IF($C9="","",ROW()-4)</f>
        <v>5</v>
      </c>
      <c r="B9" s="35" t="str">
        <f aca="false">IF($C9="","","YS"&amp;TEXT($C9,"yyyymm")&amp;"-"&amp;TEXT(ROW()-4,"0000"))</f>
        <v>YS202601-0005</v>
      </c>
      <c r="C9" s="33" t="n">
        <v>46027</v>
      </c>
      <c r="D9" s="24" t="s">
        <v>442</v>
      </c>
      <c r="E9" s="30" t="str">
        <f aca="false">IF($D9="","",IFERROR(INDEX(合同单位,MATCH($D9,合同键,0)),IFERROR(TRIM(LEFT($D9,FIND("｜",$D9)-1)),$D9)))</f>
        <v>河南中意联机电工程有限公司</v>
      </c>
      <c r="F9" s="30" t="str">
        <f aca="false">IF($D9="","",IFERROR(INDEX(合同项目,MATCH($D9,合同键,0)),IFERROR(TRIM(MID($D9,FIND("｜",$D9)+1,99)),"")))</f>
        <v>滨江苑一期</v>
      </c>
      <c r="G9" s="24" t="s">
        <v>137</v>
      </c>
      <c r="H9" s="35" t="str">
        <f aca="false">IF($G9="","",IFERROR(INDEX(费用款别,MATCH($G9,费用类别表,0)),"合同外款"))</f>
        <v>合同款</v>
      </c>
      <c r="I9" s="33" t="n">
        <v>46023</v>
      </c>
      <c r="J9" s="33" t="n">
        <v>46203</v>
      </c>
      <c r="K9" s="39" t="n">
        <v>1800</v>
      </c>
      <c r="L9" s="33" t="n">
        <v>46042</v>
      </c>
      <c r="M9" s="31" t="s">
        <v>443</v>
      </c>
      <c r="N9" s="39" t="n">
        <v>1800</v>
      </c>
      <c r="O9" s="35" t="str">
        <f aca="false">IF($C9="","",IF(N($N9)&lt;=0,"未开票",IF(ROUND(N($N9)-N($K9),2)&gt;=0,"已开票",IFERROR("部分开票 "&amp;TEXT(N($N9)/N($K9),"0%"),"部分开票"))))</f>
        <v>已开票</v>
      </c>
      <c r="P9" s="40" t="n">
        <f aca="false">IF($C9="","",ROUND($V9+MIN($W9,MAX(0,(SUMIF(收款键,$D9,收款金额)-SUMIFS(收款金额,收款键,$D9,收款关联,"&lt;&gt;"))-($X9-$W9))),2))</f>
        <v>1800</v>
      </c>
      <c r="Q9" s="41" t="n">
        <f aca="false">IF($C9="","",ROUND(N($K9)-N($P9),2))</f>
        <v>0</v>
      </c>
      <c r="R9" s="29" t="n">
        <f aca="false">IF($C9="","",YEAR($C9))</f>
        <v>2026</v>
      </c>
      <c r="S9" s="24" t="s">
        <v>444</v>
      </c>
      <c r="T9" s="35" t="str">
        <f aca="false">IF($C9="","",IF($D9="","★没选客户项目",IF(COUNTIF(合同键,$D9)=0,"★《维保合同》里没这个项目",IF(N($K9)&lt;=0,"★应收金额要填",IF(ROUND(N($N9)-N($K9),2)&gt;0.001,"★开票金额大于应收",IF(AND($L9&lt;&gt;"",N($N9)&lt;=0),"★填了开票日期没填开票金额",IF(AND($I9&lt;&gt;"",$J9&lt;&gt;"",$J9&lt;$I9),"★计费期间起止反了","OK")))))))</f>
        <v>OK</v>
      </c>
      <c r="U9" s="29" t="n">
        <f aca="false">IF($L9="","",YEAR($L9))</f>
        <v>2026</v>
      </c>
      <c r="V9" s="40" t="n">
        <f aca="false">IF($C9="","",ROUND(SUMIF(收款关联,$B9,收款金额),2))</f>
        <v>1800</v>
      </c>
      <c r="W9" s="40" t="n">
        <f aca="false">IF($C9="","",MAX(0,ROUND(N($K9)-N($V9),2)))</f>
        <v>0</v>
      </c>
      <c r="X9" s="40" t="n">
        <f aca="false">IF($C9="","",ROUND(SUMIFS(应收净额,应收键,$D9,应收行号,"&lt;="&amp;ROW()),2))</f>
        <v>0</v>
      </c>
      <c r="Y9" s="29" t="n">
        <f aca="false">IF($C9="","",ROW())</f>
        <v>9</v>
      </c>
    </row>
    <row r="10" customFormat="false" ht="15" hidden="false" customHeight="false" outlineLevel="0" collapsed="false">
      <c r="A10" s="29" t="n">
        <f aca="false">IF($C10="","",ROW()-4)</f>
        <v>6</v>
      </c>
      <c r="B10" s="35" t="str">
        <f aca="false">IF($C10="","","YS"&amp;TEXT($C10,"yyyymm")&amp;"-"&amp;TEXT(ROW()-4,"0000"))</f>
        <v>YS202607-0006</v>
      </c>
      <c r="C10" s="33" t="n">
        <v>46208</v>
      </c>
      <c r="D10" s="24" t="s">
        <v>442</v>
      </c>
      <c r="E10" s="30" t="str">
        <f aca="false">IF($D10="","",IFERROR(INDEX(合同单位,MATCH($D10,合同键,0)),IFERROR(TRIM(LEFT($D10,FIND("｜",$D10)-1)),$D10)))</f>
        <v>河南中意联机电工程有限公司</v>
      </c>
      <c r="F10" s="30" t="str">
        <f aca="false">IF($D10="","",IFERROR(INDEX(合同项目,MATCH($D10,合同键,0)),IFERROR(TRIM(MID($D10,FIND("｜",$D10)+1,99)),"")))</f>
        <v>滨江苑一期</v>
      </c>
      <c r="G10" s="24" t="s">
        <v>137</v>
      </c>
      <c r="H10" s="35" t="str">
        <f aca="false">IF($G10="","",IFERROR(INDEX(费用款别,MATCH($G10,费用类别表,0)),"合同外款"))</f>
        <v>合同款</v>
      </c>
      <c r="I10" s="33" t="n">
        <v>46204</v>
      </c>
      <c r="J10" s="33" t="n">
        <v>46387</v>
      </c>
      <c r="K10" s="39" t="n">
        <v>1800</v>
      </c>
      <c r="L10" s="33"/>
      <c r="M10" s="25"/>
      <c r="N10" s="39"/>
      <c r="O10" s="35" t="str">
        <f aca="false">IF($C10="","",IF(N($N10)&lt;=0,"未开票",IF(ROUND(N($N10)-N($K10),2)&gt;=0,"已开票",IFERROR("部分开票 "&amp;TEXT(N($N10)/N($K10),"0%"),"部分开票"))))</f>
        <v>未开票</v>
      </c>
      <c r="P10" s="40" t="n">
        <f aca="false">IF($C10="","",ROUND($V10+MIN($W10,MAX(0,(SUMIF(收款键,$D10,收款金额)-SUMIFS(收款金额,收款键,$D10,收款关联,"&lt;&gt;"))-($X10-$W10))),2))</f>
        <v>0</v>
      </c>
      <c r="Q10" s="41" t="n">
        <f aca="false">IF($C10="","",ROUND(N($K10)-N($P10),2))</f>
        <v>1800</v>
      </c>
      <c r="R10" s="29" t="n">
        <f aca="false">IF($C10="","",YEAR($C10))</f>
        <v>2026</v>
      </c>
      <c r="S10" s="24" t="s">
        <v>445</v>
      </c>
      <c r="T10" s="35" t="str">
        <f aca="false">IF($C10="","",IF($D10="","★没选客户项目",IF(COUNTIF(合同键,$D10)=0,"★《维保合同》里没这个项目",IF(N($K10)&lt;=0,"★应收金额要填",IF(ROUND(N($N10)-N($K10),2)&gt;0.001,"★开票金额大于应收",IF(AND($L10&lt;&gt;"",N($N10)&lt;=0),"★填了开票日期没填开票金额",IF(AND($I10&lt;&gt;"",$J10&lt;&gt;"",$J10&lt;$I10),"★计费期间起止反了","OK")))))))</f>
        <v>OK</v>
      </c>
      <c r="U10" s="29" t="str">
        <f aca="false">IF($L10="","",YEAR($L10))</f>
        <v/>
      </c>
      <c r="V10" s="40" t="n">
        <f aca="false">IF($C10="","",ROUND(SUMIF(收款关联,$B10,收款金额),2))</f>
        <v>0</v>
      </c>
      <c r="W10" s="40" t="n">
        <f aca="false">IF($C10="","",MAX(0,ROUND(N($K10)-N($V10),2)))</f>
        <v>1800</v>
      </c>
      <c r="X10" s="40" t="n">
        <f aca="false">IF($C10="","",ROUND(SUMIFS(应收净额,应收键,$D10,应收行号,"&lt;="&amp;ROW()),2))</f>
        <v>1800</v>
      </c>
      <c r="Y10" s="29" t="n">
        <f aca="false">IF($C10="","",ROW())</f>
        <v>10</v>
      </c>
    </row>
    <row r="11" customFormat="false" ht="15" hidden="false" customHeight="false" outlineLevel="0" collapsed="false">
      <c r="A11" s="29" t="n">
        <f aca="false">IF($C11="","",ROW()-4)</f>
        <v>7</v>
      </c>
      <c r="B11" s="35" t="str">
        <f aca="false">IF($C11="","","YS"&amp;TEXT($C11,"yyyymm")&amp;"-"&amp;TEXT(ROW()-4,"0000"))</f>
        <v>YS202603-0007</v>
      </c>
      <c r="C11" s="33" t="n">
        <v>46086</v>
      </c>
      <c r="D11" s="24" t="s">
        <v>446</v>
      </c>
      <c r="E11" s="30" t="str">
        <f aca="false">IF($D11="","",IFERROR(INDEX(合同单位,MATCH($D11,合同键,0)),IFERROR(TRIM(LEFT($D11,FIND("｜",$D11)-1)),$D11)))</f>
        <v>河南明海定慧商业管理有限公司</v>
      </c>
      <c r="F11" s="30" t="str">
        <f aca="false">IF($D11="","",IFERROR(INDEX(合同项目,MATCH($D11,合同键,0)),IFERROR(TRIM(MID($D11,FIND("｜",$D11)+1,99)),"")))</f>
        <v>六渡桥</v>
      </c>
      <c r="G11" s="24" t="s">
        <v>137</v>
      </c>
      <c r="H11" s="35" t="str">
        <f aca="false">IF($G11="","",IFERROR(INDEX(费用款别,MATCH($G11,费用类别表,0)),"合同外款"))</f>
        <v>合同款</v>
      </c>
      <c r="I11" s="33" t="n">
        <v>46082</v>
      </c>
      <c r="J11" s="33" t="n">
        <v>46173</v>
      </c>
      <c r="K11" s="39" t="n">
        <v>1050</v>
      </c>
      <c r="L11" s="33" t="n">
        <v>46099</v>
      </c>
      <c r="M11" s="31" t="s">
        <v>447</v>
      </c>
      <c r="N11" s="39" t="n">
        <v>1050</v>
      </c>
      <c r="O11" s="35" t="str">
        <f aca="false">IF($C11="","",IF(N($N11)&lt;=0,"未开票",IF(ROUND(N($N11)-N($K11),2)&gt;=0,"已开票",IFERROR("部分开票 "&amp;TEXT(N($N11)/N($K11),"0%"),"部分开票"))))</f>
        <v>已开票</v>
      </c>
      <c r="P11" s="40" t="n">
        <f aca="false">IF($C11="","",ROUND($V11+MIN($W11,MAX(0,(SUMIF(收款键,$D11,收款金额)-SUMIFS(收款金额,收款键,$D11,收款关联,"&lt;&gt;"))-($X11-$W11))),2))</f>
        <v>1050</v>
      </c>
      <c r="Q11" s="41" t="n">
        <f aca="false">IF($C11="","",ROUND(N($K11)-N($P11),2))</f>
        <v>0</v>
      </c>
      <c r="R11" s="29" t="n">
        <f aca="false">IF($C11="","",YEAR($C11))</f>
        <v>2026</v>
      </c>
      <c r="S11" s="24"/>
      <c r="T11" s="35" t="str">
        <f aca="false">IF($C11="","",IF($D11="","★没选客户项目",IF(COUNTIF(合同键,$D11)=0,"★《维保合同》里没这个项目",IF(N($K11)&lt;=0,"★应收金额要填",IF(ROUND(N($N11)-N($K11),2)&gt;0.001,"★开票金额大于应收",IF(AND($L11&lt;&gt;"",N($N11)&lt;=0),"★填了开票日期没填开票金额",IF(AND($I11&lt;&gt;"",$J11&lt;&gt;"",$J11&lt;$I11),"★计费期间起止反了","OK")))))))</f>
        <v>OK</v>
      </c>
      <c r="U11" s="29" t="n">
        <f aca="false">IF($L11="","",YEAR($L11))</f>
        <v>2026</v>
      </c>
      <c r="V11" s="40" t="n">
        <f aca="false">IF($C11="","",ROUND(SUMIF(收款关联,$B11,收款金额),2))</f>
        <v>1050</v>
      </c>
      <c r="W11" s="40" t="n">
        <f aca="false">IF($C11="","",MAX(0,ROUND(N($K11)-N($V11),2)))</f>
        <v>0</v>
      </c>
      <c r="X11" s="40" t="n">
        <f aca="false">IF($C11="","",ROUND(SUMIFS(应收净额,应收键,$D11,应收行号,"&lt;="&amp;ROW()),2))</f>
        <v>0</v>
      </c>
      <c r="Y11" s="29" t="n">
        <f aca="false">IF($C11="","",ROW())</f>
        <v>11</v>
      </c>
    </row>
    <row r="12" customFormat="false" ht="15" hidden="false" customHeight="false" outlineLevel="0" collapsed="false">
      <c r="A12" s="29" t="n">
        <f aca="false">IF($C12="","",ROW()-4)</f>
        <v>8</v>
      </c>
      <c r="B12" s="35" t="str">
        <f aca="false">IF($C12="","","YS"&amp;TEXT($C12,"yyyymm")&amp;"-"&amp;TEXT(ROW()-4,"0000"))</f>
        <v>YS202606-0008</v>
      </c>
      <c r="C12" s="33" t="n">
        <v>46178</v>
      </c>
      <c r="D12" s="24" t="s">
        <v>446</v>
      </c>
      <c r="E12" s="30" t="str">
        <f aca="false">IF($D12="","",IFERROR(INDEX(合同单位,MATCH($D12,合同键,0)),IFERROR(TRIM(LEFT($D12,FIND("｜",$D12)-1)),$D12)))</f>
        <v>河南明海定慧商业管理有限公司</v>
      </c>
      <c r="F12" s="30" t="str">
        <f aca="false">IF($D12="","",IFERROR(INDEX(合同项目,MATCH($D12,合同键,0)),IFERROR(TRIM(MID($D12,FIND("｜",$D12)+1,99)),"")))</f>
        <v>六渡桥</v>
      </c>
      <c r="G12" s="24" t="s">
        <v>137</v>
      </c>
      <c r="H12" s="35" t="str">
        <f aca="false">IF($G12="","",IFERROR(INDEX(费用款别,MATCH($G12,费用类别表,0)),"合同外款"))</f>
        <v>合同款</v>
      </c>
      <c r="I12" s="33" t="n">
        <v>46174</v>
      </c>
      <c r="J12" s="33" t="n">
        <v>46265</v>
      </c>
      <c r="K12" s="39" t="n">
        <v>1050</v>
      </c>
      <c r="L12" s="33" t="n">
        <v>46189</v>
      </c>
      <c r="M12" s="31" t="s">
        <v>448</v>
      </c>
      <c r="N12" s="39" t="n">
        <v>1050</v>
      </c>
      <c r="O12" s="35" t="str">
        <f aca="false">IF($C12="","",IF(N($N12)&lt;=0,"未开票",IF(ROUND(N($N12)-N($K12),2)&gt;=0,"已开票",IFERROR("部分开票 "&amp;TEXT(N($N12)/N($K12),"0%"),"部分开票"))))</f>
        <v>已开票</v>
      </c>
      <c r="P12" s="40" t="n">
        <f aca="false">IF($C12="","",ROUND($V12+MIN($W12,MAX(0,(SUMIF(收款键,$D12,收款金额)-SUMIFS(收款金额,收款键,$D12,收款关联,"&lt;&gt;"))-($X12-$W12))),2))</f>
        <v>1050</v>
      </c>
      <c r="Q12" s="41" t="n">
        <f aca="false">IF($C12="","",ROUND(N($K12)-N($P12),2))</f>
        <v>0</v>
      </c>
      <c r="R12" s="29" t="n">
        <f aca="false">IF($C12="","",YEAR($C12))</f>
        <v>2026</v>
      </c>
      <c r="S12" s="24"/>
      <c r="T12" s="35" t="str">
        <f aca="false">IF($C12="","",IF($D12="","★没选客户项目",IF(COUNTIF(合同键,$D12)=0,"★《维保合同》里没这个项目",IF(N($K12)&lt;=0,"★应收金额要填",IF(ROUND(N($N12)-N($K12),2)&gt;0.001,"★开票金额大于应收",IF(AND($L12&lt;&gt;"",N($N12)&lt;=0),"★填了开票日期没填开票金额",IF(AND($I12&lt;&gt;"",$J12&lt;&gt;"",$J12&lt;$I12),"★计费期间起止反了","OK")))))))</f>
        <v>OK</v>
      </c>
      <c r="U12" s="29" t="n">
        <f aca="false">IF($L12="","",YEAR($L12))</f>
        <v>2026</v>
      </c>
      <c r="V12" s="40" t="n">
        <f aca="false">IF($C12="","",ROUND(SUMIF(收款关联,$B12,收款金额),2))</f>
        <v>1050</v>
      </c>
      <c r="W12" s="40" t="n">
        <f aca="false">IF($C12="","",MAX(0,ROUND(N($K12)-N($V12),2)))</f>
        <v>0</v>
      </c>
      <c r="X12" s="40" t="n">
        <f aca="false">IF($C12="","",ROUND(SUMIFS(应收净额,应收键,$D12,应收行号,"&lt;="&amp;ROW()),2))</f>
        <v>0</v>
      </c>
      <c r="Y12" s="29" t="n">
        <f aca="false">IF($C12="","",ROW())</f>
        <v>12</v>
      </c>
    </row>
    <row r="13" customFormat="false" ht="15" hidden="false" customHeight="false" outlineLevel="0" collapsed="false">
      <c r="A13" s="29" t="n">
        <f aca="false">IF($C13="","",ROW()-4)</f>
        <v>9</v>
      </c>
      <c r="B13" s="35" t="str">
        <f aca="false">IF($C13="","","YS"&amp;TEXT($C13,"yyyymm")&amp;"-"&amp;TEXT(ROW()-4,"0000"))</f>
        <v>YS202609-0009</v>
      </c>
      <c r="C13" s="33" t="n">
        <v>46270</v>
      </c>
      <c r="D13" s="24" t="s">
        <v>446</v>
      </c>
      <c r="E13" s="30" t="str">
        <f aca="false">IF($D13="","",IFERROR(INDEX(合同单位,MATCH($D13,合同键,0)),IFERROR(TRIM(LEFT($D13,FIND("｜",$D13)-1)),$D13)))</f>
        <v>河南明海定慧商业管理有限公司</v>
      </c>
      <c r="F13" s="30" t="str">
        <f aca="false">IF($D13="","",IFERROR(INDEX(合同项目,MATCH($D13,合同键,0)),IFERROR(TRIM(MID($D13,FIND("｜",$D13)+1,99)),"")))</f>
        <v>六渡桥</v>
      </c>
      <c r="G13" s="24" t="s">
        <v>137</v>
      </c>
      <c r="H13" s="35" t="str">
        <f aca="false">IF($G13="","",IFERROR(INDEX(费用款别,MATCH($G13,费用类别表,0)),"合同外款"))</f>
        <v>合同款</v>
      </c>
      <c r="I13" s="33" t="n">
        <v>46266</v>
      </c>
      <c r="J13" s="33" t="n">
        <v>46356</v>
      </c>
      <c r="K13" s="39" t="n">
        <v>1050</v>
      </c>
      <c r="L13" s="33"/>
      <c r="M13" s="25"/>
      <c r="N13" s="39"/>
      <c r="O13" s="35" t="str">
        <f aca="false">IF($C13="","",IF(N($N13)&lt;=0,"未开票",IF(ROUND(N($N13)-N($K13),2)&gt;=0,"已开票",IFERROR("部分开票 "&amp;TEXT(N($N13)/N($K13),"0%"),"部分开票"))))</f>
        <v>未开票</v>
      </c>
      <c r="P13" s="40" t="n">
        <f aca="false">IF($C13="","",ROUND($V13+MIN($W13,MAX(0,(SUMIF(收款键,$D13,收款金额)-SUMIFS(收款金额,收款键,$D13,收款关联,"&lt;&gt;"))-($X13-$W13))),2))</f>
        <v>0</v>
      </c>
      <c r="Q13" s="41" t="n">
        <f aca="false">IF($C13="","",ROUND(N($K13)-N($P13),2))</f>
        <v>1050</v>
      </c>
      <c r="R13" s="29" t="n">
        <f aca="false">IF($C13="","",YEAR($C13))</f>
        <v>2026</v>
      </c>
      <c r="S13" s="24"/>
      <c r="T13" s="35" t="str">
        <f aca="false">IF($C13="","",IF($D13="","★没选客户项目",IF(COUNTIF(合同键,$D13)=0,"★《维保合同》里没这个项目",IF(N($K13)&lt;=0,"★应收金额要填",IF(ROUND(N($N13)-N($K13),2)&gt;0.001,"★开票金额大于应收",IF(AND($L13&lt;&gt;"",N($N13)&lt;=0),"★填了开票日期没填开票金额",IF(AND($I13&lt;&gt;"",$J13&lt;&gt;"",$J13&lt;$I13),"★计费期间起止反了","OK")))))))</f>
        <v>OK</v>
      </c>
      <c r="U13" s="29" t="str">
        <f aca="false">IF($L13="","",YEAR($L13))</f>
        <v/>
      </c>
      <c r="V13" s="40" t="n">
        <f aca="false">IF($C13="","",ROUND(SUMIF(收款关联,$B13,收款金额),2))</f>
        <v>0</v>
      </c>
      <c r="W13" s="40" t="n">
        <f aca="false">IF($C13="","",MAX(0,ROUND(N($K13)-N($V13),2)))</f>
        <v>1050</v>
      </c>
      <c r="X13" s="40" t="n">
        <f aca="false">IF($C13="","",ROUND(SUMIFS(应收净额,应收键,$D13,应收行号,"&lt;="&amp;ROW()),2))</f>
        <v>1050</v>
      </c>
      <c r="Y13" s="29" t="n">
        <f aca="false">IF($C13="","",ROW())</f>
        <v>13</v>
      </c>
    </row>
    <row r="14" customFormat="false" ht="15" hidden="false" customHeight="false" outlineLevel="0" collapsed="false">
      <c r="A14" s="29" t="n">
        <f aca="false">IF($C14="","",ROW()-4)</f>
        <v>10</v>
      </c>
      <c r="B14" s="35" t="str">
        <f aca="false">IF($C14="","","YS"&amp;TEXT($C14,"yyyymm")&amp;"-"&amp;TEXT(ROW()-4,"0000"))</f>
        <v>YS202601-0010</v>
      </c>
      <c r="C14" s="33" t="n">
        <v>46027</v>
      </c>
      <c r="D14" s="24" t="s">
        <v>432</v>
      </c>
      <c r="E14" s="30" t="str">
        <f aca="false">IF($D14="","",IFERROR(INDEX(合同单位,MATCH($D14,合同键,0)),IFERROR(TRIM(LEFT($D14,FIND("｜",$D14)-1)),$D14)))</f>
        <v>河南华茂医院有限公司</v>
      </c>
      <c r="F14" s="30" t="str">
        <f aca="false">IF($D14="","",IFERROR(INDEX(合同项目,MATCH($D14,合同键,0)),IFERROR(TRIM(MID($D14,FIND("｜",$D14)+1,99)),"")))</f>
        <v>圣爱医院</v>
      </c>
      <c r="G14" s="24" t="s">
        <v>137</v>
      </c>
      <c r="H14" s="35" t="str">
        <f aca="false">IF($G14="","",IFERROR(INDEX(费用款别,MATCH($G14,费用类别表,0)),"合同外款"))</f>
        <v>合同款</v>
      </c>
      <c r="I14" s="33" t="n">
        <v>46023</v>
      </c>
      <c r="J14" s="33" t="n">
        <v>46203</v>
      </c>
      <c r="K14" s="39" t="n">
        <v>4800</v>
      </c>
      <c r="L14" s="33" t="n">
        <v>46037</v>
      </c>
      <c r="M14" s="31" t="s">
        <v>449</v>
      </c>
      <c r="N14" s="39" t="n">
        <v>4800</v>
      </c>
      <c r="O14" s="35" t="str">
        <f aca="false">IF($C14="","",IF(N($N14)&lt;=0,"未开票",IF(ROUND(N($N14)-N($K14),2)&gt;=0,"已开票",IFERROR("部分开票 "&amp;TEXT(N($N14)/N($K14),"0%"),"部分开票"))))</f>
        <v>已开票</v>
      </c>
      <c r="P14" s="40" t="n">
        <f aca="false">IF($C14="","",ROUND($V14+MIN($W14,MAX(0,(SUMIF(收款键,$D14,收款金额)-SUMIFS(收款金额,收款键,$D14,收款关联,"&lt;&gt;"))-($X14-$W14))),2))</f>
        <v>4800</v>
      </c>
      <c r="Q14" s="41" t="n">
        <f aca="false">IF($C14="","",ROUND(N($K14)-N($P14),2))</f>
        <v>0</v>
      </c>
      <c r="R14" s="29" t="n">
        <f aca="false">IF($C14="","",YEAR($C14))</f>
        <v>2026</v>
      </c>
      <c r="S14" s="24"/>
      <c r="T14" s="35" t="str">
        <f aca="false">IF($C14="","",IF($D14="","★没选客户项目",IF(COUNTIF(合同键,$D14)=0,"★《维保合同》里没这个项目",IF(N($K14)&lt;=0,"★应收金额要填",IF(ROUND(N($N14)-N($K14),2)&gt;0.001,"★开票金额大于应收",IF(AND($L14&lt;&gt;"",N($N14)&lt;=0),"★填了开票日期没填开票金额",IF(AND($I14&lt;&gt;"",$J14&lt;&gt;"",$J14&lt;$I14),"★计费期间起止反了","OK")))))))</f>
        <v>OK</v>
      </c>
      <c r="U14" s="29" t="n">
        <f aca="false">IF($L14="","",YEAR($L14))</f>
        <v>2026</v>
      </c>
      <c r="V14" s="40" t="n">
        <f aca="false">IF($C14="","",ROUND(SUMIF(收款关联,$B14,收款金额),2))</f>
        <v>4800</v>
      </c>
      <c r="W14" s="40" t="n">
        <f aca="false">IF($C14="","",MAX(0,ROUND(N($K14)-N($V14),2)))</f>
        <v>0</v>
      </c>
      <c r="X14" s="40" t="n">
        <f aca="false">IF($C14="","",ROUND(SUMIFS(应收净额,应收键,$D14,应收行号,"&lt;="&amp;ROW()),2))</f>
        <v>0</v>
      </c>
      <c r="Y14" s="29" t="n">
        <f aca="false">IF($C14="","",ROW())</f>
        <v>14</v>
      </c>
    </row>
    <row r="15" customFormat="false" ht="15" hidden="false" customHeight="false" outlineLevel="0" collapsed="false">
      <c r="A15" s="29" t="n">
        <f aca="false">IF($C15="","",ROW()-4)</f>
        <v>11</v>
      </c>
      <c r="B15" s="35" t="str">
        <f aca="false">IF($C15="","","YS"&amp;TEXT($C15,"yyyymm")&amp;"-"&amp;TEXT(ROW()-4,"0000"))</f>
        <v>YS202607-0011</v>
      </c>
      <c r="C15" s="33" t="n">
        <v>46208</v>
      </c>
      <c r="D15" s="24" t="s">
        <v>432</v>
      </c>
      <c r="E15" s="30" t="str">
        <f aca="false">IF($D15="","",IFERROR(INDEX(合同单位,MATCH($D15,合同键,0)),IFERROR(TRIM(LEFT($D15,FIND("｜",$D15)-1)),$D15)))</f>
        <v>河南华茂医院有限公司</v>
      </c>
      <c r="F15" s="30" t="str">
        <f aca="false">IF($D15="","",IFERROR(INDEX(合同项目,MATCH($D15,合同键,0)),IFERROR(TRIM(MID($D15,FIND("｜",$D15)+1,99)),"")))</f>
        <v>圣爱医院</v>
      </c>
      <c r="G15" s="24" t="s">
        <v>137</v>
      </c>
      <c r="H15" s="35" t="str">
        <f aca="false">IF($G15="","",IFERROR(INDEX(费用款别,MATCH($G15,费用类别表,0)),"合同外款"))</f>
        <v>合同款</v>
      </c>
      <c r="I15" s="33" t="n">
        <v>46204</v>
      </c>
      <c r="J15" s="33" t="n">
        <v>46387</v>
      </c>
      <c r="K15" s="39" t="n">
        <v>4800</v>
      </c>
      <c r="L15" s="33" t="n">
        <v>46213</v>
      </c>
      <c r="M15" s="31" t="s">
        <v>450</v>
      </c>
      <c r="N15" s="39" t="n">
        <v>4800</v>
      </c>
      <c r="O15" s="35" t="str">
        <f aca="false">IF($C15="","",IF(N($N15)&lt;=0,"未开票",IF(ROUND(N($N15)-N($K15),2)&gt;=0,"已开票",IFERROR("部分开票 "&amp;TEXT(N($N15)/N($K15),"0%"),"部分开票"))))</f>
        <v>已开票</v>
      </c>
      <c r="P15" s="40" t="n">
        <f aca="false">IF($C15="","",ROUND($V15+MIN($W15,MAX(0,(SUMIF(收款键,$D15,收款金额)-SUMIFS(收款金额,收款键,$D15,收款关联,"&lt;&gt;"))-($X15-$W15))),2))</f>
        <v>0</v>
      </c>
      <c r="Q15" s="41" t="n">
        <f aca="false">IF($C15="","",ROUND(N($K15)-N($P15),2))</f>
        <v>4800</v>
      </c>
      <c r="R15" s="29" t="n">
        <f aca="false">IF($C15="","",YEAR($C15))</f>
        <v>2026</v>
      </c>
      <c r="S15" s="24" t="s">
        <v>451</v>
      </c>
      <c r="T15" s="35" t="str">
        <f aca="false">IF($C15="","",IF($D15="","★没选客户项目",IF(COUNTIF(合同键,$D15)=0,"★《维保合同》里没这个项目",IF(N($K15)&lt;=0,"★应收金额要填",IF(ROUND(N($N15)-N($K15),2)&gt;0.001,"★开票金额大于应收",IF(AND($L15&lt;&gt;"",N($N15)&lt;=0),"★填了开票日期没填开票金额",IF(AND($I15&lt;&gt;"",$J15&lt;&gt;"",$J15&lt;$I15),"★计费期间起止反了","OK")))))))</f>
        <v>OK</v>
      </c>
      <c r="U15" s="29" t="n">
        <f aca="false">IF($L15="","",YEAR($L15))</f>
        <v>2026</v>
      </c>
      <c r="V15" s="40" t="n">
        <f aca="false">IF($C15="","",ROUND(SUMIF(收款关联,$B15,收款金额),2))</f>
        <v>0</v>
      </c>
      <c r="W15" s="40" t="n">
        <f aca="false">IF($C15="","",MAX(0,ROUND(N($K15)-N($V15),2)))</f>
        <v>4800</v>
      </c>
      <c r="X15" s="40" t="n">
        <f aca="false">IF($C15="","",ROUND(SUMIFS(应收净额,应收键,$D15,应收行号,"&lt;="&amp;ROW()),2))</f>
        <v>4800</v>
      </c>
      <c r="Y15" s="29" t="n">
        <f aca="false">IF($C15="","",ROW())</f>
        <v>15</v>
      </c>
    </row>
    <row r="16" customFormat="false" ht="15" hidden="false" customHeight="false" outlineLevel="0" collapsed="false">
      <c r="A16" s="29" t="n">
        <f aca="false">IF($C16="","",ROW()-4)</f>
        <v>12</v>
      </c>
      <c r="B16" s="35" t="str">
        <f aca="false">IF($C16="","","YS"&amp;TEXT($C16,"yyyymm")&amp;"-"&amp;TEXT(ROW()-4,"0000"))</f>
        <v>YS202604-0012</v>
      </c>
      <c r="C16" s="33" t="n">
        <v>46130</v>
      </c>
      <c r="D16" s="24" t="s">
        <v>432</v>
      </c>
      <c r="E16" s="30" t="str">
        <f aca="false">IF($D16="","",IFERROR(INDEX(合同单位,MATCH($D16,合同键,0)),IFERROR(TRIM(LEFT($D16,FIND("｜",$D16)-1)),$D16)))</f>
        <v>河南华茂医院有限公司</v>
      </c>
      <c r="F16" s="30" t="str">
        <f aca="false">IF($D16="","",IFERROR(INDEX(合同项目,MATCH($D16,合同键,0)),IFERROR(TRIM(MID($D16,FIND("｜",$D16)+1,99)),"")))</f>
        <v>圣爱医院</v>
      </c>
      <c r="G16" s="24" t="s">
        <v>194</v>
      </c>
      <c r="H16" s="35" t="str">
        <f aca="false">IF($G16="","",IFERROR(INDEX(费用款别,MATCH($G16,费用类别表,0)),"合同外款"))</f>
        <v>合同外款</v>
      </c>
      <c r="I16" s="33"/>
      <c r="J16" s="33"/>
      <c r="K16" s="39" t="n">
        <v>600</v>
      </c>
      <c r="L16" s="33" t="n">
        <v>46137</v>
      </c>
      <c r="M16" s="31" t="s">
        <v>452</v>
      </c>
      <c r="N16" s="39" t="n">
        <v>600</v>
      </c>
      <c r="O16" s="35" t="str">
        <f aca="false">IF($C16="","",IF(N($N16)&lt;=0,"未开票",IF(ROUND(N($N16)-N($K16),2)&gt;=0,"已开票",IFERROR("部分开票 "&amp;TEXT(N($N16)/N($K16),"0%"),"部分开票"))))</f>
        <v>已开票</v>
      </c>
      <c r="P16" s="40" t="n">
        <f aca="false">IF($C16="","",ROUND($V16+MIN($W16,MAX(0,(SUMIF(收款键,$D16,收款金额)-SUMIFS(收款金额,收款键,$D16,收款关联,"&lt;&gt;"))-($X16-$W16))),2))</f>
        <v>600</v>
      </c>
      <c r="Q16" s="41" t="n">
        <f aca="false">IF($C16="","",ROUND(N($K16)-N($P16),2))</f>
        <v>0</v>
      </c>
      <c r="R16" s="29" t="n">
        <f aca="false">IF($C16="","",YEAR($C16))</f>
        <v>2026</v>
      </c>
      <c r="S16" s="24" t="s">
        <v>453</v>
      </c>
      <c r="T16" s="35" t="str">
        <f aca="false">IF($C16="","",IF($D16="","★没选客户项目",IF(COUNTIF(合同键,$D16)=0,"★《维保合同》里没这个项目",IF(N($K16)&lt;=0,"★应收金额要填",IF(ROUND(N($N16)-N($K16),2)&gt;0.001,"★开票金额大于应收",IF(AND($L16&lt;&gt;"",N($N16)&lt;=0),"★填了开票日期没填开票金额",IF(AND($I16&lt;&gt;"",$J16&lt;&gt;"",$J16&lt;$I16),"★计费期间起止反了","OK")))))))</f>
        <v>OK</v>
      </c>
      <c r="U16" s="29" t="n">
        <f aca="false">IF($L16="","",YEAR($L16))</f>
        <v>2026</v>
      </c>
      <c r="V16" s="40" t="n">
        <f aca="false">IF($C16="","",ROUND(SUMIF(收款关联,$B16,收款金额),2))</f>
        <v>600</v>
      </c>
      <c r="W16" s="40" t="n">
        <f aca="false">IF($C16="","",MAX(0,ROUND(N($K16)-N($V16),2)))</f>
        <v>0</v>
      </c>
      <c r="X16" s="40" t="n">
        <f aca="false">IF($C16="","",ROUND(SUMIFS(应收净额,应收键,$D16,应收行号,"&lt;="&amp;ROW()),2))</f>
        <v>4800</v>
      </c>
      <c r="Y16" s="29" t="n">
        <f aca="false">IF($C16="","",ROW())</f>
        <v>16</v>
      </c>
    </row>
    <row r="17" customFormat="false" ht="26.85" hidden="false" customHeight="false" outlineLevel="0" collapsed="false">
      <c r="A17" s="29" t="n">
        <f aca="false">IF($C17="","",ROW()-4)</f>
        <v>13</v>
      </c>
      <c r="B17" s="35" t="str">
        <f aca="false">IF($C17="","","YS"&amp;TEXT($C17,"yyyymm")&amp;"-"&amp;TEXT(ROW()-4,"0000"))</f>
        <v>YS202606-0013</v>
      </c>
      <c r="C17" s="33" t="n">
        <v>46183</v>
      </c>
      <c r="D17" s="24" t="s">
        <v>454</v>
      </c>
      <c r="E17" s="30" t="str">
        <f aca="false">IF($D17="","",IFERROR(INDEX(合同单位,MATCH($D17,合同键,0)),IFERROR(TRIM(LEFT($D17,FIND("｜",$D17)-1)),$D17)))</f>
        <v>河南长江人民艺术剧院有限责任公司</v>
      </c>
      <c r="F17" s="30" t="str">
        <f aca="false">IF($D17="","",IFERROR(INDEX(合同项目,MATCH($D17,合同键,0)),IFERROR(TRIM(MID($D17,FIND("｜",$D17)+1,99)),"")))</f>
        <v>长江人艺D8小剧场</v>
      </c>
      <c r="G17" s="24" t="s">
        <v>137</v>
      </c>
      <c r="H17" s="35" t="str">
        <f aca="false">IF($G17="","",IFERROR(INDEX(费用款别,MATCH($G17,费用类别表,0)),"合同外款"))</f>
        <v>合同款</v>
      </c>
      <c r="I17" s="33" t="n">
        <v>46174</v>
      </c>
      <c r="J17" s="33" t="n">
        <v>46538</v>
      </c>
      <c r="K17" s="39" t="n">
        <v>5400</v>
      </c>
      <c r="L17" s="33"/>
      <c r="M17" s="25"/>
      <c r="N17" s="39"/>
      <c r="O17" s="35" t="str">
        <f aca="false">IF($C17="","",IF(N($N17)&lt;=0,"未开票",IF(ROUND(N($N17)-N($K17),2)&gt;=0,"已开票",IFERROR("部分开票 "&amp;TEXT(N($N17)/N($K17),"0%"),"部分开票"))))</f>
        <v>未开票</v>
      </c>
      <c r="P17" s="40" t="n">
        <f aca="false">IF($C17="","",ROUND($V17+MIN($W17,MAX(0,(SUMIF(收款键,$D17,收款金额)-SUMIFS(收款金额,收款键,$D17,收款关联,"&lt;&gt;"))-($X17-$W17))),2))</f>
        <v>0</v>
      </c>
      <c r="Q17" s="41" t="n">
        <f aca="false">IF($C17="","",ROUND(N($K17)-N($P17),2))</f>
        <v>5400</v>
      </c>
      <c r="R17" s="29" t="n">
        <f aca="false">IF($C17="","",YEAR($C17))</f>
        <v>2026</v>
      </c>
      <c r="S17" s="24" t="s">
        <v>455</v>
      </c>
      <c r="T17" s="35" t="str">
        <f aca="false">IF($C17="","",IF($D17="","★没选客户项目",IF(COUNTIF(合同键,$D17)=0,"★《维保合同》里没这个项目",IF(N($K17)&lt;=0,"★应收金额要填",IF(ROUND(N($N17)-N($K17),2)&gt;0.001,"★开票金额大于应收",IF(AND($L17&lt;&gt;"",N($N17)&lt;=0),"★填了开票日期没填开票金额",IF(AND($I17&lt;&gt;"",$J17&lt;&gt;"",$J17&lt;$I17),"★计费期间起止反了","OK")))))))</f>
        <v>OK</v>
      </c>
      <c r="U17" s="29" t="str">
        <f aca="false">IF($L17="","",YEAR($L17))</f>
        <v/>
      </c>
      <c r="V17" s="40" t="n">
        <f aca="false">IF($C17="","",ROUND(SUMIF(收款关联,$B17,收款金额),2))</f>
        <v>0</v>
      </c>
      <c r="W17" s="40" t="n">
        <f aca="false">IF($C17="","",MAX(0,ROUND(N($K17)-N($V17),2)))</f>
        <v>5400</v>
      </c>
      <c r="X17" s="40" t="n">
        <f aca="false">IF($C17="","",ROUND(SUMIFS(应收净额,应收键,$D17,应收行号,"&lt;="&amp;ROW()),2))</f>
        <v>5400</v>
      </c>
      <c r="Y17" s="29" t="n">
        <f aca="false">IF($C17="","",ROW())</f>
        <v>17</v>
      </c>
    </row>
    <row r="18" customFormat="false" ht="26.85" hidden="false" customHeight="false" outlineLevel="0" collapsed="false">
      <c r="A18" s="29" t="n">
        <f aca="false">IF($C18="","",ROW()-4)</f>
        <v>14</v>
      </c>
      <c r="B18" s="35" t="str">
        <f aca="false">IF($C18="","","YS"&amp;TEXT($C18,"yyyymm")&amp;"-"&amp;TEXT(ROW()-4,"0000"))</f>
        <v>YS202601-0014</v>
      </c>
      <c r="C18" s="33" t="n">
        <v>46030</v>
      </c>
      <c r="D18" s="24" t="s">
        <v>456</v>
      </c>
      <c r="E18" s="30" t="str">
        <f aca="false">IF($D18="","",IFERROR(INDEX(合同单位,MATCH($D18,合同键,0)),IFERROR(TRIM(LEFT($D18,FIND("｜",$D18)-1)),$D18)))</f>
        <v>河南长江人民艺术剧院有限责任公司</v>
      </c>
      <c r="F18" s="30" t="str">
        <f aca="false">IF($D18="","",IFERROR(INDEX(合同项目,MATCH($D18,合同键,0)),IFERROR(TRIM(MID($D18,FIND("｜",$D18)+1,99)),"")))</f>
        <v>大东门华北村63号</v>
      </c>
      <c r="G18" s="24" t="s">
        <v>137</v>
      </c>
      <c r="H18" s="35" t="str">
        <f aca="false">IF($G18="","",IFERROR(INDEX(费用款别,MATCH($G18,费用类别表,0)),"合同外款"))</f>
        <v>合同款</v>
      </c>
      <c r="I18" s="33" t="n">
        <v>46023</v>
      </c>
      <c r="J18" s="33" t="n">
        <v>46112</v>
      </c>
      <c r="K18" s="39" t="n">
        <v>1800</v>
      </c>
      <c r="L18" s="33" t="n">
        <v>46044</v>
      </c>
      <c r="M18" s="31" t="s">
        <v>457</v>
      </c>
      <c r="N18" s="39" t="n">
        <v>1800</v>
      </c>
      <c r="O18" s="35" t="str">
        <f aca="false">IF($C18="","",IF(N($N18)&lt;=0,"未开票",IF(ROUND(N($N18)-N($K18),2)&gt;=0,"已开票",IFERROR("部分开票 "&amp;TEXT(N($N18)/N($K18),"0%"),"部分开票"))))</f>
        <v>已开票</v>
      </c>
      <c r="P18" s="40" t="n">
        <f aca="false">IF($C18="","",ROUND($V18+MIN($W18,MAX(0,(SUMIF(收款键,$D18,收款金额)-SUMIFS(收款金额,收款键,$D18,收款关联,"&lt;&gt;"))-($X18-$W18))),2))</f>
        <v>1800</v>
      </c>
      <c r="Q18" s="41" t="n">
        <f aca="false">IF($C18="","",ROUND(N($K18)-N($P18),2))</f>
        <v>0</v>
      </c>
      <c r="R18" s="29" t="n">
        <f aca="false">IF($C18="","",YEAR($C18))</f>
        <v>2026</v>
      </c>
      <c r="S18" s="24"/>
      <c r="T18" s="35" t="str">
        <f aca="false">IF($C18="","",IF($D18="","★没选客户项目",IF(COUNTIF(合同键,$D18)=0,"★《维保合同》里没这个项目",IF(N($K18)&lt;=0,"★应收金额要填",IF(ROUND(N($N18)-N($K18),2)&gt;0.001,"★开票金额大于应收",IF(AND($L18&lt;&gt;"",N($N18)&lt;=0),"★填了开票日期没填开票金额",IF(AND($I18&lt;&gt;"",$J18&lt;&gt;"",$J18&lt;$I18),"★计费期间起止反了","OK")))))))</f>
        <v>OK</v>
      </c>
      <c r="U18" s="29" t="n">
        <f aca="false">IF($L18="","",YEAR($L18))</f>
        <v>2026</v>
      </c>
      <c r="V18" s="40" t="n">
        <f aca="false">IF($C18="","",ROUND(SUMIF(收款关联,$B18,收款金额),2))</f>
        <v>1800</v>
      </c>
      <c r="W18" s="40" t="n">
        <f aca="false">IF($C18="","",MAX(0,ROUND(N($K18)-N($V18),2)))</f>
        <v>0</v>
      </c>
      <c r="X18" s="40" t="n">
        <f aca="false">IF($C18="","",ROUND(SUMIFS(应收净额,应收键,$D18,应收行号,"&lt;="&amp;ROW()),2))</f>
        <v>0</v>
      </c>
      <c r="Y18" s="29" t="n">
        <f aca="false">IF($C18="","",ROW())</f>
        <v>18</v>
      </c>
    </row>
    <row r="19" customFormat="false" ht="26.85" hidden="false" customHeight="false" outlineLevel="0" collapsed="false">
      <c r="A19" s="29" t="n">
        <f aca="false">IF($C19="","",ROW()-4)</f>
        <v>15</v>
      </c>
      <c r="B19" s="35" t="str">
        <f aca="false">IF($C19="","","YS"&amp;TEXT($C19,"yyyymm")&amp;"-"&amp;TEXT(ROW()-4,"0000"))</f>
        <v>YS202604-0015</v>
      </c>
      <c r="C19" s="33" t="n">
        <v>46120</v>
      </c>
      <c r="D19" s="24" t="s">
        <v>456</v>
      </c>
      <c r="E19" s="30" t="str">
        <f aca="false">IF($D19="","",IFERROR(INDEX(合同单位,MATCH($D19,合同键,0)),IFERROR(TRIM(LEFT($D19,FIND("｜",$D19)-1)),$D19)))</f>
        <v>河南长江人民艺术剧院有限责任公司</v>
      </c>
      <c r="F19" s="30" t="str">
        <f aca="false">IF($D19="","",IFERROR(INDEX(合同项目,MATCH($D19,合同键,0)),IFERROR(TRIM(MID($D19,FIND("｜",$D19)+1,99)),"")))</f>
        <v>大东门华北村63号</v>
      </c>
      <c r="G19" s="24" t="s">
        <v>137</v>
      </c>
      <c r="H19" s="35" t="str">
        <f aca="false">IF($G19="","",IFERROR(INDEX(费用款别,MATCH($G19,费用类别表,0)),"合同外款"))</f>
        <v>合同款</v>
      </c>
      <c r="I19" s="33" t="n">
        <v>46113</v>
      </c>
      <c r="J19" s="33" t="n">
        <v>46203</v>
      </c>
      <c r="K19" s="39" t="n">
        <v>1800</v>
      </c>
      <c r="L19" s="33" t="n">
        <v>46132</v>
      </c>
      <c r="M19" s="31" t="s">
        <v>458</v>
      </c>
      <c r="N19" s="39" t="n">
        <v>1800</v>
      </c>
      <c r="O19" s="35" t="str">
        <f aca="false">IF($C19="","",IF(N($N19)&lt;=0,"未开票",IF(ROUND(N($N19)-N($K19),2)&gt;=0,"已开票",IFERROR("部分开票 "&amp;TEXT(N($N19)/N($K19),"0%"),"部分开票"))))</f>
        <v>已开票</v>
      </c>
      <c r="P19" s="40" t="n">
        <f aca="false">IF($C19="","",ROUND($V19+MIN($W19,MAX(0,(SUMIF(收款键,$D19,收款金额)-SUMIFS(收款金额,收款键,$D19,收款关联,"&lt;&gt;"))-($X19-$W19))),2))</f>
        <v>1800</v>
      </c>
      <c r="Q19" s="41" t="n">
        <f aca="false">IF($C19="","",ROUND(N($K19)-N($P19),2))</f>
        <v>0</v>
      </c>
      <c r="R19" s="29" t="n">
        <f aca="false">IF($C19="","",YEAR($C19))</f>
        <v>2026</v>
      </c>
      <c r="S19" s="24"/>
      <c r="T19" s="35" t="str">
        <f aca="false">IF($C19="","",IF($D19="","★没选客户项目",IF(COUNTIF(合同键,$D19)=0,"★《维保合同》里没这个项目",IF(N($K19)&lt;=0,"★应收金额要填",IF(ROUND(N($N19)-N($K19),2)&gt;0.001,"★开票金额大于应收",IF(AND($L19&lt;&gt;"",N($N19)&lt;=0),"★填了开票日期没填开票金额",IF(AND($I19&lt;&gt;"",$J19&lt;&gt;"",$J19&lt;$I19),"★计费期间起止反了","OK")))))))</f>
        <v>OK</v>
      </c>
      <c r="U19" s="29" t="n">
        <f aca="false">IF($L19="","",YEAR($L19))</f>
        <v>2026</v>
      </c>
      <c r="V19" s="40" t="n">
        <f aca="false">IF($C19="","",ROUND(SUMIF(收款关联,$B19,收款金额),2))</f>
        <v>0</v>
      </c>
      <c r="W19" s="40" t="n">
        <f aca="false">IF($C19="","",MAX(0,ROUND(N($K19)-N($V19),2)))</f>
        <v>1800</v>
      </c>
      <c r="X19" s="40" t="n">
        <f aca="false">IF($C19="","",ROUND(SUMIFS(应收净额,应收键,$D19,应收行号,"&lt;="&amp;ROW()),2))</f>
        <v>1800</v>
      </c>
      <c r="Y19" s="29" t="n">
        <f aca="false">IF($C19="","",ROW())</f>
        <v>19</v>
      </c>
    </row>
    <row r="20" customFormat="false" ht="26.85" hidden="false" customHeight="false" outlineLevel="0" collapsed="false">
      <c r="A20" s="29" t="n">
        <f aca="false">IF($C20="","",ROW()-4)</f>
        <v>16</v>
      </c>
      <c r="B20" s="35" t="str">
        <f aca="false">IF($C20="","","YS"&amp;TEXT($C20,"yyyymm")&amp;"-"&amp;TEXT(ROW()-4,"0000"))</f>
        <v>YS202607-0016</v>
      </c>
      <c r="C20" s="33" t="n">
        <v>46211</v>
      </c>
      <c r="D20" s="24" t="s">
        <v>456</v>
      </c>
      <c r="E20" s="30" t="str">
        <f aca="false">IF($D20="","",IFERROR(INDEX(合同单位,MATCH($D20,合同键,0)),IFERROR(TRIM(LEFT($D20,FIND("｜",$D20)-1)),$D20)))</f>
        <v>河南长江人民艺术剧院有限责任公司</v>
      </c>
      <c r="F20" s="30" t="str">
        <f aca="false">IF($D20="","",IFERROR(INDEX(合同项目,MATCH($D20,合同键,0)),IFERROR(TRIM(MID($D20,FIND("｜",$D20)+1,99)),"")))</f>
        <v>大东门华北村63号</v>
      </c>
      <c r="G20" s="24" t="s">
        <v>137</v>
      </c>
      <c r="H20" s="35" t="str">
        <f aca="false">IF($G20="","",IFERROR(INDEX(费用款别,MATCH($G20,费用类别表,0)),"合同外款"))</f>
        <v>合同款</v>
      </c>
      <c r="I20" s="33" t="n">
        <v>46204</v>
      </c>
      <c r="J20" s="33" t="n">
        <v>46295</v>
      </c>
      <c r="K20" s="39" t="n">
        <v>1800</v>
      </c>
      <c r="L20" s="33" t="n">
        <v>46218</v>
      </c>
      <c r="M20" s="31" t="s">
        <v>459</v>
      </c>
      <c r="N20" s="39" t="n">
        <v>1800</v>
      </c>
      <c r="O20" s="35" t="str">
        <f aca="false">IF($C20="","",IF(N($N20)&lt;=0,"未开票",IF(ROUND(N($N20)-N($K20),2)&gt;=0,"已开票",IFERROR("部分开票 "&amp;TEXT(N($N20)/N($K20),"0%"),"部分开票"))))</f>
        <v>已开票</v>
      </c>
      <c r="P20" s="40" t="n">
        <f aca="false">IF($C20="","",ROUND($V20+MIN($W20,MAX(0,(SUMIF(收款键,$D20,收款金额)-SUMIFS(收款金额,收款键,$D20,收款关联,"&lt;&gt;"))-($X20-$W20))),2))</f>
        <v>1800</v>
      </c>
      <c r="Q20" s="41" t="n">
        <f aca="false">IF($C20="","",ROUND(N($K20)-N($P20),2))</f>
        <v>0</v>
      </c>
      <c r="R20" s="29" t="n">
        <f aca="false">IF($C20="","",YEAR($C20))</f>
        <v>2026</v>
      </c>
      <c r="S20" s="24"/>
      <c r="T20" s="35" t="str">
        <f aca="false">IF($C20="","",IF($D20="","★没选客户项目",IF(COUNTIF(合同键,$D20)=0,"★《维保合同》里没这个项目",IF(N($K20)&lt;=0,"★应收金额要填",IF(ROUND(N($N20)-N($K20),2)&gt;0.001,"★开票金额大于应收",IF(AND($L20&lt;&gt;"",N($N20)&lt;=0),"★填了开票日期没填开票金额",IF(AND($I20&lt;&gt;"",$J20&lt;&gt;"",$J20&lt;$I20),"★计费期间起止反了","OK")))))))</f>
        <v>OK</v>
      </c>
      <c r="U20" s="29" t="n">
        <f aca="false">IF($L20="","",YEAR($L20))</f>
        <v>2026</v>
      </c>
      <c r="V20" s="40" t="n">
        <f aca="false">IF($C20="","",ROUND(SUMIF(收款关联,$B20,收款金额),2))</f>
        <v>1800</v>
      </c>
      <c r="W20" s="40" t="n">
        <f aca="false">IF($C20="","",MAX(0,ROUND(N($K20)-N($V20),2)))</f>
        <v>0</v>
      </c>
      <c r="X20" s="40" t="n">
        <f aca="false">IF($C20="","",ROUND(SUMIFS(应收净额,应收键,$D20,应收行号,"&lt;="&amp;ROW()),2))</f>
        <v>1800</v>
      </c>
      <c r="Y20" s="29" t="n">
        <f aca="false">IF($C20="","",ROW())</f>
        <v>20</v>
      </c>
    </row>
    <row r="21" customFormat="false" ht="26.85" hidden="false" customHeight="false" outlineLevel="0" collapsed="false">
      <c r="A21" s="29" t="n">
        <f aca="false">IF($C21="","",ROW()-4)</f>
        <v>17</v>
      </c>
      <c r="B21" s="35" t="str">
        <f aca="false">IF($C21="","","YS"&amp;TEXT($C21,"yyyymm")&amp;"-"&amp;TEXT(ROW()-4,"0000"))</f>
        <v>YS202605-0017</v>
      </c>
      <c r="C21" s="33" t="n">
        <v>46162</v>
      </c>
      <c r="D21" s="24" t="s">
        <v>456</v>
      </c>
      <c r="E21" s="30" t="str">
        <f aca="false">IF($D21="","",IFERROR(INDEX(合同单位,MATCH($D21,合同键,0)),IFERROR(TRIM(LEFT($D21,FIND("｜",$D21)-1)),$D21)))</f>
        <v>河南长江人民艺术剧院有限责任公司</v>
      </c>
      <c r="F21" s="30" t="str">
        <f aca="false">IF($D21="","",IFERROR(INDEX(合同项目,MATCH($D21,合同键,0)),IFERROR(TRIM(MID($D21,FIND("｜",$D21)+1,99)),"")))</f>
        <v>大东门华北村63号</v>
      </c>
      <c r="G21" s="24" t="s">
        <v>167</v>
      </c>
      <c r="H21" s="35" t="str">
        <f aca="false">IF($G21="","",IFERROR(INDEX(费用款别,MATCH($G21,费用类别表,0)),"合同外款"))</f>
        <v>合同外款</v>
      </c>
      <c r="I21" s="33"/>
      <c r="J21" s="33"/>
      <c r="K21" s="39" t="n">
        <v>2600</v>
      </c>
      <c r="L21" s="33" t="n">
        <v>46170</v>
      </c>
      <c r="M21" s="31" t="s">
        <v>460</v>
      </c>
      <c r="N21" s="39" t="n">
        <v>2600</v>
      </c>
      <c r="O21" s="35" t="str">
        <f aca="false">IF($C21="","",IF(N($N21)&lt;=0,"未开票",IF(ROUND(N($N21)-N($K21),2)&gt;=0,"已开票",IFERROR("部分开票 "&amp;TEXT(N($N21)/N($K21),"0%"),"部分开票"))))</f>
        <v>已开票</v>
      </c>
      <c r="P21" s="40" t="n">
        <f aca="false">IF($C21="","",ROUND($V21+MIN($W21,MAX(0,(SUMIF(收款键,$D21,收款金额)-SUMIFS(收款金额,收款键,$D21,收款关联,"&lt;&gt;"))-($X21-$W21))),2))</f>
        <v>2600</v>
      </c>
      <c r="Q21" s="41" t="n">
        <f aca="false">IF($C21="","",ROUND(N($K21)-N($P21),2))</f>
        <v>0</v>
      </c>
      <c r="R21" s="29" t="n">
        <f aca="false">IF($C21="","",YEAR($C21))</f>
        <v>2026</v>
      </c>
      <c r="S21" s="24" t="s">
        <v>461</v>
      </c>
      <c r="T21" s="35" t="str">
        <f aca="false">IF($C21="","",IF($D21="","★没选客户项目",IF(COUNTIF(合同键,$D21)=0,"★《维保合同》里没这个项目",IF(N($K21)&lt;=0,"★应收金额要填",IF(ROUND(N($N21)-N($K21),2)&gt;0.001,"★开票金额大于应收",IF(AND($L21&lt;&gt;"",N($N21)&lt;=0),"★填了开票日期没填开票金额",IF(AND($I21&lt;&gt;"",$J21&lt;&gt;"",$J21&lt;$I21),"★计费期间起止反了","OK")))))))</f>
        <v>OK</v>
      </c>
      <c r="U21" s="29" t="n">
        <f aca="false">IF($L21="","",YEAR($L21))</f>
        <v>2026</v>
      </c>
      <c r="V21" s="40" t="n">
        <f aca="false">IF($C21="","",ROUND(SUMIF(收款关联,$B21,收款金额),2))</f>
        <v>0</v>
      </c>
      <c r="W21" s="40" t="n">
        <f aca="false">IF($C21="","",MAX(0,ROUND(N($K21)-N($V21),2)))</f>
        <v>2600</v>
      </c>
      <c r="X21" s="40" t="n">
        <f aca="false">IF($C21="","",ROUND(SUMIFS(应收净额,应收键,$D21,应收行号,"&lt;="&amp;ROW()),2))</f>
        <v>4400</v>
      </c>
      <c r="Y21" s="29" t="n">
        <f aca="false">IF($C21="","",ROW())</f>
        <v>21</v>
      </c>
    </row>
    <row r="22" customFormat="false" ht="15" hidden="false" customHeight="false" outlineLevel="0" collapsed="false">
      <c r="A22" s="29" t="n">
        <f aca="false">IF($C22="","",ROW()-4)</f>
        <v>18</v>
      </c>
      <c r="B22" s="35" t="str">
        <f aca="false">IF($C22="","","YS"&amp;TEXT($C22,"yyyymm")&amp;"-"&amp;TEXT(ROW()-4,"0000"))</f>
        <v>YS202604-0018</v>
      </c>
      <c r="C22" s="33" t="n">
        <v>46118</v>
      </c>
      <c r="D22" s="24" t="s">
        <v>435</v>
      </c>
      <c r="E22" s="30" t="str">
        <f aca="false">IF($D22="","",IFERROR(INDEX(合同单位,MATCH($D22,合同键,0)),IFERROR(TRIM(LEFT($D22,FIND("｜",$D22)-1)),$D22)))</f>
        <v>金禧永航集团有限公司</v>
      </c>
      <c r="F22" s="30" t="str">
        <f aca="false">IF($D22="","",IFERROR(INDEX(合同项目,MATCH($D22,合同键,0)),IFERROR(TRIM(MID($D22,FIND("｜",$D22)+1,99)),"")))</f>
        <v>金禧西北路291号</v>
      </c>
      <c r="G22" s="24" t="s">
        <v>137</v>
      </c>
      <c r="H22" s="35" t="str">
        <f aca="false">IF($G22="","",IFERROR(INDEX(费用款别,MATCH($G22,费用类别表,0)),"合同外款"))</f>
        <v>合同款</v>
      </c>
      <c r="I22" s="33" t="n">
        <v>46113</v>
      </c>
      <c r="J22" s="33" t="n">
        <v>46295</v>
      </c>
      <c r="K22" s="39" t="n">
        <v>2400</v>
      </c>
      <c r="L22" s="33" t="n">
        <v>46124</v>
      </c>
      <c r="M22" s="31" t="s">
        <v>462</v>
      </c>
      <c r="N22" s="39" t="n">
        <v>2400</v>
      </c>
      <c r="O22" s="35" t="str">
        <f aca="false">IF($C22="","",IF(N($N22)&lt;=0,"未开票",IF(ROUND(N($N22)-N($K22),2)&gt;=0,"已开票",IFERROR("部分开票 "&amp;TEXT(N($N22)/N($K22),"0%"),"部分开票"))))</f>
        <v>已开票</v>
      </c>
      <c r="P22" s="40" t="n">
        <f aca="false">IF($C22="","",ROUND($V22+MIN($W22,MAX(0,(SUMIF(收款键,$D22,收款金额)-SUMIFS(收款金额,收款键,$D22,收款关联,"&lt;&gt;"))-($X22-$W22))),2))</f>
        <v>2400</v>
      </c>
      <c r="Q22" s="41" t="n">
        <f aca="false">IF($C22="","",ROUND(N($K22)-N($P22),2))</f>
        <v>0</v>
      </c>
      <c r="R22" s="29" t="n">
        <f aca="false">IF($C22="","",YEAR($C22))</f>
        <v>2026</v>
      </c>
      <c r="S22" s="24" t="s">
        <v>463</v>
      </c>
      <c r="T22" s="35" t="str">
        <f aca="false">IF($C22="","",IF($D22="","★没选客户项目",IF(COUNTIF(合同键,$D22)=0,"★《维保合同》里没这个项目",IF(N($K22)&lt;=0,"★应收金额要填",IF(ROUND(N($N22)-N($K22),2)&gt;0.001,"★开票金额大于应收",IF(AND($L22&lt;&gt;"",N($N22)&lt;=0),"★填了开票日期没填开票金额",IF(AND($I22&lt;&gt;"",$J22&lt;&gt;"",$J22&lt;$I22),"★计费期间起止反了","OK")))))))</f>
        <v>OK</v>
      </c>
      <c r="U22" s="29" t="n">
        <f aca="false">IF($L22="","",YEAR($L22))</f>
        <v>2026</v>
      </c>
      <c r="V22" s="40" t="n">
        <f aca="false">IF($C22="","",ROUND(SUMIF(收款关联,$B22,收款金额),2))</f>
        <v>2400</v>
      </c>
      <c r="W22" s="40" t="n">
        <f aca="false">IF($C22="","",MAX(0,ROUND(N($K22)-N($V22),2)))</f>
        <v>0</v>
      </c>
      <c r="X22" s="40" t="n">
        <f aca="false">IF($C22="","",ROUND(SUMIFS(应收净额,应收键,$D22,应收行号,"&lt;="&amp;ROW()),2))</f>
        <v>0</v>
      </c>
      <c r="Y22" s="29" t="n">
        <f aca="false">IF($C22="","",ROW())</f>
        <v>22</v>
      </c>
    </row>
    <row r="23" customFormat="false" ht="15" hidden="false" customHeight="false" outlineLevel="0" collapsed="false">
      <c r="A23" s="29" t="n">
        <f aca="false">IF($C23="","",ROW()-4)</f>
        <v>19</v>
      </c>
      <c r="B23" s="35" t="str">
        <f aca="false">IF($C23="","","YS"&amp;TEXT($C23,"yyyymm")&amp;"-"&amp;TEXT(ROW()-4,"0000"))</f>
        <v>YS202603-0019</v>
      </c>
      <c r="C23" s="33" t="n">
        <v>46093</v>
      </c>
      <c r="D23" s="24" t="s">
        <v>435</v>
      </c>
      <c r="E23" s="30" t="str">
        <f aca="false">IF($D23="","",IFERROR(INDEX(合同单位,MATCH($D23,合同键,0)),IFERROR(TRIM(LEFT($D23,FIND("｜",$D23)-1)),$D23)))</f>
        <v>金禧永航集团有限公司</v>
      </c>
      <c r="F23" s="30" t="str">
        <f aca="false">IF($D23="","",IFERROR(INDEX(合同项目,MATCH($D23,合同键,0)),IFERROR(TRIM(MID($D23,FIND("｜",$D23)+1,99)),"")))</f>
        <v>金禧西北路291号</v>
      </c>
      <c r="G23" s="24" t="s">
        <v>183</v>
      </c>
      <c r="H23" s="35" t="str">
        <f aca="false">IF($G23="","",IFERROR(INDEX(费用款别,MATCH($G23,费用类别表,0)),"合同外款"))</f>
        <v>合同外款</v>
      </c>
      <c r="I23" s="33"/>
      <c r="J23" s="33"/>
      <c r="K23" s="39" t="n">
        <v>500</v>
      </c>
      <c r="L23" s="33"/>
      <c r="M23" s="25"/>
      <c r="N23" s="39"/>
      <c r="O23" s="35" t="str">
        <f aca="false">IF($C23="","",IF(N($N23)&lt;=0,"未开票",IF(ROUND(N($N23)-N($K23),2)&gt;=0,"已开票",IFERROR("部分开票 "&amp;TEXT(N($N23)/N($K23),"0%"),"部分开票"))))</f>
        <v>未开票</v>
      </c>
      <c r="P23" s="40" t="n">
        <f aca="false">IF($C23="","",ROUND($V23+MIN($W23,MAX(0,(SUMIF(收款键,$D23,收款金额)-SUMIFS(收款金额,收款键,$D23,收款关联,"&lt;&gt;"))-($X23-$W23))),2))</f>
        <v>0</v>
      </c>
      <c r="Q23" s="41" t="n">
        <f aca="false">IF($C23="","",ROUND(N($K23)-N($P23),2))</f>
        <v>500</v>
      </c>
      <c r="R23" s="29" t="n">
        <f aca="false">IF($C23="","",YEAR($C23))</f>
        <v>2026</v>
      </c>
      <c r="S23" s="24" t="s">
        <v>464</v>
      </c>
      <c r="T23" s="35" t="str">
        <f aca="false">IF($C23="","",IF($D23="","★没选客户项目",IF(COUNTIF(合同键,$D23)=0,"★《维保合同》里没这个项目",IF(N($K23)&lt;=0,"★应收金额要填",IF(ROUND(N($N23)-N($K23),2)&gt;0.001,"★开票金额大于应收",IF(AND($L23&lt;&gt;"",N($N23)&lt;=0),"★填了开票日期没填开票金额",IF(AND($I23&lt;&gt;"",$J23&lt;&gt;"",$J23&lt;$I23),"★计费期间起止反了","OK")))))))</f>
        <v>OK</v>
      </c>
      <c r="U23" s="29" t="str">
        <f aca="false">IF($L23="","",YEAR($L23))</f>
        <v/>
      </c>
      <c r="V23" s="40" t="n">
        <f aca="false">IF($C23="","",ROUND(SUMIF(收款关联,$B23,收款金额),2))</f>
        <v>0</v>
      </c>
      <c r="W23" s="40" t="n">
        <f aca="false">IF($C23="","",MAX(0,ROUND(N($K23)-N($V23),2)))</f>
        <v>500</v>
      </c>
      <c r="X23" s="40" t="n">
        <f aca="false">IF($C23="","",ROUND(SUMIFS(应收净额,应收键,$D23,应收行号,"&lt;="&amp;ROW()),2))</f>
        <v>500</v>
      </c>
      <c r="Y23" s="29" t="n">
        <f aca="false">IF($C23="","",ROW())</f>
        <v>23</v>
      </c>
    </row>
    <row r="24" customFormat="false" ht="15" hidden="false" customHeight="false" outlineLevel="0" collapsed="false">
      <c r="A24" s="29" t="n">
        <f aca="false">IF($C24="","",ROW()-4)</f>
        <v>20</v>
      </c>
      <c r="B24" s="35" t="str">
        <f aca="false">IF($C24="","","YS"&amp;TEXT($C24,"yyyymm")&amp;"-"&amp;TEXT(ROW()-4,"0000"))</f>
        <v>YS202601-0020</v>
      </c>
      <c r="C24" s="33" t="n">
        <v>46032</v>
      </c>
      <c r="D24" s="24" t="s">
        <v>438</v>
      </c>
      <c r="E24" s="30" t="str">
        <f aca="false">IF($D24="","",IFERROR(INDEX(合同单位,MATCH($D24,合同键,0)),IFERROR(TRIM(LEFT($D24,FIND("｜",$D24)-1)),$D24)))</f>
        <v>河南南远电缆科技有限公司</v>
      </c>
      <c r="F24" s="30" t="str">
        <f aca="false">IF($D24="","",IFERROR(INDEX(合同项目,MATCH($D24,合同键,0)),IFERROR(TRIM(MID($D24,FIND("｜",$D24)+1,99)),"")))</f>
        <v>南远电缆</v>
      </c>
      <c r="G24" s="24" t="s">
        <v>137</v>
      </c>
      <c r="H24" s="35" t="str">
        <f aca="false">IF($G24="","",IFERROR(INDEX(费用款别,MATCH($G24,费用类别表,0)),"合同外款"))</f>
        <v>合同款</v>
      </c>
      <c r="I24" s="33" t="n">
        <v>46023</v>
      </c>
      <c r="J24" s="33" t="n">
        <v>46387</v>
      </c>
      <c r="K24" s="39" t="n">
        <v>8400</v>
      </c>
      <c r="L24" s="33" t="n">
        <v>46047</v>
      </c>
      <c r="M24" s="31" t="s">
        <v>465</v>
      </c>
      <c r="N24" s="39" t="n">
        <v>8400</v>
      </c>
      <c r="O24" s="35" t="str">
        <f aca="false">IF($C24="","",IF(N($N24)&lt;=0,"未开票",IF(ROUND(N($N24)-N($K24),2)&gt;=0,"已开票",IFERROR("部分开票 "&amp;TEXT(N($N24)/N($K24),"0%"),"部分开票"))))</f>
        <v>已开票</v>
      </c>
      <c r="P24" s="40" t="n">
        <f aca="false">IF($C24="","",ROUND($V24+MIN($W24,MAX(0,(SUMIF(收款键,$D24,收款金额)-SUMIFS(收款金额,收款键,$D24,收款关联,"&lt;&gt;"))-($X24-$W24))),2))</f>
        <v>4200</v>
      </c>
      <c r="Q24" s="41" t="n">
        <f aca="false">IF($C24="","",ROUND(N($K24)-N($P24),2))</f>
        <v>4200</v>
      </c>
      <c r="R24" s="29" t="n">
        <f aca="false">IF($C24="","",YEAR($C24))</f>
        <v>2026</v>
      </c>
      <c r="S24" s="24" t="s">
        <v>466</v>
      </c>
      <c r="T24" s="35" t="str">
        <f aca="false">IF($C24="","",IF($D24="","★没选客户项目",IF(COUNTIF(合同键,$D24)=0,"★《维保合同》里没这个项目",IF(N($K24)&lt;=0,"★应收金额要填",IF(ROUND(N($N24)-N($K24),2)&gt;0.001,"★开票金额大于应收",IF(AND($L24&lt;&gt;"",N($N24)&lt;=0),"★填了开票日期没填开票金额",IF(AND($I24&lt;&gt;"",$J24&lt;&gt;"",$J24&lt;$I24),"★计费期间起止反了","OK")))))))</f>
        <v>OK</v>
      </c>
      <c r="U24" s="29" t="n">
        <f aca="false">IF($L24="","",YEAR($L24))</f>
        <v>2026</v>
      </c>
      <c r="V24" s="40" t="n">
        <f aca="false">IF($C24="","",ROUND(SUMIF(收款关联,$B24,收款金额),2))</f>
        <v>0</v>
      </c>
      <c r="W24" s="40" t="n">
        <f aca="false">IF($C24="","",MAX(0,ROUND(N($K24)-N($V24),2)))</f>
        <v>8400</v>
      </c>
      <c r="X24" s="40" t="n">
        <f aca="false">IF($C24="","",ROUND(SUMIFS(应收净额,应收键,$D24,应收行号,"&lt;="&amp;ROW()),2))</f>
        <v>8400</v>
      </c>
      <c r="Y24" s="29" t="n">
        <f aca="false">IF($C24="","",ROW())</f>
        <v>24</v>
      </c>
    </row>
    <row r="25" customFormat="false" ht="15" hidden="false" customHeight="false" outlineLevel="0" collapsed="false">
      <c r="A25" s="29" t="n">
        <f aca="false">IF($C25="","",ROW()-4)</f>
        <v>21</v>
      </c>
      <c r="B25" s="35" t="str">
        <f aca="false">IF($C25="","","YS"&amp;TEXT($C25,"yyyymm")&amp;"-"&amp;TEXT(ROW()-4,"0000"))</f>
        <v>YS202608-0021</v>
      </c>
      <c r="C25" s="33" t="n">
        <v>46249</v>
      </c>
      <c r="D25" s="24" t="s">
        <v>438</v>
      </c>
      <c r="E25" s="30" t="str">
        <f aca="false">IF($D25="","",IFERROR(INDEX(合同单位,MATCH($D25,合同键,0)),IFERROR(TRIM(LEFT($D25,FIND("｜",$D25)-1)),$D25)))</f>
        <v>河南南远电缆科技有限公司</v>
      </c>
      <c r="F25" s="30" t="str">
        <f aca="false">IF($D25="","",IFERROR(INDEX(合同项目,MATCH($D25,合同键,0)),IFERROR(TRIM(MID($D25,FIND("｜",$D25)+1,99)),"")))</f>
        <v>南远电缆</v>
      </c>
      <c r="G25" s="24" t="s">
        <v>157</v>
      </c>
      <c r="H25" s="35" t="str">
        <f aca="false">IF($G25="","",IFERROR(INDEX(费用款别,MATCH($G25,费用类别表,0)),"合同外款"))</f>
        <v>合同外款</v>
      </c>
      <c r="I25" s="33"/>
      <c r="J25" s="33"/>
      <c r="K25" s="39" t="n">
        <v>1500</v>
      </c>
      <c r="L25" s="33"/>
      <c r="M25" s="25"/>
      <c r="N25" s="39"/>
      <c r="O25" s="35" t="str">
        <f aca="false">IF($C25="","",IF(N($N25)&lt;=0,"未开票",IF(ROUND(N($N25)-N($K25),2)&gt;=0,"已开票",IFERROR("部分开票 "&amp;TEXT(N($N25)/N($K25),"0%"),"部分开票"))))</f>
        <v>未开票</v>
      </c>
      <c r="P25" s="40" t="n">
        <f aca="false">IF($C25="","",ROUND($V25+MIN($W25,MAX(0,(SUMIF(收款键,$D25,收款金额)-SUMIFS(收款金额,收款键,$D25,收款关联,"&lt;&gt;"))-($X25-$W25))),2))</f>
        <v>0</v>
      </c>
      <c r="Q25" s="41" t="n">
        <f aca="false">IF($C25="","",ROUND(N($K25)-N($P25),2))</f>
        <v>1500</v>
      </c>
      <c r="R25" s="29" t="n">
        <f aca="false">IF($C25="","",YEAR($C25))</f>
        <v>2026</v>
      </c>
      <c r="S25" s="24" t="s">
        <v>467</v>
      </c>
      <c r="T25" s="35" t="str">
        <f aca="false">IF($C25="","",IF($D25="","★没选客户项目",IF(COUNTIF(合同键,$D25)=0,"★《维保合同》里没这个项目",IF(N($K25)&lt;=0,"★应收金额要填",IF(ROUND(N($N25)-N($K25),2)&gt;0.001,"★开票金额大于应收",IF(AND($L25&lt;&gt;"",N($N25)&lt;=0),"★填了开票日期没填开票金额",IF(AND($I25&lt;&gt;"",$J25&lt;&gt;"",$J25&lt;$I25),"★计费期间起止反了","OK")))))))</f>
        <v>OK</v>
      </c>
      <c r="U25" s="29" t="str">
        <f aca="false">IF($L25="","",YEAR($L25))</f>
        <v/>
      </c>
      <c r="V25" s="40" t="n">
        <f aca="false">IF($C25="","",ROUND(SUMIF(收款关联,$B25,收款金额),2))</f>
        <v>0</v>
      </c>
      <c r="W25" s="40" t="n">
        <f aca="false">IF($C25="","",MAX(0,ROUND(N($K25)-N($V25),2)))</f>
        <v>1500</v>
      </c>
      <c r="X25" s="40" t="n">
        <f aca="false">IF($C25="","",ROUND(SUMIFS(应收净额,应收键,$D25,应收行号,"&lt;="&amp;ROW()),2))</f>
        <v>9900</v>
      </c>
      <c r="Y25" s="29" t="n">
        <f aca="false">IF($C25="","",ROW())</f>
        <v>25</v>
      </c>
    </row>
    <row r="26" customFormat="false" ht="26.85" hidden="false" customHeight="false" outlineLevel="0" collapsed="false">
      <c r="A26" s="29" t="n">
        <f aca="false">IF($C26="","",ROW()-4)</f>
        <v>22</v>
      </c>
      <c r="B26" s="35" t="str">
        <f aca="false">IF($C26="","","YS"&amp;TEXT($C26,"yyyymm")&amp;"-"&amp;TEXT(ROW()-4,"0000"))</f>
        <v>YS202602-0022</v>
      </c>
      <c r="C26" s="33" t="n">
        <v>46058</v>
      </c>
      <c r="D26" s="24" t="s">
        <v>468</v>
      </c>
      <c r="E26" s="30" t="str">
        <f aca="false">IF($D26="","",IFERROR(INDEX(合同单位,MATCH($D26,合同键,0)),IFERROR(TRIM(LEFT($D26,FIND("｜",$D26)-1)),$D26)))</f>
        <v>黄冈市黄陂区鑫捷惠超市（个体工商户）</v>
      </c>
      <c r="F26" s="30" t="str">
        <f aca="false">IF($D26="","",IFERROR(INDEX(合同项目,MATCH($D26,合同键,0)),IFERROR(TRIM(MID($D26,FIND("｜",$D26)+1,99)),"")))</f>
        <v>项陂雅迪</v>
      </c>
      <c r="G26" s="24" t="s">
        <v>137</v>
      </c>
      <c r="H26" s="35" t="str">
        <f aca="false">IF($G26="","",IFERROR(INDEX(费用款别,MATCH($G26,费用类别表,0)),"合同外款"))</f>
        <v>合同款</v>
      </c>
      <c r="I26" s="33" t="n">
        <v>46054</v>
      </c>
      <c r="J26" s="33" t="n">
        <v>46418</v>
      </c>
      <c r="K26" s="39" t="n">
        <v>3000</v>
      </c>
      <c r="L26" s="33" t="n">
        <v>46065</v>
      </c>
      <c r="M26" s="31" t="s">
        <v>469</v>
      </c>
      <c r="N26" s="39" t="n">
        <v>3000</v>
      </c>
      <c r="O26" s="35" t="str">
        <f aca="false">IF($C26="","",IF(N($N26)&lt;=0,"未开票",IF(ROUND(N($N26)-N($K26),2)&gt;=0,"已开票",IFERROR("部分开票 "&amp;TEXT(N($N26)/N($K26),"0%"),"部分开票"))))</f>
        <v>已开票</v>
      </c>
      <c r="P26" s="40" t="n">
        <f aca="false">IF($C26="","",ROUND($V26+MIN($W26,MAX(0,(SUMIF(收款键,$D26,收款金额)-SUMIFS(收款金额,收款键,$D26,收款关联,"&lt;&gt;"))-($X26-$W26))),2))</f>
        <v>3000</v>
      </c>
      <c r="Q26" s="41" t="n">
        <f aca="false">IF($C26="","",ROUND(N($K26)-N($P26),2))</f>
        <v>0</v>
      </c>
      <c r="R26" s="29" t="n">
        <f aca="false">IF($C26="","",YEAR($C26))</f>
        <v>2026</v>
      </c>
      <c r="S26" s="24" t="s">
        <v>136</v>
      </c>
      <c r="T26" s="35" t="str">
        <f aca="false">IF($C26="","",IF($D26="","★没选客户项目",IF(COUNTIF(合同键,$D26)=0,"★《维保合同》里没这个项目",IF(N($K26)&lt;=0,"★应收金额要填",IF(ROUND(N($N26)-N($K26),2)&gt;0.001,"★开票金额大于应收",IF(AND($L26&lt;&gt;"",N($N26)&lt;=0),"★填了开票日期没填开票金额",IF(AND($I26&lt;&gt;"",$J26&lt;&gt;"",$J26&lt;$I26),"★计费期间起止反了","OK")))))))</f>
        <v>OK</v>
      </c>
      <c r="U26" s="29" t="n">
        <f aca="false">IF($L26="","",YEAR($L26))</f>
        <v>2026</v>
      </c>
      <c r="V26" s="40" t="n">
        <f aca="false">IF($C26="","",ROUND(SUMIF(收款关联,$B26,收款金额),2))</f>
        <v>3000</v>
      </c>
      <c r="W26" s="40" t="n">
        <f aca="false">IF($C26="","",MAX(0,ROUND(N($K26)-N($V26),2)))</f>
        <v>0</v>
      </c>
      <c r="X26" s="40" t="n">
        <f aca="false">IF($C26="","",ROUND(SUMIFS(应收净额,应收键,$D26,应收行号,"&lt;="&amp;ROW()),2))</f>
        <v>0</v>
      </c>
      <c r="Y26" s="29" t="n">
        <f aca="false">IF($C26="","",ROW())</f>
        <v>26</v>
      </c>
    </row>
    <row r="27" customFormat="false" ht="15" hidden="false" customHeight="false" outlineLevel="0" collapsed="false">
      <c r="A27" s="29" t="n">
        <f aca="false">IF($C27="","",ROW()-4)</f>
        <v>23</v>
      </c>
      <c r="B27" s="35" t="str">
        <f aca="false">IF($C27="","","YS"&amp;TEXT($C27,"yyyymm")&amp;"-"&amp;TEXT(ROW()-4,"0000"))</f>
        <v>YS202601-0023</v>
      </c>
      <c r="C27" s="33" t="n">
        <v>46028</v>
      </c>
      <c r="D27" s="24" t="s">
        <v>470</v>
      </c>
      <c r="E27" s="30" t="str">
        <f aca="false">IF($D27="","",IFERROR(INDEX(合同单位,MATCH($D27,合同键,0)),IFERROR(TRIM(LEFT($D27,FIND("｜",$D27)-1)),$D27)))</f>
        <v>河南尊品益定意食品有限公司</v>
      </c>
      <c r="F27" s="30" t="str">
        <f aca="false">IF($D27="","",IFERROR(INDEX(合同项目,MATCH($D27,合同键,0)),IFERROR(TRIM(MID($D27,FIND("｜",$D27)+1,99)),"")))</f>
        <v>意康意厂房</v>
      </c>
      <c r="G27" s="24" t="s">
        <v>137</v>
      </c>
      <c r="H27" s="35" t="str">
        <f aca="false">IF($G27="","",IFERROR(INDEX(费用款别,MATCH($G27,费用类别表,0)),"合同外款"))</f>
        <v>合同款</v>
      </c>
      <c r="I27" s="33" t="n">
        <v>46023</v>
      </c>
      <c r="J27" s="33" t="n">
        <v>46112</v>
      </c>
      <c r="K27" s="39" t="n">
        <v>5250</v>
      </c>
      <c r="L27" s="33" t="n">
        <v>46040</v>
      </c>
      <c r="M27" s="31" t="s">
        <v>471</v>
      </c>
      <c r="N27" s="39" t="n">
        <v>5250</v>
      </c>
      <c r="O27" s="35" t="str">
        <f aca="false">IF($C27="","",IF(N($N27)&lt;=0,"未开票",IF(ROUND(N($N27)-N($K27),2)&gt;=0,"已开票",IFERROR("部分开票 "&amp;TEXT(N($N27)/N($K27),"0%"),"部分开票"))))</f>
        <v>已开票</v>
      </c>
      <c r="P27" s="40" t="n">
        <f aca="false">IF($C27="","",ROUND($V27+MIN($W27,MAX(0,(SUMIF(收款键,$D27,收款金额)-SUMIFS(收款金额,收款键,$D27,收款关联,"&lt;&gt;"))-($X27-$W27))),2))</f>
        <v>5250</v>
      </c>
      <c r="Q27" s="41" t="n">
        <f aca="false">IF($C27="","",ROUND(N($K27)-N($P27),2))</f>
        <v>0</v>
      </c>
      <c r="R27" s="29" t="n">
        <f aca="false">IF($C27="","",YEAR($C27))</f>
        <v>2026</v>
      </c>
      <c r="S27" s="24"/>
      <c r="T27" s="35" t="str">
        <f aca="false">IF($C27="","",IF($D27="","★没选客户项目",IF(COUNTIF(合同键,$D27)=0,"★《维保合同》里没这个项目",IF(N($K27)&lt;=0,"★应收金额要填",IF(ROUND(N($N27)-N($K27),2)&gt;0.001,"★开票金额大于应收",IF(AND($L27&lt;&gt;"",N($N27)&lt;=0),"★填了开票日期没填开票金额",IF(AND($I27&lt;&gt;"",$J27&lt;&gt;"",$J27&lt;$I27),"★计费期间起止反了","OK")))))))</f>
        <v>OK</v>
      </c>
      <c r="U27" s="29" t="n">
        <f aca="false">IF($L27="","",YEAR($L27))</f>
        <v>2026</v>
      </c>
      <c r="V27" s="40" t="n">
        <f aca="false">IF($C27="","",ROUND(SUMIF(收款关联,$B27,收款金额),2))</f>
        <v>5250</v>
      </c>
      <c r="W27" s="40" t="n">
        <f aca="false">IF($C27="","",MAX(0,ROUND(N($K27)-N($V27),2)))</f>
        <v>0</v>
      </c>
      <c r="X27" s="40" t="n">
        <f aca="false">IF($C27="","",ROUND(SUMIFS(应收净额,应收键,$D27,应收行号,"&lt;="&amp;ROW()),2))</f>
        <v>0</v>
      </c>
      <c r="Y27" s="29" t="n">
        <f aca="false">IF($C27="","",ROW())</f>
        <v>27</v>
      </c>
    </row>
    <row r="28" customFormat="false" ht="15" hidden="false" customHeight="false" outlineLevel="0" collapsed="false">
      <c r="A28" s="29" t="n">
        <f aca="false">IF($C28="","",ROW()-4)</f>
        <v>24</v>
      </c>
      <c r="B28" s="35" t="str">
        <f aca="false">IF($C28="","","YS"&amp;TEXT($C28,"yyyymm")&amp;"-"&amp;TEXT(ROW()-4,"0000"))</f>
        <v>YS202604-0024</v>
      </c>
      <c r="C28" s="33" t="n">
        <v>46118</v>
      </c>
      <c r="D28" s="24" t="s">
        <v>470</v>
      </c>
      <c r="E28" s="30" t="str">
        <f aca="false">IF($D28="","",IFERROR(INDEX(合同单位,MATCH($D28,合同键,0)),IFERROR(TRIM(LEFT($D28,FIND("｜",$D28)-1)),$D28)))</f>
        <v>河南尊品益定意食品有限公司</v>
      </c>
      <c r="F28" s="30" t="str">
        <f aca="false">IF($D28="","",IFERROR(INDEX(合同项目,MATCH($D28,合同键,0)),IFERROR(TRIM(MID($D28,FIND("｜",$D28)+1,99)),"")))</f>
        <v>意康意厂房</v>
      </c>
      <c r="G28" s="24" t="s">
        <v>137</v>
      </c>
      <c r="H28" s="35" t="str">
        <f aca="false">IF($G28="","",IFERROR(INDEX(费用款别,MATCH($G28,费用类别表,0)),"合同外款"))</f>
        <v>合同款</v>
      </c>
      <c r="I28" s="33" t="n">
        <v>46113</v>
      </c>
      <c r="J28" s="33" t="n">
        <v>46203</v>
      </c>
      <c r="K28" s="39" t="n">
        <v>5250</v>
      </c>
      <c r="L28" s="33" t="n">
        <v>46130</v>
      </c>
      <c r="M28" s="31" t="s">
        <v>472</v>
      </c>
      <c r="N28" s="39" t="n">
        <v>5250</v>
      </c>
      <c r="O28" s="35" t="str">
        <f aca="false">IF($C28="","",IF(N($N28)&lt;=0,"未开票",IF(ROUND(N($N28)-N($K28),2)&gt;=0,"已开票",IFERROR("部分开票 "&amp;TEXT(N($N28)/N($K28),"0%"),"部分开票"))))</f>
        <v>已开票</v>
      </c>
      <c r="P28" s="40" t="n">
        <f aca="false">IF($C28="","",ROUND($V28+MIN($W28,MAX(0,(SUMIF(收款键,$D28,收款金额)-SUMIFS(收款金额,收款键,$D28,收款关联,"&lt;&gt;"))-($X28-$W28))),2))</f>
        <v>5250</v>
      </c>
      <c r="Q28" s="41" t="n">
        <f aca="false">IF($C28="","",ROUND(N($K28)-N($P28),2))</f>
        <v>0</v>
      </c>
      <c r="R28" s="29" t="n">
        <f aca="false">IF($C28="","",YEAR($C28))</f>
        <v>2026</v>
      </c>
      <c r="S28" s="24"/>
      <c r="T28" s="35" t="str">
        <f aca="false">IF($C28="","",IF($D28="","★没选客户项目",IF(COUNTIF(合同键,$D28)=0,"★《维保合同》里没这个项目",IF(N($K28)&lt;=0,"★应收金额要填",IF(ROUND(N($N28)-N($K28),2)&gt;0.001,"★开票金额大于应收",IF(AND($L28&lt;&gt;"",N($N28)&lt;=0),"★填了开票日期没填开票金额",IF(AND($I28&lt;&gt;"",$J28&lt;&gt;"",$J28&lt;$I28),"★计费期间起止反了","OK")))))))</f>
        <v>OK</v>
      </c>
      <c r="U28" s="29" t="n">
        <f aca="false">IF($L28="","",YEAR($L28))</f>
        <v>2026</v>
      </c>
      <c r="V28" s="40" t="n">
        <f aca="false">IF($C28="","",ROUND(SUMIF(收款关联,$B28,收款金额),2))</f>
        <v>5250</v>
      </c>
      <c r="W28" s="40" t="n">
        <f aca="false">IF($C28="","",MAX(0,ROUND(N($K28)-N($V28),2)))</f>
        <v>0</v>
      </c>
      <c r="X28" s="40" t="n">
        <f aca="false">IF($C28="","",ROUND(SUMIFS(应收净额,应收键,$D28,应收行号,"&lt;="&amp;ROW()),2))</f>
        <v>0</v>
      </c>
      <c r="Y28" s="29" t="n">
        <f aca="false">IF($C28="","",ROW())</f>
        <v>28</v>
      </c>
    </row>
    <row r="29" customFormat="false" ht="15" hidden="false" customHeight="false" outlineLevel="0" collapsed="false">
      <c r="A29" s="29" t="n">
        <f aca="false">IF($C29="","",ROW()-4)</f>
        <v>25</v>
      </c>
      <c r="B29" s="35" t="str">
        <f aca="false">IF($C29="","","YS"&amp;TEXT($C29,"yyyymm")&amp;"-"&amp;TEXT(ROW()-4,"0000"))</f>
        <v>YS202607-0025</v>
      </c>
      <c r="C29" s="33" t="n">
        <v>46209</v>
      </c>
      <c r="D29" s="24" t="s">
        <v>470</v>
      </c>
      <c r="E29" s="30" t="str">
        <f aca="false">IF($D29="","",IFERROR(INDEX(合同单位,MATCH($D29,合同键,0)),IFERROR(TRIM(LEFT($D29,FIND("｜",$D29)-1)),$D29)))</f>
        <v>河南尊品益定意食品有限公司</v>
      </c>
      <c r="F29" s="30" t="str">
        <f aca="false">IF($D29="","",IFERROR(INDEX(合同项目,MATCH($D29,合同键,0)),IFERROR(TRIM(MID($D29,FIND("｜",$D29)+1,99)),"")))</f>
        <v>意康意厂房</v>
      </c>
      <c r="G29" s="24" t="s">
        <v>137</v>
      </c>
      <c r="H29" s="35" t="str">
        <f aca="false">IF($G29="","",IFERROR(INDEX(费用款别,MATCH($G29,费用类别表,0)),"合同外款"))</f>
        <v>合同款</v>
      </c>
      <c r="I29" s="33" t="n">
        <v>46204</v>
      </c>
      <c r="J29" s="33" t="n">
        <v>46295</v>
      </c>
      <c r="K29" s="39" t="n">
        <v>5250</v>
      </c>
      <c r="L29" s="33" t="n">
        <v>46219</v>
      </c>
      <c r="M29" s="31" t="s">
        <v>473</v>
      </c>
      <c r="N29" s="39" t="n">
        <v>5250</v>
      </c>
      <c r="O29" s="35" t="str">
        <f aca="false">IF($C29="","",IF(N($N29)&lt;=0,"未开票",IF(ROUND(N($N29)-N($K29),2)&gt;=0,"已开票",IFERROR("部分开票 "&amp;TEXT(N($N29)/N($K29),"0%"),"部分开票"))))</f>
        <v>已开票</v>
      </c>
      <c r="P29" s="40" t="n">
        <f aca="false">IF($C29="","",ROUND($V29+MIN($W29,MAX(0,(SUMIF(收款键,$D29,收款金额)-SUMIFS(收款金额,收款键,$D29,收款关联,"&lt;&gt;"))-($X29-$W29))),2))</f>
        <v>5250</v>
      </c>
      <c r="Q29" s="41" t="n">
        <f aca="false">IF($C29="","",ROUND(N($K29)-N($P29),2))</f>
        <v>0</v>
      </c>
      <c r="R29" s="29" t="n">
        <f aca="false">IF($C29="","",YEAR($C29))</f>
        <v>2026</v>
      </c>
      <c r="S29" s="24"/>
      <c r="T29" s="35" t="str">
        <f aca="false">IF($C29="","",IF($D29="","★没选客户项目",IF(COUNTIF(合同键,$D29)=0,"★《维保合同》里没这个项目",IF(N($K29)&lt;=0,"★应收金额要填",IF(ROUND(N($N29)-N($K29),2)&gt;0.001,"★开票金额大于应收",IF(AND($L29&lt;&gt;"",N($N29)&lt;=0),"★填了开票日期没填开票金额",IF(AND($I29&lt;&gt;"",$J29&lt;&gt;"",$J29&lt;$I29),"★计费期间起止反了","OK")))))))</f>
        <v>OK</v>
      </c>
      <c r="U29" s="29" t="n">
        <f aca="false">IF($L29="","",YEAR($L29))</f>
        <v>2026</v>
      </c>
      <c r="V29" s="40" t="n">
        <f aca="false">IF($C29="","",ROUND(SUMIF(收款关联,$B29,收款金额),2))</f>
        <v>5250</v>
      </c>
      <c r="W29" s="40" t="n">
        <f aca="false">IF($C29="","",MAX(0,ROUND(N($K29)-N($V29),2)))</f>
        <v>0</v>
      </c>
      <c r="X29" s="40" t="n">
        <f aca="false">IF($C29="","",ROUND(SUMIFS(应收净额,应收键,$D29,应收行号,"&lt;="&amp;ROW()),2))</f>
        <v>0</v>
      </c>
      <c r="Y29" s="29" t="n">
        <f aca="false">IF($C29="","",ROW())</f>
        <v>29</v>
      </c>
    </row>
    <row r="30" customFormat="false" ht="15" hidden="false" customHeight="false" outlineLevel="0" collapsed="false">
      <c r="A30" s="29" t="n">
        <f aca="false">IF($C30="","",ROW()-4)</f>
        <v>26</v>
      </c>
      <c r="B30" s="35" t="str">
        <f aca="false">IF($C30="","","YS"&amp;TEXT($C30,"yyyymm")&amp;"-"&amp;TEXT(ROW()-4,"0000"))</f>
        <v>YS202609-0026</v>
      </c>
      <c r="C30" s="33" t="n">
        <v>46267</v>
      </c>
      <c r="D30" s="24" t="s">
        <v>470</v>
      </c>
      <c r="E30" s="30" t="str">
        <f aca="false">IF($D30="","",IFERROR(INDEX(合同单位,MATCH($D30,合同键,0)),IFERROR(TRIM(LEFT($D30,FIND("｜",$D30)-1)),$D30)))</f>
        <v>河南尊品益定意食品有限公司</v>
      </c>
      <c r="F30" s="30" t="str">
        <f aca="false">IF($D30="","",IFERROR(INDEX(合同项目,MATCH($D30,合同键,0)),IFERROR(TRIM(MID($D30,FIND("｜",$D30)+1,99)),"")))</f>
        <v>意康意厂房</v>
      </c>
      <c r="G30" s="24" t="s">
        <v>187</v>
      </c>
      <c r="H30" s="35" t="str">
        <f aca="false">IF($G30="","",IFERROR(INDEX(费用款别,MATCH($G30,费用类别表,0)),"合同外款"))</f>
        <v>合同外款</v>
      </c>
      <c r="I30" s="33"/>
      <c r="J30" s="33"/>
      <c r="K30" s="39" t="n">
        <v>1200</v>
      </c>
      <c r="L30" s="33"/>
      <c r="M30" s="25"/>
      <c r="N30" s="39"/>
      <c r="O30" s="35" t="str">
        <f aca="false">IF($C30="","",IF(N($N30)&lt;=0,"未开票",IF(ROUND(N($N30)-N($K30),2)&gt;=0,"已开票",IFERROR("部分开票 "&amp;TEXT(N($N30)/N($K30),"0%"),"部分开票"))))</f>
        <v>未开票</v>
      </c>
      <c r="P30" s="40" t="n">
        <f aca="false">IF($C30="","",ROUND($V30+MIN($W30,MAX(0,(SUMIF(收款键,$D30,收款金额)-SUMIFS(收款金额,收款键,$D30,收款关联,"&lt;&gt;"))-($X30-$W30))),2))</f>
        <v>0</v>
      </c>
      <c r="Q30" s="41" t="n">
        <f aca="false">IF($C30="","",ROUND(N($K30)-N($P30),2))</f>
        <v>1200</v>
      </c>
      <c r="R30" s="29" t="n">
        <f aca="false">IF($C30="","",YEAR($C30))</f>
        <v>2026</v>
      </c>
      <c r="S30" s="42" t="s">
        <v>474</v>
      </c>
      <c r="T30" s="35" t="str">
        <f aca="false">IF($C30="","",IF($D30="","★没选客户项目",IF(COUNTIF(合同键,$D30)=0,"★《维保合同》里没这个项目",IF(N($K30)&lt;=0,"★应收金额要填",IF(ROUND(N($N30)-N($K30),2)&gt;0.001,"★开票金额大于应收",IF(AND($L30&lt;&gt;"",N($N30)&lt;=0),"★填了开票日期没填开票金额",IF(AND($I30&lt;&gt;"",$J30&lt;&gt;"",$J30&lt;$I30),"★计费期间起止反了","OK")))))))</f>
        <v>OK</v>
      </c>
      <c r="U30" s="29" t="str">
        <f aca="false">IF($L30="","",YEAR($L30))</f>
        <v/>
      </c>
      <c r="V30" s="40" t="n">
        <f aca="false">IF($C30="","",ROUND(SUMIF(收款关联,$B30,收款金额),2))</f>
        <v>0</v>
      </c>
      <c r="W30" s="40" t="n">
        <f aca="false">IF($C30="","",MAX(0,ROUND(N($K30)-N($V30),2)))</f>
        <v>1200</v>
      </c>
      <c r="X30" s="40" t="n">
        <f aca="false">IF($C30="","",ROUND(SUMIFS(应收净额,应收键,$D30,应收行号,"&lt;="&amp;ROW()),2))</f>
        <v>1200</v>
      </c>
      <c r="Y30" s="29" t="n">
        <f aca="false">IF($C30="","",ROW())</f>
        <v>30</v>
      </c>
    </row>
    <row r="31" customFormat="false" ht="15" hidden="false" customHeight="false" outlineLevel="0" collapsed="false">
      <c r="A31" s="29" t="n">
        <f aca="false">IF($C31="","",ROW()-4)</f>
        <v>27</v>
      </c>
      <c r="B31" s="35" t="str">
        <f aca="false">IF($C31="","","YS"&amp;TEXT($C31,"yyyymm")&amp;"-"&amp;TEXT(ROW()-4,"0000"))</f>
        <v>YS202601-0027</v>
      </c>
      <c r="C31" s="33" t="n">
        <v>46031</v>
      </c>
      <c r="D31" s="24" t="s">
        <v>440</v>
      </c>
      <c r="E31" s="30" t="str">
        <f aca="false">IF($D31="","",IFERROR(INDEX(合同单位,MATCH($D31,合同键,0)),IFERROR(TRIM(LEFT($D31,FIND("｜",$D31)-1)),$D31)))</f>
        <v>河南光谷义神新材料孵化器有限公司</v>
      </c>
      <c r="F31" s="30" t="str">
        <f aca="false">IF($D31="","",IFERROR(INDEX(合同项目,MATCH($D31,合同键,0)),IFERROR(TRIM(MID($D31,FIND("｜",$D31)+1,99)),"")))</f>
        <v>永和云居</v>
      </c>
      <c r="G31" s="24" t="s">
        <v>137</v>
      </c>
      <c r="H31" s="35" t="str">
        <f aca="false">IF($G31="","",IFERROR(INDEX(费用款别,MATCH($G31,费用类别表,0)),"合同外款"))</f>
        <v>合同款</v>
      </c>
      <c r="I31" s="33" t="n">
        <v>46023</v>
      </c>
      <c r="J31" s="33" t="n">
        <v>46203</v>
      </c>
      <c r="K31" s="39" t="n">
        <v>12600</v>
      </c>
      <c r="L31" s="33" t="n">
        <v>46050</v>
      </c>
      <c r="M31" s="31" t="s">
        <v>475</v>
      </c>
      <c r="N31" s="39" t="n">
        <v>12600</v>
      </c>
      <c r="O31" s="35" t="str">
        <f aca="false">IF($C31="","",IF(N($N31)&lt;=0,"未开票",IF(ROUND(N($N31)-N($K31),2)&gt;=0,"已开票",IFERROR("部分开票 "&amp;TEXT(N($N31)/N($K31),"0%"),"部分开票"))))</f>
        <v>已开票</v>
      </c>
      <c r="P31" s="40" t="n">
        <f aca="false">IF($C31="","",ROUND($V31+MIN($W31,MAX(0,(SUMIF(收款键,$D31,收款金额)-SUMIFS(收款金额,收款键,$D31,收款关联,"&lt;&gt;"))-($X31-$W31))),2))</f>
        <v>10800</v>
      </c>
      <c r="Q31" s="41" t="n">
        <f aca="false">IF($C31="","",ROUND(N($K31)-N($P31),2))</f>
        <v>1800</v>
      </c>
      <c r="R31" s="29" t="n">
        <f aca="false">IF($C31="","",YEAR($C31))</f>
        <v>2026</v>
      </c>
      <c r="S31" s="24"/>
      <c r="T31" s="35" t="str">
        <f aca="false">IF($C31="","",IF($D31="","★没选客户项目",IF(COUNTIF(合同键,$D31)=0,"★《维保合同》里没这个项目",IF(N($K31)&lt;=0,"★应收金额要填",IF(ROUND(N($N31)-N($K31),2)&gt;0.001,"★开票金额大于应收",IF(AND($L31&lt;&gt;"",N($N31)&lt;=0),"★填了开票日期没填开票金额",IF(AND($I31&lt;&gt;"",$J31&lt;&gt;"",$J31&lt;$I31),"★计费期间起止反了","OK")))))))</f>
        <v>OK</v>
      </c>
      <c r="U31" s="29" t="n">
        <f aca="false">IF($L31="","",YEAR($L31))</f>
        <v>2026</v>
      </c>
      <c r="V31" s="40" t="n">
        <f aca="false">IF($C31="","",ROUND(SUMIF(收款关联,$B31,收款金额),2))</f>
        <v>0</v>
      </c>
      <c r="W31" s="40" t="n">
        <f aca="false">IF($C31="","",MAX(0,ROUND(N($K31)-N($V31),2)))</f>
        <v>12600</v>
      </c>
      <c r="X31" s="40" t="n">
        <f aca="false">IF($C31="","",ROUND(SUMIFS(应收净额,应收键,$D31,应收行号,"&lt;="&amp;ROW()),2))</f>
        <v>15800</v>
      </c>
      <c r="Y31" s="29" t="n">
        <f aca="false">IF($C31="","",ROW())</f>
        <v>31</v>
      </c>
    </row>
    <row r="32" customFormat="false" ht="15" hidden="false" customHeight="false" outlineLevel="0" collapsed="false">
      <c r="A32" s="29" t="n">
        <f aca="false">IF($C32="","",ROW()-4)</f>
        <v>28</v>
      </c>
      <c r="B32" s="35" t="str">
        <f aca="false">IF($C32="","","YS"&amp;TEXT($C32,"yyyymm")&amp;"-"&amp;TEXT(ROW()-4,"0000"))</f>
        <v>YS202607-0028</v>
      </c>
      <c r="C32" s="33" t="n">
        <v>46212</v>
      </c>
      <c r="D32" s="24" t="s">
        <v>440</v>
      </c>
      <c r="E32" s="30" t="str">
        <f aca="false">IF($D32="","",IFERROR(INDEX(合同单位,MATCH($D32,合同键,0)),IFERROR(TRIM(LEFT($D32,FIND("｜",$D32)-1)),$D32)))</f>
        <v>河南光谷义神新材料孵化器有限公司</v>
      </c>
      <c r="F32" s="30" t="str">
        <f aca="false">IF($D32="","",IFERROR(INDEX(合同项目,MATCH($D32,合同键,0)),IFERROR(TRIM(MID($D32,FIND("｜",$D32)+1,99)),"")))</f>
        <v>永和云居</v>
      </c>
      <c r="G32" s="24" t="s">
        <v>137</v>
      </c>
      <c r="H32" s="35" t="str">
        <f aca="false">IF($G32="","",IFERROR(INDEX(费用款别,MATCH($G32,费用类别表,0)),"合同外款"))</f>
        <v>合同款</v>
      </c>
      <c r="I32" s="33" t="n">
        <v>46204</v>
      </c>
      <c r="J32" s="33" t="n">
        <v>46387</v>
      </c>
      <c r="K32" s="39" t="n">
        <v>12600</v>
      </c>
      <c r="L32" s="33"/>
      <c r="M32" s="25"/>
      <c r="N32" s="39"/>
      <c r="O32" s="35" t="str">
        <f aca="false">IF($C32="","",IF(N($N32)&lt;=0,"未开票",IF(ROUND(N($N32)-N($K32),2)&gt;=0,"已开票",IFERROR("部分开票 "&amp;TEXT(N($N32)/N($K32),"0%"),"部分开票"))))</f>
        <v>未开票</v>
      </c>
      <c r="P32" s="40" t="n">
        <f aca="false">IF($C32="","",ROUND($V32+MIN($W32,MAX(0,(SUMIF(收款键,$D32,收款金额)-SUMIFS(收款金额,收款键,$D32,收款关联,"&lt;&gt;"))-($X32-$W32))),2))</f>
        <v>0</v>
      </c>
      <c r="Q32" s="41" t="n">
        <f aca="false">IF($C32="","",ROUND(N($K32)-N($P32),2))</f>
        <v>12600</v>
      </c>
      <c r="R32" s="29" t="n">
        <f aca="false">IF($C32="","",YEAR($C32))</f>
        <v>2026</v>
      </c>
      <c r="S32" s="24" t="s">
        <v>476</v>
      </c>
      <c r="T32" s="35" t="str">
        <f aca="false">IF($C32="","",IF($D32="","★没选客户项目",IF(COUNTIF(合同键,$D32)=0,"★《维保合同》里没这个项目",IF(N($K32)&lt;=0,"★应收金额要填",IF(ROUND(N($N32)-N($K32),2)&gt;0.001,"★开票金额大于应收",IF(AND($L32&lt;&gt;"",N($N32)&lt;=0),"★填了开票日期没填开票金额",IF(AND($I32&lt;&gt;"",$J32&lt;&gt;"",$J32&lt;$I32),"★计费期间起止反了","OK")))))))</f>
        <v>OK</v>
      </c>
      <c r="U32" s="29" t="str">
        <f aca="false">IF($L32="","",YEAR($L32))</f>
        <v/>
      </c>
      <c r="V32" s="40" t="n">
        <f aca="false">IF($C32="","",ROUND(SUMIF(收款关联,$B32,收款金额),2))</f>
        <v>0</v>
      </c>
      <c r="W32" s="40" t="n">
        <f aca="false">IF($C32="","",MAX(0,ROUND(N($K32)-N($V32),2)))</f>
        <v>12600</v>
      </c>
      <c r="X32" s="40" t="n">
        <f aca="false">IF($C32="","",ROUND(SUMIFS(应收净额,应收键,$D32,应收行号,"&lt;="&amp;ROW()),2))</f>
        <v>28400</v>
      </c>
      <c r="Y32" s="29" t="n">
        <f aca="false">IF($C32="","",ROW())</f>
        <v>32</v>
      </c>
    </row>
    <row r="33" customFormat="false" ht="15" hidden="false" customHeight="false" outlineLevel="0" collapsed="false">
      <c r="A33" s="29" t="n">
        <f aca="false">IF($C33="","",ROW()-4)</f>
        <v>29</v>
      </c>
      <c r="B33" s="35" t="str">
        <f aca="false">IF($C33="","","YS"&amp;TEXT($C33,"yyyymm")&amp;"-"&amp;TEXT(ROW()-4,"0000"))</f>
        <v>YS202603-0029</v>
      </c>
      <c r="C33" s="33" t="n">
        <v>46103</v>
      </c>
      <c r="D33" s="24" t="s">
        <v>440</v>
      </c>
      <c r="E33" s="30" t="str">
        <f aca="false">IF($D33="","",IFERROR(INDEX(合同单位,MATCH($D33,合同键,0)),IFERROR(TRIM(LEFT($D33,FIND("｜",$D33)-1)),$D33)))</f>
        <v>河南光谷义神新材料孵化器有限公司</v>
      </c>
      <c r="F33" s="30" t="str">
        <f aca="false">IF($D33="","",IFERROR(INDEX(合同项目,MATCH($D33,合同键,0)),IFERROR(TRIM(MID($D33,FIND("｜",$D33)+1,99)),"")))</f>
        <v>永和云居</v>
      </c>
      <c r="G33" s="24" t="s">
        <v>176</v>
      </c>
      <c r="H33" s="35" t="str">
        <f aca="false">IF($G33="","",IFERROR(INDEX(费用款别,MATCH($G33,费用类别表,0)),"合同外款"))</f>
        <v>合同外款</v>
      </c>
      <c r="I33" s="33"/>
      <c r="J33" s="33"/>
      <c r="K33" s="39" t="n">
        <v>1800</v>
      </c>
      <c r="L33" s="33" t="n">
        <v>46111</v>
      </c>
      <c r="M33" s="31" t="s">
        <v>477</v>
      </c>
      <c r="N33" s="39" t="n">
        <v>1800</v>
      </c>
      <c r="O33" s="35" t="str">
        <f aca="false">IF($C33="","",IF(N($N33)&lt;=0,"未开票",IF(ROUND(N($N33)-N($K33),2)&gt;=0,"已开票",IFERROR("部分开票 "&amp;TEXT(N($N33)/N($K33),"0%"),"部分开票"))))</f>
        <v>已开票</v>
      </c>
      <c r="P33" s="40" t="n">
        <f aca="false">IF($C33="","",ROUND($V33+MIN($W33,MAX(0,(SUMIF(收款键,$D33,收款金额)-SUMIFS(收款金额,收款键,$D33,收款关联,"&lt;&gt;"))-($X33-$W33))),2))</f>
        <v>1800</v>
      </c>
      <c r="Q33" s="41" t="n">
        <f aca="false">IF($C33="","",ROUND(N($K33)-N($P33),2))</f>
        <v>0</v>
      </c>
      <c r="R33" s="29" t="n">
        <f aca="false">IF($C33="","",YEAR($C33))</f>
        <v>2026</v>
      </c>
      <c r="S33" s="42" t="s">
        <v>478</v>
      </c>
      <c r="T33" s="35" t="str">
        <f aca="false">IF($C33="","",IF($D33="","★没选客户项目",IF(COUNTIF(合同键,$D33)=0,"★《维保合同》里没这个项目",IF(N($K33)&lt;=0,"★应收金额要填",IF(ROUND(N($N33)-N($K33),2)&gt;0.001,"★开票金额大于应收",IF(AND($L33&lt;&gt;"",N($N33)&lt;=0),"★填了开票日期没填开票金额",IF(AND($I33&lt;&gt;"",$J33&lt;&gt;"",$J33&lt;$I33),"★计费期间起止反了","OK")))))))</f>
        <v>OK</v>
      </c>
      <c r="U33" s="29" t="n">
        <f aca="false">IF($L33="","",YEAR($L33))</f>
        <v>2026</v>
      </c>
      <c r="V33" s="40" t="n">
        <f aca="false">IF($C33="","",ROUND(SUMIF(收款关联,$B33,收款金额),2))</f>
        <v>1800</v>
      </c>
      <c r="W33" s="40" t="n">
        <f aca="false">IF($C33="","",MAX(0,ROUND(N($K33)-N($V33),2)))</f>
        <v>0</v>
      </c>
      <c r="X33" s="40" t="n">
        <f aca="false">IF($C33="","",ROUND(SUMIFS(应收净额,应收键,$D33,应收行号,"&lt;="&amp;ROW()),2))</f>
        <v>28400</v>
      </c>
      <c r="Y33" s="29" t="n">
        <f aca="false">IF($C33="","",ROW())</f>
        <v>33</v>
      </c>
    </row>
    <row r="34" customFormat="false" ht="15" hidden="false" customHeight="false" outlineLevel="0" collapsed="false">
      <c r="A34" s="29" t="n">
        <f aca="false">IF($C34="","",ROW()-4)</f>
        <v>30</v>
      </c>
      <c r="B34" s="35" t="str">
        <f aca="false">IF($C34="","","YS"&amp;TEXT($C34,"yyyymm")&amp;"-"&amp;TEXT(ROW()-4,"0000"))</f>
        <v>YS202608-0030</v>
      </c>
      <c r="C34" s="33" t="n">
        <v>46242</v>
      </c>
      <c r="D34" s="24" t="s">
        <v>440</v>
      </c>
      <c r="E34" s="30" t="str">
        <f aca="false">IF($D34="","",IFERROR(INDEX(合同单位,MATCH($D34,合同键,0)),IFERROR(TRIM(LEFT($D34,FIND("｜",$D34)-1)),$D34)))</f>
        <v>河南光谷义神新材料孵化器有限公司</v>
      </c>
      <c r="F34" s="30" t="str">
        <f aca="false">IF($D34="","",IFERROR(INDEX(合同项目,MATCH($D34,合同键,0)),IFERROR(TRIM(MID($D34,FIND("｜",$D34)+1,99)),"")))</f>
        <v>永和云居</v>
      </c>
      <c r="G34" s="24" t="s">
        <v>193</v>
      </c>
      <c r="H34" s="35" t="str">
        <f aca="false">IF($G34="","",IFERROR(INDEX(费用款别,MATCH($G34,费用类别表,0)),"合同外款"))</f>
        <v>合同外款</v>
      </c>
      <c r="I34" s="33"/>
      <c r="J34" s="33"/>
      <c r="K34" s="39" t="n">
        <v>9800</v>
      </c>
      <c r="L34" s="33"/>
      <c r="M34" s="25"/>
      <c r="N34" s="39"/>
      <c r="O34" s="35" t="str">
        <f aca="false">IF($C34="","",IF(N($N34)&lt;=0,"未开票",IF(ROUND(N($N34)-N($K34),2)&gt;=0,"已开票",IFERROR("部分开票 "&amp;TEXT(N($N34)/N($K34),"0%"),"部分开票"))))</f>
        <v>未开票</v>
      </c>
      <c r="P34" s="40" t="n">
        <f aca="false">IF($C34="","",ROUND($V34+MIN($W34,MAX(0,(SUMIF(收款键,$D34,收款金额)-SUMIFS(收款金额,收款键,$D34,收款关联,"&lt;&gt;"))-($X34-$W34))),2))</f>
        <v>0</v>
      </c>
      <c r="Q34" s="41" t="n">
        <f aca="false">IF($C34="","",ROUND(N($K34)-N($P34),2))</f>
        <v>9800</v>
      </c>
      <c r="R34" s="29" t="n">
        <f aca="false">IF($C34="","",YEAR($C34))</f>
        <v>2026</v>
      </c>
      <c r="S34" s="42" t="s">
        <v>479</v>
      </c>
      <c r="T34" s="35" t="str">
        <f aca="false">IF($C34="","",IF($D34="","★没选客户项目",IF(COUNTIF(合同键,$D34)=0,"★《维保合同》里没这个项目",IF(N($K34)&lt;=0,"★应收金额要填",IF(ROUND(N($N34)-N($K34),2)&gt;0.001,"★开票金额大于应收",IF(AND($L34&lt;&gt;"",N($N34)&lt;=0),"★填了开票日期没填开票金额",IF(AND($I34&lt;&gt;"",$J34&lt;&gt;"",$J34&lt;$I34),"★计费期间起止反了","OK")))))))</f>
        <v>OK</v>
      </c>
      <c r="U34" s="29" t="str">
        <f aca="false">IF($L34="","",YEAR($L34))</f>
        <v/>
      </c>
      <c r="V34" s="40" t="n">
        <f aca="false">IF($C34="","",ROUND(SUMIF(收款关联,$B34,收款金额),2))</f>
        <v>0</v>
      </c>
      <c r="W34" s="40" t="n">
        <f aca="false">IF($C34="","",MAX(0,ROUND(N($K34)-N($V34),2)))</f>
        <v>9800</v>
      </c>
      <c r="X34" s="40" t="n">
        <f aca="false">IF($C34="","",ROUND(SUMIFS(应收净额,应收键,$D34,应收行号,"&lt;="&amp;ROW()),2))</f>
        <v>38200</v>
      </c>
      <c r="Y34" s="29" t="n">
        <f aca="false">IF($C34="","",ROW())</f>
        <v>34</v>
      </c>
    </row>
    <row r="35" customFormat="false" ht="15" hidden="false" customHeight="false" outlineLevel="0" collapsed="false">
      <c r="A35" s="29" t="str">
        <f aca="false">IF($C35="","",ROW()-4)</f>
        <v/>
      </c>
      <c r="B35" s="35" t="str">
        <f aca="false">IF($C35="","","YS"&amp;TEXT($C35,"yyyymm")&amp;"-"&amp;TEXT(ROW()-4,"0000"))</f>
        <v/>
      </c>
      <c r="C35" s="33"/>
      <c r="D35" s="24"/>
      <c r="E35" s="30" t="str">
        <f aca="false">IF($D35="","",IFERROR(INDEX(合同单位,MATCH($D35,合同键,0)),IFERROR(TRIM(LEFT($D35,FIND("｜",$D35)-1)),$D35)))</f>
        <v/>
      </c>
      <c r="F35" s="30" t="str">
        <f aca="false">IF($D35="","",IFERROR(INDEX(合同项目,MATCH($D35,合同键,0)),IFERROR(TRIM(MID($D35,FIND("｜",$D35)+1,99)),"")))</f>
        <v/>
      </c>
      <c r="G35" s="24"/>
      <c r="H35" s="35" t="str">
        <f aca="false">IF($G35="","",IFERROR(INDEX(费用款别,MATCH($G35,费用类别表,0)),"合同外款"))</f>
        <v/>
      </c>
      <c r="I35" s="33"/>
      <c r="J35" s="33"/>
      <c r="K35" s="39"/>
      <c r="L35" s="33"/>
      <c r="M35" s="25"/>
      <c r="N35" s="39"/>
      <c r="O35" s="35" t="str">
        <f aca="false">IF($C35="","",IF(N($N35)&lt;=0,"未开票",IF(ROUND(N($N35)-N($K35),2)&gt;=0,"已开票",IFERROR("部分开票 "&amp;TEXT(N($N35)/N($K35),"0%"),"部分开票"))))</f>
        <v/>
      </c>
      <c r="P35" s="40" t="str">
        <f aca="false">IF($C35="","",ROUND($V35+MIN($W35,MAX(0,(SUMIF(收款键,$D35,收款金额)-SUMIFS(收款金额,收款键,$D35,收款关联,"&lt;&gt;"))-($X35-$W35))),2))</f>
        <v/>
      </c>
      <c r="Q35" s="41" t="str">
        <f aca="false">IF($C35="","",ROUND(N($K35)-N($P35),2))</f>
        <v/>
      </c>
      <c r="R35" s="29" t="str">
        <f aca="false">IF($C35="","",YEAR($C35))</f>
        <v/>
      </c>
      <c r="S35" s="24"/>
      <c r="T35" s="35" t="str">
        <f aca="false">IF($C35="","",IF($D35="","★没选客户项目",IF(COUNTIF(合同键,$D35)=0,"★《维保合同》里没这个项目",IF(N($K35)&lt;=0,"★应收金额要填",IF(ROUND(N($N35)-N($K35),2)&gt;0.001,"★开票金额大于应收",IF(AND($L35&lt;&gt;"",N($N35)&lt;=0),"★填了开票日期没填开票金额",IF(AND($I35&lt;&gt;"",$J35&lt;&gt;"",$J35&lt;$I35),"★计费期间起止反了","OK")))))))</f>
        <v/>
      </c>
      <c r="U35" s="29" t="str">
        <f aca="false">IF($L35="","",YEAR($L35))</f>
        <v/>
      </c>
      <c r="V35" s="40" t="str">
        <f aca="false">IF($C35="","",ROUND(SUMIF(收款关联,$B35,收款金额),2))</f>
        <v/>
      </c>
      <c r="W35" s="40" t="str">
        <f aca="false">IF($C35="","",MAX(0,ROUND(N($K35)-N($V35),2)))</f>
        <v/>
      </c>
      <c r="X35" s="40" t="str">
        <f aca="false">IF($C35="","",ROUND(SUMIFS(应收净额,应收键,$D35,应收行号,"&lt;="&amp;ROW()),2))</f>
        <v/>
      </c>
      <c r="Y35" s="29" t="str">
        <f aca="false">IF($C35="","",ROW())</f>
        <v/>
      </c>
    </row>
    <row r="36" customFormat="false" ht="15" hidden="false" customHeight="false" outlineLevel="0" collapsed="false">
      <c r="A36" s="29" t="str">
        <f aca="false">IF($C36="","",ROW()-4)</f>
        <v/>
      </c>
      <c r="B36" s="35" t="str">
        <f aca="false">IF($C36="","","YS"&amp;TEXT($C36,"yyyymm")&amp;"-"&amp;TEXT(ROW()-4,"0000"))</f>
        <v/>
      </c>
      <c r="C36" s="33"/>
      <c r="D36" s="24"/>
      <c r="E36" s="30" t="str">
        <f aca="false">IF($D36="","",IFERROR(INDEX(合同单位,MATCH($D36,合同键,0)),IFERROR(TRIM(LEFT($D36,FIND("｜",$D36)-1)),$D36)))</f>
        <v/>
      </c>
      <c r="F36" s="30" t="str">
        <f aca="false">IF($D36="","",IFERROR(INDEX(合同项目,MATCH($D36,合同键,0)),IFERROR(TRIM(MID($D36,FIND("｜",$D36)+1,99)),"")))</f>
        <v/>
      </c>
      <c r="G36" s="24"/>
      <c r="H36" s="35" t="str">
        <f aca="false">IF($G36="","",IFERROR(INDEX(费用款别,MATCH($G36,费用类别表,0)),"合同外款"))</f>
        <v/>
      </c>
      <c r="I36" s="33"/>
      <c r="J36" s="33"/>
      <c r="K36" s="39"/>
      <c r="L36" s="33"/>
      <c r="M36" s="25"/>
      <c r="N36" s="39"/>
      <c r="O36" s="35" t="str">
        <f aca="false">IF($C36="","",IF(N($N36)&lt;=0,"未开票",IF(ROUND(N($N36)-N($K36),2)&gt;=0,"已开票",IFERROR("部分开票 "&amp;TEXT(N($N36)/N($K36),"0%"),"部分开票"))))</f>
        <v/>
      </c>
      <c r="P36" s="40" t="str">
        <f aca="false">IF($C36="","",ROUND($V36+MIN($W36,MAX(0,(SUMIF(收款键,$D36,收款金额)-SUMIFS(收款金额,收款键,$D36,收款关联,"&lt;&gt;"))-($X36-$W36))),2))</f>
        <v/>
      </c>
      <c r="Q36" s="41" t="str">
        <f aca="false">IF($C36="","",ROUND(N($K36)-N($P36),2))</f>
        <v/>
      </c>
      <c r="R36" s="29" t="str">
        <f aca="false">IF($C36="","",YEAR($C36))</f>
        <v/>
      </c>
      <c r="S36" s="24"/>
      <c r="T36" s="35" t="str">
        <f aca="false">IF($C36="","",IF($D36="","★没选客户项目",IF(COUNTIF(合同键,$D36)=0,"★《维保合同》里没这个项目",IF(N($K36)&lt;=0,"★应收金额要填",IF(ROUND(N($N36)-N($K36),2)&gt;0.001,"★开票金额大于应收",IF(AND($L36&lt;&gt;"",N($N36)&lt;=0),"★填了开票日期没填开票金额",IF(AND($I36&lt;&gt;"",$J36&lt;&gt;"",$J36&lt;$I36),"★计费期间起止反了","OK")))))))</f>
        <v/>
      </c>
      <c r="U36" s="29" t="str">
        <f aca="false">IF($L36="","",YEAR($L36))</f>
        <v/>
      </c>
      <c r="V36" s="40" t="str">
        <f aca="false">IF($C36="","",ROUND(SUMIF(收款关联,$B36,收款金额),2))</f>
        <v/>
      </c>
      <c r="W36" s="40" t="str">
        <f aca="false">IF($C36="","",MAX(0,ROUND(N($K36)-N($V36),2)))</f>
        <v/>
      </c>
      <c r="X36" s="40" t="str">
        <f aca="false">IF($C36="","",ROUND(SUMIFS(应收净额,应收键,$D36,应收行号,"&lt;="&amp;ROW()),2))</f>
        <v/>
      </c>
      <c r="Y36" s="29" t="str">
        <f aca="false">IF($C36="","",ROW())</f>
        <v/>
      </c>
    </row>
    <row r="37" customFormat="false" ht="15" hidden="false" customHeight="false" outlineLevel="0" collapsed="false">
      <c r="A37" s="29" t="str">
        <f aca="false">IF($C37="","",ROW()-4)</f>
        <v/>
      </c>
      <c r="B37" s="35" t="str">
        <f aca="false">IF($C37="","","YS"&amp;TEXT($C37,"yyyymm")&amp;"-"&amp;TEXT(ROW()-4,"0000"))</f>
        <v/>
      </c>
      <c r="C37" s="33"/>
      <c r="D37" s="24"/>
      <c r="E37" s="30" t="str">
        <f aca="false">IF($D37="","",IFERROR(INDEX(合同单位,MATCH($D37,合同键,0)),IFERROR(TRIM(LEFT($D37,FIND("｜",$D37)-1)),$D37)))</f>
        <v/>
      </c>
      <c r="F37" s="30" t="str">
        <f aca="false">IF($D37="","",IFERROR(INDEX(合同项目,MATCH($D37,合同键,0)),IFERROR(TRIM(MID($D37,FIND("｜",$D37)+1,99)),"")))</f>
        <v/>
      </c>
      <c r="G37" s="24"/>
      <c r="H37" s="35" t="str">
        <f aca="false">IF($G37="","",IFERROR(INDEX(费用款别,MATCH($G37,费用类别表,0)),"合同外款"))</f>
        <v/>
      </c>
      <c r="I37" s="33"/>
      <c r="J37" s="33"/>
      <c r="K37" s="39"/>
      <c r="L37" s="33"/>
      <c r="M37" s="25"/>
      <c r="N37" s="39"/>
      <c r="O37" s="35" t="str">
        <f aca="false">IF($C37="","",IF(N($N37)&lt;=0,"未开票",IF(ROUND(N($N37)-N($K37),2)&gt;=0,"已开票",IFERROR("部分开票 "&amp;TEXT(N($N37)/N($K37),"0%"),"部分开票"))))</f>
        <v/>
      </c>
      <c r="P37" s="40" t="str">
        <f aca="false">IF($C37="","",ROUND($V37+MIN($W37,MAX(0,(SUMIF(收款键,$D37,收款金额)-SUMIFS(收款金额,收款键,$D37,收款关联,"&lt;&gt;"))-($X37-$W37))),2))</f>
        <v/>
      </c>
      <c r="Q37" s="41" t="str">
        <f aca="false">IF($C37="","",ROUND(N($K37)-N($P37),2))</f>
        <v/>
      </c>
      <c r="R37" s="29" t="str">
        <f aca="false">IF($C37="","",YEAR($C37))</f>
        <v/>
      </c>
      <c r="S37" s="24"/>
      <c r="T37" s="35" t="str">
        <f aca="false">IF($C37="","",IF($D37="","★没选客户项目",IF(COUNTIF(合同键,$D37)=0,"★《维保合同》里没这个项目",IF(N($K37)&lt;=0,"★应收金额要填",IF(ROUND(N($N37)-N($K37),2)&gt;0.001,"★开票金额大于应收",IF(AND($L37&lt;&gt;"",N($N37)&lt;=0),"★填了开票日期没填开票金额",IF(AND($I37&lt;&gt;"",$J37&lt;&gt;"",$J37&lt;$I37),"★计费期间起止反了","OK")))))))</f>
        <v/>
      </c>
      <c r="U37" s="29" t="str">
        <f aca="false">IF($L37="","",YEAR($L37))</f>
        <v/>
      </c>
      <c r="V37" s="40" t="str">
        <f aca="false">IF($C37="","",ROUND(SUMIF(收款关联,$B37,收款金额),2))</f>
        <v/>
      </c>
      <c r="W37" s="40" t="str">
        <f aca="false">IF($C37="","",MAX(0,ROUND(N($K37)-N($V37),2)))</f>
        <v/>
      </c>
      <c r="X37" s="40" t="str">
        <f aca="false">IF($C37="","",ROUND(SUMIFS(应收净额,应收键,$D37,应收行号,"&lt;="&amp;ROW()),2))</f>
        <v/>
      </c>
      <c r="Y37" s="29" t="str">
        <f aca="false">IF($C37="","",ROW())</f>
        <v/>
      </c>
    </row>
    <row r="38" customFormat="false" ht="15" hidden="false" customHeight="false" outlineLevel="0" collapsed="false">
      <c r="A38" s="29" t="str">
        <f aca="false">IF($C38="","",ROW()-4)</f>
        <v/>
      </c>
      <c r="B38" s="35" t="str">
        <f aca="false">IF($C38="","","YS"&amp;TEXT($C38,"yyyymm")&amp;"-"&amp;TEXT(ROW()-4,"0000"))</f>
        <v/>
      </c>
      <c r="C38" s="33"/>
      <c r="D38" s="24"/>
      <c r="E38" s="30" t="str">
        <f aca="false">IF($D38="","",IFERROR(INDEX(合同单位,MATCH($D38,合同键,0)),IFERROR(TRIM(LEFT($D38,FIND("｜",$D38)-1)),$D38)))</f>
        <v/>
      </c>
      <c r="F38" s="30" t="str">
        <f aca="false">IF($D38="","",IFERROR(INDEX(合同项目,MATCH($D38,合同键,0)),IFERROR(TRIM(MID($D38,FIND("｜",$D38)+1,99)),"")))</f>
        <v/>
      </c>
      <c r="G38" s="24"/>
      <c r="H38" s="35" t="str">
        <f aca="false">IF($G38="","",IFERROR(INDEX(费用款别,MATCH($G38,费用类别表,0)),"合同外款"))</f>
        <v/>
      </c>
      <c r="I38" s="33"/>
      <c r="J38" s="33"/>
      <c r="K38" s="39"/>
      <c r="L38" s="33"/>
      <c r="M38" s="25"/>
      <c r="N38" s="39"/>
      <c r="O38" s="35" t="str">
        <f aca="false">IF($C38="","",IF(N($N38)&lt;=0,"未开票",IF(ROUND(N($N38)-N($K38),2)&gt;=0,"已开票",IFERROR("部分开票 "&amp;TEXT(N($N38)/N($K38),"0%"),"部分开票"))))</f>
        <v/>
      </c>
      <c r="P38" s="40" t="str">
        <f aca="false">IF($C38="","",ROUND($V38+MIN($W38,MAX(0,(SUMIF(收款键,$D38,收款金额)-SUMIFS(收款金额,收款键,$D38,收款关联,"&lt;&gt;"))-($X38-$W38))),2))</f>
        <v/>
      </c>
      <c r="Q38" s="41" t="str">
        <f aca="false">IF($C38="","",ROUND(N($K38)-N($P38),2))</f>
        <v/>
      </c>
      <c r="R38" s="29" t="str">
        <f aca="false">IF($C38="","",YEAR($C38))</f>
        <v/>
      </c>
      <c r="S38" s="24"/>
      <c r="T38" s="35" t="str">
        <f aca="false">IF($C38="","",IF($D38="","★没选客户项目",IF(COUNTIF(合同键,$D38)=0,"★《维保合同》里没这个项目",IF(N($K38)&lt;=0,"★应收金额要填",IF(ROUND(N($N38)-N($K38),2)&gt;0.001,"★开票金额大于应收",IF(AND($L38&lt;&gt;"",N($N38)&lt;=0),"★填了开票日期没填开票金额",IF(AND($I38&lt;&gt;"",$J38&lt;&gt;"",$J38&lt;$I38),"★计费期间起止反了","OK")))))))</f>
        <v/>
      </c>
      <c r="U38" s="29" t="str">
        <f aca="false">IF($L38="","",YEAR($L38))</f>
        <v/>
      </c>
      <c r="V38" s="40" t="str">
        <f aca="false">IF($C38="","",ROUND(SUMIF(收款关联,$B38,收款金额),2))</f>
        <v/>
      </c>
      <c r="W38" s="40" t="str">
        <f aca="false">IF($C38="","",MAX(0,ROUND(N($K38)-N($V38),2)))</f>
        <v/>
      </c>
      <c r="X38" s="40" t="str">
        <f aca="false">IF($C38="","",ROUND(SUMIFS(应收净额,应收键,$D38,应收行号,"&lt;="&amp;ROW()),2))</f>
        <v/>
      </c>
      <c r="Y38" s="29" t="str">
        <f aca="false">IF($C38="","",ROW())</f>
        <v/>
      </c>
    </row>
    <row r="39" customFormat="false" ht="15" hidden="false" customHeight="false" outlineLevel="0" collapsed="false">
      <c r="A39" s="29" t="str">
        <f aca="false">IF($C39="","",ROW()-4)</f>
        <v/>
      </c>
      <c r="B39" s="35" t="str">
        <f aca="false">IF($C39="","","YS"&amp;TEXT($C39,"yyyymm")&amp;"-"&amp;TEXT(ROW()-4,"0000"))</f>
        <v/>
      </c>
      <c r="C39" s="33"/>
      <c r="D39" s="24"/>
      <c r="E39" s="30" t="str">
        <f aca="false">IF($D39="","",IFERROR(INDEX(合同单位,MATCH($D39,合同键,0)),IFERROR(TRIM(LEFT($D39,FIND("｜",$D39)-1)),$D39)))</f>
        <v/>
      </c>
      <c r="F39" s="30" t="str">
        <f aca="false">IF($D39="","",IFERROR(INDEX(合同项目,MATCH($D39,合同键,0)),IFERROR(TRIM(MID($D39,FIND("｜",$D39)+1,99)),"")))</f>
        <v/>
      </c>
      <c r="G39" s="24"/>
      <c r="H39" s="35" t="str">
        <f aca="false">IF($G39="","",IFERROR(INDEX(费用款别,MATCH($G39,费用类别表,0)),"合同外款"))</f>
        <v/>
      </c>
      <c r="I39" s="33"/>
      <c r="J39" s="33"/>
      <c r="K39" s="39"/>
      <c r="L39" s="33"/>
      <c r="M39" s="25"/>
      <c r="N39" s="39"/>
      <c r="O39" s="35" t="str">
        <f aca="false">IF($C39="","",IF(N($N39)&lt;=0,"未开票",IF(ROUND(N($N39)-N($K39),2)&gt;=0,"已开票",IFERROR("部分开票 "&amp;TEXT(N($N39)/N($K39),"0%"),"部分开票"))))</f>
        <v/>
      </c>
      <c r="P39" s="40" t="str">
        <f aca="false">IF($C39="","",ROUND($V39+MIN($W39,MAX(0,(SUMIF(收款键,$D39,收款金额)-SUMIFS(收款金额,收款键,$D39,收款关联,"&lt;&gt;"))-($X39-$W39))),2))</f>
        <v/>
      </c>
      <c r="Q39" s="41" t="str">
        <f aca="false">IF($C39="","",ROUND(N($K39)-N($P39),2))</f>
        <v/>
      </c>
      <c r="R39" s="29" t="str">
        <f aca="false">IF($C39="","",YEAR($C39))</f>
        <v/>
      </c>
      <c r="S39" s="24"/>
      <c r="T39" s="35" t="str">
        <f aca="false">IF($C39="","",IF($D39="","★没选客户项目",IF(COUNTIF(合同键,$D39)=0,"★《维保合同》里没这个项目",IF(N($K39)&lt;=0,"★应收金额要填",IF(ROUND(N($N39)-N($K39),2)&gt;0.001,"★开票金额大于应收",IF(AND($L39&lt;&gt;"",N($N39)&lt;=0),"★填了开票日期没填开票金额",IF(AND($I39&lt;&gt;"",$J39&lt;&gt;"",$J39&lt;$I39),"★计费期间起止反了","OK")))))))</f>
        <v/>
      </c>
      <c r="U39" s="29" t="str">
        <f aca="false">IF($L39="","",YEAR($L39))</f>
        <v/>
      </c>
      <c r="V39" s="40" t="str">
        <f aca="false">IF($C39="","",ROUND(SUMIF(收款关联,$B39,收款金额),2))</f>
        <v/>
      </c>
      <c r="W39" s="40" t="str">
        <f aca="false">IF($C39="","",MAX(0,ROUND(N($K39)-N($V39),2)))</f>
        <v/>
      </c>
      <c r="X39" s="40" t="str">
        <f aca="false">IF($C39="","",ROUND(SUMIFS(应收净额,应收键,$D39,应收行号,"&lt;="&amp;ROW()),2))</f>
        <v/>
      </c>
      <c r="Y39" s="29" t="str">
        <f aca="false">IF($C39="","",ROW())</f>
        <v/>
      </c>
    </row>
    <row r="40" customFormat="false" ht="15" hidden="false" customHeight="false" outlineLevel="0" collapsed="false">
      <c r="A40" s="29" t="str">
        <f aca="false">IF($C40="","",ROW()-4)</f>
        <v/>
      </c>
      <c r="B40" s="35" t="str">
        <f aca="false">IF($C40="","","YS"&amp;TEXT($C40,"yyyymm")&amp;"-"&amp;TEXT(ROW()-4,"0000"))</f>
        <v/>
      </c>
      <c r="C40" s="33"/>
      <c r="D40" s="24"/>
      <c r="E40" s="30" t="str">
        <f aca="false">IF($D40="","",IFERROR(INDEX(合同单位,MATCH($D40,合同键,0)),IFERROR(TRIM(LEFT($D40,FIND("｜",$D40)-1)),$D40)))</f>
        <v/>
      </c>
      <c r="F40" s="30" t="str">
        <f aca="false">IF($D40="","",IFERROR(INDEX(合同项目,MATCH($D40,合同键,0)),IFERROR(TRIM(MID($D40,FIND("｜",$D40)+1,99)),"")))</f>
        <v/>
      </c>
      <c r="G40" s="24"/>
      <c r="H40" s="35" t="str">
        <f aca="false">IF($G40="","",IFERROR(INDEX(费用款别,MATCH($G40,费用类别表,0)),"合同外款"))</f>
        <v/>
      </c>
      <c r="I40" s="33"/>
      <c r="J40" s="33"/>
      <c r="K40" s="39"/>
      <c r="L40" s="33"/>
      <c r="M40" s="25"/>
      <c r="N40" s="39"/>
      <c r="O40" s="35" t="str">
        <f aca="false">IF($C40="","",IF(N($N40)&lt;=0,"未开票",IF(ROUND(N($N40)-N($K40),2)&gt;=0,"已开票",IFERROR("部分开票 "&amp;TEXT(N($N40)/N($K40),"0%"),"部分开票"))))</f>
        <v/>
      </c>
      <c r="P40" s="40" t="str">
        <f aca="false">IF($C40="","",ROUND($V40+MIN($W40,MAX(0,(SUMIF(收款键,$D40,收款金额)-SUMIFS(收款金额,收款键,$D40,收款关联,"&lt;&gt;"))-($X40-$W40))),2))</f>
        <v/>
      </c>
      <c r="Q40" s="41" t="str">
        <f aca="false">IF($C40="","",ROUND(N($K40)-N($P40),2))</f>
        <v/>
      </c>
      <c r="R40" s="29" t="str">
        <f aca="false">IF($C40="","",YEAR($C40))</f>
        <v/>
      </c>
      <c r="S40" s="24"/>
      <c r="T40" s="35" t="str">
        <f aca="false">IF($C40="","",IF($D40="","★没选客户项目",IF(COUNTIF(合同键,$D40)=0,"★《维保合同》里没这个项目",IF(N($K40)&lt;=0,"★应收金额要填",IF(ROUND(N($N40)-N($K40),2)&gt;0.001,"★开票金额大于应收",IF(AND($L40&lt;&gt;"",N($N40)&lt;=0),"★填了开票日期没填开票金额",IF(AND($I40&lt;&gt;"",$J40&lt;&gt;"",$J40&lt;$I40),"★计费期间起止反了","OK")))))))</f>
        <v/>
      </c>
      <c r="U40" s="29" t="str">
        <f aca="false">IF($L40="","",YEAR($L40))</f>
        <v/>
      </c>
      <c r="V40" s="40" t="str">
        <f aca="false">IF($C40="","",ROUND(SUMIF(收款关联,$B40,收款金额),2))</f>
        <v/>
      </c>
      <c r="W40" s="40" t="str">
        <f aca="false">IF($C40="","",MAX(0,ROUND(N($K40)-N($V40),2)))</f>
        <v/>
      </c>
      <c r="X40" s="40" t="str">
        <f aca="false">IF($C40="","",ROUND(SUMIFS(应收净额,应收键,$D40,应收行号,"&lt;="&amp;ROW()),2))</f>
        <v/>
      </c>
      <c r="Y40" s="29" t="str">
        <f aca="false">IF($C40="","",ROW())</f>
        <v/>
      </c>
    </row>
    <row r="41" customFormat="false" ht="15" hidden="false" customHeight="false" outlineLevel="0" collapsed="false">
      <c r="A41" s="29" t="str">
        <f aca="false">IF($C41="","",ROW()-4)</f>
        <v/>
      </c>
      <c r="B41" s="35" t="str">
        <f aca="false">IF($C41="","","YS"&amp;TEXT($C41,"yyyymm")&amp;"-"&amp;TEXT(ROW()-4,"0000"))</f>
        <v/>
      </c>
      <c r="C41" s="33"/>
      <c r="D41" s="24"/>
      <c r="E41" s="30" t="str">
        <f aca="false">IF($D41="","",IFERROR(INDEX(合同单位,MATCH($D41,合同键,0)),IFERROR(TRIM(LEFT($D41,FIND("｜",$D41)-1)),$D41)))</f>
        <v/>
      </c>
      <c r="F41" s="30" t="str">
        <f aca="false">IF($D41="","",IFERROR(INDEX(合同项目,MATCH($D41,合同键,0)),IFERROR(TRIM(MID($D41,FIND("｜",$D41)+1,99)),"")))</f>
        <v/>
      </c>
      <c r="G41" s="24"/>
      <c r="H41" s="35" t="str">
        <f aca="false">IF($G41="","",IFERROR(INDEX(费用款别,MATCH($G41,费用类别表,0)),"合同外款"))</f>
        <v/>
      </c>
      <c r="I41" s="33"/>
      <c r="J41" s="33"/>
      <c r="K41" s="39"/>
      <c r="L41" s="33"/>
      <c r="M41" s="25"/>
      <c r="N41" s="39"/>
      <c r="O41" s="35" t="str">
        <f aca="false">IF($C41="","",IF(N($N41)&lt;=0,"未开票",IF(ROUND(N($N41)-N($K41),2)&gt;=0,"已开票",IFERROR("部分开票 "&amp;TEXT(N($N41)/N($K41),"0%"),"部分开票"))))</f>
        <v/>
      </c>
      <c r="P41" s="40" t="str">
        <f aca="false">IF($C41="","",ROUND($V41+MIN($W41,MAX(0,(SUMIF(收款键,$D41,收款金额)-SUMIFS(收款金额,收款键,$D41,收款关联,"&lt;&gt;"))-($X41-$W41))),2))</f>
        <v/>
      </c>
      <c r="Q41" s="41" t="str">
        <f aca="false">IF($C41="","",ROUND(N($K41)-N($P41),2))</f>
        <v/>
      </c>
      <c r="R41" s="29" t="str">
        <f aca="false">IF($C41="","",YEAR($C41))</f>
        <v/>
      </c>
      <c r="S41" s="24"/>
      <c r="T41" s="35" t="str">
        <f aca="false">IF($C41="","",IF($D41="","★没选客户项目",IF(COUNTIF(合同键,$D41)=0,"★《维保合同》里没这个项目",IF(N($K41)&lt;=0,"★应收金额要填",IF(ROUND(N($N41)-N($K41),2)&gt;0.001,"★开票金额大于应收",IF(AND($L41&lt;&gt;"",N($N41)&lt;=0),"★填了开票日期没填开票金额",IF(AND($I41&lt;&gt;"",$J41&lt;&gt;"",$J41&lt;$I41),"★计费期间起止反了","OK")))))))</f>
        <v/>
      </c>
      <c r="U41" s="29" t="str">
        <f aca="false">IF($L41="","",YEAR($L41))</f>
        <v/>
      </c>
      <c r="V41" s="40" t="str">
        <f aca="false">IF($C41="","",ROUND(SUMIF(收款关联,$B41,收款金额),2))</f>
        <v/>
      </c>
      <c r="W41" s="40" t="str">
        <f aca="false">IF($C41="","",MAX(0,ROUND(N($K41)-N($V41),2)))</f>
        <v/>
      </c>
      <c r="X41" s="40" t="str">
        <f aca="false">IF($C41="","",ROUND(SUMIFS(应收净额,应收键,$D41,应收行号,"&lt;="&amp;ROW()),2))</f>
        <v/>
      </c>
      <c r="Y41" s="29" t="str">
        <f aca="false">IF($C41="","",ROW())</f>
        <v/>
      </c>
    </row>
    <row r="42" customFormat="false" ht="15" hidden="false" customHeight="false" outlineLevel="0" collapsed="false">
      <c r="A42" s="29" t="str">
        <f aca="false">IF($C42="","",ROW()-4)</f>
        <v/>
      </c>
      <c r="B42" s="35" t="str">
        <f aca="false">IF($C42="","","YS"&amp;TEXT($C42,"yyyymm")&amp;"-"&amp;TEXT(ROW()-4,"0000"))</f>
        <v/>
      </c>
      <c r="C42" s="33"/>
      <c r="D42" s="24"/>
      <c r="E42" s="30" t="str">
        <f aca="false">IF($D42="","",IFERROR(INDEX(合同单位,MATCH($D42,合同键,0)),IFERROR(TRIM(LEFT($D42,FIND("｜",$D42)-1)),$D42)))</f>
        <v/>
      </c>
      <c r="F42" s="30" t="str">
        <f aca="false">IF($D42="","",IFERROR(INDEX(合同项目,MATCH($D42,合同键,0)),IFERROR(TRIM(MID($D42,FIND("｜",$D42)+1,99)),"")))</f>
        <v/>
      </c>
      <c r="G42" s="24"/>
      <c r="H42" s="35" t="str">
        <f aca="false">IF($G42="","",IFERROR(INDEX(费用款别,MATCH($G42,费用类别表,0)),"合同外款"))</f>
        <v/>
      </c>
      <c r="I42" s="33"/>
      <c r="J42" s="33"/>
      <c r="K42" s="39"/>
      <c r="L42" s="33"/>
      <c r="M42" s="25"/>
      <c r="N42" s="39"/>
      <c r="O42" s="35" t="str">
        <f aca="false">IF($C42="","",IF(N($N42)&lt;=0,"未开票",IF(ROUND(N($N42)-N($K42),2)&gt;=0,"已开票",IFERROR("部分开票 "&amp;TEXT(N($N42)/N($K42),"0%"),"部分开票"))))</f>
        <v/>
      </c>
      <c r="P42" s="40" t="str">
        <f aca="false">IF($C42="","",ROUND($V42+MIN($W42,MAX(0,(SUMIF(收款键,$D42,收款金额)-SUMIFS(收款金额,收款键,$D42,收款关联,"&lt;&gt;"))-($X42-$W42))),2))</f>
        <v/>
      </c>
      <c r="Q42" s="41" t="str">
        <f aca="false">IF($C42="","",ROUND(N($K42)-N($P42),2))</f>
        <v/>
      </c>
      <c r="R42" s="29" t="str">
        <f aca="false">IF($C42="","",YEAR($C42))</f>
        <v/>
      </c>
      <c r="S42" s="24"/>
      <c r="T42" s="35" t="str">
        <f aca="false">IF($C42="","",IF($D42="","★没选客户项目",IF(COUNTIF(合同键,$D42)=0,"★《维保合同》里没这个项目",IF(N($K42)&lt;=0,"★应收金额要填",IF(ROUND(N($N42)-N($K42),2)&gt;0.001,"★开票金额大于应收",IF(AND($L42&lt;&gt;"",N($N42)&lt;=0),"★填了开票日期没填开票金额",IF(AND($I42&lt;&gt;"",$J42&lt;&gt;"",$J42&lt;$I42),"★计费期间起止反了","OK")))))))</f>
        <v/>
      </c>
      <c r="U42" s="29" t="str">
        <f aca="false">IF($L42="","",YEAR($L42))</f>
        <v/>
      </c>
      <c r="V42" s="40" t="str">
        <f aca="false">IF($C42="","",ROUND(SUMIF(收款关联,$B42,收款金额),2))</f>
        <v/>
      </c>
      <c r="W42" s="40" t="str">
        <f aca="false">IF($C42="","",MAX(0,ROUND(N($K42)-N($V42),2)))</f>
        <v/>
      </c>
      <c r="X42" s="40" t="str">
        <f aca="false">IF($C42="","",ROUND(SUMIFS(应收净额,应收键,$D42,应收行号,"&lt;="&amp;ROW()),2))</f>
        <v/>
      </c>
      <c r="Y42" s="29" t="str">
        <f aca="false">IF($C42="","",ROW())</f>
        <v/>
      </c>
    </row>
    <row r="43" customFormat="false" ht="15" hidden="false" customHeight="false" outlineLevel="0" collapsed="false">
      <c r="A43" s="29" t="str">
        <f aca="false">IF($C43="","",ROW()-4)</f>
        <v/>
      </c>
      <c r="B43" s="35" t="str">
        <f aca="false">IF($C43="","","YS"&amp;TEXT($C43,"yyyymm")&amp;"-"&amp;TEXT(ROW()-4,"0000"))</f>
        <v/>
      </c>
      <c r="C43" s="33"/>
      <c r="D43" s="24"/>
      <c r="E43" s="30" t="str">
        <f aca="false">IF($D43="","",IFERROR(INDEX(合同单位,MATCH($D43,合同键,0)),IFERROR(TRIM(LEFT($D43,FIND("｜",$D43)-1)),$D43)))</f>
        <v/>
      </c>
      <c r="F43" s="30" t="str">
        <f aca="false">IF($D43="","",IFERROR(INDEX(合同项目,MATCH($D43,合同键,0)),IFERROR(TRIM(MID($D43,FIND("｜",$D43)+1,99)),"")))</f>
        <v/>
      </c>
      <c r="G43" s="24"/>
      <c r="H43" s="35" t="str">
        <f aca="false">IF($G43="","",IFERROR(INDEX(费用款别,MATCH($G43,费用类别表,0)),"合同外款"))</f>
        <v/>
      </c>
      <c r="I43" s="33"/>
      <c r="J43" s="33"/>
      <c r="K43" s="39"/>
      <c r="L43" s="33"/>
      <c r="M43" s="25"/>
      <c r="N43" s="39"/>
      <c r="O43" s="35" t="str">
        <f aca="false">IF($C43="","",IF(N($N43)&lt;=0,"未开票",IF(ROUND(N($N43)-N($K43),2)&gt;=0,"已开票",IFERROR("部分开票 "&amp;TEXT(N($N43)/N($K43),"0%"),"部分开票"))))</f>
        <v/>
      </c>
      <c r="P43" s="40" t="str">
        <f aca="false">IF($C43="","",ROUND($V43+MIN($W43,MAX(0,(SUMIF(收款键,$D43,收款金额)-SUMIFS(收款金额,收款键,$D43,收款关联,"&lt;&gt;"))-($X43-$W43))),2))</f>
        <v/>
      </c>
      <c r="Q43" s="41" t="str">
        <f aca="false">IF($C43="","",ROUND(N($K43)-N($P43),2))</f>
        <v/>
      </c>
      <c r="R43" s="29" t="str">
        <f aca="false">IF($C43="","",YEAR($C43))</f>
        <v/>
      </c>
      <c r="S43" s="24"/>
      <c r="T43" s="35" t="str">
        <f aca="false">IF($C43="","",IF($D43="","★没选客户项目",IF(COUNTIF(合同键,$D43)=0,"★《维保合同》里没这个项目",IF(N($K43)&lt;=0,"★应收金额要填",IF(ROUND(N($N43)-N($K43),2)&gt;0.001,"★开票金额大于应收",IF(AND($L43&lt;&gt;"",N($N43)&lt;=0),"★填了开票日期没填开票金额",IF(AND($I43&lt;&gt;"",$J43&lt;&gt;"",$J43&lt;$I43),"★计费期间起止反了","OK")))))))</f>
        <v/>
      </c>
      <c r="U43" s="29" t="str">
        <f aca="false">IF($L43="","",YEAR($L43))</f>
        <v/>
      </c>
      <c r="V43" s="40" t="str">
        <f aca="false">IF($C43="","",ROUND(SUMIF(收款关联,$B43,收款金额),2))</f>
        <v/>
      </c>
      <c r="W43" s="40" t="str">
        <f aca="false">IF($C43="","",MAX(0,ROUND(N($K43)-N($V43),2)))</f>
        <v/>
      </c>
      <c r="X43" s="40" t="str">
        <f aca="false">IF($C43="","",ROUND(SUMIFS(应收净额,应收键,$D43,应收行号,"&lt;="&amp;ROW()),2))</f>
        <v/>
      </c>
      <c r="Y43" s="29" t="str">
        <f aca="false">IF($C43="","",ROW())</f>
        <v/>
      </c>
    </row>
    <row r="44" customFormat="false" ht="15" hidden="false" customHeight="false" outlineLevel="0" collapsed="false">
      <c r="A44" s="29" t="str">
        <f aca="false">IF($C44="","",ROW()-4)</f>
        <v/>
      </c>
      <c r="B44" s="35" t="str">
        <f aca="false">IF($C44="","","YS"&amp;TEXT($C44,"yyyymm")&amp;"-"&amp;TEXT(ROW()-4,"0000"))</f>
        <v/>
      </c>
      <c r="C44" s="33"/>
      <c r="D44" s="24"/>
      <c r="E44" s="30" t="str">
        <f aca="false">IF($D44="","",IFERROR(INDEX(合同单位,MATCH($D44,合同键,0)),IFERROR(TRIM(LEFT($D44,FIND("｜",$D44)-1)),$D44)))</f>
        <v/>
      </c>
      <c r="F44" s="30" t="str">
        <f aca="false">IF($D44="","",IFERROR(INDEX(合同项目,MATCH($D44,合同键,0)),IFERROR(TRIM(MID($D44,FIND("｜",$D44)+1,99)),"")))</f>
        <v/>
      </c>
      <c r="G44" s="24"/>
      <c r="H44" s="35" t="str">
        <f aca="false">IF($G44="","",IFERROR(INDEX(费用款别,MATCH($G44,费用类别表,0)),"合同外款"))</f>
        <v/>
      </c>
      <c r="I44" s="33"/>
      <c r="J44" s="33"/>
      <c r="K44" s="39"/>
      <c r="L44" s="33"/>
      <c r="M44" s="25"/>
      <c r="N44" s="39"/>
      <c r="O44" s="35" t="str">
        <f aca="false">IF($C44="","",IF(N($N44)&lt;=0,"未开票",IF(ROUND(N($N44)-N($K44),2)&gt;=0,"已开票",IFERROR("部分开票 "&amp;TEXT(N($N44)/N($K44),"0%"),"部分开票"))))</f>
        <v/>
      </c>
      <c r="P44" s="40" t="str">
        <f aca="false">IF($C44="","",ROUND($V44+MIN($W44,MAX(0,(SUMIF(收款键,$D44,收款金额)-SUMIFS(收款金额,收款键,$D44,收款关联,"&lt;&gt;"))-($X44-$W44))),2))</f>
        <v/>
      </c>
      <c r="Q44" s="41" t="str">
        <f aca="false">IF($C44="","",ROUND(N($K44)-N($P44),2))</f>
        <v/>
      </c>
      <c r="R44" s="29" t="str">
        <f aca="false">IF($C44="","",YEAR($C44))</f>
        <v/>
      </c>
      <c r="S44" s="24"/>
      <c r="T44" s="35" t="str">
        <f aca="false">IF($C44="","",IF($D44="","★没选客户项目",IF(COUNTIF(合同键,$D44)=0,"★《维保合同》里没这个项目",IF(N($K44)&lt;=0,"★应收金额要填",IF(ROUND(N($N44)-N($K44),2)&gt;0.001,"★开票金额大于应收",IF(AND($L44&lt;&gt;"",N($N44)&lt;=0),"★填了开票日期没填开票金额",IF(AND($I44&lt;&gt;"",$J44&lt;&gt;"",$J44&lt;$I44),"★计费期间起止反了","OK")))))))</f>
        <v/>
      </c>
      <c r="U44" s="29" t="str">
        <f aca="false">IF($L44="","",YEAR($L44))</f>
        <v/>
      </c>
      <c r="V44" s="40" t="str">
        <f aca="false">IF($C44="","",ROUND(SUMIF(收款关联,$B44,收款金额),2))</f>
        <v/>
      </c>
      <c r="W44" s="40" t="str">
        <f aca="false">IF($C44="","",MAX(0,ROUND(N($K44)-N($V44),2)))</f>
        <v/>
      </c>
      <c r="X44" s="40" t="str">
        <f aca="false">IF($C44="","",ROUND(SUMIFS(应收净额,应收键,$D44,应收行号,"&lt;="&amp;ROW()),2))</f>
        <v/>
      </c>
      <c r="Y44" s="29" t="str">
        <f aca="false">IF($C44="","",ROW())</f>
        <v/>
      </c>
    </row>
    <row r="45" customFormat="false" ht="15" hidden="false" customHeight="false" outlineLevel="0" collapsed="false">
      <c r="A45" s="29" t="str">
        <f aca="false">IF($C45="","",ROW()-4)</f>
        <v/>
      </c>
      <c r="B45" s="35" t="str">
        <f aca="false">IF($C45="","","YS"&amp;TEXT($C45,"yyyymm")&amp;"-"&amp;TEXT(ROW()-4,"0000"))</f>
        <v/>
      </c>
      <c r="C45" s="33"/>
      <c r="D45" s="24"/>
      <c r="E45" s="30" t="str">
        <f aca="false">IF($D45="","",IFERROR(INDEX(合同单位,MATCH($D45,合同键,0)),IFERROR(TRIM(LEFT($D45,FIND("｜",$D45)-1)),$D45)))</f>
        <v/>
      </c>
      <c r="F45" s="30" t="str">
        <f aca="false">IF($D45="","",IFERROR(INDEX(合同项目,MATCH($D45,合同键,0)),IFERROR(TRIM(MID($D45,FIND("｜",$D45)+1,99)),"")))</f>
        <v/>
      </c>
      <c r="G45" s="24"/>
      <c r="H45" s="35" t="str">
        <f aca="false">IF($G45="","",IFERROR(INDEX(费用款别,MATCH($G45,费用类别表,0)),"合同外款"))</f>
        <v/>
      </c>
      <c r="I45" s="33"/>
      <c r="J45" s="33"/>
      <c r="K45" s="39"/>
      <c r="L45" s="33"/>
      <c r="M45" s="25"/>
      <c r="N45" s="39"/>
      <c r="O45" s="35" t="str">
        <f aca="false">IF($C45="","",IF(N($N45)&lt;=0,"未开票",IF(ROUND(N($N45)-N($K45),2)&gt;=0,"已开票",IFERROR("部分开票 "&amp;TEXT(N($N45)/N($K45),"0%"),"部分开票"))))</f>
        <v/>
      </c>
      <c r="P45" s="40" t="str">
        <f aca="false">IF($C45="","",ROUND($V45+MIN($W45,MAX(0,(SUMIF(收款键,$D45,收款金额)-SUMIFS(收款金额,收款键,$D45,收款关联,"&lt;&gt;"))-($X45-$W45))),2))</f>
        <v/>
      </c>
      <c r="Q45" s="41" t="str">
        <f aca="false">IF($C45="","",ROUND(N($K45)-N($P45),2))</f>
        <v/>
      </c>
      <c r="R45" s="29" t="str">
        <f aca="false">IF($C45="","",YEAR($C45))</f>
        <v/>
      </c>
      <c r="S45" s="24"/>
      <c r="T45" s="35" t="str">
        <f aca="false">IF($C45="","",IF($D45="","★没选客户项目",IF(COUNTIF(合同键,$D45)=0,"★《维保合同》里没这个项目",IF(N($K45)&lt;=0,"★应收金额要填",IF(ROUND(N($N45)-N($K45),2)&gt;0.001,"★开票金额大于应收",IF(AND($L45&lt;&gt;"",N($N45)&lt;=0),"★填了开票日期没填开票金额",IF(AND($I45&lt;&gt;"",$J45&lt;&gt;"",$J45&lt;$I45),"★计费期间起止反了","OK")))))))</f>
        <v/>
      </c>
      <c r="U45" s="29" t="str">
        <f aca="false">IF($L45="","",YEAR($L45))</f>
        <v/>
      </c>
      <c r="V45" s="40" t="str">
        <f aca="false">IF($C45="","",ROUND(SUMIF(收款关联,$B45,收款金额),2))</f>
        <v/>
      </c>
      <c r="W45" s="40" t="str">
        <f aca="false">IF($C45="","",MAX(0,ROUND(N($K45)-N($V45),2)))</f>
        <v/>
      </c>
      <c r="X45" s="40" t="str">
        <f aca="false">IF($C45="","",ROUND(SUMIFS(应收净额,应收键,$D45,应收行号,"&lt;="&amp;ROW()),2))</f>
        <v/>
      </c>
      <c r="Y45" s="29" t="str">
        <f aca="false">IF($C45="","",ROW())</f>
        <v/>
      </c>
    </row>
    <row r="46" customFormat="false" ht="15" hidden="false" customHeight="false" outlineLevel="0" collapsed="false">
      <c r="A46" s="29" t="str">
        <f aca="false">IF($C46="","",ROW()-4)</f>
        <v/>
      </c>
      <c r="B46" s="35" t="str">
        <f aca="false">IF($C46="","","YS"&amp;TEXT($C46,"yyyymm")&amp;"-"&amp;TEXT(ROW()-4,"0000"))</f>
        <v/>
      </c>
      <c r="C46" s="33"/>
      <c r="D46" s="24"/>
      <c r="E46" s="30" t="str">
        <f aca="false">IF($D46="","",IFERROR(INDEX(合同单位,MATCH($D46,合同键,0)),IFERROR(TRIM(LEFT($D46,FIND("｜",$D46)-1)),$D46)))</f>
        <v/>
      </c>
      <c r="F46" s="30" t="str">
        <f aca="false">IF($D46="","",IFERROR(INDEX(合同项目,MATCH($D46,合同键,0)),IFERROR(TRIM(MID($D46,FIND("｜",$D46)+1,99)),"")))</f>
        <v/>
      </c>
      <c r="G46" s="24"/>
      <c r="H46" s="35" t="str">
        <f aca="false">IF($G46="","",IFERROR(INDEX(费用款别,MATCH($G46,费用类别表,0)),"合同外款"))</f>
        <v/>
      </c>
      <c r="I46" s="33"/>
      <c r="J46" s="33"/>
      <c r="K46" s="39"/>
      <c r="L46" s="33"/>
      <c r="M46" s="25"/>
      <c r="N46" s="39"/>
      <c r="O46" s="35" t="str">
        <f aca="false">IF($C46="","",IF(N($N46)&lt;=0,"未开票",IF(ROUND(N($N46)-N($K46),2)&gt;=0,"已开票",IFERROR("部分开票 "&amp;TEXT(N($N46)/N($K46),"0%"),"部分开票"))))</f>
        <v/>
      </c>
      <c r="P46" s="40" t="str">
        <f aca="false">IF($C46="","",ROUND($V46+MIN($W46,MAX(0,(SUMIF(收款键,$D46,收款金额)-SUMIFS(收款金额,收款键,$D46,收款关联,"&lt;&gt;"))-($X46-$W46))),2))</f>
        <v/>
      </c>
      <c r="Q46" s="41" t="str">
        <f aca="false">IF($C46="","",ROUND(N($K46)-N($P46),2))</f>
        <v/>
      </c>
      <c r="R46" s="29" t="str">
        <f aca="false">IF($C46="","",YEAR($C46))</f>
        <v/>
      </c>
      <c r="S46" s="24"/>
      <c r="T46" s="35" t="str">
        <f aca="false">IF($C46="","",IF($D46="","★没选客户项目",IF(COUNTIF(合同键,$D46)=0,"★《维保合同》里没这个项目",IF(N($K46)&lt;=0,"★应收金额要填",IF(ROUND(N($N46)-N($K46),2)&gt;0.001,"★开票金额大于应收",IF(AND($L46&lt;&gt;"",N($N46)&lt;=0),"★填了开票日期没填开票金额",IF(AND($I46&lt;&gt;"",$J46&lt;&gt;"",$J46&lt;$I46),"★计费期间起止反了","OK")))))))</f>
        <v/>
      </c>
      <c r="U46" s="29" t="str">
        <f aca="false">IF($L46="","",YEAR($L46))</f>
        <v/>
      </c>
      <c r="V46" s="40" t="str">
        <f aca="false">IF($C46="","",ROUND(SUMIF(收款关联,$B46,收款金额),2))</f>
        <v/>
      </c>
      <c r="W46" s="40" t="str">
        <f aca="false">IF($C46="","",MAX(0,ROUND(N($K46)-N($V46),2)))</f>
        <v/>
      </c>
      <c r="X46" s="40" t="str">
        <f aca="false">IF($C46="","",ROUND(SUMIFS(应收净额,应收键,$D46,应收行号,"&lt;="&amp;ROW()),2))</f>
        <v/>
      </c>
      <c r="Y46" s="29" t="str">
        <f aca="false">IF($C46="","",ROW())</f>
        <v/>
      </c>
    </row>
    <row r="47" customFormat="false" ht="15" hidden="false" customHeight="false" outlineLevel="0" collapsed="false">
      <c r="A47" s="29" t="str">
        <f aca="false">IF($C47="","",ROW()-4)</f>
        <v/>
      </c>
      <c r="B47" s="35" t="str">
        <f aca="false">IF($C47="","","YS"&amp;TEXT($C47,"yyyymm")&amp;"-"&amp;TEXT(ROW()-4,"0000"))</f>
        <v/>
      </c>
      <c r="C47" s="33"/>
      <c r="D47" s="24"/>
      <c r="E47" s="30" t="str">
        <f aca="false">IF($D47="","",IFERROR(INDEX(合同单位,MATCH($D47,合同键,0)),IFERROR(TRIM(LEFT($D47,FIND("｜",$D47)-1)),$D47)))</f>
        <v/>
      </c>
      <c r="F47" s="30" t="str">
        <f aca="false">IF($D47="","",IFERROR(INDEX(合同项目,MATCH($D47,合同键,0)),IFERROR(TRIM(MID($D47,FIND("｜",$D47)+1,99)),"")))</f>
        <v/>
      </c>
      <c r="G47" s="24"/>
      <c r="H47" s="35" t="str">
        <f aca="false">IF($G47="","",IFERROR(INDEX(费用款别,MATCH($G47,费用类别表,0)),"合同外款"))</f>
        <v/>
      </c>
      <c r="I47" s="33"/>
      <c r="J47" s="33"/>
      <c r="K47" s="39"/>
      <c r="L47" s="33"/>
      <c r="M47" s="25"/>
      <c r="N47" s="39"/>
      <c r="O47" s="35" t="str">
        <f aca="false">IF($C47="","",IF(N($N47)&lt;=0,"未开票",IF(ROUND(N($N47)-N($K47),2)&gt;=0,"已开票",IFERROR("部分开票 "&amp;TEXT(N($N47)/N($K47),"0%"),"部分开票"))))</f>
        <v/>
      </c>
      <c r="P47" s="40" t="str">
        <f aca="false">IF($C47="","",ROUND($V47+MIN($W47,MAX(0,(SUMIF(收款键,$D47,收款金额)-SUMIFS(收款金额,收款键,$D47,收款关联,"&lt;&gt;"))-($X47-$W47))),2))</f>
        <v/>
      </c>
      <c r="Q47" s="41" t="str">
        <f aca="false">IF($C47="","",ROUND(N($K47)-N($P47),2))</f>
        <v/>
      </c>
      <c r="R47" s="29" t="str">
        <f aca="false">IF($C47="","",YEAR($C47))</f>
        <v/>
      </c>
      <c r="S47" s="24"/>
      <c r="T47" s="35" t="str">
        <f aca="false">IF($C47="","",IF($D47="","★没选客户项目",IF(COUNTIF(合同键,$D47)=0,"★《维保合同》里没这个项目",IF(N($K47)&lt;=0,"★应收金额要填",IF(ROUND(N($N47)-N($K47),2)&gt;0.001,"★开票金额大于应收",IF(AND($L47&lt;&gt;"",N($N47)&lt;=0),"★填了开票日期没填开票金额",IF(AND($I47&lt;&gt;"",$J47&lt;&gt;"",$J47&lt;$I47),"★计费期间起止反了","OK")))))))</f>
        <v/>
      </c>
      <c r="U47" s="29" t="str">
        <f aca="false">IF($L47="","",YEAR($L47))</f>
        <v/>
      </c>
      <c r="V47" s="40" t="str">
        <f aca="false">IF($C47="","",ROUND(SUMIF(收款关联,$B47,收款金额),2))</f>
        <v/>
      </c>
      <c r="W47" s="40" t="str">
        <f aca="false">IF($C47="","",MAX(0,ROUND(N($K47)-N($V47),2)))</f>
        <v/>
      </c>
      <c r="X47" s="40" t="str">
        <f aca="false">IF($C47="","",ROUND(SUMIFS(应收净额,应收键,$D47,应收行号,"&lt;="&amp;ROW()),2))</f>
        <v/>
      </c>
      <c r="Y47" s="29" t="str">
        <f aca="false">IF($C47="","",ROW())</f>
        <v/>
      </c>
    </row>
    <row r="48" customFormat="false" ht="15" hidden="false" customHeight="false" outlineLevel="0" collapsed="false">
      <c r="A48" s="29" t="str">
        <f aca="false">IF($C48="","",ROW()-4)</f>
        <v/>
      </c>
      <c r="B48" s="35" t="str">
        <f aca="false">IF($C48="","","YS"&amp;TEXT($C48,"yyyymm")&amp;"-"&amp;TEXT(ROW()-4,"0000"))</f>
        <v/>
      </c>
      <c r="C48" s="33"/>
      <c r="D48" s="24"/>
      <c r="E48" s="30" t="str">
        <f aca="false">IF($D48="","",IFERROR(INDEX(合同单位,MATCH($D48,合同键,0)),IFERROR(TRIM(LEFT($D48,FIND("｜",$D48)-1)),$D48)))</f>
        <v/>
      </c>
      <c r="F48" s="30" t="str">
        <f aca="false">IF($D48="","",IFERROR(INDEX(合同项目,MATCH($D48,合同键,0)),IFERROR(TRIM(MID($D48,FIND("｜",$D48)+1,99)),"")))</f>
        <v/>
      </c>
      <c r="G48" s="24"/>
      <c r="H48" s="35" t="str">
        <f aca="false">IF($G48="","",IFERROR(INDEX(费用款别,MATCH($G48,费用类别表,0)),"合同外款"))</f>
        <v/>
      </c>
      <c r="I48" s="33"/>
      <c r="J48" s="33"/>
      <c r="K48" s="39"/>
      <c r="L48" s="33"/>
      <c r="M48" s="25"/>
      <c r="N48" s="39"/>
      <c r="O48" s="35" t="str">
        <f aca="false">IF($C48="","",IF(N($N48)&lt;=0,"未开票",IF(ROUND(N($N48)-N($K48),2)&gt;=0,"已开票",IFERROR("部分开票 "&amp;TEXT(N($N48)/N($K48),"0%"),"部分开票"))))</f>
        <v/>
      </c>
      <c r="P48" s="40" t="str">
        <f aca="false">IF($C48="","",ROUND($V48+MIN($W48,MAX(0,(SUMIF(收款键,$D48,收款金额)-SUMIFS(收款金额,收款键,$D48,收款关联,"&lt;&gt;"))-($X48-$W48))),2))</f>
        <v/>
      </c>
      <c r="Q48" s="41" t="str">
        <f aca="false">IF($C48="","",ROUND(N($K48)-N($P48),2))</f>
        <v/>
      </c>
      <c r="R48" s="29" t="str">
        <f aca="false">IF($C48="","",YEAR($C48))</f>
        <v/>
      </c>
      <c r="S48" s="24"/>
      <c r="T48" s="35" t="str">
        <f aca="false">IF($C48="","",IF($D48="","★没选客户项目",IF(COUNTIF(合同键,$D48)=0,"★《维保合同》里没这个项目",IF(N($K48)&lt;=0,"★应收金额要填",IF(ROUND(N($N48)-N($K48),2)&gt;0.001,"★开票金额大于应收",IF(AND($L48&lt;&gt;"",N($N48)&lt;=0),"★填了开票日期没填开票金额",IF(AND($I48&lt;&gt;"",$J48&lt;&gt;"",$J48&lt;$I48),"★计费期间起止反了","OK")))))))</f>
        <v/>
      </c>
      <c r="U48" s="29" t="str">
        <f aca="false">IF($L48="","",YEAR($L48))</f>
        <v/>
      </c>
      <c r="V48" s="40" t="str">
        <f aca="false">IF($C48="","",ROUND(SUMIF(收款关联,$B48,收款金额),2))</f>
        <v/>
      </c>
      <c r="W48" s="40" t="str">
        <f aca="false">IF($C48="","",MAX(0,ROUND(N($K48)-N($V48),2)))</f>
        <v/>
      </c>
      <c r="X48" s="40" t="str">
        <f aca="false">IF($C48="","",ROUND(SUMIFS(应收净额,应收键,$D48,应收行号,"&lt;="&amp;ROW()),2))</f>
        <v/>
      </c>
      <c r="Y48" s="29" t="str">
        <f aca="false">IF($C48="","",ROW())</f>
        <v/>
      </c>
    </row>
    <row r="49" customFormat="false" ht="15" hidden="false" customHeight="false" outlineLevel="0" collapsed="false">
      <c r="A49" s="29" t="str">
        <f aca="false">IF($C49="","",ROW()-4)</f>
        <v/>
      </c>
      <c r="B49" s="35" t="str">
        <f aca="false">IF($C49="","","YS"&amp;TEXT($C49,"yyyymm")&amp;"-"&amp;TEXT(ROW()-4,"0000"))</f>
        <v/>
      </c>
      <c r="C49" s="33"/>
      <c r="D49" s="24"/>
      <c r="E49" s="30" t="str">
        <f aca="false">IF($D49="","",IFERROR(INDEX(合同单位,MATCH($D49,合同键,0)),IFERROR(TRIM(LEFT($D49,FIND("｜",$D49)-1)),$D49)))</f>
        <v/>
      </c>
      <c r="F49" s="30" t="str">
        <f aca="false">IF($D49="","",IFERROR(INDEX(合同项目,MATCH($D49,合同键,0)),IFERROR(TRIM(MID($D49,FIND("｜",$D49)+1,99)),"")))</f>
        <v/>
      </c>
      <c r="G49" s="24"/>
      <c r="H49" s="35" t="str">
        <f aca="false">IF($G49="","",IFERROR(INDEX(费用款别,MATCH($G49,费用类别表,0)),"合同外款"))</f>
        <v/>
      </c>
      <c r="I49" s="33"/>
      <c r="J49" s="33"/>
      <c r="K49" s="39"/>
      <c r="L49" s="33"/>
      <c r="M49" s="25"/>
      <c r="N49" s="39"/>
      <c r="O49" s="35" t="str">
        <f aca="false">IF($C49="","",IF(N($N49)&lt;=0,"未开票",IF(ROUND(N($N49)-N($K49),2)&gt;=0,"已开票",IFERROR("部分开票 "&amp;TEXT(N($N49)/N($K49),"0%"),"部分开票"))))</f>
        <v/>
      </c>
      <c r="P49" s="40" t="str">
        <f aca="false">IF($C49="","",ROUND($V49+MIN($W49,MAX(0,(SUMIF(收款键,$D49,收款金额)-SUMIFS(收款金额,收款键,$D49,收款关联,"&lt;&gt;"))-($X49-$W49))),2))</f>
        <v/>
      </c>
      <c r="Q49" s="41" t="str">
        <f aca="false">IF($C49="","",ROUND(N($K49)-N($P49),2))</f>
        <v/>
      </c>
      <c r="R49" s="29" t="str">
        <f aca="false">IF($C49="","",YEAR($C49))</f>
        <v/>
      </c>
      <c r="S49" s="24"/>
      <c r="T49" s="35" t="str">
        <f aca="false">IF($C49="","",IF($D49="","★没选客户项目",IF(COUNTIF(合同键,$D49)=0,"★《维保合同》里没这个项目",IF(N($K49)&lt;=0,"★应收金额要填",IF(ROUND(N($N49)-N($K49),2)&gt;0.001,"★开票金额大于应收",IF(AND($L49&lt;&gt;"",N($N49)&lt;=0),"★填了开票日期没填开票金额",IF(AND($I49&lt;&gt;"",$J49&lt;&gt;"",$J49&lt;$I49),"★计费期间起止反了","OK")))))))</f>
        <v/>
      </c>
      <c r="U49" s="29" t="str">
        <f aca="false">IF($L49="","",YEAR($L49))</f>
        <v/>
      </c>
      <c r="V49" s="40" t="str">
        <f aca="false">IF($C49="","",ROUND(SUMIF(收款关联,$B49,收款金额),2))</f>
        <v/>
      </c>
      <c r="W49" s="40" t="str">
        <f aca="false">IF($C49="","",MAX(0,ROUND(N($K49)-N($V49),2)))</f>
        <v/>
      </c>
      <c r="X49" s="40" t="str">
        <f aca="false">IF($C49="","",ROUND(SUMIFS(应收净额,应收键,$D49,应收行号,"&lt;="&amp;ROW()),2))</f>
        <v/>
      </c>
      <c r="Y49" s="29" t="str">
        <f aca="false">IF($C49="","",ROW())</f>
        <v/>
      </c>
    </row>
    <row r="50" customFormat="false" ht="15" hidden="false" customHeight="false" outlineLevel="0" collapsed="false">
      <c r="A50" s="29" t="str">
        <f aca="false">IF($C50="","",ROW()-4)</f>
        <v/>
      </c>
      <c r="B50" s="35" t="str">
        <f aca="false">IF($C50="","","YS"&amp;TEXT($C50,"yyyymm")&amp;"-"&amp;TEXT(ROW()-4,"0000"))</f>
        <v/>
      </c>
      <c r="C50" s="33"/>
      <c r="D50" s="24"/>
      <c r="E50" s="30" t="str">
        <f aca="false">IF($D50="","",IFERROR(INDEX(合同单位,MATCH($D50,合同键,0)),IFERROR(TRIM(LEFT($D50,FIND("｜",$D50)-1)),$D50)))</f>
        <v/>
      </c>
      <c r="F50" s="30" t="str">
        <f aca="false">IF($D50="","",IFERROR(INDEX(合同项目,MATCH($D50,合同键,0)),IFERROR(TRIM(MID($D50,FIND("｜",$D50)+1,99)),"")))</f>
        <v/>
      </c>
      <c r="G50" s="24"/>
      <c r="H50" s="35" t="str">
        <f aca="false">IF($G50="","",IFERROR(INDEX(费用款别,MATCH($G50,费用类别表,0)),"合同外款"))</f>
        <v/>
      </c>
      <c r="I50" s="33"/>
      <c r="J50" s="33"/>
      <c r="K50" s="39"/>
      <c r="L50" s="33"/>
      <c r="M50" s="25"/>
      <c r="N50" s="39"/>
      <c r="O50" s="35" t="str">
        <f aca="false">IF($C50="","",IF(N($N50)&lt;=0,"未开票",IF(ROUND(N($N50)-N($K50),2)&gt;=0,"已开票",IFERROR("部分开票 "&amp;TEXT(N($N50)/N($K50),"0%"),"部分开票"))))</f>
        <v/>
      </c>
      <c r="P50" s="40" t="str">
        <f aca="false">IF($C50="","",ROUND($V50+MIN($W50,MAX(0,(SUMIF(收款键,$D50,收款金额)-SUMIFS(收款金额,收款键,$D50,收款关联,"&lt;&gt;"))-($X50-$W50))),2))</f>
        <v/>
      </c>
      <c r="Q50" s="41" t="str">
        <f aca="false">IF($C50="","",ROUND(N($K50)-N($P50),2))</f>
        <v/>
      </c>
      <c r="R50" s="29" t="str">
        <f aca="false">IF($C50="","",YEAR($C50))</f>
        <v/>
      </c>
      <c r="S50" s="24"/>
      <c r="T50" s="35" t="str">
        <f aca="false">IF($C50="","",IF($D50="","★没选客户项目",IF(COUNTIF(合同键,$D50)=0,"★《维保合同》里没这个项目",IF(N($K50)&lt;=0,"★应收金额要填",IF(ROUND(N($N50)-N($K50),2)&gt;0.001,"★开票金额大于应收",IF(AND($L50&lt;&gt;"",N($N50)&lt;=0),"★填了开票日期没填开票金额",IF(AND($I50&lt;&gt;"",$J50&lt;&gt;"",$J50&lt;$I50),"★计费期间起止反了","OK")))))))</f>
        <v/>
      </c>
      <c r="U50" s="29" t="str">
        <f aca="false">IF($L50="","",YEAR($L50))</f>
        <v/>
      </c>
      <c r="V50" s="40" t="str">
        <f aca="false">IF($C50="","",ROUND(SUMIF(收款关联,$B50,收款金额),2))</f>
        <v/>
      </c>
      <c r="W50" s="40" t="str">
        <f aca="false">IF($C50="","",MAX(0,ROUND(N($K50)-N($V50),2)))</f>
        <v/>
      </c>
      <c r="X50" s="40" t="str">
        <f aca="false">IF($C50="","",ROUND(SUMIFS(应收净额,应收键,$D50,应收行号,"&lt;="&amp;ROW()),2))</f>
        <v/>
      </c>
      <c r="Y50" s="29" t="str">
        <f aca="false">IF($C50="","",ROW())</f>
        <v/>
      </c>
    </row>
    <row r="51" customFormat="false" ht="15" hidden="false" customHeight="false" outlineLevel="0" collapsed="false">
      <c r="A51" s="29" t="str">
        <f aca="false">IF($C51="","",ROW()-4)</f>
        <v/>
      </c>
      <c r="B51" s="35" t="str">
        <f aca="false">IF($C51="","","YS"&amp;TEXT($C51,"yyyymm")&amp;"-"&amp;TEXT(ROW()-4,"0000"))</f>
        <v/>
      </c>
      <c r="C51" s="33"/>
      <c r="D51" s="24"/>
      <c r="E51" s="30" t="str">
        <f aca="false">IF($D51="","",IFERROR(INDEX(合同单位,MATCH($D51,合同键,0)),IFERROR(TRIM(LEFT($D51,FIND("｜",$D51)-1)),$D51)))</f>
        <v/>
      </c>
      <c r="F51" s="30" t="str">
        <f aca="false">IF($D51="","",IFERROR(INDEX(合同项目,MATCH($D51,合同键,0)),IFERROR(TRIM(MID($D51,FIND("｜",$D51)+1,99)),"")))</f>
        <v/>
      </c>
      <c r="G51" s="24"/>
      <c r="H51" s="35" t="str">
        <f aca="false">IF($G51="","",IFERROR(INDEX(费用款别,MATCH($G51,费用类别表,0)),"合同外款"))</f>
        <v/>
      </c>
      <c r="I51" s="33"/>
      <c r="J51" s="33"/>
      <c r="K51" s="39"/>
      <c r="L51" s="33"/>
      <c r="M51" s="25"/>
      <c r="N51" s="39"/>
      <c r="O51" s="35" t="str">
        <f aca="false">IF($C51="","",IF(N($N51)&lt;=0,"未开票",IF(ROUND(N($N51)-N($K51),2)&gt;=0,"已开票",IFERROR("部分开票 "&amp;TEXT(N($N51)/N($K51),"0%"),"部分开票"))))</f>
        <v/>
      </c>
      <c r="P51" s="40" t="str">
        <f aca="false">IF($C51="","",ROUND($V51+MIN($W51,MAX(0,(SUMIF(收款键,$D51,收款金额)-SUMIFS(收款金额,收款键,$D51,收款关联,"&lt;&gt;"))-($X51-$W51))),2))</f>
        <v/>
      </c>
      <c r="Q51" s="41" t="str">
        <f aca="false">IF($C51="","",ROUND(N($K51)-N($P51),2))</f>
        <v/>
      </c>
      <c r="R51" s="29" t="str">
        <f aca="false">IF($C51="","",YEAR($C51))</f>
        <v/>
      </c>
      <c r="S51" s="24"/>
      <c r="T51" s="35" t="str">
        <f aca="false">IF($C51="","",IF($D51="","★没选客户项目",IF(COUNTIF(合同键,$D51)=0,"★《维保合同》里没这个项目",IF(N($K51)&lt;=0,"★应收金额要填",IF(ROUND(N($N51)-N($K51),2)&gt;0.001,"★开票金额大于应收",IF(AND($L51&lt;&gt;"",N($N51)&lt;=0),"★填了开票日期没填开票金额",IF(AND($I51&lt;&gt;"",$J51&lt;&gt;"",$J51&lt;$I51),"★计费期间起止反了","OK")))))))</f>
        <v/>
      </c>
      <c r="U51" s="29" t="str">
        <f aca="false">IF($L51="","",YEAR($L51))</f>
        <v/>
      </c>
      <c r="V51" s="40" t="str">
        <f aca="false">IF($C51="","",ROUND(SUMIF(收款关联,$B51,收款金额),2))</f>
        <v/>
      </c>
      <c r="W51" s="40" t="str">
        <f aca="false">IF($C51="","",MAX(0,ROUND(N($K51)-N($V51),2)))</f>
        <v/>
      </c>
      <c r="X51" s="40" t="str">
        <f aca="false">IF($C51="","",ROUND(SUMIFS(应收净额,应收键,$D51,应收行号,"&lt;="&amp;ROW()),2))</f>
        <v/>
      </c>
      <c r="Y51" s="29" t="str">
        <f aca="false">IF($C51="","",ROW())</f>
        <v/>
      </c>
    </row>
    <row r="52" customFormat="false" ht="15" hidden="false" customHeight="false" outlineLevel="0" collapsed="false">
      <c r="A52" s="29" t="str">
        <f aca="false">IF($C52="","",ROW()-4)</f>
        <v/>
      </c>
      <c r="B52" s="35" t="str">
        <f aca="false">IF($C52="","","YS"&amp;TEXT($C52,"yyyymm")&amp;"-"&amp;TEXT(ROW()-4,"0000"))</f>
        <v/>
      </c>
      <c r="C52" s="33"/>
      <c r="D52" s="24"/>
      <c r="E52" s="30" t="str">
        <f aca="false">IF($D52="","",IFERROR(INDEX(合同单位,MATCH($D52,合同键,0)),IFERROR(TRIM(LEFT($D52,FIND("｜",$D52)-1)),$D52)))</f>
        <v/>
      </c>
      <c r="F52" s="30" t="str">
        <f aca="false">IF($D52="","",IFERROR(INDEX(合同项目,MATCH($D52,合同键,0)),IFERROR(TRIM(MID($D52,FIND("｜",$D52)+1,99)),"")))</f>
        <v/>
      </c>
      <c r="G52" s="24"/>
      <c r="H52" s="35" t="str">
        <f aca="false">IF($G52="","",IFERROR(INDEX(费用款别,MATCH($G52,费用类别表,0)),"合同外款"))</f>
        <v/>
      </c>
      <c r="I52" s="33"/>
      <c r="J52" s="33"/>
      <c r="K52" s="39"/>
      <c r="L52" s="33"/>
      <c r="M52" s="25"/>
      <c r="N52" s="39"/>
      <c r="O52" s="35" t="str">
        <f aca="false">IF($C52="","",IF(N($N52)&lt;=0,"未开票",IF(ROUND(N($N52)-N($K52),2)&gt;=0,"已开票",IFERROR("部分开票 "&amp;TEXT(N($N52)/N($K52),"0%"),"部分开票"))))</f>
        <v/>
      </c>
      <c r="P52" s="40" t="str">
        <f aca="false">IF($C52="","",ROUND($V52+MIN($W52,MAX(0,(SUMIF(收款键,$D52,收款金额)-SUMIFS(收款金额,收款键,$D52,收款关联,"&lt;&gt;"))-($X52-$W52))),2))</f>
        <v/>
      </c>
      <c r="Q52" s="41" t="str">
        <f aca="false">IF($C52="","",ROUND(N($K52)-N($P52),2))</f>
        <v/>
      </c>
      <c r="R52" s="29" t="str">
        <f aca="false">IF($C52="","",YEAR($C52))</f>
        <v/>
      </c>
      <c r="S52" s="24"/>
      <c r="T52" s="35" t="str">
        <f aca="false">IF($C52="","",IF($D52="","★没选客户项目",IF(COUNTIF(合同键,$D52)=0,"★《维保合同》里没这个项目",IF(N($K52)&lt;=0,"★应收金额要填",IF(ROUND(N($N52)-N($K52),2)&gt;0.001,"★开票金额大于应收",IF(AND($L52&lt;&gt;"",N($N52)&lt;=0),"★填了开票日期没填开票金额",IF(AND($I52&lt;&gt;"",$J52&lt;&gt;"",$J52&lt;$I52),"★计费期间起止反了","OK")))))))</f>
        <v/>
      </c>
      <c r="U52" s="29" t="str">
        <f aca="false">IF($L52="","",YEAR($L52))</f>
        <v/>
      </c>
      <c r="V52" s="40" t="str">
        <f aca="false">IF($C52="","",ROUND(SUMIF(收款关联,$B52,收款金额),2))</f>
        <v/>
      </c>
      <c r="W52" s="40" t="str">
        <f aca="false">IF($C52="","",MAX(0,ROUND(N($K52)-N($V52),2)))</f>
        <v/>
      </c>
      <c r="X52" s="40" t="str">
        <f aca="false">IF($C52="","",ROUND(SUMIFS(应收净额,应收键,$D52,应收行号,"&lt;="&amp;ROW()),2))</f>
        <v/>
      </c>
      <c r="Y52" s="29" t="str">
        <f aca="false">IF($C52="","",ROW())</f>
        <v/>
      </c>
    </row>
    <row r="53" customFormat="false" ht="15" hidden="false" customHeight="false" outlineLevel="0" collapsed="false">
      <c r="A53" s="29" t="str">
        <f aca="false">IF($C53="","",ROW()-4)</f>
        <v/>
      </c>
      <c r="B53" s="35" t="str">
        <f aca="false">IF($C53="","","YS"&amp;TEXT($C53,"yyyymm")&amp;"-"&amp;TEXT(ROW()-4,"0000"))</f>
        <v/>
      </c>
      <c r="C53" s="33"/>
      <c r="D53" s="24"/>
      <c r="E53" s="30" t="str">
        <f aca="false">IF($D53="","",IFERROR(INDEX(合同单位,MATCH($D53,合同键,0)),IFERROR(TRIM(LEFT($D53,FIND("｜",$D53)-1)),$D53)))</f>
        <v/>
      </c>
      <c r="F53" s="30" t="str">
        <f aca="false">IF($D53="","",IFERROR(INDEX(合同项目,MATCH($D53,合同键,0)),IFERROR(TRIM(MID($D53,FIND("｜",$D53)+1,99)),"")))</f>
        <v/>
      </c>
      <c r="G53" s="24"/>
      <c r="H53" s="35" t="str">
        <f aca="false">IF($G53="","",IFERROR(INDEX(费用款别,MATCH($G53,费用类别表,0)),"合同外款"))</f>
        <v/>
      </c>
      <c r="I53" s="33"/>
      <c r="J53" s="33"/>
      <c r="K53" s="39"/>
      <c r="L53" s="33"/>
      <c r="M53" s="25"/>
      <c r="N53" s="39"/>
      <c r="O53" s="35" t="str">
        <f aca="false">IF($C53="","",IF(N($N53)&lt;=0,"未开票",IF(ROUND(N($N53)-N($K53),2)&gt;=0,"已开票",IFERROR("部分开票 "&amp;TEXT(N($N53)/N($K53),"0%"),"部分开票"))))</f>
        <v/>
      </c>
      <c r="P53" s="40" t="str">
        <f aca="false">IF($C53="","",ROUND($V53+MIN($W53,MAX(0,(SUMIF(收款键,$D53,收款金额)-SUMIFS(收款金额,收款键,$D53,收款关联,"&lt;&gt;"))-($X53-$W53))),2))</f>
        <v/>
      </c>
      <c r="Q53" s="41" t="str">
        <f aca="false">IF($C53="","",ROUND(N($K53)-N($P53),2))</f>
        <v/>
      </c>
      <c r="R53" s="29" t="str">
        <f aca="false">IF($C53="","",YEAR($C53))</f>
        <v/>
      </c>
      <c r="S53" s="24"/>
      <c r="T53" s="35" t="str">
        <f aca="false">IF($C53="","",IF($D53="","★没选客户项目",IF(COUNTIF(合同键,$D53)=0,"★《维保合同》里没这个项目",IF(N($K53)&lt;=0,"★应收金额要填",IF(ROUND(N($N53)-N($K53),2)&gt;0.001,"★开票金额大于应收",IF(AND($L53&lt;&gt;"",N($N53)&lt;=0),"★填了开票日期没填开票金额",IF(AND($I53&lt;&gt;"",$J53&lt;&gt;"",$J53&lt;$I53),"★计费期间起止反了","OK")))))))</f>
        <v/>
      </c>
      <c r="U53" s="29" t="str">
        <f aca="false">IF($L53="","",YEAR($L53))</f>
        <v/>
      </c>
      <c r="V53" s="40" t="str">
        <f aca="false">IF($C53="","",ROUND(SUMIF(收款关联,$B53,收款金额),2))</f>
        <v/>
      </c>
      <c r="W53" s="40" t="str">
        <f aca="false">IF($C53="","",MAX(0,ROUND(N($K53)-N($V53),2)))</f>
        <v/>
      </c>
      <c r="X53" s="40" t="str">
        <f aca="false">IF($C53="","",ROUND(SUMIFS(应收净额,应收键,$D53,应收行号,"&lt;="&amp;ROW()),2))</f>
        <v/>
      </c>
      <c r="Y53" s="29" t="str">
        <f aca="false">IF($C53="","",ROW())</f>
        <v/>
      </c>
    </row>
    <row r="54" customFormat="false" ht="15" hidden="false" customHeight="false" outlineLevel="0" collapsed="false">
      <c r="A54" s="29" t="str">
        <f aca="false">IF($C54="","",ROW()-4)</f>
        <v/>
      </c>
      <c r="B54" s="35" t="str">
        <f aca="false">IF($C54="","","YS"&amp;TEXT($C54,"yyyymm")&amp;"-"&amp;TEXT(ROW()-4,"0000"))</f>
        <v/>
      </c>
      <c r="C54" s="33"/>
      <c r="D54" s="24"/>
      <c r="E54" s="30" t="str">
        <f aca="false">IF($D54="","",IFERROR(INDEX(合同单位,MATCH($D54,合同键,0)),IFERROR(TRIM(LEFT($D54,FIND("｜",$D54)-1)),$D54)))</f>
        <v/>
      </c>
      <c r="F54" s="30" t="str">
        <f aca="false">IF($D54="","",IFERROR(INDEX(合同项目,MATCH($D54,合同键,0)),IFERROR(TRIM(MID($D54,FIND("｜",$D54)+1,99)),"")))</f>
        <v/>
      </c>
      <c r="G54" s="24"/>
      <c r="H54" s="35" t="str">
        <f aca="false">IF($G54="","",IFERROR(INDEX(费用款别,MATCH($G54,费用类别表,0)),"合同外款"))</f>
        <v/>
      </c>
      <c r="I54" s="33"/>
      <c r="J54" s="33"/>
      <c r="K54" s="39"/>
      <c r="L54" s="33"/>
      <c r="M54" s="25"/>
      <c r="N54" s="39"/>
      <c r="O54" s="35" t="str">
        <f aca="false">IF($C54="","",IF(N($N54)&lt;=0,"未开票",IF(ROUND(N($N54)-N($K54),2)&gt;=0,"已开票",IFERROR("部分开票 "&amp;TEXT(N($N54)/N($K54),"0%"),"部分开票"))))</f>
        <v/>
      </c>
      <c r="P54" s="40" t="str">
        <f aca="false">IF($C54="","",ROUND($V54+MIN($W54,MAX(0,(SUMIF(收款键,$D54,收款金额)-SUMIFS(收款金额,收款键,$D54,收款关联,"&lt;&gt;"))-($X54-$W54))),2))</f>
        <v/>
      </c>
      <c r="Q54" s="41" t="str">
        <f aca="false">IF($C54="","",ROUND(N($K54)-N($P54),2))</f>
        <v/>
      </c>
      <c r="R54" s="29" t="str">
        <f aca="false">IF($C54="","",YEAR($C54))</f>
        <v/>
      </c>
      <c r="S54" s="24"/>
      <c r="T54" s="35" t="str">
        <f aca="false">IF($C54="","",IF($D54="","★没选客户项目",IF(COUNTIF(合同键,$D54)=0,"★《维保合同》里没这个项目",IF(N($K54)&lt;=0,"★应收金额要填",IF(ROUND(N($N54)-N($K54),2)&gt;0.001,"★开票金额大于应收",IF(AND($L54&lt;&gt;"",N($N54)&lt;=0),"★填了开票日期没填开票金额",IF(AND($I54&lt;&gt;"",$J54&lt;&gt;"",$J54&lt;$I54),"★计费期间起止反了","OK")))))))</f>
        <v/>
      </c>
      <c r="U54" s="29" t="str">
        <f aca="false">IF($L54="","",YEAR($L54))</f>
        <v/>
      </c>
      <c r="V54" s="40" t="str">
        <f aca="false">IF($C54="","",ROUND(SUMIF(收款关联,$B54,收款金额),2))</f>
        <v/>
      </c>
      <c r="W54" s="40" t="str">
        <f aca="false">IF($C54="","",MAX(0,ROUND(N($K54)-N($V54),2)))</f>
        <v/>
      </c>
      <c r="X54" s="40" t="str">
        <f aca="false">IF($C54="","",ROUND(SUMIFS(应收净额,应收键,$D54,应收行号,"&lt;="&amp;ROW()),2))</f>
        <v/>
      </c>
      <c r="Y54" s="29" t="str">
        <f aca="false">IF($C54="","",ROW())</f>
        <v/>
      </c>
    </row>
    <row r="55" customFormat="false" ht="15" hidden="false" customHeight="false" outlineLevel="0" collapsed="false">
      <c r="A55" s="29" t="str">
        <f aca="false">IF($C55="","",ROW()-4)</f>
        <v/>
      </c>
      <c r="B55" s="35" t="str">
        <f aca="false">IF($C55="","","YS"&amp;TEXT($C55,"yyyymm")&amp;"-"&amp;TEXT(ROW()-4,"0000"))</f>
        <v/>
      </c>
      <c r="C55" s="33"/>
      <c r="D55" s="24"/>
      <c r="E55" s="30" t="str">
        <f aca="false">IF($D55="","",IFERROR(INDEX(合同单位,MATCH($D55,合同键,0)),IFERROR(TRIM(LEFT($D55,FIND("｜",$D55)-1)),$D55)))</f>
        <v/>
      </c>
      <c r="F55" s="30" t="str">
        <f aca="false">IF($D55="","",IFERROR(INDEX(合同项目,MATCH($D55,合同键,0)),IFERROR(TRIM(MID($D55,FIND("｜",$D55)+1,99)),"")))</f>
        <v/>
      </c>
      <c r="G55" s="24"/>
      <c r="H55" s="35" t="str">
        <f aca="false">IF($G55="","",IFERROR(INDEX(费用款别,MATCH($G55,费用类别表,0)),"合同外款"))</f>
        <v/>
      </c>
      <c r="I55" s="33"/>
      <c r="J55" s="33"/>
      <c r="K55" s="39"/>
      <c r="L55" s="33"/>
      <c r="M55" s="25"/>
      <c r="N55" s="39"/>
      <c r="O55" s="35" t="str">
        <f aca="false">IF($C55="","",IF(N($N55)&lt;=0,"未开票",IF(ROUND(N($N55)-N($K55),2)&gt;=0,"已开票",IFERROR("部分开票 "&amp;TEXT(N($N55)/N($K55),"0%"),"部分开票"))))</f>
        <v/>
      </c>
      <c r="P55" s="40" t="str">
        <f aca="false">IF($C55="","",ROUND($V55+MIN($W55,MAX(0,(SUMIF(收款键,$D55,收款金额)-SUMIFS(收款金额,收款键,$D55,收款关联,"&lt;&gt;"))-($X55-$W55))),2))</f>
        <v/>
      </c>
      <c r="Q55" s="41" t="str">
        <f aca="false">IF($C55="","",ROUND(N($K55)-N($P55),2))</f>
        <v/>
      </c>
      <c r="R55" s="29" t="str">
        <f aca="false">IF($C55="","",YEAR($C55))</f>
        <v/>
      </c>
      <c r="S55" s="24"/>
      <c r="T55" s="35" t="str">
        <f aca="false">IF($C55="","",IF($D55="","★没选客户项目",IF(COUNTIF(合同键,$D55)=0,"★《维保合同》里没这个项目",IF(N($K55)&lt;=0,"★应收金额要填",IF(ROUND(N($N55)-N($K55),2)&gt;0.001,"★开票金额大于应收",IF(AND($L55&lt;&gt;"",N($N55)&lt;=0),"★填了开票日期没填开票金额",IF(AND($I55&lt;&gt;"",$J55&lt;&gt;"",$J55&lt;$I55),"★计费期间起止反了","OK")))))))</f>
        <v/>
      </c>
      <c r="U55" s="29" t="str">
        <f aca="false">IF($L55="","",YEAR($L55))</f>
        <v/>
      </c>
      <c r="V55" s="40" t="str">
        <f aca="false">IF($C55="","",ROUND(SUMIF(收款关联,$B55,收款金额),2))</f>
        <v/>
      </c>
      <c r="W55" s="40" t="str">
        <f aca="false">IF($C55="","",MAX(0,ROUND(N($K55)-N($V55),2)))</f>
        <v/>
      </c>
      <c r="X55" s="40" t="str">
        <f aca="false">IF($C55="","",ROUND(SUMIFS(应收净额,应收键,$D55,应收行号,"&lt;="&amp;ROW()),2))</f>
        <v/>
      </c>
      <c r="Y55" s="29" t="str">
        <f aca="false">IF($C55="","",ROW())</f>
        <v/>
      </c>
    </row>
    <row r="56" customFormat="false" ht="15" hidden="false" customHeight="false" outlineLevel="0" collapsed="false">
      <c r="A56" s="29" t="str">
        <f aca="false">IF($C56="","",ROW()-4)</f>
        <v/>
      </c>
      <c r="B56" s="35" t="str">
        <f aca="false">IF($C56="","","YS"&amp;TEXT($C56,"yyyymm")&amp;"-"&amp;TEXT(ROW()-4,"0000"))</f>
        <v/>
      </c>
      <c r="C56" s="33"/>
      <c r="D56" s="24"/>
      <c r="E56" s="30" t="str">
        <f aca="false">IF($D56="","",IFERROR(INDEX(合同单位,MATCH($D56,合同键,0)),IFERROR(TRIM(LEFT($D56,FIND("｜",$D56)-1)),$D56)))</f>
        <v/>
      </c>
      <c r="F56" s="30" t="str">
        <f aca="false">IF($D56="","",IFERROR(INDEX(合同项目,MATCH($D56,合同键,0)),IFERROR(TRIM(MID($D56,FIND("｜",$D56)+1,99)),"")))</f>
        <v/>
      </c>
      <c r="G56" s="24"/>
      <c r="H56" s="35" t="str">
        <f aca="false">IF($G56="","",IFERROR(INDEX(费用款别,MATCH($G56,费用类别表,0)),"合同外款"))</f>
        <v/>
      </c>
      <c r="I56" s="33"/>
      <c r="J56" s="33"/>
      <c r="K56" s="39"/>
      <c r="L56" s="33"/>
      <c r="M56" s="25"/>
      <c r="N56" s="39"/>
      <c r="O56" s="35" t="str">
        <f aca="false">IF($C56="","",IF(N($N56)&lt;=0,"未开票",IF(ROUND(N($N56)-N($K56),2)&gt;=0,"已开票",IFERROR("部分开票 "&amp;TEXT(N($N56)/N($K56),"0%"),"部分开票"))))</f>
        <v/>
      </c>
      <c r="P56" s="40" t="str">
        <f aca="false">IF($C56="","",ROUND($V56+MIN($W56,MAX(0,(SUMIF(收款键,$D56,收款金额)-SUMIFS(收款金额,收款键,$D56,收款关联,"&lt;&gt;"))-($X56-$W56))),2))</f>
        <v/>
      </c>
      <c r="Q56" s="41" t="str">
        <f aca="false">IF($C56="","",ROUND(N($K56)-N($P56),2))</f>
        <v/>
      </c>
      <c r="R56" s="29" t="str">
        <f aca="false">IF($C56="","",YEAR($C56))</f>
        <v/>
      </c>
      <c r="S56" s="24"/>
      <c r="T56" s="35" t="str">
        <f aca="false">IF($C56="","",IF($D56="","★没选客户项目",IF(COUNTIF(合同键,$D56)=0,"★《维保合同》里没这个项目",IF(N($K56)&lt;=0,"★应收金额要填",IF(ROUND(N($N56)-N($K56),2)&gt;0.001,"★开票金额大于应收",IF(AND($L56&lt;&gt;"",N($N56)&lt;=0),"★填了开票日期没填开票金额",IF(AND($I56&lt;&gt;"",$J56&lt;&gt;"",$J56&lt;$I56),"★计费期间起止反了","OK")))))))</f>
        <v/>
      </c>
      <c r="U56" s="29" t="str">
        <f aca="false">IF($L56="","",YEAR($L56))</f>
        <v/>
      </c>
      <c r="V56" s="40" t="str">
        <f aca="false">IF($C56="","",ROUND(SUMIF(收款关联,$B56,收款金额),2))</f>
        <v/>
      </c>
      <c r="W56" s="40" t="str">
        <f aca="false">IF($C56="","",MAX(0,ROUND(N($K56)-N($V56),2)))</f>
        <v/>
      </c>
      <c r="X56" s="40" t="str">
        <f aca="false">IF($C56="","",ROUND(SUMIFS(应收净额,应收键,$D56,应收行号,"&lt;="&amp;ROW()),2))</f>
        <v/>
      </c>
      <c r="Y56" s="29" t="str">
        <f aca="false">IF($C56="","",ROW())</f>
        <v/>
      </c>
    </row>
    <row r="57" customFormat="false" ht="15" hidden="false" customHeight="false" outlineLevel="0" collapsed="false">
      <c r="A57" s="29" t="str">
        <f aca="false">IF($C57="","",ROW()-4)</f>
        <v/>
      </c>
      <c r="B57" s="35" t="str">
        <f aca="false">IF($C57="","","YS"&amp;TEXT($C57,"yyyymm")&amp;"-"&amp;TEXT(ROW()-4,"0000"))</f>
        <v/>
      </c>
      <c r="C57" s="33"/>
      <c r="D57" s="24"/>
      <c r="E57" s="30" t="str">
        <f aca="false">IF($D57="","",IFERROR(INDEX(合同单位,MATCH($D57,合同键,0)),IFERROR(TRIM(LEFT($D57,FIND("｜",$D57)-1)),$D57)))</f>
        <v/>
      </c>
      <c r="F57" s="30" t="str">
        <f aca="false">IF($D57="","",IFERROR(INDEX(合同项目,MATCH($D57,合同键,0)),IFERROR(TRIM(MID($D57,FIND("｜",$D57)+1,99)),"")))</f>
        <v/>
      </c>
      <c r="G57" s="24"/>
      <c r="H57" s="35" t="str">
        <f aca="false">IF($G57="","",IFERROR(INDEX(费用款别,MATCH($G57,费用类别表,0)),"合同外款"))</f>
        <v/>
      </c>
      <c r="I57" s="33"/>
      <c r="J57" s="33"/>
      <c r="K57" s="39"/>
      <c r="L57" s="33"/>
      <c r="M57" s="25"/>
      <c r="N57" s="39"/>
      <c r="O57" s="35" t="str">
        <f aca="false">IF($C57="","",IF(N($N57)&lt;=0,"未开票",IF(ROUND(N($N57)-N($K57),2)&gt;=0,"已开票",IFERROR("部分开票 "&amp;TEXT(N($N57)/N($K57),"0%"),"部分开票"))))</f>
        <v/>
      </c>
      <c r="P57" s="40" t="str">
        <f aca="false">IF($C57="","",ROUND($V57+MIN($W57,MAX(0,(SUMIF(收款键,$D57,收款金额)-SUMIFS(收款金额,收款键,$D57,收款关联,"&lt;&gt;"))-($X57-$W57))),2))</f>
        <v/>
      </c>
      <c r="Q57" s="41" t="str">
        <f aca="false">IF($C57="","",ROUND(N($K57)-N($P57),2))</f>
        <v/>
      </c>
      <c r="R57" s="29" t="str">
        <f aca="false">IF($C57="","",YEAR($C57))</f>
        <v/>
      </c>
      <c r="S57" s="24"/>
      <c r="T57" s="35" t="str">
        <f aca="false">IF($C57="","",IF($D57="","★没选客户项目",IF(COUNTIF(合同键,$D57)=0,"★《维保合同》里没这个项目",IF(N($K57)&lt;=0,"★应收金额要填",IF(ROUND(N($N57)-N($K57),2)&gt;0.001,"★开票金额大于应收",IF(AND($L57&lt;&gt;"",N($N57)&lt;=0),"★填了开票日期没填开票金额",IF(AND($I57&lt;&gt;"",$J57&lt;&gt;"",$J57&lt;$I57),"★计费期间起止反了","OK")))))))</f>
        <v/>
      </c>
      <c r="U57" s="29" t="str">
        <f aca="false">IF($L57="","",YEAR($L57))</f>
        <v/>
      </c>
      <c r="V57" s="40" t="str">
        <f aca="false">IF($C57="","",ROUND(SUMIF(收款关联,$B57,收款金额),2))</f>
        <v/>
      </c>
      <c r="W57" s="40" t="str">
        <f aca="false">IF($C57="","",MAX(0,ROUND(N($K57)-N($V57),2)))</f>
        <v/>
      </c>
      <c r="X57" s="40" t="str">
        <f aca="false">IF($C57="","",ROUND(SUMIFS(应收净额,应收键,$D57,应收行号,"&lt;="&amp;ROW()),2))</f>
        <v/>
      </c>
      <c r="Y57" s="29" t="str">
        <f aca="false">IF($C57="","",ROW())</f>
        <v/>
      </c>
    </row>
    <row r="58" customFormat="false" ht="15" hidden="false" customHeight="false" outlineLevel="0" collapsed="false">
      <c r="A58" s="29" t="str">
        <f aca="false">IF($C58="","",ROW()-4)</f>
        <v/>
      </c>
      <c r="B58" s="35" t="str">
        <f aca="false">IF($C58="","","YS"&amp;TEXT($C58,"yyyymm")&amp;"-"&amp;TEXT(ROW()-4,"0000"))</f>
        <v/>
      </c>
      <c r="C58" s="33"/>
      <c r="D58" s="24"/>
      <c r="E58" s="30" t="str">
        <f aca="false">IF($D58="","",IFERROR(INDEX(合同单位,MATCH($D58,合同键,0)),IFERROR(TRIM(LEFT($D58,FIND("｜",$D58)-1)),$D58)))</f>
        <v/>
      </c>
      <c r="F58" s="30" t="str">
        <f aca="false">IF($D58="","",IFERROR(INDEX(合同项目,MATCH($D58,合同键,0)),IFERROR(TRIM(MID($D58,FIND("｜",$D58)+1,99)),"")))</f>
        <v/>
      </c>
      <c r="G58" s="24"/>
      <c r="H58" s="35" t="str">
        <f aca="false">IF($G58="","",IFERROR(INDEX(费用款别,MATCH($G58,费用类别表,0)),"合同外款"))</f>
        <v/>
      </c>
      <c r="I58" s="33"/>
      <c r="J58" s="33"/>
      <c r="K58" s="39"/>
      <c r="L58" s="33"/>
      <c r="M58" s="25"/>
      <c r="N58" s="39"/>
      <c r="O58" s="35" t="str">
        <f aca="false">IF($C58="","",IF(N($N58)&lt;=0,"未开票",IF(ROUND(N($N58)-N($K58),2)&gt;=0,"已开票",IFERROR("部分开票 "&amp;TEXT(N($N58)/N($K58),"0%"),"部分开票"))))</f>
        <v/>
      </c>
      <c r="P58" s="40" t="str">
        <f aca="false">IF($C58="","",ROUND($V58+MIN($W58,MAX(0,(SUMIF(收款键,$D58,收款金额)-SUMIFS(收款金额,收款键,$D58,收款关联,"&lt;&gt;"))-($X58-$W58))),2))</f>
        <v/>
      </c>
      <c r="Q58" s="41" t="str">
        <f aca="false">IF($C58="","",ROUND(N($K58)-N($P58),2))</f>
        <v/>
      </c>
      <c r="R58" s="29" t="str">
        <f aca="false">IF($C58="","",YEAR($C58))</f>
        <v/>
      </c>
      <c r="S58" s="24"/>
      <c r="T58" s="35" t="str">
        <f aca="false">IF($C58="","",IF($D58="","★没选客户项目",IF(COUNTIF(合同键,$D58)=0,"★《维保合同》里没这个项目",IF(N($K58)&lt;=0,"★应收金额要填",IF(ROUND(N($N58)-N($K58),2)&gt;0.001,"★开票金额大于应收",IF(AND($L58&lt;&gt;"",N($N58)&lt;=0),"★填了开票日期没填开票金额",IF(AND($I58&lt;&gt;"",$J58&lt;&gt;"",$J58&lt;$I58),"★计费期间起止反了","OK")))))))</f>
        <v/>
      </c>
      <c r="U58" s="29" t="str">
        <f aca="false">IF($L58="","",YEAR($L58))</f>
        <v/>
      </c>
      <c r="V58" s="40" t="str">
        <f aca="false">IF($C58="","",ROUND(SUMIF(收款关联,$B58,收款金额),2))</f>
        <v/>
      </c>
      <c r="W58" s="40" t="str">
        <f aca="false">IF($C58="","",MAX(0,ROUND(N($K58)-N($V58),2)))</f>
        <v/>
      </c>
      <c r="X58" s="40" t="str">
        <f aca="false">IF($C58="","",ROUND(SUMIFS(应收净额,应收键,$D58,应收行号,"&lt;="&amp;ROW()),2))</f>
        <v/>
      </c>
      <c r="Y58" s="29" t="str">
        <f aca="false">IF($C58="","",ROW())</f>
        <v/>
      </c>
    </row>
    <row r="59" customFormat="false" ht="15" hidden="false" customHeight="false" outlineLevel="0" collapsed="false">
      <c r="A59" s="29" t="str">
        <f aca="false">IF($C59="","",ROW()-4)</f>
        <v/>
      </c>
      <c r="B59" s="35" t="str">
        <f aca="false">IF($C59="","","YS"&amp;TEXT($C59,"yyyymm")&amp;"-"&amp;TEXT(ROW()-4,"0000"))</f>
        <v/>
      </c>
      <c r="C59" s="33"/>
      <c r="D59" s="24"/>
      <c r="E59" s="30" t="str">
        <f aca="false">IF($D59="","",IFERROR(INDEX(合同单位,MATCH($D59,合同键,0)),IFERROR(TRIM(LEFT($D59,FIND("｜",$D59)-1)),$D59)))</f>
        <v/>
      </c>
      <c r="F59" s="30" t="str">
        <f aca="false">IF($D59="","",IFERROR(INDEX(合同项目,MATCH($D59,合同键,0)),IFERROR(TRIM(MID($D59,FIND("｜",$D59)+1,99)),"")))</f>
        <v/>
      </c>
      <c r="G59" s="24"/>
      <c r="H59" s="35" t="str">
        <f aca="false">IF($G59="","",IFERROR(INDEX(费用款别,MATCH($G59,费用类别表,0)),"合同外款"))</f>
        <v/>
      </c>
      <c r="I59" s="33"/>
      <c r="J59" s="33"/>
      <c r="K59" s="39"/>
      <c r="L59" s="33"/>
      <c r="M59" s="25"/>
      <c r="N59" s="39"/>
      <c r="O59" s="35" t="str">
        <f aca="false">IF($C59="","",IF(N($N59)&lt;=0,"未开票",IF(ROUND(N($N59)-N($K59),2)&gt;=0,"已开票",IFERROR("部分开票 "&amp;TEXT(N($N59)/N($K59),"0%"),"部分开票"))))</f>
        <v/>
      </c>
      <c r="P59" s="40" t="str">
        <f aca="false">IF($C59="","",ROUND($V59+MIN($W59,MAX(0,(SUMIF(收款键,$D59,收款金额)-SUMIFS(收款金额,收款键,$D59,收款关联,"&lt;&gt;"))-($X59-$W59))),2))</f>
        <v/>
      </c>
      <c r="Q59" s="41" t="str">
        <f aca="false">IF($C59="","",ROUND(N($K59)-N($P59),2))</f>
        <v/>
      </c>
      <c r="R59" s="29" t="str">
        <f aca="false">IF($C59="","",YEAR($C59))</f>
        <v/>
      </c>
      <c r="S59" s="24"/>
      <c r="T59" s="35" t="str">
        <f aca="false">IF($C59="","",IF($D59="","★没选客户项目",IF(COUNTIF(合同键,$D59)=0,"★《维保合同》里没这个项目",IF(N($K59)&lt;=0,"★应收金额要填",IF(ROUND(N($N59)-N($K59),2)&gt;0.001,"★开票金额大于应收",IF(AND($L59&lt;&gt;"",N($N59)&lt;=0),"★填了开票日期没填开票金额",IF(AND($I59&lt;&gt;"",$J59&lt;&gt;"",$J59&lt;$I59),"★计费期间起止反了","OK")))))))</f>
        <v/>
      </c>
      <c r="U59" s="29" t="str">
        <f aca="false">IF($L59="","",YEAR($L59))</f>
        <v/>
      </c>
      <c r="V59" s="40" t="str">
        <f aca="false">IF($C59="","",ROUND(SUMIF(收款关联,$B59,收款金额),2))</f>
        <v/>
      </c>
      <c r="W59" s="40" t="str">
        <f aca="false">IF($C59="","",MAX(0,ROUND(N($K59)-N($V59),2)))</f>
        <v/>
      </c>
      <c r="X59" s="40" t="str">
        <f aca="false">IF($C59="","",ROUND(SUMIFS(应收净额,应收键,$D59,应收行号,"&lt;="&amp;ROW()),2))</f>
        <v/>
      </c>
      <c r="Y59" s="29" t="str">
        <f aca="false">IF($C59="","",ROW())</f>
        <v/>
      </c>
    </row>
    <row r="60" customFormat="false" ht="15" hidden="false" customHeight="false" outlineLevel="0" collapsed="false">
      <c r="A60" s="29" t="str">
        <f aca="false">IF($C60="","",ROW()-4)</f>
        <v/>
      </c>
      <c r="B60" s="35" t="str">
        <f aca="false">IF($C60="","","YS"&amp;TEXT($C60,"yyyymm")&amp;"-"&amp;TEXT(ROW()-4,"0000"))</f>
        <v/>
      </c>
      <c r="C60" s="33"/>
      <c r="D60" s="24"/>
      <c r="E60" s="30" t="str">
        <f aca="false">IF($D60="","",IFERROR(INDEX(合同单位,MATCH($D60,合同键,0)),IFERROR(TRIM(LEFT($D60,FIND("｜",$D60)-1)),$D60)))</f>
        <v/>
      </c>
      <c r="F60" s="30" t="str">
        <f aca="false">IF($D60="","",IFERROR(INDEX(合同项目,MATCH($D60,合同键,0)),IFERROR(TRIM(MID($D60,FIND("｜",$D60)+1,99)),"")))</f>
        <v/>
      </c>
      <c r="G60" s="24"/>
      <c r="H60" s="35" t="str">
        <f aca="false">IF($G60="","",IFERROR(INDEX(费用款别,MATCH($G60,费用类别表,0)),"合同外款"))</f>
        <v/>
      </c>
      <c r="I60" s="33"/>
      <c r="J60" s="33"/>
      <c r="K60" s="39"/>
      <c r="L60" s="33"/>
      <c r="M60" s="25"/>
      <c r="N60" s="39"/>
      <c r="O60" s="35" t="str">
        <f aca="false">IF($C60="","",IF(N($N60)&lt;=0,"未开票",IF(ROUND(N($N60)-N($K60),2)&gt;=0,"已开票",IFERROR("部分开票 "&amp;TEXT(N($N60)/N($K60),"0%"),"部分开票"))))</f>
        <v/>
      </c>
      <c r="P60" s="40" t="str">
        <f aca="false">IF($C60="","",ROUND($V60+MIN($W60,MAX(0,(SUMIF(收款键,$D60,收款金额)-SUMIFS(收款金额,收款键,$D60,收款关联,"&lt;&gt;"))-($X60-$W60))),2))</f>
        <v/>
      </c>
      <c r="Q60" s="41" t="str">
        <f aca="false">IF($C60="","",ROUND(N($K60)-N($P60),2))</f>
        <v/>
      </c>
      <c r="R60" s="29" t="str">
        <f aca="false">IF($C60="","",YEAR($C60))</f>
        <v/>
      </c>
      <c r="S60" s="24"/>
      <c r="T60" s="35" t="str">
        <f aca="false">IF($C60="","",IF($D60="","★没选客户项目",IF(COUNTIF(合同键,$D60)=0,"★《维保合同》里没这个项目",IF(N($K60)&lt;=0,"★应收金额要填",IF(ROUND(N($N60)-N($K60),2)&gt;0.001,"★开票金额大于应收",IF(AND($L60&lt;&gt;"",N($N60)&lt;=0),"★填了开票日期没填开票金额",IF(AND($I60&lt;&gt;"",$J60&lt;&gt;"",$J60&lt;$I60),"★计费期间起止反了","OK")))))))</f>
        <v/>
      </c>
      <c r="U60" s="29" t="str">
        <f aca="false">IF($L60="","",YEAR($L60))</f>
        <v/>
      </c>
      <c r="V60" s="40" t="str">
        <f aca="false">IF($C60="","",ROUND(SUMIF(收款关联,$B60,收款金额),2))</f>
        <v/>
      </c>
      <c r="W60" s="40" t="str">
        <f aca="false">IF($C60="","",MAX(0,ROUND(N($K60)-N($V60),2)))</f>
        <v/>
      </c>
      <c r="X60" s="40" t="str">
        <f aca="false">IF($C60="","",ROUND(SUMIFS(应收净额,应收键,$D60,应收行号,"&lt;="&amp;ROW()),2))</f>
        <v/>
      </c>
      <c r="Y60" s="29" t="str">
        <f aca="false">IF($C60="","",ROW())</f>
        <v/>
      </c>
    </row>
    <row r="61" customFormat="false" ht="15" hidden="false" customHeight="false" outlineLevel="0" collapsed="false">
      <c r="A61" s="29" t="str">
        <f aca="false">IF($C61="","",ROW()-4)</f>
        <v/>
      </c>
      <c r="B61" s="35" t="str">
        <f aca="false">IF($C61="","","YS"&amp;TEXT($C61,"yyyymm")&amp;"-"&amp;TEXT(ROW()-4,"0000"))</f>
        <v/>
      </c>
      <c r="C61" s="33"/>
      <c r="D61" s="24"/>
      <c r="E61" s="30" t="str">
        <f aca="false">IF($D61="","",IFERROR(INDEX(合同单位,MATCH($D61,合同键,0)),IFERROR(TRIM(LEFT($D61,FIND("｜",$D61)-1)),$D61)))</f>
        <v/>
      </c>
      <c r="F61" s="30" t="str">
        <f aca="false">IF($D61="","",IFERROR(INDEX(合同项目,MATCH($D61,合同键,0)),IFERROR(TRIM(MID($D61,FIND("｜",$D61)+1,99)),"")))</f>
        <v/>
      </c>
      <c r="G61" s="24"/>
      <c r="H61" s="35" t="str">
        <f aca="false">IF($G61="","",IFERROR(INDEX(费用款别,MATCH($G61,费用类别表,0)),"合同外款"))</f>
        <v/>
      </c>
      <c r="I61" s="33"/>
      <c r="J61" s="33"/>
      <c r="K61" s="39"/>
      <c r="L61" s="33"/>
      <c r="M61" s="25"/>
      <c r="N61" s="39"/>
      <c r="O61" s="35" t="str">
        <f aca="false">IF($C61="","",IF(N($N61)&lt;=0,"未开票",IF(ROUND(N($N61)-N($K61),2)&gt;=0,"已开票",IFERROR("部分开票 "&amp;TEXT(N($N61)/N($K61),"0%"),"部分开票"))))</f>
        <v/>
      </c>
      <c r="P61" s="40" t="str">
        <f aca="false">IF($C61="","",ROUND($V61+MIN($W61,MAX(0,(SUMIF(收款键,$D61,收款金额)-SUMIFS(收款金额,收款键,$D61,收款关联,"&lt;&gt;"))-($X61-$W61))),2))</f>
        <v/>
      </c>
      <c r="Q61" s="41" t="str">
        <f aca="false">IF($C61="","",ROUND(N($K61)-N($P61),2))</f>
        <v/>
      </c>
      <c r="R61" s="29" t="str">
        <f aca="false">IF($C61="","",YEAR($C61))</f>
        <v/>
      </c>
      <c r="S61" s="24"/>
      <c r="T61" s="35" t="str">
        <f aca="false">IF($C61="","",IF($D61="","★没选客户项目",IF(COUNTIF(合同键,$D61)=0,"★《维保合同》里没这个项目",IF(N($K61)&lt;=0,"★应收金额要填",IF(ROUND(N($N61)-N($K61),2)&gt;0.001,"★开票金额大于应收",IF(AND($L61&lt;&gt;"",N($N61)&lt;=0),"★填了开票日期没填开票金额",IF(AND($I61&lt;&gt;"",$J61&lt;&gt;"",$J61&lt;$I61),"★计费期间起止反了","OK")))))))</f>
        <v/>
      </c>
      <c r="U61" s="29" t="str">
        <f aca="false">IF($L61="","",YEAR($L61))</f>
        <v/>
      </c>
      <c r="V61" s="40" t="str">
        <f aca="false">IF($C61="","",ROUND(SUMIF(收款关联,$B61,收款金额),2))</f>
        <v/>
      </c>
      <c r="W61" s="40" t="str">
        <f aca="false">IF($C61="","",MAX(0,ROUND(N($K61)-N($V61),2)))</f>
        <v/>
      </c>
      <c r="X61" s="40" t="str">
        <f aca="false">IF($C61="","",ROUND(SUMIFS(应收净额,应收键,$D61,应收行号,"&lt;="&amp;ROW()),2))</f>
        <v/>
      </c>
      <c r="Y61" s="29" t="str">
        <f aca="false">IF($C61="","",ROW())</f>
        <v/>
      </c>
    </row>
    <row r="62" customFormat="false" ht="15" hidden="false" customHeight="false" outlineLevel="0" collapsed="false">
      <c r="A62" s="29" t="str">
        <f aca="false">IF($C62="","",ROW()-4)</f>
        <v/>
      </c>
      <c r="B62" s="35" t="str">
        <f aca="false">IF($C62="","","YS"&amp;TEXT($C62,"yyyymm")&amp;"-"&amp;TEXT(ROW()-4,"0000"))</f>
        <v/>
      </c>
      <c r="C62" s="33"/>
      <c r="D62" s="24"/>
      <c r="E62" s="30" t="str">
        <f aca="false">IF($D62="","",IFERROR(INDEX(合同单位,MATCH($D62,合同键,0)),IFERROR(TRIM(LEFT($D62,FIND("｜",$D62)-1)),$D62)))</f>
        <v/>
      </c>
      <c r="F62" s="30" t="str">
        <f aca="false">IF($D62="","",IFERROR(INDEX(合同项目,MATCH($D62,合同键,0)),IFERROR(TRIM(MID($D62,FIND("｜",$D62)+1,99)),"")))</f>
        <v/>
      </c>
      <c r="G62" s="24"/>
      <c r="H62" s="35" t="str">
        <f aca="false">IF($G62="","",IFERROR(INDEX(费用款别,MATCH($G62,费用类别表,0)),"合同外款"))</f>
        <v/>
      </c>
      <c r="I62" s="33"/>
      <c r="J62" s="33"/>
      <c r="K62" s="39"/>
      <c r="L62" s="33"/>
      <c r="M62" s="25"/>
      <c r="N62" s="39"/>
      <c r="O62" s="35" t="str">
        <f aca="false">IF($C62="","",IF(N($N62)&lt;=0,"未开票",IF(ROUND(N($N62)-N($K62),2)&gt;=0,"已开票",IFERROR("部分开票 "&amp;TEXT(N($N62)/N($K62),"0%"),"部分开票"))))</f>
        <v/>
      </c>
      <c r="P62" s="40" t="str">
        <f aca="false">IF($C62="","",ROUND($V62+MIN($W62,MAX(0,(SUMIF(收款键,$D62,收款金额)-SUMIFS(收款金额,收款键,$D62,收款关联,"&lt;&gt;"))-($X62-$W62))),2))</f>
        <v/>
      </c>
      <c r="Q62" s="41" t="str">
        <f aca="false">IF($C62="","",ROUND(N($K62)-N($P62),2))</f>
        <v/>
      </c>
      <c r="R62" s="29" t="str">
        <f aca="false">IF($C62="","",YEAR($C62))</f>
        <v/>
      </c>
      <c r="S62" s="24"/>
      <c r="T62" s="35" t="str">
        <f aca="false">IF($C62="","",IF($D62="","★没选客户项目",IF(COUNTIF(合同键,$D62)=0,"★《维保合同》里没这个项目",IF(N($K62)&lt;=0,"★应收金额要填",IF(ROUND(N($N62)-N($K62),2)&gt;0.001,"★开票金额大于应收",IF(AND($L62&lt;&gt;"",N($N62)&lt;=0),"★填了开票日期没填开票金额",IF(AND($I62&lt;&gt;"",$J62&lt;&gt;"",$J62&lt;$I62),"★计费期间起止反了","OK")))))))</f>
        <v/>
      </c>
      <c r="U62" s="29" t="str">
        <f aca="false">IF($L62="","",YEAR($L62))</f>
        <v/>
      </c>
      <c r="V62" s="40" t="str">
        <f aca="false">IF($C62="","",ROUND(SUMIF(收款关联,$B62,收款金额),2))</f>
        <v/>
      </c>
      <c r="W62" s="40" t="str">
        <f aca="false">IF($C62="","",MAX(0,ROUND(N($K62)-N($V62),2)))</f>
        <v/>
      </c>
      <c r="X62" s="40" t="str">
        <f aca="false">IF($C62="","",ROUND(SUMIFS(应收净额,应收键,$D62,应收行号,"&lt;="&amp;ROW()),2))</f>
        <v/>
      </c>
      <c r="Y62" s="29" t="str">
        <f aca="false">IF($C62="","",ROW())</f>
        <v/>
      </c>
    </row>
    <row r="63" customFormat="false" ht="15" hidden="false" customHeight="false" outlineLevel="0" collapsed="false">
      <c r="A63" s="29" t="str">
        <f aca="false">IF($C63="","",ROW()-4)</f>
        <v/>
      </c>
      <c r="B63" s="35" t="str">
        <f aca="false">IF($C63="","","YS"&amp;TEXT($C63,"yyyymm")&amp;"-"&amp;TEXT(ROW()-4,"0000"))</f>
        <v/>
      </c>
      <c r="C63" s="33"/>
      <c r="D63" s="24"/>
      <c r="E63" s="30" t="str">
        <f aca="false">IF($D63="","",IFERROR(INDEX(合同单位,MATCH($D63,合同键,0)),IFERROR(TRIM(LEFT($D63,FIND("｜",$D63)-1)),$D63)))</f>
        <v/>
      </c>
      <c r="F63" s="30" t="str">
        <f aca="false">IF($D63="","",IFERROR(INDEX(合同项目,MATCH($D63,合同键,0)),IFERROR(TRIM(MID($D63,FIND("｜",$D63)+1,99)),"")))</f>
        <v/>
      </c>
      <c r="G63" s="24"/>
      <c r="H63" s="35" t="str">
        <f aca="false">IF($G63="","",IFERROR(INDEX(费用款别,MATCH($G63,费用类别表,0)),"合同外款"))</f>
        <v/>
      </c>
      <c r="I63" s="33"/>
      <c r="J63" s="33"/>
      <c r="K63" s="39"/>
      <c r="L63" s="33"/>
      <c r="M63" s="25"/>
      <c r="N63" s="39"/>
      <c r="O63" s="35" t="str">
        <f aca="false">IF($C63="","",IF(N($N63)&lt;=0,"未开票",IF(ROUND(N($N63)-N($K63),2)&gt;=0,"已开票",IFERROR("部分开票 "&amp;TEXT(N($N63)/N($K63),"0%"),"部分开票"))))</f>
        <v/>
      </c>
      <c r="P63" s="40" t="str">
        <f aca="false">IF($C63="","",ROUND($V63+MIN($W63,MAX(0,(SUMIF(收款键,$D63,收款金额)-SUMIFS(收款金额,收款键,$D63,收款关联,"&lt;&gt;"))-($X63-$W63))),2))</f>
        <v/>
      </c>
      <c r="Q63" s="41" t="str">
        <f aca="false">IF($C63="","",ROUND(N($K63)-N($P63),2))</f>
        <v/>
      </c>
      <c r="R63" s="29" t="str">
        <f aca="false">IF($C63="","",YEAR($C63))</f>
        <v/>
      </c>
      <c r="S63" s="24"/>
      <c r="T63" s="35" t="str">
        <f aca="false">IF($C63="","",IF($D63="","★没选客户项目",IF(COUNTIF(合同键,$D63)=0,"★《维保合同》里没这个项目",IF(N($K63)&lt;=0,"★应收金额要填",IF(ROUND(N($N63)-N($K63),2)&gt;0.001,"★开票金额大于应收",IF(AND($L63&lt;&gt;"",N($N63)&lt;=0),"★填了开票日期没填开票金额",IF(AND($I63&lt;&gt;"",$J63&lt;&gt;"",$J63&lt;$I63),"★计费期间起止反了","OK")))))))</f>
        <v/>
      </c>
      <c r="U63" s="29" t="str">
        <f aca="false">IF($L63="","",YEAR($L63))</f>
        <v/>
      </c>
      <c r="V63" s="40" t="str">
        <f aca="false">IF($C63="","",ROUND(SUMIF(收款关联,$B63,收款金额),2))</f>
        <v/>
      </c>
      <c r="W63" s="40" t="str">
        <f aca="false">IF($C63="","",MAX(0,ROUND(N($K63)-N($V63),2)))</f>
        <v/>
      </c>
      <c r="X63" s="40" t="str">
        <f aca="false">IF($C63="","",ROUND(SUMIFS(应收净额,应收键,$D63,应收行号,"&lt;="&amp;ROW()),2))</f>
        <v/>
      </c>
      <c r="Y63" s="29" t="str">
        <f aca="false">IF($C63="","",ROW())</f>
        <v/>
      </c>
    </row>
    <row r="64" customFormat="false" ht="15" hidden="false" customHeight="false" outlineLevel="0" collapsed="false">
      <c r="A64" s="29" t="str">
        <f aca="false">IF($C64="","",ROW()-4)</f>
        <v/>
      </c>
      <c r="B64" s="35" t="str">
        <f aca="false">IF($C64="","","YS"&amp;TEXT($C64,"yyyymm")&amp;"-"&amp;TEXT(ROW()-4,"0000"))</f>
        <v/>
      </c>
      <c r="C64" s="33"/>
      <c r="D64" s="24"/>
      <c r="E64" s="30" t="str">
        <f aca="false">IF($D64="","",IFERROR(INDEX(合同单位,MATCH($D64,合同键,0)),IFERROR(TRIM(LEFT($D64,FIND("｜",$D64)-1)),$D64)))</f>
        <v/>
      </c>
      <c r="F64" s="30" t="str">
        <f aca="false">IF($D64="","",IFERROR(INDEX(合同项目,MATCH($D64,合同键,0)),IFERROR(TRIM(MID($D64,FIND("｜",$D64)+1,99)),"")))</f>
        <v/>
      </c>
      <c r="G64" s="24"/>
      <c r="H64" s="35" t="str">
        <f aca="false">IF($G64="","",IFERROR(INDEX(费用款别,MATCH($G64,费用类别表,0)),"合同外款"))</f>
        <v/>
      </c>
      <c r="I64" s="33"/>
      <c r="J64" s="33"/>
      <c r="K64" s="39"/>
      <c r="L64" s="33"/>
      <c r="M64" s="25"/>
      <c r="N64" s="39"/>
      <c r="O64" s="35" t="str">
        <f aca="false">IF($C64="","",IF(N($N64)&lt;=0,"未开票",IF(ROUND(N($N64)-N($K64),2)&gt;=0,"已开票",IFERROR("部分开票 "&amp;TEXT(N($N64)/N($K64),"0%"),"部分开票"))))</f>
        <v/>
      </c>
      <c r="P64" s="40" t="str">
        <f aca="false">IF($C64="","",ROUND($V64+MIN($W64,MAX(0,(SUMIF(收款键,$D64,收款金额)-SUMIFS(收款金额,收款键,$D64,收款关联,"&lt;&gt;"))-($X64-$W64))),2))</f>
        <v/>
      </c>
      <c r="Q64" s="41" t="str">
        <f aca="false">IF($C64="","",ROUND(N($K64)-N($P64),2))</f>
        <v/>
      </c>
      <c r="R64" s="29" t="str">
        <f aca="false">IF($C64="","",YEAR($C64))</f>
        <v/>
      </c>
      <c r="S64" s="24"/>
      <c r="T64" s="35" t="str">
        <f aca="false">IF($C64="","",IF($D64="","★没选客户项目",IF(COUNTIF(合同键,$D64)=0,"★《维保合同》里没这个项目",IF(N($K64)&lt;=0,"★应收金额要填",IF(ROUND(N($N64)-N($K64),2)&gt;0.001,"★开票金额大于应收",IF(AND($L64&lt;&gt;"",N($N64)&lt;=0),"★填了开票日期没填开票金额",IF(AND($I64&lt;&gt;"",$J64&lt;&gt;"",$J64&lt;$I64),"★计费期间起止反了","OK")))))))</f>
        <v/>
      </c>
      <c r="U64" s="29" t="str">
        <f aca="false">IF($L64="","",YEAR($L64))</f>
        <v/>
      </c>
      <c r="V64" s="40" t="str">
        <f aca="false">IF($C64="","",ROUND(SUMIF(收款关联,$B64,收款金额),2))</f>
        <v/>
      </c>
      <c r="W64" s="40" t="str">
        <f aca="false">IF($C64="","",MAX(0,ROUND(N($K64)-N($V64),2)))</f>
        <v/>
      </c>
      <c r="X64" s="40" t="str">
        <f aca="false">IF($C64="","",ROUND(SUMIFS(应收净额,应收键,$D64,应收行号,"&lt;="&amp;ROW()),2))</f>
        <v/>
      </c>
      <c r="Y64" s="29" t="str">
        <f aca="false">IF($C64="","",ROW())</f>
        <v/>
      </c>
    </row>
    <row r="65" customFormat="false" ht="15" hidden="false" customHeight="false" outlineLevel="0" collapsed="false">
      <c r="A65" s="29" t="str">
        <f aca="false">IF($C65="","",ROW()-4)</f>
        <v/>
      </c>
      <c r="B65" s="35" t="str">
        <f aca="false">IF($C65="","","YS"&amp;TEXT($C65,"yyyymm")&amp;"-"&amp;TEXT(ROW()-4,"0000"))</f>
        <v/>
      </c>
      <c r="C65" s="33"/>
      <c r="D65" s="24"/>
      <c r="E65" s="30" t="str">
        <f aca="false">IF($D65="","",IFERROR(INDEX(合同单位,MATCH($D65,合同键,0)),IFERROR(TRIM(LEFT($D65,FIND("｜",$D65)-1)),$D65)))</f>
        <v/>
      </c>
      <c r="F65" s="30" t="str">
        <f aca="false">IF($D65="","",IFERROR(INDEX(合同项目,MATCH($D65,合同键,0)),IFERROR(TRIM(MID($D65,FIND("｜",$D65)+1,99)),"")))</f>
        <v/>
      </c>
      <c r="G65" s="24"/>
      <c r="H65" s="35" t="str">
        <f aca="false">IF($G65="","",IFERROR(INDEX(费用款别,MATCH($G65,费用类别表,0)),"合同外款"))</f>
        <v/>
      </c>
      <c r="I65" s="33"/>
      <c r="J65" s="33"/>
      <c r="K65" s="39"/>
      <c r="L65" s="33"/>
      <c r="M65" s="25"/>
      <c r="N65" s="39"/>
      <c r="O65" s="35" t="str">
        <f aca="false">IF($C65="","",IF(N($N65)&lt;=0,"未开票",IF(ROUND(N($N65)-N($K65),2)&gt;=0,"已开票",IFERROR("部分开票 "&amp;TEXT(N($N65)/N($K65),"0%"),"部分开票"))))</f>
        <v/>
      </c>
      <c r="P65" s="40" t="str">
        <f aca="false">IF($C65="","",ROUND($V65+MIN($W65,MAX(0,(SUMIF(收款键,$D65,收款金额)-SUMIFS(收款金额,收款键,$D65,收款关联,"&lt;&gt;"))-($X65-$W65))),2))</f>
        <v/>
      </c>
      <c r="Q65" s="41" t="str">
        <f aca="false">IF($C65="","",ROUND(N($K65)-N($P65),2))</f>
        <v/>
      </c>
      <c r="R65" s="29" t="str">
        <f aca="false">IF($C65="","",YEAR($C65))</f>
        <v/>
      </c>
      <c r="S65" s="24"/>
      <c r="T65" s="35" t="str">
        <f aca="false">IF($C65="","",IF($D65="","★没选客户项目",IF(COUNTIF(合同键,$D65)=0,"★《维保合同》里没这个项目",IF(N($K65)&lt;=0,"★应收金额要填",IF(ROUND(N($N65)-N($K65),2)&gt;0.001,"★开票金额大于应收",IF(AND($L65&lt;&gt;"",N($N65)&lt;=0),"★填了开票日期没填开票金额",IF(AND($I65&lt;&gt;"",$J65&lt;&gt;"",$J65&lt;$I65),"★计费期间起止反了","OK")))))))</f>
        <v/>
      </c>
      <c r="U65" s="29" t="str">
        <f aca="false">IF($L65="","",YEAR($L65))</f>
        <v/>
      </c>
      <c r="V65" s="40" t="str">
        <f aca="false">IF($C65="","",ROUND(SUMIF(收款关联,$B65,收款金额),2))</f>
        <v/>
      </c>
      <c r="W65" s="40" t="str">
        <f aca="false">IF($C65="","",MAX(0,ROUND(N($K65)-N($V65),2)))</f>
        <v/>
      </c>
      <c r="X65" s="40" t="str">
        <f aca="false">IF($C65="","",ROUND(SUMIFS(应收净额,应收键,$D65,应收行号,"&lt;="&amp;ROW()),2))</f>
        <v/>
      </c>
      <c r="Y65" s="29" t="str">
        <f aca="false">IF($C65="","",ROW())</f>
        <v/>
      </c>
    </row>
    <row r="66" customFormat="false" ht="15" hidden="false" customHeight="false" outlineLevel="0" collapsed="false">
      <c r="A66" s="29" t="str">
        <f aca="false">IF($C66="","",ROW()-4)</f>
        <v/>
      </c>
      <c r="B66" s="35" t="str">
        <f aca="false">IF($C66="","","YS"&amp;TEXT($C66,"yyyymm")&amp;"-"&amp;TEXT(ROW()-4,"0000"))</f>
        <v/>
      </c>
      <c r="C66" s="33"/>
      <c r="D66" s="24"/>
      <c r="E66" s="30" t="str">
        <f aca="false">IF($D66="","",IFERROR(INDEX(合同单位,MATCH($D66,合同键,0)),IFERROR(TRIM(LEFT($D66,FIND("｜",$D66)-1)),$D66)))</f>
        <v/>
      </c>
      <c r="F66" s="30" t="str">
        <f aca="false">IF($D66="","",IFERROR(INDEX(合同项目,MATCH($D66,合同键,0)),IFERROR(TRIM(MID($D66,FIND("｜",$D66)+1,99)),"")))</f>
        <v/>
      </c>
      <c r="G66" s="24"/>
      <c r="H66" s="35" t="str">
        <f aca="false">IF($G66="","",IFERROR(INDEX(费用款别,MATCH($G66,费用类别表,0)),"合同外款"))</f>
        <v/>
      </c>
      <c r="I66" s="33"/>
      <c r="J66" s="33"/>
      <c r="K66" s="39"/>
      <c r="L66" s="33"/>
      <c r="M66" s="25"/>
      <c r="N66" s="39"/>
      <c r="O66" s="35" t="str">
        <f aca="false">IF($C66="","",IF(N($N66)&lt;=0,"未开票",IF(ROUND(N($N66)-N($K66),2)&gt;=0,"已开票",IFERROR("部分开票 "&amp;TEXT(N($N66)/N($K66),"0%"),"部分开票"))))</f>
        <v/>
      </c>
      <c r="P66" s="40" t="str">
        <f aca="false">IF($C66="","",ROUND($V66+MIN($W66,MAX(0,(SUMIF(收款键,$D66,收款金额)-SUMIFS(收款金额,收款键,$D66,收款关联,"&lt;&gt;"))-($X66-$W66))),2))</f>
        <v/>
      </c>
      <c r="Q66" s="41" t="str">
        <f aca="false">IF($C66="","",ROUND(N($K66)-N($P66),2))</f>
        <v/>
      </c>
      <c r="R66" s="29" t="str">
        <f aca="false">IF($C66="","",YEAR($C66))</f>
        <v/>
      </c>
      <c r="S66" s="24"/>
      <c r="T66" s="35" t="str">
        <f aca="false">IF($C66="","",IF($D66="","★没选客户项目",IF(COUNTIF(合同键,$D66)=0,"★《维保合同》里没这个项目",IF(N($K66)&lt;=0,"★应收金额要填",IF(ROUND(N($N66)-N($K66),2)&gt;0.001,"★开票金额大于应收",IF(AND($L66&lt;&gt;"",N($N66)&lt;=0),"★填了开票日期没填开票金额",IF(AND($I66&lt;&gt;"",$J66&lt;&gt;"",$J66&lt;$I66),"★计费期间起止反了","OK")))))))</f>
        <v/>
      </c>
      <c r="U66" s="29" t="str">
        <f aca="false">IF($L66="","",YEAR($L66))</f>
        <v/>
      </c>
      <c r="V66" s="40" t="str">
        <f aca="false">IF($C66="","",ROUND(SUMIF(收款关联,$B66,收款金额),2))</f>
        <v/>
      </c>
      <c r="W66" s="40" t="str">
        <f aca="false">IF($C66="","",MAX(0,ROUND(N($K66)-N($V66),2)))</f>
        <v/>
      </c>
      <c r="X66" s="40" t="str">
        <f aca="false">IF($C66="","",ROUND(SUMIFS(应收净额,应收键,$D66,应收行号,"&lt;="&amp;ROW()),2))</f>
        <v/>
      </c>
      <c r="Y66" s="29" t="str">
        <f aca="false">IF($C66="","",ROW())</f>
        <v/>
      </c>
    </row>
    <row r="67" customFormat="false" ht="15" hidden="false" customHeight="false" outlineLevel="0" collapsed="false">
      <c r="A67" s="29" t="str">
        <f aca="false">IF($C67="","",ROW()-4)</f>
        <v/>
      </c>
      <c r="B67" s="35" t="str">
        <f aca="false">IF($C67="","","YS"&amp;TEXT($C67,"yyyymm")&amp;"-"&amp;TEXT(ROW()-4,"0000"))</f>
        <v/>
      </c>
      <c r="C67" s="33"/>
      <c r="D67" s="24"/>
      <c r="E67" s="30" t="str">
        <f aca="false">IF($D67="","",IFERROR(INDEX(合同单位,MATCH($D67,合同键,0)),IFERROR(TRIM(LEFT($D67,FIND("｜",$D67)-1)),$D67)))</f>
        <v/>
      </c>
      <c r="F67" s="30" t="str">
        <f aca="false">IF($D67="","",IFERROR(INDEX(合同项目,MATCH($D67,合同键,0)),IFERROR(TRIM(MID($D67,FIND("｜",$D67)+1,99)),"")))</f>
        <v/>
      </c>
      <c r="G67" s="24"/>
      <c r="H67" s="35" t="str">
        <f aca="false">IF($G67="","",IFERROR(INDEX(费用款别,MATCH($G67,费用类别表,0)),"合同外款"))</f>
        <v/>
      </c>
      <c r="I67" s="33"/>
      <c r="J67" s="33"/>
      <c r="K67" s="39"/>
      <c r="L67" s="33"/>
      <c r="M67" s="25"/>
      <c r="N67" s="39"/>
      <c r="O67" s="35" t="str">
        <f aca="false">IF($C67="","",IF(N($N67)&lt;=0,"未开票",IF(ROUND(N($N67)-N($K67),2)&gt;=0,"已开票",IFERROR("部分开票 "&amp;TEXT(N($N67)/N($K67),"0%"),"部分开票"))))</f>
        <v/>
      </c>
      <c r="P67" s="40" t="str">
        <f aca="false">IF($C67="","",ROUND($V67+MIN($W67,MAX(0,(SUMIF(收款键,$D67,收款金额)-SUMIFS(收款金额,收款键,$D67,收款关联,"&lt;&gt;"))-($X67-$W67))),2))</f>
        <v/>
      </c>
      <c r="Q67" s="41" t="str">
        <f aca="false">IF($C67="","",ROUND(N($K67)-N($P67),2))</f>
        <v/>
      </c>
      <c r="R67" s="29" t="str">
        <f aca="false">IF($C67="","",YEAR($C67))</f>
        <v/>
      </c>
      <c r="S67" s="24"/>
      <c r="T67" s="35" t="str">
        <f aca="false">IF($C67="","",IF($D67="","★没选客户项目",IF(COUNTIF(合同键,$D67)=0,"★《维保合同》里没这个项目",IF(N($K67)&lt;=0,"★应收金额要填",IF(ROUND(N($N67)-N($K67),2)&gt;0.001,"★开票金额大于应收",IF(AND($L67&lt;&gt;"",N($N67)&lt;=0),"★填了开票日期没填开票金额",IF(AND($I67&lt;&gt;"",$J67&lt;&gt;"",$J67&lt;$I67),"★计费期间起止反了","OK")))))))</f>
        <v/>
      </c>
      <c r="U67" s="29" t="str">
        <f aca="false">IF($L67="","",YEAR($L67))</f>
        <v/>
      </c>
      <c r="V67" s="40" t="str">
        <f aca="false">IF($C67="","",ROUND(SUMIF(收款关联,$B67,收款金额),2))</f>
        <v/>
      </c>
      <c r="W67" s="40" t="str">
        <f aca="false">IF($C67="","",MAX(0,ROUND(N($K67)-N($V67),2)))</f>
        <v/>
      </c>
      <c r="X67" s="40" t="str">
        <f aca="false">IF($C67="","",ROUND(SUMIFS(应收净额,应收键,$D67,应收行号,"&lt;="&amp;ROW()),2))</f>
        <v/>
      </c>
      <c r="Y67" s="29" t="str">
        <f aca="false">IF($C67="","",ROW())</f>
        <v/>
      </c>
    </row>
    <row r="68" customFormat="false" ht="15" hidden="false" customHeight="false" outlineLevel="0" collapsed="false">
      <c r="A68" s="29" t="str">
        <f aca="false">IF($C68="","",ROW()-4)</f>
        <v/>
      </c>
      <c r="B68" s="35" t="str">
        <f aca="false">IF($C68="","","YS"&amp;TEXT($C68,"yyyymm")&amp;"-"&amp;TEXT(ROW()-4,"0000"))</f>
        <v/>
      </c>
      <c r="C68" s="33"/>
      <c r="D68" s="24"/>
      <c r="E68" s="30" t="str">
        <f aca="false">IF($D68="","",IFERROR(INDEX(合同单位,MATCH($D68,合同键,0)),IFERROR(TRIM(LEFT($D68,FIND("｜",$D68)-1)),$D68)))</f>
        <v/>
      </c>
      <c r="F68" s="30" t="str">
        <f aca="false">IF($D68="","",IFERROR(INDEX(合同项目,MATCH($D68,合同键,0)),IFERROR(TRIM(MID($D68,FIND("｜",$D68)+1,99)),"")))</f>
        <v/>
      </c>
      <c r="G68" s="24"/>
      <c r="H68" s="35" t="str">
        <f aca="false">IF($G68="","",IFERROR(INDEX(费用款别,MATCH($G68,费用类别表,0)),"合同外款"))</f>
        <v/>
      </c>
      <c r="I68" s="33"/>
      <c r="J68" s="33"/>
      <c r="K68" s="39"/>
      <c r="L68" s="33"/>
      <c r="M68" s="25"/>
      <c r="N68" s="39"/>
      <c r="O68" s="35" t="str">
        <f aca="false">IF($C68="","",IF(N($N68)&lt;=0,"未开票",IF(ROUND(N($N68)-N($K68),2)&gt;=0,"已开票",IFERROR("部分开票 "&amp;TEXT(N($N68)/N($K68),"0%"),"部分开票"))))</f>
        <v/>
      </c>
      <c r="P68" s="40" t="str">
        <f aca="false">IF($C68="","",ROUND($V68+MIN($W68,MAX(0,(SUMIF(收款键,$D68,收款金额)-SUMIFS(收款金额,收款键,$D68,收款关联,"&lt;&gt;"))-($X68-$W68))),2))</f>
        <v/>
      </c>
      <c r="Q68" s="41" t="str">
        <f aca="false">IF($C68="","",ROUND(N($K68)-N($P68),2))</f>
        <v/>
      </c>
      <c r="R68" s="29" t="str">
        <f aca="false">IF($C68="","",YEAR($C68))</f>
        <v/>
      </c>
      <c r="S68" s="24"/>
      <c r="T68" s="35" t="str">
        <f aca="false">IF($C68="","",IF($D68="","★没选客户项目",IF(COUNTIF(合同键,$D68)=0,"★《维保合同》里没这个项目",IF(N($K68)&lt;=0,"★应收金额要填",IF(ROUND(N($N68)-N($K68),2)&gt;0.001,"★开票金额大于应收",IF(AND($L68&lt;&gt;"",N($N68)&lt;=0),"★填了开票日期没填开票金额",IF(AND($I68&lt;&gt;"",$J68&lt;&gt;"",$J68&lt;$I68),"★计费期间起止反了","OK")))))))</f>
        <v/>
      </c>
      <c r="U68" s="29" t="str">
        <f aca="false">IF($L68="","",YEAR($L68))</f>
        <v/>
      </c>
      <c r="V68" s="40" t="str">
        <f aca="false">IF($C68="","",ROUND(SUMIF(收款关联,$B68,收款金额),2))</f>
        <v/>
      </c>
      <c r="W68" s="40" t="str">
        <f aca="false">IF($C68="","",MAX(0,ROUND(N($K68)-N($V68),2)))</f>
        <v/>
      </c>
      <c r="X68" s="40" t="str">
        <f aca="false">IF($C68="","",ROUND(SUMIFS(应收净额,应收键,$D68,应收行号,"&lt;="&amp;ROW()),2))</f>
        <v/>
      </c>
      <c r="Y68" s="29" t="str">
        <f aca="false">IF($C68="","",ROW())</f>
        <v/>
      </c>
    </row>
    <row r="69" customFormat="false" ht="15" hidden="false" customHeight="false" outlineLevel="0" collapsed="false">
      <c r="A69" s="29" t="str">
        <f aca="false">IF($C69="","",ROW()-4)</f>
        <v/>
      </c>
      <c r="B69" s="35" t="str">
        <f aca="false">IF($C69="","","YS"&amp;TEXT($C69,"yyyymm")&amp;"-"&amp;TEXT(ROW()-4,"0000"))</f>
        <v/>
      </c>
      <c r="C69" s="33"/>
      <c r="D69" s="24"/>
      <c r="E69" s="30" t="str">
        <f aca="false">IF($D69="","",IFERROR(INDEX(合同单位,MATCH($D69,合同键,0)),IFERROR(TRIM(LEFT($D69,FIND("｜",$D69)-1)),$D69)))</f>
        <v/>
      </c>
      <c r="F69" s="30" t="str">
        <f aca="false">IF($D69="","",IFERROR(INDEX(合同项目,MATCH($D69,合同键,0)),IFERROR(TRIM(MID($D69,FIND("｜",$D69)+1,99)),"")))</f>
        <v/>
      </c>
      <c r="G69" s="24"/>
      <c r="H69" s="35" t="str">
        <f aca="false">IF($G69="","",IFERROR(INDEX(费用款别,MATCH($G69,费用类别表,0)),"合同外款"))</f>
        <v/>
      </c>
      <c r="I69" s="33"/>
      <c r="J69" s="33"/>
      <c r="K69" s="39"/>
      <c r="L69" s="33"/>
      <c r="M69" s="25"/>
      <c r="N69" s="39"/>
      <c r="O69" s="35" t="str">
        <f aca="false">IF($C69="","",IF(N($N69)&lt;=0,"未开票",IF(ROUND(N($N69)-N($K69),2)&gt;=0,"已开票",IFERROR("部分开票 "&amp;TEXT(N($N69)/N($K69),"0%"),"部分开票"))))</f>
        <v/>
      </c>
      <c r="P69" s="40" t="str">
        <f aca="false">IF($C69="","",ROUND($V69+MIN($W69,MAX(0,(SUMIF(收款键,$D69,收款金额)-SUMIFS(收款金额,收款键,$D69,收款关联,"&lt;&gt;"))-($X69-$W69))),2))</f>
        <v/>
      </c>
      <c r="Q69" s="41" t="str">
        <f aca="false">IF($C69="","",ROUND(N($K69)-N($P69),2))</f>
        <v/>
      </c>
      <c r="R69" s="29" t="str">
        <f aca="false">IF($C69="","",YEAR($C69))</f>
        <v/>
      </c>
      <c r="S69" s="24"/>
      <c r="T69" s="35" t="str">
        <f aca="false">IF($C69="","",IF($D69="","★没选客户项目",IF(COUNTIF(合同键,$D69)=0,"★《维保合同》里没这个项目",IF(N($K69)&lt;=0,"★应收金额要填",IF(ROUND(N($N69)-N($K69),2)&gt;0.001,"★开票金额大于应收",IF(AND($L69&lt;&gt;"",N($N69)&lt;=0),"★填了开票日期没填开票金额",IF(AND($I69&lt;&gt;"",$J69&lt;&gt;"",$J69&lt;$I69),"★计费期间起止反了","OK")))))))</f>
        <v/>
      </c>
      <c r="U69" s="29" t="str">
        <f aca="false">IF($L69="","",YEAR($L69))</f>
        <v/>
      </c>
      <c r="V69" s="40" t="str">
        <f aca="false">IF($C69="","",ROUND(SUMIF(收款关联,$B69,收款金额),2))</f>
        <v/>
      </c>
      <c r="W69" s="40" t="str">
        <f aca="false">IF($C69="","",MAX(0,ROUND(N($K69)-N($V69),2)))</f>
        <v/>
      </c>
      <c r="X69" s="40" t="str">
        <f aca="false">IF($C69="","",ROUND(SUMIFS(应收净额,应收键,$D69,应收行号,"&lt;="&amp;ROW()),2))</f>
        <v/>
      </c>
      <c r="Y69" s="29" t="str">
        <f aca="false">IF($C69="","",ROW())</f>
        <v/>
      </c>
    </row>
    <row r="70" customFormat="false" ht="15" hidden="false" customHeight="false" outlineLevel="0" collapsed="false">
      <c r="A70" s="29" t="str">
        <f aca="false">IF($C70="","",ROW()-4)</f>
        <v/>
      </c>
      <c r="B70" s="35" t="str">
        <f aca="false">IF($C70="","","YS"&amp;TEXT($C70,"yyyymm")&amp;"-"&amp;TEXT(ROW()-4,"0000"))</f>
        <v/>
      </c>
      <c r="C70" s="33"/>
      <c r="D70" s="24"/>
      <c r="E70" s="30" t="str">
        <f aca="false">IF($D70="","",IFERROR(INDEX(合同单位,MATCH($D70,合同键,0)),IFERROR(TRIM(LEFT($D70,FIND("｜",$D70)-1)),$D70)))</f>
        <v/>
      </c>
      <c r="F70" s="30" t="str">
        <f aca="false">IF($D70="","",IFERROR(INDEX(合同项目,MATCH($D70,合同键,0)),IFERROR(TRIM(MID($D70,FIND("｜",$D70)+1,99)),"")))</f>
        <v/>
      </c>
      <c r="G70" s="24"/>
      <c r="H70" s="35" t="str">
        <f aca="false">IF($G70="","",IFERROR(INDEX(费用款别,MATCH($G70,费用类别表,0)),"合同外款"))</f>
        <v/>
      </c>
      <c r="I70" s="33"/>
      <c r="J70" s="33"/>
      <c r="K70" s="39"/>
      <c r="L70" s="33"/>
      <c r="M70" s="25"/>
      <c r="N70" s="39"/>
      <c r="O70" s="35" t="str">
        <f aca="false">IF($C70="","",IF(N($N70)&lt;=0,"未开票",IF(ROUND(N($N70)-N($K70),2)&gt;=0,"已开票",IFERROR("部分开票 "&amp;TEXT(N($N70)/N($K70),"0%"),"部分开票"))))</f>
        <v/>
      </c>
      <c r="P70" s="40" t="str">
        <f aca="false">IF($C70="","",ROUND($V70+MIN($W70,MAX(0,(SUMIF(收款键,$D70,收款金额)-SUMIFS(收款金额,收款键,$D70,收款关联,"&lt;&gt;"))-($X70-$W70))),2))</f>
        <v/>
      </c>
      <c r="Q70" s="41" t="str">
        <f aca="false">IF($C70="","",ROUND(N($K70)-N($P70),2))</f>
        <v/>
      </c>
      <c r="R70" s="29" t="str">
        <f aca="false">IF($C70="","",YEAR($C70))</f>
        <v/>
      </c>
      <c r="S70" s="24"/>
      <c r="T70" s="35" t="str">
        <f aca="false">IF($C70="","",IF($D70="","★没选客户项目",IF(COUNTIF(合同键,$D70)=0,"★《维保合同》里没这个项目",IF(N($K70)&lt;=0,"★应收金额要填",IF(ROUND(N($N70)-N($K70),2)&gt;0.001,"★开票金额大于应收",IF(AND($L70&lt;&gt;"",N($N70)&lt;=0),"★填了开票日期没填开票金额",IF(AND($I70&lt;&gt;"",$J70&lt;&gt;"",$J70&lt;$I70),"★计费期间起止反了","OK")))))))</f>
        <v/>
      </c>
      <c r="U70" s="29" t="str">
        <f aca="false">IF($L70="","",YEAR($L70))</f>
        <v/>
      </c>
      <c r="V70" s="40" t="str">
        <f aca="false">IF($C70="","",ROUND(SUMIF(收款关联,$B70,收款金额),2))</f>
        <v/>
      </c>
      <c r="W70" s="40" t="str">
        <f aca="false">IF($C70="","",MAX(0,ROUND(N($K70)-N($V70),2)))</f>
        <v/>
      </c>
      <c r="X70" s="40" t="str">
        <f aca="false">IF($C70="","",ROUND(SUMIFS(应收净额,应收键,$D70,应收行号,"&lt;="&amp;ROW()),2))</f>
        <v/>
      </c>
      <c r="Y70" s="29" t="str">
        <f aca="false">IF($C70="","",ROW())</f>
        <v/>
      </c>
    </row>
    <row r="71" customFormat="false" ht="15" hidden="false" customHeight="false" outlineLevel="0" collapsed="false">
      <c r="A71" s="29" t="str">
        <f aca="false">IF($C71="","",ROW()-4)</f>
        <v/>
      </c>
      <c r="B71" s="35" t="str">
        <f aca="false">IF($C71="","","YS"&amp;TEXT($C71,"yyyymm")&amp;"-"&amp;TEXT(ROW()-4,"0000"))</f>
        <v/>
      </c>
      <c r="C71" s="33"/>
      <c r="D71" s="24"/>
      <c r="E71" s="30" t="str">
        <f aca="false">IF($D71="","",IFERROR(INDEX(合同单位,MATCH($D71,合同键,0)),IFERROR(TRIM(LEFT($D71,FIND("｜",$D71)-1)),$D71)))</f>
        <v/>
      </c>
      <c r="F71" s="30" t="str">
        <f aca="false">IF($D71="","",IFERROR(INDEX(合同项目,MATCH($D71,合同键,0)),IFERROR(TRIM(MID($D71,FIND("｜",$D71)+1,99)),"")))</f>
        <v/>
      </c>
      <c r="G71" s="24"/>
      <c r="H71" s="35" t="str">
        <f aca="false">IF($G71="","",IFERROR(INDEX(费用款别,MATCH($G71,费用类别表,0)),"合同外款"))</f>
        <v/>
      </c>
      <c r="I71" s="33"/>
      <c r="J71" s="33"/>
      <c r="K71" s="39"/>
      <c r="L71" s="33"/>
      <c r="M71" s="25"/>
      <c r="N71" s="39"/>
      <c r="O71" s="35" t="str">
        <f aca="false">IF($C71="","",IF(N($N71)&lt;=0,"未开票",IF(ROUND(N($N71)-N($K71),2)&gt;=0,"已开票",IFERROR("部分开票 "&amp;TEXT(N($N71)/N($K71),"0%"),"部分开票"))))</f>
        <v/>
      </c>
      <c r="P71" s="40" t="str">
        <f aca="false">IF($C71="","",ROUND($V71+MIN($W71,MAX(0,(SUMIF(收款键,$D71,收款金额)-SUMIFS(收款金额,收款键,$D71,收款关联,"&lt;&gt;"))-($X71-$W71))),2))</f>
        <v/>
      </c>
      <c r="Q71" s="41" t="str">
        <f aca="false">IF($C71="","",ROUND(N($K71)-N($P71),2))</f>
        <v/>
      </c>
      <c r="R71" s="29" t="str">
        <f aca="false">IF($C71="","",YEAR($C71))</f>
        <v/>
      </c>
      <c r="S71" s="24"/>
      <c r="T71" s="35" t="str">
        <f aca="false">IF($C71="","",IF($D71="","★没选客户项目",IF(COUNTIF(合同键,$D71)=0,"★《维保合同》里没这个项目",IF(N($K71)&lt;=0,"★应收金额要填",IF(ROUND(N($N71)-N($K71),2)&gt;0.001,"★开票金额大于应收",IF(AND($L71&lt;&gt;"",N($N71)&lt;=0),"★填了开票日期没填开票金额",IF(AND($I71&lt;&gt;"",$J71&lt;&gt;"",$J71&lt;$I71),"★计费期间起止反了","OK")))))))</f>
        <v/>
      </c>
      <c r="U71" s="29" t="str">
        <f aca="false">IF($L71="","",YEAR($L71))</f>
        <v/>
      </c>
      <c r="V71" s="40" t="str">
        <f aca="false">IF($C71="","",ROUND(SUMIF(收款关联,$B71,收款金额),2))</f>
        <v/>
      </c>
      <c r="W71" s="40" t="str">
        <f aca="false">IF($C71="","",MAX(0,ROUND(N($K71)-N($V71),2)))</f>
        <v/>
      </c>
      <c r="X71" s="40" t="str">
        <f aca="false">IF($C71="","",ROUND(SUMIFS(应收净额,应收键,$D71,应收行号,"&lt;="&amp;ROW()),2))</f>
        <v/>
      </c>
      <c r="Y71" s="29" t="str">
        <f aca="false">IF($C71="","",ROW())</f>
        <v/>
      </c>
    </row>
    <row r="72" customFormat="false" ht="15" hidden="false" customHeight="false" outlineLevel="0" collapsed="false">
      <c r="A72" s="29" t="str">
        <f aca="false">IF($C72="","",ROW()-4)</f>
        <v/>
      </c>
      <c r="B72" s="35" t="str">
        <f aca="false">IF($C72="","","YS"&amp;TEXT($C72,"yyyymm")&amp;"-"&amp;TEXT(ROW()-4,"0000"))</f>
        <v/>
      </c>
      <c r="C72" s="33"/>
      <c r="D72" s="24"/>
      <c r="E72" s="30" t="str">
        <f aca="false">IF($D72="","",IFERROR(INDEX(合同单位,MATCH($D72,合同键,0)),IFERROR(TRIM(LEFT($D72,FIND("｜",$D72)-1)),$D72)))</f>
        <v/>
      </c>
      <c r="F72" s="30" t="str">
        <f aca="false">IF($D72="","",IFERROR(INDEX(合同项目,MATCH($D72,合同键,0)),IFERROR(TRIM(MID($D72,FIND("｜",$D72)+1,99)),"")))</f>
        <v/>
      </c>
      <c r="G72" s="24"/>
      <c r="H72" s="35" t="str">
        <f aca="false">IF($G72="","",IFERROR(INDEX(费用款别,MATCH($G72,费用类别表,0)),"合同外款"))</f>
        <v/>
      </c>
      <c r="I72" s="33"/>
      <c r="J72" s="33"/>
      <c r="K72" s="39"/>
      <c r="L72" s="33"/>
      <c r="M72" s="25"/>
      <c r="N72" s="39"/>
      <c r="O72" s="35" t="str">
        <f aca="false">IF($C72="","",IF(N($N72)&lt;=0,"未开票",IF(ROUND(N($N72)-N($K72),2)&gt;=0,"已开票",IFERROR("部分开票 "&amp;TEXT(N($N72)/N($K72),"0%"),"部分开票"))))</f>
        <v/>
      </c>
      <c r="P72" s="40" t="str">
        <f aca="false">IF($C72="","",ROUND($V72+MIN($W72,MAX(0,(SUMIF(收款键,$D72,收款金额)-SUMIFS(收款金额,收款键,$D72,收款关联,"&lt;&gt;"))-($X72-$W72))),2))</f>
        <v/>
      </c>
      <c r="Q72" s="41" t="str">
        <f aca="false">IF($C72="","",ROUND(N($K72)-N($P72),2))</f>
        <v/>
      </c>
      <c r="R72" s="29" t="str">
        <f aca="false">IF($C72="","",YEAR($C72))</f>
        <v/>
      </c>
      <c r="S72" s="24"/>
      <c r="T72" s="35" t="str">
        <f aca="false">IF($C72="","",IF($D72="","★没选客户项目",IF(COUNTIF(合同键,$D72)=0,"★《维保合同》里没这个项目",IF(N($K72)&lt;=0,"★应收金额要填",IF(ROUND(N($N72)-N($K72),2)&gt;0.001,"★开票金额大于应收",IF(AND($L72&lt;&gt;"",N($N72)&lt;=0),"★填了开票日期没填开票金额",IF(AND($I72&lt;&gt;"",$J72&lt;&gt;"",$J72&lt;$I72),"★计费期间起止反了","OK")))))))</f>
        <v/>
      </c>
      <c r="U72" s="29" t="str">
        <f aca="false">IF($L72="","",YEAR($L72))</f>
        <v/>
      </c>
      <c r="V72" s="40" t="str">
        <f aca="false">IF($C72="","",ROUND(SUMIF(收款关联,$B72,收款金额),2))</f>
        <v/>
      </c>
      <c r="W72" s="40" t="str">
        <f aca="false">IF($C72="","",MAX(0,ROUND(N($K72)-N($V72),2)))</f>
        <v/>
      </c>
      <c r="X72" s="40" t="str">
        <f aca="false">IF($C72="","",ROUND(SUMIFS(应收净额,应收键,$D72,应收行号,"&lt;="&amp;ROW()),2))</f>
        <v/>
      </c>
      <c r="Y72" s="29" t="str">
        <f aca="false">IF($C72="","",ROW())</f>
        <v/>
      </c>
    </row>
    <row r="73" customFormat="false" ht="15" hidden="false" customHeight="false" outlineLevel="0" collapsed="false">
      <c r="A73" s="29" t="str">
        <f aca="false">IF($C73="","",ROW()-4)</f>
        <v/>
      </c>
      <c r="B73" s="35" t="str">
        <f aca="false">IF($C73="","","YS"&amp;TEXT($C73,"yyyymm")&amp;"-"&amp;TEXT(ROW()-4,"0000"))</f>
        <v/>
      </c>
      <c r="C73" s="33"/>
      <c r="D73" s="24"/>
      <c r="E73" s="30" t="str">
        <f aca="false">IF($D73="","",IFERROR(INDEX(合同单位,MATCH($D73,合同键,0)),IFERROR(TRIM(LEFT($D73,FIND("｜",$D73)-1)),$D73)))</f>
        <v/>
      </c>
      <c r="F73" s="30" t="str">
        <f aca="false">IF($D73="","",IFERROR(INDEX(合同项目,MATCH($D73,合同键,0)),IFERROR(TRIM(MID($D73,FIND("｜",$D73)+1,99)),"")))</f>
        <v/>
      </c>
      <c r="G73" s="24"/>
      <c r="H73" s="35" t="str">
        <f aca="false">IF($G73="","",IFERROR(INDEX(费用款别,MATCH($G73,费用类别表,0)),"合同外款"))</f>
        <v/>
      </c>
      <c r="I73" s="33"/>
      <c r="J73" s="33"/>
      <c r="K73" s="39"/>
      <c r="L73" s="33"/>
      <c r="M73" s="25"/>
      <c r="N73" s="39"/>
      <c r="O73" s="35" t="str">
        <f aca="false">IF($C73="","",IF(N($N73)&lt;=0,"未开票",IF(ROUND(N($N73)-N($K73),2)&gt;=0,"已开票",IFERROR("部分开票 "&amp;TEXT(N($N73)/N($K73),"0%"),"部分开票"))))</f>
        <v/>
      </c>
      <c r="P73" s="40" t="str">
        <f aca="false">IF($C73="","",ROUND($V73+MIN($W73,MAX(0,(SUMIF(收款键,$D73,收款金额)-SUMIFS(收款金额,收款键,$D73,收款关联,"&lt;&gt;"))-($X73-$W73))),2))</f>
        <v/>
      </c>
      <c r="Q73" s="41" t="str">
        <f aca="false">IF($C73="","",ROUND(N($K73)-N($P73),2))</f>
        <v/>
      </c>
      <c r="R73" s="29" t="str">
        <f aca="false">IF($C73="","",YEAR($C73))</f>
        <v/>
      </c>
      <c r="S73" s="24"/>
      <c r="T73" s="35" t="str">
        <f aca="false">IF($C73="","",IF($D73="","★没选客户项目",IF(COUNTIF(合同键,$D73)=0,"★《维保合同》里没这个项目",IF(N($K73)&lt;=0,"★应收金额要填",IF(ROUND(N($N73)-N($K73),2)&gt;0.001,"★开票金额大于应收",IF(AND($L73&lt;&gt;"",N($N73)&lt;=0),"★填了开票日期没填开票金额",IF(AND($I73&lt;&gt;"",$J73&lt;&gt;"",$J73&lt;$I73),"★计费期间起止反了","OK")))))))</f>
        <v/>
      </c>
      <c r="U73" s="29" t="str">
        <f aca="false">IF($L73="","",YEAR($L73))</f>
        <v/>
      </c>
      <c r="V73" s="40" t="str">
        <f aca="false">IF($C73="","",ROUND(SUMIF(收款关联,$B73,收款金额),2))</f>
        <v/>
      </c>
      <c r="W73" s="40" t="str">
        <f aca="false">IF($C73="","",MAX(0,ROUND(N($K73)-N($V73),2)))</f>
        <v/>
      </c>
      <c r="X73" s="40" t="str">
        <f aca="false">IF($C73="","",ROUND(SUMIFS(应收净额,应收键,$D73,应收行号,"&lt;="&amp;ROW()),2))</f>
        <v/>
      </c>
      <c r="Y73" s="29" t="str">
        <f aca="false">IF($C73="","",ROW())</f>
        <v/>
      </c>
    </row>
    <row r="74" customFormat="false" ht="15" hidden="false" customHeight="false" outlineLevel="0" collapsed="false">
      <c r="A74" s="29" t="str">
        <f aca="false">IF($C74="","",ROW()-4)</f>
        <v/>
      </c>
      <c r="B74" s="35" t="str">
        <f aca="false">IF($C74="","","YS"&amp;TEXT($C74,"yyyymm")&amp;"-"&amp;TEXT(ROW()-4,"0000"))</f>
        <v/>
      </c>
      <c r="C74" s="33"/>
      <c r="D74" s="24"/>
      <c r="E74" s="30" t="str">
        <f aca="false">IF($D74="","",IFERROR(INDEX(合同单位,MATCH($D74,合同键,0)),IFERROR(TRIM(LEFT($D74,FIND("｜",$D74)-1)),$D74)))</f>
        <v/>
      </c>
      <c r="F74" s="30" t="str">
        <f aca="false">IF($D74="","",IFERROR(INDEX(合同项目,MATCH($D74,合同键,0)),IFERROR(TRIM(MID($D74,FIND("｜",$D74)+1,99)),"")))</f>
        <v/>
      </c>
      <c r="G74" s="24"/>
      <c r="H74" s="35" t="str">
        <f aca="false">IF($G74="","",IFERROR(INDEX(费用款别,MATCH($G74,费用类别表,0)),"合同外款"))</f>
        <v/>
      </c>
      <c r="I74" s="33"/>
      <c r="J74" s="33"/>
      <c r="K74" s="39"/>
      <c r="L74" s="33"/>
      <c r="M74" s="25"/>
      <c r="N74" s="39"/>
      <c r="O74" s="35" t="str">
        <f aca="false">IF($C74="","",IF(N($N74)&lt;=0,"未开票",IF(ROUND(N($N74)-N($K74),2)&gt;=0,"已开票",IFERROR("部分开票 "&amp;TEXT(N($N74)/N($K74),"0%"),"部分开票"))))</f>
        <v/>
      </c>
      <c r="P74" s="40" t="str">
        <f aca="false">IF($C74="","",ROUND($V74+MIN($W74,MAX(0,(SUMIF(收款键,$D74,收款金额)-SUMIFS(收款金额,收款键,$D74,收款关联,"&lt;&gt;"))-($X74-$W74))),2))</f>
        <v/>
      </c>
      <c r="Q74" s="41" t="str">
        <f aca="false">IF($C74="","",ROUND(N($K74)-N($P74),2))</f>
        <v/>
      </c>
      <c r="R74" s="29" t="str">
        <f aca="false">IF($C74="","",YEAR($C74))</f>
        <v/>
      </c>
      <c r="S74" s="24"/>
      <c r="T74" s="35" t="str">
        <f aca="false">IF($C74="","",IF($D74="","★没选客户项目",IF(COUNTIF(合同键,$D74)=0,"★《维保合同》里没这个项目",IF(N($K74)&lt;=0,"★应收金额要填",IF(ROUND(N($N74)-N($K74),2)&gt;0.001,"★开票金额大于应收",IF(AND($L74&lt;&gt;"",N($N74)&lt;=0),"★填了开票日期没填开票金额",IF(AND($I74&lt;&gt;"",$J74&lt;&gt;"",$J74&lt;$I74),"★计费期间起止反了","OK")))))))</f>
        <v/>
      </c>
      <c r="U74" s="29" t="str">
        <f aca="false">IF($L74="","",YEAR($L74))</f>
        <v/>
      </c>
      <c r="V74" s="40" t="str">
        <f aca="false">IF($C74="","",ROUND(SUMIF(收款关联,$B74,收款金额),2))</f>
        <v/>
      </c>
      <c r="W74" s="40" t="str">
        <f aca="false">IF($C74="","",MAX(0,ROUND(N($K74)-N($V74),2)))</f>
        <v/>
      </c>
      <c r="X74" s="40" t="str">
        <f aca="false">IF($C74="","",ROUND(SUMIFS(应收净额,应收键,$D74,应收行号,"&lt;="&amp;ROW()),2))</f>
        <v/>
      </c>
      <c r="Y74" s="29" t="str">
        <f aca="false">IF($C74="","",ROW())</f>
        <v/>
      </c>
    </row>
    <row r="75" customFormat="false" ht="15" hidden="false" customHeight="false" outlineLevel="0" collapsed="false">
      <c r="A75" s="29" t="str">
        <f aca="false">IF($C75="","",ROW()-4)</f>
        <v/>
      </c>
      <c r="B75" s="35" t="str">
        <f aca="false">IF($C75="","","YS"&amp;TEXT($C75,"yyyymm")&amp;"-"&amp;TEXT(ROW()-4,"0000"))</f>
        <v/>
      </c>
      <c r="C75" s="33"/>
      <c r="D75" s="24"/>
      <c r="E75" s="30" t="str">
        <f aca="false">IF($D75="","",IFERROR(INDEX(合同单位,MATCH($D75,合同键,0)),IFERROR(TRIM(LEFT($D75,FIND("｜",$D75)-1)),$D75)))</f>
        <v/>
      </c>
      <c r="F75" s="30" t="str">
        <f aca="false">IF($D75="","",IFERROR(INDEX(合同项目,MATCH($D75,合同键,0)),IFERROR(TRIM(MID($D75,FIND("｜",$D75)+1,99)),"")))</f>
        <v/>
      </c>
      <c r="G75" s="24"/>
      <c r="H75" s="35" t="str">
        <f aca="false">IF($G75="","",IFERROR(INDEX(费用款别,MATCH($G75,费用类别表,0)),"合同外款"))</f>
        <v/>
      </c>
      <c r="I75" s="33"/>
      <c r="J75" s="33"/>
      <c r="K75" s="39"/>
      <c r="L75" s="33"/>
      <c r="M75" s="25"/>
      <c r="N75" s="39"/>
      <c r="O75" s="35" t="str">
        <f aca="false">IF($C75="","",IF(N($N75)&lt;=0,"未开票",IF(ROUND(N($N75)-N($K75),2)&gt;=0,"已开票",IFERROR("部分开票 "&amp;TEXT(N($N75)/N($K75),"0%"),"部分开票"))))</f>
        <v/>
      </c>
      <c r="P75" s="40" t="str">
        <f aca="false">IF($C75="","",ROUND($V75+MIN($W75,MAX(0,(SUMIF(收款键,$D75,收款金额)-SUMIFS(收款金额,收款键,$D75,收款关联,"&lt;&gt;"))-($X75-$W75))),2))</f>
        <v/>
      </c>
      <c r="Q75" s="41" t="str">
        <f aca="false">IF($C75="","",ROUND(N($K75)-N($P75),2))</f>
        <v/>
      </c>
      <c r="R75" s="29" t="str">
        <f aca="false">IF($C75="","",YEAR($C75))</f>
        <v/>
      </c>
      <c r="S75" s="24"/>
      <c r="T75" s="35" t="str">
        <f aca="false">IF($C75="","",IF($D75="","★没选客户项目",IF(COUNTIF(合同键,$D75)=0,"★《维保合同》里没这个项目",IF(N($K75)&lt;=0,"★应收金额要填",IF(ROUND(N($N75)-N($K75),2)&gt;0.001,"★开票金额大于应收",IF(AND($L75&lt;&gt;"",N($N75)&lt;=0),"★填了开票日期没填开票金额",IF(AND($I75&lt;&gt;"",$J75&lt;&gt;"",$J75&lt;$I75),"★计费期间起止反了","OK")))))))</f>
        <v/>
      </c>
      <c r="U75" s="29" t="str">
        <f aca="false">IF($L75="","",YEAR($L75))</f>
        <v/>
      </c>
      <c r="V75" s="40" t="str">
        <f aca="false">IF($C75="","",ROUND(SUMIF(收款关联,$B75,收款金额),2))</f>
        <v/>
      </c>
      <c r="W75" s="40" t="str">
        <f aca="false">IF($C75="","",MAX(0,ROUND(N($K75)-N($V75),2)))</f>
        <v/>
      </c>
      <c r="X75" s="40" t="str">
        <f aca="false">IF($C75="","",ROUND(SUMIFS(应收净额,应收键,$D75,应收行号,"&lt;="&amp;ROW()),2))</f>
        <v/>
      </c>
      <c r="Y75" s="29" t="str">
        <f aca="false">IF($C75="","",ROW())</f>
        <v/>
      </c>
    </row>
    <row r="76" customFormat="false" ht="15" hidden="false" customHeight="false" outlineLevel="0" collapsed="false">
      <c r="A76" s="29" t="str">
        <f aca="false">IF($C76="","",ROW()-4)</f>
        <v/>
      </c>
      <c r="B76" s="35" t="str">
        <f aca="false">IF($C76="","","YS"&amp;TEXT($C76,"yyyymm")&amp;"-"&amp;TEXT(ROW()-4,"0000"))</f>
        <v/>
      </c>
      <c r="C76" s="33"/>
      <c r="D76" s="24"/>
      <c r="E76" s="30" t="str">
        <f aca="false">IF($D76="","",IFERROR(INDEX(合同单位,MATCH($D76,合同键,0)),IFERROR(TRIM(LEFT($D76,FIND("｜",$D76)-1)),$D76)))</f>
        <v/>
      </c>
      <c r="F76" s="30" t="str">
        <f aca="false">IF($D76="","",IFERROR(INDEX(合同项目,MATCH($D76,合同键,0)),IFERROR(TRIM(MID($D76,FIND("｜",$D76)+1,99)),"")))</f>
        <v/>
      </c>
      <c r="G76" s="24"/>
      <c r="H76" s="35" t="str">
        <f aca="false">IF($G76="","",IFERROR(INDEX(费用款别,MATCH($G76,费用类别表,0)),"合同外款"))</f>
        <v/>
      </c>
      <c r="I76" s="33"/>
      <c r="J76" s="33"/>
      <c r="K76" s="39"/>
      <c r="L76" s="33"/>
      <c r="M76" s="25"/>
      <c r="N76" s="39"/>
      <c r="O76" s="35" t="str">
        <f aca="false">IF($C76="","",IF(N($N76)&lt;=0,"未开票",IF(ROUND(N($N76)-N($K76),2)&gt;=0,"已开票",IFERROR("部分开票 "&amp;TEXT(N($N76)/N($K76),"0%"),"部分开票"))))</f>
        <v/>
      </c>
      <c r="P76" s="40" t="str">
        <f aca="false">IF($C76="","",ROUND($V76+MIN($W76,MAX(0,(SUMIF(收款键,$D76,收款金额)-SUMIFS(收款金额,收款键,$D76,收款关联,"&lt;&gt;"))-($X76-$W76))),2))</f>
        <v/>
      </c>
      <c r="Q76" s="41" t="str">
        <f aca="false">IF($C76="","",ROUND(N($K76)-N($P76),2))</f>
        <v/>
      </c>
      <c r="R76" s="29" t="str">
        <f aca="false">IF($C76="","",YEAR($C76))</f>
        <v/>
      </c>
      <c r="S76" s="24"/>
      <c r="T76" s="35" t="str">
        <f aca="false">IF($C76="","",IF($D76="","★没选客户项目",IF(COUNTIF(合同键,$D76)=0,"★《维保合同》里没这个项目",IF(N($K76)&lt;=0,"★应收金额要填",IF(ROUND(N($N76)-N($K76),2)&gt;0.001,"★开票金额大于应收",IF(AND($L76&lt;&gt;"",N($N76)&lt;=0),"★填了开票日期没填开票金额",IF(AND($I76&lt;&gt;"",$J76&lt;&gt;"",$J76&lt;$I76),"★计费期间起止反了","OK")))))))</f>
        <v/>
      </c>
      <c r="U76" s="29" t="str">
        <f aca="false">IF($L76="","",YEAR($L76))</f>
        <v/>
      </c>
      <c r="V76" s="40" t="str">
        <f aca="false">IF($C76="","",ROUND(SUMIF(收款关联,$B76,收款金额),2))</f>
        <v/>
      </c>
      <c r="W76" s="40" t="str">
        <f aca="false">IF($C76="","",MAX(0,ROUND(N($K76)-N($V76),2)))</f>
        <v/>
      </c>
      <c r="X76" s="40" t="str">
        <f aca="false">IF($C76="","",ROUND(SUMIFS(应收净额,应收键,$D76,应收行号,"&lt;="&amp;ROW()),2))</f>
        <v/>
      </c>
      <c r="Y76" s="29" t="str">
        <f aca="false">IF($C76="","",ROW())</f>
        <v/>
      </c>
    </row>
    <row r="77" customFormat="false" ht="15" hidden="false" customHeight="false" outlineLevel="0" collapsed="false">
      <c r="A77" s="29" t="str">
        <f aca="false">IF($C77="","",ROW()-4)</f>
        <v/>
      </c>
      <c r="B77" s="35" t="str">
        <f aca="false">IF($C77="","","YS"&amp;TEXT($C77,"yyyymm")&amp;"-"&amp;TEXT(ROW()-4,"0000"))</f>
        <v/>
      </c>
      <c r="C77" s="33"/>
      <c r="D77" s="24"/>
      <c r="E77" s="30" t="str">
        <f aca="false">IF($D77="","",IFERROR(INDEX(合同单位,MATCH($D77,合同键,0)),IFERROR(TRIM(LEFT($D77,FIND("｜",$D77)-1)),$D77)))</f>
        <v/>
      </c>
      <c r="F77" s="30" t="str">
        <f aca="false">IF($D77="","",IFERROR(INDEX(合同项目,MATCH($D77,合同键,0)),IFERROR(TRIM(MID($D77,FIND("｜",$D77)+1,99)),"")))</f>
        <v/>
      </c>
      <c r="G77" s="24"/>
      <c r="H77" s="35" t="str">
        <f aca="false">IF($G77="","",IFERROR(INDEX(费用款别,MATCH($G77,费用类别表,0)),"合同外款"))</f>
        <v/>
      </c>
      <c r="I77" s="33"/>
      <c r="J77" s="33"/>
      <c r="K77" s="39"/>
      <c r="L77" s="33"/>
      <c r="M77" s="25"/>
      <c r="N77" s="39"/>
      <c r="O77" s="35" t="str">
        <f aca="false">IF($C77="","",IF(N($N77)&lt;=0,"未开票",IF(ROUND(N($N77)-N($K77),2)&gt;=0,"已开票",IFERROR("部分开票 "&amp;TEXT(N($N77)/N($K77),"0%"),"部分开票"))))</f>
        <v/>
      </c>
      <c r="P77" s="40" t="str">
        <f aca="false">IF($C77="","",ROUND($V77+MIN($W77,MAX(0,(SUMIF(收款键,$D77,收款金额)-SUMIFS(收款金额,收款键,$D77,收款关联,"&lt;&gt;"))-($X77-$W77))),2))</f>
        <v/>
      </c>
      <c r="Q77" s="41" t="str">
        <f aca="false">IF($C77="","",ROUND(N($K77)-N($P77),2))</f>
        <v/>
      </c>
      <c r="R77" s="29" t="str">
        <f aca="false">IF($C77="","",YEAR($C77))</f>
        <v/>
      </c>
      <c r="S77" s="24"/>
      <c r="T77" s="35" t="str">
        <f aca="false">IF($C77="","",IF($D77="","★没选客户项目",IF(COUNTIF(合同键,$D77)=0,"★《维保合同》里没这个项目",IF(N($K77)&lt;=0,"★应收金额要填",IF(ROUND(N($N77)-N($K77),2)&gt;0.001,"★开票金额大于应收",IF(AND($L77&lt;&gt;"",N($N77)&lt;=0),"★填了开票日期没填开票金额",IF(AND($I77&lt;&gt;"",$J77&lt;&gt;"",$J77&lt;$I77),"★计费期间起止反了","OK")))))))</f>
        <v/>
      </c>
      <c r="U77" s="29" t="str">
        <f aca="false">IF($L77="","",YEAR($L77))</f>
        <v/>
      </c>
      <c r="V77" s="40" t="str">
        <f aca="false">IF($C77="","",ROUND(SUMIF(收款关联,$B77,收款金额),2))</f>
        <v/>
      </c>
      <c r="W77" s="40" t="str">
        <f aca="false">IF($C77="","",MAX(0,ROUND(N($K77)-N($V77),2)))</f>
        <v/>
      </c>
      <c r="X77" s="40" t="str">
        <f aca="false">IF($C77="","",ROUND(SUMIFS(应收净额,应收键,$D77,应收行号,"&lt;="&amp;ROW()),2))</f>
        <v/>
      </c>
      <c r="Y77" s="29" t="str">
        <f aca="false">IF($C77="","",ROW())</f>
        <v/>
      </c>
    </row>
    <row r="78" customFormat="false" ht="15" hidden="false" customHeight="false" outlineLevel="0" collapsed="false">
      <c r="A78" s="29" t="str">
        <f aca="false">IF($C78="","",ROW()-4)</f>
        <v/>
      </c>
      <c r="B78" s="35" t="str">
        <f aca="false">IF($C78="","","YS"&amp;TEXT($C78,"yyyymm")&amp;"-"&amp;TEXT(ROW()-4,"0000"))</f>
        <v/>
      </c>
      <c r="C78" s="33"/>
      <c r="D78" s="24"/>
      <c r="E78" s="30" t="str">
        <f aca="false">IF($D78="","",IFERROR(INDEX(合同单位,MATCH($D78,合同键,0)),IFERROR(TRIM(LEFT($D78,FIND("｜",$D78)-1)),$D78)))</f>
        <v/>
      </c>
      <c r="F78" s="30" t="str">
        <f aca="false">IF($D78="","",IFERROR(INDEX(合同项目,MATCH($D78,合同键,0)),IFERROR(TRIM(MID($D78,FIND("｜",$D78)+1,99)),"")))</f>
        <v/>
      </c>
      <c r="G78" s="24"/>
      <c r="H78" s="35" t="str">
        <f aca="false">IF($G78="","",IFERROR(INDEX(费用款别,MATCH($G78,费用类别表,0)),"合同外款"))</f>
        <v/>
      </c>
      <c r="I78" s="33"/>
      <c r="J78" s="33"/>
      <c r="K78" s="39"/>
      <c r="L78" s="33"/>
      <c r="M78" s="25"/>
      <c r="N78" s="39"/>
      <c r="O78" s="35" t="str">
        <f aca="false">IF($C78="","",IF(N($N78)&lt;=0,"未开票",IF(ROUND(N($N78)-N($K78),2)&gt;=0,"已开票",IFERROR("部分开票 "&amp;TEXT(N($N78)/N($K78),"0%"),"部分开票"))))</f>
        <v/>
      </c>
      <c r="P78" s="40" t="str">
        <f aca="false">IF($C78="","",ROUND($V78+MIN($W78,MAX(0,(SUMIF(收款键,$D78,收款金额)-SUMIFS(收款金额,收款键,$D78,收款关联,"&lt;&gt;"))-($X78-$W78))),2))</f>
        <v/>
      </c>
      <c r="Q78" s="41" t="str">
        <f aca="false">IF($C78="","",ROUND(N($K78)-N($P78),2))</f>
        <v/>
      </c>
      <c r="R78" s="29" t="str">
        <f aca="false">IF($C78="","",YEAR($C78))</f>
        <v/>
      </c>
      <c r="S78" s="24"/>
      <c r="T78" s="35" t="str">
        <f aca="false">IF($C78="","",IF($D78="","★没选客户项目",IF(COUNTIF(合同键,$D78)=0,"★《维保合同》里没这个项目",IF(N($K78)&lt;=0,"★应收金额要填",IF(ROUND(N($N78)-N($K78),2)&gt;0.001,"★开票金额大于应收",IF(AND($L78&lt;&gt;"",N($N78)&lt;=0),"★填了开票日期没填开票金额",IF(AND($I78&lt;&gt;"",$J78&lt;&gt;"",$J78&lt;$I78),"★计费期间起止反了","OK")))))))</f>
        <v/>
      </c>
      <c r="U78" s="29" t="str">
        <f aca="false">IF($L78="","",YEAR($L78))</f>
        <v/>
      </c>
      <c r="V78" s="40" t="str">
        <f aca="false">IF($C78="","",ROUND(SUMIF(收款关联,$B78,收款金额),2))</f>
        <v/>
      </c>
      <c r="W78" s="40" t="str">
        <f aca="false">IF($C78="","",MAX(0,ROUND(N($K78)-N($V78),2)))</f>
        <v/>
      </c>
      <c r="X78" s="40" t="str">
        <f aca="false">IF($C78="","",ROUND(SUMIFS(应收净额,应收键,$D78,应收行号,"&lt;="&amp;ROW()),2))</f>
        <v/>
      </c>
      <c r="Y78" s="29" t="str">
        <f aca="false">IF($C78="","",ROW())</f>
        <v/>
      </c>
    </row>
    <row r="79" customFormat="false" ht="15" hidden="false" customHeight="false" outlineLevel="0" collapsed="false">
      <c r="A79" s="29" t="str">
        <f aca="false">IF($C79="","",ROW()-4)</f>
        <v/>
      </c>
      <c r="B79" s="35" t="str">
        <f aca="false">IF($C79="","","YS"&amp;TEXT($C79,"yyyymm")&amp;"-"&amp;TEXT(ROW()-4,"0000"))</f>
        <v/>
      </c>
      <c r="C79" s="33"/>
      <c r="D79" s="24"/>
      <c r="E79" s="30" t="str">
        <f aca="false">IF($D79="","",IFERROR(INDEX(合同单位,MATCH($D79,合同键,0)),IFERROR(TRIM(LEFT($D79,FIND("｜",$D79)-1)),$D79)))</f>
        <v/>
      </c>
      <c r="F79" s="30" t="str">
        <f aca="false">IF($D79="","",IFERROR(INDEX(合同项目,MATCH($D79,合同键,0)),IFERROR(TRIM(MID($D79,FIND("｜",$D79)+1,99)),"")))</f>
        <v/>
      </c>
      <c r="G79" s="24"/>
      <c r="H79" s="35" t="str">
        <f aca="false">IF($G79="","",IFERROR(INDEX(费用款别,MATCH($G79,费用类别表,0)),"合同外款"))</f>
        <v/>
      </c>
      <c r="I79" s="33"/>
      <c r="J79" s="33"/>
      <c r="K79" s="39"/>
      <c r="L79" s="33"/>
      <c r="M79" s="25"/>
      <c r="N79" s="39"/>
      <c r="O79" s="35" t="str">
        <f aca="false">IF($C79="","",IF(N($N79)&lt;=0,"未开票",IF(ROUND(N($N79)-N($K79),2)&gt;=0,"已开票",IFERROR("部分开票 "&amp;TEXT(N($N79)/N($K79),"0%"),"部分开票"))))</f>
        <v/>
      </c>
      <c r="P79" s="40" t="str">
        <f aca="false">IF($C79="","",ROUND($V79+MIN($W79,MAX(0,(SUMIF(收款键,$D79,收款金额)-SUMIFS(收款金额,收款键,$D79,收款关联,"&lt;&gt;"))-($X79-$W79))),2))</f>
        <v/>
      </c>
      <c r="Q79" s="41" t="str">
        <f aca="false">IF($C79="","",ROUND(N($K79)-N($P79),2))</f>
        <v/>
      </c>
      <c r="R79" s="29" t="str">
        <f aca="false">IF($C79="","",YEAR($C79))</f>
        <v/>
      </c>
      <c r="S79" s="24"/>
      <c r="T79" s="35" t="str">
        <f aca="false">IF($C79="","",IF($D79="","★没选客户项目",IF(COUNTIF(合同键,$D79)=0,"★《维保合同》里没这个项目",IF(N($K79)&lt;=0,"★应收金额要填",IF(ROUND(N($N79)-N($K79),2)&gt;0.001,"★开票金额大于应收",IF(AND($L79&lt;&gt;"",N($N79)&lt;=0),"★填了开票日期没填开票金额",IF(AND($I79&lt;&gt;"",$J79&lt;&gt;"",$J79&lt;$I79),"★计费期间起止反了","OK")))))))</f>
        <v/>
      </c>
      <c r="U79" s="29" t="str">
        <f aca="false">IF($L79="","",YEAR($L79))</f>
        <v/>
      </c>
      <c r="V79" s="40" t="str">
        <f aca="false">IF($C79="","",ROUND(SUMIF(收款关联,$B79,收款金额),2))</f>
        <v/>
      </c>
      <c r="W79" s="40" t="str">
        <f aca="false">IF($C79="","",MAX(0,ROUND(N($K79)-N($V79),2)))</f>
        <v/>
      </c>
      <c r="X79" s="40" t="str">
        <f aca="false">IF($C79="","",ROUND(SUMIFS(应收净额,应收键,$D79,应收行号,"&lt;="&amp;ROW()),2))</f>
        <v/>
      </c>
      <c r="Y79" s="29" t="str">
        <f aca="false">IF($C79="","",ROW())</f>
        <v/>
      </c>
    </row>
    <row r="80" customFormat="false" ht="15" hidden="false" customHeight="false" outlineLevel="0" collapsed="false">
      <c r="A80" s="29" t="str">
        <f aca="false">IF($C80="","",ROW()-4)</f>
        <v/>
      </c>
      <c r="B80" s="35" t="str">
        <f aca="false">IF($C80="","","YS"&amp;TEXT($C80,"yyyymm")&amp;"-"&amp;TEXT(ROW()-4,"0000"))</f>
        <v/>
      </c>
      <c r="C80" s="33"/>
      <c r="D80" s="24"/>
      <c r="E80" s="30" t="str">
        <f aca="false">IF($D80="","",IFERROR(INDEX(合同单位,MATCH($D80,合同键,0)),IFERROR(TRIM(LEFT($D80,FIND("｜",$D80)-1)),$D80)))</f>
        <v/>
      </c>
      <c r="F80" s="30" t="str">
        <f aca="false">IF($D80="","",IFERROR(INDEX(合同项目,MATCH($D80,合同键,0)),IFERROR(TRIM(MID($D80,FIND("｜",$D80)+1,99)),"")))</f>
        <v/>
      </c>
      <c r="G80" s="24"/>
      <c r="H80" s="35" t="str">
        <f aca="false">IF($G80="","",IFERROR(INDEX(费用款别,MATCH($G80,费用类别表,0)),"合同外款"))</f>
        <v/>
      </c>
      <c r="I80" s="33"/>
      <c r="J80" s="33"/>
      <c r="K80" s="39"/>
      <c r="L80" s="33"/>
      <c r="M80" s="25"/>
      <c r="N80" s="39"/>
      <c r="O80" s="35" t="str">
        <f aca="false">IF($C80="","",IF(N($N80)&lt;=0,"未开票",IF(ROUND(N($N80)-N($K80),2)&gt;=0,"已开票",IFERROR("部分开票 "&amp;TEXT(N($N80)/N($K80),"0%"),"部分开票"))))</f>
        <v/>
      </c>
      <c r="P80" s="40" t="str">
        <f aca="false">IF($C80="","",ROUND($V80+MIN($W80,MAX(0,(SUMIF(收款键,$D80,收款金额)-SUMIFS(收款金额,收款键,$D80,收款关联,"&lt;&gt;"))-($X80-$W80))),2))</f>
        <v/>
      </c>
      <c r="Q80" s="41" t="str">
        <f aca="false">IF($C80="","",ROUND(N($K80)-N($P80),2))</f>
        <v/>
      </c>
      <c r="R80" s="29" t="str">
        <f aca="false">IF($C80="","",YEAR($C80))</f>
        <v/>
      </c>
      <c r="S80" s="24"/>
      <c r="T80" s="35" t="str">
        <f aca="false">IF($C80="","",IF($D80="","★没选客户项目",IF(COUNTIF(合同键,$D80)=0,"★《维保合同》里没这个项目",IF(N($K80)&lt;=0,"★应收金额要填",IF(ROUND(N($N80)-N($K80),2)&gt;0.001,"★开票金额大于应收",IF(AND($L80&lt;&gt;"",N($N80)&lt;=0),"★填了开票日期没填开票金额",IF(AND($I80&lt;&gt;"",$J80&lt;&gt;"",$J80&lt;$I80),"★计费期间起止反了","OK")))))))</f>
        <v/>
      </c>
      <c r="U80" s="29" t="str">
        <f aca="false">IF($L80="","",YEAR($L80))</f>
        <v/>
      </c>
      <c r="V80" s="40" t="str">
        <f aca="false">IF($C80="","",ROUND(SUMIF(收款关联,$B80,收款金额),2))</f>
        <v/>
      </c>
      <c r="W80" s="40" t="str">
        <f aca="false">IF($C80="","",MAX(0,ROUND(N($K80)-N($V80),2)))</f>
        <v/>
      </c>
      <c r="X80" s="40" t="str">
        <f aca="false">IF($C80="","",ROUND(SUMIFS(应收净额,应收键,$D80,应收行号,"&lt;="&amp;ROW()),2))</f>
        <v/>
      </c>
      <c r="Y80" s="29" t="str">
        <f aca="false">IF($C80="","",ROW())</f>
        <v/>
      </c>
    </row>
    <row r="81" customFormat="false" ht="15" hidden="false" customHeight="false" outlineLevel="0" collapsed="false">
      <c r="A81" s="29" t="str">
        <f aca="false">IF($C81="","",ROW()-4)</f>
        <v/>
      </c>
      <c r="B81" s="35" t="str">
        <f aca="false">IF($C81="","","YS"&amp;TEXT($C81,"yyyymm")&amp;"-"&amp;TEXT(ROW()-4,"0000"))</f>
        <v/>
      </c>
      <c r="C81" s="33"/>
      <c r="D81" s="24"/>
      <c r="E81" s="30" t="str">
        <f aca="false">IF($D81="","",IFERROR(INDEX(合同单位,MATCH($D81,合同键,0)),IFERROR(TRIM(LEFT($D81,FIND("｜",$D81)-1)),$D81)))</f>
        <v/>
      </c>
      <c r="F81" s="30" t="str">
        <f aca="false">IF($D81="","",IFERROR(INDEX(合同项目,MATCH($D81,合同键,0)),IFERROR(TRIM(MID($D81,FIND("｜",$D81)+1,99)),"")))</f>
        <v/>
      </c>
      <c r="G81" s="24"/>
      <c r="H81" s="35" t="str">
        <f aca="false">IF($G81="","",IFERROR(INDEX(费用款别,MATCH($G81,费用类别表,0)),"合同外款"))</f>
        <v/>
      </c>
      <c r="I81" s="33"/>
      <c r="J81" s="33"/>
      <c r="K81" s="39"/>
      <c r="L81" s="33"/>
      <c r="M81" s="25"/>
      <c r="N81" s="39"/>
      <c r="O81" s="35" t="str">
        <f aca="false">IF($C81="","",IF(N($N81)&lt;=0,"未开票",IF(ROUND(N($N81)-N($K81),2)&gt;=0,"已开票",IFERROR("部分开票 "&amp;TEXT(N($N81)/N($K81),"0%"),"部分开票"))))</f>
        <v/>
      </c>
      <c r="P81" s="40" t="str">
        <f aca="false">IF($C81="","",ROUND($V81+MIN($W81,MAX(0,(SUMIF(收款键,$D81,收款金额)-SUMIFS(收款金额,收款键,$D81,收款关联,"&lt;&gt;"))-($X81-$W81))),2))</f>
        <v/>
      </c>
      <c r="Q81" s="41" t="str">
        <f aca="false">IF($C81="","",ROUND(N($K81)-N($P81),2))</f>
        <v/>
      </c>
      <c r="R81" s="29" t="str">
        <f aca="false">IF($C81="","",YEAR($C81))</f>
        <v/>
      </c>
      <c r="S81" s="24"/>
      <c r="T81" s="35" t="str">
        <f aca="false">IF($C81="","",IF($D81="","★没选客户项目",IF(COUNTIF(合同键,$D81)=0,"★《维保合同》里没这个项目",IF(N($K81)&lt;=0,"★应收金额要填",IF(ROUND(N($N81)-N($K81),2)&gt;0.001,"★开票金额大于应收",IF(AND($L81&lt;&gt;"",N($N81)&lt;=0),"★填了开票日期没填开票金额",IF(AND($I81&lt;&gt;"",$J81&lt;&gt;"",$J81&lt;$I81),"★计费期间起止反了","OK")))))))</f>
        <v/>
      </c>
      <c r="U81" s="29" t="str">
        <f aca="false">IF($L81="","",YEAR($L81))</f>
        <v/>
      </c>
      <c r="V81" s="40" t="str">
        <f aca="false">IF($C81="","",ROUND(SUMIF(收款关联,$B81,收款金额),2))</f>
        <v/>
      </c>
      <c r="W81" s="40" t="str">
        <f aca="false">IF($C81="","",MAX(0,ROUND(N($K81)-N($V81),2)))</f>
        <v/>
      </c>
      <c r="X81" s="40" t="str">
        <f aca="false">IF($C81="","",ROUND(SUMIFS(应收净额,应收键,$D81,应收行号,"&lt;="&amp;ROW()),2))</f>
        <v/>
      </c>
      <c r="Y81" s="29" t="str">
        <f aca="false">IF($C81="","",ROW())</f>
        <v/>
      </c>
    </row>
    <row r="82" customFormat="false" ht="15" hidden="false" customHeight="false" outlineLevel="0" collapsed="false">
      <c r="A82" s="29" t="str">
        <f aca="false">IF($C82="","",ROW()-4)</f>
        <v/>
      </c>
      <c r="B82" s="35" t="str">
        <f aca="false">IF($C82="","","YS"&amp;TEXT($C82,"yyyymm")&amp;"-"&amp;TEXT(ROW()-4,"0000"))</f>
        <v/>
      </c>
      <c r="C82" s="33"/>
      <c r="D82" s="24"/>
      <c r="E82" s="30" t="str">
        <f aca="false">IF($D82="","",IFERROR(INDEX(合同单位,MATCH($D82,合同键,0)),IFERROR(TRIM(LEFT($D82,FIND("｜",$D82)-1)),$D82)))</f>
        <v/>
      </c>
      <c r="F82" s="30" t="str">
        <f aca="false">IF($D82="","",IFERROR(INDEX(合同项目,MATCH($D82,合同键,0)),IFERROR(TRIM(MID($D82,FIND("｜",$D82)+1,99)),"")))</f>
        <v/>
      </c>
      <c r="G82" s="24"/>
      <c r="H82" s="35" t="str">
        <f aca="false">IF($G82="","",IFERROR(INDEX(费用款别,MATCH($G82,费用类别表,0)),"合同外款"))</f>
        <v/>
      </c>
      <c r="I82" s="33"/>
      <c r="J82" s="33"/>
      <c r="K82" s="39"/>
      <c r="L82" s="33"/>
      <c r="M82" s="25"/>
      <c r="N82" s="39"/>
      <c r="O82" s="35" t="str">
        <f aca="false">IF($C82="","",IF(N($N82)&lt;=0,"未开票",IF(ROUND(N($N82)-N($K82),2)&gt;=0,"已开票",IFERROR("部分开票 "&amp;TEXT(N($N82)/N($K82),"0%"),"部分开票"))))</f>
        <v/>
      </c>
      <c r="P82" s="40" t="str">
        <f aca="false">IF($C82="","",ROUND($V82+MIN($W82,MAX(0,(SUMIF(收款键,$D82,收款金额)-SUMIFS(收款金额,收款键,$D82,收款关联,"&lt;&gt;"))-($X82-$W82))),2))</f>
        <v/>
      </c>
      <c r="Q82" s="41" t="str">
        <f aca="false">IF($C82="","",ROUND(N($K82)-N($P82),2))</f>
        <v/>
      </c>
      <c r="R82" s="29" t="str">
        <f aca="false">IF($C82="","",YEAR($C82))</f>
        <v/>
      </c>
      <c r="S82" s="24"/>
      <c r="T82" s="35" t="str">
        <f aca="false">IF($C82="","",IF($D82="","★没选客户项目",IF(COUNTIF(合同键,$D82)=0,"★《维保合同》里没这个项目",IF(N($K82)&lt;=0,"★应收金额要填",IF(ROUND(N($N82)-N($K82),2)&gt;0.001,"★开票金额大于应收",IF(AND($L82&lt;&gt;"",N($N82)&lt;=0),"★填了开票日期没填开票金额",IF(AND($I82&lt;&gt;"",$J82&lt;&gt;"",$J82&lt;$I82),"★计费期间起止反了","OK")))))))</f>
        <v/>
      </c>
      <c r="U82" s="29" t="str">
        <f aca="false">IF($L82="","",YEAR($L82))</f>
        <v/>
      </c>
      <c r="V82" s="40" t="str">
        <f aca="false">IF($C82="","",ROUND(SUMIF(收款关联,$B82,收款金额),2))</f>
        <v/>
      </c>
      <c r="W82" s="40" t="str">
        <f aca="false">IF($C82="","",MAX(0,ROUND(N($K82)-N($V82),2)))</f>
        <v/>
      </c>
      <c r="X82" s="40" t="str">
        <f aca="false">IF($C82="","",ROUND(SUMIFS(应收净额,应收键,$D82,应收行号,"&lt;="&amp;ROW()),2))</f>
        <v/>
      </c>
      <c r="Y82" s="29" t="str">
        <f aca="false">IF($C82="","",ROW())</f>
        <v/>
      </c>
    </row>
    <row r="83" customFormat="false" ht="15" hidden="false" customHeight="false" outlineLevel="0" collapsed="false">
      <c r="A83" s="29" t="str">
        <f aca="false">IF($C83="","",ROW()-4)</f>
        <v/>
      </c>
      <c r="B83" s="35" t="str">
        <f aca="false">IF($C83="","","YS"&amp;TEXT($C83,"yyyymm")&amp;"-"&amp;TEXT(ROW()-4,"0000"))</f>
        <v/>
      </c>
      <c r="C83" s="33"/>
      <c r="D83" s="24"/>
      <c r="E83" s="30" t="str">
        <f aca="false">IF($D83="","",IFERROR(INDEX(合同单位,MATCH($D83,合同键,0)),IFERROR(TRIM(LEFT($D83,FIND("｜",$D83)-1)),$D83)))</f>
        <v/>
      </c>
      <c r="F83" s="30" t="str">
        <f aca="false">IF($D83="","",IFERROR(INDEX(合同项目,MATCH($D83,合同键,0)),IFERROR(TRIM(MID($D83,FIND("｜",$D83)+1,99)),"")))</f>
        <v/>
      </c>
      <c r="G83" s="24"/>
      <c r="H83" s="35" t="str">
        <f aca="false">IF($G83="","",IFERROR(INDEX(费用款别,MATCH($G83,费用类别表,0)),"合同外款"))</f>
        <v/>
      </c>
      <c r="I83" s="33"/>
      <c r="J83" s="33"/>
      <c r="K83" s="39"/>
      <c r="L83" s="33"/>
      <c r="M83" s="25"/>
      <c r="N83" s="39"/>
      <c r="O83" s="35" t="str">
        <f aca="false">IF($C83="","",IF(N($N83)&lt;=0,"未开票",IF(ROUND(N($N83)-N($K83),2)&gt;=0,"已开票",IFERROR("部分开票 "&amp;TEXT(N($N83)/N($K83),"0%"),"部分开票"))))</f>
        <v/>
      </c>
      <c r="P83" s="40" t="str">
        <f aca="false">IF($C83="","",ROUND($V83+MIN($W83,MAX(0,(SUMIF(收款键,$D83,收款金额)-SUMIFS(收款金额,收款键,$D83,收款关联,"&lt;&gt;"))-($X83-$W83))),2))</f>
        <v/>
      </c>
      <c r="Q83" s="41" t="str">
        <f aca="false">IF($C83="","",ROUND(N($K83)-N($P83),2))</f>
        <v/>
      </c>
      <c r="R83" s="29" t="str">
        <f aca="false">IF($C83="","",YEAR($C83))</f>
        <v/>
      </c>
      <c r="S83" s="24"/>
      <c r="T83" s="35" t="str">
        <f aca="false">IF($C83="","",IF($D83="","★没选客户项目",IF(COUNTIF(合同键,$D83)=0,"★《维保合同》里没这个项目",IF(N($K83)&lt;=0,"★应收金额要填",IF(ROUND(N($N83)-N($K83),2)&gt;0.001,"★开票金额大于应收",IF(AND($L83&lt;&gt;"",N($N83)&lt;=0),"★填了开票日期没填开票金额",IF(AND($I83&lt;&gt;"",$J83&lt;&gt;"",$J83&lt;$I83),"★计费期间起止反了","OK")))))))</f>
        <v/>
      </c>
      <c r="U83" s="29" t="str">
        <f aca="false">IF($L83="","",YEAR($L83))</f>
        <v/>
      </c>
      <c r="V83" s="40" t="str">
        <f aca="false">IF($C83="","",ROUND(SUMIF(收款关联,$B83,收款金额),2))</f>
        <v/>
      </c>
      <c r="W83" s="40" t="str">
        <f aca="false">IF($C83="","",MAX(0,ROUND(N($K83)-N($V83),2)))</f>
        <v/>
      </c>
      <c r="X83" s="40" t="str">
        <f aca="false">IF($C83="","",ROUND(SUMIFS(应收净额,应收键,$D83,应收行号,"&lt;="&amp;ROW()),2))</f>
        <v/>
      </c>
      <c r="Y83" s="29" t="str">
        <f aca="false">IF($C83="","",ROW())</f>
        <v/>
      </c>
    </row>
    <row r="84" customFormat="false" ht="15" hidden="false" customHeight="false" outlineLevel="0" collapsed="false">
      <c r="A84" s="29" t="str">
        <f aca="false">IF($C84="","",ROW()-4)</f>
        <v/>
      </c>
      <c r="B84" s="35" t="str">
        <f aca="false">IF($C84="","","YS"&amp;TEXT($C84,"yyyymm")&amp;"-"&amp;TEXT(ROW()-4,"0000"))</f>
        <v/>
      </c>
      <c r="C84" s="33"/>
      <c r="D84" s="24"/>
      <c r="E84" s="30" t="str">
        <f aca="false">IF($D84="","",IFERROR(INDEX(合同单位,MATCH($D84,合同键,0)),IFERROR(TRIM(LEFT($D84,FIND("｜",$D84)-1)),$D84)))</f>
        <v/>
      </c>
      <c r="F84" s="30" t="str">
        <f aca="false">IF($D84="","",IFERROR(INDEX(合同项目,MATCH($D84,合同键,0)),IFERROR(TRIM(MID($D84,FIND("｜",$D84)+1,99)),"")))</f>
        <v/>
      </c>
      <c r="G84" s="24"/>
      <c r="H84" s="35" t="str">
        <f aca="false">IF($G84="","",IFERROR(INDEX(费用款别,MATCH($G84,费用类别表,0)),"合同外款"))</f>
        <v/>
      </c>
      <c r="I84" s="33"/>
      <c r="J84" s="33"/>
      <c r="K84" s="39"/>
      <c r="L84" s="33"/>
      <c r="M84" s="25"/>
      <c r="N84" s="39"/>
      <c r="O84" s="35" t="str">
        <f aca="false">IF($C84="","",IF(N($N84)&lt;=0,"未开票",IF(ROUND(N($N84)-N($K84),2)&gt;=0,"已开票",IFERROR("部分开票 "&amp;TEXT(N($N84)/N($K84),"0%"),"部分开票"))))</f>
        <v/>
      </c>
      <c r="P84" s="40" t="str">
        <f aca="false">IF($C84="","",ROUND($V84+MIN($W84,MAX(0,(SUMIF(收款键,$D84,收款金额)-SUMIFS(收款金额,收款键,$D84,收款关联,"&lt;&gt;"))-($X84-$W84))),2))</f>
        <v/>
      </c>
      <c r="Q84" s="41" t="str">
        <f aca="false">IF($C84="","",ROUND(N($K84)-N($P84),2))</f>
        <v/>
      </c>
      <c r="R84" s="29" t="str">
        <f aca="false">IF($C84="","",YEAR($C84))</f>
        <v/>
      </c>
      <c r="S84" s="24"/>
      <c r="T84" s="35" t="str">
        <f aca="false">IF($C84="","",IF($D84="","★没选客户项目",IF(COUNTIF(合同键,$D84)=0,"★《维保合同》里没这个项目",IF(N($K84)&lt;=0,"★应收金额要填",IF(ROUND(N($N84)-N($K84),2)&gt;0.001,"★开票金额大于应收",IF(AND($L84&lt;&gt;"",N($N84)&lt;=0),"★填了开票日期没填开票金额",IF(AND($I84&lt;&gt;"",$J84&lt;&gt;"",$J84&lt;$I84),"★计费期间起止反了","OK")))))))</f>
        <v/>
      </c>
      <c r="U84" s="29" t="str">
        <f aca="false">IF($L84="","",YEAR($L84))</f>
        <v/>
      </c>
      <c r="V84" s="40" t="str">
        <f aca="false">IF($C84="","",ROUND(SUMIF(收款关联,$B84,收款金额),2))</f>
        <v/>
      </c>
      <c r="W84" s="40" t="str">
        <f aca="false">IF($C84="","",MAX(0,ROUND(N($K84)-N($V84),2)))</f>
        <v/>
      </c>
      <c r="X84" s="40" t="str">
        <f aca="false">IF($C84="","",ROUND(SUMIFS(应收净额,应收键,$D84,应收行号,"&lt;="&amp;ROW()),2))</f>
        <v/>
      </c>
      <c r="Y84" s="29" t="str">
        <f aca="false">IF($C84="","",ROW())</f>
        <v/>
      </c>
    </row>
    <row r="85" customFormat="false" ht="15" hidden="false" customHeight="false" outlineLevel="0" collapsed="false">
      <c r="A85" s="29" t="str">
        <f aca="false">IF($C85="","",ROW()-4)</f>
        <v/>
      </c>
      <c r="B85" s="35" t="str">
        <f aca="false">IF($C85="","","YS"&amp;TEXT($C85,"yyyymm")&amp;"-"&amp;TEXT(ROW()-4,"0000"))</f>
        <v/>
      </c>
      <c r="C85" s="33"/>
      <c r="D85" s="24"/>
      <c r="E85" s="30" t="str">
        <f aca="false">IF($D85="","",IFERROR(INDEX(合同单位,MATCH($D85,合同键,0)),IFERROR(TRIM(LEFT($D85,FIND("｜",$D85)-1)),$D85)))</f>
        <v/>
      </c>
      <c r="F85" s="30" t="str">
        <f aca="false">IF($D85="","",IFERROR(INDEX(合同项目,MATCH($D85,合同键,0)),IFERROR(TRIM(MID($D85,FIND("｜",$D85)+1,99)),"")))</f>
        <v/>
      </c>
      <c r="G85" s="24"/>
      <c r="H85" s="35" t="str">
        <f aca="false">IF($G85="","",IFERROR(INDEX(费用款别,MATCH($G85,费用类别表,0)),"合同外款"))</f>
        <v/>
      </c>
      <c r="I85" s="33"/>
      <c r="J85" s="33"/>
      <c r="K85" s="39"/>
      <c r="L85" s="33"/>
      <c r="M85" s="25"/>
      <c r="N85" s="39"/>
      <c r="O85" s="35" t="str">
        <f aca="false">IF($C85="","",IF(N($N85)&lt;=0,"未开票",IF(ROUND(N($N85)-N($K85),2)&gt;=0,"已开票",IFERROR("部分开票 "&amp;TEXT(N($N85)/N($K85),"0%"),"部分开票"))))</f>
        <v/>
      </c>
      <c r="P85" s="40" t="str">
        <f aca="false">IF($C85="","",ROUND($V85+MIN($W85,MAX(0,(SUMIF(收款键,$D85,收款金额)-SUMIFS(收款金额,收款键,$D85,收款关联,"&lt;&gt;"))-($X85-$W85))),2))</f>
        <v/>
      </c>
      <c r="Q85" s="41" t="str">
        <f aca="false">IF($C85="","",ROUND(N($K85)-N($P85),2))</f>
        <v/>
      </c>
      <c r="R85" s="29" t="str">
        <f aca="false">IF($C85="","",YEAR($C85))</f>
        <v/>
      </c>
      <c r="S85" s="24"/>
      <c r="T85" s="35" t="str">
        <f aca="false">IF($C85="","",IF($D85="","★没选客户项目",IF(COUNTIF(合同键,$D85)=0,"★《维保合同》里没这个项目",IF(N($K85)&lt;=0,"★应收金额要填",IF(ROUND(N($N85)-N($K85),2)&gt;0.001,"★开票金额大于应收",IF(AND($L85&lt;&gt;"",N($N85)&lt;=0),"★填了开票日期没填开票金额",IF(AND($I85&lt;&gt;"",$J85&lt;&gt;"",$J85&lt;$I85),"★计费期间起止反了","OK")))))))</f>
        <v/>
      </c>
      <c r="U85" s="29" t="str">
        <f aca="false">IF($L85="","",YEAR($L85))</f>
        <v/>
      </c>
      <c r="V85" s="40" t="str">
        <f aca="false">IF($C85="","",ROUND(SUMIF(收款关联,$B85,收款金额),2))</f>
        <v/>
      </c>
      <c r="W85" s="40" t="str">
        <f aca="false">IF($C85="","",MAX(0,ROUND(N($K85)-N($V85),2)))</f>
        <v/>
      </c>
      <c r="X85" s="40" t="str">
        <f aca="false">IF($C85="","",ROUND(SUMIFS(应收净额,应收键,$D85,应收行号,"&lt;="&amp;ROW()),2))</f>
        <v/>
      </c>
      <c r="Y85" s="29" t="str">
        <f aca="false">IF($C85="","",ROW())</f>
        <v/>
      </c>
    </row>
    <row r="86" customFormat="false" ht="15" hidden="false" customHeight="false" outlineLevel="0" collapsed="false">
      <c r="A86" s="29" t="str">
        <f aca="false">IF($C86="","",ROW()-4)</f>
        <v/>
      </c>
      <c r="B86" s="35" t="str">
        <f aca="false">IF($C86="","","YS"&amp;TEXT($C86,"yyyymm")&amp;"-"&amp;TEXT(ROW()-4,"0000"))</f>
        <v/>
      </c>
      <c r="C86" s="33"/>
      <c r="D86" s="24"/>
      <c r="E86" s="30" t="str">
        <f aca="false">IF($D86="","",IFERROR(INDEX(合同单位,MATCH($D86,合同键,0)),IFERROR(TRIM(LEFT($D86,FIND("｜",$D86)-1)),$D86)))</f>
        <v/>
      </c>
      <c r="F86" s="30" t="str">
        <f aca="false">IF($D86="","",IFERROR(INDEX(合同项目,MATCH($D86,合同键,0)),IFERROR(TRIM(MID($D86,FIND("｜",$D86)+1,99)),"")))</f>
        <v/>
      </c>
      <c r="G86" s="24"/>
      <c r="H86" s="35" t="str">
        <f aca="false">IF($G86="","",IFERROR(INDEX(费用款别,MATCH($G86,费用类别表,0)),"合同外款"))</f>
        <v/>
      </c>
      <c r="I86" s="33"/>
      <c r="J86" s="33"/>
      <c r="K86" s="39"/>
      <c r="L86" s="33"/>
      <c r="M86" s="25"/>
      <c r="N86" s="39"/>
      <c r="O86" s="35" t="str">
        <f aca="false">IF($C86="","",IF(N($N86)&lt;=0,"未开票",IF(ROUND(N($N86)-N($K86),2)&gt;=0,"已开票",IFERROR("部分开票 "&amp;TEXT(N($N86)/N($K86),"0%"),"部分开票"))))</f>
        <v/>
      </c>
      <c r="P86" s="40" t="str">
        <f aca="false">IF($C86="","",ROUND($V86+MIN($W86,MAX(0,(SUMIF(收款键,$D86,收款金额)-SUMIFS(收款金额,收款键,$D86,收款关联,"&lt;&gt;"))-($X86-$W86))),2))</f>
        <v/>
      </c>
      <c r="Q86" s="41" t="str">
        <f aca="false">IF($C86="","",ROUND(N($K86)-N($P86),2))</f>
        <v/>
      </c>
      <c r="R86" s="29" t="str">
        <f aca="false">IF($C86="","",YEAR($C86))</f>
        <v/>
      </c>
      <c r="S86" s="24"/>
      <c r="T86" s="35" t="str">
        <f aca="false">IF($C86="","",IF($D86="","★没选客户项目",IF(COUNTIF(合同键,$D86)=0,"★《维保合同》里没这个项目",IF(N($K86)&lt;=0,"★应收金额要填",IF(ROUND(N($N86)-N($K86),2)&gt;0.001,"★开票金额大于应收",IF(AND($L86&lt;&gt;"",N($N86)&lt;=0),"★填了开票日期没填开票金额",IF(AND($I86&lt;&gt;"",$J86&lt;&gt;"",$J86&lt;$I86),"★计费期间起止反了","OK")))))))</f>
        <v/>
      </c>
      <c r="U86" s="29" t="str">
        <f aca="false">IF($L86="","",YEAR($L86))</f>
        <v/>
      </c>
      <c r="V86" s="40" t="str">
        <f aca="false">IF($C86="","",ROUND(SUMIF(收款关联,$B86,收款金额),2))</f>
        <v/>
      </c>
      <c r="W86" s="40" t="str">
        <f aca="false">IF($C86="","",MAX(0,ROUND(N($K86)-N($V86),2)))</f>
        <v/>
      </c>
      <c r="X86" s="40" t="str">
        <f aca="false">IF($C86="","",ROUND(SUMIFS(应收净额,应收键,$D86,应收行号,"&lt;="&amp;ROW()),2))</f>
        <v/>
      </c>
      <c r="Y86" s="29" t="str">
        <f aca="false">IF($C86="","",ROW())</f>
        <v/>
      </c>
    </row>
    <row r="87" customFormat="false" ht="15" hidden="false" customHeight="false" outlineLevel="0" collapsed="false">
      <c r="A87" s="29" t="str">
        <f aca="false">IF($C87="","",ROW()-4)</f>
        <v/>
      </c>
      <c r="B87" s="35" t="str">
        <f aca="false">IF($C87="","","YS"&amp;TEXT($C87,"yyyymm")&amp;"-"&amp;TEXT(ROW()-4,"0000"))</f>
        <v/>
      </c>
      <c r="C87" s="33"/>
      <c r="D87" s="24"/>
      <c r="E87" s="30" t="str">
        <f aca="false">IF($D87="","",IFERROR(INDEX(合同单位,MATCH($D87,合同键,0)),IFERROR(TRIM(LEFT($D87,FIND("｜",$D87)-1)),$D87)))</f>
        <v/>
      </c>
      <c r="F87" s="30" t="str">
        <f aca="false">IF($D87="","",IFERROR(INDEX(合同项目,MATCH($D87,合同键,0)),IFERROR(TRIM(MID($D87,FIND("｜",$D87)+1,99)),"")))</f>
        <v/>
      </c>
      <c r="G87" s="24"/>
      <c r="H87" s="35" t="str">
        <f aca="false">IF($G87="","",IFERROR(INDEX(费用款别,MATCH($G87,费用类别表,0)),"合同外款"))</f>
        <v/>
      </c>
      <c r="I87" s="33"/>
      <c r="J87" s="33"/>
      <c r="K87" s="39"/>
      <c r="L87" s="33"/>
      <c r="M87" s="25"/>
      <c r="N87" s="39"/>
      <c r="O87" s="35" t="str">
        <f aca="false">IF($C87="","",IF(N($N87)&lt;=0,"未开票",IF(ROUND(N($N87)-N($K87),2)&gt;=0,"已开票",IFERROR("部分开票 "&amp;TEXT(N($N87)/N($K87),"0%"),"部分开票"))))</f>
        <v/>
      </c>
      <c r="P87" s="40" t="str">
        <f aca="false">IF($C87="","",ROUND($V87+MIN($W87,MAX(0,(SUMIF(收款键,$D87,收款金额)-SUMIFS(收款金额,收款键,$D87,收款关联,"&lt;&gt;"))-($X87-$W87))),2))</f>
        <v/>
      </c>
      <c r="Q87" s="41" t="str">
        <f aca="false">IF($C87="","",ROUND(N($K87)-N($P87),2))</f>
        <v/>
      </c>
      <c r="R87" s="29" t="str">
        <f aca="false">IF($C87="","",YEAR($C87))</f>
        <v/>
      </c>
      <c r="S87" s="24"/>
      <c r="T87" s="35" t="str">
        <f aca="false">IF($C87="","",IF($D87="","★没选客户项目",IF(COUNTIF(合同键,$D87)=0,"★《维保合同》里没这个项目",IF(N($K87)&lt;=0,"★应收金额要填",IF(ROUND(N($N87)-N($K87),2)&gt;0.001,"★开票金额大于应收",IF(AND($L87&lt;&gt;"",N($N87)&lt;=0),"★填了开票日期没填开票金额",IF(AND($I87&lt;&gt;"",$J87&lt;&gt;"",$J87&lt;$I87),"★计费期间起止反了","OK")))))))</f>
        <v/>
      </c>
      <c r="U87" s="29" t="str">
        <f aca="false">IF($L87="","",YEAR($L87))</f>
        <v/>
      </c>
      <c r="V87" s="40" t="str">
        <f aca="false">IF($C87="","",ROUND(SUMIF(收款关联,$B87,收款金额),2))</f>
        <v/>
      </c>
      <c r="W87" s="40" t="str">
        <f aca="false">IF($C87="","",MAX(0,ROUND(N($K87)-N($V87),2)))</f>
        <v/>
      </c>
      <c r="X87" s="40" t="str">
        <f aca="false">IF($C87="","",ROUND(SUMIFS(应收净额,应收键,$D87,应收行号,"&lt;="&amp;ROW()),2))</f>
        <v/>
      </c>
      <c r="Y87" s="29" t="str">
        <f aca="false">IF($C87="","",ROW())</f>
        <v/>
      </c>
    </row>
    <row r="88" customFormat="false" ht="15" hidden="false" customHeight="false" outlineLevel="0" collapsed="false">
      <c r="A88" s="29" t="str">
        <f aca="false">IF($C88="","",ROW()-4)</f>
        <v/>
      </c>
      <c r="B88" s="35" t="str">
        <f aca="false">IF($C88="","","YS"&amp;TEXT($C88,"yyyymm")&amp;"-"&amp;TEXT(ROW()-4,"0000"))</f>
        <v/>
      </c>
      <c r="C88" s="33"/>
      <c r="D88" s="24"/>
      <c r="E88" s="30" t="str">
        <f aca="false">IF($D88="","",IFERROR(INDEX(合同单位,MATCH($D88,合同键,0)),IFERROR(TRIM(LEFT($D88,FIND("｜",$D88)-1)),$D88)))</f>
        <v/>
      </c>
      <c r="F88" s="30" t="str">
        <f aca="false">IF($D88="","",IFERROR(INDEX(合同项目,MATCH($D88,合同键,0)),IFERROR(TRIM(MID($D88,FIND("｜",$D88)+1,99)),"")))</f>
        <v/>
      </c>
      <c r="G88" s="24"/>
      <c r="H88" s="35" t="str">
        <f aca="false">IF($G88="","",IFERROR(INDEX(费用款别,MATCH($G88,费用类别表,0)),"合同外款"))</f>
        <v/>
      </c>
      <c r="I88" s="33"/>
      <c r="J88" s="33"/>
      <c r="K88" s="39"/>
      <c r="L88" s="33"/>
      <c r="M88" s="25"/>
      <c r="N88" s="39"/>
      <c r="O88" s="35" t="str">
        <f aca="false">IF($C88="","",IF(N($N88)&lt;=0,"未开票",IF(ROUND(N($N88)-N($K88),2)&gt;=0,"已开票",IFERROR("部分开票 "&amp;TEXT(N($N88)/N($K88),"0%"),"部分开票"))))</f>
        <v/>
      </c>
      <c r="P88" s="40" t="str">
        <f aca="false">IF($C88="","",ROUND($V88+MIN($W88,MAX(0,(SUMIF(收款键,$D88,收款金额)-SUMIFS(收款金额,收款键,$D88,收款关联,"&lt;&gt;"))-($X88-$W88))),2))</f>
        <v/>
      </c>
      <c r="Q88" s="41" t="str">
        <f aca="false">IF($C88="","",ROUND(N($K88)-N($P88),2))</f>
        <v/>
      </c>
      <c r="R88" s="29" t="str">
        <f aca="false">IF($C88="","",YEAR($C88))</f>
        <v/>
      </c>
      <c r="S88" s="24"/>
      <c r="T88" s="35" t="str">
        <f aca="false">IF($C88="","",IF($D88="","★没选客户项目",IF(COUNTIF(合同键,$D88)=0,"★《维保合同》里没这个项目",IF(N($K88)&lt;=0,"★应收金额要填",IF(ROUND(N($N88)-N($K88),2)&gt;0.001,"★开票金额大于应收",IF(AND($L88&lt;&gt;"",N($N88)&lt;=0),"★填了开票日期没填开票金额",IF(AND($I88&lt;&gt;"",$J88&lt;&gt;"",$J88&lt;$I88),"★计费期间起止反了","OK")))))))</f>
        <v/>
      </c>
      <c r="U88" s="29" t="str">
        <f aca="false">IF($L88="","",YEAR($L88))</f>
        <v/>
      </c>
      <c r="V88" s="40" t="str">
        <f aca="false">IF($C88="","",ROUND(SUMIF(收款关联,$B88,收款金额),2))</f>
        <v/>
      </c>
      <c r="W88" s="40" t="str">
        <f aca="false">IF($C88="","",MAX(0,ROUND(N($K88)-N($V88),2)))</f>
        <v/>
      </c>
      <c r="X88" s="40" t="str">
        <f aca="false">IF($C88="","",ROUND(SUMIFS(应收净额,应收键,$D88,应收行号,"&lt;="&amp;ROW()),2))</f>
        <v/>
      </c>
      <c r="Y88" s="29" t="str">
        <f aca="false">IF($C88="","",ROW())</f>
        <v/>
      </c>
    </row>
    <row r="89" customFormat="false" ht="15" hidden="false" customHeight="false" outlineLevel="0" collapsed="false">
      <c r="A89" s="29" t="str">
        <f aca="false">IF($C89="","",ROW()-4)</f>
        <v/>
      </c>
      <c r="B89" s="35" t="str">
        <f aca="false">IF($C89="","","YS"&amp;TEXT($C89,"yyyymm")&amp;"-"&amp;TEXT(ROW()-4,"0000"))</f>
        <v/>
      </c>
      <c r="C89" s="33"/>
      <c r="D89" s="24"/>
      <c r="E89" s="30" t="str">
        <f aca="false">IF($D89="","",IFERROR(INDEX(合同单位,MATCH($D89,合同键,0)),IFERROR(TRIM(LEFT($D89,FIND("｜",$D89)-1)),$D89)))</f>
        <v/>
      </c>
      <c r="F89" s="30" t="str">
        <f aca="false">IF($D89="","",IFERROR(INDEX(合同项目,MATCH($D89,合同键,0)),IFERROR(TRIM(MID($D89,FIND("｜",$D89)+1,99)),"")))</f>
        <v/>
      </c>
      <c r="G89" s="24"/>
      <c r="H89" s="35" t="str">
        <f aca="false">IF($G89="","",IFERROR(INDEX(费用款别,MATCH($G89,费用类别表,0)),"合同外款"))</f>
        <v/>
      </c>
      <c r="I89" s="33"/>
      <c r="J89" s="33"/>
      <c r="K89" s="39"/>
      <c r="L89" s="33"/>
      <c r="M89" s="25"/>
      <c r="N89" s="39"/>
      <c r="O89" s="35" t="str">
        <f aca="false">IF($C89="","",IF(N($N89)&lt;=0,"未开票",IF(ROUND(N($N89)-N($K89),2)&gt;=0,"已开票",IFERROR("部分开票 "&amp;TEXT(N($N89)/N($K89),"0%"),"部分开票"))))</f>
        <v/>
      </c>
      <c r="P89" s="40" t="str">
        <f aca="false">IF($C89="","",ROUND($V89+MIN($W89,MAX(0,(SUMIF(收款键,$D89,收款金额)-SUMIFS(收款金额,收款键,$D89,收款关联,"&lt;&gt;"))-($X89-$W89))),2))</f>
        <v/>
      </c>
      <c r="Q89" s="41" t="str">
        <f aca="false">IF($C89="","",ROUND(N($K89)-N($P89),2))</f>
        <v/>
      </c>
      <c r="R89" s="29" t="str">
        <f aca="false">IF($C89="","",YEAR($C89))</f>
        <v/>
      </c>
      <c r="S89" s="24"/>
      <c r="T89" s="35" t="str">
        <f aca="false">IF($C89="","",IF($D89="","★没选客户项目",IF(COUNTIF(合同键,$D89)=0,"★《维保合同》里没这个项目",IF(N($K89)&lt;=0,"★应收金额要填",IF(ROUND(N($N89)-N($K89),2)&gt;0.001,"★开票金额大于应收",IF(AND($L89&lt;&gt;"",N($N89)&lt;=0),"★填了开票日期没填开票金额",IF(AND($I89&lt;&gt;"",$J89&lt;&gt;"",$J89&lt;$I89),"★计费期间起止反了","OK")))))))</f>
        <v/>
      </c>
      <c r="U89" s="29" t="str">
        <f aca="false">IF($L89="","",YEAR($L89))</f>
        <v/>
      </c>
      <c r="V89" s="40" t="str">
        <f aca="false">IF($C89="","",ROUND(SUMIF(收款关联,$B89,收款金额),2))</f>
        <v/>
      </c>
      <c r="W89" s="40" t="str">
        <f aca="false">IF($C89="","",MAX(0,ROUND(N($K89)-N($V89),2)))</f>
        <v/>
      </c>
      <c r="X89" s="40" t="str">
        <f aca="false">IF($C89="","",ROUND(SUMIFS(应收净额,应收键,$D89,应收行号,"&lt;="&amp;ROW()),2))</f>
        <v/>
      </c>
      <c r="Y89" s="29" t="str">
        <f aca="false">IF($C89="","",ROW())</f>
        <v/>
      </c>
    </row>
    <row r="90" customFormat="false" ht="15" hidden="false" customHeight="false" outlineLevel="0" collapsed="false">
      <c r="A90" s="29" t="str">
        <f aca="false">IF($C90="","",ROW()-4)</f>
        <v/>
      </c>
      <c r="B90" s="35" t="str">
        <f aca="false">IF($C90="","","YS"&amp;TEXT($C90,"yyyymm")&amp;"-"&amp;TEXT(ROW()-4,"0000"))</f>
        <v/>
      </c>
      <c r="C90" s="33"/>
      <c r="D90" s="24"/>
      <c r="E90" s="30" t="str">
        <f aca="false">IF($D90="","",IFERROR(INDEX(合同单位,MATCH($D90,合同键,0)),IFERROR(TRIM(LEFT($D90,FIND("｜",$D90)-1)),$D90)))</f>
        <v/>
      </c>
      <c r="F90" s="30" t="str">
        <f aca="false">IF($D90="","",IFERROR(INDEX(合同项目,MATCH($D90,合同键,0)),IFERROR(TRIM(MID($D90,FIND("｜",$D90)+1,99)),"")))</f>
        <v/>
      </c>
      <c r="G90" s="24"/>
      <c r="H90" s="35" t="str">
        <f aca="false">IF($G90="","",IFERROR(INDEX(费用款别,MATCH($G90,费用类别表,0)),"合同外款"))</f>
        <v/>
      </c>
      <c r="I90" s="33"/>
      <c r="J90" s="33"/>
      <c r="K90" s="39"/>
      <c r="L90" s="33"/>
      <c r="M90" s="25"/>
      <c r="N90" s="39"/>
      <c r="O90" s="35" t="str">
        <f aca="false">IF($C90="","",IF(N($N90)&lt;=0,"未开票",IF(ROUND(N($N90)-N($K90),2)&gt;=0,"已开票",IFERROR("部分开票 "&amp;TEXT(N($N90)/N($K90),"0%"),"部分开票"))))</f>
        <v/>
      </c>
      <c r="P90" s="40" t="str">
        <f aca="false">IF($C90="","",ROUND($V90+MIN($W90,MAX(0,(SUMIF(收款键,$D90,收款金额)-SUMIFS(收款金额,收款键,$D90,收款关联,"&lt;&gt;"))-($X90-$W90))),2))</f>
        <v/>
      </c>
      <c r="Q90" s="41" t="str">
        <f aca="false">IF($C90="","",ROUND(N($K90)-N($P90),2))</f>
        <v/>
      </c>
      <c r="R90" s="29" t="str">
        <f aca="false">IF($C90="","",YEAR($C90))</f>
        <v/>
      </c>
      <c r="S90" s="24"/>
      <c r="T90" s="35" t="str">
        <f aca="false">IF($C90="","",IF($D90="","★没选客户项目",IF(COUNTIF(合同键,$D90)=0,"★《维保合同》里没这个项目",IF(N($K90)&lt;=0,"★应收金额要填",IF(ROUND(N($N90)-N($K90),2)&gt;0.001,"★开票金额大于应收",IF(AND($L90&lt;&gt;"",N($N90)&lt;=0),"★填了开票日期没填开票金额",IF(AND($I90&lt;&gt;"",$J90&lt;&gt;"",$J90&lt;$I90),"★计费期间起止反了","OK")))))))</f>
        <v/>
      </c>
      <c r="U90" s="29" t="str">
        <f aca="false">IF($L90="","",YEAR($L90))</f>
        <v/>
      </c>
      <c r="V90" s="40" t="str">
        <f aca="false">IF($C90="","",ROUND(SUMIF(收款关联,$B90,收款金额),2))</f>
        <v/>
      </c>
      <c r="W90" s="40" t="str">
        <f aca="false">IF($C90="","",MAX(0,ROUND(N($K90)-N($V90),2)))</f>
        <v/>
      </c>
      <c r="X90" s="40" t="str">
        <f aca="false">IF($C90="","",ROUND(SUMIFS(应收净额,应收键,$D90,应收行号,"&lt;="&amp;ROW()),2))</f>
        <v/>
      </c>
      <c r="Y90" s="29" t="str">
        <f aca="false">IF($C90="","",ROW())</f>
        <v/>
      </c>
    </row>
    <row r="91" customFormat="false" ht="15" hidden="false" customHeight="false" outlineLevel="0" collapsed="false">
      <c r="A91" s="29" t="str">
        <f aca="false">IF($C91="","",ROW()-4)</f>
        <v/>
      </c>
      <c r="B91" s="35" t="str">
        <f aca="false">IF($C91="","","YS"&amp;TEXT($C91,"yyyymm")&amp;"-"&amp;TEXT(ROW()-4,"0000"))</f>
        <v/>
      </c>
      <c r="C91" s="33"/>
      <c r="D91" s="24"/>
      <c r="E91" s="30" t="str">
        <f aca="false">IF($D91="","",IFERROR(INDEX(合同单位,MATCH($D91,合同键,0)),IFERROR(TRIM(LEFT($D91,FIND("｜",$D91)-1)),$D91)))</f>
        <v/>
      </c>
      <c r="F91" s="30" t="str">
        <f aca="false">IF($D91="","",IFERROR(INDEX(合同项目,MATCH($D91,合同键,0)),IFERROR(TRIM(MID($D91,FIND("｜",$D91)+1,99)),"")))</f>
        <v/>
      </c>
      <c r="G91" s="24"/>
      <c r="H91" s="35" t="str">
        <f aca="false">IF($G91="","",IFERROR(INDEX(费用款别,MATCH($G91,费用类别表,0)),"合同外款"))</f>
        <v/>
      </c>
      <c r="I91" s="33"/>
      <c r="J91" s="33"/>
      <c r="K91" s="39"/>
      <c r="L91" s="33"/>
      <c r="M91" s="25"/>
      <c r="N91" s="39"/>
      <c r="O91" s="35" t="str">
        <f aca="false">IF($C91="","",IF(N($N91)&lt;=0,"未开票",IF(ROUND(N($N91)-N($K91),2)&gt;=0,"已开票",IFERROR("部分开票 "&amp;TEXT(N($N91)/N($K91),"0%"),"部分开票"))))</f>
        <v/>
      </c>
      <c r="P91" s="40" t="str">
        <f aca="false">IF($C91="","",ROUND($V91+MIN($W91,MAX(0,(SUMIF(收款键,$D91,收款金额)-SUMIFS(收款金额,收款键,$D91,收款关联,"&lt;&gt;"))-($X91-$W91))),2))</f>
        <v/>
      </c>
      <c r="Q91" s="41" t="str">
        <f aca="false">IF($C91="","",ROUND(N($K91)-N($P91),2))</f>
        <v/>
      </c>
      <c r="R91" s="29" t="str">
        <f aca="false">IF($C91="","",YEAR($C91))</f>
        <v/>
      </c>
      <c r="S91" s="24"/>
      <c r="T91" s="35" t="str">
        <f aca="false">IF($C91="","",IF($D91="","★没选客户项目",IF(COUNTIF(合同键,$D91)=0,"★《维保合同》里没这个项目",IF(N($K91)&lt;=0,"★应收金额要填",IF(ROUND(N($N91)-N($K91),2)&gt;0.001,"★开票金额大于应收",IF(AND($L91&lt;&gt;"",N($N91)&lt;=0),"★填了开票日期没填开票金额",IF(AND($I91&lt;&gt;"",$J91&lt;&gt;"",$J91&lt;$I91),"★计费期间起止反了","OK")))))))</f>
        <v/>
      </c>
      <c r="U91" s="29" t="str">
        <f aca="false">IF($L91="","",YEAR($L91))</f>
        <v/>
      </c>
      <c r="V91" s="40" t="str">
        <f aca="false">IF($C91="","",ROUND(SUMIF(收款关联,$B91,收款金额),2))</f>
        <v/>
      </c>
      <c r="W91" s="40" t="str">
        <f aca="false">IF($C91="","",MAX(0,ROUND(N($K91)-N($V91),2)))</f>
        <v/>
      </c>
      <c r="X91" s="40" t="str">
        <f aca="false">IF($C91="","",ROUND(SUMIFS(应收净额,应收键,$D91,应收行号,"&lt;="&amp;ROW()),2))</f>
        <v/>
      </c>
      <c r="Y91" s="29" t="str">
        <f aca="false">IF($C91="","",ROW())</f>
        <v/>
      </c>
    </row>
    <row r="92" customFormat="false" ht="15" hidden="false" customHeight="false" outlineLevel="0" collapsed="false">
      <c r="A92" s="29" t="str">
        <f aca="false">IF($C92="","",ROW()-4)</f>
        <v/>
      </c>
      <c r="B92" s="35" t="str">
        <f aca="false">IF($C92="","","YS"&amp;TEXT($C92,"yyyymm")&amp;"-"&amp;TEXT(ROW()-4,"0000"))</f>
        <v/>
      </c>
      <c r="C92" s="33"/>
      <c r="D92" s="24"/>
      <c r="E92" s="30" t="str">
        <f aca="false">IF($D92="","",IFERROR(INDEX(合同单位,MATCH($D92,合同键,0)),IFERROR(TRIM(LEFT($D92,FIND("｜",$D92)-1)),$D92)))</f>
        <v/>
      </c>
      <c r="F92" s="30" t="str">
        <f aca="false">IF($D92="","",IFERROR(INDEX(合同项目,MATCH($D92,合同键,0)),IFERROR(TRIM(MID($D92,FIND("｜",$D92)+1,99)),"")))</f>
        <v/>
      </c>
      <c r="G92" s="24"/>
      <c r="H92" s="35" t="str">
        <f aca="false">IF($G92="","",IFERROR(INDEX(费用款别,MATCH($G92,费用类别表,0)),"合同外款"))</f>
        <v/>
      </c>
      <c r="I92" s="33"/>
      <c r="J92" s="33"/>
      <c r="K92" s="39"/>
      <c r="L92" s="33"/>
      <c r="M92" s="25"/>
      <c r="N92" s="39"/>
      <c r="O92" s="35" t="str">
        <f aca="false">IF($C92="","",IF(N($N92)&lt;=0,"未开票",IF(ROUND(N($N92)-N($K92),2)&gt;=0,"已开票",IFERROR("部分开票 "&amp;TEXT(N($N92)/N($K92),"0%"),"部分开票"))))</f>
        <v/>
      </c>
      <c r="P92" s="40" t="str">
        <f aca="false">IF($C92="","",ROUND($V92+MIN($W92,MAX(0,(SUMIF(收款键,$D92,收款金额)-SUMIFS(收款金额,收款键,$D92,收款关联,"&lt;&gt;"))-($X92-$W92))),2))</f>
        <v/>
      </c>
      <c r="Q92" s="41" t="str">
        <f aca="false">IF($C92="","",ROUND(N($K92)-N($P92),2))</f>
        <v/>
      </c>
      <c r="R92" s="29" t="str">
        <f aca="false">IF($C92="","",YEAR($C92))</f>
        <v/>
      </c>
      <c r="S92" s="24"/>
      <c r="T92" s="35" t="str">
        <f aca="false">IF($C92="","",IF($D92="","★没选客户项目",IF(COUNTIF(合同键,$D92)=0,"★《维保合同》里没这个项目",IF(N($K92)&lt;=0,"★应收金额要填",IF(ROUND(N($N92)-N($K92),2)&gt;0.001,"★开票金额大于应收",IF(AND($L92&lt;&gt;"",N($N92)&lt;=0),"★填了开票日期没填开票金额",IF(AND($I92&lt;&gt;"",$J92&lt;&gt;"",$J92&lt;$I92),"★计费期间起止反了","OK")))))))</f>
        <v/>
      </c>
      <c r="U92" s="29" t="str">
        <f aca="false">IF($L92="","",YEAR($L92))</f>
        <v/>
      </c>
      <c r="V92" s="40" t="str">
        <f aca="false">IF($C92="","",ROUND(SUMIF(收款关联,$B92,收款金额),2))</f>
        <v/>
      </c>
      <c r="W92" s="40" t="str">
        <f aca="false">IF($C92="","",MAX(0,ROUND(N($K92)-N($V92),2)))</f>
        <v/>
      </c>
      <c r="X92" s="40" t="str">
        <f aca="false">IF($C92="","",ROUND(SUMIFS(应收净额,应收键,$D92,应收行号,"&lt;="&amp;ROW()),2))</f>
        <v/>
      </c>
      <c r="Y92" s="29" t="str">
        <f aca="false">IF($C92="","",ROW())</f>
        <v/>
      </c>
    </row>
    <row r="93" customFormat="false" ht="15" hidden="false" customHeight="false" outlineLevel="0" collapsed="false">
      <c r="A93" s="29" t="str">
        <f aca="false">IF($C93="","",ROW()-4)</f>
        <v/>
      </c>
      <c r="B93" s="35" t="str">
        <f aca="false">IF($C93="","","YS"&amp;TEXT($C93,"yyyymm")&amp;"-"&amp;TEXT(ROW()-4,"0000"))</f>
        <v/>
      </c>
      <c r="C93" s="33"/>
      <c r="D93" s="24"/>
      <c r="E93" s="30" t="str">
        <f aca="false">IF($D93="","",IFERROR(INDEX(合同单位,MATCH($D93,合同键,0)),IFERROR(TRIM(LEFT($D93,FIND("｜",$D93)-1)),$D93)))</f>
        <v/>
      </c>
      <c r="F93" s="30" t="str">
        <f aca="false">IF($D93="","",IFERROR(INDEX(合同项目,MATCH($D93,合同键,0)),IFERROR(TRIM(MID($D93,FIND("｜",$D93)+1,99)),"")))</f>
        <v/>
      </c>
      <c r="G93" s="24"/>
      <c r="H93" s="35" t="str">
        <f aca="false">IF($G93="","",IFERROR(INDEX(费用款别,MATCH($G93,费用类别表,0)),"合同外款"))</f>
        <v/>
      </c>
      <c r="I93" s="33"/>
      <c r="J93" s="33"/>
      <c r="K93" s="39"/>
      <c r="L93" s="33"/>
      <c r="M93" s="25"/>
      <c r="N93" s="39"/>
      <c r="O93" s="35" t="str">
        <f aca="false">IF($C93="","",IF(N($N93)&lt;=0,"未开票",IF(ROUND(N($N93)-N($K93),2)&gt;=0,"已开票",IFERROR("部分开票 "&amp;TEXT(N($N93)/N($K93),"0%"),"部分开票"))))</f>
        <v/>
      </c>
      <c r="P93" s="40" t="str">
        <f aca="false">IF($C93="","",ROUND($V93+MIN($W93,MAX(0,(SUMIF(收款键,$D93,收款金额)-SUMIFS(收款金额,收款键,$D93,收款关联,"&lt;&gt;"))-($X93-$W93))),2))</f>
        <v/>
      </c>
      <c r="Q93" s="41" t="str">
        <f aca="false">IF($C93="","",ROUND(N($K93)-N($P93),2))</f>
        <v/>
      </c>
      <c r="R93" s="29" t="str">
        <f aca="false">IF($C93="","",YEAR($C93))</f>
        <v/>
      </c>
      <c r="S93" s="24"/>
      <c r="T93" s="35" t="str">
        <f aca="false">IF($C93="","",IF($D93="","★没选客户项目",IF(COUNTIF(合同键,$D93)=0,"★《维保合同》里没这个项目",IF(N($K93)&lt;=0,"★应收金额要填",IF(ROUND(N($N93)-N($K93),2)&gt;0.001,"★开票金额大于应收",IF(AND($L93&lt;&gt;"",N($N93)&lt;=0),"★填了开票日期没填开票金额",IF(AND($I93&lt;&gt;"",$J93&lt;&gt;"",$J93&lt;$I93),"★计费期间起止反了","OK")))))))</f>
        <v/>
      </c>
      <c r="U93" s="29" t="str">
        <f aca="false">IF($L93="","",YEAR($L93))</f>
        <v/>
      </c>
      <c r="V93" s="40" t="str">
        <f aca="false">IF($C93="","",ROUND(SUMIF(收款关联,$B93,收款金额),2))</f>
        <v/>
      </c>
      <c r="W93" s="40" t="str">
        <f aca="false">IF($C93="","",MAX(0,ROUND(N($K93)-N($V93),2)))</f>
        <v/>
      </c>
      <c r="X93" s="40" t="str">
        <f aca="false">IF($C93="","",ROUND(SUMIFS(应收净额,应收键,$D93,应收行号,"&lt;="&amp;ROW()),2))</f>
        <v/>
      </c>
      <c r="Y93" s="29" t="str">
        <f aca="false">IF($C93="","",ROW())</f>
        <v/>
      </c>
    </row>
    <row r="94" customFormat="false" ht="15" hidden="false" customHeight="false" outlineLevel="0" collapsed="false">
      <c r="A94" s="29" t="str">
        <f aca="false">IF($C94="","",ROW()-4)</f>
        <v/>
      </c>
      <c r="B94" s="35" t="str">
        <f aca="false">IF($C94="","","YS"&amp;TEXT($C94,"yyyymm")&amp;"-"&amp;TEXT(ROW()-4,"0000"))</f>
        <v/>
      </c>
      <c r="C94" s="33"/>
      <c r="D94" s="24"/>
      <c r="E94" s="30" t="str">
        <f aca="false">IF($D94="","",IFERROR(INDEX(合同单位,MATCH($D94,合同键,0)),IFERROR(TRIM(LEFT($D94,FIND("｜",$D94)-1)),$D94)))</f>
        <v/>
      </c>
      <c r="F94" s="30" t="str">
        <f aca="false">IF($D94="","",IFERROR(INDEX(合同项目,MATCH($D94,合同键,0)),IFERROR(TRIM(MID($D94,FIND("｜",$D94)+1,99)),"")))</f>
        <v/>
      </c>
      <c r="G94" s="24"/>
      <c r="H94" s="35" t="str">
        <f aca="false">IF($G94="","",IFERROR(INDEX(费用款别,MATCH($G94,费用类别表,0)),"合同外款"))</f>
        <v/>
      </c>
      <c r="I94" s="33"/>
      <c r="J94" s="33"/>
      <c r="K94" s="39"/>
      <c r="L94" s="33"/>
      <c r="M94" s="25"/>
      <c r="N94" s="39"/>
      <c r="O94" s="35" t="str">
        <f aca="false">IF($C94="","",IF(N($N94)&lt;=0,"未开票",IF(ROUND(N($N94)-N($K94),2)&gt;=0,"已开票",IFERROR("部分开票 "&amp;TEXT(N($N94)/N($K94),"0%"),"部分开票"))))</f>
        <v/>
      </c>
      <c r="P94" s="40" t="str">
        <f aca="false">IF($C94="","",ROUND($V94+MIN($W94,MAX(0,(SUMIF(收款键,$D94,收款金额)-SUMIFS(收款金额,收款键,$D94,收款关联,"&lt;&gt;"))-($X94-$W94))),2))</f>
        <v/>
      </c>
      <c r="Q94" s="41" t="str">
        <f aca="false">IF($C94="","",ROUND(N($K94)-N($P94),2))</f>
        <v/>
      </c>
      <c r="R94" s="29" t="str">
        <f aca="false">IF($C94="","",YEAR($C94))</f>
        <v/>
      </c>
      <c r="S94" s="24"/>
      <c r="T94" s="35" t="str">
        <f aca="false">IF($C94="","",IF($D94="","★没选客户项目",IF(COUNTIF(合同键,$D94)=0,"★《维保合同》里没这个项目",IF(N($K94)&lt;=0,"★应收金额要填",IF(ROUND(N($N94)-N($K94),2)&gt;0.001,"★开票金额大于应收",IF(AND($L94&lt;&gt;"",N($N94)&lt;=0),"★填了开票日期没填开票金额",IF(AND($I94&lt;&gt;"",$J94&lt;&gt;"",$J94&lt;$I94),"★计费期间起止反了","OK")))))))</f>
        <v/>
      </c>
      <c r="U94" s="29" t="str">
        <f aca="false">IF($L94="","",YEAR($L94))</f>
        <v/>
      </c>
      <c r="V94" s="40" t="str">
        <f aca="false">IF($C94="","",ROUND(SUMIF(收款关联,$B94,收款金额),2))</f>
        <v/>
      </c>
      <c r="W94" s="40" t="str">
        <f aca="false">IF($C94="","",MAX(0,ROUND(N($K94)-N($V94),2)))</f>
        <v/>
      </c>
      <c r="X94" s="40" t="str">
        <f aca="false">IF($C94="","",ROUND(SUMIFS(应收净额,应收键,$D94,应收行号,"&lt;="&amp;ROW()),2))</f>
        <v/>
      </c>
      <c r="Y94" s="29" t="str">
        <f aca="false">IF($C94="","",ROW())</f>
        <v/>
      </c>
    </row>
    <row r="95" customFormat="false" ht="15" hidden="false" customHeight="false" outlineLevel="0" collapsed="false">
      <c r="A95" s="29" t="str">
        <f aca="false">IF($C95="","",ROW()-4)</f>
        <v/>
      </c>
      <c r="B95" s="35" t="str">
        <f aca="false">IF($C95="","","YS"&amp;TEXT($C95,"yyyymm")&amp;"-"&amp;TEXT(ROW()-4,"0000"))</f>
        <v/>
      </c>
      <c r="C95" s="33"/>
      <c r="D95" s="24"/>
      <c r="E95" s="30" t="str">
        <f aca="false">IF($D95="","",IFERROR(INDEX(合同单位,MATCH($D95,合同键,0)),IFERROR(TRIM(LEFT($D95,FIND("｜",$D95)-1)),$D95)))</f>
        <v/>
      </c>
      <c r="F95" s="30" t="str">
        <f aca="false">IF($D95="","",IFERROR(INDEX(合同项目,MATCH($D95,合同键,0)),IFERROR(TRIM(MID($D95,FIND("｜",$D95)+1,99)),"")))</f>
        <v/>
      </c>
      <c r="G95" s="24"/>
      <c r="H95" s="35" t="str">
        <f aca="false">IF($G95="","",IFERROR(INDEX(费用款别,MATCH($G95,费用类别表,0)),"合同外款"))</f>
        <v/>
      </c>
      <c r="I95" s="33"/>
      <c r="J95" s="33"/>
      <c r="K95" s="39"/>
      <c r="L95" s="33"/>
      <c r="M95" s="25"/>
      <c r="N95" s="39"/>
      <c r="O95" s="35" t="str">
        <f aca="false">IF($C95="","",IF(N($N95)&lt;=0,"未开票",IF(ROUND(N($N95)-N($K95),2)&gt;=0,"已开票",IFERROR("部分开票 "&amp;TEXT(N($N95)/N($K95),"0%"),"部分开票"))))</f>
        <v/>
      </c>
      <c r="P95" s="40" t="str">
        <f aca="false">IF($C95="","",ROUND($V95+MIN($W95,MAX(0,(SUMIF(收款键,$D95,收款金额)-SUMIFS(收款金额,收款键,$D95,收款关联,"&lt;&gt;"))-($X95-$W95))),2))</f>
        <v/>
      </c>
      <c r="Q95" s="41" t="str">
        <f aca="false">IF($C95="","",ROUND(N($K95)-N($P95),2))</f>
        <v/>
      </c>
      <c r="R95" s="29" t="str">
        <f aca="false">IF($C95="","",YEAR($C95))</f>
        <v/>
      </c>
      <c r="S95" s="24"/>
      <c r="T95" s="35" t="str">
        <f aca="false">IF($C95="","",IF($D95="","★没选客户项目",IF(COUNTIF(合同键,$D95)=0,"★《维保合同》里没这个项目",IF(N($K95)&lt;=0,"★应收金额要填",IF(ROUND(N($N95)-N($K95),2)&gt;0.001,"★开票金额大于应收",IF(AND($L95&lt;&gt;"",N($N95)&lt;=0),"★填了开票日期没填开票金额",IF(AND($I95&lt;&gt;"",$J95&lt;&gt;"",$J95&lt;$I95),"★计费期间起止反了","OK")))))))</f>
        <v/>
      </c>
      <c r="U95" s="29" t="str">
        <f aca="false">IF($L95="","",YEAR($L95))</f>
        <v/>
      </c>
      <c r="V95" s="40" t="str">
        <f aca="false">IF($C95="","",ROUND(SUMIF(收款关联,$B95,收款金额),2))</f>
        <v/>
      </c>
      <c r="W95" s="40" t="str">
        <f aca="false">IF($C95="","",MAX(0,ROUND(N($K95)-N($V95),2)))</f>
        <v/>
      </c>
      <c r="X95" s="40" t="str">
        <f aca="false">IF($C95="","",ROUND(SUMIFS(应收净额,应收键,$D95,应收行号,"&lt;="&amp;ROW()),2))</f>
        <v/>
      </c>
      <c r="Y95" s="29" t="str">
        <f aca="false">IF($C95="","",ROW())</f>
        <v/>
      </c>
    </row>
    <row r="96" customFormat="false" ht="15" hidden="false" customHeight="false" outlineLevel="0" collapsed="false">
      <c r="A96" s="29" t="str">
        <f aca="false">IF($C96="","",ROW()-4)</f>
        <v/>
      </c>
      <c r="B96" s="35" t="str">
        <f aca="false">IF($C96="","","YS"&amp;TEXT($C96,"yyyymm")&amp;"-"&amp;TEXT(ROW()-4,"0000"))</f>
        <v/>
      </c>
      <c r="C96" s="33"/>
      <c r="D96" s="24"/>
      <c r="E96" s="30" t="str">
        <f aca="false">IF($D96="","",IFERROR(INDEX(合同单位,MATCH($D96,合同键,0)),IFERROR(TRIM(LEFT($D96,FIND("｜",$D96)-1)),$D96)))</f>
        <v/>
      </c>
      <c r="F96" s="30" t="str">
        <f aca="false">IF($D96="","",IFERROR(INDEX(合同项目,MATCH($D96,合同键,0)),IFERROR(TRIM(MID($D96,FIND("｜",$D96)+1,99)),"")))</f>
        <v/>
      </c>
      <c r="G96" s="24"/>
      <c r="H96" s="35" t="str">
        <f aca="false">IF($G96="","",IFERROR(INDEX(费用款别,MATCH($G96,费用类别表,0)),"合同外款"))</f>
        <v/>
      </c>
      <c r="I96" s="33"/>
      <c r="J96" s="33"/>
      <c r="K96" s="39"/>
      <c r="L96" s="33"/>
      <c r="M96" s="25"/>
      <c r="N96" s="39"/>
      <c r="O96" s="35" t="str">
        <f aca="false">IF($C96="","",IF(N($N96)&lt;=0,"未开票",IF(ROUND(N($N96)-N($K96),2)&gt;=0,"已开票",IFERROR("部分开票 "&amp;TEXT(N($N96)/N($K96),"0%"),"部分开票"))))</f>
        <v/>
      </c>
      <c r="P96" s="40" t="str">
        <f aca="false">IF($C96="","",ROUND($V96+MIN($W96,MAX(0,(SUMIF(收款键,$D96,收款金额)-SUMIFS(收款金额,收款键,$D96,收款关联,"&lt;&gt;"))-($X96-$W96))),2))</f>
        <v/>
      </c>
      <c r="Q96" s="41" t="str">
        <f aca="false">IF($C96="","",ROUND(N($K96)-N($P96),2))</f>
        <v/>
      </c>
      <c r="R96" s="29" t="str">
        <f aca="false">IF($C96="","",YEAR($C96))</f>
        <v/>
      </c>
      <c r="S96" s="24"/>
      <c r="T96" s="35" t="str">
        <f aca="false">IF($C96="","",IF($D96="","★没选客户项目",IF(COUNTIF(合同键,$D96)=0,"★《维保合同》里没这个项目",IF(N($K96)&lt;=0,"★应收金额要填",IF(ROUND(N($N96)-N($K96),2)&gt;0.001,"★开票金额大于应收",IF(AND($L96&lt;&gt;"",N($N96)&lt;=0),"★填了开票日期没填开票金额",IF(AND($I96&lt;&gt;"",$J96&lt;&gt;"",$J96&lt;$I96),"★计费期间起止反了","OK")))))))</f>
        <v/>
      </c>
      <c r="U96" s="29" t="str">
        <f aca="false">IF($L96="","",YEAR($L96))</f>
        <v/>
      </c>
      <c r="V96" s="40" t="str">
        <f aca="false">IF($C96="","",ROUND(SUMIF(收款关联,$B96,收款金额),2))</f>
        <v/>
      </c>
      <c r="W96" s="40" t="str">
        <f aca="false">IF($C96="","",MAX(0,ROUND(N($K96)-N($V96),2)))</f>
        <v/>
      </c>
      <c r="X96" s="40" t="str">
        <f aca="false">IF($C96="","",ROUND(SUMIFS(应收净额,应收键,$D96,应收行号,"&lt;="&amp;ROW()),2))</f>
        <v/>
      </c>
      <c r="Y96" s="29" t="str">
        <f aca="false">IF($C96="","",ROW())</f>
        <v/>
      </c>
    </row>
    <row r="97" customFormat="false" ht="15" hidden="false" customHeight="false" outlineLevel="0" collapsed="false">
      <c r="A97" s="29" t="str">
        <f aca="false">IF($C97="","",ROW()-4)</f>
        <v/>
      </c>
      <c r="B97" s="35" t="str">
        <f aca="false">IF($C97="","","YS"&amp;TEXT($C97,"yyyymm")&amp;"-"&amp;TEXT(ROW()-4,"0000"))</f>
        <v/>
      </c>
      <c r="C97" s="33"/>
      <c r="D97" s="24"/>
      <c r="E97" s="30" t="str">
        <f aca="false">IF($D97="","",IFERROR(INDEX(合同单位,MATCH($D97,合同键,0)),IFERROR(TRIM(LEFT($D97,FIND("｜",$D97)-1)),$D97)))</f>
        <v/>
      </c>
      <c r="F97" s="30" t="str">
        <f aca="false">IF($D97="","",IFERROR(INDEX(合同项目,MATCH($D97,合同键,0)),IFERROR(TRIM(MID($D97,FIND("｜",$D97)+1,99)),"")))</f>
        <v/>
      </c>
      <c r="G97" s="24"/>
      <c r="H97" s="35" t="str">
        <f aca="false">IF($G97="","",IFERROR(INDEX(费用款别,MATCH($G97,费用类别表,0)),"合同外款"))</f>
        <v/>
      </c>
      <c r="I97" s="33"/>
      <c r="J97" s="33"/>
      <c r="K97" s="39"/>
      <c r="L97" s="33"/>
      <c r="M97" s="25"/>
      <c r="N97" s="39"/>
      <c r="O97" s="35" t="str">
        <f aca="false">IF($C97="","",IF(N($N97)&lt;=0,"未开票",IF(ROUND(N($N97)-N($K97),2)&gt;=0,"已开票",IFERROR("部分开票 "&amp;TEXT(N($N97)/N($K97),"0%"),"部分开票"))))</f>
        <v/>
      </c>
      <c r="P97" s="40" t="str">
        <f aca="false">IF($C97="","",ROUND($V97+MIN($W97,MAX(0,(SUMIF(收款键,$D97,收款金额)-SUMIFS(收款金额,收款键,$D97,收款关联,"&lt;&gt;"))-($X97-$W97))),2))</f>
        <v/>
      </c>
      <c r="Q97" s="41" t="str">
        <f aca="false">IF($C97="","",ROUND(N($K97)-N($P97),2))</f>
        <v/>
      </c>
      <c r="R97" s="29" t="str">
        <f aca="false">IF($C97="","",YEAR($C97))</f>
        <v/>
      </c>
      <c r="S97" s="24"/>
      <c r="T97" s="35" t="str">
        <f aca="false">IF($C97="","",IF($D97="","★没选客户项目",IF(COUNTIF(合同键,$D97)=0,"★《维保合同》里没这个项目",IF(N($K97)&lt;=0,"★应收金额要填",IF(ROUND(N($N97)-N($K97),2)&gt;0.001,"★开票金额大于应收",IF(AND($L97&lt;&gt;"",N($N97)&lt;=0),"★填了开票日期没填开票金额",IF(AND($I97&lt;&gt;"",$J97&lt;&gt;"",$J97&lt;$I97),"★计费期间起止反了","OK")))))))</f>
        <v/>
      </c>
      <c r="U97" s="29" t="str">
        <f aca="false">IF($L97="","",YEAR($L97))</f>
        <v/>
      </c>
      <c r="V97" s="40" t="str">
        <f aca="false">IF($C97="","",ROUND(SUMIF(收款关联,$B97,收款金额),2))</f>
        <v/>
      </c>
      <c r="W97" s="40" t="str">
        <f aca="false">IF($C97="","",MAX(0,ROUND(N($K97)-N($V97),2)))</f>
        <v/>
      </c>
      <c r="X97" s="40" t="str">
        <f aca="false">IF($C97="","",ROUND(SUMIFS(应收净额,应收键,$D97,应收行号,"&lt;="&amp;ROW()),2))</f>
        <v/>
      </c>
      <c r="Y97" s="29" t="str">
        <f aca="false">IF($C97="","",ROW())</f>
        <v/>
      </c>
    </row>
    <row r="98" customFormat="false" ht="15" hidden="false" customHeight="false" outlineLevel="0" collapsed="false">
      <c r="A98" s="29" t="str">
        <f aca="false">IF($C98="","",ROW()-4)</f>
        <v/>
      </c>
      <c r="B98" s="35" t="str">
        <f aca="false">IF($C98="","","YS"&amp;TEXT($C98,"yyyymm")&amp;"-"&amp;TEXT(ROW()-4,"0000"))</f>
        <v/>
      </c>
      <c r="C98" s="33"/>
      <c r="D98" s="24"/>
      <c r="E98" s="30" t="str">
        <f aca="false">IF($D98="","",IFERROR(INDEX(合同单位,MATCH($D98,合同键,0)),IFERROR(TRIM(LEFT($D98,FIND("｜",$D98)-1)),$D98)))</f>
        <v/>
      </c>
      <c r="F98" s="30" t="str">
        <f aca="false">IF($D98="","",IFERROR(INDEX(合同项目,MATCH($D98,合同键,0)),IFERROR(TRIM(MID($D98,FIND("｜",$D98)+1,99)),"")))</f>
        <v/>
      </c>
      <c r="G98" s="24"/>
      <c r="H98" s="35" t="str">
        <f aca="false">IF($G98="","",IFERROR(INDEX(费用款别,MATCH($G98,费用类别表,0)),"合同外款"))</f>
        <v/>
      </c>
      <c r="I98" s="33"/>
      <c r="J98" s="33"/>
      <c r="K98" s="39"/>
      <c r="L98" s="33"/>
      <c r="M98" s="25"/>
      <c r="N98" s="39"/>
      <c r="O98" s="35" t="str">
        <f aca="false">IF($C98="","",IF(N($N98)&lt;=0,"未开票",IF(ROUND(N($N98)-N($K98),2)&gt;=0,"已开票",IFERROR("部分开票 "&amp;TEXT(N($N98)/N($K98),"0%"),"部分开票"))))</f>
        <v/>
      </c>
      <c r="P98" s="40" t="str">
        <f aca="false">IF($C98="","",ROUND($V98+MIN($W98,MAX(0,(SUMIF(收款键,$D98,收款金额)-SUMIFS(收款金额,收款键,$D98,收款关联,"&lt;&gt;"))-($X98-$W98))),2))</f>
        <v/>
      </c>
      <c r="Q98" s="41" t="str">
        <f aca="false">IF($C98="","",ROUND(N($K98)-N($P98),2))</f>
        <v/>
      </c>
      <c r="R98" s="29" t="str">
        <f aca="false">IF($C98="","",YEAR($C98))</f>
        <v/>
      </c>
      <c r="S98" s="24"/>
      <c r="T98" s="35" t="str">
        <f aca="false">IF($C98="","",IF($D98="","★没选客户项目",IF(COUNTIF(合同键,$D98)=0,"★《维保合同》里没这个项目",IF(N($K98)&lt;=0,"★应收金额要填",IF(ROUND(N($N98)-N($K98),2)&gt;0.001,"★开票金额大于应收",IF(AND($L98&lt;&gt;"",N($N98)&lt;=0),"★填了开票日期没填开票金额",IF(AND($I98&lt;&gt;"",$J98&lt;&gt;"",$J98&lt;$I98),"★计费期间起止反了","OK")))))))</f>
        <v/>
      </c>
      <c r="U98" s="29" t="str">
        <f aca="false">IF($L98="","",YEAR($L98))</f>
        <v/>
      </c>
      <c r="V98" s="40" t="str">
        <f aca="false">IF($C98="","",ROUND(SUMIF(收款关联,$B98,收款金额),2))</f>
        <v/>
      </c>
      <c r="W98" s="40" t="str">
        <f aca="false">IF($C98="","",MAX(0,ROUND(N($K98)-N($V98),2)))</f>
        <v/>
      </c>
      <c r="X98" s="40" t="str">
        <f aca="false">IF($C98="","",ROUND(SUMIFS(应收净额,应收键,$D98,应收行号,"&lt;="&amp;ROW()),2))</f>
        <v/>
      </c>
      <c r="Y98" s="29" t="str">
        <f aca="false">IF($C98="","",ROW())</f>
        <v/>
      </c>
    </row>
    <row r="99" customFormat="false" ht="15" hidden="false" customHeight="false" outlineLevel="0" collapsed="false">
      <c r="A99" s="29" t="str">
        <f aca="false">IF($C99="","",ROW()-4)</f>
        <v/>
      </c>
      <c r="B99" s="35" t="str">
        <f aca="false">IF($C99="","","YS"&amp;TEXT($C99,"yyyymm")&amp;"-"&amp;TEXT(ROW()-4,"0000"))</f>
        <v/>
      </c>
      <c r="C99" s="33"/>
      <c r="D99" s="24"/>
      <c r="E99" s="30" t="str">
        <f aca="false">IF($D99="","",IFERROR(INDEX(合同单位,MATCH($D99,合同键,0)),IFERROR(TRIM(LEFT($D99,FIND("｜",$D99)-1)),$D99)))</f>
        <v/>
      </c>
      <c r="F99" s="30" t="str">
        <f aca="false">IF($D99="","",IFERROR(INDEX(合同项目,MATCH($D99,合同键,0)),IFERROR(TRIM(MID($D99,FIND("｜",$D99)+1,99)),"")))</f>
        <v/>
      </c>
      <c r="G99" s="24"/>
      <c r="H99" s="35" t="str">
        <f aca="false">IF($G99="","",IFERROR(INDEX(费用款别,MATCH($G99,费用类别表,0)),"合同外款"))</f>
        <v/>
      </c>
      <c r="I99" s="33"/>
      <c r="J99" s="33"/>
      <c r="K99" s="39"/>
      <c r="L99" s="33"/>
      <c r="M99" s="25"/>
      <c r="N99" s="39"/>
      <c r="O99" s="35" t="str">
        <f aca="false">IF($C99="","",IF(N($N99)&lt;=0,"未开票",IF(ROUND(N($N99)-N($K99),2)&gt;=0,"已开票",IFERROR("部分开票 "&amp;TEXT(N($N99)/N($K99),"0%"),"部分开票"))))</f>
        <v/>
      </c>
      <c r="P99" s="40" t="str">
        <f aca="false">IF($C99="","",ROUND($V99+MIN($W99,MAX(0,(SUMIF(收款键,$D99,收款金额)-SUMIFS(收款金额,收款键,$D99,收款关联,"&lt;&gt;"))-($X99-$W99))),2))</f>
        <v/>
      </c>
      <c r="Q99" s="41" t="str">
        <f aca="false">IF($C99="","",ROUND(N($K99)-N($P99),2))</f>
        <v/>
      </c>
      <c r="R99" s="29" t="str">
        <f aca="false">IF($C99="","",YEAR($C99))</f>
        <v/>
      </c>
      <c r="S99" s="24"/>
      <c r="T99" s="35" t="str">
        <f aca="false">IF($C99="","",IF($D99="","★没选客户项目",IF(COUNTIF(合同键,$D99)=0,"★《维保合同》里没这个项目",IF(N($K99)&lt;=0,"★应收金额要填",IF(ROUND(N($N99)-N($K99),2)&gt;0.001,"★开票金额大于应收",IF(AND($L99&lt;&gt;"",N($N99)&lt;=0),"★填了开票日期没填开票金额",IF(AND($I99&lt;&gt;"",$J99&lt;&gt;"",$J99&lt;$I99),"★计费期间起止反了","OK")))))))</f>
        <v/>
      </c>
      <c r="U99" s="29" t="str">
        <f aca="false">IF($L99="","",YEAR($L99))</f>
        <v/>
      </c>
      <c r="V99" s="40" t="str">
        <f aca="false">IF($C99="","",ROUND(SUMIF(收款关联,$B99,收款金额),2))</f>
        <v/>
      </c>
      <c r="W99" s="40" t="str">
        <f aca="false">IF($C99="","",MAX(0,ROUND(N($K99)-N($V99),2)))</f>
        <v/>
      </c>
      <c r="X99" s="40" t="str">
        <f aca="false">IF($C99="","",ROUND(SUMIFS(应收净额,应收键,$D99,应收行号,"&lt;="&amp;ROW()),2))</f>
        <v/>
      </c>
      <c r="Y99" s="29" t="str">
        <f aca="false">IF($C99="","",ROW())</f>
        <v/>
      </c>
    </row>
    <row r="100" customFormat="false" ht="15" hidden="false" customHeight="false" outlineLevel="0" collapsed="false">
      <c r="A100" s="29" t="str">
        <f aca="false">IF($C100="","",ROW()-4)</f>
        <v/>
      </c>
      <c r="B100" s="35" t="str">
        <f aca="false">IF($C100="","","YS"&amp;TEXT($C100,"yyyymm")&amp;"-"&amp;TEXT(ROW()-4,"0000"))</f>
        <v/>
      </c>
      <c r="C100" s="33"/>
      <c r="D100" s="24"/>
      <c r="E100" s="30" t="str">
        <f aca="false">IF($D100="","",IFERROR(INDEX(合同单位,MATCH($D100,合同键,0)),IFERROR(TRIM(LEFT($D100,FIND("｜",$D100)-1)),$D100)))</f>
        <v/>
      </c>
      <c r="F100" s="30" t="str">
        <f aca="false">IF($D100="","",IFERROR(INDEX(合同项目,MATCH($D100,合同键,0)),IFERROR(TRIM(MID($D100,FIND("｜",$D100)+1,99)),"")))</f>
        <v/>
      </c>
      <c r="G100" s="24"/>
      <c r="H100" s="35" t="str">
        <f aca="false">IF($G100="","",IFERROR(INDEX(费用款别,MATCH($G100,费用类别表,0)),"合同外款"))</f>
        <v/>
      </c>
      <c r="I100" s="33"/>
      <c r="J100" s="33"/>
      <c r="K100" s="39"/>
      <c r="L100" s="33"/>
      <c r="M100" s="25"/>
      <c r="N100" s="39"/>
      <c r="O100" s="35" t="str">
        <f aca="false">IF($C100="","",IF(N($N100)&lt;=0,"未开票",IF(ROUND(N($N100)-N($K100),2)&gt;=0,"已开票",IFERROR("部分开票 "&amp;TEXT(N($N100)/N($K100),"0%"),"部分开票"))))</f>
        <v/>
      </c>
      <c r="P100" s="40" t="str">
        <f aca="false">IF($C100="","",ROUND($V100+MIN($W100,MAX(0,(SUMIF(收款键,$D100,收款金额)-SUMIFS(收款金额,收款键,$D100,收款关联,"&lt;&gt;"))-($X100-$W100))),2))</f>
        <v/>
      </c>
      <c r="Q100" s="41" t="str">
        <f aca="false">IF($C100="","",ROUND(N($K100)-N($P100),2))</f>
        <v/>
      </c>
      <c r="R100" s="29" t="str">
        <f aca="false">IF($C100="","",YEAR($C100))</f>
        <v/>
      </c>
      <c r="S100" s="24"/>
      <c r="T100" s="35" t="str">
        <f aca="false">IF($C100="","",IF($D100="","★没选客户项目",IF(COUNTIF(合同键,$D100)=0,"★《维保合同》里没这个项目",IF(N($K100)&lt;=0,"★应收金额要填",IF(ROUND(N($N100)-N($K100),2)&gt;0.001,"★开票金额大于应收",IF(AND($L100&lt;&gt;"",N($N100)&lt;=0),"★填了开票日期没填开票金额",IF(AND($I100&lt;&gt;"",$J100&lt;&gt;"",$J100&lt;$I100),"★计费期间起止反了","OK")))))))</f>
        <v/>
      </c>
      <c r="U100" s="29" t="str">
        <f aca="false">IF($L100="","",YEAR($L100))</f>
        <v/>
      </c>
      <c r="V100" s="40" t="str">
        <f aca="false">IF($C100="","",ROUND(SUMIF(收款关联,$B100,收款金额),2))</f>
        <v/>
      </c>
      <c r="W100" s="40" t="str">
        <f aca="false">IF($C100="","",MAX(0,ROUND(N($K100)-N($V100),2)))</f>
        <v/>
      </c>
      <c r="X100" s="40" t="str">
        <f aca="false">IF($C100="","",ROUND(SUMIFS(应收净额,应收键,$D100,应收行号,"&lt;="&amp;ROW()),2))</f>
        <v/>
      </c>
      <c r="Y100" s="29" t="str">
        <f aca="false">IF($C100="","",ROW())</f>
        <v/>
      </c>
    </row>
    <row r="101" customFormat="false" ht="15" hidden="false" customHeight="false" outlineLevel="0" collapsed="false">
      <c r="A101" s="29" t="str">
        <f aca="false">IF($C101="","",ROW()-4)</f>
        <v/>
      </c>
      <c r="B101" s="35" t="str">
        <f aca="false">IF($C101="","","YS"&amp;TEXT($C101,"yyyymm")&amp;"-"&amp;TEXT(ROW()-4,"0000"))</f>
        <v/>
      </c>
      <c r="C101" s="33"/>
      <c r="D101" s="24"/>
      <c r="E101" s="30" t="str">
        <f aca="false">IF($D101="","",IFERROR(INDEX(合同单位,MATCH($D101,合同键,0)),IFERROR(TRIM(LEFT($D101,FIND("｜",$D101)-1)),$D101)))</f>
        <v/>
      </c>
      <c r="F101" s="30" t="str">
        <f aca="false">IF($D101="","",IFERROR(INDEX(合同项目,MATCH($D101,合同键,0)),IFERROR(TRIM(MID($D101,FIND("｜",$D101)+1,99)),"")))</f>
        <v/>
      </c>
      <c r="G101" s="24"/>
      <c r="H101" s="35" t="str">
        <f aca="false">IF($G101="","",IFERROR(INDEX(费用款别,MATCH($G101,费用类别表,0)),"合同外款"))</f>
        <v/>
      </c>
      <c r="I101" s="33"/>
      <c r="J101" s="33"/>
      <c r="K101" s="39"/>
      <c r="L101" s="33"/>
      <c r="M101" s="25"/>
      <c r="N101" s="39"/>
      <c r="O101" s="35" t="str">
        <f aca="false">IF($C101="","",IF(N($N101)&lt;=0,"未开票",IF(ROUND(N($N101)-N($K101),2)&gt;=0,"已开票",IFERROR("部分开票 "&amp;TEXT(N($N101)/N($K101),"0%"),"部分开票"))))</f>
        <v/>
      </c>
      <c r="P101" s="40" t="str">
        <f aca="false">IF($C101="","",ROUND($V101+MIN($W101,MAX(0,(SUMIF(收款键,$D101,收款金额)-SUMIFS(收款金额,收款键,$D101,收款关联,"&lt;&gt;"))-($X101-$W101))),2))</f>
        <v/>
      </c>
      <c r="Q101" s="41" t="str">
        <f aca="false">IF($C101="","",ROUND(N($K101)-N($P101),2))</f>
        <v/>
      </c>
      <c r="R101" s="29" t="str">
        <f aca="false">IF($C101="","",YEAR($C101))</f>
        <v/>
      </c>
      <c r="S101" s="24"/>
      <c r="T101" s="35" t="str">
        <f aca="false">IF($C101="","",IF($D101="","★没选客户项目",IF(COUNTIF(合同键,$D101)=0,"★《维保合同》里没这个项目",IF(N($K101)&lt;=0,"★应收金额要填",IF(ROUND(N($N101)-N($K101),2)&gt;0.001,"★开票金额大于应收",IF(AND($L101&lt;&gt;"",N($N101)&lt;=0),"★填了开票日期没填开票金额",IF(AND($I101&lt;&gt;"",$J101&lt;&gt;"",$J101&lt;$I101),"★计费期间起止反了","OK")))))))</f>
        <v/>
      </c>
      <c r="U101" s="29" t="str">
        <f aca="false">IF($L101="","",YEAR($L101))</f>
        <v/>
      </c>
      <c r="V101" s="40" t="str">
        <f aca="false">IF($C101="","",ROUND(SUMIF(收款关联,$B101,收款金额),2))</f>
        <v/>
      </c>
      <c r="W101" s="40" t="str">
        <f aca="false">IF($C101="","",MAX(0,ROUND(N($K101)-N($V101),2)))</f>
        <v/>
      </c>
      <c r="X101" s="40" t="str">
        <f aca="false">IF($C101="","",ROUND(SUMIFS(应收净额,应收键,$D101,应收行号,"&lt;="&amp;ROW()),2))</f>
        <v/>
      </c>
      <c r="Y101" s="29" t="str">
        <f aca="false">IF($C101="","",ROW())</f>
        <v/>
      </c>
    </row>
    <row r="102" customFormat="false" ht="15" hidden="false" customHeight="false" outlineLevel="0" collapsed="false">
      <c r="A102" s="29" t="str">
        <f aca="false">IF($C102="","",ROW()-4)</f>
        <v/>
      </c>
      <c r="B102" s="35" t="str">
        <f aca="false">IF($C102="","","YS"&amp;TEXT($C102,"yyyymm")&amp;"-"&amp;TEXT(ROW()-4,"0000"))</f>
        <v/>
      </c>
      <c r="C102" s="33"/>
      <c r="D102" s="24"/>
      <c r="E102" s="30" t="str">
        <f aca="false">IF($D102="","",IFERROR(INDEX(合同单位,MATCH($D102,合同键,0)),IFERROR(TRIM(LEFT($D102,FIND("｜",$D102)-1)),$D102)))</f>
        <v/>
      </c>
      <c r="F102" s="30" t="str">
        <f aca="false">IF($D102="","",IFERROR(INDEX(合同项目,MATCH($D102,合同键,0)),IFERROR(TRIM(MID($D102,FIND("｜",$D102)+1,99)),"")))</f>
        <v/>
      </c>
      <c r="G102" s="24"/>
      <c r="H102" s="35" t="str">
        <f aca="false">IF($G102="","",IFERROR(INDEX(费用款别,MATCH($G102,费用类别表,0)),"合同外款"))</f>
        <v/>
      </c>
      <c r="I102" s="33"/>
      <c r="J102" s="33"/>
      <c r="K102" s="39"/>
      <c r="L102" s="33"/>
      <c r="M102" s="25"/>
      <c r="N102" s="39"/>
      <c r="O102" s="35" t="str">
        <f aca="false">IF($C102="","",IF(N($N102)&lt;=0,"未开票",IF(ROUND(N($N102)-N($K102),2)&gt;=0,"已开票",IFERROR("部分开票 "&amp;TEXT(N($N102)/N($K102),"0%"),"部分开票"))))</f>
        <v/>
      </c>
      <c r="P102" s="40" t="str">
        <f aca="false">IF($C102="","",ROUND($V102+MIN($W102,MAX(0,(SUMIF(收款键,$D102,收款金额)-SUMIFS(收款金额,收款键,$D102,收款关联,"&lt;&gt;"))-($X102-$W102))),2))</f>
        <v/>
      </c>
      <c r="Q102" s="41" t="str">
        <f aca="false">IF($C102="","",ROUND(N($K102)-N($P102),2))</f>
        <v/>
      </c>
      <c r="R102" s="29" t="str">
        <f aca="false">IF($C102="","",YEAR($C102))</f>
        <v/>
      </c>
      <c r="S102" s="24"/>
      <c r="T102" s="35" t="str">
        <f aca="false">IF($C102="","",IF($D102="","★没选客户项目",IF(COUNTIF(合同键,$D102)=0,"★《维保合同》里没这个项目",IF(N($K102)&lt;=0,"★应收金额要填",IF(ROUND(N($N102)-N($K102),2)&gt;0.001,"★开票金额大于应收",IF(AND($L102&lt;&gt;"",N($N102)&lt;=0),"★填了开票日期没填开票金额",IF(AND($I102&lt;&gt;"",$J102&lt;&gt;"",$J102&lt;$I102),"★计费期间起止反了","OK")))))))</f>
        <v/>
      </c>
      <c r="U102" s="29" t="str">
        <f aca="false">IF($L102="","",YEAR($L102))</f>
        <v/>
      </c>
      <c r="V102" s="40" t="str">
        <f aca="false">IF($C102="","",ROUND(SUMIF(收款关联,$B102,收款金额),2))</f>
        <v/>
      </c>
      <c r="W102" s="40" t="str">
        <f aca="false">IF($C102="","",MAX(0,ROUND(N($K102)-N($V102),2)))</f>
        <v/>
      </c>
      <c r="X102" s="40" t="str">
        <f aca="false">IF($C102="","",ROUND(SUMIFS(应收净额,应收键,$D102,应收行号,"&lt;="&amp;ROW()),2))</f>
        <v/>
      </c>
      <c r="Y102" s="29" t="str">
        <f aca="false">IF($C102="","",ROW())</f>
        <v/>
      </c>
    </row>
    <row r="103" customFormat="false" ht="15" hidden="false" customHeight="false" outlineLevel="0" collapsed="false">
      <c r="A103" s="29" t="str">
        <f aca="false">IF($C103="","",ROW()-4)</f>
        <v/>
      </c>
      <c r="B103" s="35" t="str">
        <f aca="false">IF($C103="","","YS"&amp;TEXT($C103,"yyyymm")&amp;"-"&amp;TEXT(ROW()-4,"0000"))</f>
        <v/>
      </c>
      <c r="C103" s="33"/>
      <c r="D103" s="24"/>
      <c r="E103" s="30" t="str">
        <f aca="false">IF($D103="","",IFERROR(INDEX(合同单位,MATCH($D103,合同键,0)),IFERROR(TRIM(LEFT($D103,FIND("｜",$D103)-1)),$D103)))</f>
        <v/>
      </c>
      <c r="F103" s="30" t="str">
        <f aca="false">IF($D103="","",IFERROR(INDEX(合同项目,MATCH($D103,合同键,0)),IFERROR(TRIM(MID($D103,FIND("｜",$D103)+1,99)),"")))</f>
        <v/>
      </c>
      <c r="G103" s="24"/>
      <c r="H103" s="35" t="str">
        <f aca="false">IF($G103="","",IFERROR(INDEX(费用款别,MATCH($G103,费用类别表,0)),"合同外款"))</f>
        <v/>
      </c>
      <c r="I103" s="33"/>
      <c r="J103" s="33"/>
      <c r="K103" s="39"/>
      <c r="L103" s="33"/>
      <c r="M103" s="25"/>
      <c r="N103" s="39"/>
      <c r="O103" s="35" t="str">
        <f aca="false">IF($C103="","",IF(N($N103)&lt;=0,"未开票",IF(ROUND(N($N103)-N($K103),2)&gt;=0,"已开票",IFERROR("部分开票 "&amp;TEXT(N($N103)/N($K103),"0%"),"部分开票"))))</f>
        <v/>
      </c>
      <c r="P103" s="40" t="str">
        <f aca="false">IF($C103="","",ROUND($V103+MIN($W103,MAX(0,(SUMIF(收款键,$D103,收款金额)-SUMIFS(收款金额,收款键,$D103,收款关联,"&lt;&gt;"))-($X103-$W103))),2))</f>
        <v/>
      </c>
      <c r="Q103" s="41" t="str">
        <f aca="false">IF($C103="","",ROUND(N($K103)-N($P103),2))</f>
        <v/>
      </c>
      <c r="R103" s="29" t="str">
        <f aca="false">IF($C103="","",YEAR($C103))</f>
        <v/>
      </c>
      <c r="S103" s="24"/>
      <c r="T103" s="35" t="str">
        <f aca="false">IF($C103="","",IF($D103="","★没选客户项目",IF(COUNTIF(合同键,$D103)=0,"★《维保合同》里没这个项目",IF(N($K103)&lt;=0,"★应收金额要填",IF(ROUND(N($N103)-N($K103),2)&gt;0.001,"★开票金额大于应收",IF(AND($L103&lt;&gt;"",N($N103)&lt;=0),"★填了开票日期没填开票金额",IF(AND($I103&lt;&gt;"",$J103&lt;&gt;"",$J103&lt;$I103),"★计费期间起止反了","OK")))))))</f>
        <v/>
      </c>
      <c r="U103" s="29" t="str">
        <f aca="false">IF($L103="","",YEAR($L103))</f>
        <v/>
      </c>
      <c r="V103" s="40" t="str">
        <f aca="false">IF($C103="","",ROUND(SUMIF(收款关联,$B103,收款金额),2))</f>
        <v/>
      </c>
      <c r="W103" s="40" t="str">
        <f aca="false">IF($C103="","",MAX(0,ROUND(N($K103)-N($V103),2)))</f>
        <v/>
      </c>
      <c r="X103" s="40" t="str">
        <f aca="false">IF($C103="","",ROUND(SUMIFS(应收净额,应收键,$D103,应收行号,"&lt;="&amp;ROW()),2))</f>
        <v/>
      </c>
      <c r="Y103" s="29" t="str">
        <f aca="false">IF($C103="","",ROW())</f>
        <v/>
      </c>
    </row>
    <row r="104" customFormat="false" ht="15" hidden="false" customHeight="false" outlineLevel="0" collapsed="false">
      <c r="A104" s="29" t="str">
        <f aca="false">IF($C104="","",ROW()-4)</f>
        <v/>
      </c>
      <c r="B104" s="35" t="str">
        <f aca="false">IF($C104="","","YS"&amp;TEXT($C104,"yyyymm")&amp;"-"&amp;TEXT(ROW()-4,"0000"))</f>
        <v/>
      </c>
      <c r="C104" s="33"/>
      <c r="D104" s="24"/>
      <c r="E104" s="30" t="str">
        <f aca="false">IF($D104="","",IFERROR(INDEX(合同单位,MATCH($D104,合同键,0)),IFERROR(TRIM(LEFT($D104,FIND("｜",$D104)-1)),$D104)))</f>
        <v/>
      </c>
      <c r="F104" s="30" t="str">
        <f aca="false">IF($D104="","",IFERROR(INDEX(合同项目,MATCH($D104,合同键,0)),IFERROR(TRIM(MID($D104,FIND("｜",$D104)+1,99)),"")))</f>
        <v/>
      </c>
      <c r="G104" s="24"/>
      <c r="H104" s="35" t="str">
        <f aca="false">IF($G104="","",IFERROR(INDEX(费用款别,MATCH($G104,费用类别表,0)),"合同外款"))</f>
        <v/>
      </c>
      <c r="I104" s="33"/>
      <c r="J104" s="33"/>
      <c r="K104" s="39"/>
      <c r="L104" s="33"/>
      <c r="M104" s="25"/>
      <c r="N104" s="39"/>
      <c r="O104" s="35" t="str">
        <f aca="false">IF($C104="","",IF(N($N104)&lt;=0,"未开票",IF(ROUND(N($N104)-N($K104),2)&gt;=0,"已开票",IFERROR("部分开票 "&amp;TEXT(N($N104)/N($K104),"0%"),"部分开票"))))</f>
        <v/>
      </c>
      <c r="P104" s="40" t="str">
        <f aca="false">IF($C104="","",ROUND($V104+MIN($W104,MAX(0,(SUMIF(收款键,$D104,收款金额)-SUMIFS(收款金额,收款键,$D104,收款关联,"&lt;&gt;"))-($X104-$W104))),2))</f>
        <v/>
      </c>
      <c r="Q104" s="41" t="str">
        <f aca="false">IF($C104="","",ROUND(N($K104)-N($P104),2))</f>
        <v/>
      </c>
      <c r="R104" s="29" t="str">
        <f aca="false">IF($C104="","",YEAR($C104))</f>
        <v/>
      </c>
      <c r="S104" s="24"/>
      <c r="T104" s="35" t="str">
        <f aca="false">IF($C104="","",IF($D104="","★没选客户项目",IF(COUNTIF(合同键,$D104)=0,"★《维保合同》里没这个项目",IF(N($K104)&lt;=0,"★应收金额要填",IF(ROUND(N($N104)-N($K104),2)&gt;0.001,"★开票金额大于应收",IF(AND($L104&lt;&gt;"",N($N104)&lt;=0),"★填了开票日期没填开票金额",IF(AND($I104&lt;&gt;"",$J104&lt;&gt;"",$J104&lt;$I104),"★计费期间起止反了","OK")))))))</f>
        <v/>
      </c>
      <c r="U104" s="29" t="str">
        <f aca="false">IF($L104="","",YEAR($L104))</f>
        <v/>
      </c>
      <c r="V104" s="40" t="str">
        <f aca="false">IF($C104="","",ROUND(SUMIF(收款关联,$B104,收款金额),2))</f>
        <v/>
      </c>
      <c r="W104" s="40" t="str">
        <f aca="false">IF($C104="","",MAX(0,ROUND(N($K104)-N($V104),2)))</f>
        <v/>
      </c>
      <c r="X104" s="40" t="str">
        <f aca="false">IF($C104="","",ROUND(SUMIFS(应收净额,应收键,$D104,应收行号,"&lt;="&amp;ROW()),2))</f>
        <v/>
      </c>
      <c r="Y104" s="29" t="str">
        <f aca="false">IF($C104="","",ROW())</f>
        <v/>
      </c>
    </row>
    <row r="105" customFormat="false" ht="15" hidden="false" customHeight="false" outlineLevel="0" collapsed="false">
      <c r="A105" s="29" t="str">
        <f aca="false">IF($C105="","",ROW()-4)</f>
        <v/>
      </c>
      <c r="B105" s="35" t="str">
        <f aca="false">IF($C105="","","YS"&amp;TEXT($C105,"yyyymm")&amp;"-"&amp;TEXT(ROW()-4,"0000"))</f>
        <v/>
      </c>
      <c r="C105" s="33"/>
      <c r="D105" s="24"/>
      <c r="E105" s="30" t="str">
        <f aca="false">IF($D105="","",IFERROR(INDEX(合同单位,MATCH($D105,合同键,0)),IFERROR(TRIM(LEFT($D105,FIND("｜",$D105)-1)),$D105)))</f>
        <v/>
      </c>
      <c r="F105" s="30" t="str">
        <f aca="false">IF($D105="","",IFERROR(INDEX(合同项目,MATCH($D105,合同键,0)),IFERROR(TRIM(MID($D105,FIND("｜",$D105)+1,99)),"")))</f>
        <v/>
      </c>
      <c r="G105" s="24"/>
      <c r="H105" s="35" t="str">
        <f aca="false">IF($G105="","",IFERROR(INDEX(费用款别,MATCH($G105,费用类别表,0)),"合同外款"))</f>
        <v/>
      </c>
      <c r="I105" s="33"/>
      <c r="J105" s="33"/>
      <c r="K105" s="39"/>
      <c r="L105" s="33"/>
      <c r="M105" s="25"/>
      <c r="N105" s="39"/>
      <c r="O105" s="35" t="str">
        <f aca="false">IF($C105="","",IF(N($N105)&lt;=0,"未开票",IF(ROUND(N($N105)-N($K105),2)&gt;=0,"已开票",IFERROR("部分开票 "&amp;TEXT(N($N105)/N($K105),"0%"),"部分开票"))))</f>
        <v/>
      </c>
      <c r="P105" s="40" t="str">
        <f aca="false">IF($C105="","",ROUND($V105+MIN($W105,MAX(0,(SUMIF(收款键,$D105,收款金额)-SUMIFS(收款金额,收款键,$D105,收款关联,"&lt;&gt;"))-($X105-$W105))),2))</f>
        <v/>
      </c>
      <c r="Q105" s="41" t="str">
        <f aca="false">IF($C105="","",ROUND(N($K105)-N($P105),2))</f>
        <v/>
      </c>
      <c r="R105" s="29" t="str">
        <f aca="false">IF($C105="","",YEAR($C105))</f>
        <v/>
      </c>
      <c r="S105" s="24"/>
      <c r="T105" s="35" t="str">
        <f aca="false">IF($C105="","",IF($D105="","★没选客户项目",IF(COUNTIF(合同键,$D105)=0,"★《维保合同》里没这个项目",IF(N($K105)&lt;=0,"★应收金额要填",IF(ROUND(N($N105)-N($K105),2)&gt;0.001,"★开票金额大于应收",IF(AND($L105&lt;&gt;"",N($N105)&lt;=0),"★填了开票日期没填开票金额",IF(AND($I105&lt;&gt;"",$J105&lt;&gt;"",$J105&lt;$I105),"★计费期间起止反了","OK")))))))</f>
        <v/>
      </c>
      <c r="U105" s="29" t="str">
        <f aca="false">IF($L105="","",YEAR($L105))</f>
        <v/>
      </c>
      <c r="V105" s="40" t="str">
        <f aca="false">IF($C105="","",ROUND(SUMIF(收款关联,$B105,收款金额),2))</f>
        <v/>
      </c>
      <c r="W105" s="40" t="str">
        <f aca="false">IF($C105="","",MAX(0,ROUND(N($K105)-N($V105),2)))</f>
        <v/>
      </c>
      <c r="X105" s="40" t="str">
        <f aca="false">IF($C105="","",ROUND(SUMIFS(应收净额,应收键,$D105,应收行号,"&lt;="&amp;ROW()),2))</f>
        <v/>
      </c>
      <c r="Y105" s="29" t="str">
        <f aca="false">IF($C105="","",ROW())</f>
        <v/>
      </c>
    </row>
    <row r="106" customFormat="false" ht="15" hidden="false" customHeight="false" outlineLevel="0" collapsed="false">
      <c r="A106" s="29" t="str">
        <f aca="false">IF($C106="","",ROW()-4)</f>
        <v/>
      </c>
      <c r="B106" s="35" t="str">
        <f aca="false">IF($C106="","","YS"&amp;TEXT($C106,"yyyymm")&amp;"-"&amp;TEXT(ROW()-4,"0000"))</f>
        <v/>
      </c>
      <c r="C106" s="33"/>
      <c r="D106" s="24"/>
      <c r="E106" s="30" t="str">
        <f aca="false">IF($D106="","",IFERROR(INDEX(合同单位,MATCH($D106,合同键,0)),IFERROR(TRIM(LEFT($D106,FIND("｜",$D106)-1)),$D106)))</f>
        <v/>
      </c>
      <c r="F106" s="30" t="str">
        <f aca="false">IF($D106="","",IFERROR(INDEX(合同项目,MATCH($D106,合同键,0)),IFERROR(TRIM(MID($D106,FIND("｜",$D106)+1,99)),"")))</f>
        <v/>
      </c>
      <c r="G106" s="24"/>
      <c r="H106" s="35" t="str">
        <f aca="false">IF($G106="","",IFERROR(INDEX(费用款别,MATCH($G106,费用类别表,0)),"合同外款"))</f>
        <v/>
      </c>
      <c r="I106" s="33"/>
      <c r="J106" s="33"/>
      <c r="K106" s="39"/>
      <c r="L106" s="33"/>
      <c r="M106" s="25"/>
      <c r="N106" s="39"/>
      <c r="O106" s="35" t="str">
        <f aca="false">IF($C106="","",IF(N($N106)&lt;=0,"未开票",IF(ROUND(N($N106)-N($K106),2)&gt;=0,"已开票",IFERROR("部分开票 "&amp;TEXT(N($N106)/N($K106),"0%"),"部分开票"))))</f>
        <v/>
      </c>
      <c r="P106" s="40" t="str">
        <f aca="false">IF($C106="","",ROUND($V106+MIN($W106,MAX(0,(SUMIF(收款键,$D106,收款金额)-SUMIFS(收款金额,收款键,$D106,收款关联,"&lt;&gt;"))-($X106-$W106))),2))</f>
        <v/>
      </c>
      <c r="Q106" s="41" t="str">
        <f aca="false">IF($C106="","",ROUND(N($K106)-N($P106),2))</f>
        <v/>
      </c>
      <c r="R106" s="29" t="str">
        <f aca="false">IF($C106="","",YEAR($C106))</f>
        <v/>
      </c>
      <c r="S106" s="24"/>
      <c r="T106" s="35" t="str">
        <f aca="false">IF($C106="","",IF($D106="","★没选客户项目",IF(COUNTIF(合同键,$D106)=0,"★《维保合同》里没这个项目",IF(N($K106)&lt;=0,"★应收金额要填",IF(ROUND(N($N106)-N($K106),2)&gt;0.001,"★开票金额大于应收",IF(AND($L106&lt;&gt;"",N($N106)&lt;=0),"★填了开票日期没填开票金额",IF(AND($I106&lt;&gt;"",$J106&lt;&gt;"",$J106&lt;$I106),"★计费期间起止反了","OK")))))))</f>
        <v/>
      </c>
      <c r="U106" s="29" t="str">
        <f aca="false">IF($L106="","",YEAR($L106))</f>
        <v/>
      </c>
      <c r="V106" s="40" t="str">
        <f aca="false">IF($C106="","",ROUND(SUMIF(收款关联,$B106,收款金额),2))</f>
        <v/>
      </c>
      <c r="W106" s="40" t="str">
        <f aca="false">IF($C106="","",MAX(0,ROUND(N($K106)-N($V106),2)))</f>
        <v/>
      </c>
      <c r="X106" s="40" t="str">
        <f aca="false">IF($C106="","",ROUND(SUMIFS(应收净额,应收键,$D106,应收行号,"&lt;="&amp;ROW()),2))</f>
        <v/>
      </c>
      <c r="Y106" s="29" t="str">
        <f aca="false">IF($C106="","",ROW())</f>
        <v/>
      </c>
    </row>
    <row r="107" customFormat="false" ht="15" hidden="false" customHeight="false" outlineLevel="0" collapsed="false">
      <c r="A107" s="29" t="str">
        <f aca="false">IF($C107="","",ROW()-4)</f>
        <v/>
      </c>
      <c r="B107" s="35" t="str">
        <f aca="false">IF($C107="","","YS"&amp;TEXT($C107,"yyyymm")&amp;"-"&amp;TEXT(ROW()-4,"0000"))</f>
        <v/>
      </c>
      <c r="C107" s="33"/>
      <c r="D107" s="24"/>
      <c r="E107" s="30" t="str">
        <f aca="false">IF($D107="","",IFERROR(INDEX(合同单位,MATCH($D107,合同键,0)),IFERROR(TRIM(LEFT($D107,FIND("｜",$D107)-1)),$D107)))</f>
        <v/>
      </c>
      <c r="F107" s="30" t="str">
        <f aca="false">IF($D107="","",IFERROR(INDEX(合同项目,MATCH($D107,合同键,0)),IFERROR(TRIM(MID($D107,FIND("｜",$D107)+1,99)),"")))</f>
        <v/>
      </c>
      <c r="G107" s="24"/>
      <c r="H107" s="35" t="str">
        <f aca="false">IF($G107="","",IFERROR(INDEX(费用款别,MATCH($G107,费用类别表,0)),"合同外款"))</f>
        <v/>
      </c>
      <c r="I107" s="33"/>
      <c r="J107" s="33"/>
      <c r="K107" s="39"/>
      <c r="L107" s="33"/>
      <c r="M107" s="25"/>
      <c r="N107" s="39"/>
      <c r="O107" s="35" t="str">
        <f aca="false">IF($C107="","",IF(N($N107)&lt;=0,"未开票",IF(ROUND(N($N107)-N($K107),2)&gt;=0,"已开票",IFERROR("部分开票 "&amp;TEXT(N($N107)/N($K107),"0%"),"部分开票"))))</f>
        <v/>
      </c>
      <c r="P107" s="40" t="str">
        <f aca="false">IF($C107="","",ROUND($V107+MIN($W107,MAX(0,(SUMIF(收款键,$D107,收款金额)-SUMIFS(收款金额,收款键,$D107,收款关联,"&lt;&gt;"))-($X107-$W107))),2))</f>
        <v/>
      </c>
      <c r="Q107" s="41" t="str">
        <f aca="false">IF($C107="","",ROUND(N($K107)-N($P107),2))</f>
        <v/>
      </c>
      <c r="R107" s="29" t="str">
        <f aca="false">IF($C107="","",YEAR($C107))</f>
        <v/>
      </c>
      <c r="S107" s="24"/>
      <c r="T107" s="35" t="str">
        <f aca="false">IF($C107="","",IF($D107="","★没选客户项目",IF(COUNTIF(合同键,$D107)=0,"★《维保合同》里没这个项目",IF(N($K107)&lt;=0,"★应收金额要填",IF(ROUND(N($N107)-N($K107),2)&gt;0.001,"★开票金额大于应收",IF(AND($L107&lt;&gt;"",N($N107)&lt;=0),"★填了开票日期没填开票金额",IF(AND($I107&lt;&gt;"",$J107&lt;&gt;"",$J107&lt;$I107),"★计费期间起止反了","OK")))))))</f>
        <v/>
      </c>
      <c r="U107" s="29" t="str">
        <f aca="false">IF($L107="","",YEAR($L107))</f>
        <v/>
      </c>
      <c r="V107" s="40" t="str">
        <f aca="false">IF($C107="","",ROUND(SUMIF(收款关联,$B107,收款金额),2))</f>
        <v/>
      </c>
      <c r="W107" s="40" t="str">
        <f aca="false">IF($C107="","",MAX(0,ROUND(N($K107)-N($V107),2)))</f>
        <v/>
      </c>
      <c r="X107" s="40" t="str">
        <f aca="false">IF($C107="","",ROUND(SUMIFS(应收净额,应收键,$D107,应收行号,"&lt;="&amp;ROW()),2))</f>
        <v/>
      </c>
      <c r="Y107" s="29" t="str">
        <f aca="false">IF($C107="","",ROW())</f>
        <v/>
      </c>
    </row>
    <row r="108" customFormat="false" ht="15" hidden="false" customHeight="false" outlineLevel="0" collapsed="false">
      <c r="A108" s="29" t="str">
        <f aca="false">IF($C108="","",ROW()-4)</f>
        <v/>
      </c>
      <c r="B108" s="35" t="str">
        <f aca="false">IF($C108="","","YS"&amp;TEXT($C108,"yyyymm")&amp;"-"&amp;TEXT(ROW()-4,"0000"))</f>
        <v/>
      </c>
      <c r="C108" s="33"/>
      <c r="D108" s="24"/>
      <c r="E108" s="30" t="str">
        <f aca="false">IF($D108="","",IFERROR(INDEX(合同单位,MATCH($D108,合同键,0)),IFERROR(TRIM(LEFT($D108,FIND("｜",$D108)-1)),$D108)))</f>
        <v/>
      </c>
      <c r="F108" s="30" t="str">
        <f aca="false">IF($D108="","",IFERROR(INDEX(合同项目,MATCH($D108,合同键,0)),IFERROR(TRIM(MID($D108,FIND("｜",$D108)+1,99)),"")))</f>
        <v/>
      </c>
      <c r="G108" s="24"/>
      <c r="H108" s="35" t="str">
        <f aca="false">IF($G108="","",IFERROR(INDEX(费用款别,MATCH($G108,费用类别表,0)),"合同外款"))</f>
        <v/>
      </c>
      <c r="I108" s="33"/>
      <c r="J108" s="33"/>
      <c r="K108" s="39"/>
      <c r="L108" s="33"/>
      <c r="M108" s="25"/>
      <c r="N108" s="39"/>
      <c r="O108" s="35" t="str">
        <f aca="false">IF($C108="","",IF(N($N108)&lt;=0,"未开票",IF(ROUND(N($N108)-N($K108),2)&gt;=0,"已开票",IFERROR("部分开票 "&amp;TEXT(N($N108)/N($K108),"0%"),"部分开票"))))</f>
        <v/>
      </c>
      <c r="P108" s="40" t="str">
        <f aca="false">IF($C108="","",ROUND($V108+MIN($W108,MAX(0,(SUMIF(收款键,$D108,收款金额)-SUMIFS(收款金额,收款键,$D108,收款关联,"&lt;&gt;"))-($X108-$W108))),2))</f>
        <v/>
      </c>
      <c r="Q108" s="41" t="str">
        <f aca="false">IF($C108="","",ROUND(N($K108)-N($P108),2))</f>
        <v/>
      </c>
      <c r="R108" s="29" t="str">
        <f aca="false">IF($C108="","",YEAR($C108))</f>
        <v/>
      </c>
      <c r="S108" s="24"/>
      <c r="T108" s="35" t="str">
        <f aca="false">IF($C108="","",IF($D108="","★没选客户项目",IF(COUNTIF(合同键,$D108)=0,"★《维保合同》里没这个项目",IF(N($K108)&lt;=0,"★应收金额要填",IF(ROUND(N($N108)-N($K108),2)&gt;0.001,"★开票金额大于应收",IF(AND($L108&lt;&gt;"",N($N108)&lt;=0),"★填了开票日期没填开票金额",IF(AND($I108&lt;&gt;"",$J108&lt;&gt;"",$J108&lt;$I108),"★计费期间起止反了","OK")))))))</f>
        <v/>
      </c>
      <c r="U108" s="29" t="str">
        <f aca="false">IF($L108="","",YEAR($L108))</f>
        <v/>
      </c>
      <c r="V108" s="40" t="str">
        <f aca="false">IF($C108="","",ROUND(SUMIF(收款关联,$B108,收款金额),2))</f>
        <v/>
      </c>
      <c r="W108" s="40" t="str">
        <f aca="false">IF($C108="","",MAX(0,ROUND(N($K108)-N($V108),2)))</f>
        <v/>
      </c>
      <c r="X108" s="40" t="str">
        <f aca="false">IF($C108="","",ROUND(SUMIFS(应收净额,应收键,$D108,应收行号,"&lt;="&amp;ROW()),2))</f>
        <v/>
      </c>
      <c r="Y108" s="29" t="str">
        <f aca="false">IF($C108="","",ROW())</f>
        <v/>
      </c>
    </row>
    <row r="109" customFormat="false" ht="15" hidden="false" customHeight="false" outlineLevel="0" collapsed="false">
      <c r="A109" s="29" t="str">
        <f aca="false">IF($C109="","",ROW()-4)</f>
        <v/>
      </c>
      <c r="B109" s="35" t="str">
        <f aca="false">IF($C109="","","YS"&amp;TEXT($C109,"yyyymm")&amp;"-"&amp;TEXT(ROW()-4,"0000"))</f>
        <v/>
      </c>
      <c r="C109" s="33"/>
      <c r="D109" s="24"/>
      <c r="E109" s="30" t="str">
        <f aca="false">IF($D109="","",IFERROR(INDEX(合同单位,MATCH($D109,合同键,0)),IFERROR(TRIM(LEFT($D109,FIND("｜",$D109)-1)),$D109)))</f>
        <v/>
      </c>
      <c r="F109" s="30" t="str">
        <f aca="false">IF($D109="","",IFERROR(INDEX(合同项目,MATCH($D109,合同键,0)),IFERROR(TRIM(MID($D109,FIND("｜",$D109)+1,99)),"")))</f>
        <v/>
      </c>
      <c r="G109" s="24"/>
      <c r="H109" s="35" t="str">
        <f aca="false">IF($G109="","",IFERROR(INDEX(费用款别,MATCH($G109,费用类别表,0)),"合同外款"))</f>
        <v/>
      </c>
      <c r="I109" s="33"/>
      <c r="J109" s="33"/>
      <c r="K109" s="39"/>
      <c r="L109" s="33"/>
      <c r="M109" s="25"/>
      <c r="N109" s="39"/>
      <c r="O109" s="35" t="str">
        <f aca="false">IF($C109="","",IF(N($N109)&lt;=0,"未开票",IF(ROUND(N($N109)-N($K109),2)&gt;=0,"已开票",IFERROR("部分开票 "&amp;TEXT(N($N109)/N($K109),"0%"),"部分开票"))))</f>
        <v/>
      </c>
      <c r="P109" s="40" t="str">
        <f aca="false">IF($C109="","",ROUND($V109+MIN($W109,MAX(0,(SUMIF(收款键,$D109,收款金额)-SUMIFS(收款金额,收款键,$D109,收款关联,"&lt;&gt;"))-($X109-$W109))),2))</f>
        <v/>
      </c>
      <c r="Q109" s="41" t="str">
        <f aca="false">IF($C109="","",ROUND(N($K109)-N($P109),2))</f>
        <v/>
      </c>
      <c r="R109" s="29" t="str">
        <f aca="false">IF($C109="","",YEAR($C109))</f>
        <v/>
      </c>
      <c r="S109" s="24"/>
      <c r="T109" s="35" t="str">
        <f aca="false">IF($C109="","",IF($D109="","★没选客户项目",IF(COUNTIF(合同键,$D109)=0,"★《维保合同》里没这个项目",IF(N($K109)&lt;=0,"★应收金额要填",IF(ROUND(N($N109)-N($K109),2)&gt;0.001,"★开票金额大于应收",IF(AND($L109&lt;&gt;"",N($N109)&lt;=0),"★填了开票日期没填开票金额",IF(AND($I109&lt;&gt;"",$J109&lt;&gt;"",$J109&lt;$I109),"★计费期间起止反了","OK")))))))</f>
        <v/>
      </c>
      <c r="U109" s="29" t="str">
        <f aca="false">IF($L109="","",YEAR($L109))</f>
        <v/>
      </c>
      <c r="V109" s="40" t="str">
        <f aca="false">IF($C109="","",ROUND(SUMIF(收款关联,$B109,收款金额),2))</f>
        <v/>
      </c>
      <c r="W109" s="40" t="str">
        <f aca="false">IF($C109="","",MAX(0,ROUND(N($K109)-N($V109),2)))</f>
        <v/>
      </c>
      <c r="X109" s="40" t="str">
        <f aca="false">IF($C109="","",ROUND(SUMIFS(应收净额,应收键,$D109,应收行号,"&lt;="&amp;ROW()),2))</f>
        <v/>
      </c>
      <c r="Y109" s="29" t="str">
        <f aca="false">IF($C109="","",ROW())</f>
        <v/>
      </c>
    </row>
    <row r="110" customFormat="false" ht="15" hidden="false" customHeight="false" outlineLevel="0" collapsed="false">
      <c r="A110" s="29" t="str">
        <f aca="false">IF($C110="","",ROW()-4)</f>
        <v/>
      </c>
      <c r="B110" s="35" t="str">
        <f aca="false">IF($C110="","","YS"&amp;TEXT($C110,"yyyymm")&amp;"-"&amp;TEXT(ROW()-4,"0000"))</f>
        <v/>
      </c>
      <c r="C110" s="33"/>
      <c r="D110" s="24"/>
      <c r="E110" s="30" t="str">
        <f aca="false">IF($D110="","",IFERROR(INDEX(合同单位,MATCH($D110,合同键,0)),IFERROR(TRIM(LEFT($D110,FIND("｜",$D110)-1)),$D110)))</f>
        <v/>
      </c>
      <c r="F110" s="30" t="str">
        <f aca="false">IF($D110="","",IFERROR(INDEX(合同项目,MATCH($D110,合同键,0)),IFERROR(TRIM(MID($D110,FIND("｜",$D110)+1,99)),"")))</f>
        <v/>
      </c>
      <c r="G110" s="24"/>
      <c r="H110" s="35" t="str">
        <f aca="false">IF($G110="","",IFERROR(INDEX(费用款别,MATCH($G110,费用类别表,0)),"合同外款"))</f>
        <v/>
      </c>
      <c r="I110" s="33"/>
      <c r="J110" s="33"/>
      <c r="K110" s="39"/>
      <c r="L110" s="33"/>
      <c r="M110" s="25"/>
      <c r="N110" s="39"/>
      <c r="O110" s="35" t="str">
        <f aca="false">IF($C110="","",IF(N($N110)&lt;=0,"未开票",IF(ROUND(N($N110)-N($K110),2)&gt;=0,"已开票",IFERROR("部分开票 "&amp;TEXT(N($N110)/N($K110),"0%"),"部分开票"))))</f>
        <v/>
      </c>
      <c r="P110" s="40" t="str">
        <f aca="false">IF($C110="","",ROUND($V110+MIN($W110,MAX(0,(SUMIF(收款键,$D110,收款金额)-SUMIFS(收款金额,收款键,$D110,收款关联,"&lt;&gt;"))-($X110-$W110))),2))</f>
        <v/>
      </c>
      <c r="Q110" s="41" t="str">
        <f aca="false">IF($C110="","",ROUND(N($K110)-N($P110),2))</f>
        <v/>
      </c>
      <c r="R110" s="29" t="str">
        <f aca="false">IF($C110="","",YEAR($C110))</f>
        <v/>
      </c>
      <c r="S110" s="24"/>
      <c r="T110" s="35" t="str">
        <f aca="false">IF($C110="","",IF($D110="","★没选客户项目",IF(COUNTIF(合同键,$D110)=0,"★《维保合同》里没这个项目",IF(N($K110)&lt;=0,"★应收金额要填",IF(ROUND(N($N110)-N($K110),2)&gt;0.001,"★开票金额大于应收",IF(AND($L110&lt;&gt;"",N($N110)&lt;=0),"★填了开票日期没填开票金额",IF(AND($I110&lt;&gt;"",$J110&lt;&gt;"",$J110&lt;$I110),"★计费期间起止反了","OK")))))))</f>
        <v/>
      </c>
      <c r="U110" s="29" t="str">
        <f aca="false">IF($L110="","",YEAR($L110))</f>
        <v/>
      </c>
      <c r="V110" s="40" t="str">
        <f aca="false">IF($C110="","",ROUND(SUMIF(收款关联,$B110,收款金额),2))</f>
        <v/>
      </c>
      <c r="W110" s="40" t="str">
        <f aca="false">IF($C110="","",MAX(0,ROUND(N($K110)-N($V110),2)))</f>
        <v/>
      </c>
      <c r="X110" s="40" t="str">
        <f aca="false">IF($C110="","",ROUND(SUMIFS(应收净额,应收键,$D110,应收行号,"&lt;="&amp;ROW()),2))</f>
        <v/>
      </c>
      <c r="Y110" s="29" t="str">
        <f aca="false">IF($C110="","",ROW())</f>
        <v/>
      </c>
    </row>
    <row r="111" customFormat="false" ht="15" hidden="false" customHeight="false" outlineLevel="0" collapsed="false">
      <c r="A111" s="29" t="str">
        <f aca="false">IF($C111="","",ROW()-4)</f>
        <v/>
      </c>
      <c r="B111" s="35" t="str">
        <f aca="false">IF($C111="","","YS"&amp;TEXT($C111,"yyyymm")&amp;"-"&amp;TEXT(ROW()-4,"0000"))</f>
        <v/>
      </c>
      <c r="C111" s="33"/>
      <c r="D111" s="24"/>
      <c r="E111" s="30" t="str">
        <f aca="false">IF($D111="","",IFERROR(INDEX(合同单位,MATCH($D111,合同键,0)),IFERROR(TRIM(LEFT($D111,FIND("｜",$D111)-1)),$D111)))</f>
        <v/>
      </c>
      <c r="F111" s="30" t="str">
        <f aca="false">IF($D111="","",IFERROR(INDEX(合同项目,MATCH($D111,合同键,0)),IFERROR(TRIM(MID($D111,FIND("｜",$D111)+1,99)),"")))</f>
        <v/>
      </c>
      <c r="G111" s="24"/>
      <c r="H111" s="35" t="str">
        <f aca="false">IF($G111="","",IFERROR(INDEX(费用款别,MATCH($G111,费用类别表,0)),"合同外款"))</f>
        <v/>
      </c>
      <c r="I111" s="33"/>
      <c r="J111" s="33"/>
      <c r="K111" s="39"/>
      <c r="L111" s="33"/>
      <c r="M111" s="25"/>
      <c r="N111" s="39"/>
      <c r="O111" s="35" t="str">
        <f aca="false">IF($C111="","",IF(N($N111)&lt;=0,"未开票",IF(ROUND(N($N111)-N($K111),2)&gt;=0,"已开票",IFERROR("部分开票 "&amp;TEXT(N($N111)/N($K111),"0%"),"部分开票"))))</f>
        <v/>
      </c>
      <c r="P111" s="40" t="str">
        <f aca="false">IF($C111="","",ROUND($V111+MIN($W111,MAX(0,(SUMIF(收款键,$D111,收款金额)-SUMIFS(收款金额,收款键,$D111,收款关联,"&lt;&gt;"))-($X111-$W111))),2))</f>
        <v/>
      </c>
      <c r="Q111" s="41" t="str">
        <f aca="false">IF($C111="","",ROUND(N($K111)-N($P111),2))</f>
        <v/>
      </c>
      <c r="R111" s="29" t="str">
        <f aca="false">IF($C111="","",YEAR($C111))</f>
        <v/>
      </c>
      <c r="S111" s="24"/>
      <c r="T111" s="35" t="str">
        <f aca="false">IF($C111="","",IF($D111="","★没选客户项目",IF(COUNTIF(合同键,$D111)=0,"★《维保合同》里没这个项目",IF(N($K111)&lt;=0,"★应收金额要填",IF(ROUND(N($N111)-N($K111),2)&gt;0.001,"★开票金额大于应收",IF(AND($L111&lt;&gt;"",N($N111)&lt;=0),"★填了开票日期没填开票金额",IF(AND($I111&lt;&gt;"",$J111&lt;&gt;"",$J111&lt;$I111),"★计费期间起止反了","OK")))))))</f>
        <v/>
      </c>
      <c r="U111" s="29" t="str">
        <f aca="false">IF($L111="","",YEAR($L111))</f>
        <v/>
      </c>
      <c r="V111" s="40" t="str">
        <f aca="false">IF($C111="","",ROUND(SUMIF(收款关联,$B111,收款金额),2))</f>
        <v/>
      </c>
      <c r="W111" s="40" t="str">
        <f aca="false">IF($C111="","",MAX(0,ROUND(N($K111)-N($V111),2)))</f>
        <v/>
      </c>
      <c r="X111" s="40" t="str">
        <f aca="false">IF($C111="","",ROUND(SUMIFS(应收净额,应收键,$D111,应收行号,"&lt;="&amp;ROW()),2))</f>
        <v/>
      </c>
      <c r="Y111" s="29" t="str">
        <f aca="false">IF($C111="","",ROW())</f>
        <v/>
      </c>
    </row>
    <row r="112" customFormat="false" ht="15" hidden="false" customHeight="false" outlineLevel="0" collapsed="false">
      <c r="A112" s="29" t="str">
        <f aca="false">IF($C112="","",ROW()-4)</f>
        <v/>
      </c>
      <c r="B112" s="35" t="str">
        <f aca="false">IF($C112="","","YS"&amp;TEXT($C112,"yyyymm")&amp;"-"&amp;TEXT(ROW()-4,"0000"))</f>
        <v/>
      </c>
      <c r="C112" s="33"/>
      <c r="D112" s="24"/>
      <c r="E112" s="30" t="str">
        <f aca="false">IF($D112="","",IFERROR(INDEX(合同单位,MATCH($D112,合同键,0)),IFERROR(TRIM(LEFT($D112,FIND("｜",$D112)-1)),$D112)))</f>
        <v/>
      </c>
      <c r="F112" s="30" t="str">
        <f aca="false">IF($D112="","",IFERROR(INDEX(合同项目,MATCH($D112,合同键,0)),IFERROR(TRIM(MID($D112,FIND("｜",$D112)+1,99)),"")))</f>
        <v/>
      </c>
      <c r="G112" s="24"/>
      <c r="H112" s="35" t="str">
        <f aca="false">IF($G112="","",IFERROR(INDEX(费用款别,MATCH($G112,费用类别表,0)),"合同外款"))</f>
        <v/>
      </c>
      <c r="I112" s="33"/>
      <c r="J112" s="33"/>
      <c r="K112" s="39"/>
      <c r="L112" s="33"/>
      <c r="M112" s="25"/>
      <c r="N112" s="39"/>
      <c r="O112" s="35" t="str">
        <f aca="false">IF($C112="","",IF(N($N112)&lt;=0,"未开票",IF(ROUND(N($N112)-N($K112),2)&gt;=0,"已开票",IFERROR("部分开票 "&amp;TEXT(N($N112)/N($K112),"0%"),"部分开票"))))</f>
        <v/>
      </c>
      <c r="P112" s="40" t="str">
        <f aca="false">IF($C112="","",ROUND($V112+MIN($W112,MAX(0,(SUMIF(收款键,$D112,收款金额)-SUMIFS(收款金额,收款键,$D112,收款关联,"&lt;&gt;"))-($X112-$W112))),2))</f>
        <v/>
      </c>
      <c r="Q112" s="41" t="str">
        <f aca="false">IF($C112="","",ROUND(N($K112)-N($P112),2))</f>
        <v/>
      </c>
      <c r="R112" s="29" t="str">
        <f aca="false">IF($C112="","",YEAR($C112))</f>
        <v/>
      </c>
      <c r="S112" s="24"/>
      <c r="T112" s="35" t="str">
        <f aca="false">IF($C112="","",IF($D112="","★没选客户项目",IF(COUNTIF(合同键,$D112)=0,"★《维保合同》里没这个项目",IF(N($K112)&lt;=0,"★应收金额要填",IF(ROUND(N($N112)-N($K112),2)&gt;0.001,"★开票金额大于应收",IF(AND($L112&lt;&gt;"",N($N112)&lt;=0),"★填了开票日期没填开票金额",IF(AND($I112&lt;&gt;"",$J112&lt;&gt;"",$J112&lt;$I112),"★计费期间起止反了","OK")))))))</f>
        <v/>
      </c>
      <c r="U112" s="29" t="str">
        <f aca="false">IF($L112="","",YEAR($L112))</f>
        <v/>
      </c>
      <c r="V112" s="40" t="str">
        <f aca="false">IF($C112="","",ROUND(SUMIF(收款关联,$B112,收款金额),2))</f>
        <v/>
      </c>
      <c r="W112" s="40" t="str">
        <f aca="false">IF($C112="","",MAX(0,ROUND(N($K112)-N($V112),2)))</f>
        <v/>
      </c>
      <c r="X112" s="40" t="str">
        <f aca="false">IF($C112="","",ROUND(SUMIFS(应收净额,应收键,$D112,应收行号,"&lt;="&amp;ROW()),2))</f>
        <v/>
      </c>
      <c r="Y112" s="29" t="str">
        <f aca="false">IF($C112="","",ROW())</f>
        <v/>
      </c>
    </row>
    <row r="113" customFormat="false" ht="15" hidden="false" customHeight="false" outlineLevel="0" collapsed="false">
      <c r="A113" s="29" t="str">
        <f aca="false">IF($C113="","",ROW()-4)</f>
        <v/>
      </c>
      <c r="B113" s="35" t="str">
        <f aca="false">IF($C113="","","YS"&amp;TEXT($C113,"yyyymm")&amp;"-"&amp;TEXT(ROW()-4,"0000"))</f>
        <v/>
      </c>
      <c r="C113" s="33"/>
      <c r="D113" s="24"/>
      <c r="E113" s="30" t="str">
        <f aca="false">IF($D113="","",IFERROR(INDEX(合同单位,MATCH($D113,合同键,0)),IFERROR(TRIM(LEFT($D113,FIND("｜",$D113)-1)),$D113)))</f>
        <v/>
      </c>
      <c r="F113" s="30" t="str">
        <f aca="false">IF($D113="","",IFERROR(INDEX(合同项目,MATCH($D113,合同键,0)),IFERROR(TRIM(MID($D113,FIND("｜",$D113)+1,99)),"")))</f>
        <v/>
      </c>
      <c r="G113" s="24"/>
      <c r="H113" s="35" t="str">
        <f aca="false">IF($G113="","",IFERROR(INDEX(费用款别,MATCH($G113,费用类别表,0)),"合同外款"))</f>
        <v/>
      </c>
      <c r="I113" s="33"/>
      <c r="J113" s="33"/>
      <c r="K113" s="39"/>
      <c r="L113" s="33"/>
      <c r="M113" s="25"/>
      <c r="N113" s="39"/>
      <c r="O113" s="35" t="str">
        <f aca="false">IF($C113="","",IF(N($N113)&lt;=0,"未开票",IF(ROUND(N($N113)-N($K113),2)&gt;=0,"已开票",IFERROR("部分开票 "&amp;TEXT(N($N113)/N($K113),"0%"),"部分开票"))))</f>
        <v/>
      </c>
      <c r="P113" s="40" t="str">
        <f aca="false">IF($C113="","",ROUND($V113+MIN($W113,MAX(0,(SUMIF(收款键,$D113,收款金额)-SUMIFS(收款金额,收款键,$D113,收款关联,"&lt;&gt;"))-($X113-$W113))),2))</f>
        <v/>
      </c>
      <c r="Q113" s="41" t="str">
        <f aca="false">IF($C113="","",ROUND(N($K113)-N($P113),2))</f>
        <v/>
      </c>
      <c r="R113" s="29" t="str">
        <f aca="false">IF($C113="","",YEAR($C113))</f>
        <v/>
      </c>
      <c r="S113" s="24"/>
      <c r="T113" s="35" t="str">
        <f aca="false">IF($C113="","",IF($D113="","★没选客户项目",IF(COUNTIF(合同键,$D113)=0,"★《维保合同》里没这个项目",IF(N($K113)&lt;=0,"★应收金额要填",IF(ROUND(N($N113)-N($K113),2)&gt;0.001,"★开票金额大于应收",IF(AND($L113&lt;&gt;"",N($N113)&lt;=0),"★填了开票日期没填开票金额",IF(AND($I113&lt;&gt;"",$J113&lt;&gt;"",$J113&lt;$I113),"★计费期间起止反了","OK")))))))</f>
        <v/>
      </c>
      <c r="U113" s="29" t="str">
        <f aca="false">IF($L113="","",YEAR($L113))</f>
        <v/>
      </c>
      <c r="V113" s="40" t="str">
        <f aca="false">IF($C113="","",ROUND(SUMIF(收款关联,$B113,收款金额),2))</f>
        <v/>
      </c>
      <c r="W113" s="40" t="str">
        <f aca="false">IF($C113="","",MAX(0,ROUND(N($K113)-N($V113),2)))</f>
        <v/>
      </c>
      <c r="X113" s="40" t="str">
        <f aca="false">IF($C113="","",ROUND(SUMIFS(应收净额,应收键,$D113,应收行号,"&lt;="&amp;ROW()),2))</f>
        <v/>
      </c>
      <c r="Y113" s="29" t="str">
        <f aca="false">IF($C113="","",ROW())</f>
        <v/>
      </c>
    </row>
    <row r="114" customFormat="false" ht="15" hidden="false" customHeight="false" outlineLevel="0" collapsed="false">
      <c r="A114" s="29" t="str">
        <f aca="false">IF($C114="","",ROW()-4)</f>
        <v/>
      </c>
      <c r="B114" s="35" t="str">
        <f aca="false">IF($C114="","","YS"&amp;TEXT($C114,"yyyymm")&amp;"-"&amp;TEXT(ROW()-4,"0000"))</f>
        <v/>
      </c>
      <c r="C114" s="33"/>
      <c r="D114" s="24"/>
      <c r="E114" s="30" t="str">
        <f aca="false">IF($D114="","",IFERROR(INDEX(合同单位,MATCH($D114,合同键,0)),IFERROR(TRIM(LEFT($D114,FIND("｜",$D114)-1)),$D114)))</f>
        <v/>
      </c>
      <c r="F114" s="30" t="str">
        <f aca="false">IF($D114="","",IFERROR(INDEX(合同项目,MATCH($D114,合同键,0)),IFERROR(TRIM(MID($D114,FIND("｜",$D114)+1,99)),"")))</f>
        <v/>
      </c>
      <c r="G114" s="24"/>
      <c r="H114" s="35" t="str">
        <f aca="false">IF($G114="","",IFERROR(INDEX(费用款别,MATCH($G114,费用类别表,0)),"合同外款"))</f>
        <v/>
      </c>
      <c r="I114" s="33"/>
      <c r="J114" s="33"/>
      <c r="K114" s="39"/>
      <c r="L114" s="33"/>
      <c r="M114" s="25"/>
      <c r="N114" s="39"/>
      <c r="O114" s="35" t="str">
        <f aca="false">IF($C114="","",IF(N($N114)&lt;=0,"未开票",IF(ROUND(N($N114)-N($K114),2)&gt;=0,"已开票",IFERROR("部分开票 "&amp;TEXT(N($N114)/N($K114),"0%"),"部分开票"))))</f>
        <v/>
      </c>
      <c r="P114" s="40" t="str">
        <f aca="false">IF($C114="","",ROUND($V114+MIN($W114,MAX(0,(SUMIF(收款键,$D114,收款金额)-SUMIFS(收款金额,收款键,$D114,收款关联,"&lt;&gt;"))-($X114-$W114))),2))</f>
        <v/>
      </c>
      <c r="Q114" s="41" t="str">
        <f aca="false">IF($C114="","",ROUND(N($K114)-N($P114),2))</f>
        <v/>
      </c>
      <c r="R114" s="29" t="str">
        <f aca="false">IF($C114="","",YEAR($C114))</f>
        <v/>
      </c>
      <c r="S114" s="24"/>
      <c r="T114" s="35" t="str">
        <f aca="false">IF($C114="","",IF($D114="","★没选客户项目",IF(COUNTIF(合同键,$D114)=0,"★《维保合同》里没这个项目",IF(N($K114)&lt;=0,"★应收金额要填",IF(ROUND(N($N114)-N($K114),2)&gt;0.001,"★开票金额大于应收",IF(AND($L114&lt;&gt;"",N($N114)&lt;=0),"★填了开票日期没填开票金额",IF(AND($I114&lt;&gt;"",$J114&lt;&gt;"",$J114&lt;$I114),"★计费期间起止反了","OK")))))))</f>
        <v/>
      </c>
      <c r="U114" s="29" t="str">
        <f aca="false">IF($L114="","",YEAR($L114))</f>
        <v/>
      </c>
      <c r="V114" s="40" t="str">
        <f aca="false">IF($C114="","",ROUND(SUMIF(收款关联,$B114,收款金额),2))</f>
        <v/>
      </c>
      <c r="W114" s="40" t="str">
        <f aca="false">IF($C114="","",MAX(0,ROUND(N($K114)-N($V114),2)))</f>
        <v/>
      </c>
      <c r="X114" s="40" t="str">
        <f aca="false">IF($C114="","",ROUND(SUMIFS(应收净额,应收键,$D114,应收行号,"&lt;="&amp;ROW()),2))</f>
        <v/>
      </c>
      <c r="Y114" s="29" t="str">
        <f aca="false">IF($C114="","",ROW())</f>
        <v/>
      </c>
    </row>
    <row r="115" customFormat="false" ht="15" hidden="false" customHeight="false" outlineLevel="0" collapsed="false">
      <c r="A115" s="29" t="str">
        <f aca="false">IF($C115="","",ROW()-4)</f>
        <v/>
      </c>
      <c r="B115" s="35" t="str">
        <f aca="false">IF($C115="","","YS"&amp;TEXT($C115,"yyyymm")&amp;"-"&amp;TEXT(ROW()-4,"0000"))</f>
        <v/>
      </c>
      <c r="C115" s="33"/>
      <c r="D115" s="24"/>
      <c r="E115" s="30" t="str">
        <f aca="false">IF($D115="","",IFERROR(INDEX(合同单位,MATCH($D115,合同键,0)),IFERROR(TRIM(LEFT($D115,FIND("｜",$D115)-1)),$D115)))</f>
        <v/>
      </c>
      <c r="F115" s="30" t="str">
        <f aca="false">IF($D115="","",IFERROR(INDEX(合同项目,MATCH($D115,合同键,0)),IFERROR(TRIM(MID($D115,FIND("｜",$D115)+1,99)),"")))</f>
        <v/>
      </c>
      <c r="G115" s="24"/>
      <c r="H115" s="35" t="str">
        <f aca="false">IF($G115="","",IFERROR(INDEX(费用款别,MATCH($G115,费用类别表,0)),"合同外款"))</f>
        <v/>
      </c>
      <c r="I115" s="33"/>
      <c r="J115" s="33"/>
      <c r="K115" s="39"/>
      <c r="L115" s="33"/>
      <c r="M115" s="25"/>
      <c r="N115" s="39"/>
      <c r="O115" s="35" t="str">
        <f aca="false">IF($C115="","",IF(N($N115)&lt;=0,"未开票",IF(ROUND(N($N115)-N($K115),2)&gt;=0,"已开票",IFERROR("部分开票 "&amp;TEXT(N($N115)/N($K115),"0%"),"部分开票"))))</f>
        <v/>
      </c>
      <c r="P115" s="40" t="str">
        <f aca="false">IF($C115="","",ROUND($V115+MIN($W115,MAX(0,(SUMIF(收款键,$D115,收款金额)-SUMIFS(收款金额,收款键,$D115,收款关联,"&lt;&gt;"))-($X115-$W115))),2))</f>
        <v/>
      </c>
      <c r="Q115" s="41" t="str">
        <f aca="false">IF($C115="","",ROUND(N($K115)-N($P115),2))</f>
        <v/>
      </c>
      <c r="R115" s="29" t="str">
        <f aca="false">IF($C115="","",YEAR($C115))</f>
        <v/>
      </c>
      <c r="S115" s="24"/>
      <c r="T115" s="35" t="str">
        <f aca="false">IF($C115="","",IF($D115="","★没选客户项目",IF(COUNTIF(合同键,$D115)=0,"★《维保合同》里没这个项目",IF(N($K115)&lt;=0,"★应收金额要填",IF(ROUND(N($N115)-N($K115),2)&gt;0.001,"★开票金额大于应收",IF(AND($L115&lt;&gt;"",N($N115)&lt;=0),"★填了开票日期没填开票金额",IF(AND($I115&lt;&gt;"",$J115&lt;&gt;"",$J115&lt;$I115),"★计费期间起止反了","OK")))))))</f>
        <v/>
      </c>
      <c r="U115" s="29" t="str">
        <f aca="false">IF($L115="","",YEAR($L115))</f>
        <v/>
      </c>
      <c r="V115" s="40" t="str">
        <f aca="false">IF($C115="","",ROUND(SUMIF(收款关联,$B115,收款金额),2))</f>
        <v/>
      </c>
      <c r="W115" s="40" t="str">
        <f aca="false">IF($C115="","",MAX(0,ROUND(N($K115)-N($V115),2)))</f>
        <v/>
      </c>
      <c r="X115" s="40" t="str">
        <f aca="false">IF($C115="","",ROUND(SUMIFS(应收净额,应收键,$D115,应收行号,"&lt;="&amp;ROW()),2))</f>
        <v/>
      </c>
      <c r="Y115" s="29" t="str">
        <f aca="false">IF($C115="","",ROW())</f>
        <v/>
      </c>
    </row>
    <row r="116" customFormat="false" ht="15" hidden="false" customHeight="false" outlineLevel="0" collapsed="false">
      <c r="A116" s="29" t="str">
        <f aca="false">IF($C116="","",ROW()-4)</f>
        <v/>
      </c>
      <c r="B116" s="35" t="str">
        <f aca="false">IF($C116="","","YS"&amp;TEXT($C116,"yyyymm")&amp;"-"&amp;TEXT(ROW()-4,"0000"))</f>
        <v/>
      </c>
      <c r="C116" s="33"/>
      <c r="D116" s="24"/>
      <c r="E116" s="30" t="str">
        <f aca="false">IF($D116="","",IFERROR(INDEX(合同单位,MATCH($D116,合同键,0)),IFERROR(TRIM(LEFT($D116,FIND("｜",$D116)-1)),$D116)))</f>
        <v/>
      </c>
      <c r="F116" s="30" t="str">
        <f aca="false">IF($D116="","",IFERROR(INDEX(合同项目,MATCH($D116,合同键,0)),IFERROR(TRIM(MID($D116,FIND("｜",$D116)+1,99)),"")))</f>
        <v/>
      </c>
      <c r="G116" s="24"/>
      <c r="H116" s="35" t="str">
        <f aca="false">IF($G116="","",IFERROR(INDEX(费用款别,MATCH($G116,费用类别表,0)),"合同外款"))</f>
        <v/>
      </c>
      <c r="I116" s="33"/>
      <c r="J116" s="33"/>
      <c r="K116" s="39"/>
      <c r="L116" s="33"/>
      <c r="M116" s="25"/>
      <c r="N116" s="39"/>
      <c r="O116" s="35" t="str">
        <f aca="false">IF($C116="","",IF(N($N116)&lt;=0,"未开票",IF(ROUND(N($N116)-N($K116),2)&gt;=0,"已开票",IFERROR("部分开票 "&amp;TEXT(N($N116)/N($K116),"0%"),"部分开票"))))</f>
        <v/>
      </c>
      <c r="P116" s="40" t="str">
        <f aca="false">IF($C116="","",ROUND($V116+MIN($W116,MAX(0,(SUMIF(收款键,$D116,收款金额)-SUMIFS(收款金额,收款键,$D116,收款关联,"&lt;&gt;"))-($X116-$W116))),2))</f>
        <v/>
      </c>
      <c r="Q116" s="41" t="str">
        <f aca="false">IF($C116="","",ROUND(N($K116)-N($P116),2))</f>
        <v/>
      </c>
      <c r="R116" s="29" t="str">
        <f aca="false">IF($C116="","",YEAR($C116))</f>
        <v/>
      </c>
      <c r="S116" s="24"/>
      <c r="T116" s="35" t="str">
        <f aca="false">IF($C116="","",IF($D116="","★没选客户项目",IF(COUNTIF(合同键,$D116)=0,"★《维保合同》里没这个项目",IF(N($K116)&lt;=0,"★应收金额要填",IF(ROUND(N($N116)-N($K116),2)&gt;0.001,"★开票金额大于应收",IF(AND($L116&lt;&gt;"",N($N116)&lt;=0),"★填了开票日期没填开票金额",IF(AND($I116&lt;&gt;"",$J116&lt;&gt;"",$J116&lt;$I116),"★计费期间起止反了","OK")))))))</f>
        <v/>
      </c>
      <c r="U116" s="29" t="str">
        <f aca="false">IF($L116="","",YEAR($L116))</f>
        <v/>
      </c>
      <c r="V116" s="40" t="str">
        <f aca="false">IF($C116="","",ROUND(SUMIF(收款关联,$B116,收款金额),2))</f>
        <v/>
      </c>
      <c r="W116" s="40" t="str">
        <f aca="false">IF($C116="","",MAX(0,ROUND(N($K116)-N($V116),2)))</f>
        <v/>
      </c>
      <c r="X116" s="40" t="str">
        <f aca="false">IF($C116="","",ROUND(SUMIFS(应收净额,应收键,$D116,应收行号,"&lt;="&amp;ROW()),2))</f>
        <v/>
      </c>
      <c r="Y116" s="29" t="str">
        <f aca="false">IF($C116="","",ROW())</f>
        <v/>
      </c>
    </row>
    <row r="117" customFormat="false" ht="15" hidden="false" customHeight="false" outlineLevel="0" collapsed="false">
      <c r="A117" s="29" t="str">
        <f aca="false">IF($C117="","",ROW()-4)</f>
        <v/>
      </c>
      <c r="B117" s="35" t="str">
        <f aca="false">IF($C117="","","YS"&amp;TEXT($C117,"yyyymm")&amp;"-"&amp;TEXT(ROW()-4,"0000"))</f>
        <v/>
      </c>
      <c r="C117" s="33"/>
      <c r="D117" s="24"/>
      <c r="E117" s="30" t="str">
        <f aca="false">IF($D117="","",IFERROR(INDEX(合同单位,MATCH($D117,合同键,0)),IFERROR(TRIM(LEFT($D117,FIND("｜",$D117)-1)),$D117)))</f>
        <v/>
      </c>
      <c r="F117" s="30" t="str">
        <f aca="false">IF($D117="","",IFERROR(INDEX(合同项目,MATCH($D117,合同键,0)),IFERROR(TRIM(MID($D117,FIND("｜",$D117)+1,99)),"")))</f>
        <v/>
      </c>
      <c r="G117" s="24"/>
      <c r="H117" s="35" t="str">
        <f aca="false">IF($G117="","",IFERROR(INDEX(费用款别,MATCH($G117,费用类别表,0)),"合同外款"))</f>
        <v/>
      </c>
      <c r="I117" s="33"/>
      <c r="J117" s="33"/>
      <c r="K117" s="39"/>
      <c r="L117" s="33"/>
      <c r="M117" s="25"/>
      <c r="N117" s="39"/>
      <c r="O117" s="35" t="str">
        <f aca="false">IF($C117="","",IF(N($N117)&lt;=0,"未开票",IF(ROUND(N($N117)-N($K117),2)&gt;=0,"已开票",IFERROR("部分开票 "&amp;TEXT(N($N117)/N($K117),"0%"),"部分开票"))))</f>
        <v/>
      </c>
      <c r="P117" s="40" t="str">
        <f aca="false">IF($C117="","",ROUND($V117+MIN($W117,MAX(0,(SUMIF(收款键,$D117,收款金额)-SUMIFS(收款金额,收款键,$D117,收款关联,"&lt;&gt;"))-($X117-$W117))),2))</f>
        <v/>
      </c>
      <c r="Q117" s="41" t="str">
        <f aca="false">IF($C117="","",ROUND(N($K117)-N($P117),2))</f>
        <v/>
      </c>
      <c r="R117" s="29" t="str">
        <f aca="false">IF($C117="","",YEAR($C117))</f>
        <v/>
      </c>
      <c r="S117" s="24"/>
      <c r="T117" s="35" t="str">
        <f aca="false">IF($C117="","",IF($D117="","★没选客户项目",IF(COUNTIF(合同键,$D117)=0,"★《维保合同》里没这个项目",IF(N($K117)&lt;=0,"★应收金额要填",IF(ROUND(N($N117)-N($K117),2)&gt;0.001,"★开票金额大于应收",IF(AND($L117&lt;&gt;"",N($N117)&lt;=0),"★填了开票日期没填开票金额",IF(AND($I117&lt;&gt;"",$J117&lt;&gt;"",$J117&lt;$I117),"★计费期间起止反了","OK")))))))</f>
        <v/>
      </c>
      <c r="U117" s="29" t="str">
        <f aca="false">IF($L117="","",YEAR($L117))</f>
        <v/>
      </c>
      <c r="V117" s="40" t="str">
        <f aca="false">IF($C117="","",ROUND(SUMIF(收款关联,$B117,收款金额),2))</f>
        <v/>
      </c>
      <c r="W117" s="40" t="str">
        <f aca="false">IF($C117="","",MAX(0,ROUND(N($K117)-N($V117),2)))</f>
        <v/>
      </c>
      <c r="X117" s="40" t="str">
        <f aca="false">IF($C117="","",ROUND(SUMIFS(应收净额,应收键,$D117,应收行号,"&lt;="&amp;ROW()),2))</f>
        <v/>
      </c>
      <c r="Y117" s="29" t="str">
        <f aca="false">IF($C117="","",ROW())</f>
        <v/>
      </c>
    </row>
    <row r="118" customFormat="false" ht="15" hidden="false" customHeight="false" outlineLevel="0" collapsed="false">
      <c r="A118" s="29" t="str">
        <f aca="false">IF($C118="","",ROW()-4)</f>
        <v/>
      </c>
      <c r="B118" s="35" t="str">
        <f aca="false">IF($C118="","","YS"&amp;TEXT($C118,"yyyymm")&amp;"-"&amp;TEXT(ROW()-4,"0000"))</f>
        <v/>
      </c>
      <c r="C118" s="33"/>
      <c r="D118" s="24"/>
      <c r="E118" s="30" t="str">
        <f aca="false">IF($D118="","",IFERROR(INDEX(合同单位,MATCH($D118,合同键,0)),IFERROR(TRIM(LEFT($D118,FIND("｜",$D118)-1)),$D118)))</f>
        <v/>
      </c>
      <c r="F118" s="30" t="str">
        <f aca="false">IF($D118="","",IFERROR(INDEX(合同项目,MATCH($D118,合同键,0)),IFERROR(TRIM(MID($D118,FIND("｜",$D118)+1,99)),"")))</f>
        <v/>
      </c>
      <c r="G118" s="24"/>
      <c r="H118" s="35" t="str">
        <f aca="false">IF($G118="","",IFERROR(INDEX(费用款别,MATCH($G118,费用类别表,0)),"合同外款"))</f>
        <v/>
      </c>
      <c r="I118" s="33"/>
      <c r="J118" s="33"/>
      <c r="K118" s="39"/>
      <c r="L118" s="33"/>
      <c r="M118" s="25"/>
      <c r="N118" s="39"/>
      <c r="O118" s="35" t="str">
        <f aca="false">IF($C118="","",IF(N($N118)&lt;=0,"未开票",IF(ROUND(N($N118)-N($K118),2)&gt;=0,"已开票",IFERROR("部分开票 "&amp;TEXT(N($N118)/N($K118),"0%"),"部分开票"))))</f>
        <v/>
      </c>
      <c r="P118" s="40" t="str">
        <f aca="false">IF($C118="","",ROUND($V118+MIN($W118,MAX(0,(SUMIF(收款键,$D118,收款金额)-SUMIFS(收款金额,收款键,$D118,收款关联,"&lt;&gt;"))-($X118-$W118))),2))</f>
        <v/>
      </c>
      <c r="Q118" s="41" t="str">
        <f aca="false">IF($C118="","",ROUND(N($K118)-N($P118),2))</f>
        <v/>
      </c>
      <c r="R118" s="29" t="str">
        <f aca="false">IF($C118="","",YEAR($C118))</f>
        <v/>
      </c>
      <c r="S118" s="24"/>
      <c r="T118" s="35" t="str">
        <f aca="false">IF($C118="","",IF($D118="","★没选客户项目",IF(COUNTIF(合同键,$D118)=0,"★《维保合同》里没这个项目",IF(N($K118)&lt;=0,"★应收金额要填",IF(ROUND(N($N118)-N($K118),2)&gt;0.001,"★开票金额大于应收",IF(AND($L118&lt;&gt;"",N($N118)&lt;=0),"★填了开票日期没填开票金额",IF(AND($I118&lt;&gt;"",$J118&lt;&gt;"",$J118&lt;$I118),"★计费期间起止反了","OK")))))))</f>
        <v/>
      </c>
      <c r="U118" s="29" t="str">
        <f aca="false">IF($L118="","",YEAR($L118))</f>
        <v/>
      </c>
      <c r="V118" s="40" t="str">
        <f aca="false">IF($C118="","",ROUND(SUMIF(收款关联,$B118,收款金额),2))</f>
        <v/>
      </c>
      <c r="W118" s="40" t="str">
        <f aca="false">IF($C118="","",MAX(0,ROUND(N($K118)-N($V118),2)))</f>
        <v/>
      </c>
      <c r="X118" s="40" t="str">
        <f aca="false">IF($C118="","",ROUND(SUMIFS(应收净额,应收键,$D118,应收行号,"&lt;="&amp;ROW()),2))</f>
        <v/>
      </c>
      <c r="Y118" s="29" t="str">
        <f aca="false">IF($C118="","",ROW())</f>
        <v/>
      </c>
    </row>
    <row r="119" customFormat="false" ht="15" hidden="false" customHeight="false" outlineLevel="0" collapsed="false">
      <c r="A119" s="29" t="str">
        <f aca="false">IF($C119="","",ROW()-4)</f>
        <v/>
      </c>
      <c r="B119" s="35" t="str">
        <f aca="false">IF($C119="","","YS"&amp;TEXT($C119,"yyyymm")&amp;"-"&amp;TEXT(ROW()-4,"0000"))</f>
        <v/>
      </c>
      <c r="C119" s="33"/>
      <c r="D119" s="24"/>
      <c r="E119" s="30" t="str">
        <f aca="false">IF($D119="","",IFERROR(INDEX(合同单位,MATCH($D119,合同键,0)),IFERROR(TRIM(LEFT($D119,FIND("｜",$D119)-1)),$D119)))</f>
        <v/>
      </c>
      <c r="F119" s="30" t="str">
        <f aca="false">IF($D119="","",IFERROR(INDEX(合同项目,MATCH($D119,合同键,0)),IFERROR(TRIM(MID($D119,FIND("｜",$D119)+1,99)),"")))</f>
        <v/>
      </c>
      <c r="G119" s="24"/>
      <c r="H119" s="35" t="str">
        <f aca="false">IF($G119="","",IFERROR(INDEX(费用款别,MATCH($G119,费用类别表,0)),"合同外款"))</f>
        <v/>
      </c>
      <c r="I119" s="33"/>
      <c r="J119" s="33"/>
      <c r="K119" s="39"/>
      <c r="L119" s="33"/>
      <c r="M119" s="25"/>
      <c r="N119" s="39"/>
      <c r="O119" s="35" t="str">
        <f aca="false">IF($C119="","",IF(N($N119)&lt;=0,"未开票",IF(ROUND(N($N119)-N($K119),2)&gt;=0,"已开票",IFERROR("部分开票 "&amp;TEXT(N($N119)/N($K119),"0%"),"部分开票"))))</f>
        <v/>
      </c>
      <c r="P119" s="40" t="str">
        <f aca="false">IF($C119="","",ROUND($V119+MIN($W119,MAX(0,(SUMIF(收款键,$D119,收款金额)-SUMIFS(收款金额,收款键,$D119,收款关联,"&lt;&gt;"))-($X119-$W119))),2))</f>
        <v/>
      </c>
      <c r="Q119" s="41" t="str">
        <f aca="false">IF($C119="","",ROUND(N($K119)-N($P119),2))</f>
        <v/>
      </c>
      <c r="R119" s="29" t="str">
        <f aca="false">IF($C119="","",YEAR($C119))</f>
        <v/>
      </c>
      <c r="S119" s="24"/>
      <c r="T119" s="35" t="str">
        <f aca="false">IF($C119="","",IF($D119="","★没选客户项目",IF(COUNTIF(合同键,$D119)=0,"★《维保合同》里没这个项目",IF(N($K119)&lt;=0,"★应收金额要填",IF(ROUND(N($N119)-N($K119),2)&gt;0.001,"★开票金额大于应收",IF(AND($L119&lt;&gt;"",N($N119)&lt;=0),"★填了开票日期没填开票金额",IF(AND($I119&lt;&gt;"",$J119&lt;&gt;"",$J119&lt;$I119),"★计费期间起止反了","OK")))))))</f>
        <v/>
      </c>
      <c r="U119" s="29" t="str">
        <f aca="false">IF($L119="","",YEAR($L119))</f>
        <v/>
      </c>
      <c r="V119" s="40" t="str">
        <f aca="false">IF($C119="","",ROUND(SUMIF(收款关联,$B119,收款金额),2))</f>
        <v/>
      </c>
      <c r="W119" s="40" t="str">
        <f aca="false">IF($C119="","",MAX(0,ROUND(N($K119)-N($V119),2)))</f>
        <v/>
      </c>
      <c r="X119" s="40" t="str">
        <f aca="false">IF($C119="","",ROUND(SUMIFS(应收净额,应收键,$D119,应收行号,"&lt;="&amp;ROW()),2))</f>
        <v/>
      </c>
      <c r="Y119" s="29" t="str">
        <f aca="false">IF($C119="","",ROW())</f>
        <v/>
      </c>
    </row>
    <row r="120" customFormat="false" ht="15" hidden="false" customHeight="false" outlineLevel="0" collapsed="false">
      <c r="A120" s="29" t="str">
        <f aca="false">IF($C120="","",ROW()-4)</f>
        <v/>
      </c>
      <c r="B120" s="35" t="str">
        <f aca="false">IF($C120="","","YS"&amp;TEXT($C120,"yyyymm")&amp;"-"&amp;TEXT(ROW()-4,"0000"))</f>
        <v/>
      </c>
      <c r="C120" s="33"/>
      <c r="D120" s="24"/>
      <c r="E120" s="30" t="str">
        <f aca="false">IF($D120="","",IFERROR(INDEX(合同单位,MATCH($D120,合同键,0)),IFERROR(TRIM(LEFT($D120,FIND("｜",$D120)-1)),$D120)))</f>
        <v/>
      </c>
      <c r="F120" s="30" t="str">
        <f aca="false">IF($D120="","",IFERROR(INDEX(合同项目,MATCH($D120,合同键,0)),IFERROR(TRIM(MID($D120,FIND("｜",$D120)+1,99)),"")))</f>
        <v/>
      </c>
      <c r="G120" s="24"/>
      <c r="H120" s="35" t="str">
        <f aca="false">IF($G120="","",IFERROR(INDEX(费用款别,MATCH($G120,费用类别表,0)),"合同外款"))</f>
        <v/>
      </c>
      <c r="I120" s="33"/>
      <c r="J120" s="33"/>
      <c r="K120" s="39"/>
      <c r="L120" s="33"/>
      <c r="M120" s="25"/>
      <c r="N120" s="39"/>
      <c r="O120" s="35" t="str">
        <f aca="false">IF($C120="","",IF(N($N120)&lt;=0,"未开票",IF(ROUND(N($N120)-N($K120),2)&gt;=0,"已开票",IFERROR("部分开票 "&amp;TEXT(N($N120)/N($K120),"0%"),"部分开票"))))</f>
        <v/>
      </c>
      <c r="P120" s="40" t="str">
        <f aca="false">IF($C120="","",ROUND($V120+MIN($W120,MAX(0,(SUMIF(收款键,$D120,收款金额)-SUMIFS(收款金额,收款键,$D120,收款关联,"&lt;&gt;"))-($X120-$W120))),2))</f>
        <v/>
      </c>
      <c r="Q120" s="41" t="str">
        <f aca="false">IF($C120="","",ROUND(N($K120)-N($P120),2))</f>
        <v/>
      </c>
      <c r="R120" s="29" t="str">
        <f aca="false">IF($C120="","",YEAR($C120))</f>
        <v/>
      </c>
      <c r="S120" s="24"/>
      <c r="T120" s="35" t="str">
        <f aca="false">IF($C120="","",IF($D120="","★没选客户项目",IF(COUNTIF(合同键,$D120)=0,"★《维保合同》里没这个项目",IF(N($K120)&lt;=0,"★应收金额要填",IF(ROUND(N($N120)-N($K120),2)&gt;0.001,"★开票金额大于应收",IF(AND($L120&lt;&gt;"",N($N120)&lt;=0),"★填了开票日期没填开票金额",IF(AND($I120&lt;&gt;"",$J120&lt;&gt;"",$J120&lt;$I120),"★计费期间起止反了","OK")))))))</f>
        <v/>
      </c>
      <c r="U120" s="29" t="str">
        <f aca="false">IF($L120="","",YEAR($L120))</f>
        <v/>
      </c>
      <c r="V120" s="40" t="str">
        <f aca="false">IF($C120="","",ROUND(SUMIF(收款关联,$B120,收款金额),2))</f>
        <v/>
      </c>
      <c r="W120" s="40" t="str">
        <f aca="false">IF($C120="","",MAX(0,ROUND(N($K120)-N($V120),2)))</f>
        <v/>
      </c>
      <c r="X120" s="40" t="str">
        <f aca="false">IF($C120="","",ROUND(SUMIFS(应收净额,应收键,$D120,应收行号,"&lt;="&amp;ROW()),2))</f>
        <v/>
      </c>
      <c r="Y120" s="29" t="str">
        <f aca="false">IF($C120="","",ROW())</f>
        <v/>
      </c>
    </row>
    <row r="121" customFormat="false" ht="15" hidden="false" customHeight="false" outlineLevel="0" collapsed="false">
      <c r="A121" s="29" t="str">
        <f aca="false">IF($C121="","",ROW()-4)</f>
        <v/>
      </c>
      <c r="B121" s="35" t="str">
        <f aca="false">IF($C121="","","YS"&amp;TEXT($C121,"yyyymm")&amp;"-"&amp;TEXT(ROW()-4,"0000"))</f>
        <v/>
      </c>
      <c r="C121" s="33"/>
      <c r="D121" s="24"/>
      <c r="E121" s="30" t="str">
        <f aca="false">IF($D121="","",IFERROR(INDEX(合同单位,MATCH($D121,合同键,0)),IFERROR(TRIM(LEFT($D121,FIND("｜",$D121)-1)),$D121)))</f>
        <v/>
      </c>
      <c r="F121" s="30" t="str">
        <f aca="false">IF($D121="","",IFERROR(INDEX(合同项目,MATCH($D121,合同键,0)),IFERROR(TRIM(MID($D121,FIND("｜",$D121)+1,99)),"")))</f>
        <v/>
      </c>
      <c r="G121" s="24"/>
      <c r="H121" s="35" t="str">
        <f aca="false">IF($G121="","",IFERROR(INDEX(费用款别,MATCH($G121,费用类别表,0)),"合同外款"))</f>
        <v/>
      </c>
      <c r="I121" s="33"/>
      <c r="J121" s="33"/>
      <c r="K121" s="39"/>
      <c r="L121" s="33"/>
      <c r="M121" s="25"/>
      <c r="N121" s="39"/>
      <c r="O121" s="35" t="str">
        <f aca="false">IF($C121="","",IF(N($N121)&lt;=0,"未开票",IF(ROUND(N($N121)-N($K121),2)&gt;=0,"已开票",IFERROR("部分开票 "&amp;TEXT(N($N121)/N($K121),"0%"),"部分开票"))))</f>
        <v/>
      </c>
      <c r="P121" s="40" t="str">
        <f aca="false">IF($C121="","",ROUND($V121+MIN($W121,MAX(0,(SUMIF(收款键,$D121,收款金额)-SUMIFS(收款金额,收款键,$D121,收款关联,"&lt;&gt;"))-($X121-$W121))),2))</f>
        <v/>
      </c>
      <c r="Q121" s="41" t="str">
        <f aca="false">IF($C121="","",ROUND(N($K121)-N($P121),2))</f>
        <v/>
      </c>
      <c r="R121" s="29" t="str">
        <f aca="false">IF($C121="","",YEAR($C121))</f>
        <v/>
      </c>
      <c r="S121" s="24"/>
      <c r="T121" s="35" t="str">
        <f aca="false">IF($C121="","",IF($D121="","★没选客户项目",IF(COUNTIF(合同键,$D121)=0,"★《维保合同》里没这个项目",IF(N($K121)&lt;=0,"★应收金额要填",IF(ROUND(N($N121)-N($K121),2)&gt;0.001,"★开票金额大于应收",IF(AND($L121&lt;&gt;"",N($N121)&lt;=0),"★填了开票日期没填开票金额",IF(AND($I121&lt;&gt;"",$J121&lt;&gt;"",$J121&lt;$I121),"★计费期间起止反了","OK")))))))</f>
        <v/>
      </c>
      <c r="U121" s="29" t="str">
        <f aca="false">IF($L121="","",YEAR($L121))</f>
        <v/>
      </c>
      <c r="V121" s="40" t="str">
        <f aca="false">IF($C121="","",ROUND(SUMIF(收款关联,$B121,收款金额),2))</f>
        <v/>
      </c>
      <c r="W121" s="40" t="str">
        <f aca="false">IF($C121="","",MAX(0,ROUND(N($K121)-N($V121),2)))</f>
        <v/>
      </c>
      <c r="X121" s="40" t="str">
        <f aca="false">IF($C121="","",ROUND(SUMIFS(应收净额,应收键,$D121,应收行号,"&lt;="&amp;ROW()),2))</f>
        <v/>
      </c>
      <c r="Y121" s="29" t="str">
        <f aca="false">IF($C121="","",ROW())</f>
        <v/>
      </c>
    </row>
    <row r="122" customFormat="false" ht="15" hidden="false" customHeight="false" outlineLevel="0" collapsed="false">
      <c r="A122" s="29" t="str">
        <f aca="false">IF($C122="","",ROW()-4)</f>
        <v/>
      </c>
      <c r="B122" s="35" t="str">
        <f aca="false">IF($C122="","","YS"&amp;TEXT($C122,"yyyymm")&amp;"-"&amp;TEXT(ROW()-4,"0000"))</f>
        <v/>
      </c>
      <c r="C122" s="33"/>
      <c r="D122" s="24"/>
      <c r="E122" s="30" t="str">
        <f aca="false">IF($D122="","",IFERROR(INDEX(合同单位,MATCH($D122,合同键,0)),IFERROR(TRIM(LEFT($D122,FIND("｜",$D122)-1)),$D122)))</f>
        <v/>
      </c>
      <c r="F122" s="30" t="str">
        <f aca="false">IF($D122="","",IFERROR(INDEX(合同项目,MATCH($D122,合同键,0)),IFERROR(TRIM(MID($D122,FIND("｜",$D122)+1,99)),"")))</f>
        <v/>
      </c>
      <c r="G122" s="24"/>
      <c r="H122" s="35" t="str">
        <f aca="false">IF($G122="","",IFERROR(INDEX(费用款别,MATCH($G122,费用类别表,0)),"合同外款"))</f>
        <v/>
      </c>
      <c r="I122" s="33"/>
      <c r="J122" s="33"/>
      <c r="K122" s="39"/>
      <c r="L122" s="33"/>
      <c r="M122" s="25"/>
      <c r="N122" s="39"/>
      <c r="O122" s="35" t="str">
        <f aca="false">IF($C122="","",IF(N($N122)&lt;=0,"未开票",IF(ROUND(N($N122)-N($K122),2)&gt;=0,"已开票",IFERROR("部分开票 "&amp;TEXT(N($N122)/N($K122),"0%"),"部分开票"))))</f>
        <v/>
      </c>
      <c r="P122" s="40" t="str">
        <f aca="false">IF($C122="","",ROUND($V122+MIN($W122,MAX(0,(SUMIF(收款键,$D122,收款金额)-SUMIFS(收款金额,收款键,$D122,收款关联,"&lt;&gt;"))-($X122-$W122))),2))</f>
        <v/>
      </c>
      <c r="Q122" s="41" t="str">
        <f aca="false">IF($C122="","",ROUND(N($K122)-N($P122),2))</f>
        <v/>
      </c>
      <c r="R122" s="29" t="str">
        <f aca="false">IF($C122="","",YEAR($C122))</f>
        <v/>
      </c>
      <c r="S122" s="24"/>
      <c r="T122" s="35" t="str">
        <f aca="false">IF($C122="","",IF($D122="","★没选客户项目",IF(COUNTIF(合同键,$D122)=0,"★《维保合同》里没这个项目",IF(N($K122)&lt;=0,"★应收金额要填",IF(ROUND(N($N122)-N($K122),2)&gt;0.001,"★开票金额大于应收",IF(AND($L122&lt;&gt;"",N($N122)&lt;=0),"★填了开票日期没填开票金额",IF(AND($I122&lt;&gt;"",$J122&lt;&gt;"",$J122&lt;$I122),"★计费期间起止反了","OK")))))))</f>
        <v/>
      </c>
      <c r="U122" s="29" t="str">
        <f aca="false">IF($L122="","",YEAR($L122))</f>
        <v/>
      </c>
      <c r="V122" s="40" t="str">
        <f aca="false">IF($C122="","",ROUND(SUMIF(收款关联,$B122,收款金额),2))</f>
        <v/>
      </c>
      <c r="W122" s="40" t="str">
        <f aca="false">IF($C122="","",MAX(0,ROUND(N($K122)-N($V122),2)))</f>
        <v/>
      </c>
      <c r="X122" s="40" t="str">
        <f aca="false">IF($C122="","",ROUND(SUMIFS(应收净额,应收键,$D122,应收行号,"&lt;="&amp;ROW()),2))</f>
        <v/>
      </c>
      <c r="Y122" s="29" t="str">
        <f aca="false">IF($C122="","",ROW())</f>
        <v/>
      </c>
    </row>
    <row r="123" customFormat="false" ht="15" hidden="false" customHeight="false" outlineLevel="0" collapsed="false">
      <c r="A123" s="29" t="str">
        <f aca="false">IF($C123="","",ROW()-4)</f>
        <v/>
      </c>
      <c r="B123" s="35" t="str">
        <f aca="false">IF($C123="","","YS"&amp;TEXT($C123,"yyyymm")&amp;"-"&amp;TEXT(ROW()-4,"0000"))</f>
        <v/>
      </c>
      <c r="C123" s="33"/>
      <c r="D123" s="24"/>
      <c r="E123" s="30" t="str">
        <f aca="false">IF($D123="","",IFERROR(INDEX(合同单位,MATCH($D123,合同键,0)),IFERROR(TRIM(LEFT($D123,FIND("｜",$D123)-1)),$D123)))</f>
        <v/>
      </c>
      <c r="F123" s="30" t="str">
        <f aca="false">IF($D123="","",IFERROR(INDEX(合同项目,MATCH($D123,合同键,0)),IFERROR(TRIM(MID($D123,FIND("｜",$D123)+1,99)),"")))</f>
        <v/>
      </c>
      <c r="G123" s="24"/>
      <c r="H123" s="35" t="str">
        <f aca="false">IF($G123="","",IFERROR(INDEX(费用款别,MATCH($G123,费用类别表,0)),"合同外款"))</f>
        <v/>
      </c>
      <c r="I123" s="33"/>
      <c r="J123" s="33"/>
      <c r="K123" s="39"/>
      <c r="L123" s="33"/>
      <c r="M123" s="25"/>
      <c r="N123" s="39"/>
      <c r="O123" s="35" t="str">
        <f aca="false">IF($C123="","",IF(N($N123)&lt;=0,"未开票",IF(ROUND(N($N123)-N($K123),2)&gt;=0,"已开票",IFERROR("部分开票 "&amp;TEXT(N($N123)/N($K123),"0%"),"部分开票"))))</f>
        <v/>
      </c>
      <c r="P123" s="40" t="str">
        <f aca="false">IF($C123="","",ROUND($V123+MIN($W123,MAX(0,(SUMIF(收款键,$D123,收款金额)-SUMIFS(收款金额,收款键,$D123,收款关联,"&lt;&gt;"))-($X123-$W123))),2))</f>
        <v/>
      </c>
      <c r="Q123" s="41" t="str">
        <f aca="false">IF($C123="","",ROUND(N($K123)-N($P123),2))</f>
        <v/>
      </c>
      <c r="R123" s="29" t="str">
        <f aca="false">IF($C123="","",YEAR($C123))</f>
        <v/>
      </c>
      <c r="S123" s="24"/>
      <c r="T123" s="35" t="str">
        <f aca="false">IF($C123="","",IF($D123="","★没选客户项目",IF(COUNTIF(合同键,$D123)=0,"★《维保合同》里没这个项目",IF(N($K123)&lt;=0,"★应收金额要填",IF(ROUND(N($N123)-N($K123),2)&gt;0.001,"★开票金额大于应收",IF(AND($L123&lt;&gt;"",N($N123)&lt;=0),"★填了开票日期没填开票金额",IF(AND($I123&lt;&gt;"",$J123&lt;&gt;"",$J123&lt;$I123),"★计费期间起止反了","OK")))))))</f>
        <v/>
      </c>
      <c r="U123" s="29" t="str">
        <f aca="false">IF($L123="","",YEAR($L123))</f>
        <v/>
      </c>
      <c r="V123" s="40" t="str">
        <f aca="false">IF($C123="","",ROUND(SUMIF(收款关联,$B123,收款金额),2))</f>
        <v/>
      </c>
      <c r="W123" s="40" t="str">
        <f aca="false">IF($C123="","",MAX(0,ROUND(N($K123)-N($V123),2)))</f>
        <v/>
      </c>
      <c r="X123" s="40" t="str">
        <f aca="false">IF($C123="","",ROUND(SUMIFS(应收净额,应收键,$D123,应收行号,"&lt;="&amp;ROW()),2))</f>
        <v/>
      </c>
      <c r="Y123" s="29" t="str">
        <f aca="false">IF($C123="","",ROW())</f>
        <v/>
      </c>
    </row>
    <row r="124" customFormat="false" ht="15" hidden="false" customHeight="false" outlineLevel="0" collapsed="false">
      <c r="A124" s="29" t="str">
        <f aca="false">IF($C124="","",ROW()-4)</f>
        <v/>
      </c>
      <c r="B124" s="35" t="str">
        <f aca="false">IF($C124="","","YS"&amp;TEXT($C124,"yyyymm")&amp;"-"&amp;TEXT(ROW()-4,"0000"))</f>
        <v/>
      </c>
      <c r="C124" s="33"/>
      <c r="D124" s="24"/>
      <c r="E124" s="30" t="str">
        <f aca="false">IF($D124="","",IFERROR(INDEX(合同单位,MATCH($D124,合同键,0)),IFERROR(TRIM(LEFT($D124,FIND("｜",$D124)-1)),$D124)))</f>
        <v/>
      </c>
      <c r="F124" s="30" t="str">
        <f aca="false">IF($D124="","",IFERROR(INDEX(合同项目,MATCH($D124,合同键,0)),IFERROR(TRIM(MID($D124,FIND("｜",$D124)+1,99)),"")))</f>
        <v/>
      </c>
      <c r="G124" s="24"/>
      <c r="H124" s="35" t="str">
        <f aca="false">IF($G124="","",IFERROR(INDEX(费用款别,MATCH($G124,费用类别表,0)),"合同外款"))</f>
        <v/>
      </c>
      <c r="I124" s="33"/>
      <c r="J124" s="33"/>
      <c r="K124" s="39"/>
      <c r="L124" s="33"/>
      <c r="M124" s="25"/>
      <c r="N124" s="39"/>
      <c r="O124" s="35" t="str">
        <f aca="false">IF($C124="","",IF(N($N124)&lt;=0,"未开票",IF(ROUND(N($N124)-N($K124),2)&gt;=0,"已开票",IFERROR("部分开票 "&amp;TEXT(N($N124)/N($K124),"0%"),"部分开票"))))</f>
        <v/>
      </c>
      <c r="P124" s="40" t="str">
        <f aca="false">IF($C124="","",ROUND($V124+MIN($W124,MAX(0,(SUMIF(收款键,$D124,收款金额)-SUMIFS(收款金额,收款键,$D124,收款关联,"&lt;&gt;"))-($X124-$W124))),2))</f>
        <v/>
      </c>
      <c r="Q124" s="41" t="str">
        <f aca="false">IF($C124="","",ROUND(N($K124)-N($P124),2))</f>
        <v/>
      </c>
      <c r="R124" s="29" t="str">
        <f aca="false">IF($C124="","",YEAR($C124))</f>
        <v/>
      </c>
      <c r="S124" s="24"/>
      <c r="T124" s="35" t="str">
        <f aca="false">IF($C124="","",IF($D124="","★没选客户项目",IF(COUNTIF(合同键,$D124)=0,"★《维保合同》里没这个项目",IF(N($K124)&lt;=0,"★应收金额要填",IF(ROUND(N($N124)-N($K124),2)&gt;0.001,"★开票金额大于应收",IF(AND($L124&lt;&gt;"",N($N124)&lt;=0),"★填了开票日期没填开票金额",IF(AND($I124&lt;&gt;"",$J124&lt;&gt;"",$J124&lt;$I124),"★计费期间起止反了","OK")))))))</f>
        <v/>
      </c>
      <c r="U124" s="29" t="str">
        <f aca="false">IF($L124="","",YEAR($L124))</f>
        <v/>
      </c>
      <c r="V124" s="40" t="str">
        <f aca="false">IF($C124="","",ROUND(SUMIF(收款关联,$B124,收款金额),2))</f>
        <v/>
      </c>
      <c r="W124" s="40" t="str">
        <f aca="false">IF($C124="","",MAX(0,ROUND(N($K124)-N($V124),2)))</f>
        <v/>
      </c>
      <c r="X124" s="40" t="str">
        <f aca="false">IF($C124="","",ROUND(SUMIFS(应收净额,应收键,$D124,应收行号,"&lt;="&amp;ROW()),2))</f>
        <v/>
      </c>
      <c r="Y124" s="29" t="str">
        <f aca="false">IF($C124="","",ROW())</f>
        <v/>
      </c>
    </row>
    <row r="125" customFormat="false" ht="15" hidden="false" customHeight="false" outlineLevel="0" collapsed="false">
      <c r="A125" s="29" t="str">
        <f aca="false">IF($C125="","",ROW()-4)</f>
        <v/>
      </c>
      <c r="B125" s="35" t="str">
        <f aca="false">IF($C125="","","YS"&amp;TEXT($C125,"yyyymm")&amp;"-"&amp;TEXT(ROW()-4,"0000"))</f>
        <v/>
      </c>
      <c r="C125" s="33"/>
      <c r="D125" s="24"/>
      <c r="E125" s="30" t="str">
        <f aca="false">IF($D125="","",IFERROR(INDEX(合同单位,MATCH($D125,合同键,0)),IFERROR(TRIM(LEFT($D125,FIND("｜",$D125)-1)),$D125)))</f>
        <v/>
      </c>
      <c r="F125" s="30" t="str">
        <f aca="false">IF($D125="","",IFERROR(INDEX(合同项目,MATCH($D125,合同键,0)),IFERROR(TRIM(MID($D125,FIND("｜",$D125)+1,99)),"")))</f>
        <v/>
      </c>
      <c r="G125" s="24"/>
      <c r="H125" s="35" t="str">
        <f aca="false">IF($G125="","",IFERROR(INDEX(费用款别,MATCH($G125,费用类别表,0)),"合同外款"))</f>
        <v/>
      </c>
      <c r="I125" s="33"/>
      <c r="J125" s="33"/>
      <c r="K125" s="39"/>
      <c r="L125" s="33"/>
      <c r="M125" s="25"/>
      <c r="N125" s="39"/>
      <c r="O125" s="35" t="str">
        <f aca="false">IF($C125="","",IF(N($N125)&lt;=0,"未开票",IF(ROUND(N($N125)-N($K125),2)&gt;=0,"已开票",IFERROR("部分开票 "&amp;TEXT(N($N125)/N($K125),"0%"),"部分开票"))))</f>
        <v/>
      </c>
      <c r="P125" s="40" t="str">
        <f aca="false">IF($C125="","",ROUND($V125+MIN($W125,MAX(0,(SUMIF(收款键,$D125,收款金额)-SUMIFS(收款金额,收款键,$D125,收款关联,"&lt;&gt;"))-($X125-$W125))),2))</f>
        <v/>
      </c>
      <c r="Q125" s="41" t="str">
        <f aca="false">IF($C125="","",ROUND(N($K125)-N($P125),2))</f>
        <v/>
      </c>
      <c r="R125" s="29" t="str">
        <f aca="false">IF($C125="","",YEAR($C125))</f>
        <v/>
      </c>
      <c r="S125" s="24"/>
      <c r="T125" s="35" t="str">
        <f aca="false">IF($C125="","",IF($D125="","★没选客户项目",IF(COUNTIF(合同键,$D125)=0,"★《维保合同》里没这个项目",IF(N($K125)&lt;=0,"★应收金额要填",IF(ROUND(N($N125)-N($K125),2)&gt;0.001,"★开票金额大于应收",IF(AND($L125&lt;&gt;"",N($N125)&lt;=0),"★填了开票日期没填开票金额",IF(AND($I125&lt;&gt;"",$J125&lt;&gt;"",$J125&lt;$I125),"★计费期间起止反了","OK")))))))</f>
        <v/>
      </c>
      <c r="U125" s="29" t="str">
        <f aca="false">IF($L125="","",YEAR($L125))</f>
        <v/>
      </c>
      <c r="V125" s="40" t="str">
        <f aca="false">IF($C125="","",ROUND(SUMIF(收款关联,$B125,收款金额),2))</f>
        <v/>
      </c>
      <c r="W125" s="40" t="str">
        <f aca="false">IF($C125="","",MAX(0,ROUND(N($K125)-N($V125),2)))</f>
        <v/>
      </c>
      <c r="X125" s="40" t="str">
        <f aca="false">IF($C125="","",ROUND(SUMIFS(应收净额,应收键,$D125,应收行号,"&lt;="&amp;ROW()),2))</f>
        <v/>
      </c>
      <c r="Y125" s="29" t="str">
        <f aca="false">IF($C125="","",ROW())</f>
        <v/>
      </c>
    </row>
    <row r="126" customFormat="false" ht="15" hidden="false" customHeight="false" outlineLevel="0" collapsed="false">
      <c r="A126" s="29" t="str">
        <f aca="false">IF($C126="","",ROW()-4)</f>
        <v/>
      </c>
      <c r="B126" s="35" t="str">
        <f aca="false">IF($C126="","","YS"&amp;TEXT($C126,"yyyymm")&amp;"-"&amp;TEXT(ROW()-4,"0000"))</f>
        <v/>
      </c>
      <c r="C126" s="33"/>
      <c r="D126" s="24"/>
      <c r="E126" s="30" t="str">
        <f aca="false">IF($D126="","",IFERROR(INDEX(合同单位,MATCH($D126,合同键,0)),IFERROR(TRIM(LEFT($D126,FIND("｜",$D126)-1)),$D126)))</f>
        <v/>
      </c>
      <c r="F126" s="30" t="str">
        <f aca="false">IF($D126="","",IFERROR(INDEX(合同项目,MATCH($D126,合同键,0)),IFERROR(TRIM(MID($D126,FIND("｜",$D126)+1,99)),"")))</f>
        <v/>
      </c>
      <c r="G126" s="24"/>
      <c r="H126" s="35" t="str">
        <f aca="false">IF($G126="","",IFERROR(INDEX(费用款别,MATCH($G126,费用类别表,0)),"合同外款"))</f>
        <v/>
      </c>
      <c r="I126" s="33"/>
      <c r="J126" s="33"/>
      <c r="K126" s="39"/>
      <c r="L126" s="33"/>
      <c r="M126" s="25"/>
      <c r="N126" s="39"/>
      <c r="O126" s="35" t="str">
        <f aca="false">IF($C126="","",IF(N($N126)&lt;=0,"未开票",IF(ROUND(N($N126)-N($K126),2)&gt;=0,"已开票",IFERROR("部分开票 "&amp;TEXT(N($N126)/N($K126),"0%"),"部分开票"))))</f>
        <v/>
      </c>
      <c r="P126" s="40" t="str">
        <f aca="false">IF($C126="","",ROUND($V126+MIN($W126,MAX(0,(SUMIF(收款键,$D126,收款金额)-SUMIFS(收款金额,收款键,$D126,收款关联,"&lt;&gt;"))-($X126-$W126))),2))</f>
        <v/>
      </c>
      <c r="Q126" s="41" t="str">
        <f aca="false">IF($C126="","",ROUND(N($K126)-N($P126),2))</f>
        <v/>
      </c>
      <c r="R126" s="29" t="str">
        <f aca="false">IF($C126="","",YEAR($C126))</f>
        <v/>
      </c>
      <c r="S126" s="24"/>
      <c r="T126" s="35" t="str">
        <f aca="false">IF($C126="","",IF($D126="","★没选客户项目",IF(COUNTIF(合同键,$D126)=0,"★《维保合同》里没这个项目",IF(N($K126)&lt;=0,"★应收金额要填",IF(ROUND(N($N126)-N($K126),2)&gt;0.001,"★开票金额大于应收",IF(AND($L126&lt;&gt;"",N($N126)&lt;=0),"★填了开票日期没填开票金额",IF(AND($I126&lt;&gt;"",$J126&lt;&gt;"",$J126&lt;$I126),"★计费期间起止反了","OK")))))))</f>
        <v/>
      </c>
      <c r="U126" s="29" t="str">
        <f aca="false">IF($L126="","",YEAR($L126))</f>
        <v/>
      </c>
      <c r="V126" s="40" t="str">
        <f aca="false">IF($C126="","",ROUND(SUMIF(收款关联,$B126,收款金额),2))</f>
        <v/>
      </c>
      <c r="W126" s="40" t="str">
        <f aca="false">IF($C126="","",MAX(0,ROUND(N($K126)-N($V126),2)))</f>
        <v/>
      </c>
      <c r="X126" s="40" t="str">
        <f aca="false">IF($C126="","",ROUND(SUMIFS(应收净额,应收键,$D126,应收行号,"&lt;="&amp;ROW()),2))</f>
        <v/>
      </c>
      <c r="Y126" s="29" t="str">
        <f aca="false">IF($C126="","",ROW())</f>
        <v/>
      </c>
    </row>
    <row r="127" customFormat="false" ht="15" hidden="false" customHeight="false" outlineLevel="0" collapsed="false">
      <c r="A127" s="29" t="str">
        <f aca="false">IF($C127="","",ROW()-4)</f>
        <v/>
      </c>
      <c r="B127" s="35" t="str">
        <f aca="false">IF($C127="","","YS"&amp;TEXT($C127,"yyyymm")&amp;"-"&amp;TEXT(ROW()-4,"0000"))</f>
        <v/>
      </c>
      <c r="C127" s="33"/>
      <c r="D127" s="24"/>
      <c r="E127" s="30" t="str">
        <f aca="false">IF($D127="","",IFERROR(INDEX(合同单位,MATCH($D127,合同键,0)),IFERROR(TRIM(LEFT($D127,FIND("｜",$D127)-1)),$D127)))</f>
        <v/>
      </c>
      <c r="F127" s="30" t="str">
        <f aca="false">IF($D127="","",IFERROR(INDEX(合同项目,MATCH($D127,合同键,0)),IFERROR(TRIM(MID($D127,FIND("｜",$D127)+1,99)),"")))</f>
        <v/>
      </c>
      <c r="G127" s="24"/>
      <c r="H127" s="35" t="str">
        <f aca="false">IF($G127="","",IFERROR(INDEX(费用款别,MATCH($G127,费用类别表,0)),"合同外款"))</f>
        <v/>
      </c>
      <c r="I127" s="33"/>
      <c r="J127" s="33"/>
      <c r="K127" s="39"/>
      <c r="L127" s="33"/>
      <c r="M127" s="25"/>
      <c r="N127" s="39"/>
      <c r="O127" s="35" t="str">
        <f aca="false">IF($C127="","",IF(N($N127)&lt;=0,"未开票",IF(ROUND(N($N127)-N($K127),2)&gt;=0,"已开票",IFERROR("部分开票 "&amp;TEXT(N($N127)/N($K127),"0%"),"部分开票"))))</f>
        <v/>
      </c>
      <c r="P127" s="40" t="str">
        <f aca="false">IF($C127="","",ROUND($V127+MIN($W127,MAX(0,(SUMIF(收款键,$D127,收款金额)-SUMIFS(收款金额,收款键,$D127,收款关联,"&lt;&gt;"))-($X127-$W127))),2))</f>
        <v/>
      </c>
      <c r="Q127" s="41" t="str">
        <f aca="false">IF($C127="","",ROUND(N($K127)-N($P127),2))</f>
        <v/>
      </c>
      <c r="R127" s="29" t="str">
        <f aca="false">IF($C127="","",YEAR($C127))</f>
        <v/>
      </c>
      <c r="S127" s="24"/>
      <c r="T127" s="35" t="str">
        <f aca="false">IF($C127="","",IF($D127="","★没选客户项目",IF(COUNTIF(合同键,$D127)=0,"★《维保合同》里没这个项目",IF(N($K127)&lt;=0,"★应收金额要填",IF(ROUND(N($N127)-N($K127),2)&gt;0.001,"★开票金额大于应收",IF(AND($L127&lt;&gt;"",N($N127)&lt;=0),"★填了开票日期没填开票金额",IF(AND($I127&lt;&gt;"",$J127&lt;&gt;"",$J127&lt;$I127),"★计费期间起止反了","OK")))))))</f>
        <v/>
      </c>
      <c r="U127" s="29" t="str">
        <f aca="false">IF($L127="","",YEAR($L127))</f>
        <v/>
      </c>
      <c r="V127" s="40" t="str">
        <f aca="false">IF($C127="","",ROUND(SUMIF(收款关联,$B127,收款金额),2))</f>
        <v/>
      </c>
      <c r="W127" s="40" t="str">
        <f aca="false">IF($C127="","",MAX(0,ROUND(N($K127)-N($V127),2)))</f>
        <v/>
      </c>
      <c r="X127" s="40" t="str">
        <f aca="false">IF($C127="","",ROUND(SUMIFS(应收净额,应收键,$D127,应收行号,"&lt;="&amp;ROW()),2))</f>
        <v/>
      </c>
      <c r="Y127" s="29" t="str">
        <f aca="false">IF($C127="","",ROW())</f>
        <v/>
      </c>
    </row>
    <row r="128" customFormat="false" ht="15" hidden="false" customHeight="false" outlineLevel="0" collapsed="false">
      <c r="A128" s="29" t="str">
        <f aca="false">IF($C128="","",ROW()-4)</f>
        <v/>
      </c>
      <c r="B128" s="35" t="str">
        <f aca="false">IF($C128="","","YS"&amp;TEXT($C128,"yyyymm")&amp;"-"&amp;TEXT(ROW()-4,"0000"))</f>
        <v/>
      </c>
      <c r="C128" s="33"/>
      <c r="D128" s="24"/>
      <c r="E128" s="30" t="str">
        <f aca="false">IF($D128="","",IFERROR(INDEX(合同单位,MATCH($D128,合同键,0)),IFERROR(TRIM(LEFT($D128,FIND("｜",$D128)-1)),$D128)))</f>
        <v/>
      </c>
      <c r="F128" s="30" t="str">
        <f aca="false">IF($D128="","",IFERROR(INDEX(合同项目,MATCH($D128,合同键,0)),IFERROR(TRIM(MID($D128,FIND("｜",$D128)+1,99)),"")))</f>
        <v/>
      </c>
      <c r="G128" s="24"/>
      <c r="H128" s="35" t="str">
        <f aca="false">IF($G128="","",IFERROR(INDEX(费用款别,MATCH($G128,费用类别表,0)),"合同外款"))</f>
        <v/>
      </c>
      <c r="I128" s="33"/>
      <c r="J128" s="33"/>
      <c r="K128" s="39"/>
      <c r="L128" s="33"/>
      <c r="M128" s="25"/>
      <c r="N128" s="39"/>
      <c r="O128" s="35" t="str">
        <f aca="false">IF($C128="","",IF(N($N128)&lt;=0,"未开票",IF(ROUND(N($N128)-N($K128),2)&gt;=0,"已开票",IFERROR("部分开票 "&amp;TEXT(N($N128)/N($K128),"0%"),"部分开票"))))</f>
        <v/>
      </c>
      <c r="P128" s="40" t="str">
        <f aca="false">IF($C128="","",ROUND($V128+MIN($W128,MAX(0,(SUMIF(收款键,$D128,收款金额)-SUMIFS(收款金额,收款键,$D128,收款关联,"&lt;&gt;"))-($X128-$W128))),2))</f>
        <v/>
      </c>
      <c r="Q128" s="41" t="str">
        <f aca="false">IF($C128="","",ROUND(N($K128)-N($P128),2))</f>
        <v/>
      </c>
      <c r="R128" s="29" t="str">
        <f aca="false">IF($C128="","",YEAR($C128))</f>
        <v/>
      </c>
      <c r="S128" s="24"/>
      <c r="T128" s="35" t="str">
        <f aca="false">IF($C128="","",IF($D128="","★没选客户项目",IF(COUNTIF(合同键,$D128)=0,"★《维保合同》里没这个项目",IF(N($K128)&lt;=0,"★应收金额要填",IF(ROUND(N($N128)-N($K128),2)&gt;0.001,"★开票金额大于应收",IF(AND($L128&lt;&gt;"",N($N128)&lt;=0),"★填了开票日期没填开票金额",IF(AND($I128&lt;&gt;"",$J128&lt;&gt;"",$J128&lt;$I128),"★计费期间起止反了","OK")))))))</f>
        <v/>
      </c>
      <c r="U128" s="29" t="str">
        <f aca="false">IF($L128="","",YEAR($L128))</f>
        <v/>
      </c>
      <c r="V128" s="40" t="str">
        <f aca="false">IF($C128="","",ROUND(SUMIF(收款关联,$B128,收款金额),2))</f>
        <v/>
      </c>
      <c r="W128" s="40" t="str">
        <f aca="false">IF($C128="","",MAX(0,ROUND(N($K128)-N($V128),2)))</f>
        <v/>
      </c>
      <c r="X128" s="40" t="str">
        <f aca="false">IF($C128="","",ROUND(SUMIFS(应收净额,应收键,$D128,应收行号,"&lt;="&amp;ROW()),2))</f>
        <v/>
      </c>
      <c r="Y128" s="29" t="str">
        <f aca="false">IF($C128="","",ROW())</f>
        <v/>
      </c>
    </row>
    <row r="129" customFormat="false" ht="15" hidden="false" customHeight="false" outlineLevel="0" collapsed="false">
      <c r="A129" s="29" t="str">
        <f aca="false">IF($C129="","",ROW()-4)</f>
        <v/>
      </c>
      <c r="B129" s="35" t="str">
        <f aca="false">IF($C129="","","YS"&amp;TEXT($C129,"yyyymm")&amp;"-"&amp;TEXT(ROW()-4,"0000"))</f>
        <v/>
      </c>
      <c r="C129" s="33"/>
      <c r="D129" s="24"/>
      <c r="E129" s="30" t="str">
        <f aca="false">IF($D129="","",IFERROR(INDEX(合同单位,MATCH($D129,合同键,0)),IFERROR(TRIM(LEFT($D129,FIND("｜",$D129)-1)),$D129)))</f>
        <v/>
      </c>
      <c r="F129" s="30" t="str">
        <f aca="false">IF($D129="","",IFERROR(INDEX(合同项目,MATCH($D129,合同键,0)),IFERROR(TRIM(MID($D129,FIND("｜",$D129)+1,99)),"")))</f>
        <v/>
      </c>
      <c r="G129" s="24"/>
      <c r="H129" s="35" t="str">
        <f aca="false">IF($G129="","",IFERROR(INDEX(费用款别,MATCH($G129,费用类别表,0)),"合同外款"))</f>
        <v/>
      </c>
      <c r="I129" s="33"/>
      <c r="J129" s="33"/>
      <c r="K129" s="39"/>
      <c r="L129" s="33"/>
      <c r="M129" s="25"/>
      <c r="N129" s="39"/>
      <c r="O129" s="35" t="str">
        <f aca="false">IF($C129="","",IF(N($N129)&lt;=0,"未开票",IF(ROUND(N($N129)-N($K129),2)&gt;=0,"已开票",IFERROR("部分开票 "&amp;TEXT(N($N129)/N($K129),"0%"),"部分开票"))))</f>
        <v/>
      </c>
      <c r="P129" s="40" t="str">
        <f aca="false">IF($C129="","",ROUND($V129+MIN($W129,MAX(0,(SUMIF(收款键,$D129,收款金额)-SUMIFS(收款金额,收款键,$D129,收款关联,"&lt;&gt;"))-($X129-$W129))),2))</f>
        <v/>
      </c>
      <c r="Q129" s="41" t="str">
        <f aca="false">IF($C129="","",ROUND(N($K129)-N($P129),2))</f>
        <v/>
      </c>
      <c r="R129" s="29" t="str">
        <f aca="false">IF($C129="","",YEAR($C129))</f>
        <v/>
      </c>
      <c r="S129" s="24"/>
      <c r="T129" s="35" t="str">
        <f aca="false">IF($C129="","",IF($D129="","★没选客户项目",IF(COUNTIF(合同键,$D129)=0,"★《维保合同》里没这个项目",IF(N($K129)&lt;=0,"★应收金额要填",IF(ROUND(N($N129)-N($K129),2)&gt;0.001,"★开票金额大于应收",IF(AND($L129&lt;&gt;"",N($N129)&lt;=0),"★填了开票日期没填开票金额",IF(AND($I129&lt;&gt;"",$J129&lt;&gt;"",$J129&lt;$I129),"★计费期间起止反了","OK")))))))</f>
        <v/>
      </c>
      <c r="U129" s="29" t="str">
        <f aca="false">IF($L129="","",YEAR($L129))</f>
        <v/>
      </c>
      <c r="V129" s="40" t="str">
        <f aca="false">IF($C129="","",ROUND(SUMIF(收款关联,$B129,收款金额),2))</f>
        <v/>
      </c>
      <c r="W129" s="40" t="str">
        <f aca="false">IF($C129="","",MAX(0,ROUND(N($K129)-N($V129),2)))</f>
        <v/>
      </c>
      <c r="X129" s="40" t="str">
        <f aca="false">IF($C129="","",ROUND(SUMIFS(应收净额,应收键,$D129,应收行号,"&lt;="&amp;ROW()),2))</f>
        <v/>
      </c>
      <c r="Y129" s="29" t="str">
        <f aca="false">IF($C129="","",ROW())</f>
        <v/>
      </c>
    </row>
    <row r="130" customFormat="false" ht="15" hidden="false" customHeight="false" outlineLevel="0" collapsed="false">
      <c r="A130" s="29" t="str">
        <f aca="false">IF($C130="","",ROW()-4)</f>
        <v/>
      </c>
      <c r="B130" s="35" t="str">
        <f aca="false">IF($C130="","","YS"&amp;TEXT($C130,"yyyymm")&amp;"-"&amp;TEXT(ROW()-4,"0000"))</f>
        <v/>
      </c>
      <c r="C130" s="33"/>
      <c r="D130" s="24"/>
      <c r="E130" s="30" t="str">
        <f aca="false">IF($D130="","",IFERROR(INDEX(合同单位,MATCH($D130,合同键,0)),IFERROR(TRIM(LEFT($D130,FIND("｜",$D130)-1)),$D130)))</f>
        <v/>
      </c>
      <c r="F130" s="30" t="str">
        <f aca="false">IF($D130="","",IFERROR(INDEX(合同项目,MATCH($D130,合同键,0)),IFERROR(TRIM(MID($D130,FIND("｜",$D130)+1,99)),"")))</f>
        <v/>
      </c>
      <c r="G130" s="24"/>
      <c r="H130" s="35" t="str">
        <f aca="false">IF($G130="","",IFERROR(INDEX(费用款别,MATCH($G130,费用类别表,0)),"合同外款"))</f>
        <v/>
      </c>
      <c r="I130" s="33"/>
      <c r="J130" s="33"/>
      <c r="K130" s="39"/>
      <c r="L130" s="33"/>
      <c r="M130" s="25"/>
      <c r="N130" s="39"/>
      <c r="O130" s="35" t="str">
        <f aca="false">IF($C130="","",IF(N($N130)&lt;=0,"未开票",IF(ROUND(N($N130)-N($K130),2)&gt;=0,"已开票",IFERROR("部分开票 "&amp;TEXT(N($N130)/N($K130),"0%"),"部分开票"))))</f>
        <v/>
      </c>
      <c r="P130" s="40" t="str">
        <f aca="false">IF($C130="","",ROUND($V130+MIN($W130,MAX(0,(SUMIF(收款键,$D130,收款金额)-SUMIFS(收款金额,收款键,$D130,收款关联,"&lt;&gt;"))-($X130-$W130))),2))</f>
        <v/>
      </c>
      <c r="Q130" s="41" t="str">
        <f aca="false">IF($C130="","",ROUND(N($K130)-N($P130),2))</f>
        <v/>
      </c>
      <c r="R130" s="29" t="str">
        <f aca="false">IF($C130="","",YEAR($C130))</f>
        <v/>
      </c>
      <c r="S130" s="24"/>
      <c r="T130" s="35" t="str">
        <f aca="false">IF($C130="","",IF($D130="","★没选客户项目",IF(COUNTIF(合同键,$D130)=0,"★《维保合同》里没这个项目",IF(N($K130)&lt;=0,"★应收金额要填",IF(ROUND(N($N130)-N($K130),2)&gt;0.001,"★开票金额大于应收",IF(AND($L130&lt;&gt;"",N($N130)&lt;=0),"★填了开票日期没填开票金额",IF(AND($I130&lt;&gt;"",$J130&lt;&gt;"",$J130&lt;$I130),"★计费期间起止反了","OK")))))))</f>
        <v/>
      </c>
      <c r="U130" s="29" t="str">
        <f aca="false">IF($L130="","",YEAR($L130))</f>
        <v/>
      </c>
      <c r="V130" s="40" t="str">
        <f aca="false">IF($C130="","",ROUND(SUMIF(收款关联,$B130,收款金额),2))</f>
        <v/>
      </c>
      <c r="W130" s="40" t="str">
        <f aca="false">IF($C130="","",MAX(0,ROUND(N($K130)-N($V130),2)))</f>
        <v/>
      </c>
      <c r="X130" s="40" t="str">
        <f aca="false">IF($C130="","",ROUND(SUMIFS(应收净额,应收键,$D130,应收行号,"&lt;="&amp;ROW()),2))</f>
        <v/>
      </c>
      <c r="Y130" s="29" t="str">
        <f aca="false">IF($C130="","",ROW())</f>
        <v/>
      </c>
    </row>
    <row r="131" customFormat="false" ht="15" hidden="false" customHeight="false" outlineLevel="0" collapsed="false">
      <c r="A131" s="29" t="str">
        <f aca="false">IF($C131="","",ROW()-4)</f>
        <v/>
      </c>
      <c r="B131" s="35" t="str">
        <f aca="false">IF($C131="","","YS"&amp;TEXT($C131,"yyyymm")&amp;"-"&amp;TEXT(ROW()-4,"0000"))</f>
        <v/>
      </c>
      <c r="C131" s="33"/>
      <c r="D131" s="24"/>
      <c r="E131" s="30" t="str">
        <f aca="false">IF($D131="","",IFERROR(INDEX(合同单位,MATCH($D131,合同键,0)),IFERROR(TRIM(LEFT($D131,FIND("｜",$D131)-1)),$D131)))</f>
        <v/>
      </c>
      <c r="F131" s="30" t="str">
        <f aca="false">IF($D131="","",IFERROR(INDEX(合同项目,MATCH($D131,合同键,0)),IFERROR(TRIM(MID($D131,FIND("｜",$D131)+1,99)),"")))</f>
        <v/>
      </c>
      <c r="G131" s="24"/>
      <c r="H131" s="35" t="str">
        <f aca="false">IF($G131="","",IFERROR(INDEX(费用款别,MATCH($G131,费用类别表,0)),"合同外款"))</f>
        <v/>
      </c>
      <c r="I131" s="33"/>
      <c r="J131" s="33"/>
      <c r="K131" s="39"/>
      <c r="L131" s="33"/>
      <c r="M131" s="25"/>
      <c r="N131" s="39"/>
      <c r="O131" s="35" t="str">
        <f aca="false">IF($C131="","",IF(N($N131)&lt;=0,"未开票",IF(ROUND(N($N131)-N($K131),2)&gt;=0,"已开票",IFERROR("部分开票 "&amp;TEXT(N($N131)/N($K131),"0%"),"部分开票"))))</f>
        <v/>
      </c>
      <c r="P131" s="40" t="str">
        <f aca="false">IF($C131="","",ROUND($V131+MIN($W131,MAX(0,(SUMIF(收款键,$D131,收款金额)-SUMIFS(收款金额,收款键,$D131,收款关联,"&lt;&gt;"))-($X131-$W131))),2))</f>
        <v/>
      </c>
      <c r="Q131" s="41" t="str">
        <f aca="false">IF($C131="","",ROUND(N($K131)-N($P131),2))</f>
        <v/>
      </c>
      <c r="R131" s="29" t="str">
        <f aca="false">IF($C131="","",YEAR($C131))</f>
        <v/>
      </c>
      <c r="S131" s="24"/>
      <c r="T131" s="35" t="str">
        <f aca="false">IF($C131="","",IF($D131="","★没选客户项目",IF(COUNTIF(合同键,$D131)=0,"★《维保合同》里没这个项目",IF(N($K131)&lt;=0,"★应收金额要填",IF(ROUND(N($N131)-N($K131),2)&gt;0.001,"★开票金额大于应收",IF(AND($L131&lt;&gt;"",N($N131)&lt;=0),"★填了开票日期没填开票金额",IF(AND($I131&lt;&gt;"",$J131&lt;&gt;"",$J131&lt;$I131),"★计费期间起止反了","OK")))))))</f>
        <v/>
      </c>
      <c r="U131" s="29" t="str">
        <f aca="false">IF($L131="","",YEAR($L131))</f>
        <v/>
      </c>
      <c r="V131" s="40" t="str">
        <f aca="false">IF($C131="","",ROUND(SUMIF(收款关联,$B131,收款金额),2))</f>
        <v/>
      </c>
      <c r="W131" s="40" t="str">
        <f aca="false">IF($C131="","",MAX(0,ROUND(N($K131)-N($V131),2)))</f>
        <v/>
      </c>
      <c r="X131" s="40" t="str">
        <f aca="false">IF($C131="","",ROUND(SUMIFS(应收净额,应收键,$D131,应收行号,"&lt;="&amp;ROW()),2))</f>
        <v/>
      </c>
      <c r="Y131" s="29" t="str">
        <f aca="false">IF($C131="","",ROW())</f>
        <v/>
      </c>
    </row>
    <row r="132" customFormat="false" ht="15" hidden="false" customHeight="false" outlineLevel="0" collapsed="false">
      <c r="A132" s="29" t="str">
        <f aca="false">IF($C132="","",ROW()-4)</f>
        <v/>
      </c>
      <c r="B132" s="35" t="str">
        <f aca="false">IF($C132="","","YS"&amp;TEXT($C132,"yyyymm")&amp;"-"&amp;TEXT(ROW()-4,"0000"))</f>
        <v/>
      </c>
      <c r="C132" s="33"/>
      <c r="D132" s="24"/>
      <c r="E132" s="30" t="str">
        <f aca="false">IF($D132="","",IFERROR(INDEX(合同单位,MATCH($D132,合同键,0)),IFERROR(TRIM(LEFT($D132,FIND("｜",$D132)-1)),$D132)))</f>
        <v/>
      </c>
      <c r="F132" s="30" t="str">
        <f aca="false">IF($D132="","",IFERROR(INDEX(合同项目,MATCH($D132,合同键,0)),IFERROR(TRIM(MID($D132,FIND("｜",$D132)+1,99)),"")))</f>
        <v/>
      </c>
      <c r="G132" s="24"/>
      <c r="H132" s="35" t="str">
        <f aca="false">IF($G132="","",IFERROR(INDEX(费用款别,MATCH($G132,费用类别表,0)),"合同外款"))</f>
        <v/>
      </c>
      <c r="I132" s="33"/>
      <c r="J132" s="33"/>
      <c r="K132" s="39"/>
      <c r="L132" s="33"/>
      <c r="M132" s="25"/>
      <c r="N132" s="39"/>
      <c r="O132" s="35" t="str">
        <f aca="false">IF($C132="","",IF(N($N132)&lt;=0,"未开票",IF(ROUND(N($N132)-N($K132),2)&gt;=0,"已开票",IFERROR("部分开票 "&amp;TEXT(N($N132)/N($K132),"0%"),"部分开票"))))</f>
        <v/>
      </c>
      <c r="P132" s="40" t="str">
        <f aca="false">IF($C132="","",ROUND($V132+MIN($W132,MAX(0,(SUMIF(收款键,$D132,收款金额)-SUMIFS(收款金额,收款键,$D132,收款关联,"&lt;&gt;"))-($X132-$W132))),2))</f>
        <v/>
      </c>
      <c r="Q132" s="41" t="str">
        <f aca="false">IF($C132="","",ROUND(N($K132)-N($P132),2))</f>
        <v/>
      </c>
      <c r="R132" s="29" t="str">
        <f aca="false">IF($C132="","",YEAR($C132))</f>
        <v/>
      </c>
      <c r="S132" s="24"/>
      <c r="T132" s="35" t="str">
        <f aca="false">IF($C132="","",IF($D132="","★没选客户项目",IF(COUNTIF(合同键,$D132)=0,"★《维保合同》里没这个项目",IF(N($K132)&lt;=0,"★应收金额要填",IF(ROUND(N($N132)-N($K132),2)&gt;0.001,"★开票金额大于应收",IF(AND($L132&lt;&gt;"",N($N132)&lt;=0),"★填了开票日期没填开票金额",IF(AND($I132&lt;&gt;"",$J132&lt;&gt;"",$J132&lt;$I132),"★计费期间起止反了","OK")))))))</f>
        <v/>
      </c>
      <c r="U132" s="29" t="str">
        <f aca="false">IF($L132="","",YEAR($L132))</f>
        <v/>
      </c>
      <c r="V132" s="40" t="str">
        <f aca="false">IF($C132="","",ROUND(SUMIF(收款关联,$B132,收款金额),2))</f>
        <v/>
      </c>
      <c r="W132" s="40" t="str">
        <f aca="false">IF($C132="","",MAX(0,ROUND(N($K132)-N($V132),2)))</f>
        <v/>
      </c>
      <c r="X132" s="40" t="str">
        <f aca="false">IF($C132="","",ROUND(SUMIFS(应收净额,应收键,$D132,应收行号,"&lt;="&amp;ROW()),2))</f>
        <v/>
      </c>
      <c r="Y132" s="29" t="str">
        <f aca="false">IF($C132="","",ROW())</f>
        <v/>
      </c>
    </row>
    <row r="133" customFormat="false" ht="15" hidden="false" customHeight="false" outlineLevel="0" collapsed="false">
      <c r="A133" s="29" t="str">
        <f aca="false">IF($C133="","",ROW()-4)</f>
        <v/>
      </c>
      <c r="B133" s="35" t="str">
        <f aca="false">IF($C133="","","YS"&amp;TEXT($C133,"yyyymm")&amp;"-"&amp;TEXT(ROW()-4,"0000"))</f>
        <v/>
      </c>
      <c r="C133" s="33"/>
      <c r="D133" s="24"/>
      <c r="E133" s="30" t="str">
        <f aca="false">IF($D133="","",IFERROR(INDEX(合同单位,MATCH($D133,合同键,0)),IFERROR(TRIM(LEFT($D133,FIND("｜",$D133)-1)),$D133)))</f>
        <v/>
      </c>
      <c r="F133" s="30" t="str">
        <f aca="false">IF($D133="","",IFERROR(INDEX(合同项目,MATCH($D133,合同键,0)),IFERROR(TRIM(MID($D133,FIND("｜",$D133)+1,99)),"")))</f>
        <v/>
      </c>
      <c r="G133" s="24"/>
      <c r="H133" s="35" t="str">
        <f aca="false">IF($G133="","",IFERROR(INDEX(费用款别,MATCH($G133,费用类别表,0)),"合同外款"))</f>
        <v/>
      </c>
      <c r="I133" s="33"/>
      <c r="J133" s="33"/>
      <c r="K133" s="39"/>
      <c r="L133" s="33"/>
      <c r="M133" s="25"/>
      <c r="N133" s="39"/>
      <c r="O133" s="35" t="str">
        <f aca="false">IF($C133="","",IF(N($N133)&lt;=0,"未开票",IF(ROUND(N($N133)-N($K133),2)&gt;=0,"已开票",IFERROR("部分开票 "&amp;TEXT(N($N133)/N($K133),"0%"),"部分开票"))))</f>
        <v/>
      </c>
      <c r="P133" s="40" t="str">
        <f aca="false">IF($C133="","",ROUND($V133+MIN($W133,MAX(0,(SUMIF(收款键,$D133,收款金额)-SUMIFS(收款金额,收款键,$D133,收款关联,"&lt;&gt;"))-($X133-$W133))),2))</f>
        <v/>
      </c>
      <c r="Q133" s="41" t="str">
        <f aca="false">IF($C133="","",ROUND(N($K133)-N($P133),2))</f>
        <v/>
      </c>
      <c r="R133" s="29" t="str">
        <f aca="false">IF($C133="","",YEAR($C133))</f>
        <v/>
      </c>
      <c r="S133" s="24"/>
      <c r="T133" s="35" t="str">
        <f aca="false">IF($C133="","",IF($D133="","★没选客户项目",IF(COUNTIF(合同键,$D133)=0,"★《维保合同》里没这个项目",IF(N($K133)&lt;=0,"★应收金额要填",IF(ROUND(N($N133)-N($K133),2)&gt;0.001,"★开票金额大于应收",IF(AND($L133&lt;&gt;"",N($N133)&lt;=0),"★填了开票日期没填开票金额",IF(AND($I133&lt;&gt;"",$J133&lt;&gt;"",$J133&lt;$I133),"★计费期间起止反了","OK")))))))</f>
        <v/>
      </c>
      <c r="U133" s="29" t="str">
        <f aca="false">IF($L133="","",YEAR($L133))</f>
        <v/>
      </c>
      <c r="V133" s="40" t="str">
        <f aca="false">IF($C133="","",ROUND(SUMIF(收款关联,$B133,收款金额),2))</f>
        <v/>
      </c>
      <c r="W133" s="40" t="str">
        <f aca="false">IF($C133="","",MAX(0,ROUND(N($K133)-N($V133),2)))</f>
        <v/>
      </c>
      <c r="X133" s="40" t="str">
        <f aca="false">IF($C133="","",ROUND(SUMIFS(应收净额,应收键,$D133,应收行号,"&lt;="&amp;ROW()),2))</f>
        <v/>
      </c>
      <c r="Y133" s="29" t="str">
        <f aca="false">IF($C133="","",ROW())</f>
        <v/>
      </c>
    </row>
    <row r="134" customFormat="false" ht="15" hidden="false" customHeight="false" outlineLevel="0" collapsed="false">
      <c r="A134" s="29" t="str">
        <f aca="false">IF($C134="","",ROW()-4)</f>
        <v/>
      </c>
      <c r="B134" s="35" t="str">
        <f aca="false">IF($C134="","","YS"&amp;TEXT($C134,"yyyymm")&amp;"-"&amp;TEXT(ROW()-4,"0000"))</f>
        <v/>
      </c>
      <c r="C134" s="33"/>
      <c r="D134" s="24"/>
      <c r="E134" s="30" t="str">
        <f aca="false">IF($D134="","",IFERROR(INDEX(合同单位,MATCH($D134,合同键,0)),IFERROR(TRIM(LEFT($D134,FIND("｜",$D134)-1)),$D134)))</f>
        <v/>
      </c>
      <c r="F134" s="30" t="str">
        <f aca="false">IF($D134="","",IFERROR(INDEX(合同项目,MATCH($D134,合同键,0)),IFERROR(TRIM(MID($D134,FIND("｜",$D134)+1,99)),"")))</f>
        <v/>
      </c>
      <c r="G134" s="24"/>
      <c r="H134" s="35" t="str">
        <f aca="false">IF($G134="","",IFERROR(INDEX(费用款别,MATCH($G134,费用类别表,0)),"合同外款"))</f>
        <v/>
      </c>
      <c r="I134" s="33"/>
      <c r="J134" s="33"/>
      <c r="K134" s="39"/>
      <c r="L134" s="33"/>
      <c r="M134" s="25"/>
      <c r="N134" s="39"/>
      <c r="O134" s="35" t="str">
        <f aca="false">IF($C134="","",IF(N($N134)&lt;=0,"未开票",IF(ROUND(N($N134)-N($K134),2)&gt;=0,"已开票",IFERROR("部分开票 "&amp;TEXT(N($N134)/N($K134),"0%"),"部分开票"))))</f>
        <v/>
      </c>
      <c r="P134" s="40" t="str">
        <f aca="false">IF($C134="","",ROUND($V134+MIN($W134,MAX(0,(SUMIF(收款键,$D134,收款金额)-SUMIFS(收款金额,收款键,$D134,收款关联,"&lt;&gt;"))-($X134-$W134))),2))</f>
        <v/>
      </c>
      <c r="Q134" s="41" t="str">
        <f aca="false">IF($C134="","",ROUND(N($K134)-N($P134),2))</f>
        <v/>
      </c>
      <c r="R134" s="29" t="str">
        <f aca="false">IF($C134="","",YEAR($C134))</f>
        <v/>
      </c>
      <c r="S134" s="24"/>
      <c r="T134" s="35" t="str">
        <f aca="false">IF($C134="","",IF($D134="","★没选客户项目",IF(COUNTIF(合同键,$D134)=0,"★《维保合同》里没这个项目",IF(N($K134)&lt;=0,"★应收金额要填",IF(ROUND(N($N134)-N($K134),2)&gt;0.001,"★开票金额大于应收",IF(AND($L134&lt;&gt;"",N($N134)&lt;=0),"★填了开票日期没填开票金额",IF(AND($I134&lt;&gt;"",$J134&lt;&gt;"",$J134&lt;$I134),"★计费期间起止反了","OK")))))))</f>
        <v/>
      </c>
      <c r="U134" s="29" t="str">
        <f aca="false">IF($L134="","",YEAR($L134))</f>
        <v/>
      </c>
      <c r="V134" s="40" t="str">
        <f aca="false">IF($C134="","",ROUND(SUMIF(收款关联,$B134,收款金额),2))</f>
        <v/>
      </c>
      <c r="W134" s="40" t="str">
        <f aca="false">IF($C134="","",MAX(0,ROUND(N($K134)-N($V134),2)))</f>
        <v/>
      </c>
      <c r="X134" s="40" t="str">
        <f aca="false">IF($C134="","",ROUND(SUMIFS(应收净额,应收键,$D134,应收行号,"&lt;="&amp;ROW()),2))</f>
        <v/>
      </c>
      <c r="Y134" s="29" t="str">
        <f aca="false">IF($C134="","",ROW())</f>
        <v/>
      </c>
    </row>
    <row r="135" customFormat="false" ht="15" hidden="false" customHeight="false" outlineLevel="0" collapsed="false">
      <c r="A135" s="29" t="str">
        <f aca="false">IF($C135="","",ROW()-4)</f>
        <v/>
      </c>
      <c r="B135" s="35" t="str">
        <f aca="false">IF($C135="","","YS"&amp;TEXT($C135,"yyyymm")&amp;"-"&amp;TEXT(ROW()-4,"0000"))</f>
        <v/>
      </c>
      <c r="C135" s="33"/>
      <c r="D135" s="24"/>
      <c r="E135" s="30" t="str">
        <f aca="false">IF($D135="","",IFERROR(INDEX(合同单位,MATCH($D135,合同键,0)),IFERROR(TRIM(LEFT($D135,FIND("｜",$D135)-1)),$D135)))</f>
        <v/>
      </c>
      <c r="F135" s="30" t="str">
        <f aca="false">IF($D135="","",IFERROR(INDEX(合同项目,MATCH($D135,合同键,0)),IFERROR(TRIM(MID($D135,FIND("｜",$D135)+1,99)),"")))</f>
        <v/>
      </c>
      <c r="G135" s="24"/>
      <c r="H135" s="35" t="str">
        <f aca="false">IF($G135="","",IFERROR(INDEX(费用款别,MATCH($G135,费用类别表,0)),"合同外款"))</f>
        <v/>
      </c>
      <c r="I135" s="33"/>
      <c r="J135" s="33"/>
      <c r="K135" s="39"/>
      <c r="L135" s="33"/>
      <c r="M135" s="25"/>
      <c r="N135" s="39"/>
      <c r="O135" s="35" t="str">
        <f aca="false">IF($C135="","",IF(N($N135)&lt;=0,"未开票",IF(ROUND(N($N135)-N($K135),2)&gt;=0,"已开票",IFERROR("部分开票 "&amp;TEXT(N($N135)/N($K135),"0%"),"部分开票"))))</f>
        <v/>
      </c>
      <c r="P135" s="40" t="str">
        <f aca="false">IF($C135="","",ROUND($V135+MIN($W135,MAX(0,(SUMIF(收款键,$D135,收款金额)-SUMIFS(收款金额,收款键,$D135,收款关联,"&lt;&gt;"))-($X135-$W135))),2))</f>
        <v/>
      </c>
      <c r="Q135" s="41" t="str">
        <f aca="false">IF($C135="","",ROUND(N($K135)-N($P135),2))</f>
        <v/>
      </c>
      <c r="R135" s="29" t="str">
        <f aca="false">IF($C135="","",YEAR($C135))</f>
        <v/>
      </c>
      <c r="S135" s="24"/>
      <c r="T135" s="35" t="str">
        <f aca="false">IF($C135="","",IF($D135="","★没选客户项目",IF(COUNTIF(合同键,$D135)=0,"★《维保合同》里没这个项目",IF(N($K135)&lt;=0,"★应收金额要填",IF(ROUND(N($N135)-N($K135),2)&gt;0.001,"★开票金额大于应收",IF(AND($L135&lt;&gt;"",N($N135)&lt;=0),"★填了开票日期没填开票金额",IF(AND($I135&lt;&gt;"",$J135&lt;&gt;"",$J135&lt;$I135),"★计费期间起止反了","OK")))))))</f>
        <v/>
      </c>
      <c r="U135" s="29" t="str">
        <f aca="false">IF($L135="","",YEAR($L135))</f>
        <v/>
      </c>
      <c r="V135" s="40" t="str">
        <f aca="false">IF($C135="","",ROUND(SUMIF(收款关联,$B135,收款金额),2))</f>
        <v/>
      </c>
      <c r="W135" s="40" t="str">
        <f aca="false">IF($C135="","",MAX(0,ROUND(N($K135)-N($V135),2)))</f>
        <v/>
      </c>
      <c r="X135" s="40" t="str">
        <f aca="false">IF($C135="","",ROUND(SUMIFS(应收净额,应收键,$D135,应收行号,"&lt;="&amp;ROW()),2))</f>
        <v/>
      </c>
      <c r="Y135" s="29" t="str">
        <f aca="false">IF($C135="","",ROW())</f>
        <v/>
      </c>
    </row>
    <row r="136" customFormat="false" ht="15" hidden="false" customHeight="false" outlineLevel="0" collapsed="false">
      <c r="A136" s="29" t="str">
        <f aca="false">IF($C136="","",ROW()-4)</f>
        <v/>
      </c>
      <c r="B136" s="35" t="str">
        <f aca="false">IF($C136="","","YS"&amp;TEXT($C136,"yyyymm")&amp;"-"&amp;TEXT(ROW()-4,"0000"))</f>
        <v/>
      </c>
      <c r="C136" s="33"/>
      <c r="D136" s="24"/>
      <c r="E136" s="30" t="str">
        <f aca="false">IF($D136="","",IFERROR(INDEX(合同单位,MATCH($D136,合同键,0)),IFERROR(TRIM(LEFT($D136,FIND("｜",$D136)-1)),$D136)))</f>
        <v/>
      </c>
      <c r="F136" s="30" t="str">
        <f aca="false">IF($D136="","",IFERROR(INDEX(合同项目,MATCH($D136,合同键,0)),IFERROR(TRIM(MID($D136,FIND("｜",$D136)+1,99)),"")))</f>
        <v/>
      </c>
      <c r="G136" s="24"/>
      <c r="H136" s="35" t="str">
        <f aca="false">IF($G136="","",IFERROR(INDEX(费用款别,MATCH($G136,费用类别表,0)),"合同外款"))</f>
        <v/>
      </c>
      <c r="I136" s="33"/>
      <c r="J136" s="33"/>
      <c r="K136" s="39"/>
      <c r="L136" s="33"/>
      <c r="M136" s="25"/>
      <c r="N136" s="39"/>
      <c r="O136" s="35" t="str">
        <f aca="false">IF($C136="","",IF(N($N136)&lt;=0,"未开票",IF(ROUND(N($N136)-N($K136),2)&gt;=0,"已开票",IFERROR("部分开票 "&amp;TEXT(N($N136)/N($K136),"0%"),"部分开票"))))</f>
        <v/>
      </c>
      <c r="P136" s="40" t="str">
        <f aca="false">IF($C136="","",ROUND($V136+MIN($W136,MAX(0,(SUMIF(收款键,$D136,收款金额)-SUMIFS(收款金额,收款键,$D136,收款关联,"&lt;&gt;"))-($X136-$W136))),2))</f>
        <v/>
      </c>
      <c r="Q136" s="41" t="str">
        <f aca="false">IF($C136="","",ROUND(N($K136)-N($P136),2))</f>
        <v/>
      </c>
      <c r="R136" s="29" t="str">
        <f aca="false">IF($C136="","",YEAR($C136))</f>
        <v/>
      </c>
      <c r="S136" s="24"/>
      <c r="T136" s="35" t="str">
        <f aca="false">IF($C136="","",IF($D136="","★没选客户项目",IF(COUNTIF(合同键,$D136)=0,"★《维保合同》里没这个项目",IF(N($K136)&lt;=0,"★应收金额要填",IF(ROUND(N($N136)-N($K136),2)&gt;0.001,"★开票金额大于应收",IF(AND($L136&lt;&gt;"",N($N136)&lt;=0),"★填了开票日期没填开票金额",IF(AND($I136&lt;&gt;"",$J136&lt;&gt;"",$J136&lt;$I136),"★计费期间起止反了","OK")))))))</f>
        <v/>
      </c>
      <c r="U136" s="29" t="str">
        <f aca="false">IF($L136="","",YEAR($L136))</f>
        <v/>
      </c>
      <c r="V136" s="40" t="str">
        <f aca="false">IF($C136="","",ROUND(SUMIF(收款关联,$B136,收款金额),2))</f>
        <v/>
      </c>
      <c r="W136" s="40" t="str">
        <f aca="false">IF($C136="","",MAX(0,ROUND(N($K136)-N($V136),2)))</f>
        <v/>
      </c>
      <c r="X136" s="40" t="str">
        <f aca="false">IF($C136="","",ROUND(SUMIFS(应收净额,应收键,$D136,应收行号,"&lt;="&amp;ROW()),2))</f>
        <v/>
      </c>
      <c r="Y136" s="29" t="str">
        <f aca="false">IF($C136="","",ROW())</f>
        <v/>
      </c>
    </row>
    <row r="137" customFormat="false" ht="15" hidden="false" customHeight="false" outlineLevel="0" collapsed="false">
      <c r="A137" s="29" t="str">
        <f aca="false">IF($C137="","",ROW()-4)</f>
        <v/>
      </c>
      <c r="B137" s="35" t="str">
        <f aca="false">IF($C137="","","YS"&amp;TEXT($C137,"yyyymm")&amp;"-"&amp;TEXT(ROW()-4,"0000"))</f>
        <v/>
      </c>
      <c r="C137" s="33"/>
      <c r="D137" s="24"/>
      <c r="E137" s="30" t="str">
        <f aca="false">IF($D137="","",IFERROR(INDEX(合同单位,MATCH($D137,合同键,0)),IFERROR(TRIM(LEFT($D137,FIND("｜",$D137)-1)),$D137)))</f>
        <v/>
      </c>
      <c r="F137" s="30" t="str">
        <f aca="false">IF($D137="","",IFERROR(INDEX(合同项目,MATCH($D137,合同键,0)),IFERROR(TRIM(MID($D137,FIND("｜",$D137)+1,99)),"")))</f>
        <v/>
      </c>
      <c r="G137" s="24"/>
      <c r="H137" s="35" t="str">
        <f aca="false">IF($G137="","",IFERROR(INDEX(费用款别,MATCH($G137,费用类别表,0)),"合同外款"))</f>
        <v/>
      </c>
      <c r="I137" s="33"/>
      <c r="J137" s="33"/>
      <c r="K137" s="39"/>
      <c r="L137" s="33"/>
      <c r="M137" s="25"/>
      <c r="N137" s="39"/>
      <c r="O137" s="35" t="str">
        <f aca="false">IF($C137="","",IF(N($N137)&lt;=0,"未开票",IF(ROUND(N($N137)-N($K137),2)&gt;=0,"已开票",IFERROR("部分开票 "&amp;TEXT(N($N137)/N($K137),"0%"),"部分开票"))))</f>
        <v/>
      </c>
      <c r="P137" s="40" t="str">
        <f aca="false">IF($C137="","",ROUND($V137+MIN($W137,MAX(0,(SUMIF(收款键,$D137,收款金额)-SUMIFS(收款金额,收款键,$D137,收款关联,"&lt;&gt;"))-($X137-$W137))),2))</f>
        <v/>
      </c>
      <c r="Q137" s="41" t="str">
        <f aca="false">IF($C137="","",ROUND(N($K137)-N($P137),2))</f>
        <v/>
      </c>
      <c r="R137" s="29" t="str">
        <f aca="false">IF($C137="","",YEAR($C137))</f>
        <v/>
      </c>
      <c r="S137" s="24"/>
      <c r="T137" s="35" t="str">
        <f aca="false">IF($C137="","",IF($D137="","★没选客户项目",IF(COUNTIF(合同键,$D137)=0,"★《维保合同》里没这个项目",IF(N($K137)&lt;=0,"★应收金额要填",IF(ROUND(N($N137)-N($K137),2)&gt;0.001,"★开票金额大于应收",IF(AND($L137&lt;&gt;"",N($N137)&lt;=0),"★填了开票日期没填开票金额",IF(AND($I137&lt;&gt;"",$J137&lt;&gt;"",$J137&lt;$I137),"★计费期间起止反了","OK")))))))</f>
        <v/>
      </c>
      <c r="U137" s="29" t="str">
        <f aca="false">IF($L137="","",YEAR($L137))</f>
        <v/>
      </c>
      <c r="V137" s="40" t="str">
        <f aca="false">IF($C137="","",ROUND(SUMIF(收款关联,$B137,收款金额),2))</f>
        <v/>
      </c>
      <c r="W137" s="40" t="str">
        <f aca="false">IF($C137="","",MAX(0,ROUND(N($K137)-N($V137),2)))</f>
        <v/>
      </c>
      <c r="X137" s="40" t="str">
        <f aca="false">IF($C137="","",ROUND(SUMIFS(应收净额,应收键,$D137,应收行号,"&lt;="&amp;ROW()),2))</f>
        <v/>
      </c>
      <c r="Y137" s="29" t="str">
        <f aca="false">IF($C137="","",ROW())</f>
        <v/>
      </c>
    </row>
    <row r="138" customFormat="false" ht="15" hidden="false" customHeight="false" outlineLevel="0" collapsed="false">
      <c r="A138" s="29" t="str">
        <f aca="false">IF($C138="","",ROW()-4)</f>
        <v/>
      </c>
      <c r="B138" s="35" t="str">
        <f aca="false">IF($C138="","","YS"&amp;TEXT($C138,"yyyymm")&amp;"-"&amp;TEXT(ROW()-4,"0000"))</f>
        <v/>
      </c>
      <c r="C138" s="33"/>
      <c r="D138" s="24"/>
      <c r="E138" s="30" t="str">
        <f aca="false">IF($D138="","",IFERROR(INDEX(合同单位,MATCH($D138,合同键,0)),IFERROR(TRIM(LEFT($D138,FIND("｜",$D138)-1)),$D138)))</f>
        <v/>
      </c>
      <c r="F138" s="30" t="str">
        <f aca="false">IF($D138="","",IFERROR(INDEX(合同项目,MATCH($D138,合同键,0)),IFERROR(TRIM(MID($D138,FIND("｜",$D138)+1,99)),"")))</f>
        <v/>
      </c>
      <c r="G138" s="24"/>
      <c r="H138" s="35" t="str">
        <f aca="false">IF($G138="","",IFERROR(INDEX(费用款别,MATCH($G138,费用类别表,0)),"合同外款"))</f>
        <v/>
      </c>
      <c r="I138" s="33"/>
      <c r="J138" s="33"/>
      <c r="K138" s="39"/>
      <c r="L138" s="33"/>
      <c r="M138" s="25"/>
      <c r="N138" s="39"/>
      <c r="O138" s="35" t="str">
        <f aca="false">IF($C138="","",IF(N($N138)&lt;=0,"未开票",IF(ROUND(N($N138)-N($K138),2)&gt;=0,"已开票",IFERROR("部分开票 "&amp;TEXT(N($N138)/N($K138),"0%"),"部分开票"))))</f>
        <v/>
      </c>
      <c r="P138" s="40" t="str">
        <f aca="false">IF($C138="","",ROUND($V138+MIN($W138,MAX(0,(SUMIF(收款键,$D138,收款金额)-SUMIFS(收款金额,收款键,$D138,收款关联,"&lt;&gt;"))-($X138-$W138))),2))</f>
        <v/>
      </c>
      <c r="Q138" s="41" t="str">
        <f aca="false">IF($C138="","",ROUND(N($K138)-N($P138),2))</f>
        <v/>
      </c>
      <c r="R138" s="29" t="str">
        <f aca="false">IF($C138="","",YEAR($C138))</f>
        <v/>
      </c>
      <c r="S138" s="24"/>
      <c r="T138" s="35" t="str">
        <f aca="false">IF($C138="","",IF($D138="","★没选客户项目",IF(COUNTIF(合同键,$D138)=0,"★《维保合同》里没这个项目",IF(N($K138)&lt;=0,"★应收金额要填",IF(ROUND(N($N138)-N($K138),2)&gt;0.001,"★开票金额大于应收",IF(AND($L138&lt;&gt;"",N($N138)&lt;=0),"★填了开票日期没填开票金额",IF(AND($I138&lt;&gt;"",$J138&lt;&gt;"",$J138&lt;$I138),"★计费期间起止反了","OK")))))))</f>
        <v/>
      </c>
      <c r="U138" s="29" t="str">
        <f aca="false">IF($L138="","",YEAR($L138))</f>
        <v/>
      </c>
      <c r="V138" s="40" t="str">
        <f aca="false">IF($C138="","",ROUND(SUMIF(收款关联,$B138,收款金额),2))</f>
        <v/>
      </c>
      <c r="W138" s="40" t="str">
        <f aca="false">IF($C138="","",MAX(0,ROUND(N($K138)-N($V138),2)))</f>
        <v/>
      </c>
      <c r="X138" s="40" t="str">
        <f aca="false">IF($C138="","",ROUND(SUMIFS(应收净额,应收键,$D138,应收行号,"&lt;="&amp;ROW()),2))</f>
        <v/>
      </c>
      <c r="Y138" s="29" t="str">
        <f aca="false">IF($C138="","",ROW())</f>
        <v/>
      </c>
    </row>
    <row r="139" customFormat="false" ht="15" hidden="false" customHeight="false" outlineLevel="0" collapsed="false">
      <c r="A139" s="29" t="str">
        <f aca="false">IF($C139="","",ROW()-4)</f>
        <v/>
      </c>
      <c r="B139" s="35" t="str">
        <f aca="false">IF($C139="","","YS"&amp;TEXT($C139,"yyyymm")&amp;"-"&amp;TEXT(ROW()-4,"0000"))</f>
        <v/>
      </c>
      <c r="C139" s="33"/>
      <c r="D139" s="24"/>
      <c r="E139" s="30" t="str">
        <f aca="false">IF($D139="","",IFERROR(INDEX(合同单位,MATCH($D139,合同键,0)),IFERROR(TRIM(LEFT($D139,FIND("｜",$D139)-1)),$D139)))</f>
        <v/>
      </c>
      <c r="F139" s="30" t="str">
        <f aca="false">IF($D139="","",IFERROR(INDEX(合同项目,MATCH($D139,合同键,0)),IFERROR(TRIM(MID($D139,FIND("｜",$D139)+1,99)),"")))</f>
        <v/>
      </c>
      <c r="G139" s="24"/>
      <c r="H139" s="35" t="str">
        <f aca="false">IF($G139="","",IFERROR(INDEX(费用款别,MATCH($G139,费用类别表,0)),"合同外款"))</f>
        <v/>
      </c>
      <c r="I139" s="33"/>
      <c r="J139" s="33"/>
      <c r="K139" s="39"/>
      <c r="L139" s="33"/>
      <c r="M139" s="25"/>
      <c r="N139" s="39"/>
      <c r="O139" s="35" t="str">
        <f aca="false">IF($C139="","",IF(N($N139)&lt;=0,"未开票",IF(ROUND(N($N139)-N($K139),2)&gt;=0,"已开票",IFERROR("部分开票 "&amp;TEXT(N($N139)/N($K139),"0%"),"部分开票"))))</f>
        <v/>
      </c>
      <c r="P139" s="40" t="str">
        <f aca="false">IF($C139="","",ROUND($V139+MIN($W139,MAX(0,(SUMIF(收款键,$D139,收款金额)-SUMIFS(收款金额,收款键,$D139,收款关联,"&lt;&gt;"))-($X139-$W139))),2))</f>
        <v/>
      </c>
      <c r="Q139" s="41" t="str">
        <f aca="false">IF($C139="","",ROUND(N($K139)-N($P139),2))</f>
        <v/>
      </c>
      <c r="R139" s="29" t="str">
        <f aca="false">IF($C139="","",YEAR($C139))</f>
        <v/>
      </c>
      <c r="S139" s="24"/>
      <c r="T139" s="35" t="str">
        <f aca="false">IF($C139="","",IF($D139="","★没选客户项目",IF(COUNTIF(合同键,$D139)=0,"★《维保合同》里没这个项目",IF(N($K139)&lt;=0,"★应收金额要填",IF(ROUND(N($N139)-N($K139),2)&gt;0.001,"★开票金额大于应收",IF(AND($L139&lt;&gt;"",N($N139)&lt;=0),"★填了开票日期没填开票金额",IF(AND($I139&lt;&gt;"",$J139&lt;&gt;"",$J139&lt;$I139),"★计费期间起止反了","OK")))))))</f>
        <v/>
      </c>
      <c r="U139" s="29" t="str">
        <f aca="false">IF($L139="","",YEAR($L139))</f>
        <v/>
      </c>
      <c r="V139" s="40" t="str">
        <f aca="false">IF($C139="","",ROUND(SUMIF(收款关联,$B139,收款金额),2))</f>
        <v/>
      </c>
      <c r="W139" s="40" t="str">
        <f aca="false">IF($C139="","",MAX(0,ROUND(N($K139)-N($V139),2)))</f>
        <v/>
      </c>
      <c r="X139" s="40" t="str">
        <f aca="false">IF($C139="","",ROUND(SUMIFS(应收净额,应收键,$D139,应收行号,"&lt;="&amp;ROW()),2))</f>
        <v/>
      </c>
      <c r="Y139" s="29" t="str">
        <f aca="false">IF($C139="","",ROW())</f>
        <v/>
      </c>
    </row>
    <row r="140" customFormat="false" ht="15" hidden="false" customHeight="false" outlineLevel="0" collapsed="false">
      <c r="A140" s="29" t="str">
        <f aca="false">IF($C140="","",ROW()-4)</f>
        <v/>
      </c>
      <c r="B140" s="35" t="str">
        <f aca="false">IF($C140="","","YS"&amp;TEXT($C140,"yyyymm")&amp;"-"&amp;TEXT(ROW()-4,"0000"))</f>
        <v/>
      </c>
      <c r="C140" s="33"/>
      <c r="D140" s="24"/>
      <c r="E140" s="30" t="str">
        <f aca="false">IF($D140="","",IFERROR(INDEX(合同单位,MATCH($D140,合同键,0)),IFERROR(TRIM(LEFT($D140,FIND("｜",$D140)-1)),$D140)))</f>
        <v/>
      </c>
      <c r="F140" s="30" t="str">
        <f aca="false">IF($D140="","",IFERROR(INDEX(合同项目,MATCH($D140,合同键,0)),IFERROR(TRIM(MID($D140,FIND("｜",$D140)+1,99)),"")))</f>
        <v/>
      </c>
      <c r="G140" s="24"/>
      <c r="H140" s="35" t="str">
        <f aca="false">IF($G140="","",IFERROR(INDEX(费用款别,MATCH($G140,费用类别表,0)),"合同外款"))</f>
        <v/>
      </c>
      <c r="I140" s="33"/>
      <c r="J140" s="33"/>
      <c r="K140" s="39"/>
      <c r="L140" s="33"/>
      <c r="M140" s="25"/>
      <c r="N140" s="39"/>
      <c r="O140" s="35" t="str">
        <f aca="false">IF($C140="","",IF(N($N140)&lt;=0,"未开票",IF(ROUND(N($N140)-N($K140),2)&gt;=0,"已开票",IFERROR("部分开票 "&amp;TEXT(N($N140)/N($K140),"0%"),"部分开票"))))</f>
        <v/>
      </c>
      <c r="P140" s="40" t="str">
        <f aca="false">IF($C140="","",ROUND($V140+MIN($W140,MAX(0,(SUMIF(收款键,$D140,收款金额)-SUMIFS(收款金额,收款键,$D140,收款关联,"&lt;&gt;"))-($X140-$W140))),2))</f>
        <v/>
      </c>
      <c r="Q140" s="41" t="str">
        <f aca="false">IF($C140="","",ROUND(N($K140)-N($P140),2))</f>
        <v/>
      </c>
      <c r="R140" s="29" t="str">
        <f aca="false">IF($C140="","",YEAR($C140))</f>
        <v/>
      </c>
      <c r="S140" s="24"/>
      <c r="T140" s="35" t="str">
        <f aca="false">IF($C140="","",IF($D140="","★没选客户项目",IF(COUNTIF(合同键,$D140)=0,"★《维保合同》里没这个项目",IF(N($K140)&lt;=0,"★应收金额要填",IF(ROUND(N($N140)-N($K140),2)&gt;0.001,"★开票金额大于应收",IF(AND($L140&lt;&gt;"",N($N140)&lt;=0),"★填了开票日期没填开票金额",IF(AND($I140&lt;&gt;"",$J140&lt;&gt;"",$J140&lt;$I140),"★计费期间起止反了","OK")))))))</f>
        <v/>
      </c>
      <c r="U140" s="29" t="str">
        <f aca="false">IF($L140="","",YEAR($L140))</f>
        <v/>
      </c>
      <c r="V140" s="40" t="str">
        <f aca="false">IF($C140="","",ROUND(SUMIF(收款关联,$B140,收款金额),2))</f>
        <v/>
      </c>
      <c r="W140" s="40" t="str">
        <f aca="false">IF($C140="","",MAX(0,ROUND(N($K140)-N($V140),2)))</f>
        <v/>
      </c>
      <c r="X140" s="40" t="str">
        <f aca="false">IF($C140="","",ROUND(SUMIFS(应收净额,应收键,$D140,应收行号,"&lt;="&amp;ROW()),2))</f>
        <v/>
      </c>
      <c r="Y140" s="29" t="str">
        <f aca="false">IF($C140="","",ROW())</f>
        <v/>
      </c>
    </row>
    <row r="141" customFormat="false" ht="15" hidden="false" customHeight="false" outlineLevel="0" collapsed="false">
      <c r="A141" s="29" t="str">
        <f aca="false">IF($C141="","",ROW()-4)</f>
        <v/>
      </c>
      <c r="B141" s="35" t="str">
        <f aca="false">IF($C141="","","YS"&amp;TEXT($C141,"yyyymm")&amp;"-"&amp;TEXT(ROW()-4,"0000"))</f>
        <v/>
      </c>
      <c r="C141" s="33"/>
      <c r="D141" s="24"/>
      <c r="E141" s="30" t="str">
        <f aca="false">IF($D141="","",IFERROR(INDEX(合同单位,MATCH($D141,合同键,0)),IFERROR(TRIM(LEFT($D141,FIND("｜",$D141)-1)),$D141)))</f>
        <v/>
      </c>
      <c r="F141" s="30" t="str">
        <f aca="false">IF($D141="","",IFERROR(INDEX(合同项目,MATCH($D141,合同键,0)),IFERROR(TRIM(MID($D141,FIND("｜",$D141)+1,99)),"")))</f>
        <v/>
      </c>
      <c r="G141" s="24"/>
      <c r="H141" s="35" t="str">
        <f aca="false">IF($G141="","",IFERROR(INDEX(费用款别,MATCH($G141,费用类别表,0)),"合同外款"))</f>
        <v/>
      </c>
      <c r="I141" s="33"/>
      <c r="J141" s="33"/>
      <c r="K141" s="39"/>
      <c r="L141" s="33"/>
      <c r="M141" s="25"/>
      <c r="N141" s="39"/>
      <c r="O141" s="35" t="str">
        <f aca="false">IF($C141="","",IF(N($N141)&lt;=0,"未开票",IF(ROUND(N($N141)-N($K141),2)&gt;=0,"已开票",IFERROR("部分开票 "&amp;TEXT(N($N141)/N($K141),"0%"),"部分开票"))))</f>
        <v/>
      </c>
      <c r="P141" s="40" t="str">
        <f aca="false">IF($C141="","",ROUND($V141+MIN($W141,MAX(0,(SUMIF(收款键,$D141,收款金额)-SUMIFS(收款金额,收款键,$D141,收款关联,"&lt;&gt;"))-($X141-$W141))),2))</f>
        <v/>
      </c>
      <c r="Q141" s="41" t="str">
        <f aca="false">IF($C141="","",ROUND(N($K141)-N($P141),2))</f>
        <v/>
      </c>
      <c r="R141" s="29" t="str">
        <f aca="false">IF($C141="","",YEAR($C141))</f>
        <v/>
      </c>
      <c r="S141" s="24"/>
      <c r="T141" s="35" t="str">
        <f aca="false">IF($C141="","",IF($D141="","★没选客户项目",IF(COUNTIF(合同键,$D141)=0,"★《维保合同》里没这个项目",IF(N($K141)&lt;=0,"★应收金额要填",IF(ROUND(N($N141)-N($K141),2)&gt;0.001,"★开票金额大于应收",IF(AND($L141&lt;&gt;"",N($N141)&lt;=0),"★填了开票日期没填开票金额",IF(AND($I141&lt;&gt;"",$J141&lt;&gt;"",$J141&lt;$I141),"★计费期间起止反了","OK")))))))</f>
        <v/>
      </c>
      <c r="U141" s="29" t="str">
        <f aca="false">IF($L141="","",YEAR($L141))</f>
        <v/>
      </c>
      <c r="V141" s="40" t="str">
        <f aca="false">IF($C141="","",ROUND(SUMIF(收款关联,$B141,收款金额),2))</f>
        <v/>
      </c>
      <c r="W141" s="40" t="str">
        <f aca="false">IF($C141="","",MAX(0,ROUND(N($K141)-N($V141),2)))</f>
        <v/>
      </c>
      <c r="X141" s="40" t="str">
        <f aca="false">IF($C141="","",ROUND(SUMIFS(应收净额,应收键,$D141,应收行号,"&lt;="&amp;ROW()),2))</f>
        <v/>
      </c>
      <c r="Y141" s="29" t="str">
        <f aca="false">IF($C141="","",ROW())</f>
        <v/>
      </c>
    </row>
    <row r="142" customFormat="false" ht="15" hidden="false" customHeight="false" outlineLevel="0" collapsed="false">
      <c r="A142" s="29" t="str">
        <f aca="false">IF($C142="","",ROW()-4)</f>
        <v/>
      </c>
      <c r="B142" s="35" t="str">
        <f aca="false">IF($C142="","","YS"&amp;TEXT($C142,"yyyymm")&amp;"-"&amp;TEXT(ROW()-4,"0000"))</f>
        <v/>
      </c>
      <c r="C142" s="33"/>
      <c r="D142" s="24"/>
      <c r="E142" s="30" t="str">
        <f aca="false">IF($D142="","",IFERROR(INDEX(合同单位,MATCH($D142,合同键,0)),IFERROR(TRIM(LEFT($D142,FIND("｜",$D142)-1)),$D142)))</f>
        <v/>
      </c>
      <c r="F142" s="30" t="str">
        <f aca="false">IF($D142="","",IFERROR(INDEX(合同项目,MATCH($D142,合同键,0)),IFERROR(TRIM(MID($D142,FIND("｜",$D142)+1,99)),"")))</f>
        <v/>
      </c>
      <c r="G142" s="24"/>
      <c r="H142" s="35" t="str">
        <f aca="false">IF($G142="","",IFERROR(INDEX(费用款别,MATCH($G142,费用类别表,0)),"合同外款"))</f>
        <v/>
      </c>
      <c r="I142" s="33"/>
      <c r="J142" s="33"/>
      <c r="K142" s="39"/>
      <c r="L142" s="33"/>
      <c r="M142" s="25"/>
      <c r="N142" s="39"/>
      <c r="O142" s="35" t="str">
        <f aca="false">IF($C142="","",IF(N($N142)&lt;=0,"未开票",IF(ROUND(N($N142)-N($K142),2)&gt;=0,"已开票",IFERROR("部分开票 "&amp;TEXT(N($N142)/N($K142),"0%"),"部分开票"))))</f>
        <v/>
      </c>
      <c r="P142" s="40" t="str">
        <f aca="false">IF($C142="","",ROUND($V142+MIN($W142,MAX(0,(SUMIF(收款键,$D142,收款金额)-SUMIFS(收款金额,收款键,$D142,收款关联,"&lt;&gt;"))-($X142-$W142))),2))</f>
        <v/>
      </c>
      <c r="Q142" s="41" t="str">
        <f aca="false">IF($C142="","",ROUND(N($K142)-N($P142),2))</f>
        <v/>
      </c>
      <c r="R142" s="29" t="str">
        <f aca="false">IF($C142="","",YEAR($C142))</f>
        <v/>
      </c>
      <c r="S142" s="24"/>
      <c r="T142" s="35" t="str">
        <f aca="false">IF($C142="","",IF($D142="","★没选客户项目",IF(COUNTIF(合同键,$D142)=0,"★《维保合同》里没这个项目",IF(N($K142)&lt;=0,"★应收金额要填",IF(ROUND(N($N142)-N($K142),2)&gt;0.001,"★开票金额大于应收",IF(AND($L142&lt;&gt;"",N($N142)&lt;=0),"★填了开票日期没填开票金额",IF(AND($I142&lt;&gt;"",$J142&lt;&gt;"",$J142&lt;$I142),"★计费期间起止反了","OK")))))))</f>
        <v/>
      </c>
      <c r="U142" s="29" t="str">
        <f aca="false">IF($L142="","",YEAR($L142))</f>
        <v/>
      </c>
      <c r="V142" s="40" t="str">
        <f aca="false">IF($C142="","",ROUND(SUMIF(收款关联,$B142,收款金额),2))</f>
        <v/>
      </c>
      <c r="W142" s="40" t="str">
        <f aca="false">IF($C142="","",MAX(0,ROUND(N($K142)-N($V142),2)))</f>
        <v/>
      </c>
      <c r="X142" s="40" t="str">
        <f aca="false">IF($C142="","",ROUND(SUMIFS(应收净额,应收键,$D142,应收行号,"&lt;="&amp;ROW()),2))</f>
        <v/>
      </c>
      <c r="Y142" s="29" t="str">
        <f aca="false">IF($C142="","",ROW())</f>
        <v/>
      </c>
    </row>
    <row r="143" customFormat="false" ht="15" hidden="false" customHeight="false" outlineLevel="0" collapsed="false">
      <c r="A143" s="29" t="str">
        <f aca="false">IF($C143="","",ROW()-4)</f>
        <v/>
      </c>
      <c r="B143" s="35" t="str">
        <f aca="false">IF($C143="","","YS"&amp;TEXT($C143,"yyyymm")&amp;"-"&amp;TEXT(ROW()-4,"0000"))</f>
        <v/>
      </c>
      <c r="C143" s="33"/>
      <c r="D143" s="24"/>
      <c r="E143" s="30" t="str">
        <f aca="false">IF($D143="","",IFERROR(INDEX(合同单位,MATCH($D143,合同键,0)),IFERROR(TRIM(LEFT($D143,FIND("｜",$D143)-1)),$D143)))</f>
        <v/>
      </c>
      <c r="F143" s="30" t="str">
        <f aca="false">IF($D143="","",IFERROR(INDEX(合同项目,MATCH($D143,合同键,0)),IFERROR(TRIM(MID($D143,FIND("｜",$D143)+1,99)),"")))</f>
        <v/>
      </c>
      <c r="G143" s="24"/>
      <c r="H143" s="35" t="str">
        <f aca="false">IF($G143="","",IFERROR(INDEX(费用款别,MATCH($G143,费用类别表,0)),"合同外款"))</f>
        <v/>
      </c>
      <c r="I143" s="33"/>
      <c r="J143" s="33"/>
      <c r="K143" s="39"/>
      <c r="L143" s="33"/>
      <c r="M143" s="25"/>
      <c r="N143" s="39"/>
      <c r="O143" s="35" t="str">
        <f aca="false">IF($C143="","",IF(N($N143)&lt;=0,"未开票",IF(ROUND(N($N143)-N($K143),2)&gt;=0,"已开票",IFERROR("部分开票 "&amp;TEXT(N($N143)/N($K143),"0%"),"部分开票"))))</f>
        <v/>
      </c>
      <c r="P143" s="40" t="str">
        <f aca="false">IF($C143="","",ROUND($V143+MIN($W143,MAX(0,(SUMIF(收款键,$D143,收款金额)-SUMIFS(收款金额,收款键,$D143,收款关联,"&lt;&gt;"))-($X143-$W143))),2))</f>
        <v/>
      </c>
      <c r="Q143" s="41" t="str">
        <f aca="false">IF($C143="","",ROUND(N($K143)-N($P143),2))</f>
        <v/>
      </c>
      <c r="R143" s="29" t="str">
        <f aca="false">IF($C143="","",YEAR($C143))</f>
        <v/>
      </c>
      <c r="S143" s="24"/>
      <c r="T143" s="35" t="str">
        <f aca="false">IF($C143="","",IF($D143="","★没选客户项目",IF(COUNTIF(合同键,$D143)=0,"★《维保合同》里没这个项目",IF(N($K143)&lt;=0,"★应收金额要填",IF(ROUND(N($N143)-N($K143),2)&gt;0.001,"★开票金额大于应收",IF(AND($L143&lt;&gt;"",N($N143)&lt;=0),"★填了开票日期没填开票金额",IF(AND($I143&lt;&gt;"",$J143&lt;&gt;"",$J143&lt;$I143),"★计费期间起止反了","OK")))))))</f>
        <v/>
      </c>
      <c r="U143" s="29" t="str">
        <f aca="false">IF($L143="","",YEAR($L143))</f>
        <v/>
      </c>
      <c r="V143" s="40" t="str">
        <f aca="false">IF($C143="","",ROUND(SUMIF(收款关联,$B143,收款金额),2))</f>
        <v/>
      </c>
      <c r="W143" s="40" t="str">
        <f aca="false">IF($C143="","",MAX(0,ROUND(N($K143)-N($V143),2)))</f>
        <v/>
      </c>
      <c r="X143" s="40" t="str">
        <f aca="false">IF($C143="","",ROUND(SUMIFS(应收净额,应收键,$D143,应收行号,"&lt;="&amp;ROW()),2))</f>
        <v/>
      </c>
      <c r="Y143" s="29" t="str">
        <f aca="false">IF($C143="","",ROW())</f>
        <v/>
      </c>
    </row>
    <row r="144" customFormat="false" ht="15" hidden="false" customHeight="false" outlineLevel="0" collapsed="false">
      <c r="A144" s="29" t="str">
        <f aca="false">IF($C144="","",ROW()-4)</f>
        <v/>
      </c>
      <c r="B144" s="35" t="str">
        <f aca="false">IF($C144="","","YS"&amp;TEXT($C144,"yyyymm")&amp;"-"&amp;TEXT(ROW()-4,"0000"))</f>
        <v/>
      </c>
      <c r="C144" s="33"/>
      <c r="D144" s="24"/>
      <c r="E144" s="30" t="str">
        <f aca="false">IF($D144="","",IFERROR(INDEX(合同单位,MATCH($D144,合同键,0)),IFERROR(TRIM(LEFT($D144,FIND("｜",$D144)-1)),$D144)))</f>
        <v/>
      </c>
      <c r="F144" s="30" t="str">
        <f aca="false">IF($D144="","",IFERROR(INDEX(合同项目,MATCH($D144,合同键,0)),IFERROR(TRIM(MID($D144,FIND("｜",$D144)+1,99)),"")))</f>
        <v/>
      </c>
      <c r="G144" s="24"/>
      <c r="H144" s="35" t="str">
        <f aca="false">IF($G144="","",IFERROR(INDEX(费用款别,MATCH($G144,费用类别表,0)),"合同外款"))</f>
        <v/>
      </c>
      <c r="I144" s="33"/>
      <c r="J144" s="33"/>
      <c r="K144" s="39"/>
      <c r="L144" s="33"/>
      <c r="M144" s="25"/>
      <c r="N144" s="39"/>
      <c r="O144" s="35" t="str">
        <f aca="false">IF($C144="","",IF(N($N144)&lt;=0,"未开票",IF(ROUND(N($N144)-N($K144),2)&gt;=0,"已开票",IFERROR("部分开票 "&amp;TEXT(N($N144)/N($K144),"0%"),"部分开票"))))</f>
        <v/>
      </c>
      <c r="P144" s="40" t="str">
        <f aca="false">IF($C144="","",ROUND($V144+MIN($W144,MAX(0,(SUMIF(收款键,$D144,收款金额)-SUMIFS(收款金额,收款键,$D144,收款关联,"&lt;&gt;"))-($X144-$W144))),2))</f>
        <v/>
      </c>
      <c r="Q144" s="41" t="str">
        <f aca="false">IF($C144="","",ROUND(N($K144)-N($P144),2))</f>
        <v/>
      </c>
      <c r="R144" s="29" t="str">
        <f aca="false">IF($C144="","",YEAR($C144))</f>
        <v/>
      </c>
      <c r="S144" s="24"/>
      <c r="T144" s="35" t="str">
        <f aca="false">IF($C144="","",IF($D144="","★没选客户项目",IF(COUNTIF(合同键,$D144)=0,"★《维保合同》里没这个项目",IF(N($K144)&lt;=0,"★应收金额要填",IF(ROUND(N($N144)-N($K144),2)&gt;0.001,"★开票金额大于应收",IF(AND($L144&lt;&gt;"",N($N144)&lt;=0),"★填了开票日期没填开票金额",IF(AND($I144&lt;&gt;"",$J144&lt;&gt;"",$J144&lt;$I144),"★计费期间起止反了","OK")))))))</f>
        <v/>
      </c>
      <c r="U144" s="29" t="str">
        <f aca="false">IF($L144="","",YEAR($L144))</f>
        <v/>
      </c>
      <c r="V144" s="40" t="str">
        <f aca="false">IF($C144="","",ROUND(SUMIF(收款关联,$B144,收款金额),2))</f>
        <v/>
      </c>
      <c r="W144" s="40" t="str">
        <f aca="false">IF($C144="","",MAX(0,ROUND(N($K144)-N($V144),2)))</f>
        <v/>
      </c>
      <c r="X144" s="40" t="str">
        <f aca="false">IF($C144="","",ROUND(SUMIFS(应收净额,应收键,$D144,应收行号,"&lt;="&amp;ROW()),2))</f>
        <v/>
      </c>
      <c r="Y144" s="29" t="str">
        <f aca="false">IF($C144="","",ROW())</f>
        <v/>
      </c>
    </row>
    <row r="145" customFormat="false" ht="15" hidden="false" customHeight="false" outlineLevel="0" collapsed="false">
      <c r="A145" s="29" t="str">
        <f aca="false">IF($C145="","",ROW()-4)</f>
        <v/>
      </c>
      <c r="B145" s="35" t="str">
        <f aca="false">IF($C145="","","YS"&amp;TEXT($C145,"yyyymm")&amp;"-"&amp;TEXT(ROW()-4,"0000"))</f>
        <v/>
      </c>
      <c r="C145" s="33"/>
      <c r="D145" s="24"/>
      <c r="E145" s="30" t="str">
        <f aca="false">IF($D145="","",IFERROR(INDEX(合同单位,MATCH($D145,合同键,0)),IFERROR(TRIM(LEFT($D145,FIND("｜",$D145)-1)),$D145)))</f>
        <v/>
      </c>
      <c r="F145" s="30" t="str">
        <f aca="false">IF($D145="","",IFERROR(INDEX(合同项目,MATCH($D145,合同键,0)),IFERROR(TRIM(MID($D145,FIND("｜",$D145)+1,99)),"")))</f>
        <v/>
      </c>
      <c r="G145" s="24"/>
      <c r="H145" s="35" t="str">
        <f aca="false">IF($G145="","",IFERROR(INDEX(费用款别,MATCH($G145,费用类别表,0)),"合同外款"))</f>
        <v/>
      </c>
      <c r="I145" s="33"/>
      <c r="J145" s="33"/>
      <c r="K145" s="39"/>
      <c r="L145" s="33"/>
      <c r="M145" s="25"/>
      <c r="N145" s="39"/>
      <c r="O145" s="35" t="str">
        <f aca="false">IF($C145="","",IF(N($N145)&lt;=0,"未开票",IF(ROUND(N($N145)-N($K145),2)&gt;=0,"已开票",IFERROR("部分开票 "&amp;TEXT(N($N145)/N($K145),"0%"),"部分开票"))))</f>
        <v/>
      </c>
      <c r="P145" s="40" t="str">
        <f aca="false">IF($C145="","",ROUND($V145+MIN($W145,MAX(0,(SUMIF(收款键,$D145,收款金额)-SUMIFS(收款金额,收款键,$D145,收款关联,"&lt;&gt;"))-($X145-$W145))),2))</f>
        <v/>
      </c>
      <c r="Q145" s="41" t="str">
        <f aca="false">IF($C145="","",ROUND(N($K145)-N($P145),2))</f>
        <v/>
      </c>
      <c r="R145" s="29" t="str">
        <f aca="false">IF($C145="","",YEAR($C145))</f>
        <v/>
      </c>
      <c r="S145" s="24"/>
      <c r="T145" s="35" t="str">
        <f aca="false">IF($C145="","",IF($D145="","★没选客户项目",IF(COUNTIF(合同键,$D145)=0,"★《维保合同》里没这个项目",IF(N($K145)&lt;=0,"★应收金额要填",IF(ROUND(N($N145)-N($K145),2)&gt;0.001,"★开票金额大于应收",IF(AND($L145&lt;&gt;"",N($N145)&lt;=0),"★填了开票日期没填开票金额",IF(AND($I145&lt;&gt;"",$J145&lt;&gt;"",$J145&lt;$I145),"★计费期间起止反了","OK")))))))</f>
        <v/>
      </c>
      <c r="U145" s="29" t="str">
        <f aca="false">IF($L145="","",YEAR($L145))</f>
        <v/>
      </c>
      <c r="V145" s="40" t="str">
        <f aca="false">IF($C145="","",ROUND(SUMIF(收款关联,$B145,收款金额),2))</f>
        <v/>
      </c>
      <c r="W145" s="40" t="str">
        <f aca="false">IF($C145="","",MAX(0,ROUND(N($K145)-N($V145),2)))</f>
        <v/>
      </c>
      <c r="X145" s="40" t="str">
        <f aca="false">IF($C145="","",ROUND(SUMIFS(应收净额,应收键,$D145,应收行号,"&lt;="&amp;ROW()),2))</f>
        <v/>
      </c>
      <c r="Y145" s="29" t="str">
        <f aca="false">IF($C145="","",ROW())</f>
        <v/>
      </c>
    </row>
    <row r="146" customFormat="false" ht="15" hidden="false" customHeight="false" outlineLevel="0" collapsed="false">
      <c r="A146" s="29" t="str">
        <f aca="false">IF($C146="","",ROW()-4)</f>
        <v/>
      </c>
      <c r="B146" s="35" t="str">
        <f aca="false">IF($C146="","","YS"&amp;TEXT($C146,"yyyymm")&amp;"-"&amp;TEXT(ROW()-4,"0000"))</f>
        <v/>
      </c>
      <c r="C146" s="33"/>
      <c r="D146" s="24"/>
      <c r="E146" s="30" t="str">
        <f aca="false">IF($D146="","",IFERROR(INDEX(合同单位,MATCH($D146,合同键,0)),IFERROR(TRIM(LEFT($D146,FIND("｜",$D146)-1)),$D146)))</f>
        <v/>
      </c>
      <c r="F146" s="30" t="str">
        <f aca="false">IF($D146="","",IFERROR(INDEX(合同项目,MATCH($D146,合同键,0)),IFERROR(TRIM(MID($D146,FIND("｜",$D146)+1,99)),"")))</f>
        <v/>
      </c>
      <c r="G146" s="24"/>
      <c r="H146" s="35" t="str">
        <f aca="false">IF($G146="","",IFERROR(INDEX(费用款别,MATCH($G146,费用类别表,0)),"合同外款"))</f>
        <v/>
      </c>
      <c r="I146" s="33"/>
      <c r="J146" s="33"/>
      <c r="K146" s="39"/>
      <c r="L146" s="33"/>
      <c r="M146" s="25"/>
      <c r="N146" s="39"/>
      <c r="O146" s="35" t="str">
        <f aca="false">IF($C146="","",IF(N($N146)&lt;=0,"未开票",IF(ROUND(N($N146)-N($K146),2)&gt;=0,"已开票",IFERROR("部分开票 "&amp;TEXT(N($N146)/N($K146),"0%"),"部分开票"))))</f>
        <v/>
      </c>
      <c r="P146" s="40" t="str">
        <f aca="false">IF($C146="","",ROUND($V146+MIN($W146,MAX(0,(SUMIF(收款键,$D146,收款金额)-SUMIFS(收款金额,收款键,$D146,收款关联,"&lt;&gt;"))-($X146-$W146))),2))</f>
        <v/>
      </c>
      <c r="Q146" s="41" t="str">
        <f aca="false">IF($C146="","",ROUND(N($K146)-N($P146),2))</f>
        <v/>
      </c>
      <c r="R146" s="29" t="str">
        <f aca="false">IF($C146="","",YEAR($C146))</f>
        <v/>
      </c>
      <c r="S146" s="24"/>
      <c r="T146" s="35" t="str">
        <f aca="false">IF($C146="","",IF($D146="","★没选客户项目",IF(COUNTIF(合同键,$D146)=0,"★《维保合同》里没这个项目",IF(N($K146)&lt;=0,"★应收金额要填",IF(ROUND(N($N146)-N($K146),2)&gt;0.001,"★开票金额大于应收",IF(AND($L146&lt;&gt;"",N($N146)&lt;=0),"★填了开票日期没填开票金额",IF(AND($I146&lt;&gt;"",$J146&lt;&gt;"",$J146&lt;$I146),"★计费期间起止反了","OK")))))))</f>
        <v/>
      </c>
      <c r="U146" s="29" t="str">
        <f aca="false">IF($L146="","",YEAR($L146))</f>
        <v/>
      </c>
      <c r="V146" s="40" t="str">
        <f aca="false">IF($C146="","",ROUND(SUMIF(收款关联,$B146,收款金额),2))</f>
        <v/>
      </c>
      <c r="W146" s="40" t="str">
        <f aca="false">IF($C146="","",MAX(0,ROUND(N($K146)-N($V146),2)))</f>
        <v/>
      </c>
      <c r="X146" s="40" t="str">
        <f aca="false">IF($C146="","",ROUND(SUMIFS(应收净额,应收键,$D146,应收行号,"&lt;="&amp;ROW()),2))</f>
        <v/>
      </c>
      <c r="Y146" s="29" t="str">
        <f aca="false">IF($C146="","",ROW())</f>
        <v/>
      </c>
    </row>
    <row r="147" customFormat="false" ht="15" hidden="false" customHeight="false" outlineLevel="0" collapsed="false">
      <c r="A147" s="29" t="str">
        <f aca="false">IF($C147="","",ROW()-4)</f>
        <v/>
      </c>
      <c r="B147" s="35" t="str">
        <f aca="false">IF($C147="","","YS"&amp;TEXT($C147,"yyyymm")&amp;"-"&amp;TEXT(ROW()-4,"0000"))</f>
        <v/>
      </c>
      <c r="C147" s="33"/>
      <c r="D147" s="24"/>
      <c r="E147" s="30" t="str">
        <f aca="false">IF($D147="","",IFERROR(INDEX(合同单位,MATCH($D147,合同键,0)),IFERROR(TRIM(LEFT($D147,FIND("｜",$D147)-1)),$D147)))</f>
        <v/>
      </c>
      <c r="F147" s="30" t="str">
        <f aca="false">IF($D147="","",IFERROR(INDEX(合同项目,MATCH($D147,合同键,0)),IFERROR(TRIM(MID($D147,FIND("｜",$D147)+1,99)),"")))</f>
        <v/>
      </c>
      <c r="G147" s="24"/>
      <c r="H147" s="35" t="str">
        <f aca="false">IF($G147="","",IFERROR(INDEX(费用款别,MATCH($G147,费用类别表,0)),"合同外款"))</f>
        <v/>
      </c>
      <c r="I147" s="33"/>
      <c r="J147" s="33"/>
      <c r="K147" s="39"/>
      <c r="L147" s="33"/>
      <c r="M147" s="25"/>
      <c r="N147" s="39"/>
      <c r="O147" s="35" t="str">
        <f aca="false">IF($C147="","",IF(N($N147)&lt;=0,"未开票",IF(ROUND(N($N147)-N($K147),2)&gt;=0,"已开票",IFERROR("部分开票 "&amp;TEXT(N($N147)/N($K147),"0%"),"部分开票"))))</f>
        <v/>
      </c>
      <c r="P147" s="40" t="str">
        <f aca="false">IF($C147="","",ROUND($V147+MIN($W147,MAX(0,(SUMIF(收款键,$D147,收款金额)-SUMIFS(收款金额,收款键,$D147,收款关联,"&lt;&gt;"))-($X147-$W147))),2))</f>
        <v/>
      </c>
      <c r="Q147" s="41" t="str">
        <f aca="false">IF($C147="","",ROUND(N($K147)-N($P147),2))</f>
        <v/>
      </c>
      <c r="R147" s="29" t="str">
        <f aca="false">IF($C147="","",YEAR($C147))</f>
        <v/>
      </c>
      <c r="S147" s="24"/>
      <c r="T147" s="35" t="str">
        <f aca="false">IF($C147="","",IF($D147="","★没选客户项目",IF(COUNTIF(合同键,$D147)=0,"★《维保合同》里没这个项目",IF(N($K147)&lt;=0,"★应收金额要填",IF(ROUND(N($N147)-N($K147),2)&gt;0.001,"★开票金额大于应收",IF(AND($L147&lt;&gt;"",N($N147)&lt;=0),"★填了开票日期没填开票金额",IF(AND($I147&lt;&gt;"",$J147&lt;&gt;"",$J147&lt;$I147),"★计费期间起止反了","OK")))))))</f>
        <v/>
      </c>
      <c r="U147" s="29" t="str">
        <f aca="false">IF($L147="","",YEAR($L147))</f>
        <v/>
      </c>
      <c r="V147" s="40" t="str">
        <f aca="false">IF($C147="","",ROUND(SUMIF(收款关联,$B147,收款金额),2))</f>
        <v/>
      </c>
      <c r="W147" s="40" t="str">
        <f aca="false">IF($C147="","",MAX(0,ROUND(N($K147)-N($V147),2)))</f>
        <v/>
      </c>
      <c r="X147" s="40" t="str">
        <f aca="false">IF($C147="","",ROUND(SUMIFS(应收净额,应收键,$D147,应收行号,"&lt;="&amp;ROW()),2))</f>
        <v/>
      </c>
      <c r="Y147" s="29" t="str">
        <f aca="false">IF($C147="","",ROW())</f>
        <v/>
      </c>
    </row>
    <row r="148" customFormat="false" ht="15" hidden="false" customHeight="false" outlineLevel="0" collapsed="false">
      <c r="A148" s="29" t="str">
        <f aca="false">IF($C148="","",ROW()-4)</f>
        <v/>
      </c>
      <c r="B148" s="35" t="str">
        <f aca="false">IF($C148="","","YS"&amp;TEXT($C148,"yyyymm")&amp;"-"&amp;TEXT(ROW()-4,"0000"))</f>
        <v/>
      </c>
      <c r="C148" s="33"/>
      <c r="D148" s="24"/>
      <c r="E148" s="30" t="str">
        <f aca="false">IF($D148="","",IFERROR(INDEX(合同单位,MATCH($D148,合同键,0)),IFERROR(TRIM(LEFT($D148,FIND("｜",$D148)-1)),$D148)))</f>
        <v/>
      </c>
      <c r="F148" s="30" t="str">
        <f aca="false">IF($D148="","",IFERROR(INDEX(合同项目,MATCH($D148,合同键,0)),IFERROR(TRIM(MID($D148,FIND("｜",$D148)+1,99)),"")))</f>
        <v/>
      </c>
      <c r="G148" s="24"/>
      <c r="H148" s="35" t="str">
        <f aca="false">IF($G148="","",IFERROR(INDEX(费用款别,MATCH($G148,费用类别表,0)),"合同外款"))</f>
        <v/>
      </c>
      <c r="I148" s="33"/>
      <c r="J148" s="33"/>
      <c r="K148" s="39"/>
      <c r="L148" s="33"/>
      <c r="M148" s="25"/>
      <c r="N148" s="39"/>
      <c r="O148" s="35" t="str">
        <f aca="false">IF($C148="","",IF(N($N148)&lt;=0,"未开票",IF(ROUND(N($N148)-N($K148),2)&gt;=0,"已开票",IFERROR("部分开票 "&amp;TEXT(N($N148)/N($K148),"0%"),"部分开票"))))</f>
        <v/>
      </c>
      <c r="P148" s="40" t="str">
        <f aca="false">IF($C148="","",ROUND($V148+MIN($W148,MAX(0,(SUMIF(收款键,$D148,收款金额)-SUMIFS(收款金额,收款键,$D148,收款关联,"&lt;&gt;"))-($X148-$W148))),2))</f>
        <v/>
      </c>
      <c r="Q148" s="41" t="str">
        <f aca="false">IF($C148="","",ROUND(N($K148)-N($P148),2))</f>
        <v/>
      </c>
      <c r="R148" s="29" t="str">
        <f aca="false">IF($C148="","",YEAR($C148))</f>
        <v/>
      </c>
      <c r="S148" s="24"/>
      <c r="T148" s="35" t="str">
        <f aca="false">IF($C148="","",IF($D148="","★没选客户项目",IF(COUNTIF(合同键,$D148)=0,"★《维保合同》里没这个项目",IF(N($K148)&lt;=0,"★应收金额要填",IF(ROUND(N($N148)-N($K148),2)&gt;0.001,"★开票金额大于应收",IF(AND($L148&lt;&gt;"",N($N148)&lt;=0),"★填了开票日期没填开票金额",IF(AND($I148&lt;&gt;"",$J148&lt;&gt;"",$J148&lt;$I148),"★计费期间起止反了","OK")))))))</f>
        <v/>
      </c>
      <c r="U148" s="29" t="str">
        <f aca="false">IF($L148="","",YEAR($L148))</f>
        <v/>
      </c>
      <c r="V148" s="40" t="str">
        <f aca="false">IF($C148="","",ROUND(SUMIF(收款关联,$B148,收款金额),2))</f>
        <v/>
      </c>
      <c r="W148" s="40" t="str">
        <f aca="false">IF($C148="","",MAX(0,ROUND(N($K148)-N($V148),2)))</f>
        <v/>
      </c>
      <c r="X148" s="40" t="str">
        <f aca="false">IF($C148="","",ROUND(SUMIFS(应收净额,应收键,$D148,应收行号,"&lt;="&amp;ROW()),2))</f>
        <v/>
      </c>
      <c r="Y148" s="29" t="str">
        <f aca="false">IF($C148="","",ROW())</f>
        <v/>
      </c>
    </row>
    <row r="149" customFormat="false" ht="15" hidden="false" customHeight="false" outlineLevel="0" collapsed="false">
      <c r="A149" s="29" t="str">
        <f aca="false">IF($C149="","",ROW()-4)</f>
        <v/>
      </c>
      <c r="B149" s="35" t="str">
        <f aca="false">IF($C149="","","YS"&amp;TEXT($C149,"yyyymm")&amp;"-"&amp;TEXT(ROW()-4,"0000"))</f>
        <v/>
      </c>
      <c r="C149" s="33"/>
      <c r="D149" s="24"/>
      <c r="E149" s="30" t="str">
        <f aca="false">IF($D149="","",IFERROR(INDEX(合同单位,MATCH($D149,合同键,0)),IFERROR(TRIM(LEFT($D149,FIND("｜",$D149)-1)),$D149)))</f>
        <v/>
      </c>
      <c r="F149" s="30" t="str">
        <f aca="false">IF($D149="","",IFERROR(INDEX(合同项目,MATCH($D149,合同键,0)),IFERROR(TRIM(MID($D149,FIND("｜",$D149)+1,99)),"")))</f>
        <v/>
      </c>
      <c r="G149" s="24"/>
      <c r="H149" s="35" t="str">
        <f aca="false">IF($G149="","",IFERROR(INDEX(费用款别,MATCH($G149,费用类别表,0)),"合同外款"))</f>
        <v/>
      </c>
      <c r="I149" s="33"/>
      <c r="J149" s="33"/>
      <c r="K149" s="39"/>
      <c r="L149" s="33"/>
      <c r="M149" s="25"/>
      <c r="N149" s="39"/>
      <c r="O149" s="35" t="str">
        <f aca="false">IF($C149="","",IF(N($N149)&lt;=0,"未开票",IF(ROUND(N($N149)-N($K149),2)&gt;=0,"已开票",IFERROR("部分开票 "&amp;TEXT(N($N149)/N($K149),"0%"),"部分开票"))))</f>
        <v/>
      </c>
      <c r="P149" s="40" t="str">
        <f aca="false">IF($C149="","",ROUND($V149+MIN($W149,MAX(0,(SUMIF(收款键,$D149,收款金额)-SUMIFS(收款金额,收款键,$D149,收款关联,"&lt;&gt;"))-($X149-$W149))),2))</f>
        <v/>
      </c>
      <c r="Q149" s="41" t="str">
        <f aca="false">IF($C149="","",ROUND(N($K149)-N($P149),2))</f>
        <v/>
      </c>
      <c r="R149" s="29" t="str">
        <f aca="false">IF($C149="","",YEAR($C149))</f>
        <v/>
      </c>
      <c r="S149" s="24"/>
      <c r="T149" s="35" t="str">
        <f aca="false">IF($C149="","",IF($D149="","★没选客户项目",IF(COUNTIF(合同键,$D149)=0,"★《维保合同》里没这个项目",IF(N($K149)&lt;=0,"★应收金额要填",IF(ROUND(N($N149)-N($K149),2)&gt;0.001,"★开票金额大于应收",IF(AND($L149&lt;&gt;"",N($N149)&lt;=0),"★填了开票日期没填开票金额",IF(AND($I149&lt;&gt;"",$J149&lt;&gt;"",$J149&lt;$I149),"★计费期间起止反了","OK")))))))</f>
        <v/>
      </c>
      <c r="U149" s="29" t="str">
        <f aca="false">IF($L149="","",YEAR($L149))</f>
        <v/>
      </c>
      <c r="V149" s="40" t="str">
        <f aca="false">IF($C149="","",ROUND(SUMIF(收款关联,$B149,收款金额),2))</f>
        <v/>
      </c>
      <c r="W149" s="40" t="str">
        <f aca="false">IF($C149="","",MAX(0,ROUND(N($K149)-N($V149),2)))</f>
        <v/>
      </c>
      <c r="X149" s="40" t="str">
        <f aca="false">IF($C149="","",ROUND(SUMIFS(应收净额,应收键,$D149,应收行号,"&lt;="&amp;ROW()),2))</f>
        <v/>
      </c>
      <c r="Y149" s="29" t="str">
        <f aca="false">IF($C149="","",ROW())</f>
        <v/>
      </c>
    </row>
    <row r="150" customFormat="false" ht="15" hidden="false" customHeight="false" outlineLevel="0" collapsed="false">
      <c r="A150" s="29" t="str">
        <f aca="false">IF($C150="","",ROW()-4)</f>
        <v/>
      </c>
      <c r="B150" s="35" t="str">
        <f aca="false">IF($C150="","","YS"&amp;TEXT($C150,"yyyymm")&amp;"-"&amp;TEXT(ROW()-4,"0000"))</f>
        <v/>
      </c>
      <c r="C150" s="33"/>
      <c r="D150" s="24"/>
      <c r="E150" s="30" t="str">
        <f aca="false">IF($D150="","",IFERROR(INDEX(合同单位,MATCH($D150,合同键,0)),IFERROR(TRIM(LEFT($D150,FIND("｜",$D150)-1)),$D150)))</f>
        <v/>
      </c>
      <c r="F150" s="30" t="str">
        <f aca="false">IF($D150="","",IFERROR(INDEX(合同项目,MATCH($D150,合同键,0)),IFERROR(TRIM(MID($D150,FIND("｜",$D150)+1,99)),"")))</f>
        <v/>
      </c>
      <c r="G150" s="24"/>
      <c r="H150" s="35" t="str">
        <f aca="false">IF($G150="","",IFERROR(INDEX(费用款别,MATCH($G150,费用类别表,0)),"合同外款"))</f>
        <v/>
      </c>
      <c r="I150" s="33"/>
      <c r="J150" s="33"/>
      <c r="K150" s="39"/>
      <c r="L150" s="33"/>
      <c r="M150" s="25"/>
      <c r="N150" s="39"/>
      <c r="O150" s="35" t="str">
        <f aca="false">IF($C150="","",IF(N($N150)&lt;=0,"未开票",IF(ROUND(N($N150)-N($K150),2)&gt;=0,"已开票",IFERROR("部分开票 "&amp;TEXT(N($N150)/N($K150),"0%"),"部分开票"))))</f>
        <v/>
      </c>
      <c r="P150" s="40" t="str">
        <f aca="false">IF($C150="","",ROUND($V150+MIN($W150,MAX(0,(SUMIF(收款键,$D150,收款金额)-SUMIFS(收款金额,收款键,$D150,收款关联,"&lt;&gt;"))-($X150-$W150))),2))</f>
        <v/>
      </c>
      <c r="Q150" s="41" t="str">
        <f aca="false">IF($C150="","",ROUND(N($K150)-N($P150),2))</f>
        <v/>
      </c>
      <c r="R150" s="29" t="str">
        <f aca="false">IF($C150="","",YEAR($C150))</f>
        <v/>
      </c>
      <c r="S150" s="24"/>
      <c r="T150" s="35" t="str">
        <f aca="false">IF($C150="","",IF($D150="","★没选客户项目",IF(COUNTIF(合同键,$D150)=0,"★《维保合同》里没这个项目",IF(N($K150)&lt;=0,"★应收金额要填",IF(ROUND(N($N150)-N($K150),2)&gt;0.001,"★开票金额大于应收",IF(AND($L150&lt;&gt;"",N($N150)&lt;=0),"★填了开票日期没填开票金额",IF(AND($I150&lt;&gt;"",$J150&lt;&gt;"",$J150&lt;$I150),"★计费期间起止反了","OK")))))))</f>
        <v/>
      </c>
      <c r="U150" s="29" t="str">
        <f aca="false">IF($L150="","",YEAR($L150))</f>
        <v/>
      </c>
      <c r="V150" s="40" t="str">
        <f aca="false">IF($C150="","",ROUND(SUMIF(收款关联,$B150,收款金额),2))</f>
        <v/>
      </c>
      <c r="W150" s="40" t="str">
        <f aca="false">IF($C150="","",MAX(0,ROUND(N($K150)-N($V150),2)))</f>
        <v/>
      </c>
      <c r="X150" s="40" t="str">
        <f aca="false">IF($C150="","",ROUND(SUMIFS(应收净额,应收键,$D150,应收行号,"&lt;="&amp;ROW()),2))</f>
        <v/>
      </c>
      <c r="Y150" s="29" t="str">
        <f aca="false">IF($C150="","",ROW())</f>
        <v/>
      </c>
    </row>
    <row r="151" customFormat="false" ht="15" hidden="false" customHeight="false" outlineLevel="0" collapsed="false">
      <c r="A151" s="29" t="str">
        <f aca="false">IF($C151="","",ROW()-4)</f>
        <v/>
      </c>
      <c r="B151" s="35" t="str">
        <f aca="false">IF($C151="","","YS"&amp;TEXT($C151,"yyyymm")&amp;"-"&amp;TEXT(ROW()-4,"0000"))</f>
        <v/>
      </c>
      <c r="C151" s="33"/>
      <c r="D151" s="24"/>
      <c r="E151" s="30" t="str">
        <f aca="false">IF($D151="","",IFERROR(INDEX(合同单位,MATCH($D151,合同键,0)),IFERROR(TRIM(LEFT($D151,FIND("｜",$D151)-1)),$D151)))</f>
        <v/>
      </c>
      <c r="F151" s="30" t="str">
        <f aca="false">IF($D151="","",IFERROR(INDEX(合同项目,MATCH($D151,合同键,0)),IFERROR(TRIM(MID($D151,FIND("｜",$D151)+1,99)),"")))</f>
        <v/>
      </c>
      <c r="G151" s="24"/>
      <c r="H151" s="35" t="str">
        <f aca="false">IF($G151="","",IFERROR(INDEX(费用款别,MATCH($G151,费用类别表,0)),"合同外款"))</f>
        <v/>
      </c>
      <c r="I151" s="33"/>
      <c r="J151" s="33"/>
      <c r="K151" s="39"/>
      <c r="L151" s="33"/>
      <c r="M151" s="25"/>
      <c r="N151" s="39"/>
      <c r="O151" s="35" t="str">
        <f aca="false">IF($C151="","",IF(N($N151)&lt;=0,"未开票",IF(ROUND(N($N151)-N($K151),2)&gt;=0,"已开票",IFERROR("部分开票 "&amp;TEXT(N($N151)/N($K151),"0%"),"部分开票"))))</f>
        <v/>
      </c>
      <c r="P151" s="40" t="str">
        <f aca="false">IF($C151="","",ROUND($V151+MIN($W151,MAX(0,(SUMIF(收款键,$D151,收款金额)-SUMIFS(收款金额,收款键,$D151,收款关联,"&lt;&gt;"))-($X151-$W151))),2))</f>
        <v/>
      </c>
      <c r="Q151" s="41" t="str">
        <f aca="false">IF($C151="","",ROUND(N($K151)-N($P151),2))</f>
        <v/>
      </c>
      <c r="R151" s="29" t="str">
        <f aca="false">IF($C151="","",YEAR($C151))</f>
        <v/>
      </c>
      <c r="S151" s="24"/>
      <c r="T151" s="35" t="str">
        <f aca="false">IF($C151="","",IF($D151="","★没选客户项目",IF(COUNTIF(合同键,$D151)=0,"★《维保合同》里没这个项目",IF(N($K151)&lt;=0,"★应收金额要填",IF(ROUND(N($N151)-N($K151),2)&gt;0.001,"★开票金额大于应收",IF(AND($L151&lt;&gt;"",N($N151)&lt;=0),"★填了开票日期没填开票金额",IF(AND($I151&lt;&gt;"",$J151&lt;&gt;"",$J151&lt;$I151),"★计费期间起止反了","OK")))))))</f>
        <v/>
      </c>
      <c r="U151" s="29" t="str">
        <f aca="false">IF($L151="","",YEAR($L151))</f>
        <v/>
      </c>
      <c r="V151" s="40" t="str">
        <f aca="false">IF($C151="","",ROUND(SUMIF(收款关联,$B151,收款金额),2))</f>
        <v/>
      </c>
      <c r="W151" s="40" t="str">
        <f aca="false">IF($C151="","",MAX(0,ROUND(N($K151)-N($V151),2)))</f>
        <v/>
      </c>
      <c r="X151" s="40" t="str">
        <f aca="false">IF($C151="","",ROUND(SUMIFS(应收净额,应收键,$D151,应收行号,"&lt;="&amp;ROW()),2))</f>
        <v/>
      </c>
      <c r="Y151" s="29" t="str">
        <f aca="false">IF($C151="","",ROW())</f>
        <v/>
      </c>
    </row>
    <row r="152" customFormat="false" ht="15" hidden="false" customHeight="false" outlineLevel="0" collapsed="false">
      <c r="A152" s="29" t="str">
        <f aca="false">IF($C152="","",ROW()-4)</f>
        <v/>
      </c>
      <c r="B152" s="35" t="str">
        <f aca="false">IF($C152="","","YS"&amp;TEXT($C152,"yyyymm")&amp;"-"&amp;TEXT(ROW()-4,"0000"))</f>
        <v/>
      </c>
      <c r="C152" s="33"/>
      <c r="D152" s="24"/>
      <c r="E152" s="30" t="str">
        <f aca="false">IF($D152="","",IFERROR(INDEX(合同单位,MATCH($D152,合同键,0)),IFERROR(TRIM(LEFT($D152,FIND("｜",$D152)-1)),$D152)))</f>
        <v/>
      </c>
      <c r="F152" s="30" t="str">
        <f aca="false">IF($D152="","",IFERROR(INDEX(合同项目,MATCH($D152,合同键,0)),IFERROR(TRIM(MID($D152,FIND("｜",$D152)+1,99)),"")))</f>
        <v/>
      </c>
      <c r="G152" s="24"/>
      <c r="H152" s="35" t="str">
        <f aca="false">IF($G152="","",IFERROR(INDEX(费用款别,MATCH($G152,费用类别表,0)),"合同外款"))</f>
        <v/>
      </c>
      <c r="I152" s="33"/>
      <c r="J152" s="33"/>
      <c r="K152" s="39"/>
      <c r="L152" s="33"/>
      <c r="M152" s="25"/>
      <c r="N152" s="39"/>
      <c r="O152" s="35" t="str">
        <f aca="false">IF($C152="","",IF(N($N152)&lt;=0,"未开票",IF(ROUND(N($N152)-N($K152),2)&gt;=0,"已开票",IFERROR("部分开票 "&amp;TEXT(N($N152)/N($K152),"0%"),"部分开票"))))</f>
        <v/>
      </c>
      <c r="P152" s="40" t="str">
        <f aca="false">IF($C152="","",ROUND($V152+MIN($W152,MAX(0,(SUMIF(收款键,$D152,收款金额)-SUMIFS(收款金额,收款键,$D152,收款关联,"&lt;&gt;"))-($X152-$W152))),2))</f>
        <v/>
      </c>
      <c r="Q152" s="41" t="str">
        <f aca="false">IF($C152="","",ROUND(N($K152)-N($P152),2))</f>
        <v/>
      </c>
      <c r="R152" s="29" t="str">
        <f aca="false">IF($C152="","",YEAR($C152))</f>
        <v/>
      </c>
      <c r="S152" s="24"/>
      <c r="T152" s="35" t="str">
        <f aca="false">IF($C152="","",IF($D152="","★没选客户项目",IF(COUNTIF(合同键,$D152)=0,"★《维保合同》里没这个项目",IF(N($K152)&lt;=0,"★应收金额要填",IF(ROUND(N($N152)-N($K152),2)&gt;0.001,"★开票金额大于应收",IF(AND($L152&lt;&gt;"",N($N152)&lt;=0),"★填了开票日期没填开票金额",IF(AND($I152&lt;&gt;"",$J152&lt;&gt;"",$J152&lt;$I152),"★计费期间起止反了","OK")))))))</f>
        <v/>
      </c>
      <c r="U152" s="29" t="str">
        <f aca="false">IF($L152="","",YEAR($L152))</f>
        <v/>
      </c>
      <c r="V152" s="40" t="str">
        <f aca="false">IF($C152="","",ROUND(SUMIF(收款关联,$B152,收款金额),2))</f>
        <v/>
      </c>
      <c r="W152" s="40" t="str">
        <f aca="false">IF($C152="","",MAX(0,ROUND(N($K152)-N($V152),2)))</f>
        <v/>
      </c>
      <c r="X152" s="40" t="str">
        <f aca="false">IF($C152="","",ROUND(SUMIFS(应收净额,应收键,$D152,应收行号,"&lt;="&amp;ROW()),2))</f>
        <v/>
      </c>
      <c r="Y152" s="29" t="str">
        <f aca="false">IF($C152="","",ROW())</f>
        <v/>
      </c>
    </row>
    <row r="153" customFormat="false" ht="15" hidden="false" customHeight="false" outlineLevel="0" collapsed="false">
      <c r="A153" s="29" t="str">
        <f aca="false">IF($C153="","",ROW()-4)</f>
        <v/>
      </c>
      <c r="B153" s="35" t="str">
        <f aca="false">IF($C153="","","YS"&amp;TEXT($C153,"yyyymm")&amp;"-"&amp;TEXT(ROW()-4,"0000"))</f>
        <v/>
      </c>
      <c r="C153" s="33"/>
      <c r="D153" s="24"/>
      <c r="E153" s="30" t="str">
        <f aca="false">IF($D153="","",IFERROR(INDEX(合同单位,MATCH($D153,合同键,0)),IFERROR(TRIM(LEFT($D153,FIND("｜",$D153)-1)),$D153)))</f>
        <v/>
      </c>
      <c r="F153" s="30" t="str">
        <f aca="false">IF($D153="","",IFERROR(INDEX(合同项目,MATCH($D153,合同键,0)),IFERROR(TRIM(MID($D153,FIND("｜",$D153)+1,99)),"")))</f>
        <v/>
      </c>
      <c r="G153" s="24"/>
      <c r="H153" s="35" t="str">
        <f aca="false">IF($G153="","",IFERROR(INDEX(费用款别,MATCH($G153,费用类别表,0)),"合同外款"))</f>
        <v/>
      </c>
      <c r="I153" s="33"/>
      <c r="J153" s="33"/>
      <c r="K153" s="39"/>
      <c r="L153" s="33"/>
      <c r="M153" s="25"/>
      <c r="N153" s="39"/>
      <c r="O153" s="35" t="str">
        <f aca="false">IF($C153="","",IF(N($N153)&lt;=0,"未开票",IF(ROUND(N($N153)-N($K153),2)&gt;=0,"已开票",IFERROR("部分开票 "&amp;TEXT(N($N153)/N($K153),"0%"),"部分开票"))))</f>
        <v/>
      </c>
      <c r="P153" s="40" t="str">
        <f aca="false">IF($C153="","",ROUND($V153+MIN($W153,MAX(0,(SUMIF(收款键,$D153,收款金额)-SUMIFS(收款金额,收款键,$D153,收款关联,"&lt;&gt;"))-($X153-$W153))),2))</f>
        <v/>
      </c>
      <c r="Q153" s="41" t="str">
        <f aca="false">IF($C153="","",ROUND(N($K153)-N($P153),2))</f>
        <v/>
      </c>
      <c r="R153" s="29" t="str">
        <f aca="false">IF($C153="","",YEAR($C153))</f>
        <v/>
      </c>
      <c r="S153" s="24"/>
      <c r="T153" s="35" t="str">
        <f aca="false">IF($C153="","",IF($D153="","★没选客户项目",IF(COUNTIF(合同键,$D153)=0,"★《维保合同》里没这个项目",IF(N($K153)&lt;=0,"★应收金额要填",IF(ROUND(N($N153)-N($K153),2)&gt;0.001,"★开票金额大于应收",IF(AND($L153&lt;&gt;"",N($N153)&lt;=0),"★填了开票日期没填开票金额",IF(AND($I153&lt;&gt;"",$J153&lt;&gt;"",$J153&lt;$I153),"★计费期间起止反了","OK")))))))</f>
        <v/>
      </c>
      <c r="U153" s="29" t="str">
        <f aca="false">IF($L153="","",YEAR($L153))</f>
        <v/>
      </c>
      <c r="V153" s="40" t="str">
        <f aca="false">IF($C153="","",ROUND(SUMIF(收款关联,$B153,收款金额),2))</f>
        <v/>
      </c>
      <c r="W153" s="40" t="str">
        <f aca="false">IF($C153="","",MAX(0,ROUND(N($K153)-N($V153),2)))</f>
        <v/>
      </c>
      <c r="X153" s="40" t="str">
        <f aca="false">IF($C153="","",ROUND(SUMIFS(应收净额,应收键,$D153,应收行号,"&lt;="&amp;ROW()),2))</f>
        <v/>
      </c>
      <c r="Y153" s="29" t="str">
        <f aca="false">IF($C153="","",ROW())</f>
        <v/>
      </c>
    </row>
    <row r="154" customFormat="false" ht="15" hidden="false" customHeight="false" outlineLevel="0" collapsed="false">
      <c r="A154" s="29" t="str">
        <f aca="false">IF($C154="","",ROW()-4)</f>
        <v/>
      </c>
      <c r="B154" s="35" t="str">
        <f aca="false">IF($C154="","","YS"&amp;TEXT($C154,"yyyymm")&amp;"-"&amp;TEXT(ROW()-4,"0000"))</f>
        <v/>
      </c>
      <c r="C154" s="33"/>
      <c r="D154" s="24"/>
      <c r="E154" s="30" t="str">
        <f aca="false">IF($D154="","",IFERROR(INDEX(合同单位,MATCH($D154,合同键,0)),IFERROR(TRIM(LEFT($D154,FIND("｜",$D154)-1)),$D154)))</f>
        <v/>
      </c>
      <c r="F154" s="30" t="str">
        <f aca="false">IF($D154="","",IFERROR(INDEX(合同项目,MATCH($D154,合同键,0)),IFERROR(TRIM(MID($D154,FIND("｜",$D154)+1,99)),"")))</f>
        <v/>
      </c>
      <c r="G154" s="24"/>
      <c r="H154" s="35" t="str">
        <f aca="false">IF($G154="","",IFERROR(INDEX(费用款别,MATCH($G154,费用类别表,0)),"合同外款"))</f>
        <v/>
      </c>
      <c r="I154" s="33"/>
      <c r="J154" s="33"/>
      <c r="K154" s="39"/>
      <c r="L154" s="33"/>
      <c r="M154" s="25"/>
      <c r="N154" s="39"/>
      <c r="O154" s="35" t="str">
        <f aca="false">IF($C154="","",IF(N($N154)&lt;=0,"未开票",IF(ROUND(N($N154)-N($K154),2)&gt;=0,"已开票",IFERROR("部分开票 "&amp;TEXT(N($N154)/N($K154),"0%"),"部分开票"))))</f>
        <v/>
      </c>
      <c r="P154" s="40" t="str">
        <f aca="false">IF($C154="","",ROUND($V154+MIN($W154,MAX(0,(SUMIF(收款键,$D154,收款金额)-SUMIFS(收款金额,收款键,$D154,收款关联,"&lt;&gt;"))-($X154-$W154))),2))</f>
        <v/>
      </c>
      <c r="Q154" s="41" t="str">
        <f aca="false">IF($C154="","",ROUND(N($K154)-N($P154),2))</f>
        <v/>
      </c>
      <c r="R154" s="29" t="str">
        <f aca="false">IF($C154="","",YEAR($C154))</f>
        <v/>
      </c>
      <c r="S154" s="24"/>
      <c r="T154" s="35" t="str">
        <f aca="false">IF($C154="","",IF($D154="","★没选客户项目",IF(COUNTIF(合同键,$D154)=0,"★《维保合同》里没这个项目",IF(N($K154)&lt;=0,"★应收金额要填",IF(ROUND(N($N154)-N($K154),2)&gt;0.001,"★开票金额大于应收",IF(AND($L154&lt;&gt;"",N($N154)&lt;=0),"★填了开票日期没填开票金额",IF(AND($I154&lt;&gt;"",$J154&lt;&gt;"",$J154&lt;$I154),"★计费期间起止反了","OK")))))))</f>
        <v/>
      </c>
      <c r="U154" s="29" t="str">
        <f aca="false">IF($L154="","",YEAR($L154))</f>
        <v/>
      </c>
      <c r="V154" s="40" t="str">
        <f aca="false">IF($C154="","",ROUND(SUMIF(收款关联,$B154,收款金额),2))</f>
        <v/>
      </c>
      <c r="W154" s="40" t="str">
        <f aca="false">IF($C154="","",MAX(0,ROUND(N($K154)-N($V154),2)))</f>
        <v/>
      </c>
      <c r="X154" s="40" t="str">
        <f aca="false">IF($C154="","",ROUND(SUMIFS(应收净额,应收键,$D154,应收行号,"&lt;="&amp;ROW()),2))</f>
        <v/>
      </c>
      <c r="Y154" s="29" t="str">
        <f aca="false">IF($C154="","",ROW())</f>
        <v/>
      </c>
    </row>
    <row r="155" customFormat="false" ht="15" hidden="false" customHeight="false" outlineLevel="0" collapsed="false">
      <c r="A155" s="29" t="str">
        <f aca="false">IF($C155="","",ROW()-4)</f>
        <v/>
      </c>
      <c r="B155" s="35" t="str">
        <f aca="false">IF($C155="","","YS"&amp;TEXT($C155,"yyyymm")&amp;"-"&amp;TEXT(ROW()-4,"0000"))</f>
        <v/>
      </c>
      <c r="C155" s="33"/>
      <c r="D155" s="24"/>
      <c r="E155" s="30" t="str">
        <f aca="false">IF($D155="","",IFERROR(INDEX(合同单位,MATCH($D155,合同键,0)),IFERROR(TRIM(LEFT($D155,FIND("｜",$D155)-1)),$D155)))</f>
        <v/>
      </c>
      <c r="F155" s="30" t="str">
        <f aca="false">IF($D155="","",IFERROR(INDEX(合同项目,MATCH($D155,合同键,0)),IFERROR(TRIM(MID($D155,FIND("｜",$D155)+1,99)),"")))</f>
        <v/>
      </c>
      <c r="G155" s="24"/>
      <c r="H155" s="35" t="str">
        <f aca="false">IF($G155="","",IFERROR(INDEX(费用款别,MATCH($G155,费用类别表,0)),"合同外款"))</f>
        <v/>
      </c>
      <c r="I155" s="33"/>
      <c r="J155" s="33"/>
      <c r="K155" s="39"/>
      <c r="L155" s="33"/>
      <c r="M155" s="25"/>
      <c r="N155" s="39"/>
      <c r="O155" s="35" t="str">
        <f aca="false">IF($C155="","",IF(N($N155)&lt;=0,"未开票",IF(ROUND(N($N155)-N($K155),2)&gt;=0,"已开票",IFERROR("部分开票 "&amp;TEXT(N($N155)/N($K155),"0%"),"部分开票"))))</f>
        <v/>
      </c>
      <c r="P155" s="40" t="str">
        <f aca="false">IF($C155="","",ROUND($V155+MIN($W155,MAX(0,(SUMIF(收款键,$D155,收款金额)-SUMIFS(收款金额,收款键,$D155,收款关联,"&lt;&gt;"))-($X155-$W155))),2))</f>
        <v/>
      </c>
      <c r="Q155" s="41" t="str">
        <f aca="false">IF($C155="","",ROUND(N($K155)-N($P155),2))</f>
        <v/>
      </c>
      <c r="R155" s="29" t="str">
        <f aca="false">IF($C155="","",YEAR($C155))</f>
        <v/>
      </c>
      <c r="S155" s="24"/>
      <c r="T155" s="35" t="str">
        <f aca="false">IF($C155="","",IF($D155="","★没选客户项目",IF(COUNTIF(合同键,$D155)=0,"★《维保合同》里没这个项目",IF(N($K155)&lt;=0,"★应收金额要填",IF(ROUND(N($N155)-N($K155),2)&gt;0.001,"★开票金额大于应收",IF(AND($L155&lt;&gt;"",N($N155)&lt;=0),"★填了开票日期没填开票金额",IF(AND($I155&lt;&gt;"",$J155&lt;&gt;"",$J155&lt;$I155),"★计费期间起止反了","OK")))))))</f>
        <v/>
      </c>
      <c r="U155" s="29" t="str">
        <f aca="false">IF($L155="","",YEAR($L155))</f>
        <v/>
      </c>
      <c r="V155" s="40" t="str">
        <f aca="false">IF($C155="","",ROUND(SUMIF(收款关联,$B155,收款金额),2))</f>
        <v/>
      </c>
      <c r="W155" s="40" t="str">
        <f aca="false">IF($C155="","",MAX(0,ROUND(N($K155)-N($V155),2)))</f>
        <v/>
      </c>
      <c r="X155" s="40" t="str">
        <f aca="false">IF($C155="","",ROUND(SUMIFS(应收净额,应收键,$D155,应收行号,"&lt;="&amp;ROW()),2))</f>
        <v/>
      </c>
      <c r="Y155" s="29" t="str">
        <f aca="false">IF($C155="","",ROW())</f>
        <v/>
      </c>
    </row>
    <row r="156" customFormat="false" ht="15" hidden="false" customHeight="false" outlineLevel="0" collapsed="false">
      <c r="A156" s="29" t="str">
        <f aca="false">IF($C156="","",ROW()-4)</f>
        <v/>
      </c>
      <c r="B156" s="35" t="str">
        <f aca="false">IF($C156="","","YS"&amp;TEXT($C156,"yyyymm")&amp;"-"&amp;TEXT(ROW()-4,"0000"))</f>
        <v/>
      </c>
      <c r="C156" s="33"/>
      <c r="D156" s="24"/>
      <c r="E156" s="30" t="str">
        <f aca="false">IF($D156="","",IFERROR(INDEX(合同单位,MATCH($D156,合同键,0)),IFERROR(TRIM(LEFT($D156,FIND("｜",$D156)-1)),$D156)))</f>
        <v/>
      </c>
      <c r="F156" s="30" t="str">
        <f aca="false">IF($D156="","",IFERROR(INDEX(合同项目,MATCH($D156,合同键,0)),IFERROR(TRIM(MID($D156,FIND("｜",$D156)+1,99)),"")))</f>
        <v/>
      </c>
      <c r="G156" s="24"/>
      <c r="H156" s="35" t="str">
        <f aca="false">IF($G156="","",IFERROR(INDEX(费用款别,MATCH($G156,费用类别表,0)),"合同外款"))</f>
        <v/>
      </c>
      <c r="I156" s="33"/>
      <c r="J156" s="33"/>
      <c r="K156" s="39"/>
      <c r="L156" s="33"/>
      <c r="M156" s="25"/>
      <c r="N156" s="39"/>
      <c r="O156" s="35" t="str">
        <f aca="false">IF($C156="","",IF(N($N156)&lt;=0,"未开票",IF(ROUND(N($N156)-N($K156),2)&gt;=0,"已开票",IFERROR("部分开票 "&amp;TEXT(N($N156)/N($K156),"0%"),"部分开票"))))</f>
        <v/>
      </c>
      <c r="P156" s="40" t="str">
        <f aca="false">IF($C156="","",ROUND($V156+MIN($W156,MAX(0,(SUMIF(收款键,$D156,收款金额)-SUMIFS(收款金额,收款键,$D156,收款关联,"&lt;&gt;"))-($X156-$W156))),2))</f>
        <v/>
      </c>
      <c r="Q156" s="41" t="str">
        <f aca="false">IF($C156="","",ROUND(N($K156)-N($P156),2))</f>
        <v/>
      </c>
      <c r="R156" s="29" t="str">
        <f aca="false">IF($C156="","",YEAR($C156))</f>
        <v/>
      </c>
      <c r="S156" s="24"/>
      <c r="T156" s="35" t="str">
        <f aca="false">IF($C156="","",IF($D156="","★没选客户项目",IF(COUNTIF(合同键,$D156)=0,"★《维保合同》里没这个项目",IF(N($K156)&lt;=0,"★应收金额要填",IF(ROUND(N($N156)-N($K156),2)&gt;0.001,"★开票金额大于应收",IF(AND($L156&lt;&gt;"",N($N156)&lt;=0),"★填了开票日期没填开票金额",IF(AND($I156&lt;&gt;"",$J156&lt;&gt;"",$J156&lt;$I156),"★计费期间起止反了","OK")))))))</f>
        <v/>
      </c>
      <c r="U156" s="29" t="str">
        <f aca="false">IF($L156="","",YEAR($L156))</f>
        <v/>
      </c>
      <c r="V156" s="40" t="str">
        <f aca="false">IF($C156="","",ROUND(SUMIF(收款关联,$B156,收款金额),2))</f>
        <v/>
      </c>
      <c r="W156" s="40" t="str">
        <f aca="false">IF($C156="","",MAX(0,ROUND(N($K156)-N($V156),2)))</f>
        <v/>
      </c>
      <c r="X156" s="40" t="str">
        <f aca="false">IF($C156="","",ROUND(SUMIFS(应收净额,应收键,$D156,应收行号,"&lt;="&amp;ROW()),2))</f>
        <v/>
      </c>
      <c r="Y156" s="29" t="str">
        <f aca="false">IF($C156="","",ROW())</f>
        <v/>
      </c>
    </row>
    <row r="157" customFormat="false" ht="15" hidden="false" customHeight="false" outlineLevel="0" collapsed="false">
      <c r="A157" s="29" t="str">
        <f aca="false">IF($C157="","",ROW()-4)</f>
        <v/>
      </c>
      <c r="B157" s="35" t="str">
        <f aca="false">IF($C157="","","YS"&amp;TEXT($C157,"yyyymm")&amp;"-"&amp;TEXT(ROW()-4,"0000"))</f>
        <v/>
      </c>
      <c r="C157" s="33"/>
      <c r="D157" s="24"/>
      <c r="E157" s="30" t="str">
        <f aca="false">IF($D157="","",IFERROR(INDEX(合同单位,MATCH($D157,合同键,0)),IFERROR(TRIM(LEFT($D157,FIND("｜",$D157)-1)),$D157)))</f>
        <v/>
      </c>
      <c r="F157" s="30" t="str">
        <f aca="false">IF($D157="","",IFERROR(INDEX(合同项目,MATCH($D157,合同键,0)),IFERROR(TRIM(MID($D157,FIND("｜",$D157)+1,99)),"")))</f>
        <v/>
      </c>
      <c r="G157" s="24"/>
      <c r="H157" s="35" t="str">
        <f aca="false">IF($G157="","",IFERROR(INDEX(费用款别,MATCH($G157,费用类别表,0)),"合同外款"))</f>
        <v/>
      </c>
      <c r="I157" s="33"/>
      <c r="J157" s="33"/>
      <c r="K157" s="39"/>
      <c r="L157" s="33"/>
      <c r="M157" s="25"/>
      <c r="N157" s="39"/>
      <c r="O157" s="35" t="str">
        <f aca="false">IF($C157="","",IF(N($N157)&lt;=0,"未开票",IF(ROUND(N($N157)-N($K157),2)&gt;=0,"已开票",IFERROR("部分开票 "&amp;TEXT(N($N157)/N($K157),"0%"),"部分开票"))))</f>
        <v/>
      </c>
      <c r="P157" s="40" t="str">
        <f aca="false">IF($C157="","",ROUND($V157+MIN($W157,MAX(0,(SUMIF(收款键,$D157,收款金额)-SUMIFS(收款金额,收款键,$D157,收款关联,"&lt;&gt;"))-($X157-$W157))),2))</f>
        <v/>
      </c>
      <c r="Q157" s="41" t="str">
        <f aca="false">IF($C157="","",ROUND(N($K157)-N($P157),2))</f>
        <v/>
      </c>
      <c r="R157" s="29" t="str">
        <f aca="false">IF($C157="","",YEAR($C157))</f>
        <v/>
      </c>
      <c r="S157" s="24"/>
      <c r="T157" s="35" t="str">
        <f aca="false">IF($C157="","",IF($D157="","★没选客户项目",IF(COUNTIF(合同键,$D157)=0,"★《维保合同》里没这个项目",IF(N($K157)&lt;=0,"★应收金额要填",IF(ROUND(N($N157)-N($K157),2)&gt;0.001,"★开票金额大于应收",IF(AND($L157&lt;&gt;"",N($N157)&lt;=0),"★填了开票日期没填开票金额",IF(AND($I157&lt;&gt;"",$J157&lt;&gt;"",$J157&lt;$I157),"★计费期间起止反了","OK")))))))</f>
        <v/>
      </c>
      <c r="U157" s="29" t="str">
        <f aca="false">IF($L157="","",YEAR($L157))</f>
        <v/>
      </c>
      <c r="V157" s="40" t="str">
        <f aca="false">IF($C157="","",ROUND(SUMIF(收款关联,$B157,收款金额),2))</f>
        <v/>
      </c>
      <c r="W157" s="40" t="str">
        <f aca="false">IF($C157="","",MAX(0,ROUND(N($K157)-N($V157),2)))</f>
        <v/>
      </c>
      <c r="X157" s="40" t="str">
        <f aca="false">IF($C157="","",ROUND(SUMIFS(应收净额,应收键,$D157,应收行号,"&lt;="&amp;ROW()),2))</f>
        <v/>
      </c>
      <c r="Y157" s="29" t="str">
        <f aca="false">IF($C157="","",ROW())</f>
        <v/>
      </c>
    </row>
    <row r="158" customFormat="false" ht="15" hidden="false" customHeight="false" outlineLevel="0" collapsed="false">
      <c r="A158" s="29" t="str">
        <f aca="false">IF($C158="","",ROW()-4)</f>
        <v/>
      </c>
      <c r="B158" s="35" t="str">
        <f aca="false">IF($C158="","","YS"&amp;TEXT($C158,"yyyymm")&amp;"-"&amp;TEXT(ROW()-4,"0000"))</f>
        <v/>
      </c>
      <c r="C158" s="33"/>
      <c r="D158" s="24"/>
      <c r="E158" s="30" t="str">
        <f aca="false">IF($D158="","",IFERROR(INDEX(合同单位,MATCH($D158,合同键,0)),IFERROR(TRIM(LEFT($D158,FIND("｜",$D158)-1)),$D158)))</f>
        <v/>
      </c>
      <c r="F158" s="30" t="str">
        <f aca="false">IF($D158="","",IFERROR(INDEX(合同项目,MATCH($D158,合同键,0)),IFERROR(TRIM(MID($D158,FIND("｜",$D158)+1,99)),"")))</f>
        <v/>
      </c>
      <c r="G158" s="24"/>
      <c r="H158" s="35" t="str">
        <f aca="false">IF($G158="","",IFERROR(INDEX(费用款别,MATCH($G158,费用类别表,0)),"合同外款"))</f>
        <v/>
      </c>
      <c r="I158" s="33"/>
      <c r="J158" s="33"/>
      <c r="K158" s="39"/>
      <c r="L158" s="33"/>
      <c r="M158" s="25"/>
      <c r="N158" s="39"/>
      <c r="O158" s="35" t="str">
        <f aca="false">IF($C158="","",IF(N($N158)&lt;=0,"未开票",IF(ROUND(N($N158)-N($K158),2)&gt;=0,"已开票",IFERROR("部分开票 "&amp;TEXT(N($N158)/N($K158),"0%"),"部分开票"))))</f>
        <v/>
      </c>
      <c r="P158" s="40" t="str">
        <f aca="false">IF($C158="","",ROUND($V158+MIN($W158,MAX(0,(SUMIF(收款键,$D158,收款金额)-SUMIFS(收款金额,收款键,$D158,收款关联,"&lt;&gt;"))-($X158-$W158))),2))</f>
        <v/>
      </c>
      <c r="Q158" s="41" t="str">
        <f aca="false">IF($C158="","",ROUND(N($K158)-N($P158),2))</f>
        <v/>
      </c>
      <c r="R158" s="29" t="str">
        <f aca="false">IF($C158="","",YEAR($C158))</f>
        <v/>
      </c>
      <c r="S158" s="24"/>
      <c r="T158" s="35" t="str">
        <f aca="false">IF($C158="","",IF($D158="","★没选客户项目",IF(COUNTIF(合同键,$D158)=0,"★《维保合同》里没这个项目",IF(N($K158)&lt;=0,"★应收金额要填",IF(ROUND(N($N158)-N($K158),2)&gt;0.001,"★开票金额大于应收",IF(AND($L158&lt;&gt;"",N($N158)&lt;=0),"★填了开票日期没填开票金额",IF(AND($I158&lt;&gt;"",$J158&lt;&gt;"",$J158&lt;$I158),"★计费期间起止反了","OK")))))))</f>
        <v/>
      </c>
      <c r="U158" s="29" t="str">
        <f aca="false">IF($L158="","",YEAR($L158))</f>
        <v/>
      </c>
      <c r="V158" s="40" t="str">
        <f aca="false">IF($C158="","",ROUND(SUMIF(收款关联,$B158,收款金额),2))</f>
        <v/>
      </c>
      <c r="W158" s="40" t="str">
        <f aca="false">IF($C158="","",MAX(0,ROUND(N($K158)-N($V158),2)))</f>
        <v/>
      </c>
      <c r="X158" s="40" t="str">
        <f aca="false">IF($C158="","",ROUND(SUMIFS(应收净额,应收键,$D158,应收行号,"&lt;="&amp;ROW()),2))</f>
        <v/>
      </c>
      <c r="Y158" s="29" t="str">
        <f aca="false">IF($C158="","",ROW())</f>
        <v/>
      </c>
    </row>
    <row r="159" customFormat="false" ht="15" hidden="false" customHeight="false" outlineLevel="0" collapsed="false">
      <c r="A159" s="29" t="str">
        <f aca="false">IF($C159="","",ROW()-4)</f>
        <v/>
      </c>
      <c r="B159" s="35" t="str">
        <f aca="false">IF($C159="","","YS"&amp;TEXT($C159,"yyyymm")&amp;"-"&amp;TEXT(ROW()-4,"0000"))</f>
        <v/>
      </c>
      <c r="C159" s="33"/>
      <c r="D159" s="24"/>
      <c r="E159" s="30" t="str">
        <f aca="false">IF($D159="","",IFERROR(INDEX(合同单位,MATCH($D159,合同键,0)),IFERROR(TRIM(LEFT($D159,FIND("｜",$D159)-1)),$D159)))</f>
        <v/>
      </c>
      <c r="F159" s="30" t="str">
        <f aca="false">IF($D159="","",IFERROR(INDEX(合同项目,MATCH($D159,合同键,0)),IFERROR(TRIM(MID($D159,FIND("｜",$D159)+1,99)),"")))</f>
        <v/>
      </c>
      <c r="G159" s="24"/>
      <c r="H159" s="35" t="str">
        <f aca="false">IF($G159="","",IFERROR(INDEX(费用款别,MATCH($G159,费用类别表,0)),"合同外款"))</f>
        <v/>
      </c>
      <c r="I159" s="33"/>
      <c r="J159" s="33"/>
      <c r="K159" s="39"/>
      <c r="L159" s="33"/>
      <c r="M159" s="25"/>
      <c r="N159" s="39"/>
      <c r="O159" s="35" t="str">
        <f aca="false">IF($C159="","",IF(N($N159)&lt;=0,"未开票",IF(ROUND(N($N159)-N($K159),2)&gt;=0,"已开票",IFERROR("部分开票 "&amp;TEXT(N($N159)/N($K159),"0%"),"部分开票"))))</f>
        <v/>
      </c>
      <c r="P159" s="40" t="str">
        <f aca="false">IF($C159="","",ROUND($V159+MIN($W159,MAX(0,(SUMIF(收款键,$D159,收款金额)-SUMIFS(收款金额,收款键,$D159,收款关联,"&lt;&gt;"))-($X159-$W159))),2))</f>
        <v/>
      </c>
      <c r="Q159" s="41" t="str">
        <f aca="false">IF($C159="","",ROUND(N($K159)-N($P159),2))</f>
        <v/>
      </c>
      <c r="R159" s="29" t="str">
        <f aca="false">IF($C159="","",YEAR($C159))</f>
        <v/>
      </c>
      <c r="S159" s="24"/>
      <c r="T159" s="35" t="str">
        <f aca="false">IF($C159="","",IF($D159="","★没选客户项目",IF(COUNTIF(合同键,$D159)=0,"★《维保合同》里没这个项目",IF(N($K159)&lt;=0,"★应收金额要填",IF(ROUND(N($N159)-N($K159),2)&gt;0.001,"★开票金额大于应收",IF(AND($L159&lt;&gt;"",N($N159)&lt;=0),"★填了开票日期没填开票金额",IF(AND($I159&lt;&gt;"",$J159&lt;&gt;"",$J159&lt;$I159),"★计费期间起止反了","OK")))))))</f>
        <v/>
      </c>
      <c r="U159" s="29" t="str">
        <f aca="false">IF($L159="","",YEAR($L159))</f>
        <v/>
      </c>
      <c r="V159" s="40" t="str">
        <f aca="false">IF($C159="","",ROUND(SUMIF(收款关联,$B159,收款金额),2))</f>
        <v/>
      </c>
      <c r="W159" s="40" t="str">
        <f aca="false">IF($C159="","",MAX(0,ROUND(N($K159)-N($V159),2)))</f>
        <v/>
      </c>
      <c r="X159" s="40" t="str">
        <f aca="false">IF($C159="","",ROUND(SUMIFS(应收净额,应收键,$D159,应收行号,"&lt;="&amp;ROW()),2))</f>
        <v/>
      </c>
      <c r="Y159" s="29" t="str">
        <f aca="false">IF($C159="","",ROW())</f>
        <v/>
      </c>
    </row>
    <row r="160" customFormat="false" ht="15" hidden="false" customHeight="false" outlineLevel="0" collapsed="false">
      <c r="A160" s="29" t="str">
        <f aca="false">IF($C160="","",ROW()-4)</f>
        <v/>
      </c>
      <c r="B160" s="35" t="str">
        <f aca="false">IF($C160="","","YS"&amp;TEXT($C160,"yyyymm")&amp;"-"&amp;TEXT(ROW()-4,"0000"))</f>
        <v/>
      </c>
      <c r="C160" s="33"/>
      <c r="D160" s="24"/>
      <c r="E160" s="30" t="str">
        <f aca="false">IF($D160="","",IFERROR(INDEX(合同单位,MATCH($D160,合同键,0)),IFERROR(TRIM(LEFT($D160,FIND("｜",$D160)-1)),$D160)))</f>
        <v/>
      </c>
      <c r="F160" s="30" t="str">
        <f aca="false">IF($D160="","",IFERROR(INDEX(合同项目,MATCH($D160,合同键,0)),IFERROR(TRIM(MID($D160,FIND("｜",$D160)+1,99)),"")))</f>
        <v/>
      </c>
      <c r="G160" s="24"/>
      <c r="H160" s="35" t="str">
        <f aca="false">IF($G160="","",IFERROR(INDEX(费用款别,MATCH($G160,费用类别表,0)),"合同外款"))</f>
        <v/>
      </c>
      <c r="I160" s="33"/>
      <c r="J160" s="33"/>
      <c r="K160" s="39"/>
      <c r="L160" s="33"/>
      <c r="M160" s="25"/>
      <c r="N160" s="39"/>
      <c r="O160" s="35" t="str">
        <f aca="false">IF($C160="","",IF(N($N160)&lt;=0,"未开票",IF(ROUND(N($N160)-N($K160),2)&gt;=0,"已开票",IFERROR("部分开票 "&amp;TEXT(N($N160)/N($K160),"0%"),"部分开票"))))</f>
        <v/>
      </c>
      <c r="P160" s="40" t="str">
        <f aca="false">IF($C160="","",ROUND($V160+MIN($W160,MAX(0,(SUMIF(收款键,$D160,收款金额)-SUMIFS(收款金额,收款键,$D160,收款关联,"&lt;&gt;"))-($X160-$W160))),2))</f>
        <v/>
      </c>
      <c r="Q160" s="41" t="str">
        <f aca="false">IF($C160="","",ROUND(N($K160)-N($P160),2))</f>
        <v/>
      </c>
      <c r="R160" s="29" t="str">
        <f aca="false">IF($C160="","",YEAR($C160))</f>
        <v/>
      </c>
      <c r="S160" s="24"/>
      <c r="T160" s="35" t="str">
        <f aca="false">IF($C160="","",IF($D160="","★没选客户项目",IF(COUNTIF(合同键,$D160)=0,"★《维保合同》里没这个项目",IF(N($K160)&lt;=0,"★应收金额要填",IF(ROUND(N($N160)-N($K160),2)&gt;0.001,"★开票金额大于应收",IF(AND($L160&lt;&gt;"",N($N160)&lt;=0),"★填了开票日期没填开票金额",IF(AND($I160&lt;&gt;"",$J160&lt;&gt;"",$J160&lt;$I160),"★计费期间起止反了","OK")))))))</f>
        <v/>
      </c>
      <c r="U160" s="29" t="str">
        <f aca="false">IF($L160="","",YEAR($L160))</f>
        <v/>
      </c>
      <c r="V160" s="40" t="str">
        <f aca="false">IF($C160="","",ROUND(SUMIF(收款关联,$B160,收款金额),2))</f>
        <v/>
      </c>
      <c r="W160" s="40" t="str">
        <f aca="false">IF($C160="","",MAX(0,ROUND(N($K160)-N($V160),2)))</f>
        <v/>
      </c>
      <c r="X160" s="40" t="str">
        <f aca="false">IF($C160="","",ROUND(SUMIFS(应收净额,应收键,$D160,应收行号,"&lt;="&amp;ROW()),2))</f>
        <v/>
      </c>
      <c r="Y160" s="29" t="str">
        <f aca="false">IF($C160="","",ROW())</f>
        <v/>
      </c>
    </row>
    <row r="161" customFormat="false" ht="15" hidden="false" customHeight="false" outlineLevel="0" collapsed="false">
      <c r="A161" s="29" t="str">
        <f aca="false">IF($C161="","",ROW()-4)</f>
        <v/>
      </c>
      <c r="B161" s="35" t="str">
        <f aca="false">IF($C161="","","YS"&amp;TEXT($C161,"yyyymm")&amp;"-"&amp;TEXT(ROW()-4,"0000"))</f>
        <v/>
      </c>
      <c r="C161" s="33"/>
      <c r="D161" s="24"/>
      <c r="E161" s="30" t="str">
        <f aca="false">IF($D161="","",IFERROR(INDEX(合同单位,MATCH($D161,合同键,0)),IFERROR(TRIM(LEFT($D161,FIND("｜",$D161)-1)),$D161)))</f>
        <v/>
      </c>
      <c r="F161" s="30" t="str">
        <f aca="false">IF($D161="","",IFERROR(INDEX(合同项目,MATCH($D161,合同键,0)),IFERROR(TRIM(MID($D161,FIND("｜",$D161)+1,99)),"")))</f>
        <v/>
      </c>
      <c r="G161" s="24"/>
      <c r="H161" s="35" t="str">
        <f aca="false">IF($G161="","",IFERROR(INDEX(费用款别,MATCH($G161,费用类别表,0)),"合同外款"))</f>
        <v/>
      </c>
      <c r="I161" s="33"/>
      <c r="J161" s="33"/>
      <c r="K161" s="39"/>
      <c r="L161" s="33"/>
      <c r="M161" s="25"/>
      <c r="N161" s="39"/>
      <c r="O161" s="35" t="str">
        <f aca="false">IF($C161="","",IF(N($N161)&lt;=0,"未开票",IF(ROUND(N($N161)-N($K161),2)&gt;=0,"已开票",IFERROR("部分开票 "&amp;TEXT(N($N161)/N($K161),"0%"),"部分开票"))))</f>
        <v/>
      </c>
      <c r="P161" s="40" t="str">
        <f aca="false">IF($C161="","",ROUND($V161+MIN($W161,MAX(0,(SUMIF(收款键,$D161,收款金额)-SUMIFS(收款金额,收款键,$D161,收款关联,"&lt;&gt;"))-($X161-$W161))),2))</f>
        <v/>
      </c>
      <c r="Q161" s="41" t="str">
        <f aca="false">IF($C161="","",ROUND(N($K161)-N($P161),2))</f>
        <v/>
      </c>
      <c r="R161" s="29" t="str">
        <f aca="false">IF($C161="","",YEAR($C161))</f>
        <v/>
      </c>
      <c r="S161" s="24"/>
      <c r="T161" s="35" t="str">
        <f aca="false">IF($C161="","",IF($D161="","★没选客户项目",IF(COUNTIF(合同键,$D161)=0,"★《维保合同》里没这个项目",IF(N($K161)&lt;=0,"★应收金额要填",IF(ROUND(N($N161)-N($K161),2)&gt;0.001,"★开票金额大于应收",IF(AND($L161&lt;&gt;"",N($N161)&lt;=0),"★填了开票日期没填开票金额",IF(AND($I161&lt;&gt;"",$J161&lt;&gt;"",$J161&lt;$I161),"★计费期间起止反了","OK")))))))</f>
        <v/>
      </c>
      <c r="U161" s="29" t="str">
        <f aca="false">IF($L161="","",YEAR($L161))</f>
        <v/>
      </c>
      <c r="V161" s="40" t="str">
        <f aca="false">IF($C161="","",ROUND(SUMIF(收款关联,$B161,收款金额),2))</f>
        <v/>
      </c>
      <c r="W161" s="40" t="str">
        <f aca="false">IF($C161="","",MAX(0,ROUND(N($K161)-N($V161),2)))</f>
        <v/>
      </c>
      <c r="X161" s="40" t="str">
        <f aca="false">IF($C161="","",ROUND(SUMIFS(应收净额,应收键,$D161,应收行号,"&lt;="&amp;ROW()),2))</f>
        <v/>
      </c>
      <c r="Y161" s="29" t="str">
        <f aca="false">IF($C161="","",ROW())</f>
        <v/>
      </c>
    </row>
    <row r="162" customFormat="false" ht="15" hidden="false" customHeight="false" outlineLevel="0" collapsed="false">
      <c r="A162" s="29" t="str">
        <f aca="false">IF($C162="","",ROW()-4)</f>
        <v/>
      </c>
      <c r="B162" s="35" t="str">
        <f aca="false">IF($C162="","","YS"&amp;TEXT($C162,"yyyymm")&amp;"-"&amp;TEXT(ROW()-4,"0000"))</f>
        <v/>
      </c>
      <c r="C162" s="33"/>
      <c r="D162" s="24"/>
      <c r="E162" s="30" t="str">
        <f aca="false">IF($D162="","",IFERROR(INDEX(合同单位,MATCH($D162,合同键,0)),IFERROR(TRIM(LEFT($D162,FIND("｜",$D162)-1)),$D162)))</f>
        <v/>
      </c>
      <c r="F162" s="30" t="str">
        <f aca="false">IF($D162="","",IFERROR(INDEX(合同项目,MATCH($D162,合同键,0)),IFERROR(TRIM(MID($D162,FIND("｜",$D162)+1,99)),"")))</f>
        <v/>
      </c>
      <c r="G162" s="24"/>
      <c r="H162" s="35" t="str">
        <f aca="false">IF($G162="","",IFERROR(INDEX(费用款别,MATCH($G162,费用类别表,0)),"合同外款"))</f>
        <v/>
      </c>
      <c r="I162" s="33"/>
      <c r="J162" s="33"/>
      <c r="K162" s="39"/>
      <c r="L162" s="33"/>
      <c r="M162" s="25"/>
      <c r="N162" s="39"/>
      <c r="O162" s="35" t="str">
        <f aca="false">IF($C162="","",IF(N($N162)&lt;=0,"未开票",IF(ROUND(N($N162)-N($K162),2)&gt;=0,"已开票",IFERROR("部分开票 "&amp;TEXT(N($N162)/N($K162),"0%"),"部分开票"))))</f>
        <v/>
      </c>
      <c r="P162" s="40" t="str">
        <f aca="false">IF($C162="","",ROUND($V162+MIN($W162,MAX(0,(SUMIF(收款键,$D162,收款金额)-SUMIFS(收款金额,收款键,$D162,收款关联,"&lt;&gt;"))-($X162-$W162))),2))</f>
        <v/>
      </c>
      <c r="Q162" s="41" t="str">
        <f aca="false">IF($C162="","",ROUND(N($K162)-N($P162),2))</f>
        <v/>
      </c>
      <c r="R162" s="29" t="str">
        <f aca="false">IF($C162="","",YEAR($C162))</f>
        <v/>
      </c>
      <c r="S162" s="24"/>
      <c r="T162" s="35" t="str">
        <f aca="false">IF($C162="","",IF($D162="","★没选客户项目",IF(COUNTIF(合同键,$D162)=0,"★《维保合同》里没这个项目",IF(N($K162)&lt;=0,"★应收金额要填",IF(ROUND(N($N162)-N($K162),2)&gt;0.001,"★开票金额大于应收",IF(AND($L162&lt;&gt;"",N($N162)&lt;=0),"★填了开票日期没填开票金额",IF(AND($I162&lt;&gt;"",$J162&lt;&gt;"",$J162&lt;$I162),"★计费期间起止反了","OK")))))))</f>
        <v/>
      </c>
      <c r="U162" s="29" t="str">
        <f aca="false">IF($L162="","",YEAR($L162))</f>
        <v/>
      </c>
      <c r="V162" s="40" t="str">
        <f aca="false">IF($C162="","",ROUND(SUMIF(收款关联,$B162,收款金额),2))</f>
        <v/>
      </c>
      <c r="W162" s="40" t="str">
        <f aca="false">IF($C162="","",MAX(0,ROUND(N($K162)-N($V162),2)))</f>
        <v/>
      </c>
      <c r="X162" s="40" t="str">
        <f aca="false">IF($C162="","",ROUND(SUMIFS(应收净额,应收键,$D162,应收行号,"&lt;="&amp;ROW()),2))</f>
        <v/>
      </c>
      <c r="Y162" s="29" t="str">
        <f aca="false">IF($C162="","",ROW())</f>
        <v/>
      </c>
    </row>
    <row r="163" customFormat="false" ht="15" hidden="false" customHeight="false" outlineLevel="0" collapsed="false">
      <c r="A163" s="29" t="str">
        <f aca="false">IF($C163="","",ROW()-4)</f>
        <v/>
      </c>
      <c r="B163" s="35" t="str">
        <f aca="false">IF($C163="","","YS"&amp;TEXT($C163,"yyyymm")&amp;"-"&amp;TEXT(ROW()-4,"0000"))</f>
        <v/>
      </c>
      <c r="C163" s="33"/>
      <c r="D163" s="24"/>
      <c r="E163" s="30" t="str">
        <f aca="false">IF($D163="","",IFERROR(INDEX(合同单位,MATCH($D163,合同键,0)),IFERROR(TRIM(LEFT($D163,FIND("｜",$D163)-1)),$D163)))</f>
        <v/>
      </c>
      <c r="F163" s="30" t="str">
        <f aca="false">IF($D163="","",IFERROR(INDEX(合同项目,MATCH($D163,合同键,0)),IFERROR(TRIM(MID($D163,FIND("｜",$D163)+1,99)),"")))</f>
        <v/>
      </c>
      <c r="G163" s="24"/>
      <c r="H163" s="35" t="str">
        <f aca="false">IF($G163="","",IFERROR(INDEX(费用款别,MATCH($G163,费用类别表,0)),"合同外款"))</f>
        <v/>
      </c>
      <c r="I163" s="33"/>
      <c r="J163" s="33"/>
      <c r="K163" s="39"/>
      <c r="L163" s="33"/>
      <c r="M163" s="25"/>
      <c r="N163" s="39"/>
      <c r="O163" s="35" t="str">
        <f aca="false">IF($C163="","",IF(N($N163)&lt;=0,"未开票",IF(ROUND(N($N163)-N($K163),2)&gt;=0,"已开票",IFERROR("部分开票 "&amp;TEXT(N($N163)/N($K163),"0%"),"部分开票"))))</f>
        <v/>
      </c>
      <c r="P163" s="40" t="str">
        <f aca="false">IF($C163="","",ROUND($V163+MIN($W163,MAX(0,(SUMIF(收款键,$D163,收款金额)-SUMIFS(收款金额,收款键,$D163,收款关联,"&lt;&gt;"))-($X163-$W163))),2))</f>
        <v/>
      </c>
      <c r="Q163" s="41" t="str">
        <f aca="false">IF($C163="","",ROUND(N($K163)-N($P163),2))</f>
        <v/>
      </c>
      <c r="R163" s="29" t="str">
        <f aca="false">IF($C163="","",YEAR($C163))</f>
        <v/>
      </c>
      <c r="S163" s="24"/>
      <c r="T163" s="35" t="str">
        <f aca="false">IF($C163="","",IF($D163="","★没选客户项目",IF(COUNTIF(合同键,$D163)=0,"★《维保合同》里没这个项目",IF(N($K163)&lt;=0,"★应收金额要填",IF(ROUND(N($N163)-N($K163),2)&gt;0.001,"★开票金额大于应收",IF(AND($L163&lt;&gt;"",N($N163)&lt;=0),"★填了开票日期没填开票金额",IF(AND($I163&lt;&gt;"",$J163&lt;&gt;"",$J163&lt;$I163),"★计费期间起止反了","OK")))))))</f>
        <v/>
      </c>
      <c r="U163" s="29" t="str">
        <f aca="false">IF($L163="","",YEAR($L163))</f>
        <v/>
      </c>
      <c r="V163" s="40" t="str">
        <f aca="false">IF($C163="","",ROUND(SUMIF(收款关联,$B163,收款金额),2))</f>
        <v/>
      </c>
      <c r="W163" s="40" t="str">
        <f aca="false">IF($C163="","",MAX(0,ROUND(N($K163)-N($V163),2)))</f>
        <v/>
      </c>
      <c r="X163" s="40" t="str">
        <f aca="false">IF($C163="","",ROUND(SUMIFS(应收净额,应收键,$D163,应收行号,"&lt;="&amp;ROW()),2))</f>
        <v/>
      </c>
      <c r="Y163" s="29" t="str">
        <f aca="false">IF($C163="","",ROW())</f>
        <v/>
      </c>
    </row>
    <row r="164" customFormat="false" ht="15" hidden="false" customHeight="false" outlineLevel="0" collapsed="false">
      <c r="A164" s="29" t="str">
        <f aca="false">IF($C164="","",ROW()-4)</f>
        <v/>
      </c>
      <c r="B164" s="35" t="str">
        <f aca="false">IF($C164="","","YS"&amp;TEXT($C164,"yyyymm")&amp;"-"&amp;TEXT(ROW()-4,"0000"))</f>
        <v/>
      </c>
      <c r="C164" s="33"/>
      <c r="D164" s="24"/>
      <c r="E164" s="30" t="str">
        <f aca="false">IF($D164="","",IFERROR(INDEX(合同单位,MATCH($D164,合同键,0)),IFERROR(TRIM(LEFT($D164,FIND("｜",$D164)-1)),$D164)))</f>
        <v/>
      </c>
      <c r="F164" s="30" t="str">
        <f aca="false">IF($D164="","",IFERROR(INDEX(合同项目,MATCH($D164,合同键,0)),IFERROR(TRIM(MID($D164,FIND("｜",$D164)+1,99)),"")))</f>
        <v/>
      </c>
      <c r="G164" s="24"/>
      <c r="H164" s="35" t="str">
        <f aca="false">IF($G164="","",IFERROR(INDEX(费用款别,MATCH($G164,费用类别表,0)),"合同外款"))</f>
        <v/>
      </c>
      <c r="I164" s="33"/>
      <c r="J164" s="33"/>
      <c r="K164" s="39"/>
      <c r="L164" s="33"/>
      <c r="M164" s="25"/>
      <c r="N164" s="39"/>
      <c r="O164" s="35" t="str">
        <f aca="false">IF($C164="","",IF(N($N164)&lt;=0,"未开票",IF(ROUND(N($N164)-N($K164),2)&gt;=0,"已开票",IFERROR("部分开票 "&amp;TEXT(N($N164)/N($K164),"0%"),"部分开票"))))</f>
        <v/>
      </c>
      <c r="P164" s="40" t="str">
        <f aca="false">IF($C164="","",ROUND($V164+MIN($W164,MAX(0,(SUMIF(收款键,$D164,收款金额)-SUMIFS(收款金额,收款键,$D164,收款关联,"&lt;&gt;"))-($X164-$W164))),2))</f>
        <v/>
      </c>
      <c r="Q164" s="41" t="str">
        <f aca="false">IF($C164="","",ROUND(N($K164)-N($P164),2))</f>
        <v/>
      </c>
      <c r="R164" s="29" t="str">
        <f aca="false">IF($C164="","",YEAR($C164))</f>
        <v/>
      </c>
      <c r="S164" s="24"/>
      <c r="T164" s="35" t="str">
        <f aca="false">IF($C164="","",IF($D164="","★没选客户项目",IF(COUNTIF(合同键,$D164)=0,"★《维保合同》里没这个项目",IF(N($K164)&lt;=0,"★应收金额要填",IF(ROUND(N($N164)-N($K164),2)&gt;0.001,"★开票金额大于应收",IF(AND($L164&lt;&gt;"",N($N164)&lt;=0),"★填了开票日期没填开票金额",IF(AND($I164&lt;&gt;"",$J164&lt;&gt;"",$J164&lt;$I164),"★计费期间起止反了","OK")))))))</f>
        <v/>
      </c>
      <c r="U164" s="29" t="str">
        <f aca="false">IF($L164="","",YEAR($L164))</f>
        <v/>
      </c>
      <c r="V164" s="40" t="str">
        <f aca="false">IF($C164="","",ROUND(SUMIF(收款关联,$B164,收款金额),2))</f>
        <v/>
      </c>
      <c r="W164" s="40" t="str">
        <f aca="false">IF($C164="","",MAX(0,ROUND(N($K164)-N($V164),2)))</f>
        <v/>
      </c>
      <c r="X164" s="40" t="str">
        <f aca="false">IF($C164="","",ROUND(SUMIFS(应收净额,应收键,$D164,应收行号,"&lt;="&amp;ROW()),2))</f>
        <v/>
      </c>
      <c r="Y164" s="29" t="str">
        <f aca="false">IF($C164="","",ROW())</f>
        <v/>
      </c>
    </row>
    <row r="165" customFormat="false" ht="15" hidden="false" customHeight="false" outlineLevel="0" collapsed="false">
      <c r="A165" s="29" t="str">
        <f aca="false">IF($C165="","",ROW()-4)</f>
        <v/>
      </c>
      <c r="B165" s="35" t="str">
        <f aca="false">IF($C165="","","YS"&amp;TEXT($C165,"yyyymm")&amp;"-"&amp;TEXT(ROW()-4,"0000"))</f>
        <v/>
      </c>
      <c r="C165" s="33"/>
      <c r="D165" s="24"/>
      <c r="E165" s="30" t="str">
        <f aca="false">IF($D165="","",IFERROR(INDEX(合同单位,MATCH($D165,合同键,0)),IFERROR(TRIM(LEFT($D165,FIND("｜",$D165)-1)),$D165)))</f>
        <v/>
      </c>
      <c r="F165" s="30" t="str">
        <f aca="false">IF($D165="","",IFERROR(INDEX(合同项目,MATCH($D165,合同键,0)),IFERROR(TRIM(MID($D165,FIND("｜",$D165)+1,99)),"")))</f>
        <v/>
      </c>
      <c r="G165" s="24"/>
      <c r="H165" s="35" t="str">
        <f aca="false">IF($G165="","",IFERROR(INDEX(费用款别,MATCH($G165,费用类别表,0)),"合同外款"))</f>
        <v/>
      </c>
      <c r="I165" s="33"/>
      <c r="J165" s="33"/>
      <c r="K165" s="39"/>
      <c r="L165" s="33"/>
      <c r="M165" s="25"/>
      <c r="N165" s="39"/>
      <c r="O165" s="35" t="str">
        <f aca="false">IF($C165="","",IF(N($N165)&lt;=0,"未开票",IF(ROUND(N($N165)-N($K165),2)&gt;=0,"已开票",IFERROR("部分开票 "&amp;TEXT(N($N165)/N($K165),"0%"),"部分开票"))))</f>
        <v/>
      </c>
      <c r="P165" s="40" t="str">
        <f aca="false">IF($C165="","",ROUND($V165+MIN($W165,MAX(0,(SUMIF(收款键,$D165,收款金额)-SUMIFS(收款金额,收款键,$D165,收款关联,"&lt;&gt;"))-($X165-$W165))),2))</f>
        <v/>
      </c>
      <c r="Q165" s="41" t="str">
        <f aca="false">IF($C165="","",ROUND(N($K165)-N($P165),2))</f>
        <v/>
      </c>
      <c r="R165" s="29" t="str">
        <f aca="false">IF($C165="","",YEAR($C165))</f>
        <v/>
      </c>
      <c r="S165" s="24"/>
      <c r="T165" s="35" t="str">
        <f aca="false">IF($C165="","",IF($D165="","★没选客户项目",IF(COUNTIF(合同键,$D165)=0,"★《维保合同》里没这个项目",IF(N($K165)&lt;=0,"★应收金额要填",IF(ROUND(N($N165)-N($K165),2)&gt;0.001,"★开票金额大于应收",IF(AND($L165&lt;&gt;"",N($N165)&lt;=0),"★填了开票日期没填开票金额",IF(AND($I165&lt;&gt;"",$J165&lt;&gt;"",$J165&lt;$I165),"★计费期间起止反了","OK")))))))</f>
        <v/>
      </c>
      <c r="U165" s="29" t="str">
        <f aca="false">IF($L165="","",YEAR($L165))</f>
        <v/>
      </c>
      <c r="V165" s="40" t="str">
        <f aca="false">IF($C165="","",ROUND(SUMIF(收款关联,$B165,收款金额),2))</f>
        <v/>
      </c>
      <c r="W165" s="40" t="str">
        <f aca="false">IF($C165="","",MAX(0,ROUND(N($K165)-N($V165),2)))</f>
        <v/>
      </c>
      <c r="X165" s="40" t="str">
        <f aca="false">IF($C165="","",ROUND(SUMIFS(应收净额,应收键,$D165,应收行号,"&lt;="&amp;ROW()),2))</f>
        <v/>
      </c>
      <c r="Y165" s="29" t="str">
        <f aca="false">IF($C165="","",ROW())</f>
        <v/>
      </c>
    </row>
    <row r="166" customFormat="false" ht="15" hidden="false" customHeight="false" outlineLevel="0" collapsed="false">
      <c r="A166" s="29" t="str">
        <f aca="false">IF($C166="","",ROW()-4)</f>
        <v/>
      </c>
      <c r="B166" s="35" t="str">
        <f aca="false">IF($C166="","","YS"&amp;TEXT($C166,"yyyymm")&amp;"-"&amp;TEXT(ROW()-4,"0000"))</f>
        <v/>
      </c>
      <c r="C166" s="33"/>
      <c r="D166" s="24"/>
      <c r="E166" s="30" t="str">
        <f aca="false">IF($D166="","",IFERROR(INDEX(合同单位,MATCH($D166,合同键,0)),IFERROR(TRIM(LEFT($D166,FIND("｜",$D166)-1)),$D166)))</f>
        <v/>
      </c>
      <c r="F166" s="30" t="str">
        <f aca="false">IF($D166="","",IFERROR(INDEX(合同项目,MATCH($D166,合同键,0)),IFERROR(TRIM(MID($D166,FIND("｜",$D166)+1,99)),"")))</f>
        <v/>
      </c>
      <c r="G166" s="24"/>
      <c r="H166" s="35" t="str">
        <f aca="false">IF($G166="","",IFERROR(INDEX(费用款别,MATCH($G166,费用类别表,0)),"合同外款"))</f>
        <v/>
      </c>
      <c r="I166" s="33"/>
      <c r="J166" s="33"/>
      <c r="K166" s="39"/>
      <c r="L166" s="33"/>
      <c r="M166" s="25"/>
      <c r="N166" s="39"/>
      <c r="O166" s="35" t="str">
        <f aca="false">IF($C166="","",IF(N($N166)&lt;=0,"未开票",IF(ROUND(N($N166)-N($K166),2)&gt;=0,"已开票",IFERROR("部分开票 "&amp;TEXT(N($N166)/N($K166),"0%"),"部分开票"))))</f>
        <v/>
      </c>
      <c r="P166" s="40" t="str">
        <f aca="false">IF($C166="","",ROUND($V166+MIN($W166,MAX(0,(SUMIF(收款键,$D166,收款金额)-SUMIFS(收款金额,收款键,$D166,收款关联,"&lt;&gt;"))-($X166-$W166))),2))</f>
        <v/>
      </c>
      <c r="Q166" s="41" t="str">
        <f aca="false">IF($C166="","",ROUND(N($K166)-N($P166),2))</f>
        <v/>
      </c>
      <c r="R166" s="29" t="str">
        <f aca="false">IF($C166="","",YEAR($C166))</f>
        <v/>
      </c>
      <c r="S166" s="24"/>
      <c r="T166" s="35" t="str">
        <f aca="false">IF($C166="","",IF($D166="","★没选客户项目",IF(COUNTIF(合同键,$D166)=0,"★《维保合同》里没这个项目",IF(N($K166)&lt;=0,"★应收金额要填",IF(ROUND(N($N166)-N($K166),2)&gt;0.001,"★开票金额大于应收",IF(AND($L166&lt;&gt;"",N($N166)&lt;=0),"★填了开票日期没填开票金额",IF(AND($I166&lt;&gt;"",$J166&lt;&gt;"",$J166&lt;$I166),"★计费期间起止反了","OK")))))))</f>
        <v/>
      </c>
      <c r="U166" s="29" t="str">
        <f aca="false">IF($L166="","",YEAR($L166))</f>
        <v/>
      </c>
      <c r="V166" s="40" t="str">
        <f aca="false">IF($C166="","",ROUND(SUMIF(收款关联,$B166,收款金额),2))</f>
        <v/>
      </c>
      <c r="W166" s="40" t="str">
        <f aca="false">IF($C166="","",MAX(0,ROUND(N($K166)-N($V166),2)))</f>
        <v/>
      </c>
      <c r="X166" s="40" t="str">
        <f aca="false">IF($C166="","",ROUND(SUMIFS(应收净额,应收键,$D166,应收行号,"&lt;="&amp;ROW()),2))</f>
        <v/>
      </c>
      <c r="Y166" s="29" t="str">
        <f aca="false">IF($C166="","",ROW())</f>
        <v/>
      </c>
    </row>
    <row r="167" customFormat="false" ht="15" hidden="false" customHeight="false" outlineLevel="0" collapsed="false">
      <c r="A167" s="29" t="str">
        <f aca="false">IF($C167="","",ROW()-4)</f>
        <v/>
      </c>
      <c r="B167" s="35" t="str">
        <f aca="false">IF($C167="","","YS"&amp;TEXT($C167,"yyyymm")&amp;"-"&amp;TEXT(ROW()-4,"0000"))</f>
        <v/>
      </c>
      <c r="C167" s="33"/>
      <c r="D167" s="24"/>
      <c r="E167" s="30" t="str">
        <f aca="false">IF($D167="","",IFERROR(INDEX(合同单位,MATCH($D167,合同键,0)),IFERROR(TRIM(LEFT($D167,FIND("｜",$D167)-1)),$D167)))</f>
        <v/>
      </c>
      <c r="F167" s="30" t="str">
        <f aca="false">IF($D167="","",IFERROR(INDEX(合同项目,MATCH($D167,合同键,0)),IFERROR(TRIM(MID($D167,FIND("｜",$D167)+1,99)),"")))</f>
        <v/>
      </c>
      <c r="G167" s="24"/>
      <c r="H167" s="35" t="str">
        <f aca="false">IF($G167="","",IFERROR(INDEX(费用款别,MATCH($G167,费用类别表,0)),"合同外款"))</f>
        <v/>
      </c>
      <c r="I167" s="33"/>
      <c r="J167" s="33"/>
      <c r="K167" s="39"/>
      <c r="L167" s="33"/>
      <c r="M167" s="25"/>
      <c r="N167" s="39"/>
      <c r="O167" s="35" t="str">
        <f aca="false">IF($C167="","",IF(N($N167)&lt;=0,"未开票",IF(ROUND(N($N167)-N($K167),2)&gt;=0,"已开票",IFERROR("部分开票 "&amp;TEXT(N($N167)/N($K167),"0%"),"部分开票"))))</f>
        <v/>
      </c>
      <c r="P167" s="40" t="str">
        <f aca="false">IF($C167="","",ROUND($V167+MIN($W167,MAX(0,(SUMIF(收款键,$D167,收款金额)-SUMIFS(收款金额,收款键,$D167,收款关联,"&lt;&gt;"))-($X167-$W167))),2))</f>
        <v/>
      </c>
      <c r="Q167" s="41" t="str">
        <f aca="false">IF($C167="","",ROUND(N($K167)-N($P167),2))</f>
        <v/>
      </c>
      <c r="R167" s="29" t="str">
        <f aca="false">IF($C167="","",YEAR($C167))</f>
        <v/>
      </c>
      <c r="S167" s="24"/>
      <c r="T167" s="35" t="str">
        <f aca="false">IF($C167="","",IF($D167="","★没选客户项目",IF(COUNTIF(合同键,$D167)=0,"★《维保合同》里没这个项目",IF(N($K167)&lt;=0,"★应收金额要填",IF(ROUND(N($N167)-N($K167),2)&gt;0.001,"★开票金额大于应收",IF(AND($L167&lt;&gt;"",N($N167)&lt;=0),"★填了开票日期没填开票金额",IF(AND($I167&lt;&gt;"",$J167&lt;&gt;"",$J167&lt;$I167),"★计费期间起止反了","OK")))))))</f>
        <v/>
      </c>
      <c r="U167" s="29" t="str">
        <f aca="false">IF($L167="","",YEAR($L167))</f>
        <v/>
      </c>
      <c r="V167" s="40" t="str">
        <f aca="false">IF($C167="","",ROUND(SUMIF(收款关联,$B167,收款金额),2))</f>
        <v/>
      </c>
      <c r="W167" s="40" t="str">
        <f aca="false">IF($C167="","",MAX(0,ROUND(N($K167)-N($V167),2)))</f>
        <v/>
      </c>
      <c r="X167" s="40" t="str">
        <f aca="false">IF($C167="","",ROUND(SUMIFS(应收净额,应收键,$D167,应收行号,"&lt;="&amp;ROW()),2))</f>
        <v/>
      </c>
      <c r="Y167" s="29" t="str">
        <f aca="false">IF($C167="","",ROW())</f>
        <v/>
      </c>
    </row>
    <row r="168" customFormat="false" ht="15" hidden="false" customHeight="false" outlineLevel="0" collapsed="false">
      <c r="A168" s="29" t="str">
        <f aca="false">IF($C168="","",ROW()-4)</f>
        <v/>
      </c>
      <c r="B168" s="35" t="str">
        <f aca="false">IF($C168="","","YS"&amp;TEXT($C168,"yyyymm")&amp;"-"&amp;TEXT(ROW()-4,"0000"))</f>
        <v/>
      </c>
      <c r="C168" s="33"/>
      <c r="D168" s="24"/>
      <c r="E168" s="30" t="str">
        <f aca="false">IF($D168="","",IFERROR(INDEX(合同单位,MATCH($D168,合同键,0)),IFERROR(TRIM(LEFT($D168,FIND("｜",$D168)-1)),$D168)))</f>
        <v/>
      </c>
      <c r="F168" s="30" t="str">
        <f aca="false">IF($D168="","",IFERROR(INDEX(合同项目,MATCH($D168,合同键,0)),IFERROR(TRIM(MID($D168,FIND("｜",$D168)+1,99)),"")))</f>
        <v/>
      </c>
      <c r="G168" s="24"/>
      <c r="H168" s="35" t="str">
        <f aca="false">IF($G168="","",IFERROR(INDEX(费用款别,MATCH($G168,费用类别表,0)),"合同外款"))</f>
        <v/>
      </c>
      <c r="I168" s="33"/>
      <c r="J168" s="33"/>
      <c r="K168" s="39"/>
      <c r="L168" s="33"/>
      <c r="M168" s="25"/>
      <c r="N168" s="39"/>
      <c r="O168" s="35" t="str">
        <f aca="false">IF($C168="","",IF(N($N168)&lt;=0,"未开票",IF(ROUND(N($N168)-N($K168),2)&gt;=0,"已开票",IFERROR("部分开票 "&amp;TEXT(N($N168)/N($K168),"0%"),"部分开票"))))</f>
        <v/>
      </c>
      <c r="P168" s="40" t="str">
        <f aca="false">IF($C168="","",ROUND($V168+MIN($W168,MAX(0,(SUMIF(收款键,$D168,收款金额)-SUMIFS(收款金额,收款键,$D168,收款关联,"&lt;&gt;"))-($X168-$W168))),2))</f>
        <v/>
      </c>
      <c r="Q168" s="41" t="str">
        <f aca="false">IF($C168="","",ROUND(N($K168)-N($P168),2))</f>
        <v/>
      </c>
      <c r="R168" s="29" t="str">
        <f aca="false">IF($C168="","",YEAR($C168))</f>
        <v/>
      </c>
      <c r="S168" s="24"/>
      <c r="T168" s="35" t="str">
        <f aca="false">IF($C168="","",IF($D168="","★没选客户项目",IF(COUNTIF(合同键,$D168)=0,"★《维保合同》里没这个项目",IF(N($K168)&lt;=0,"★应收金额要填",IF(ROUND(N($N168)-N($K168),2)&gt;0.001,"★开票金额大于应收",IF(AND($L168&lt;&gt;"",N($N168)&lt;=0),"★填了开票日期没填开票金额",IF(AND($I168&lt;&gt;"",$J168&lt;&gt;"",$J168&lt;$I168),"★计费期间起止反了","OK")))))))</f>
        <v/>
      </c>
      <c r="U168" s="29" t="str">
        <f aca="false">IF($L168="","",YEAR($L168))</f>
        <v/>
      </c>
      <c r="V168" s="40" t="str">
        <f aca="false">IF($C168="","",ROUND(SUMIF(收款关联,$B168,收款金额),2))</f>
        <v/>
      </c>
      <c r="W168" s="40" t="str">
        <f aca="false">IF($C168="","",MAX(0,ROUND(N($K168)-N($V168),2)))</f>
        <v/>
      </c>
      <c r="X168" s="40" t="str">
        <f aca="false">IF($C168="","",ROUND(SUMIFS(应收净额,应收键,$D168,应收行号,"&lt;="&amp;ROW()),2))</f>
        <v/>
      </c>
      <c r="Y168" s="29" t="str">
        <f aca="false">IF($C168="","",ROW())</f>
        <v/>
      </c>
    </row>
    <row r="169" customFormat="false" ht="15" hidden="false" customHeight="false" outlineLevel="0" collapsed="false">
      <c r="A169" s="29" t="str">
        <f aca="false">IF($C169="","",ROW()-4)</f>
        <v/>
      </c>
      <c r="B169" s="35" t="str">
        <f aca="false">IF($C169="","","YS"&amp;TEXT($C169,"yyyymm")&amp;"-"&amp;TEXT(ROW()-4,"0000"))</f>
        <v/>
      </c>
      <c r="C169" s="33"/>
      <c r="D169" s="24"/>
      <c r="E169" s="30" t="str">
        <f aca="false">IF($D169="","",IFERROR(INDEX(合同单位,MATCH($D169,合同键,0)),IFERROR(TRIM(LEFT($D169,FIND("｜",$D169)-1)),$D169)))</f>
        <v/>
      </c>
      <c r="F169" s="30" t="str">
        <f aca="false">IF($D169="","",IFERROR(INDEX(合同项目,MATCH($D169,合同键,0)),IFERROR(TRIM(MID($D169,FIND("｜",$D169)+1,99)),"")))</f>
        <v/>
      </c>
      <c r="G169" s="24"/>
      <c r="H169" s="35" t="str">
        <f aca="false">IF($G169="","",IFERROR(INDEX(费用款别,MATCH($G169,费用类别表,0)),"合同外款"))</f>
        <v/>
      </c>
      <c r="I169" s="33"/>
      <c r="J169" s="33"/>
      <c r="K169" s="39"/>
      <c r="L169" s="33"/>
      <c r="M169" s="25"/>
      <c r="N169" s="39"/>
      <c r="O169" s="35" t="str">
        <f aca="false">IF($C169="","",IF(N($N169)&lt;=0,"未开票",IF(ROUND(N($N169)-N($K169),2)&gt;=0,"已开票",IFERROR("部分开票 "&amp;TEXT(N($N169)/N($K169),"0%"),"部分开票"))))</f>
        <v/>
      </c>
      <c r="P169" s="40" t="str">
        <f aca="false">IF($C169="","",ROUND($V169+MIN($W169,MAX(0,(SUMIF(收款键,$D169,收款金额)-SUMIFS(收款金额,收款键,$D169,收款关联,"&lt;&gt;"))-($X169-$W169))),2))</f>
        <v/>
      </c>
      <c r="Q169" s="41" t="str">
        <f aca="false">IF($C169="","",ROUND(N($K169)-N($P169),2))</f>
        <v/>
      </c>
      <c r="R169" s="29" t="str">
        <f aca="false">IF($C169="","",YEAR($C169))</f>
        <v/>
      </c>
      <c r="S169" s="24"/>
      <c r="T169" s="35" t="str">
        <f aca="false">IF($C169="","",IF($D169="","★没选客户项目",IF(COUNTIF(合同键,$D169)=0,"★《维保合同》里没这个项目",IF(N($K169)&lt;=0,"★应收金额要填",IF(ROUND(N($N169)-N($K169),2)&gt;0.001,"★开票金额大于应收",IF(AND($L169&lt;&gt;"",N($N169)&lt;=0),"★填了开票日期没填开票金额",IF(AND($I169&lt;&gt;"",$J169&lt;&gt;"",$J169&lt;$I169),"★计费期间起止反了","OK")))))))</f>
        <v/>
      </c>
      <c r="U169" s="29" t="str">
        <f aca="false">IF($L169="","",YEAR($L169))</f>
        <v/>
      </c>
      <c r="V169" s="40" t="str">
        <f aca="false">IF($C169="","",ROUND(SUMIF(收款关联,$B169,收款金额),2))</f>
        <v/>
      </c>
      <c r="W169" s="40" t="str">
        <f aca="false">IF($C169="","",MAX(0,ROUND(N($K169)-N($V169),2)))</f>
        <v/>
      </c>
      <c r="X169" s="40" t="str">
        <f aca="false">IF($C169="","",ROUND(SUMIFS(应收净额,应收键,$D169,应收行号,"&lt;="&amp;ROW()),2))</f>
        <v/>
      </c>
      <c r="Y169" s="29" t="str">
        <f aca="false">IF($C169="","",ROW())</f>
        <v/>
      </c>
    </row>
    <row r="170" customFormat="false" ht="15" hidden="false" customHeight="false" outlineLevel="0" collapsed="false">
      <c r="A170" s="29" t="str">
        <f aca="false">IF($C170="","",ROW()-4)</f>
        <v/>
      </c>
      <c r="B170" s="35" t="str">
        <f aca="false">IF($C170="","","YS"&amp;TEXT($C170,"yyyymm")&amp;"-"&amp;TEXT(ROW()-4,"0000"))</f>
        <v/>
      </c>
      <c r="C170" s="33"/>
      <c r="D170" s="24"/>
      <c r="E170" s="30" t="str">
        <f aca="false">IF($D170="","",IFERROR(INDEX(合同单位,MATCH($D170,合同键,0)),IFERROR(TRIM(LEFT($D170,FIND("｜",$D170)-1)),$D170)))</f>
        <v/>
      </c>
      <c r="F170" s="30" t="str">
        <f aca="false">IF($D170="","",IFERROR(INDEX(合同项目,MATCH($D170,合同键,0)),IFERROR(TRIM(MID($D170,FIND("｜",$D170)+1,99)),"")))</f>
        <v/>
      </c>
      <c r="G170" s="24"/>
      <c r="H170" s="35" t="str">
        <f aca="false">IF($G170="","",IFERROR(INDEX(费用款别,MATCH($G170,费用类别表,0)),"合同外款"))</f>
        <v/>
      </c>
      <c r="I170" s="33"/>
      <c r="J170" s="33"/>
      <c r="K170" s="39"/>
      <c r="L170" s="33"/>
      <c r="M170" s="25"/>
      <c r="N170" s="39"/>
      <c r="O170" s="35" t="str">
        <f aca="false">IF($C170="","",IF(N($N170)&lt;=0,"未开票",IF(ROUND(N($N170)-N($K170),2)&gt;=0,"已开票",IFERROR("部分开票 "&amp;TEXT(N($N170)/N($K170),"0%"),"部分开票"))))</f>
        <v/>
      </c>
      <c r="P170" s="40" t="str">
        <f aca="false">IF($C170="","",ROUND($V170+MIN($W170,MAX(0,(SUMIF(收款键,$D170,收款金额)-SUMIFS(收款金额,收款键,$D170,收款关联,"&lt;&gt;"))-($X170-$W170))),2))</f>
        <v/>
      </c>
      <c r="Q170" s="41" t="str">
        <f aca="false">IF($C170="","",ROUND(N($K170)-N($P170),2))</f>
        <v/>
      </c>
      <c r="R170" s="29" t="str">
        <f aca="false">IF($C170="","",YEAR($C170))</f>
        <v/>
      </c>
      <c r="S170" s="24"/>
      <c r="T170" s="35" t="str">
        <f aca="false">IF($C170="","",IF($D170="","★没选客户项目",IF(COUNTIF(合同键,$D170)=0,"★《维保合同》里没这个项目",IF(N($K170)&lt;=0,"★应收金额要填",IF(ROUND(N($N170)-N($K170),2)&gt;0.001,"★开票金额大于应收",IF(AND($L170&lt;&gt;"",N($N170)&lt;=0),"★填了开票日期没填开票金额",IF(AND($I170&lt;&gt;"",$J170&lt;&gt;"",$J170&lt;$I170),"★计费期间起止反了","OK")))))))</f>
        <v/>
      </c>
      <c r="U170" s="29" t="str">
        <f aca="false">IF($L170="","",YEAR($L170))</f>
        <v/>
      </c>
      <c r="V170" s="40" t="str">
        <f aca="false">IF($C170="","",ROUND(SUMIF(收款关联,$B170,收款金额),2))</f>
        <v/>
      </c>
      <c r="W170" s="40" t="str">
        <f aca="false">IF($C170="","",MAX(0,ROUND(N($K170)-N($V170),2)))</f>
        <v/>
      </c>
      <c r="X170" s="40" t="str">
        <f aca="false">IF($C170="","",ROUND(SUMIFS(应收净额,应收键,$D170,应收行号,"&lt;="&amp;ROW()),2))</f>
        <v/>
      </c>
      <c r="Y170" s="29" t="str">
        <f aca="false">IF($C170="","",ROW())</f>
        <v/>
      </c>
    </row>
    <row r="171" customFormat="false" ht="15" hidden="false" customHeight="false" outlineLevel="0" collapsed="false">
      <c r="A171" s="29" t="str">
        <f aca="false">IF($C171="","",ROW()-4)</f>
        <v/>
      </c>
      <c r="B171" s="35" t="str">
        <f aca="false">IF($C171="","","YS"&amp;TEXT($C171,"yyyymm")&amp;"-"&amp;TEXT(ROW()-4,"0000"))</f>
        <v/>
      </c>
      <c r="C171" s="33"/>
      <c r="D171" s="24"/>
      <c r="E171" s="30" t="str">
        <f aca="false">IF($D171="","",IFERROR(INDEX(合同单位,MATCH($D171,合同键,0)),IFERROR(TRIM(LEFT($D171,FIND("｜",$D171)-1)),$D171)))</f>
        <v/>
      </c>
      <c r="F171" s="30" t="str">
        <f aca="false">IF($D171="","",IFERROR(INDEX(合同项目,MATCH($D171,合同键,0)),IFERROR(TRIM(MID($D171,FIND("｜",$D171)+1,99)),"")))</f>
        <v/>
      </c>
      <c r="G171" s="24"/>
      <c r="H171" s="35" t="str">
        <f aca="false">IF($G171="","",IFERROR(INDEX(费用款别,MATCH($G171,费用类别表,0)),"合同外款"))</f>
        <v/>
      </c>
      <c r="I171" s="33"/>
      <c r="J171" s="33"/>
      <c r="K171" s="39"/>
      <c r="L171" s="33"/>
      <c r="M171" s="25"/>
      <c r="N171" s="39"/>
      <c r="O171" s="35" t="str">
        <f aca="false">IF($C171="","",IF(N($N171)&lt;=0,"未开票",IF(ROUND(N($N171)-N($K171),2)&gt;=0,"已开票",IFERROR("部分开票 "&amp;TEXT(N($N171)/N($K171),"0%"),"部分开票"))))</f>
        <v/>
      </c>
      <c r="P171" s="40" t="str">
        <f aca="false">IF($C171="","",ROUND($V171+MIN($W171,MAX(0,(SUMIF(收款键,$D171,收款金额)-SUMIFS(收款金额,收款键,$D171,收款关联,"&lt;&gt;"))-($X171-$W171))),2))</f>
        <v/>
      </c>
      <c r="Q171" s="41" t="str">
        <f aca="false">IF($C171="","",ROUND(N($K171)-N($P171),2))</f>
        <v/>
      </c>
      <c r="R171" s="29" t="str">
        <f aca="false">IF($C171="","",YEAR($C171))</f>
        <v/>
      </c>
      <c r="S171" s="24"/>
      <c r="T171" s="35" t="str">
        <f aca="false">IF($C171="","",IF($D171="","★没选客户项目",IF(COUNTIF(合同键,$D171)=0,"★《维保合同》里没这个项目",IF(N($K171)&lt;=0,"★应收金额要填",IF(ROUND(N($N171)-N($K171),2)&gt;0.001,"★开票金额大于应收",IF(AND($L171&lt;&gt;"",N($N171)&lt;=0),"★填了开票日期没填开票金额",IF(AND($I171&lt;&gt;"",$J171&lt;&gt;"",$J171&lt;$I171),"★计费期间起止反了","OK")))))))</f>
        <v/>
      </c>
      <c r="U171" s="29" t="str">
        <f aca="false">IF($L171="","",YEAR($L171))</f>
        <v/>
      </c>
      <c r="V171" s="40" t="str">
        <f aca="false">IF($C171="","",ROUND(SUMIF(收款关联,$B171,收款金额),2))</f>
        <v/>
      </c>
      <c r="W171" s="40" t="str">
        <f aca="false">IF($C171="","",MAX(0,ROUND(N($K171)-N($V171),2)))</f>
        <v/>
      </c>
      <c r="X171" s="40" t="str">
        <f aca="false">IF($C171="","",ROUND(SUMIFS(应收净额,应收键,$D171,应收行号,"&lt;="&amp;ROW()),2))</f>
        <v/>
      </c>
      <c r="Y171" s="29" t="str">
        <f aca="false">IF($C171="","",ROW())</f>
        <v/>
      </c>
    </row>
    <row r="172" customFormat="false" ht="15" hidden="false" customHeight="false" outlineLevel="0" collapsed="false">
      <c r="A172" s="29" t="str">
        <f aca="false">IF($C172="","",ROW()-4)</f>
        <v/>
      </c>
      <c r="B172" s="35" t="str">
        <f aca="false">IF($C172="","","YS"&amp;TEXT($C172,"yyyymm")&amp;"-"&amp;TEXT(ROW()-4,"0000"))</f>
        <v/>
      </c>
      <c r="C172" s="33"/>
      <c r="D172" s="24"/>
      <c r="E172" s="30" t="str">
        <f aca="false">IF($D172="","",IFERROR(INDEX(合同单位,MATCH($D172,合同键,0)),IFERROR(TRIM(LEFT($D172,FIND("｜",$D172)-1)),$D172)))</f>
        <v/>
      </c>
      <c r="F172" s="30" t="str">
        <f aca="false">IF($D172="","",IFERROR(INDEX(合同项目,MATCH($D172,合同键,0)),IFERROR(TRIM(MID($D172,FIND("｜",$D172)+1,99)),"")))</f>
        <v/>
      </c>
      <c r="G172" s="24"/>
      <c r="H172" s="35" t="str">
        <f aca="false">IF($G172="","",IFERROR(INDEX(费用款别,MATCH($G172,费用类别表,0)),"合同外款"))</f>
        <v/>
      </c>
      <c r="I172" s="33"/>
      <c r="J172" s="33"/>
      <c r="K172" s="39"/>
      <c r="L172" s="33"/>
      <c r="M172" s="25"/>
      <c r="N172" s="39"/>
      <c r="O172" s="35" t="str">
        <f aca="false">IF($C172="","",IF(N($N172)&lt;=0,"未开票",IF(ROUND(N($N172)-N($K172),2)&gt;=0,"已开票",IFERROR("部分开票 "&amp;TEXT(N($N172)/N($K172),"0%"),"部分开票"))))</f>
        <v/>
      </c>
      <c r="P172" s="40" t="str">
        <f aca="false">IF($C172="","",ROUND($V172+MIN($W172,MAX(0,(SUMIF(收款键,$D172,收款金额)-SUMIFS(收款金额,收款键,$D172,收款关联,"&lt;&gt;"))-($X172-$W172))),2))</f>
        <v/>
      </c>
      <c r="Q172" s="41" t="str">
        <f aca="false">IF($C172="","",ROUND(N($K172)-N($P172),2))</f>
        <v/>
      </c>
      <c r="R172" s="29" t="str">
        <f aca="false">IF($C172="","",YEAR($C172))</f>
        <v/>
      </c>
      <c r="S172" s="24"/>
      <c r="T172" s="35" t="str">
        <f aca="false">IF($C172="","",IF($D172="","★没选客户项目",IF(COUNTIF(合同键,$D172)=0,"★《维保合同》里没这个项目",IF(N($K172)&lt;=0,"★应收金额要填",IF(ROUND(N($N172)-N($K172),2)&gt;0.001,"★开票金额大于应收",IF(AND($L172&lt;&gt;"",N($N172)&lt;=0),"★填了开票日期没填开票金额",IF(AND($I172&lt;&gt;"",$J172&lt;&gt;"",$J172&lt;$I172),"★计费期间起止反了","OK")))))))</f>
        <v/>
      </c>
      <c r="U172" s="29" t="str">
        <f aca="false">IF($L172="","",YEAR($L172))</f>
        <v/>
      </c>
      <c r="V172" s="40" t="str">
        <f aca="false">IF($C172="","",ROUND(SUMIF(收款关联,$B172,收款金额),2))</f>
        <v/>
      </c>
      <c r="W172" s="40" t="str">
        <f aca="false">IF($C172="","",MAX(0,ROUND(N($K172)-N($V172),2)))</f>
        <v/>
      </c>
      <c r="X172" s="40" t="str">
        <f aca="false">IF($C172="","",ROUND(SUMIFS(应收净额,应收键,$D172,应收行号,"&lt;="&amp;ROW()),2))</f>
        <v/>
      </c>
      <c r="Y172" s="29" t="str">
        <f aca="false">IF($C172="","",ROW())</f>
        <v/>
      </c>
    </row>
    <row r="173" customFormat="false" ht="15" hidden="false" customHeight="false" outlineLevel="0" collapsed="false">
      <c r="A173" s="29" t="str">
        <f aca="false">IF($C173="","",ROW()-4)</f>
        <v/>
      </c>
      <c r="B173" s="35" t="str">
        <f aca="false">IF($C173="","","YS"&amp;TEXT($C173,"yyyymm")&amp;"-"&amp;TEXT(ROW()-4,"0000"))</f>
        <v/>
      </c>
      <c r="C173" s="33"/>
      <c r="D173" s="24"/>
      <c r="E173" s="30" t="str">
        <f aca="false">IF($D173="","",IFERROR(INDEX(合同单位,MATCH($D173,合同键,0)),IFERROR(TRIM(LEFT($D173,FIND("｜",$D173)-1)),$D173)))</f>
        <v/>
      </c>
      <c r="F173" s="30" t="str">
        <f aca="false">IF($D173="","",IFERROR(INDEX(合同项目,MATCH($D173,合同键,0)),IFERROR(TRIM(MID($D173,FIND("｜",$D173)+1,99)),"")))</f>
        <v/>
      </c>
      <c r="G173" s="24"/>
      <c r="H173" s="35" t="str">
        <f aca="false">IF($G173="","",IFERROR(INDEX(费用款别,MATCH($G173,费用类别表,0)),"合同外款"))</f>
        <v/>
      </c>
      <c r="I173" s="33"/>
      <c r="J173" s="33"/>
      <c r="K173" s="39"/>
      <c r="L173" s="33"/>
      <c r="M173" s="25"/>
      <c r="N173" s="39"/>
      <c r="O173" s="35" t="str">
        <f aca="false">IF($C173="","",IF(N($N173)&lt;=0,"未开票",IF(ROUND(N($N173)-N($K173),2)&gt;=0,"已开票",IFERROR("部分开票 "&amp;TEXT(N($N173)/N($K173),"0%"),"部分开票"))))</f>
        <v/>
      </c>
      <c r="P173" s="40" t="str">
        <f aca="false">IF($C173="","",ROUND($V173+MIN($W173,MAX(0,(SUMIF(收款键,$D173,收款金额)-SUMIFS(收款金额,收款键,$D173,收款关联,"&lt;&gt;"))-($X173-$W173))),2))</f>
        <v/>
      </c>
      <c r="Q173" s="41" t="str">
        <f aca="false">IF($C173="","",ROUND(N($K173)-N($P173),2))</f>
        <v/>
      </c>
      <c r="R173" s="29" t="str">
        <f aca="false">IF($C173="","",YEAR($C173))</f>
        <v/>
      </c>
      <c r="S173" s="24"/>
      <c r="T173" s="35" t="str">
        <f aca="false">IF($C173="","",IF($D173="","★没选客户项目",IF(COUNTIF(合同键,$D173)=0,"★《维保合同》里没这个项目",IF(N($K173)&lt;=0,"★应收金额要填",IF(ROUND(N($N173)-N($K173),2)&gt;0.001,"★开票金额大于应收",IF(AND($L173&lt;&gt;"",N($N173)&lt;=0),"★填了开票日期没填开票金额",IF(AND($I173&lt;&gt;"",$J173&lt;&gt;"",$J173&lt;$I173),"★计费期间起止反了","OK")))))))</f>
        <v/>
      </c>
      <c r="U173" s="29" t="str">
        <f aca="false">IF($L173="","",YEAR($L173))</f>
        <v/>
      </c>
      <c r="V173" s="40" t="str">
        <f aca="false">IF($C173="","",ROUND(SUMIF(收款关联,$B173,收款金额),2))</f>
        <v/>
      </c>
      <c r="W173" s="40" t="str">
        <f aca="false">IF($C173="","",MAX(0,ROUND(N($K173)-N($V173),2)))</f>
        <v/>
      </c>
      <c r="X173" s="40" t="str">
        <f aca="false">IF($C173="","",ROUND(SUMIFS(应收净额,应收键,$D173,应收行号,"&lt;="&amp;ROW()),2))</f>
        <v/>
      </c>
      <c r="Y173" s="29" t="str">
        <f aca="false">IF($C173="","",ROW())</f>
        <v/>
      </c>
    </row>
    <row r="174" customFormat="false" ht="15" hidden="false" customHeight="false" outlineLevel="0" collapsed="false">
      <c r="A174" s="29" t="str">
        <f aca="false">IF($C174="","",ROW()-4)</f>
        <v/>
      </c>
      <c r="B174" s="35" t="str">
        <f aca="false">IF($C174="","","YS"&amp;TEXT($C174,"yyyymm")&amp;"-"&amp;TEXT(ROW()-4,"0000"))</f>
        <v/>
      </c>
      <c r="C174" s="33"/>
      <c r="D174" s="24"/>
      <c r="E174" s="30" t="str">
        <f aca="false">IF($D174="","",IFERROR(INDEX(合同单位,MATCH($D174,合同键,0)),IFERROR(TRIM(LEFT($D174,FIND("｜",$D174)-1)),$D174)))</f>
        <v/>
      </c>
      <c r="F174" s="30" t="str">
        <f aca="false">IF($D174="","",IFERROR(INDEX(合同项目,MATCH($D174,合同键,0)),IFERROR(TRIM(MID($D174,FIND("｜",$D174)+1,99)),"")))</f>
        <v/>
      </c>
      <c r="G174" s="24"/>
      <c r="H174" s="35" t="str">
        <f aca="false">IF($G174="","",IFERROR(INDEX(费用款别,MATCH($G174,费用类别表,0)),"合同外款"))</f>
        <v/>
      </c>
      <c r="I174" s="33"/>
      <c r="J174" s="33"/>
      <c r="K174" s="39"/>
      <c r="L174" s="33"/>
      <c r="M174" s="25"/>
      <c r="N174" s="39"/>
      <c r="O174" s="35" t="str">
        <f aca="false">IF($C174="","",IF(N($N174)&lt;=0,"未开票",IF(ROUND(N($N174)-N($K174),2)&gt;=0,"已开票",IFERROR("部分开票 "&amp;TEXT(N($N174)/N($K174),"0%"),"部分开票"))))</f>
        <v/>
      </c>
      <c r="P174" s="40" t="str">
        <f aca="false">IF($C174="","",ROUND($V174+MIN($W174,MAX(0,(SUMIF(收款键,$D174,收款金额)-SUMIFS(收款金额,收款键,$D174,收款关联,"&lt;&gt;"))-($X174-$W174))),2))</f>
        <v/>
      </c>
      <c r="Q174" s="41" t="str">
        <f aca="false">IF($C174="","",ROUND(N($K174)-N($P174),2))</f>
        <v/>
      </c>
      <c r="R174" s="29" t="str">
        <f aca="false">IF($C174="","",YEAR($C174))</f>
        <v/>
      </c>
      <c r="S174" s="24"/>
      <c r="T174" s="35" t="str">
        <f aca="false">IF($C174="","",IF($D174="","★没选客户项目",IF(COUNTIF(合同键,$D174)=0,"★《维保合同》里没这个项目",IF(N($K174)&lt;=0,"★应收金额要填",IF(ROUND(N($N174)-N($K174),2)&gt;0.001,"★开票金额大于应收",IF(AND($L174&lt;&gt;"",N($N174)&lt;=0),"★填了开票日期没填开票金额",IF(AND($I174&lt;&gt;"",$J174&lt;&gt;"",$J174&lt;$I174),"★计费期间起止反了","OK")))))))</f>
        <v/>
      </c>
      <c r="U174" s="29" t="str">
        <f aca="false">IF($L174="","",YEAR($L174))</f>
        <v/>
      </c>
      <c r="V174" s="40" t="str">
        <f aca="false">IF($C174="","",ROUND(SUMIF(收款关联,$B174,收款金额),2))</f>
        <v/>
      </c>
      <c r="W174" s="40" t="str">
        <f aca="false">IF($C174="","",MAX(0,ROUND(N($K174)-N($V174),2)))</f>
        <v/>
      </c>
      <c r="X174" s="40" t="str">
        <f aca="false">IF($C174="","",ROUND(SUMIFS(应收净额,应收键,$D174,应收行号,"&lt;="&amp;ROW()),2))</f>
        <v/>
      </c>
      <c r="Y174" s="29" t="str">
        <f aca="false">IF($C174="","",ROW())</f>
        <v/>
      </c>
    </row>
    <row r="175" customFormat="false" ht="15" hidden="false" customHeight="false" outlineLevel="0" collapsed="false">
      <c r="A175" s="29" t="str">
        <f aca="false">IF($C175="","",ROW()-4)</f>
        <v/>
      </c>
      <c r="B175" s="35" t="str">
        <f aca="false">IF($C175="","","YS"&amp;TEXT($C175,"yyyymm")&amp;"-"&amp;TEXT(ROW()-4,"0000"))</f>
        <v/>
      </c>
      <c r="C175" s="33"/>
      <c r="D175" s="24"/>
      <c r="E175" s="30" t="str">
        <f aca="false">IF($D175="","",IFERROR(INDEX(合同单位,MATCH($D175,合同键,0)),IFERROR(TRIM(LEFT($D175,FIND("｜",$D175)-1)),$D175)))</f>
        <v/>
      </c>
      <c r="F175" s="30" t="str">
        <f aca="false">IF($D175="","",IFERROR(INDEX(合同项目,MATCH($D175,合同键,0)),IFERROR(TRIM(MID($D175,FIND("｜",$D175)+1,99)),"")))</f>
        <v/>
      </c>
      <c r="G175" s="24"/>
      <c r="H175" s="35" t="str">
        <f aca="false">IF($G175="","",IFERROR(INDEX(费用款别,MATCH($G175,费用类别表,0)),"合同外款"))</f>
        <v/>
      </c>
      <c r="I175" s="33"/>
      <c r="J175" s="33"/>
      <c r="K175" s="39"/>
      <c r="L175" s="33"/>
      <c r="M175" s="25"/>
      <c r="N175" s="39"/>
      <c r="O175" s="35" t="str">
        <f aca="false">IF($C175="","",IF(N($N175)&lt;=0,"未开票",IF(ROUND(N($N175)-N($K175),2)&gt;=0,"已开票",IFERROR("部分开票 "&amp;TEXT(N($N175)/N($K175),"0%"),"部分开票"))))</f>
        <v/>
      </c>
      <c r="P175" s="40" t="str">
        <f aca="false">IF($C175="","",ROUND($V175+MIN($W175,MAX(0,(SUMIF(收款键,$D175,收款金额)-SUMIFS(收款金额,收款键,$D175,收款关联,"&lt;&gt;"))-($X175-$W175))),2))</f>
        <v/>
      </c>
      <c r="Q175" s="41" t="str">
        <f aca="false">IF($C175="","",ROUND(N($K175)-N($P175),2))</f>
        <v/>
      </c>
      <c r="R175" s="29" t="str">
        <f aca="false">IF($C175="","",YEAR($C175))</f>
        <v/>
      </c>
      <c r="S175" s="24"/>
      <c r="T175" s="35" t="str">
        <f aca="false">IF($C175="","",IF($D175="","★没选客户项目",IF(COUNTIF(合同键,$D175)=0,"★《维保合同》里没这个项目",IF(N($K175)&lt;=0,"★应收金额要填",IF(ROUND(N($N175)-N($K175),2)&gt;0.001,"★开票金额大于应收",IF(AND($L175&lt;&gt;"",N($N175)&lt;=0),"★填了开票日期没填开票金额",IF(AND($I175&lt;&gt;"",$J175&lt;&gt;"",$J175&lt;$I175),"★计费期间起止反了","OK")))))))</f>
        <v/>
      </c>
      <c r="U175" s="29" t="str">
        <f aca="false">IF($L175="","",YEAR($L175))</f>
        <v/>
      </c>
      <c r="V175" s="40" t="str">
        <f aca="false">IF($C175="","",ROUND(SUMIF(收款关联,$B175,收款金额),2))</f>
        <v/>
      </c>
      <c r="W175" s="40" t="str">
        <f aca="false">IF($C175="","",MAX(0,ROUND(N($K175)-N($V175),2)))</f>
        <v/>
      </c>
      <c r="X175" s="40" t="str">
        <f aca="false">IF($C175="","",ROUND(SUMIFS(应收净额,应收键,$D175,应收行号,"&lt;="&amp;ROW()),2))</f>
        <v/>
      </c>
      <c r="Y175" s="29" t="str">
        <f aca="false">IF($C175="","",ROW())</f>
        <v/>
      </c>
    </row>
    <row r="176" customFormat="false" ht="15" hidden="false" customHeight="false" outlineLevel="0" collapsed="false">
      <c r="A176" s="29" t="str">
        <f aca="false">IF($C176="","",ROW()-4)</f>
        <v/>
      </c>
      <c r="B176" s="35" t="str">
        <f aca="false">IF($C176="","","YS"&amp;TEXT($C176,"yyyymm")&amp;"-"&amp;TEXT(ROW()-4,"0000"))</f>
        <v/>
      </c>
      <c r="C176" s="33"/>
      <c r="D176" s="24"/>
      <c r="E176" s="30" t="str">
        <f aca="false">IF($D176="","",IFERROR(INDEX(合同单位,MATCH($D176,合同键,0)),IFERROR(TRIM(LEFT($D176,FIND("｜",$D176)-1)),$D176)))</f>
        <v/>
      </c>
      <c r="F176" s="30" t="str">
        <f aca="false">IF($D176="","",IFERROR(INDEX(合同项目,MATCH($D176,合同键,0)),IFERROR(TRIM(MID($D176,FIND("｜",$D176)+1,99)),"")))</f>
        <v/>
      </c>
      <c r="G176" s="24"/>
      <c r="H176" s="35" t="str">
        <f aca="false">IF($G176="","",IFERROR(INDEX(费用款别,MATCH($G176,费用类别表,0)),"合同外款"))</f>
        <v/>
      </c>
      <c r="I176" s="33"/>
      <c r="J176" s="33"/>
      <c r="K176" s="39"/>
      <c r="L176" s="33"/>
      <c r="M176" s="25"/>
      <c r="N176" s="39"/>
      <c r="O176" s="35" t="str">
        <f aca="false">IF($C176="","",IF(N($N176)&lt;=0,"未开票",IF(ROUND(N($N176)-N($K176),2)&gt;=0,"已开票",IFERROR("部分开票 "&amp;TEXT(N($N176)/N($K176),"0%"),"部分开票"))))</f>
        <v/>
      </c>
      <c r="P176" s="40" t="str">
        <f aca="false">IF($C176="","",ROUND($V176+MIN($W176,MAX(0,(SUMIF(收款键,$D176,收款金额)-SUMIFS(收款金额,收款键,$D176,收款关联,"&lt;&gt;"))-($X176-$W176))),2))</f>
        <v/>
      </c>
      <c r="Q176" s="41" t="str">
        <f aca="false">IF($C176="","",ROUND(N($K176)-N($P176),2))</f>
        <v/>
      </c>
      <c r="R176" s="29" t="str">
        <f aca="false">IF($C176="","",YEAR($C176))</f>
        <v/>
      </c>
      <c r="S176" s="24"/>
      <c r="T176" s="35" t="str">
        <f aca="false">IF($C176="","",IF($D176="","★没选客户项目",IF(COUNTIF(合同键,$D176)=0,"★《维保合同》里没这个项目",IF(N($K176)&lt;=0,"★应收金额要填",IF(ROUND(N($N176)-N($K176),2)&gt;0.001,"★开票金额大于应收",IF(AND($L176&lt;&gt;"",N($N176)&lt;=0),"★填了开票日期没填开票金额",IF(AND($I176&lt;&gt;"",$J176&lt;&gt;"",$J176&lt;$I176),"★计费期间起止反了","OK")))))))</f>
        <v/>
      </c>
      <c r="U176" s="29" t="str">
        <f aca="false">IF($L176="","",YEAR($L176))</f>
        <v/>
      </c>
      <c r="V176" s="40" t="str">
        <f aca="false">IF($C176="","",ROUND(SUMIF(收款关联,$B176,收款金额),2))</f>
        <v/>
      </c>
      <c r="W176" s="40" t="str">
        <f aca="false">IF($C176="","",MAX(0,ROUND(N($K176)-N($V176),2)))</f>
        <v/>
      </c>
      <c r="X176" s="40" t="str">
        <f aca="false">IF($C176="","",ROUND(SUMIFS(应收净额,应收键,$D176,应收行号,"&lt;="&amp;ROW()),2))</f>
        <v/>
      </c>
      <c r="Y176" s="29" t="str">
        <f aca="false">IF($C176="","",ROW())</f>
        <v/>
      </c>
    </row>
    <row r="177" customFormat="false" ht="15" hidden="false" customHeight="false" outlineLevel="0" collapsed="false">
      <c r="A177" s="29" t="str">
        <f aca="false">IF($C177="","",ROW()-4)</f>
        <v/>
      </c>
      <c r="B177" s="35" t="str">
        <f aca="false">IF($C177="","","YS"&amp;TEXT($C177,"yyyymm")&amp;"-"&amp;TEXT(ROW()-4,"0000"))</f>
        <v/>
      </c>
      <c r="C177" s="33"/>
      <c r="D177" s="24"/>
      <c r="E177" s="30" t="str">
        <f aca="false">IF($D177="","",IFERROR(INDEX(合同单位,MATCH($D177,合同键,0)),IFERROR(TRIM(LEFT($D177,FIND("｜",$D177)-1)),$D177)))</f>
        <v/>
      </c>
      <c r="F177" s="30" t="str">
        <f aca="false">IF($D177="","",IFERROR(INDEX(合同项目,MATCH($D177,合同键,0)),IFERROR(TRIM(MID($D177,FIND("｜",$D177)+1,99)),"")))</f>
        <v/>
      </c>
      <c r="G177" s="24"/>
      <c r="H177" s="35" t="str">
        <f aca="false">IF($G177="","",IFERROR(INDEX(费用款别,MATCH($G177,费用类别表,0)),"合同外款"))</f>
        <v/>
      </c>
      <c r="I177" s="33"/>
      <c r="J177" s="33"/>
      <c r="K177" s="39"/>
      <c r="L177" s="33"/>
      <c r="M177" s="25"/>
      <c r="N177" s="39"/>
      <c r="O177" s="35" t="str">
        <f aca="false">IF($C177="","",IF(N($N177)&lt;=0,"未开票",IF(ROUND(N($N177)-N($K177),2)&gt;=0,"已开票",IFERROR("部分开票 "&amp;TEXT(N($N177)/N($K177),"0%"),"部分开票"))))</f>
        <v/>
      </c>
      <c r="P177" s="40" t="str">
        <f aca="false">IF($C177="","",ROUND($V177+MIN($W177,MAX(0,(SUMIF(收款键,$D177,收款金额)-SUMIFS(收款金额,收款键,$D177,收款关联,"&lt;&gt;"))-($X177-$W177))),2))</f>
        <v/>
      </c>
      <c r="Q177" s="41" t="str">
        <f aca="false">IF($C177="","",ROUND(N($K177)-N($P177),2))</f>
        <v/>
      </c>
      <c r="R177" s="29" t="str">
        <f aca="false">IF($C177="","",YEAR($C177))</f>
        <v/>
      </c>
      <c r="S177" s="24"/>
      <c r="T177" s="35" t="str">
        <f aca="false">IF($C177="","",IF($D177="","★没选客户项目",IF(COUNTIF(合同键,$D177)=0,"★《维保合同》里没这个项目",IF(N($K177)&lt;=0,"★应收金额要填",IF(ROUND(N($N177)-N($K177),2)&gt;0.001,"★开票金额大于应收",IF(AND($L177&lt;&gt;"",N($N177)&lt;=0),"★填了开票日期没填开票金额",IF(AND($I177&lt;&gt;"",$J177&lt;&gt;"",$J177&lt;$I177),"★计费期间起止反了","OK")))))))</f>
        <v/>
      </c>
      <c r="U177" s="29" t="str">
        <f aca="false">IF($L177="","",YEAR($L177))</f>
        <v/>
      </c>
      <c r="V177" s="40" t="str">
        <f aca="false">IF($C177="","",ROUND(SUMIF(收款关联,$B177,收款金额),2))</f>
        <v/>
      </c>
      <c r="W177" s="40" t="str">
        <f aca="false">IF($C177="","",MAX(0,ROUND(N($K177)-N($V177),2)))</f>
        <v/>
      </c>
      <c r="X177" s="40" t="str">
        <f aca="false">IF($C177="","",ROUND(SUMIFS(应收净额,应收键,$D177,应收行号,"&lt;="&amp;ROW()),2))</f>
        <v/>
      </c>
      <c r="Y177" s="29" t="str">
        <f aca="false">IF($C177="","",ROW())</f>
        <v/>
      </c>
    </row>
    <row r="178" customFormat="false" ht="15" hidden="false" customHeight="false" outlineLevel="0" collapsed="false">
      <c r="A178" s="29" t="str">
        <f aca="false">IF($C178="","",ROW()-4)</f>
        <v/>
      </c>
      <c r="B178" s="35" t="str">
        <f aca="false">IF($C178="","","YS"&amp;TEXT($C178,"yyyymm")&amp;"-"&amp;TEXT(ROW()-4,"0000"))</f>
        <v/>
      </c>
      <c r="C178" s="33"/>
      <c r="D178" s="24"/>
      <c r="E178" s="30" t="str">
        <f aca="false">IF($D178="","",IFERROR(INDEX(合同单位,MATCH($D178,合同键,0)),IFERROR(TRIM(LEFT($D178,FIND("｜",$D178)-1)),$D178)))</f>
        <v/>
      </c>
      <c r="F178" s="30" t="str">
        <f aca="false">IF($D178="","",IFERROR(INDEX(合同项目,MATCH($D178,合同键,0)),IFERROR(TRIM(MID($D178,FIND("｜",$D178)+1,99)),"")))</f>
        <v/>
      </c>
      <c r="G178" s="24"/>
      <c r="H178" s="35" t="str">
        <f aca="false">IF($G178="","",IFERROR(INDEX(费用款别,MATCH($G178,费用类别表,0)),"合同外款"))</f>
        <v/>
      </c>
      <c r="I178" s="33"/>
      <c r="J178" s="33"/>
      <c r="K178" s="39"/>
      <c r="L178" s="33"/>
      <c r="M178" s="25"/>
      <c r="N178" s="39"/>
      <c r="O178" s="35" t="str">
        <f aca="false">IF($C178="","",IF(N($N178)&lt;=0,"未开票",IF(ROUND(N($N178)-N($K178),2)&gt;=0,"已开票",IFERROR("部分开票 "&amp;TEXT(N($N178)/N($K178),"0%"),"部分开票"))))</f>
        <v/>
      </c>
      <c r="P178" s="40" t="str">
        <f aca="false">IF($C178="","",ROUND($V178+MIN($W178,MAX(0,(SUMIF(收款键,$D178,收款金额)-SUMIFS(收款金额,收款键,$D178,收款关联,"&lt;&gt;"))-($X178-$W178))),2))</f>
        <v/>
      </c>
      <c r="Q178" s="41" t="str">
        <f aca="false">IF($C178="","",ROUND(N($K178)-N($P178),2))</f>
        <v/>
      </c>
      <c r="R178" s="29" t="str">
        <f aca="false">IF($C178="","",YEAR($C178))</f>
        <v/>
      </c>
      <c r="S178" s="24"/>
      <c r="T178" s="35" t="str">
        <f aca="false">IF($C178="","",IF($D178="","★没选客户项目",IF(COUNTIF(合同键,$D178)=0,"★《维保合同》里没这个项目",IF(N($K178)&lt;=0,"★应收金额要填",IF(ROUND(N($N178)-N($K178),2)&gt;0.001,"★开票金额大于应收",IF(AND($L178&lt;&gt;"",N($N178)&lt;=0),"★填了开票日期没填开票金额",IF(AND($I178&lt;&gt;"",$J178&lt;&gt;"",$J178&lt;$I178),"★计费期间起止反了","OK")))))))</f>
        <v/>
      </c>
      <c r="U178" s="29" t="str">
        <f aca="false">IF($L178="","",YEAR($L178))</f>
        <v/>
      </c>
      <c r="V178" s="40" t="str">
        <f aca="false">IF($C178="","",ROUND(SUMIF(收款关联,$B178,收款金额),2))</f>
        <v/>
      </c>
      <c r="W178" s="40" t="str">
        <f aca="false">IF($C178="","",MAX(0,ROUND(N($K178)-N($V178),2)))</f>
        <v/>
      </c>
      <c r="X178" s="40" t="str">
        <f aca="false">IF($C178="","",ROUND(SUMIFS(应收净额,应收键,$D178,应收行号,"&lt;="&amp;ROW()),2))</f>
        <v/>
      </c>
      <c r="Y178" s="29" t="str">
        <f aca="false">IF($C178="","",ROW())</f>
        <v/>
      </c>
    </row>
    <row r="179" customFormat="false" ht="15" hidden="false" customHeight="false" outlineLevel="0" collapsed="false">
      <c r="A179" s="29" t="str">
        <f aca="false">IF($C179="","",ROW()-4)</f>
        <v/>
      </c>
      <c r="B179" s="35" t="str">
        <f aca="false">IF($C179="","","YS"&amp;TEXT($C179,"yyyymm")&amp;"-"&amp;TEXT(ROW()-4,"0000"))</f>
        <v/>
      </c>
      <c r="C179" s="33"/>
      <c r="D179" s="24"/>
      <c r="E179" s="30" t="str">
        <f aca="false">IF($D179="","",IFERROR(INDEX(合同单位,MATCH($D179,合同键,0)),IFERROR(TRIM(LEFT($D179,FIND("｜",$D179)-1)),$D179)))</f>
        <v/>
      </c>
      <c r="F179" s="30" t="str">
        <f aca="false">IF($D179="","",IFERROR(INDEX(合同项目,MATCH($D179,合同键,0)),IFERROR(TRIM(MID($D179,FIND("｜",$D179)+1,99)),"")))</f>
        <v/>
      </c>
      <c r="G179" s="24"/>
      <c r="H179" s="35" t="str">
        <f aca="false">IF($G179="","",IFERROR(INDEX(费用款别,MATCH($G179,费用类别表,0)),"合同外款"))</f>
        <v/>
      </c>
      <c r="I179" s="33"/>
      <c r="J179" s="33"/>
      <c r="K179" s="39"/>
      <c r="L179" s="33"/>
      <c r="M179" s="25"/>
      <c r="N179" s="39"/>
      <c r="O179" s="35" t="str">
        <f aca="false">IF($C179="","",IF(N($N179)&lt;=0,"未开票",IF(ROUND(N($N179)-N($K179),2)&gt;=0,"已开票",IFERROR("部分开票 "&amp;TEXT(N($N179)/N($K179),"0%"),"部分开票"))))</f>
        <v/>
      </c>
      <c r="P179" s="40" t="str">
        <f aca="false">IF($C179="","",ROUND($V179+MIN($W179,MAX(0,(SUMIF(收款键,$D179,收款金额)-SUMIFS(收款金额,收款键,$D179,收款关联,"&lt;&gt;"))-($X179-$W179))),2))</f>
        <v/>
      </c>
      <c r="Q179" s="41" t="str">
        <f aca="false">IF($C179="","",ROUND(N($K179)-N($P179),2))</f>
        <v/>
      </c>
      <c r="R179" s="29" t="str">
        <f aca="false">IF($C179="","",YEAR($C179))</f>
        <v/>
      </c>
      <c r="S179" s="24"/>
      <c r="T179" s="35" t="str">
        <f aca="false">IF($C179="","",IF($D179="","★没选客户项目",IF(COUNTIF(合同键,$D179)=0,"★《维保合同》里没这个项目",IF(N($K179)&lt;=0,"★应收金额要填",IF(ROUND(N($N179)-N($K179),2)&gt;0.001,"★开票金额大于应收",IF(AND($L179&lt;&gt;"",N($N179)&lt;=0),"★填了开票日期没填开票金额",IF(AND($I179&lt;&gt;"",$J179&lt;&gt;"",$J179&lt;$I179),"★计费期间起止反了","OK")))))))</f>
        <v/>
      </c>
      <c r="U179" s="29" t="str">
        <f aca="false">IF($L179="","",YEAR($L179))</f>
        <v/>
      </c>
      <c r="V179" s="40" t="str">
        <f aca="false">IF($C179="","",ROUND(SUMIF(收款关联,$B179,收款金额),2))</f>
        <v/>
      </c>
      <c r="W179" s="40" t="str">
        <f aca="false">IF($C179="","",MAX(0,ROUND(N($K179)-N($V179),2)))</f>
        <v/>
      </c>
      <c r="X179" s="40" t="str">
        <f aca="false">IF($C179="","",ROUND(SUMIFS(应收净额,应收键,$D179,应收行号,"&lt;="&amp;ROW()),2))</f>
        <v/>
      </c>
      <c r="Y179" s="29" t="str">
        <f aca="false">IF($C179="","",ROW())</f>
        <v/>
      </c>
    </row>
    <row r="180" customFormat="false" ht="15" hidden="false" customHeight="false" outlineLevel="0" collapsed="false">
      <c r="A180" s="29" t="str">
        <f aca="false">IF($C180="","",ROW()-4)</f>
        <v/>
      </c>
      <c r="B180" s="35" t="str">
        <f aca="false">IF($C180="","","YS"&amp;TEXT($C180,"yyyymm")&amp;"-"&amp;TEXT(ROW()-4,"0000"))</f>
        <v/>
      </c>
      <c r="C180" s="33"/>
      <c r="D180" s="24"/>
      <c r="E180" s="30" t="str">
        <f aca="false">IF($D180="","",IFERROR(INDEX(合同单位,MATCH($D180,合同键,0)),IFERROR(TRIM(LEFT($D180,FIND("｜",$D180)-1)),$D180)))</f>
        <v/>
      </c>
      <c r="F180" s="30" t="str">
        <f aca="false">IF($D180="","",IFERROR(INDEX(合同项目,MATCH($D180,合同键,0)),IFERROR(TRIM(MID($D180,FIND("｜",$D180)+1,99)),"")))</f>
        <v/>
      </c>
      <c r="G180" s="24"/>
      <c r="H180" s="35" t="str">
        <f aca="false">IF($G180="","",IFERROR(INDEX(费用款别,MATCH($G180,费用类别表,0)),"合同外款"))</f>
        <v/>
      </c>
      <c r="I180" s="33"/>
      <c r="J180" s="33"/>
      <c r="K180" s="39"/>
      <c r="L180" s="33"/>
      <c r="M180" s="25"/>
      <c r="N180" s="39"/>
      <c r="O180" s="35" t="str">
        <f aca="false">IF($C180="","",IF(N($N180)&lt;=0,"未开票",IF(ROUND(N($N180)-N($K180),2)&gt;=0,"已开票",IFERROR("部分开票 "&amp;TEXT(N($N180)/N($K180),"0%"),"部分开票"))))</f>
        <v/>
      </c>
      <c r="P180" s="40" t="str">
        <f aca="false">IF($C180="","",ROUND($V180+MIN($W180,MAX(0,(SUMIF(收款键,$D180,收款金额)-SUMIFS(收款金额,收款键,$D180,收款关联,"&lt;&gt;"))-($X180-$W180))),2))</f>
        <v/>
      </c>
      <c r="Q180" s="41" t="str">
        <f aca="false">IF($C180="","",ROUND(N($K180)-N($P180),2))</f>
        <v/>
      </c>
      <c r="R180" s="29" t="str">
        <f aca="false">IF($C180="","",YEAR($C180))</f>
        <v/>
      </c>
      <c r="S180" s="24"/>
      <c r="T180" s="35" t="str">
        <f aca="false">IF($C180="","",IF($D180="","★没选客户项目",IF(COUNTIF(合同键,$D180)=0,"★《维保合同》里没这个项目",IF(N($K180)&lt;=0,"★应收金额要填",IF(ROUND(N($N180)-N($K180),2)&gt;0.001,"★开票金额大于应收",IF(AND($L180&lt;&gt;"",N($N180)&lt;=0),"★填了开票日期没填开票金额",IF(AND($I180&lt;&gt;"",$J180&lt;&gt;"",$J180&lt;$I180),"★计费期间起止反了","OK")))))))</f>
        <v/>
      </c>
      <c r="U180" s="29" t="str">
        <f aca="false">IF($L180="","",YEAR($L180))</f>
        <v/>
      </c>
      <c r="V180" s="40" t="str">
        <f aca="false">IF($C180="","",ROUND(SUMIF(收款关联,$B180,收款金额),2))</f>
        <v/>
      </c>
      <c r="W180" s="40" t="str">
        <f aca="false">IF($C180="","",MAX(0,ROUND(N($K180)-N($V180),2)))</f>
        <v/>
      </c>
      <c r="X180" s="40" t="str">
        <f aca="false">IF($C180="","",ROUND(SUMIFS(应收净额,应收键,$D180,应收行号,"&lt;="&amp;ROW()),2))</f>
        <v/>
      </c>
      <c r="Y180" s="29" t="str">
        <f aca="false">IF($C180="","",ROW())</f>
        <v/>
      </c>
    </row>
    <row r="181" customFormat="false" ht="15" hidden="false" customHeight="false" outlineLevel="0" collapsed="false">
      <c r="A181" s="29" t="str">
        <f aca="false">IF($C181="","",ROW()-4)</f>
        <v/>
      </c>
      <c r="B181" s="35" t="str">
        <f aca="false">IF($C181="","","YS"&amp;TEXT($C181,"yyyymm")&amp;"-"&amp;TEXT(ROW()-4,"0000"))</f>
        <v/>
      </c>
      <c r="C181" s="33"/>
      <c r="D181" s="24"/>
      <c r="E181" s="30" t="str">
        <f aca="false">IF($D181="","",IFERROR(INDEX(合同单位,MATCH($D181,合同键,0)),IFERROR(TRIM(LEFT($D181,FIND("｜",$D181)-1)),$D181)))</f>
        <v/>
      </c>
      <c r="F181" s="30" t="str">
        <f aca="false">IF($D181="","",IFERROR(INDEX(合同项目,MATCH($D181,合同键,0)),IFERROR(TRIM(MID($D181,FIND("｜",$D181)+1,99)),"")))</f>
        <v/>
      </c>
      <c r="G181" s="24"/>
      <c r="H181" s="35" t="str">
        <f aca="false">IF($G181="","",IFERROR(INDEX(费用款别,MATCH($G181,费用类别表,0)),"合同外款"))</f>
        <v/>
      </c>
      <c r="I181" s="33"/>
      <c r="J181" s="33"/>
      <c r="K181" s="39"/>
      <c r="L181" s="33"/>
      <c r="M181" s="25"/>
      <c r="N181" s="39"/>
      <c r="O181" s="35" t="str">
        <f aca="false">IF($C181="","",IF(N($N181)&lt;=0,"未开票",IF(ROUND(N($N181)-N($K181),2)&gt;=0,"已开票",IFERROR("部分开票 "&amp;TEXT(N($N181)/N($K181),"0%"),"部分开票"))))</f>
        <v/>
      </c>
      <c r="P181" s="40" t="str">
        <f aca="false">IF($C181="","",ROUND($V181+MIN($W181,MAX(0,(SUMIF(收款键,$D181,收款金额)-SUMIFS(收款金额,收款键,$D181,收款关联,"&lt;&gt;"))-($X181-$W181))),2))</f>
        <v/>
      </c>
      <c r="Q181" s="41" t="str">
        <f aca="false">IF($C181="","",ROUND(N($K181)-N($P181),2))</f>
        <v/>
      </c>
      <c r="R181" s="29" t="str">
        <f aca="false">IF($C181="","",YEAR($C181))</f>
        <v/>
      </c>
      <c r="S181" s="24"/>
      <c r="T181" s="35" t="str">
        <f aca="false">IF($C181="","",IF($D181="","★没选客户项目",IF(COUNTIF(合同键,$D181)=0,"★《维保合同》里没这个项目",IF(N($K181)&lt;=0,"★应收金额要填",IF(ROUND(N($N181)-N($K181),2)&gt;0.001,"★开票金额大于应收",IF(AND($L181&lt;&gt;"",N($N181)&lt;=0),"★填了开票日期没填开票金额",IF(AND($I181&lt;&gt;"",$J181&lt;&gt;"",$J181&lt;$I181),"★计费期间起止反了","OK")))))))</f>
        <v/>
      </c>
      <c r="U181" s="29" t="str">
        <f aca="false">IF($L181="","",YEAR($L181))</f>
        <v/>
      </c>
      <c r="V181" s="40" t="str">
        <f aca="false">IF($C181="","",ROUND(SUMIF(收款关联,$B181,收款金额),2))</f>
        <v/>
      </c>
      <c r="W181" s="40" t="str">
        <f aca="false">IF($C181="","",MAX(0,ROUND(N($K181)-N($V181),2)))</f>
        <v/>
      </c>
      <c r="X181" s="40" t="str">
        <f aca="false">IF($C181="","",ROUND(SUMIFS(应收净额,应收键,$D181,应收行号,"&lt;="&amp;ROW()),2))</f>
        <v/>
      </c>
      <c r="Y181" s="29" t="str">
        <f aca="false">IF($C181="","",ROW())</f>
        <v/>
      </c>
    </row>
    <row r="182" customFormat="false" ht="15" hidden="false" customHeight="false" outlineLevel="0" collapsed="false">
      <c r="A182" s="29" t="str">
        <f aca="false">IF($C182="","",ROW()-4)</f>
        <v/>
      </c>
      <c r="B182" s="35" t="str">
        <f aca="false">IF($C182="","","YS"&amp;TEXT($C182,"yyyymm")&amp;"-"&amp;TEXT(ROW()-4,"0000"))</f>
        <v/>
      </c>
      <c r="C182" s="33"/>
      <c r="D182" s="24"/>
      <c r="E182" s="30" t="str">
        <f aca="false">IF($D182="","",IFERROR(INDEX(合同单位,MATCH($D182,合同键,0)),IFERROR(TRIM(LEFT($D182,FIND("｜",$D182)-1)),$D182)))</f>
        <v/>
      </c>
      <c r="F182" s="30" t="str">
        <f aca="false">IF($D182="","",IFERROR(INDEX(合同项目,MATCH($D182,合同键,0)),IFERROR(TRIM(MID($D182,FIND("｜",$D182)+1,99)),"")))</f>
        <v/>
      </c>
      <c r="G182" s="24"/>
      <c r="H182" s="35" t="str">
        <f aca="false">IF($G182="","",IFERROR(INDEX(费用款别,MATCH($G182,费用类别表,0)),"合同外款"))</f>
        <v/>
      </c>
      <c r="I182" s="33"/>
      <c r="J182" s="33"/>
      <c r="K182" s="39"/>
      <c r="L182" s="33"/>
      <c r="M182" s="25"/>
      <c r="N182" s="39"/>
      <c r="O182" s="35" t="str">
        <f aca="false">IF($C182="","",IF(N($N182)&lt;=0,"未开票",IF(ROUND(N($N182)-N($K182),2)&gt;=0,"已开票",IFERROR("部分开票 "&amp;TEXT(N($N182)/N($K182),"0%"),"部分开票"))))</f>
        <v/>
      </c>
      <c r="P182" s="40" t="str">
        <f aca="false">IF($C182="","",ROUND($V182+MIN($W182,MAX(0,(SUMIF(收款键,$D182,收款金额)-SUMIFS(收款金额,收款键,$D182,收款关联,"&lt;&gt;"))-($X182-$W182))),2))</f>
        <v/>
      </c>
      <c r="Q182" s="41" t="str">
        <f aca="false">IF($C182="","",ROUND(N($K182)-N($P182),2))</f>
        <v/>
      </c>
      <c r="R182" s="29" t="str">
        <f aca="false">IF($C182="","",YEAR($C182))</f>
        <v/>
      </c>
      <c r="S182" s="24"/>
      <c r="T182" s="35" t="str">
        <f aca="false">IF($C182="","",IF($D182="","★没选客户项目",IF(COUNTIF(合同键,$D182)=0,"★《维保合同》里没这个项目",IF(N($K182)&lt;=0,"★应收金额要填",IF(ROUND(N($N182)-N($K182),2)&gt;0.001,"★开票金额大于应收",IF(AND($L182&lt;&gt;"",N($N182)&lt;=0),"★填了开票日期没填开票金额",IF(AND($I182&lt;&gt;"",$J182&lt;&gt;"",$J182&lt;$I182),"★计费期间起止反了","OK")))))))</f>
        <v/>
      </c>
      <c r="U182" s="29" t="str">
        <f aca="false">IF($L182="","",YEAR($L182))</f>
        <v/>
      </c>
      <c r="V182" s="40" t="str">
        <f aca="false">IF($C182="","",ROUND(SUMIF(收款关联,$B182,收款金额),2))</f>
        <v/>
      </c>
      <c r="W182" s="40" t="str">
        <f aca="false">IF($C182="","",MAX(0,ROUND(N($K182)-N($V182),2)))</f>
        <v/>
      </c>
      <c r="X182" s="40" t="str">
        <f aca="false">IF($C182="","",ROUND(SUMIFS(应收净额,应收键,$D182,应收行号,"&lt;="&amp;ROW()),2))</f>
        <v/>
      </c>
      <c r="Y182" s="29" t="str">
        <f aca="false">IF($C182="","",ROW())</f>
        <v/>
      </c>
    </row>
    <row r="183" customFormat="false" ht="15" hidden="false" customHeight="false" outlineLevel="0" collapsed="false">
      <c r="A183" s="29" t="str">
        <f aca="false">IF($C183="","",ROW()-4)</f>
        <v/>
      </c>
      <c r="B183" s="35" t="str">
        <f aca="false">IF($C183="","","YS"&amp;TEXT($C183,"yyyymm")&amp;"-"&amp;TEXT(ROW()-4,"0000"))</f>
        <v/>
      </c>
      <c r="C183" s="33"/>
      <c r="D183" s="24"/>
      <c r="E183" s="30" t="str">
        <f aca="false">IF($D183="","",IFERROR(INDEX(合同单位,MATCH($D183,合同键,0)),IFERROR(TRIM(LEFT($D183,FIND("｜",$D183)-1)),$D183)))</f>
        <v/>
      </c>
      <c r="F183" s="30" t="str">
        <f aca="false">IF($D183="","",IFERROR(INDEX(合同项目,MATCH($D183,合同键,0)),IFERROR(TRIM(MID($D183,FIND("｜",$D183)+1,99)),"")))</f>
        <v/>
      </c>
      <c r="G183" s="24"/>
      <c r="H183" s="35" t="str">
        <f aca="false">IF($G183="","",IFERROR(INDEX(费用款别,MATCH($G183,费用类别表,0)),"合同外款"))</f>
        <v/>
      </c>
      <c r="I183" s="33"/>
      <c r="J183" s="33"/>
      <c r="K183" s="39"/>
      <c r="L183" s="33"/>
      <c r="M183" s="25"/>
      <c r="N183" s="39"/>
      <c r="O183" s="35" t="str">
        <f aca="false">IF($C183="","",IF(N($N183)&lt;=0,"未开票",IF(ROUND(N($N183)-N($K183),2)&gt;=0,"已开票",IFERROR("部分开票 "&amp;TEXT(N($N183)/N($K183),"0%"),"部分开票"))))</f>
        <v/>
      </c>
      <c r="P183" s="40" t="str">
        <f aca="false">IF($C183="","",ROUND($V183+MIN($W183,MAX(0,(SUMIF(收款键,$D183,收款金额)-SUMIFS(收款金额,收款键,$D183,收款关联,"&lt;&gt;"))-($X183-$W183))),2))</f>
        <v/>
      </c>
      <c r="Q183" s="41" t="str">
        <f aca="false">IF($C183="","",ROUND(N($K183)-N($P183),2))</f>
        <v/>
      </c>
      <c r="R183" s="29" t="str">
        <f aca="false">IF($C183="","",YEAR($C183))</f>
        <v/>
      </c>
      <c r="S183" s="24"/>
      <c r="T183" s="35" t="str">
        <f aca="false">IF($C183="","",IF($D183="","★没选客户项目",IF(COUNTIF(合同键,$D183)=0,"★《维保合同》里没这个项目",IF(N($K183)&lt;=0,"★应收金额要填",IF(ROUND(N($N183)-N($K183),2)&gt;0.001,"★开票金额大于应收",IF(AND($L183&lt;&gt;"",N($N183)&lt;=0),"★填了开票日期没填开票金额",IF(AND($I183&lt;&gt;"",$J183&lt;&gt;"",$J183&lt;$I183),"★计费期间起止反了","OK")))))))</f>
        <v/>
      </c>
      <c r="U183" s="29" t="str">
        <f aca="false">IF($L183="","",YEAR($L183))</f>
        <v/>
      </c>
      <c r="V183" s="40" t="str">
        <f aca="false">IF($C183="","",ROUND(SUMIF(收款关联,$B183,收款金额),2))</f>
        <v/>
      </c>
      <c r="W183" s="40" t="str">
        <f aca="false">IF($C183="","",MAX(0,ROUND(N($K183)-N($V183),2)))</f>
        <v/>
      </c>
      <c r="X183" s="40" t="str">
        <f aca="false">IF($C183="","",ROUND(SUMIFS(应收净额,应收键,$D183,应收行号,"&lt;="&amp;ROW()),2))</f>
        <v/>
      </c>
      <c r="Y183" s="29" t="str">
        <f aca="false">IF($C183="","",ROW())</f>
        <v/>
      </c>
    </row>
    <row r="184" customFormat="false" ht="15" hidden="false" customHeight="false" outlineLevel="0" collapsed="false">
      <c r="A184" s="29" t="str">
        <f aca="false">IF($C184="","",ROW()-4)</f>
        <v/>
      </c>
      <c r="B184" s="35" t="str">
        <f aca="false">IF($C184="","","YS"&amp;TEXT($C184,"yyyymm")&amp;"-"&amp;TEXT(ROW()-4,"0000"))</f>
        <v/>
      </c>
      <c r="C184" s="33"/>
      <c r="D184" s="24"/>
      <c r="E184" s="30" t="str">
        <f aca="false">IF($D184="","",IFERROR(INDEX(合同单位,MATCH($D184,合同键,0)),IFERROR(TRIM(LEFT($D184,FIND("｜",$D184)-1)),$D184)))</f>
        <v/>
      </c>
      <c r="F184" s="30" t="str">
        <f aca="false">IF($D184="","",IFERROR(INDEX(合同项目,MATCH($D184,合同键,0)),IFERROR(TRIM(MID($D184,FIND("｜",$D184)+1,99)),"")))</f>
        <v/>
      </c>
      <c r="G184" s="24"/>
      <c r="H184" s="35" t="str">
        <f aca="false">IF($G184="","",IFERROR(INDEX(费用款别,MATCH($G184,费用类别表,0)),"合同外款"))</f>
        <v/>
      </c>
      <c r="I184" s="33"/>
      <c r="J184" s="33"/>
      <c r="K184" s="39"/>
      <c r="L184" s="33"/>
      <c r="M184" s="25"/>
      <c r="N184" s="39"/>
      <c r="O184" s="35" t="str">
        <f aca="false">IF($C184="","",IF(N($N184)&lt;=0,"未开票",IF(ROUND(N($N184)-N($K184),2)&gt;=0,"已开票",IFERROR("部分开票 "&amp;TEXT(N($N184)/N($K184),"0%"),"部分开票"))))</f>
        <v/>
      </c>
      <c r="P184" s="40" t="str">
        <f aca="false">IF($C184="","",ROUND($V184+MIN($W184,MAX(0,(SUMIF(收款键,$D184,收款金额)-SUMIFS(收款金额,收款键,$D184,收款关联,"&lt;&gt;"))-($X184-$W184))),2))</f>
        <v/>
      </c>
      <c r="Q184" s="41" t="str">
        <f aca="false">IF($C184="","",ROUND(N($K184)-N($P184),2))</f>
        <v/>
      </c>
      <c r="R184" s="29" t="str">
        <f aca="false">IF($C184="","",YEAR($C184))</f>
        <v/>
      </c>
      <c r="S184" s="24"/>
      <c r="T184" s="35" t="str">
        <f aca="false">IF($C184="","",IF($D184="","★没选客户项目",IF(COUNTIF(合同键,$D184)=0,"★《维保合同》里没这个项目",IF(N($K184)&lt;=0,"★应收金额要填",IF(ROUND(N($N184)-N($K184),2)&gt;0.001,"★开票金额大于应收",IF(AND($L184&lt;&gt;"",N($N184)&lt;=0),"★填了开票日期没填开票金额",IF(AND($I184&lt;&gt;"",$J184&lt;&gt;"",$J184&lt;$I184),"★计费期间起止反了","OK")))))))</f>
        <v/>
      </c>
      <c r="U184" s="29" t="str">
        <f aca="false">IF($L184="","",YEAR($L184))</f>
        <v/>
      </c>
      <c r="V184" s="40" t="str">
        <f aca="false">IF($C184="","",ROUND(SUMIF(收款关联,$B184,收款金额),2))</f>
        <v/>
      </c>
      <c r="W184" s="40" t="str">
        <f aca="false">IF($C184="","",MAX(0,ROUND(N($K184)-N($V184),2)))</f>
        <v/>
      </c>
      <c r="X184" s="40" t="str">
        <f aca="false">IF($C184="","",ROUND(SUMIFS(应收净额,应收键,$D184,应收行号,"&lt;="&amp;ROW()),2))</f>
        <v/>
      </c>
      <c r="Y184" s="29" t="str">
        <f aca="false">IF($C184="","",ROW())</f>
        <v/>
      </c>
    </row>
    <row r="185" customFormat="false" ht="15" hidden="false" customHeight="false" outlineLevel="0" collapsed="false">
      <c r="A185" s="29" t="str">
        <f aca="false">IF($C185="","",ROW()-4)</f>
        <v/>
      </c>
      <c r="B185" s="35" t="str">
        <f aca="false">IF($C185="","","YS"&amp;TEXT($C185,"yyyymm")&amp;"-"&amp;TEXT(ROW()-4,"0000"))</f>
        <v/>
      </c>
      <c r="C185" s="33"/>
      <c r="D185" s="24"/>
      <c r="E185" s="30" t="str">
        <f aca="false">IF($D185="","",IFERROR(INDEX(合同单位,MATCH($D185,合同键,0)),IFERROR(TRIM(LEFT($D185,FIND("｜",$D185)-1)),$D185)))</f>
        <v/>
      </c>
      <c r="F185" s="30" t="str">
        <f aca="false">IF($D185="","",IFERROR(INDEX(合同项目,MATCH($D185,合同键,0)),IFERROR(TRIM(MID($D185,FIND("｜",$D185)+1,99)),"")))</f>
        <v/>
      </c>
      <c r="G185" s="24"/>
      <c r="H185" s="35" t="str">
        <f aca="false">IF($G185="","",IFERROR(INDEX(费用款别,MATCH($G185,费用类别表,0)),"合同外款"))</f>
        <v/>
      </c>
      <c r="I185" s="33"/>
      <c r="J185" s="33"/>
      <c r="K185" s="39"/>
      <c r="L185" s="33"/>
      <c r="M185" s="25"/>
      <c r="N185" s="39"/>
      <c r="O185" s="35" t="str">
        <f aca="false">IF($C185="","",IF(N($N185)&lt;=0,"未开票",IF(ROUND(N($N185)-N($K185),2)&gt;=0,"已开票",IFERROR("部分开票 "&amp;TEXT(N($N185)/N($K185),"0%"),"部分开票"))))</f>
        <v/>
      </c>
      <c r="P185" s="40" t="str">
        <f aca="false">IF($C185="","",ROUND($V185+MIN($W185,MAX(0,(SUMIF(收款键,$D185,收款金额)-SUMIFS(收款金额,收款键,$D185,收款关联,"&lt;&gt;"))-($X185-$W185))),2))</f>
        <v/>
      </c>
      <c r="Q185" s="41" t="str">
        <f aca="false">IF($C185="","",ROUND(N($K185)-N($P185),2))</f>
        <v/>
      </c>
      <c r="R185" s="29" t="str">
        <f aca="false">IF($C185="","",YEAR($C185))</f>
        <v/>
      </c>
      <c r="S185" s="24"/>
      <c r="T185" s="35" t="str">
        <f aca="false">IF($C185="","",IF($D185="","★没选客户项目",IF(COUNTIF(合同键,$D185)=0,"★《维保合同》里没这个项目",IF(N($K185)&lt;=0,"★应收金额要填",IF(ROUND(N($N185)-N($K185),2)&gt;0.001,"★开票金额大于应收",IF(AND($L185&lt;&gt;"",N($N185)&lt;=0),"★填了开票日期没填开票金额",IF(AND($I185&lt;&gt;"",$J185&lt;&gt;"",$J185&lt;$I185),"★计费期间起止反了","OK")))))))</f>
        <v/>
      </c>
      <c r="U185" s="29" t="str">
        <f aca="false">IF($L185="","",YEAR($L185))</f>
        <v/>
      </c>
      <c r="V185" s="40" t="str">
        <f aca="false">IF($C185="","",ROUND(SUMIF(收款关联,$B185,收款金额),2))</f>
        <v/>
      </c>
      <c r="W185" s="40" t="str">
        <f aca="false">IF($C185="","",MAX(0,ROUND(N($K185)-N($V185),2)))</f>
        <v/>
      </c>
      <c r="X185" s="40" t="str">
        <f aca="false">IF($C185="","",ROUND(SUMIFS(应收净额,应收键,$D185,应收行号,"&lt;="&amp;ROW()),2))</f>
        <v/>
      </c>
      <c r="Y185" s="29" t="str">
        <f aca="false">IF($C185="","",ROW())</f>
        <v/>
      </c>
    </row>
    <row r="186" customFormat="false" ht="15" hidden="false" customHeight="false" outlineLevel="0" collapsed="false">
      <c r="A186" s="29" t="str">
        <f aca="false">IF($C186="","",ROW()-4)</f>
        <v/>
      </c>
      <c r="B186" s="35" t="str">
        <f aca="false">IF($C186="","","YS"&amp;TEXT($C186,"yyyymm")&amp;"-"&amp;TEXT(ROW()-4,"0000"))</f>
        <v/>
      </c>
      <c r="C186" s="33"/>
      <c r="D186" s="24"/>
      <c r="E186" s="30" t="str">
        <f aca="false">IF($D186="","",IFERROR(INDEX(合同单位,MATCH($D186,合同键,0)),IFERROR(TRIM(LEFT($D186,FIND("｜",$D186)-1)),$D186)))</f>
        <v/>
      </c>
      <c r="F186" s="30" t="str">
        <f aca="false">IF($D186="","",IFERROR(INDEX(合同项目,MATCH($D186,合同键,0)),IFERROR(TRIM(MID($D186,FIND("｜",$D186)+1,99)),"")))</f>
        <v/>
      </c>
      <c r="G186" s="24"/>
      <c r="H186" s="35" t="str">
        <f aca="false">IF($G186="","",IFERROR(INDEX(费用款别,MATCH($G186,费用类别表,0)),"合同外款"))</f>
        <v/>
      </c>
      <c r="I186" s="33"/>
      <c r="J186" s="33"/>
      <c r="K186" s="39"/>
      <c r="L186" s="33"/>
      <c r="M186" s="25"/>
      <c r="N186" s="39"/>
      <c r="O186" s="35" t="str">
        <f aca="false">IF($C186="","",IF(N($N186)&lt;=0,"未开票",IF(ROUND(N($N186)-N($K186),2)&gt;=0,"已开票",IFERROR("部分开票 "&amp;TEXT(N($N186)/N($K186),"0%"),"部分开票"))))</f>
        <v/>
      </c>
      <c r="P186" s="40" t="str">
        <f aca="false">IF($C186="","",ROUND($V186+MIN($W186,MAX(0,(SUMIF(收款键,$D186,收款金额)-SUMIFS(收款金额,收款键,$D186,收款关联,"&lt;&gt;"))-($X186-$W186))),2))</f>
        <v/>
      </c>
      <c r="Q186" s="41" t="str">
        <f aca="false">IF($C186="","",ROUND(N($K186)-N($P186),2))</f>
        <v/>
      </c>
      <c r="R186" s="29" t="str">
        <f aca="false">IF($C186="","",YEAR($C186))</f>
        <v/>
      </c>
      <c r="S186" s="24"/>
      <c r="T186" s="35" t="str">
        <f aca="false">IF($C186="","",IF($D186="","★没选客户项目",IF(COUNTIF(合同键,$D186)=0,"★《维保合同》里没这个项目",IF(N($K186)&lt;=0,"★应收金额要填",IF(ROUND(N($N186)-N($K186),2)&gt;0.001,"★开票金额大于应收",IF(AND($L186&lt;&gt;"",N($N186)&lt;=0),"★填了开票日期没填开票金额",IF(AND($I186&lt;&gt;"",$J186&lt;&gt;"",$J186&lt;$I186),"★计费期间起止反了","OK")))))))</f>
        <v/>
      </c>
      <c r="U186" s="29" t="str">
        <f aca="false">IF($L186="","",YEAR($L186))</f>
        <v/>
      </c>
      <c r="V186" s="40" t="str">
        <f aca="false">IF($C186="","",ROUND(SUMIF(收款关联,$B186,收款金额),2))</f>
        <v/>
      </c>
      <c r="W186" s="40" t="str">
        <f aca="false">IF($C186="","",MAX(0,ROUND(N($K186)-N($V186),2)))</f>
        <v/>
      </c>
      <c r="X186" s="40" t="str">
        <f aca="false">IF($C186="","",ROUND(SUMIFS(应收净额,应收键,$D186,应收行号,"&lt;="&amp;ROW()),2))</f>
        <v/>
      </c>
      <c r="Y186" s="29" t="str">
        <f aca="false">IF($C186="","",ROW())</f>
        <v/>
      </c>
    </row>
    <row r="187" customFormat="false" ht="15" hidden="false" customHeight="false" outlineLevel="0" collapsed="false">
      <c r="A187" s="29" t="str">
        <f aca="false">IF($C187="","",ROW()-4)</f>
        <v/>
      </c>
      <c r="B187" s="35" t="str">
        <f aca="false">IF($C187="","","YS"&amp;TEXT($C187,"yyyymm")&amp;"-"&amp;TEXT(ROW()-4,"0000"))</f>
        <v/>
      </c>
      <c r="C187" s="33"/>
      <c r="D187" s="24"/>
      <c r="E187" s="30" t="str">
        <f aca="false">IF($D187="","",IFERROR(INDEX(合同单位,MATCH($D187,合同键,0)),IFERROR(TRIM(LEFT($D187,FIND("｜",$D187)-1)),$D187)))</f>
        <v/>
      </c>
      <c r="F187" s="30" t="str">
        <f aca="false">IF($D187="","",IFERROR(INDEX(合同项目,MATCH($D187,合同键,0)),IFERROR(TRIM(MID($D187,FIND("｜",$D187)+1,99)),"")))</f>
        <v/>
      </c>
      <c r="G187" s="24"/>
      <c r="H187" s="35" t="str">
        <f aca="false">IF($G187="","",IFERROR(INDEX(费用款别,MATCH($G187,费用类别表,0)),"合同外款"))</f>
        <v/>
      </c>
      <c r="I187" s="33"/>
      <c r="J187" s="33"/>
      <c r="K187" s="39"/>
      <c r="L187" s="33"/>
      <c r="M187" s="25"/>
      <c r="N187" s="39"/>
      <c r="O187" s="35" t="str">
        <f aca="false">IF($C187="","",IF(N($N187)&lt;=0,"未开票",IF(ROUND(N($N187)-N($K187),2)&gt;=0,"已开票",IFERROR("部分开票 "&amp;TEXT(N($N187)/N($K187),"0%"),"部分开票"))))</f>
        <v/>
      </c>
      <c r="P187" s="40" t="str">
        <f aca="false">IF($C187="","",ROUND($V187+MIN($W187,MAX(0,(SUMIF(收款键,$D187,收款金额)-SUMIFS(收款金额,收款键,$D187,收款关联,"&lt;&gt;"))-($X187-$W187))),2))</f>
        <v/>
      </c>
      <c r="Q187" s="41" t="str">
        <f aca="false">IF($C187="","",ROUND(N($K187)-N($P187),2))</f>
        <v/>
      </c>
      <c r="R187" s="29" t="str">
        <f aca="false">IF($C187="","",YEAR($C187))</f>
        <v/>
      </c>
      <c r="S187" s="24"/>
      <c r="T187" s="35" t="str">
        <f aca="false">IF($C187="","",IF($D187="","★没选客户项目",IF(COUNTIF(合同键,$D187)=0,"★《维保合同》里没这个项目",IF(N($K187)&lt;=0,"★应收金额要填",IF(ROUND(N($N187)-N($K187),2)&gt;0.001,"★开票金额大于应收",IF(AND($L187&lt;&gt;"",N($N187)&lt;=0),"★填了开票日期没填开票金额",IF(AND($I187&lt;&gt;"",$J187&lt;&gt;"",$J187&lt;$I187),"★计费期间起止反了","OK")))))))</f>
        <v/>
      </c>
      <c r="U187" s="29" t="str">
        <f aca="false">IF($L187="","",YEAR($L187))</f>
        <v/>
      </c>
      <c r="V187" s="40" t="str">
        <f aca="false">IF($C187="","",ROUND(SUMIF(收款关联,$B187,收款金额),2))</f>
        <v/>
      </c>
      <c r="W187" s="40" t="str">
        <f aca="false">IF($C187="","",MAX(0,ROUND(N($K187)-N($V187),2)))</f>
        <v/>
      </c>
      <c r="X187" s="40" t="str">
        <f aca="false">IF($C187="","",ROUND(SUMIFS(应收净额,应收键,$D187,应收行号,"&lt;="&amp;ROW()),2))</f>
        <v/>
      </c>
      <c r="Y187" s="29" t="str">
        <f aca="false">IF($C187="","",ROW())</f>
        <v/>
      </c>
    </row>
    <row r="188" customFormat="false" ht="15" hidden="false" customHeight="false" outlineLevel="0" collapsed="false">
      <c r="A188" s="29" t="str">
        <f aca="false">IF($C188="","",ROW()-4)</f>
        <v/>
      </c>
      <c r="B188" s="35" t="str">
        <f aca="false">IF($C188="","","YS"&amp;TEXT($C188,"yyyymm")&amp;"-"&amp;TEXT(ROW()-4,"0000"))</f>
        <v/>
      </c>
      <c r="C188" s="33"/>
      <c r="D188" s="24"/>
      <c r="E188" s="30" t="str">
        <f aca="false">IF($D188="","",IFERROR(INDEX(合同单位,MATCH($D188,合同键,0)),IFERROR(TRIM(LEFT($D188,FIND("｜",$D188)-1)),$D188)))</f>
        <v/>
      </c>
      <c r="F188" s="30" t="str">
        <f aca="false">IF($D188="","",IFERROR(INDEX(合同项目,MATCH($D188,合同键,0)),IFERROR(TRIM(MID($D188,FIND("｜",$D188)+1,99)),"")))</f>
        <v/>
      </c>
      <c r="G188" s="24"/>
      <c r="H188" s="35" t="str">
        <f aca="false">IF($G188="","",IFERROR(INDEX(费用款别,MATCH($G188,费用类别表,0)),"合同外款"))</f>
        <v/>
      </c>
      <c r="I188" s="33"/>
      <c r="J188" s="33"/>
      <c r="K188" s="39"/>
      <c r="L188" s="33"/>
      <c r="M188" s="25"/>
      <c r="N188" s="39"/>
      <c r="O188" s="35" t="str">
        <f aca="false">IF($C188="","",IF(N($N188)&lt;=0,"未开票",IF(ROUND(N($N188)-N($K188),2)&gt;=0,"已开票",IFERROR("部分开票 "&amp;TEXT(N($N188)/N($K188),"0%"),"部分开票"))))</f>
        <v/>
      </c>
      <c r="P188" s="40" t="str">
        <f aca="false">IF($C188="","",ROUND($V188+MIN($W188,MAX(0,(SUMIF(收款键,$D188,收款金额)-SUMIFS(收款金额,收款键,$D188,收款关联,"&lt;&gt;"))-($X188-$W188))),2))</f>
        <v/>
      </c>
      <c r="Q188" s="41" t="str">
        <f aca="false">IF($C188="","",ROUND(N($K188)-N($P188),2))</f>
        <v/>
      </c>
      <c r="R188" s="29" t="str">
        <f aca="false">IF($C188="","",YEAR($C188))</f>
        <v/>
      </c>
      <c r="S188" s="24"/>
      <c r="T188" s="35" t="str">
        <f aca="false">IF($C188="","",IF($D188="","★没选客户项目",IF(COUNTIF(合同键,$D188)=0,"★《维保合同》里没这个项目",IF(N($K188)&lt;=0,"★应收金额要填",IF(ROUND(N($N188)-N($K188),2)&gt;0.001,"★开票金额大于应收",IF(AND($L188&lt;&gt;"",N($N188)&lt;=0),"★填了开票日期没填开票金额",IF(AND($I188&lt;&gt;"",$J188&lt;&gt;"",$J188&lt;$I188),"★计费期间起止反了","OK")))))))</f>
        <v/>
      </c>
      <c r="U188" s="29" t="str">
        <f aca="false">IF($L188="","",YEAR($L188))</f>
        <v/>
      </c>
      <c r="V188" s="40" t="str">
        <f aca="false">IF($C188="","",ROUND(SUMIF(收款关联,$B188,收款金额),2))</f>
        <v/>
      </c>
      <c r="W188" s="40" t="str">
        <f aca="false">IF($C188="","",MAX(0,ROUND(N($K188)-N($V188),2)))</f>
        <v/>
      </c>
      <c r="X188" s="40" t="str">
        <f aca="false">IF($C188="","",ROUND(SUMIFS(应收净额,应收键,$D188,应收行号,"&lt;="&amp;ROW()),2))</f>
        <v/>
      </c>
      <c r="Y188" s="29" t="str">
        <f aca="false">IF($C188="","",ROW())</f>
        <v/>
      </c>
    </row>
    <row r="189" customFormat="false" ht="15" hidden="false" customHeight="false" outlineLevel="0" collapsed="false">
      <c r="A189" s="29" t="str">
        <f aca="false">IF($C189="","",ROW()-4)</f>
        <v/>
      </c>
      <c r="B189" s="35" t="str">
        <f aca="false">IF($C189="","","YS"&amp;TEXT($C189,"yyyymm")&amp;"-"&amp;TEXT(ROW()-4,"0000"))</f>
        <v/>
      </c>
      <c r="C189" s="33"/>
      <c r="D189" s="24"/>
      <c r="E189" s="30" t="str">
        <f aca="false">IF($D189="","",IFERROR(INDEX(合同单位,MATCH($D189,合同键,0)),IFERROR(TRIM(LEFT($D189,FIND("｜",$D189)-1)),$D189)))</f>
        <v/>
      </c>
      <c r="F189" s="30" t="str">
        <f aca="false">IF($D189="","",IFERROR(INDEX(合同项目,MATCH($D189,合同键,0)),IFERROR(TRIM(MID($D189,FIND("｜",$D189)+1,99)),"")))</f>
        <v/>
      </c>
      <c r="G189" s="24"/>
      <c r="H189" s="35" t="str">
        <f aca="false">IF($G189="","",IFERROR(INDEX(费用款别,MATCH($G189,费用类别表,0)),"合同外款"))</f>
        <v/>
      </c>
      <c r="I189" s="33"/>
      <c r="J189" s="33"/>
      <c r="K189" s="39"/>
      <c r="L189" s="33"/>
      <c r="M189" s="25"/>
      <c r="N189" s="39"/>
      <c r="O189" s="35" t="str">
        <f aca="false">IF($C189="","",IF(N($N189)&lt;=0,"未开票",IF(ROUND(N($N189)-N($K189),2)&gt;=0,"已开票",IFERROR("部分开票 "&amp;TEXT(N($N189)/N($K189),"0%"),"部分开票"))))</f>
        <v/>
      </c>
      <c r="P189" s="40" t="str">
        <f aca="false">IF($C189="","",ROUND($V189+MIN($W189,MAX(0,(SUMIF(收款键,$D189,收款金额)-SUMIFS(收款金额,收款键,$D189,收款关联,"&lt;&gt;"))-($X189-$W189))),2))</f>
        <v/>
      </c>
      <c r="Q189" s="41" t="str">
        <f aca="false">IF($C189="","",ROUND(N($K189)-N($P189),2))</f>
        <v/>
      </c>
      <c r="R189" s="29" t="str">
        <f aca="false">IF($C189="","",YEAR($C189))</f>
        <v/>
      </c>
      <c r="S189" s="24"/>
      <c r="T189" s="35" t="str">
        <f aca="false">IF($C189="","",IF($D189="","★没选客户项目",IF(COUNTIF(合同键,$D189)=0,"★《维保合同》里没这个项目",IF(N($K189)&lt;=0,"★应收金额要填",IF(ROUND(N($N189)-N($K189),2)&gt;0.001,"★开票金额大于应收",IF(AND($L189&lt;&gt;"",N($N189)&lt;=0),"★填了开票日期没填开票金额",IF(AND($I189&lt;&gt;"",$J189&lt;&gt;"",$J189&lt;$I189),"★计费期间起止反了","OK")))))))</f>
        <v/>
      </c>
      <c r="U189" s="29" t="str">
        <f aca="false">IF($L189="","",YEAR($L189))</f>
        <v/>
      </c>
      <c r="V189" s="40" t="str">
        <f aca="false">IF($C189="","",ROUND(SUMIF(收款关联,$B189,收款金额),2))</f>
        <v/>
      </c>
      <c r="W189" s="40" t="str">
        <f aca="false">IF($C189="","",MAX(0,ROUND(N($K189)-N($V189),2)))</f>
        <v/>
      </c>
      <c r="X189" s="40" t="str">
        <f aca="false">IF($C189="","",ROUND(SUMIFS(应收净额,应收键,$D189,应收行号,"&lt;="&amp;ROW()),2))</f>
        <v/>
      </c>
      <c r="Y189" s="29" t="str">
        <f aca="false">IF($C189="","",ROW())</f>
        <v/>
      </c>
    </row>
    <row r="190" customFormat="false" ht="15" hidden="false" customHeight="false" outlineLevel="0" collapsed="false">
      <c r="A190" s="29" t="str">
        <f aca="false">IF($C190="","",ROW()-4)</f>
        <v/>
      </c>
      <c r="B190" s="35" t="str">
        <f aca="false">IF($C190="","","YS"&amp;TEXT($C190,"yyyymm")&amp;"-"&amp;TEXT(ROW()-4,"0000"))</f>
        <v/>
      </c>
      <c r="C190" s="33"/>
      <c r="D190" s="24"/>
      <c r="E190" s="30" t="str">
        <f aca="false">IF($D190="","",IFERROR(INDEX(合同单位,MATCH($D190,合同键,0)),IFERROR(TRIM(LEFT($D190,FIND("｜",$D190)-1)),$D190)))</f>
        <v/>
      </c>
      <c r="F190" s="30" t="str">
        <f aca="false">IF($D190="","",IFERROR(INDEX(合同项目,MATCH($D190,合同键,0)),IFERROR(TRIM(MID($D190,FIND("｜",$D190)+1,99)),"")))</f>
        <v/>
      </c>
      <c r="G190" s="24"/>
      <c r="H190" s="35" t="str">
        <f aca="false">IF($G190="","",IFERROR(INDEX(费用款别,MATCH($G190,费用类别表,0)),"合同外款"))</f>
        <v/>
      </c>
      <c r="I190" s="33"/>
      <c r="J190" s="33"/>
      <c r="K190" s="39"/>
      <c r="L190" s="33"/>
      <c r="M190" s="25"/>
      <c r="N190" s="39"/>
      <c r="O190" s="35" t="str">
        <f aca="false">IF($C190="","",IF(N($N190)&lt;=0,"未开票",IF(ROUND(N($N190)-N($K190),2)&gt;=0,"已开票",IFERROR("部分开票 "&amp;TEXT(N($N190)/N($K190),"0%"),"部分开票"))))</f>
        <v/>
      </c>
      <c r="P190" s="40" t="str">
        <f aca="false">IF($C190="","",ROUND($V190+MIN($W190,MAX(0,(SUMIF(收款键,$D190,收款金额)-SUMIFS(收款金额,收款键,$D190,收款关联,"&lt;&gt;"))-($X190-$W190))),2))</f>
        <v/>
      </c>
      <c r="Q190" s="41" t="str">
        <f aca="false">IF($C190="","",ROUND(N($K190)-N($P190),2))</f>
        <v/>
      </c>
      <c r="R190" s="29" t="str">
        <f aca="false">IF($C190="","",YEAR($C190))</f>
        <v/>
      </c>
      <c r="S190" s="24"/>
      <c r="T190" s="35" t="str">
        <f aca="false">IF($C190="","",IF($D190="","★没选客户项目",IF(COUNTIF(合同键,$D190)=0,"★《维保合同》里没这个项目",IF(N($K190)&lt;=0,"★应收金额要填",IF(ROUND(N($N190)-N($K190),2)&gt;0.001,"★开票金额大于应收",IF(AND($L190&lt;&gt;"",N($N190)&lt;=0),"★填了开票日期没填开票金额",IF(AND($I190&lt;&gt;"",$J190&lt;&gt;"",$J190&lt;$I190),"★计费期间起止反了","OK")))))))</f>
        <v/>
      </c>
      <c r="U190" s="29" t="str">
        <f aca="false">IF($L190="","",YEAR($L190))</f>
        <v/>
      </c>
      <c r="V190" s="40" t="str">
        <f aca="false">IF($C190="","",ROUND(SUMIF(收款关联,$B190,收款金额),2))</f>
        <v/>
      </c>
      <c r="W190" s="40" t="str">
        <f aca="false">IF($C190="","",MAX(0,ROUND(N($K190)-N($V190),2)))</f>
        <v/>
      </c>
      <c r="X190" s="40" t="str">
        <f aca="false">IF($C190="","",ROUND(SUMIFS(应收净额,应收键,$D190,应收行号,"&lt;="&amp;ROW()),2))</f>
        <v/>
      </c>
      <c r="Y190" s="29" t="str">
        <f aca="false">IF($C190="","",ROW())</f>
        <v/>
      </c>
    </row>
    <row r="191" customFormat="false" ht="15" hidden="false" customHeight="false" outlineLevel="0" collapsed="false">
      <c r="A191" s="29" t="str">
        <f aca="false">IF($C191="","",ROW()-4)</f>
        <v/>
      </c>
      <c r="B191" s="35" t="str">
        <f aca="false">IF($C191="","","YS"&amp;TEXT($C191,"yyyymm")&amp;"-"&amp;TEXT(ROW()-4,"0000"))</f>
        <v/>
      </c>
      <c r="C191" s="33"/>
      <c r="D191" s="24"/>
      <c r="E191" s="30" t="str">
        <f aca="false">IF($D191="","",IFERROR(INDEX(合同单位,MATCH($D191,合同键,0)),IFERROR(TRIM(LEFT($D191,FIND("｜",$D191)-1)),$D191)))</f>
        <v/>
      </c>
      <c r="F191" s="30" t="str">
        <f aca="false">IF($D191="","",IFERROR(INDEX(合同项目,MATCH($D191,合同键,0)),IFERROR(TRIM(MID($D191,FIND("｜",$D191)+1,99)),"")))</f>
        <v/>
      </c>
      <c r="G191" s="24"/>
      <c r="H191" s="35" t="str">
        <f aca="false">IF($G191="","",IFERROR(INDEX(费用款别,MATCH($G191,费用类别表,0)),"合同外款"))</f>
        <v/>
      </c>
      <c r="I191" s="33"/>
      <c r="J191" s="33"/>
      <c r="K191" s="39"/>
      <c r="L191" s="33"/>
      <c r="M191" s="25"/>
      <c r="N191" s="39"/>
      <c r="O191" s="35" t="str">
        <f aca="false">IF($C191="","",IF(N($N191)&lt;=0,"未开票",IF(ROUND(N($N191)-N($K191),2)&gt;=0,"已开票",IFERROR("部分开票 "&amp;TEXT(N($N191)/N($K191),"0%"),"部分开票"))))</f>
        <v/>
      </c>
      <c r="P191" s="40" t="str">
        <f aca="false">IF($C191="","",ROUND($V191+MIN($W191,MAX(0,(SUMIF(收款键,$D191,收款金额)-SUMIFS(收款金额,收款键,$D191,收款关联,"&lt;&gt;"))-($X191-$W191))),2))</f>
        <v/>
      </c>
      <c r="Q191" s="41" t="str">
        <f aca="false">IF($C191="","",ROUND(N($K191)-N($P191),2))</f>
        <v/>
      </c>
      <c r="R191" s="29" t="str">
        <f aca="false">IF($C191="","",YEAR($C191))</f>
        <v/>
      </c>
      <c r="S191" s="24"/>
      <c r="T191" s="35" t="str">
        <f aca="false">IF($C191="","",IF($D191="","★没选客户项目",IF(COUNTIF(合同键,$D191)=0,"★《维保合同》里没这个项目",IF(N($K191)&lt;=0,"★应收金额要填",IF(ROUND(N($N191)-N($K191),2)&gt;0.001,"★开票金额大于应收",IF(AND($L191&lt;&gt;"",N($N191)&lt;=0),"★填了开票日期没填开票金额",IF(AND($I191&lt;&gt;"",$J191&lt;&gt;"",$J191&lt;$I191),"★计费期间起止反了","OK")))))))</f>
        <v/>
      </c>
      <c r="U191" s="29" t="str">
        <f aca="false">IF($L191="","",YEAR($L191))</f>
        <v/>
      </c>
      <c r="V191" s="40" t="str">
        <f aca="false">IF($C191="","",ROUND(SUMIF(收款关联,$B191,收款金额),2))</f>
        <v/>
      </c>
      <c r="W191" s="40" t="str">
        <f aca="false">IF($C191="","",MAX(0,ROUND(N($K191)-N($V191),2)))</f>
        <v/>
      </c>
      <c r="X191" s="40" t="str">
        <f aca="false">IF($C191="","",ROUND(SUMIFS(应收净额,应收键,$D191,应收行号,"&lt;="&amp;ROW()),2))</f>
        <v/>
      </c>
      <c r="Y191" s="29" t="str">
        <f aca="false">IF($C191="","",ROW())</f>
        <v/>
      </c>
    </row>
    <row r="192" customFormat="false" ht="15" hidden="false" customHeight="false" outlineLevel="0" collapsed="false">
      <c r="A192" s="29" t="str">
        <f aca="false">IF($C192="","",ROW()-4)</f>
        <v/>
      </c>
      <c r="B192" s="35" t="str">
        <f aca="false">IF($C192="","","YS"&amp;TEXT($C192,"yyyymm")&amp;"-"&amp;TEXT(ROW()-4,"0000"))</f>
        <v/>
      </c>
      <c r="C192" s="33"/>
      <c r="D192" s="24"/>
      <c r="E192" s="30" t="str">
        <f aca="false">IF($D192="","",IFERROR(INDEX(合同单位,MATCH($D192,合同键,0)),IFERROR(TRIM(LEFT($D192,FIND("｜",$D192)-1)),$D192)))</f>
        <v/>
      </c>
      <c r="F192" s="30" t="str">
        <f aca="false">IF($D192="","",IFERROR(INDEX(合同项目,MATCH($D192,合同键,0)),IFERROR(TRIM(MID($D192,FIND("｜",$D192)+1,99)),"")))</f>
        <v/>
      </c>
      <c r="G192" s="24"/>
      <c r="H192" s="35" t="str">
        <f aca="false">IF($G192="","",IFERROR(INDEX(费用款别,MATCH($G192,费用类别表,0)),"合同外款"))</f>
        <v/>
      </c>
      <c r="I192" s="33"/>
      <c r="J192" s="33"/>
      <c r="K192" s="39"/>
      <c r="L192" s="33"/>
      <c r="M192" s="25"/>
      <c r="N192" s="39"/>
      <c r="O192" s="35" t="str">
        <f aca="false">IF($C192="","",IF(N($N192)&lt;=0,"未开票",IF(ROUND(N($N192)-N($K192),2)&gt;=0,"已开票",IFERROR("部分开票 "&amp;TEXT(N($N192)/N($K192),"0%"),"部分开票"))))</f>
        <v/>
      </c>
      <c r="P192" s="40" t="str">
        <f aca="false">IF($C192="","",ROUND($V192+MIN($W192,MAX(0,(SUMIF(收款键,$D192,收款金额)-SUMIFS(收款金额,收款键,$D192,收款关联,"&lt;&gt;"))-($X192-$W192))),2))</f>
        <v/>
      </c>
      <c r="Q192" s="41" t="str">
        <f aca="false">IF($C192="","",ROUND(N($K192)-N($P192),2))</f>
        <v/>
      </c>
      <c r="R192" s="29" t="str">
        <f aca="false">IF($C192="","",YEAR($C192))</f>
        <v/>
      </c>
      <c r="S192" s="24"/>
      <c r="T192" s="35" t="str">
        <f aca="false">IF($C192="","",IF($D192="","★没选客户项目",IF(COUNTIF(合同键,$D192)=0,"★《维保合同》里没这个项目",IF(N($K192)&lt;=0,"★应收金额要填",IF(ROUND(N($N192)-N($K192),2)&gt;0.001,"★开票金额大于应收",IF(AND($L192&lt;&gt;"",N($N192)&lt;=0),"★填了开票日期没填开票金额",IF(AND($I192&lt;&gt;"",$J192&lt;&gt;"",$J192&lt;$I192),"★计费期间起止反了","OK")))))))</f>
        <v/>
      </c>
      <c r="U192" s="29" t="str">
        <f aca="false">IF($L192="","",YEAR($L192))</f>
        <v/>
      </c>
      <c r="V192" s="40" t="str">
        <f aca="false">IF($C192="","",ROUND(SUMIF(收款关联,$B192,收款金额),2))</f>
        <v/>
      </c>
      <c r="W192" s="40" t="str">
        <f aca="false">IF($C192="","",MAX(0,ROUND(N($K192)-N($V192),2)))</f>
        <v/>
      </c>
      <c r="X192" s="40" t="str">
        <f aca="false">IF($C192="","",ROUND(SUMIFS(应收净额,应收键,$D192,应收行号,"&lt;="&amp;ROW()),2))</f>
        <v/>
      </c>
      <c r="Y192" s="29" t="str">
        <f aca="false">IF($C192="","",ROW())</f>
        <v/>
      </c>
    </row>
    <row r="193" customFormat="false" ht="15" hidden="false" customHeight="false" outlineLevel="0" collapsed="false">
      <c r="A193" s="29" t="str">
        <f aca="false">IF($C193="","",ROW()-4)</f>
        <v/>
      </c>
      <c r="B193" s="35" t="str">
        <f aca="false">IF($C193="","","YS"&amp;TEXT($C193,"yyyymm")&amp;"-"&amp;TEXT(ROW()-4,"0000"))</f>
        <v/>
      </c>
      <c r="C193" s="33"/>
      <c r="D193" s="24"/>
      <c r="E193" s="30" t="str">
        <f aca="false">IF($D193="","",IFERROR(INDEX(合同单位,MATCH($D193,合同键,0)),IFERROR(TRIM(LEFT($D193,FIND("｜",$D193)-1)),$D193)))</f>
        <v/>
      </c>
      <c r="F193" s="30" t="str">
        <f aca="false">IF($D193="","",IFERROR(INDEX(合同项目,MATCH($D193,合同键,0)),IFERROR(TRIM(MID($D193,FIND("｜",$D193)+1,99)),"")))</f>
        <v/>
      </c>
      <c r="G193" s="24"/>
      <c r="H193" s="35" t="str">
        <f aca="false">IF($G193="","",IFERROR(INDEX(费用款别,MATCH($G193,费用类别表,0)),"合同外款"))</f>
        <v/>
      </c>
      <c r="I193" s="33"/>
      <c r="J193" s="33"/>
      <c r="K193" s="39"/>
      <c r="L193" s="33"/>
      <c r="M193" s="25"/>
      <c r="N193" s="39"/>
      <c r="O193" s="35" t="str">
        <f aca="false">IF($C193="","",IF(N($N193)&lt;=0,"未开票",IF(ROUND(N($N193)-N($K193),2)&gt;=0,"已开票",IFERROR("部分开票 "&amp;TEXT(N($N193)/N($K193),"0%"),"部分开票"))))</f>
        <v/>
      </c>
      <c r="P193" s="40" t="str">
        <f aca="false">IF($C193="","",ROUND($V193+MIN($W193,MAX(0,(SUMIF(收款键,$D193,收款金额)-SUMIFS(收款金额,收款键,$D193,收款关联,"&lt;&gt;"))-($X193-$W193))),2))</f>
        <v/>
      </c>
      <c r="Q193" s="41" t="str">
        <f aca="false">IF($C193="","",ROUND(N($K193)-N($P193),2))</f>
        <v/>
      </c>
      <c r="R193" s="29" t="str">
        <f aca="false">IF($C193="","",YEAR($C193))</f>
        <v/>
      </c>
      <c r="S193" s="24"/>
      <c r="T193" s="35" t="str">
        <f aca="false">IF($C193="","",IF($D193="","★没选客户项目",IF(COUNTIF(合同键,$D193)=0,"★《维保合同》里没这个项目",IF(N($K193)&lt;=0,"★应收金额要填",IF(ROUND(N($N193)-N($K193),2)&gt;0.001,"★开票金额大于应收",IF(AND($L193&lt;&gt;"",N($N193)&lt;=0),"★填了开票日期没填开票金额",IF(AND($I193&lt;&gt;"",$J193&lt;&gt;"",$J193&lt;$I193),"★计费期间起止反了","OK")))))))</f>
        <v/>
      </c>
      <c r="U193" s="29" t="str">
        <f aca="false">IF($L193="","",YEAR($L193))</f>
        <v/>
      </c>
      <c r="V193" s="40" t="str">
        <f aca="false">IF($C193="","",ROUND(SUMIF(收款关联,$B193,收款金额),2))</f>
        <v/>
      </c>
      <c r="W193" s="40" t="str">
        <f aca="false">IF($C193="","",MAX(0,ROUND(N($K193)-N($V193),2)))</f>
        <v/>
      </c>
      <c r="X193" s="40" t="str">
        <f aca="false">IF($C193="","",ROUND(SUMIFS(应收净额,应收键,$D193,应收行号,"&lt;="&amp;ROW()),2))</f>
        <v/>
      </c>
      <c r="Y193" s="29" t="str">
        <f aca="false">IF($C193="","",ROW())</f>
        <v/>
      </c>
    </row>
    <row r="194" customFormat="false" ht="15" hidden="false" customHeight="false" outlineLevel="0" collapsed="false">
      <c r="A194" s="29" t="str">
        <f aca="false">IF($C194="","",ROW()-4)</f>
        <v/>
      </c>
      <c r="B194" s="35" t="str">
        <f aca="false">IF($C194="","","YS"&amp;TEXT($C194,"yyyymm")&amp;"-"&amp;TEXT(ROW()-4,"0000"))</f>
        <v/>
      </c>
      <c r="C194" s="33"/>
      <c r="D194" s="24"/>
      <c r="E194" s="30" t="str">
        <f aca="false">IF($D194="","",IFERROR(INDEX(合同单位,MATCH($D194,合同键,0)),IFERROR(TRIM(LEFT($D194,FIND("｜",$D194)-1)),$D194)))</f>
        <v/>
      </c>
      <c r="F194" s="30" t="str">
        <f aca="false">IF($D194="","",IFERROR(INDEX(合同项目,MATCH($D194,合同键,0)),IFERROR(TRIM(MID($D194,FIND("｜",$D194)+1,99)),"")))</f>
        <v/>
      </c>
      <c r="G194" s="24"/>
      <c r="H194" s="35" t="str">
        <f aca="false">IF($G194="","",IFERROR(INDEX(费用款别,MATCH($G194,费用类别表,0)),"合同外款"))</f>
        <v/>
      </c>
      <c r="I194" s="33"/>
      <c r="J194" s="33"/>
      <c r="K194" s="39"/>
      <c r="L194" s="33"/>
      <c r="M194" s="25"/>
      <c r="N194" s="39"/>
      <c r="O194" s="35" t="str">
        <f aca="false">IF($C194="","",IF(N($N194)&lt;=0,"未开票",IF(ROUND(N($N194)-N($K194),2)&gt;=0,"已开票",IFERROR("部分开票 "&amp;TEXT(N($N194)/N($K194),"0%"),"部分开票"))))</f>
        <v/>
      </c>
      <c r="P194" s="40" t="str">
        <f aca="false">IF($C194="","",ROUND($V194+MIN($W194,MAX(0,(SUMIF(收款键,$D194,收款金额)-SUMIFS(收款金额,收款键,$D194,收款关联,"&lt;&gt;"))-($X194-$W194))),2))</f>
        <v/>
      </c>
      <c r="Q194" s="41" t="str">
        <f aca="false">IF($C194="","",ROUND(N($K194)-N($P194),2))</f>
        <v/>
      </c>
      <c r="R194" s="29" t="str">
        <f aca="false">IF($C194="","",YEAR($C194))</f>
        <v/>
      </c>
      <c r="S194" s="24"/>
      <c r="T194" s="35" t="str">
        <f aca="false">IF($C194="","",IF($D194="","★没选客户项目",IF(COUNTIF(合同键,$D194)=0,"★《维保合同》里没这个项目",IF(N($K194)&lt;=0,"★应收金额要填",IF(ROUND(N($N194)-N($K194),2)&gt;0.001,"★开票金额大于应收",IF(AND($L194&lt;&gt;"",N($N194)&lt;=0),"★填了开票日期没填开票金额",IF(AND($I194&lt;&gt;"",$J194&lt;&gt;"",$J194&lt;$I194),"★计费期间起止反了","OK")))))))</f>
        <v/>
      </c>
      <c r="U194" s="29" t="str">
        <f aca="false">IF($L194="","",YEAR($L194))</f>
        <v/>
      </c>
      <c r="V194" s="40" t="str">
        <f aca="false">IF($C194="","",ROUND(SUMIF(收款关联,$B194,收款金额),2))</f>
        <v/>
      </c>
      <c r="W194" s="40" t="str">
        <f aca="false">IF($C194="","",MAX(0,ROUND(N($K194)-N($V194),2)))</f>
        <v/>
      </c>
      <c r="X194" s="40" t="str">
        <f aca="false">IF($C194="","",ROUND(SUMIFS(应收净额,应收键,$D194,应收行号,"&lt;="&amp;ROW()),2))</f>
        <v/>
      </c>
      <c r="Y194" s="29" t="str">
        <f aca="false">IF($C194="","",ROW())</f>
        <v/>
      </c>
    </row>
    <row r="195" customFormat="false" ht="15" hidden="false" customHeight="false" outlineLevel="0" collapsed="false">
      <c r="A195" s="29" t="str">
        <f aca="false">IF($C195="","",ROW()-4)</f>
        <v/>
      </c>
      <c r="B195" s="35" t="str">
        <f aca="false">IF($C195="","","YS"&amp;TEXT($C195,"yyyymm")&amp;"-"&amp;TEXT(ROW()-4,"0000"))</f>
        <v/>
      </c>
      <c r="C195" s="33"/>
      <c r="D195" s="24"/>
      <c r="E195" s="30" t="str">
        <f aca="false">IF($D195="","",IFERROR(INDEX(合同单位,MATCH($D195,合同键,0)),IFERROR(TRIM(LEFT($D195,FIND("｜",$D195)-1)),$D195)))</f>
        <v/>
      </c>
      <c r="F195" s="30" t="str">
        <f aca="false">IF($D195="","",IFERROR(INDEX(合同项目,MATCH($D195,合同键,0)),IFERROR(TRIM(MID($D195,FIND("｜",$D195)+1,99)),"")))</f>
        <v/>
      </c>
      <c r="G195" s="24"/>
      <c r="H195" s="35" t="str">
        <f aca="false">IF($G195="","",IFERROR(INDEX(费用款别,MATCH($G195,费用类别表,0)),"合同外款"))</f>
        <v/>
      </c>
      <c r="I195" s="33"/>
      <c r="J195" s="33"/>
      <c r="K195" s="39"/>
      <c r="L195" s="33"/>
      <c r="M195" s="25"/>
      <c r="N195" s="39"/>
      <c r="O195" s="35" t="str">
        <f aca="false">IF($C195="","",IF(N($N195)&lt;=0,"未开票",IF(ROUND(N($N195)-N($K195),2)&gt;=0,"已开票",IFERROR("部分开票 "&amp;TEXT(N($N195)/N($K195),"0%"),"部分开票"))))</f>
        <v/>
      </c>
      <c r="P195" s="40" t="str">
        <f aca="false">IF($C195="","",ROUND($V195+MIN($W195,MAX(0,(SUMIF(收款键,$D195,收款金额)-SUMIFS(收款金额,收款键,$D195,收款关联,"&lt;&gt;"))-($X195-$W195))),2))</f>
        <v/>
      </c>
      <c r="Q195" s="41" t="str">
        <f aca="false">IF($C195="","",ROUND(N($K195)-N($P195),2))</f>
        <v/>
      </c>
      <c r="R195" s="29" t="str">
        <f aca="false">IF($C195="","",YEAR($C195))</f>
        <v/>
      </c>
      <c r="S195" s="24"/>
      <c r="T195" s="35" t="str">
        <f aca="false">IF($C195="","",IF($D195="","★没选客户项目",IF(COUNTIF(合同键,$D195)=0,"★《维保合同》里没这个项目",IF(N($K195)&lt;=0,"★应收金额要填",IF(ROUND(N($N195)-N($K195),2)&gt;0.001,"★开票金额大于应收",IF(AND($L195&lt;&gt;"",N($N195)&lt;=0),"★填了开票日期没填开票金额",IF(AND($I195&lt;&gt;"",$J195&lt;&gt;"",$J195&lt;$I195),"★计费期间起止反了","OK")))))))</f>
        <v/>
      </c>
      <c r="U195" s="29" t="str">
        <f aca="false">IF($L195="","",YEAR($L195))</f>
        <v/>
      </c>
      <c r="V195" s="40" t="str">
        <f aca="false">IF($C195="","",ROUND(SUMIF(收款关联,$B195,收款金额),2))</f>
        <v/>
      </c>
      <c r="W195" s="40" t="str">
        <f aca="false">IF($C195="","",MAX(0,ROUND(N($K195)-N($V195),2)))</f>
        <v/>
      </c>
      <c r="X195" s="40" t="str">
        <f aca="false">IF($C195="","",ROUND(SUMIFS(应收净额,应收键,$D195,应收行号,"&lt;="&amp;ROW()),2))</f>
        <v/>
      </c>
      <c r="Y195" s="29" t="str">
        <f aca="false">IF($C195="","",ROW())</f>
        <v/>
      </c>
    </row>
    <row r="196" customFormat="false" ht="15" hidden="false" customHeight="false" outlineLevel="0" collapsed="false">
      <c r="A196" s="29" t="str">
        <f aca="false">IF($C196="","",ROW()-4)</f>
        <v/>
      </c>
      <c r="B196" s="35" t="str">
        <f aca="false">IF($C196="","","YS"&amp;TEXT($C196,"yyyymm")&amp;"-"&amp;TEXT(ROW()-4,"0000"))</f>
        <v/>
      </c>
      <c r="C196" s="33"/>
      <c r="D196" s="24"/>
      <c r="E196" s="30" t="str">
        <f aca="false">IF($D196="","",IFERROR(INDEX(合同单位,MATCH($D196,合同键,0)),IFERROR(TRIM(LEFT($D196,FIND("｜",$D196)-1)),$D196)))</f>
        <v/>
      </c>
      <c r="F196" s="30" t="str">
        <f aca="false">IF($D196="","",IFERROR(INDEX(合同项目,MATCH($D196,合同键,0)),IFERROR(TRIM(MID($D196,FIND("｜",$D196)+1,99)),"")))</f>
        <v/>
      </c>
      <c r="G196" s="24"/>
      <c r="H196" s="35" t="str">
        <f aca="false">IF($G196="","",IFERROR(INDEX(费用款别,MATCH($G196,费用类别表,0)),"合同外款"))</f>
        <v/>
      </c>
      <c r="I196" s="33"/>
      <c r="J196" s="33"/>
      <c r="K196" s="39"/>
      <c r="L196" s="33"/>
      <c r="M196" s="25"/>
      <c r="N196" s="39"/>
      <c r="O196" s="35" t="str">
        <f aca="false">IF($C196="","",IF(N($N196)&lt;=0,"未开票",IF(ROUND(N($N196)-N($K196),2)&gt;=0,"已开票",IFERROR("部分开票 "&amp;TEXT(N($N196)/N($K196),"0%"),"部分开票"))))</f>
        <v/>
      </c>
      <c r="P196" s="40" t="str">
        <f aca="false">IF($C196="","",ROUND($V196+MIN($W196,MAX(0,(SUMIF(收款键,$D196,收款金额)-SUMIFS(收款金额,收款键,$D196,收款关联,"&lt;&gt;"))-($X196-$W196))),2))</f>
        <v/>
      </c>
      <c r="Q196" s="41" t="str">
        <f aca="false">IF($C196="","",ROUND(N($K196)-N($P196),2))</f>
        <v/>
      </c>
      <c r="R196" s="29" t="str">
        <f aca="false">IF($C196="","",YEAR($C196))</f>
        <v/>
      </c>
      <c r="S196" s="24"/>
      <c r="T196" s="35" t="str">
        <f aca="false">IF($C196="","",IF($D196="","★没选客户项目",IF(COUNTIF(合同键,$D196)=0,"★《维保合同》里没这个项目",IF(N($K196)&lt;=0,"★应收金额要填",IF(ROUND(N($N196)-N($K196),2)&gt;0.001,"★开票金额大于应收",IF(AND($L196&lt;&gt;"",N($N196)&lt;=0),"★填了开票日期没填开票金额",IF(AND($I196&lt;&gt;"",$J196&lt;&gt;"",$J196&lt;$I196),"★计费期间起止反了","OK")))))))</f>
        <v/>
      </c>
      <c r="U196" s="29" t="str">
        <f aca="false">IF($L196="","",YEAR($L196))</f>
        <v/>
      </c>
      <c r="V196" s="40" t="str">
        <f aca="false">IF($C196="","",ROUND(SUMIF(收款关联,$B196,收款金额),2))</f>
        <v/>
      </c>
      <c r="W196" s="40" t="str">
        <f aca="false">IF($C196="","",MAX(0,ROUND(N($K196)-N($V196),2)))</f>
        <v/>
      </c>
      <c r="X196" s="40" t="str">
        <f aca="false">IF($C196="","",ROUND(SUMIFS(应收净额,应收键,$D196,应收行号,"&lt;="&amp;ROW()),2))</f>
        <v/>
      </c>
      <c r="Y196" s="29" t="str">
        <f aca="false">IF($C196="","",ROW())</f>
        <v/>
      </c>
    </row>
    <row r="197" customFormat="false" ht="15" hidden="false" customHeight="false" outlineLevel="0" collapsed="false">
      <c r="A197" s="29" t="str">
        <f aca="false">IF($C197="","",ROW()-4)</f>
        <v/>
      </c>
      <c r="B197" s="35" t="str">
        <f aca="false">IF($C197="","","YS"&amp;TEXT($C197,"yyyymm")&amp;"-"&amp;TEXT(ROW()-4,"0000"))</f>
        <v/>
      </c>
      <c r="C197" s="33"/>
      <c r="D197" s="24"/>
      <c r="E197" s="30" t="str">
        <f aca="false">IF($D197="","",IFERROR(INDEX(合同单位,MATCH($D197,合同键,0)),IFERROR(TRIM(LEFT($D197,FIND("｜",$D197)-1)),$D197)))</f>
        <v/>
      </c>
      <c r="F197" s="30" t="str">
        <f aca="false">IF($D197="","",IFERROR(INDEX(合同项目,MATCH($D197,合同键,0)),IFERROR(TRIM(MID($D197,FIND("｜",$D197)+1,99)),"")))</f>
        <v/>
      </c>
      <c r="G197" s="24"/>
      <c r="H197" s="35" t="str">
        <f aca="false">IF($G197="","",IFERROR(INDEX(费用款别,MATCH($G197,费用类别表,0)),"合同外款"))</f>
        <v/>
      </c>
      <c r="I197" s="33"/>
      <c r="J197" s="33"/>
      <c r="K197" s="39"/>
      <c r="L197" s="33"/>
      <c r="M197" s="25"/>
      <c r="N197" s="39"/>
      <c r="O197" s="35" t="str">
        <f aca="false">IF($C197="","",IF(N($N197)&lt;=0,"未开票",IF(ROUND(N($N197)-N($K197),2)&gt;=0,"已开票",IFERROR("部分开票 "&amp;TEXT(N($N197)/N($K197),"0%"),"部分开票"))))</f>
        <v/>
      </c>
      <c r="P197" s="40" t="str">
        <f aca="false">IF($C197="","",ROUND($V197+MIN($W197,MAX(0,(SUMIF(收款键,$D197,收款金额)-SUMIFS(收款金额,收款键,$D197,收款关联,"&lt;&gt;"))-($X197-$W197))),2))</f>
        <v/>
      </c>
      <c r="Q197" s="41" t="str">
        <f aca="false">IF($C197="","",ROUND(N($K197)-N($P197),2))</f>
        <v/>
      </c>
      <c r="R197" s="29" t="str">
        <f aca="false">IF($C197="","",YEAR($C197))</f>
        <v/>
      </c>
      <c r="S197" s="24"/>
      <c r="T197" s="35" t="str">
        <f aca="false">IF($C197="","",IF($D197="","★没选客户项目",IF(COUNTIF(合同键,$D197)=0,"★《维保合同》里没这个项目",IF(N($K197)&lt;=0,"★应收金额要填",IF(ROUND(N($N197)-N($K197),2)&gt;0.001,"★开票金额大于应收",IF(AND($L197&lt;&gt;"",N($N197)&lt;=0),"★填了开票日期没填开票金额",IF(AND($I197&lt;&gt;"",$J197&lt;&gt;"",$J197&lt;$I197),"★计费期间起止反了","OK")))))))</f>
        <v/>
      </c>
      <c r="U197" s="29" t="str">
        <f aca="false">IF($L197="","",YEAR($L197))</f>
        <v/>
      </c>
      <c r="V197" s="40" t="str">
        <f aca="false">IF($C197="","",ROUND(SUMIF(收款关联,$B197,收款金额),2))</f>
        <v/>
      </c>
      <c r="W197" s="40" t="str">
        <f aca="false">IF($C197="","",MAX(0,ROUND(N($K197)-N($V197),2)))</f>
        <v/>
      </c>
      <c r="X197" s="40" t="str">
        <f aca="false">IF($C197="","",ROUND(SUMIFS(应收净额,应收键,$D197,应收行号,"&lt;="&amp;ROW()),2))</f>
        <v/>
      </c>
      <c r="Y197" s="29" t="str">
        <f aca="false">IF($C197="","",ROW())</f>
        <v/>
      </c>
    </row>
    <row r="198" customFormat="false" ht="15" hidden="false" customHeight="false" outlineLevel="0" collapsed="false">
      <c r="A198" s="29" t="str">
        <f aca="false">IF($C198="","",ROW()-4)</f>
        <v/>
      </c>
      <c r="B198" s="35" t="str">
        <f aca="false">IF($C198="","","YS"&amp;TEXT($C198,"yyyymm")&amp;"-"&amp;TEXT(ROW()-4,"0000"))</f>
        <v/>
      </c>
      <c r="C198" s="33"/>
      <c r="D198" s="24"/>
      <c r="E198" s="30" t="str">
        <f aca="false">IF($D198="","",IFERROR(INDEX(合同单位,MATCH($D198,合同键,0)),IFERROR(TRIM(LEFT($D198,FIND("｜",$D198)-1)),$D198)))</f>
        <v/>
      </c>
      <c r="F198" s="30" t="str">
        <f aca="false">IF($D198="","",IFERROR(INDEX(合同项目,MATCH($D198,合同键,0)),IFERROR(TRIM(MID($D198,FIND("｜",$D198)+1,99)),"")))</f>
        <v/>
      </c>
      <c r="G198" s="24"/>
      <c r="H198" s="35" t="str">
        <f aca="false">IF($G198="","",IFERROR(INDEX(费用款别,MATCH($G198,费用类别表,0)),"合同外款"))</f>
        <v/>
      </c>
      <c r="I198" s="33"/>
      <c r="J198" s="33"/>
      <c r="K198" s="39"/>
      <c r="L198" s="33"/>
      <c r="M198" s="25"/>
      <c r="N198" s="39"/>
      <c r="O198" s="35" t="str">
        <f aca="false">IF($C198="","",IF(N($N198)&lt;=0,"未开票",IF(ROUND(N($N198)-N($K198),2)&gt;=0,"已开票",IFERROR("部分开票 "&amp;TEXT(N($N198)/N($K198),"0%"),"部分开票"))))</f>
        <v/>
      </c>
      <c r="P198" s="40" t="str">
        <f aca="false">IF($C198="","",ROUND($V198+MIN($W198,MAX(0,(SUMIF(收款键,$D198,收款金额)-SUMIFS(收款金额,收款键,$D198,收款关联,"&lt;&gt;"))-($X198-$W198))),2))</f>
        <v/>
      </c>
      <c r="Q198" s="41" t="str">
        <f aca="false">IF($C198="","",ROUND(N($K198)-N($P198),2))</f>
        <v/>
      </c>
      <c r="R198" s="29" t="str">
        <f aca="false">IF($C198="","",YEAR($C198))</f>
        <v/>
      </c>
      <c r="S198" s="24"/>
      <c r="T198" s="35" t="str">
        <f aca="false">IF($C198="","",IF($D198="","★没选客户项目",IF(COUNTIF(合同键,$D198)=0,"★《维保合同》里没这个项目",IF(N($K198)&lt;=0,"★应收金额要填",IF(ROUND(N($N198)-N($K198),2)&gt;0.001,"★开票金额大于应收",IF(AND($L198&lt;&gt;"",N($N198)&lt;=0),"★填了开票日期没填开票金额",IF(AND($I198&lt;&gt;"",$J198&lt;&gt;"",$J198&lt;$I198),"★计费期间起止反了","OK")))))))</f>
        <v/>
      </c>
      <c r="U198" s="29" t="str">
        <f aca="false">IF($L198="","",YEAR($L198))</f>
        <v/>
      </c>
      <c r="V198" s="40" t="str">
        <f aca="false">IF($C198="","",ROUND(SUMIF(收款关联,$B198,收款金额),2))</f>
        <v/>
      </c>
      <c r="W198" s="40" t="str">
        <f aca="false">IF($C198="","",MAX(0,ROUND(N($K198)-N($V198),2)))</f>
        <v/>
      </c>
      <c r="X198" s="40" t="str">
        <f aca="false">IF($C198="","",ROUND(SUMIFS(应收净额,应收键,$D198,应收行号,"&lt;="&amp;ROW()),2))</f>
        <v/>
      </c>
      <c r="Y198" s="29" t="str">
        <f aca="false">IF($C198="","",ROW())</f>
        <v/>
      </c>
    </row>
    <row r="199" customFormat="false" ht="15" hidden="false" customHeight="false" outlineLevel="0" collapsed="false">
      <c r="A199" s="29" t="str">
        <f aca="false">IF($C199="","",ROW()-4)</f>
        <v/>
      </c>
      <c r="B199" s="35" t="str">
        <f aca="false">IF($C199="","","YS"&amp;TEXT($C199,"yyyymm")&amp;"-"&amp;TEXT(ROW()-4,"0000"))</f>
        <v/>
      </c>
      <c r="C199" s="33"/>
      <c r="D199" s="24"/>
      <c r="E199" s="30" t="str">
        <f aca="false">IF($D199="","",IFERROR(INDEX(合同单位,MATCH($D199,合同键,0)),IFERROR(TRIM(LEFT($D199,FIND("｜",$D199)-1)),$D199)))</f>
        <v/>
      </c>
      <c r="F199" s="30" t="str">
        <f aca="false">IF($D199="","",IFERROR(INDEX(合同项目,MATCH($D199,合同键,0)),IFERROR(TRIM(MID($D199,FIND("｜",$D199)+1,99)),"")))</f>
        <v/>
      </c>
      <c r="G199" s="24"/>
      <c r="H199" s="35" t="str">
        <f aca="false">IF($G199="","",IFERROR(INDEX(费用款别,MATCH($G199,费用类别表,0)),"合同外款"))</f>
        <v/>
      </c>
      <c r="I199" s="33"/>
      <c r="J199" s="33"/>
      <c r="K199" s="39"/>
      <c r="L199" s="33"/>
      <c r="M199" s="25"/>
      <c r="N199" s="39"/>
      <c r="O199" s="35" t="str">
        <f aca="false">IF($C199="","",IF(N($N199)&lt;=0,"未开票",IF(ROUND(N($N199)-N($K199),2)&gt;=0,"已开票",IFERROR("部分开票 "&amp;TEXT(N($N199)/N($K199),"0%"),"部分开票"))))</f>
        <v/>
      </c>
      <c r="P199" s="40" t="str">
        <f aca="false">IF($C199="","",ROUND($V199+MIN($W199,MAX(0,(SUMIF(收款键,$D199,收款金额)-SUMIFS(收款金额,收款键,$D199,收款关联,"&lt;&gt;"))-($X199-$W199))),2))</f>
        <v/>
      </c>
      <c r="Q199" s="41" t="str">
        <f aca="false">IF($C199="","",ROUND(N($K199)-N($P199),2))</f>
        <v/>
      </c>
      <c r="R199" s="29" t="str">
        <f aca="false">IF($C199="","",YEAR($C199))</f>
        <v/>
      </c>
      <c r="S199" s="24"/>
      <c r="T199" s="35" t="str">
        <f aca="false">IF($C199="","",IF($D199="","★没选客户项目",IF(COUNTIF(合同键,$D199)=0,"★《维保合同》里没这个项目",IF(N($K199)&lt;=0,"★应收金额要填",IF(ROUND(N($N199)-N($K199),2)&gt;0.001,"★开票金额大于应收",IF(AND($L199&lt;&gt;"",N($N199)&lt;=0),"★填了开票日期没填开票金额",IF(AND($I199&lt;&gt;"",$J199&lt;&gt;"",$J199&lt;$I199),"★计费期间起止反了","OK")))))))</f>
        <v/>
      </c>
      <c r="U199" s="29" t="str">
        <f aca="false">IF($L199="","",YEAR($L199))</f>
        <v/>
      </c>
      <c r="V199" s="40" t="str">
        <f aca="false">IF($C199="","",ROUND(SUMIF(收款关联,$B199,收款金额),2))</f>
        <v/>
      </c>
      <c r="W199" s="40" t="str">
        <f aca="false">IF($C199="","",MAX(0,ROUND(N($K199)-N($V199),2)))</f>
        <v/>
      </c>
      <c r="X199" s="40" t="str">
        <f aca="false">IF($C199="","",ROUND(SUMIFS(应收净额,应收键,$D199,应收行号,"&lt;="&amp;ROW()),2))</f>
        <v/>
      </c>
      <c r="Y199" s="29" t="str">
        <f aca="false">IF($C199="","",ROW())</f>
        <v/>
      </c>
    </row>
    <row r="200" customFormat="false" ht="15" hidden="false" customHeight="false" outlineLevel="0" collapsed="false">
      <c r="A200" s="29" t="str">
        <f aca="false">IF($C200="","",ROW()-4)</f>
        <v/>
      </c>
      <c r="B200" s="35" t="str">
        <f aca="false">IF($C200="","","YS"&amp;TEXT($C200,"yyyymm")&amp;"-"&amp;TEXT(ROW()-4,"0000"))</f>
        <v/>
      </c>
      <c r="C200" s="33"/>
      <c r="D200" s="24"/>
      <c r="E200" s="30" t="str">
        <f aca="false">IF($D200="","",IFERROR(INDEX(合同单位,MATCH($D200,合同键,0)),IFERROR(TRIM(LEFT($D200,FIND("｜",$D200)-1)),$D200)))</f>
        <v/>
      </c>
      <c r="F200" s="30" t="str">
        <f aca="false">IF($D200="","",IFERROR(INDEX(合同项目,MATCH($D200,合同键,0)),IFERROR(TRIM(MID($D200,FIND("｜",$D200)+1,99)),"")))</f>
        <v/>
      </c>
      <c r="G200" s="24"/>
      <c r="H200" s="35" t="str">
        <f aca="false">IF($G200="","",IFERROR(INDEX(费用款别,MATCH($G200,费用类别表,0)),"合同外款"))</f>
        <v/>
      </c>
      <c r="I200" s="33"/>
      <c r="J200" s="33"/>
      <c r="K200" s="39"/>
      <c r="L200" s="33"/>
      <c r="M200" s="25"/>
      <c r="N200" s="39"/>
      <c r="O200" s="35" t="str">
        <f aca="false">IF($C200="","",IF(N($N200)&lt;=0,"未开票",IF(ROUND(N($N200)-N($K200),2)&gt;=0,"已开票",IFERROR("部分开票 "&amp;TEXT(N($N200)/N($K200),"0%"),"部分开票"))))</f>
        <v/>
      </c>
      <c r="P200" s="40" t="str">
        <f aca="false">IF($C200="","",ROUND($V200+MIN($W200,MAX(0,(SUMIF(收款键,$D200,收款金额)-SUMIFS(收款金额,收款键,$D200,收款关联,"&lt;&gt;"))-($X200-$W200))),2))</f>
        <v/>
      </c>
      <c r="Q200" s="41" t="str">
        <f aca="false">IF($C200="","",ROUND(N($K200)-N($P200),2))</f>
        <v/>
      </c>
      <c r="R200" s="29" t="str">
        <f aca="false">IF($C200="","",YEAR($C200))</f>
        <v/>
      </c>
      <c r="S200" s="24"/>
      <c r="T200" s="35" t="str">
        <f aca="false">IF($C200="","",IF($D200="","★没选客户项目",IF(COUNTIF(合同键,$D200)=0,"★《维保合同》里没这个项目",IF(N($K200)&lt;=0,"★应收金额要填",IF(ROUND(N($N200)-N($K200),2)&gt;0.001,"★开票金额大于应收",IF(AND($L200&lt;&gt;"",N($N200)&lt;=0),"★填了开票日期没填开票金额",IF(AND($I200&lt;&gt;"",$J200&lt;&gt;"",$J200&lt;$I200),"★计费期间起止反了","OK")))))))</f>
        <v/>
      </c>
      <c r="U200" s="29" t="str">
        <f aca="false">IF($L200="","",YEAR($L200))</f>
        <v/>
      </c>
      <c r="V200" s="40" t="str">
        <f aca="false">IF($C200="","",ROUND(SUMIF(收款关联,$B200,收款金额),2))</f>
        <v/>
      </c>
      <c r="W200" s="40" t="str">
        <f aca="false">IF($C200="","",MAX(0,ROUND(N($K200)-N($V200),2)))</f>
        <v/>
      </c>
      <c r="X200" s="40" t="str">
        <f aca="false">IF($C200="","",ROUND(SUMIFS(应收净额,应收键,$D200,应收行号,"&lt;="&amp;ROW()),2))</f>
        <v/>
      </c>
      <c r="Y200" s="29" t="str">
        <f aca="false">IF($C200="","",ROW())</f>
        <v/>
      </c>
    </row>
    <row r="201" customFormat="false" ht="15" hidden="false" customHeight="false" outlineLevel="0" collapsed="false">
      <c r="A201" s="29" t="str">
        <f aca="false">IF($C201="","",ROW()-4)</f>
        <v/>
      </c>
      <c r="B201" s="35" t="str">
        <f aca="false">IF($C201="","","YS"&amp;TEXT($C201,"yyyymm")&amp;"-"&amp;TEXT(ROW()-4,"0000"))</f>
        <v/>
      </c>
      <c r="C201" s="33"/>
      <c r="D201" s="24"/>
      <c r="E201" s="30" t="str">
        <f aca="false">IF($D201="","",IFERROR(INDEX(合同单位,MATCH($D201,合同键,0)),IFERROR(TRIM(LEFT($D201,FIND("｜",$D201)-1)),$D201)))</f>
        <v/>
      </c>
      <c r="F201" s="30" t="str">
        <f aca="false">IF($D201="","",IFERROR(INDEX(合同项目,MATCH($D201,合同键,0)),IFERROR(TRIM(MID($D201,FIND("｜",$D201)+1,99)),"")))</f>
        <v/>
      </c>
      <c r="G201" s="24"/>
      <c r="H201" s="35" t="str">
        <f aca="false">IF($G201="","",IFERROR(INDEX(费用款别,MATCH($G201,费用类别表,0)),"合同外款"))</f>
        <v/>
      </c>
      <c r="I201" s="33"/>
      <c r="J201" s="33"/>
      <c r="K201" s="39"/>
      <c r="L201" s="33"/>
      <c r="M201" s="25"/>
      <c r="N201" s="39"/>
      <c r="O201" s="35" t="str">
        <f aca="false">IF($C201="","",IF(N($N201)&lt;=0,"未开票",IF(ROUND(N($N201)-N($K201),2)&gt;=0,"已开票",IFERROR("部分开票 "&amp;TEXT(N($N201)/N($K201),"0%"),"部分开票"))))</f>
        <v/>
      </c>
      <c r="P201" s="40" t="str">
        <f aca="false">IF($C201="","",ROUND($V201+MIN($W201,MAX(0,(SUMIF(收款键,$D201,收款金额)-SUMIFS(收款金额,收款键,$D201,收款关联,"&lt;&gt;"))-($X201-$W201))),2))</f>
        <v/>
      </c>
      <c r="Q201" s="41" t="str">
        <f aca="false">IF($C201="","",ROUND(N($K201)-N($P201),2))</f>
        <v/>
      </c>
      <c r="R201" s="29" t="str">
        <f aca="false">IF($C201="","",YEAR($C201))</f>
        <v/>
      </c>
      <c r="S201" s="24"/>
      <c r="T201" s="35" t="str">
        <f aca="false">IF($C201="","",IF($D201="","★没选客户项目",IF(COUNTIF(合同键,$D201)=0,"★《维保合同》里没这个项目",IF(N($K201)&lt;=0,"★应收金额要填",IF(ROUND(N($N201)-N($K201),2)&gt;0.001,"★开票金额大于应收",IF(AND($L201&lt;&gt;"",N($N201)&lt;=0),"★填了开票日期没填开票金额",IF(AND($I201&lt;&gt;"",$J201&lt;&gt;"",$J201&lt;$I201),"★计费期间起止反了","OK")))))))</f>
        <v/>
      </c>
      <c r="U201" s="29" t="str">
        <f aca="false">IF($L201="","",YEAR($L201))</f>
        <v/>
      </c>
      <c r="V201" s="40" t="str">
        <f aca="false">IF($C201="","",ROUND(SUMIF(收款关联,$B201,收款金额),2))</f>
        <v/>
      </c>
      <c r="W201" s="40" t="str">
        <f aca="false">IF($C201="","",MAX(0,ROUND(N($K201)-N($V201),2)))</f>
        <v/>
      </c>
      <c r="X201" s="40" t="str">
        <f aca="false">IF($C201="","",ROUND(SUMIFS(应收净额,应收键,$D201,应收行号,"&lt;="&amp;ROW()),2))</f>
        <v/>
      </c>
      <c r="Y201" s="29" t="str">
        <f aca="false">IF($C201="","",ROW())</f>
        <v/>
      </c>
    </row>
    <row r="202" customFormat="false" ht="15" hidden="false" customHeight="false" outlineLevel="0" collapsed="false">
      <c r="A202" s="29" t="str">
        <f aca="false">IF($C202="","",ROW()-4)</f>
        <v/>
      </c>
      <c r="B202" s="35" t="str">
        <f aca="false">IF($C202="","","YS"&amp;TEXT($C202,"yyyymm")&amp;"-"&amp;TEXT(ROW()-4,"0000"))</f>
        <v/>
      </c>
      <c r="C202" s="33"/>
      <c r="D202" s="24"/>
      <c r="E202" s="30" t="str">
        <f aca="false">IF($D202="","",IFERROR(INDEX(合同单位,MATCH($D202,合同键,0)),IFERROR(TRIM(LEFT($D202,FIND("｜",$D202)-1)),$D202)))</f>
        <v/>
      </c>
      <c r="F202" s="30" t="str">
        <f aca="false">IF($D202="","",IFERROR(INDEX(合同项目,MATCH($D202,合同键,0)),IFERROR(TRIM(MID($D202,FIND("｜",$D202)+1,99)),"")))</f>
        <v/>
      </c>
      <c r="G202" s="24"/>
      <c r="H202" s="35" t="str">
        <f aca="false">IF($G202="","",IFERROR(INDEX(费用款别,MATCH($G202,费用类别表,0)),"合同外款"))</f>
        <v/>
      </c>
      <c r="I202" s="33"/>
      <c r="J202" s="33"/>
      <c r="K202" s="39"/>
      <c r="L202" s="33"/>
      <c r="M202" s="25"/>
      <c r="N202" s="39"/>
      <c r="O202" s="35" t="str">
        <f aca="false">IF($C202="","",IF(N($N202)&lt;=0,"未开票",IF(ROUND(N($N202)-N($K202),2)&gt;=0,"已开票",IFERROR("部分开票 "&amp;TEXT(N($N202)/N($K202),"0%"),"部分开票"))))</f>
        <v/>
      </c>
      <c r="P202" s="40" t="str">
        <f aca="false">IF($C202="","",ROUND($V202+MIN($W202,MAX(0,(SUMIF(收款键,$D202,收款金额)-SUMIFS(收款金额,收款键,$D202,收款关联,"&lt;&gt;"))-($X202-$W202))),2))</f>
        <v/>
      </c>
      <c r="Q202" s="41" t="str">
        <f aca="false">IF($C202="","",ROUND(N($K202)-N($P202),2))</f>
        <v/>
      </c>
      <c r="R202" s="29" t="str">
        <f aca="false">IF($C202="","",YEAR($C202))</f>
        <v/>
      </c>
      <c r="S202" s="24"/>
      <c r="T202" s="35" t="str">
        <f aca="false">IF($C202="","",IF($D202="","★没选客户项目",IF(COUNTIF(合同键,$D202)=0,"★《维保合同》里没这个项目",IF(N($K202)&lt;=0,"★应收金额要填",IF(ROUND(N($N202)-N($K202),2)&gt;0.001,"★开票金额大于应收",IF(AND($L202&lt;&gt;"",N($N202)&lt;=0),"★填了开票日期没填开票金额",IF(AND($I202&lt;&gt;"",$J202&lt;&gt;"",$J202&lt;$I202),"★计费期间起止反了","OK")))))))</f>
        <v/>
      </c>
      <c r="U202" s="29" t="str">
        <f aca="false">IF($L202="","",YEAR($L202))</f>
        <v/>
      </c>
      <c r="V202" s="40" t="str">
        <f aca="false">IF($C202="","",ROUND(SUMIF(收款关联,$B202,收款金额),2))</f>
        <v/>
      </c>
      <c r="W202" s="40" t="str">
        <f aca="false">IF($C202="","",MAX(0,ROUND(N($K202)-N($V202),2)))</f>
        <v/>
      </c>
      <c r="X202" s="40" t="str">
        <f aca="false">IF($C202="","",ROUND(SUMIFS(应收净额,应收键,$D202,应收行号,"&lt;="&amp;ROW()),2))</f>
        <v/>
      </c>
      <c r="Y202" s="29" t="str">
        <f aca="false">IF($C202="","",ROW())</f>
        <v/>
      </c>
    </row>
    <row r="203" customFormat="false" ht="15" hidden="false" customHeight="false" outlineLevel="0" collapsed="false">
      <c r="A203" s="29" t="str">
        <f aca="false">IF($C203="","",ROW()-4)</f>
        <v/>
      </c>
      <c r="B203" s="35" t="str">
        <f aca="false">IF($C203="","","YS"&amp;TEXT($C203,"yyyymm")&amp;"-"&amp;TEXT(ROW()-4,"0000"))</f>
        <v/>
      </c>
      <c r="C203" s="33"/>
      <c r="D203" s="24"/>
      <c r="E203" s="30" t="str">
        <f aca="false">IF($D203="","",IFERROR(INDEX(合同单位,MATCH($D203,合同键,0)),IFERROR(TRIM(LEFT($D203,FIND("｜",$D203)-1)),$D203)))</f>
        <v/>
      </c>
      <c r="F203" s="30" t="str">
        <f aca="false">IF($D203="","",IFERROR(INDEX(合同项目,MATCH($D203,合同键,0)),IFERROR(TRIM(MID($D203,FIND("｜",$D203)+1,99)),"")))</f>
        <v/>
      </c>
      <c r="G203" s="24"/>
      <c r="H203" s="35" t="str">
        <f aca="false">IF($G203="","",IFERROR(INDEX(费用款别,MATCH($G203,费用类别表,0)),"合同外款"))</f>
        <v/>
      </c>
      <c r="I203" s="33"/>
      <c r="J203" s="33"/>
      <c r="K203" s="39"/>
      <c r="L203" s="33"/>
      <c r="M203" s="25"/>
      <c r="N203" s="39"/>
      <c r="O203" s="35" t="str">
        <f aca="false">IF($C203="","",IF(N($N203)&lt;=0,"未开票",IF(ROUND(N($N203)-N($K203),2)&gt;=0,"已开票",IFERROR("部分开票 "&amp;TEXT(N($N203)/N($K203),"0%"),"部分开票"))))</f>
        <v/>
      </c>
      <c r="P203" s="40" t="str">
        <f aca="false">IF($C203="","",ROUND($V203+MIN($W203,MAX(0,(SUMIF(收款键,$D203,收款金额)-SUMIFS(收款金额,收款键,$D203,收款关联,"&lt;&gt;"))-($X203-$W203))),2))</f>
        <v/>
      </c>
      <c r="Q203" s="41" t="str">
        <f aca="false">IF($C203="","",ROUND(N($K203)-N($P203),2))</f>
        <v/>
      </c>
      <c r="R203" s="29" t="str">
        <f aca="false">IF($C203="","",YEAR($C203))</f>
        <v/>
      </c>
      <c r="S203" s="24"/>
      <c r="T203" s="35" t="str">
        <f aca="false">IF($C203="","",IF($D203="","★没选客户项目",IF(COUNTIF(合同键,$D203)=0,"★《维保合同》里没这个项目",IF(N($K203)&lt;=0,"★应收金额要填",IF(ROUND(N($N203)-N($K203),2)&gt;0.001,"★开票金额大于应收",IF(AND($L203&lt;&gt;"",N($N203)&lt;=0),"★填了开票日期没填开票金额",IF(AND($I203&lt;&gt;"",$J203&lt;&gt;"",$J203&lt;$I203),"★计费期间起止反了","OK")))))))</f>
        <v/>
      </c>
      <c r="U203" s="29" t="str">
        <f aca="false">IF($L203="","",YEAR($L203))</f>
        <v/>
      </c>
      <c r="V203" s="40" t="str">
        <f aca="false">IF($C203="","",ROUND(SUMIF(收款关联,$B203,收款金额),2))</f>
        <v/>
      </c>
      <c r="W203" s="40" t="str">
        <f aca="false">IF($C203="","",MAX(0,ROUND(N($K203)-N($V203),2)))</f>
        <v/>
      </c>
      <c r="X203" s="40" t="str">
        <f aca="false">IF($C203="","",ROUND(SUMIFS(应收净额,应收键,$D203,应收行号,"&lt;="&amp;ROW()),2))</f>
        <v/>
      </c>
      <c r="Y203" s="29" t="str">
        <f aca="false">IF($C203="","",ROW())</f>
        <v/>
      </c>
    </row>
    <row r="204" customFormat="false" ht="15" hidden="false" customHeight="false" outlineLevel="0" collapsed="false">
      <c r="A204" s="29" t="str">
        <f aca="false">IF($C204="","",ROW()-4)</f>
        <v/>
      </c>
      <c r="B204" s="35" t="str">
        <f aca="false">IF($C204="","","YS"&amp;TEXT($C204,"yyyymm")&amp;"-"&amp;TEXT(ROW()-4,"0000"))</f>
        <v/>
      </c>
      <c r="C204" s="33"/>
      <c r="D204" s="24"/>
      <c r="E204" s="30" t="str">
        <f aca="false">IF($D204="","",IFERROR(INDEX(合同单位,MATCH($D204,合同键,0)),IFERROR(TRIM(LEFT($D204,FIND("｜",$D204)-1)),$D204)))</f>
        <v/>
      </c>
      <c r="F204" s="30" t="str">
        <f aca="false">IF($D204="","",IFERROR(INDEX(合同项目,MATCH($D204,合同键,0)),IFERROR(TRIM(MID($D204,FIND("｜",$D204)+1,99)),"")))</f>
        <v/>
      </c>
      <c r="G204" s="24"/>
      <c r="H204" s="35" t="str">
        <f aca="false">IF($G204="","",IFERROR(INDEX(费用款别,MATCH($G204,费用类别表,0)),"合同外款"))</f>
        <v/>
      </c>
      <c r="I204" s="33"/>
      <c r="J204" s="33"/>
      <c r="K204" s="39"/>
      <c r="L204" s="33"/>
      <c r="M204" s="25"/>
      <c r="N204" s="39"/>
      <c r="O204" s="35" t="str">
        <f aca="false">IF($C204="","",IF(N($N204)&lt;=0,"未开票",IF(ROUND(N($N204)-N($K204),2)&gt;=0,"已开票",IFERROR("部分开票 "&amp;TEXT(N($N204)/N($K204),"0%"),"部分开票"))))</f>
        <v/>
      </c>
      <c r="P204" s="40" t="str">
        <f aca="false">IF($C204="","",ROUND($V204+MIN($W204,MAX(0,(SUMIF(收款键,$D204,收款金额)-SUMIFS(收款金额,收款键,$D204,收款关联,"&lt;&gt;"))-($X204-$W204))),2))</f>
        <v/>
      </c>
      <c r="Q204" s="41" t="str">
        <f aca="false">IF($C204="","",ROUND(N($K204)-N($P204),2))</f>
        <v/>
      </c>
      <c r="R204" s="29" t="str">
        <f aca="false">IF($C204="","",YEAR($C204))</f>
        <v/>
      </c>
      <c r="S204" s="24"/>
      <c r="T204" s="35" t="str">
        <f aca="false">IF($C204="","",IF($D204="","★没选客户项目",IF(COUNTIF(合同键,$D204)=0,"★《维保合同》里没这个项目",IF(N($K204)&lt;=0,"★应收金额要填",IF(ROUND(N($N204)-N($K204),2)&gt;0.001,"★开票金额大于应收",IF(AND($L204&lt;&gt;"",N($N204)&lt;=0),"★填了开票日期没填开票金额",IF(AND($I204&lt;&gt;"",$J204&lt;&gt;"",$J204&lt;$I204),"★计费期间起止反了","OK")))))))</f>
        <v/>
      </c>
      <c r="U204" s="29" t="str">
        <f aca="false">IF($L204="","",YEAR($L204))</f>
        <v/>
      </c>
      <c r="V204" s="40" t="str">
        <f aca="false">IF($C204="","",ROUND(SUMIF(收款关联,$B204,收款金额),2))</f>
        <v/>
      </c>
      <c r="W204" s="40" t="str">
        <f aca="false">IF($C204="","",MAX(0,ROUND(N($K204)-N($V204),2)))</f>
        <v/>
      </c>
      <c r="X204" s="40" t="str">
        <f aca="false">IF($C204="","",ROUND(SUMIFS(应收净额,应收键,$D204,应收行号,"&lt;="&amp;ROW()),2))</f>
        <v/>
      </c>
      <c r="Y204" s="29" t="str">
        <f aca="false">IF($C204="","",ROW())</f>
        <v/>
      </c>
    </row>
    <row r="205" customFormat="false" ht="15" hidden="false" customHeight="false" outlineLevel="0" collapsed="false">
      <c r="A205" s="29" t="str">
        <f aca="false">IF($C205="","",ROW()-4)</f>
        <v/>
      </c>
      <c r="B205" s="35" t="str">
        <f aca="false">IF($C205="","","YS"&amp;TEXT($C205,"yyyymm")&amp;"-"&amp;TEXT(ROW()-4,"0000"))</f>
        <v/>
      </c>
      <c r="C205" s="33"/>
      <c r="D205" s="24"/>
      <c r="E205" s="30" t="str">
        <f aca="false">IF($D205="","",IFERROR(INDEX(合同单位,MATCH($D205,合同键,0)),IFERROR(TRIM(LEFT($D205,FIND("｜",$D205)-1)),$D205)))</f>
        <v/>
      </c>
      <c r="F205" s="30" t="str">
        <f aca="false">IF($D205="","",IFERROR(INDEX(合同项目,MATCH($D205,合同键,0)),IFERROR(TRIM(MID($D205,FIND("｜",$D205)+1,99)),"")))</f>
        <v/>
      </c>
      <c r="G205" s="24"/>
      <c r="H205" s="35" t="str">
        <f aca="false">IF($G205="","",IFERROR(INDEX(费用款别,MATCH($G205,费用类别表,0)),"合同外款"))</f>
        <v/>
      </c>
      <c r="I205" s="33"/>
      <c r="J205" s="33"/>
      <c r="K205" s="39"/>
      <c r="L205" s="33"/>
      <c r="M205" s="25"/>
      <c r="N205" s="39"/>
      <c r="O205" s="35" t="str">
        <f aca="false">IF($C205="","",IF(N($N205)&lt;=0,"未开票",IF(ROUND(N($N205)-N($K205),2)&gt;=0,"已开票",IFERROR("部分开票 "&amp;TEXT(N($N205)/N($K205),"0%"),"部分开票"))))</f>
        <v/>
      </c>
      <c r="P205" s="40" t="str">
        <f aca="false">IF($C205="","",ROUND($V205+MIN($W205,MAX(0,(SUMIF(收款键,$D205,收款金额)-SUMIFS(收款金额,收款键,$D205,收款关联,"&lt;&gt;"))-($X205-$W205))),2))</f>
        <v/>
      </c>
      <c r="Q205" s="41" t="str">
        <f aca="false">IF($C205="","",ROUND(N($K205)-N($P205),2))</f>
        <v/>
      </c>
      <c r="R205" s="29" t="str">
        <f aca="false">IF($C205="","",YEAR($C205))</f>
        <v/>
      </c>
      <c r="S205" s="24"/>
      <c r="T205" s="35" t="str">
        <f aca="false">IF($C205="","",IF($D205="","★没选客户项目",IF(COUNTIF(合同键,$D205)=0,"★《维保合同》里没这个项目",IF(N($K205)&lt;=0,"★应收金额要填",IF(ROUND(N($N205)-N($K205),2)&gt;0.001,"★开票金额大于应收",IF(AND($L205&lt;&gt;"",N($N205)&lt;=0),"★填了开票日期没填开票金额",IF(AND($I205&lt;&gt;"",$J205&lt;&gt;"",$J205&lt;$I205),"★计费期间起止反了","OK")))))))</f>
        <v/>
      </c>
      <c r="U205" s="29" t="str">
        <f aca="false">IF($L205="","",YEAR($L205))</f>
        <v/>
      </c>
      <c r="V205" s="40" t="str">
        <f aca="false">IF($C205="","",ROUND(SUMIF(收款关联,$B205,收款金额),2))</f>
        <v/>
      </c>
      <c r="W205" s="40" t="str">
        <f aca="false">IF($C205="","",MAX(0,ROUND(N($K205)-N($V205),2)))</f>
        <v/>
      </c>
      <c r="X205" s="40" t="str">
        <f aca="false">IF($C205="","",ROUND(SUMIFS(应收净额,应收键,$D205,应收行号,"&lt;="&amp;ROW()),2))</f>
        <v/>
      </c>
      <c r="Y205" s="29" t="str">
        <f aca="false">IF($C205="","",ROW())</f>
        <v/>
      </c>
    </row>
    <row r="206" customFormat="false" ht="15" hidden="false" customHeight="false" outlineLevel="0" collapsed="false">
      <c r="A206" s="29" t="str">
        <f aca="false">IF($C206="","",ROW()-4)</f>
        <v/>
      </c>
      <c r="B206" s="35" t="str">
        <f aca="false">IF($C206="","","YS"&amp;TEXT($C206,"yyyymm")&amp;"-"&amp;TEXT(ROW()-4,"0000"))</f>
        <v/>
      </c>
      <c r="C206" s="33"/>
      <c r="D206" s="24"/>
      <c r="E206" s="30" t="str">
        <f aca="false">IF($D206="","",IFERROR(INDEX(合同单位,MATCH($D206,合同键,0)),IFERROR(TRIM(LEFT($D206,FIND("｜",$D206)-1)),$D206)))</f>
        <v/>
      </c>
      <c r="F206" s="30" t="str">
        <f aca="false">IF($D206="","",IFERROR(INDEX(合同项目,MATCH($D206,合同键,0)),IFERROR(TRIM(MID($D206,FIND("｜",$D206)+1,99)),"")))</f>
        <v/>
      </c>
      <c r="G206" s="24"/>
      <c r="H206" s="35" t="str">
        <f aca="false">IF($G206="","",IFERROR(INDEX(费用款别,MATCH($G206,费用类别表,0)),"合同外款"))</f>
        <v/>
      </c>
      <c r="I206" s="33"/>
      <c r="J206" s="33"/>
      <c r="K206" s="39"/>
      <c r="L206" s="33"/>
      <c r="M206" s="25"/>
      <c r="N206" s="39"/>
      <c r="O206" s="35" t="str">
        <f aca="false">IF($C206="","",IF(N($N206)&lt;=0,"未开票",IF(ROUND(N($N206)-N($K206),2)&gt;=0,"已开票",IFERROR("部分开票 "&amp;TEXT(N($N206)/N($K206),"0%"),"部分开票"))))</f>
        <v/>
      </c>
      <c r="P206" s="40" t="str">
        <f aca="false">IF($C206="","",ROUND($V206+MIN($W206,MAX(0,(SUMIF(收款键,$D206,收款金额)-SUMIFS(收款金额,收款键,$D206,收款关联,"&lt;&gt;"))-($X206-$W206))),2))</f>
        <v/>
      </c>
      <c r="Q206" s="41" t="str">
        <f aca="false">IF($C206="","",ROUND(N($K206)-N($P206),2))</f>
        <v/>
      </c>
      <c r="R206" s="29" t="str">
        <f aca="false">IF($C206="","",YEAR($C206))</f>
        <v/>
      </c>
      <c r="S206" s="24"/>
      <c r="T206" s="35" t="str">
        <f aca="false">IF($C206="","",IF($D206="","★没选客户项目",IF(COUNTIF(合同键,$D206)=0,"★《维保合同》里没这个项目",IF(N($K206)&lt;=0,"★应收金额要填",IF(ROUND(N($N206)-N($K206),2)&gt;0.001,"★开票金额大于应收",IF(AND($L206&lt;&gt;"",N($N206)&lt;=0),"★填了开票日期没填开票金额",IF(AND($I206&lt;&gt;"",$J206&lt;&gt;"",$J206&lt;$I206),"★计费期间起止反了","OK")))))))</f>
        <v/>
      </c>
      <c r="U206" s="29" t="str">
        <f aca="false">IF($L206="","",YEAR($L206))</f>
        <v/>
      </c>
      <c r="V206" s="40" t="str">
        <f aca="false">IF($C206="","",ROUND(SUMIF(收款关联,$B206,收款金额),2))</f>
        <v/>
      </c>
      <c r="W206" s="40" t="str">
        <f aca="false">IF($C206="","",MAX(0,ROUND(N($K206)-N($V206),2)))</f>
        <v/>
      </c>
      <c r="X206" s="40" t="str">
        <f aca="false">IF($C206="","",ROUND(SUMIFS(应收净额,应收键,$D206,应收行号,"&lt;="&amp;ROW()),2))</f>
        <v/>
      </c>
      <c r="Y206" s="29" t="str">
        <f aca="false">IF($C206="","",ROW())</f>
        <v/>
      </c>
    </row>
    <row r="207" customFormat="false" ht="15" hidden="false" customHeight="false" outlineLevel="0" collapsed="false">
      <c r="A207" s="29" t="str">
        <f aca="false">IF($C207="","",ROW()-4)</f>
        <v/>
      </c>
      <c r="B207" s="35" t="str">
        <f aca="false">IF($C207="","","YS"&amp;TEXT($C207,"yyyymm")&amp;"-"&amp;TEXT(ROW()-4,"0000"))</f>
        <v/>
      </c>
      <c r="C207" s="33"/>
      <c r="D207" s="24"/>
      <c r="E207" s="30" t="str">
        <f aca="false">IF($D207="","",IFERROR(INDEX(合同单位,MATCH($D207,合同键,0)),IFERROR(TRIM(LEFT($D207,FIND("｜",$D207)-1)),$D207)))</f>
        <v/>
      </c>
      <c r="F207" s="30" t="str">
        <f aca="false">IF($D207="","",IFERROR(INDEX(合同项目,MATCH($D207,合同键,0)),IFERROR(TRIM(MID($D207,FIND("｜",$D207)+1,99)),"")))</f>
        <v/>
      </c>
      <c r="G207" s="24"/>
      <c r="H207" s="35" t="str">
        <f aca="false">IF($G207="","",IFERROR(INDEX(费用款别,MATCH($G207,费用类别表,0)),"合同外款"))</f>
        <v/>
      </c>
      <c r="I207" s="33"/>
      <c r="J207" s="33"/>
      <c r="K207" s="39"/>
      <c r="L207" s="33"/>
      <c r="M207" s="25"/>
      <c r="N207" s="39"/>
      <c r="O207" s="35" t="str">
        <f aca="false">IF($C207="","",IF(N($N207)&lt;=0,"未开票",IF(ROUND(N($N207)-N($K207),2)&gt;=0,"已开票",IFERROR("部分开票 "&amp;TEXT(N($N207)/N($K207),"0%"),"部分开票"))))</f>
        <v/>
      </c>
      <c r="P207" s="40" t="str">
        <f aca="false">IF($C207="","",ROUND($V207+MIN($W207,MAX(0,(SUMIF(收款键,$D207,收款金额)-SUMIFS(收款金额,收款键,$D207,收款关联,"&lt;&gt;"))-($X207-$W207))),2))</f>
        <v/>
      </c>
      <c r="Q207" s="41" t="str">
        <f aca="false">IF($C207="","",ROUND(N($K207)-N($P207),2))</f>
        <v/>
      </c>
      <c r="R207" s="29" t="str">
        <f aca="false">IF($C207="","",YEAR($C207))</f>
        <v/>
      </c>
      <c r="S207" s="24"/>
      <c r="T207" s="35" t="str">
        <f aca="false">IF($C207="","",IF($D207="","★没选客户项目",IF(COUNTIF(合同键,$D207)=0,"★《维保合同》里没这个项目",IF(N($K207)&lt;=0,"★应收金额要填",IF(ROUND(N($N207)-N($K207),2)&gt;0.001,"★开票金额大于应收",IF(AND($L207&lt;&gt;"",N($N207)&lt;=0),"★填了开票日期没填开票金额",IF(AND($I207&lt;&gt;"",$J207&lt;&gt;"",$J207&lt;$I207),"★计费期间起止反了","OK")))))))</f>
        <v/>
      </c>
      <c r="U207" s="29" t="str">
        <f aca="false">IF($L207="","",YEAR($L207))</f>
        <v/>
      </c>
      <c r="V207" s="40" t="str">
        <f aca="false">IF($C207="","",ROUND(SUMIF(收款关联,$B207,收款金额),2))</f>
        <v/>
      </c>
      <c r="W207" s="40" t="str">
        <f aca="false">IF($C207="","",MAX(0,ROUND(N($K207)-N($V207),2)))</f>
        <v/>
      </c>
      <c r="X207" s="40" t="str">
        <f aca="false">IF($C207="","",ROUND(SUMIFS(应收净额,应收键,$D207,应收行号,"&lt;="&amp;ROW()),2))</f>
        <v/>
      </c>
      <c r="Y207" s="29" t="str">
        <f aca="false">IF($C207="","",ROW())</f>
        <v/>
      </c>
    </row>
    <row r="208" customFormat="false" ht="15" hidden="false" customHeight="false" outlineLevel="0" collapsed="false">
      <c r="A208" s="29" t="str">
        <f aca="false">IF($C208="","",ROW()-4)</f>
        <v/>
      </c>
      <c r="B208" s="35" t="str">
        <f aca="false">IF($C208="","","YS"&amp;TEXT($C208,"yyyymm")&amp;"-"&amp;TEXT(ROW()-4,"0000"))</f>
        <v/>
      </c>
      <c r="C208" s="33"/>
      <c r="D208" s="24"/>
      <c r="E208" s="30" t="str">
        <f aca="false">IF($D208="","",IFERROR(INDEX(合同单位,MATCH($D208,合同键,0)),IFERROR(TRIM(LEFT($D208,FIND("｜",$D208)-1)),$D208)))</f>
        <v/>
      </c>
      <c r="F208" s="30" t="str">
        <f aca="false">IF($D208="","",IFERROR(INDEX(合同项目,MATCH($D208,合同键,0)),IFERROR(TRIM(MID($D208,FIND("｜",$D208)+1,99)),"")))</f>
        <v/>
      </c>
      <c r="G208" s="24"/>
      <c r="H208" s="35" t="str">
        <f aca="false">IF($G208="","",IFERROR(INDEX(费用款别,MATCH($G208,费用类别表,0)),"合同外款"))</f>
        <v/>
      </c>
      <c r="I208" s="33"/>
      <c r="J208" s="33"/>
      <c r="K208" s="39"/>
      <c r="L208" s="33"/>
      <c r="M208" s="25"/>
      <c r="N208" s="39"/>
      <c r="O208" s="35" t="str">
        <f aca="false">IF($C208="","",IF(N($N208)&lt;=0,"未开票",IF(ROUND(N($N208)-N($K208),2)&gt;=0,"已开票",IFERROR("部分开票 "&amp;TEXT(N($N208)/N($K208),"0%"),"部分开票"))))</f>
        <v/>
      </c>
      <c r="P208" s="40" t="str">
        <f aca="false">IF($C208="","",ROUND($V208+MIN($W208,MAX(0,(SUMIF(收款键,$D208,收款金额)-SUMIFS(收款金额,收款键,$D208,收款关联,"&lt;&gt;"))-($X208-$W208))),2))</f>
        <v/>
      </c>
      <c r="Q208" s="41" t="str">
        <f aca="false">IF($C208="","",ROUND(N($K208)-N($P208),2))</f>
        <v/>
      </c>
      <c r="R208" s="29" t="str">
        <f aca="false">IF($C208="","",YEAR($C208))</f>
        <v/>
      </c>
      <c r="S208" s="24"/>
      <c r="T208" s="35" t="str">
        <f aca="false">IF($C208="","",IF($D208="","★没选客户项目",IF(COUNTIF(合同键,$D208)=0,"★《维保合同》里没这个项目",IF(N($K208)&lt;=0,"★应收金额要填",IF(ROUND(N($N208)-N($K208),2)&gt;0.001,"★开票金额大于应收",IF(AND($L208&lt;&gt;"",N($N208)&lt;=0),"★填了开票日期没填开票金额",IF(AND($I208&lt;&gt;"",$J208&lt;&gt;"",$J208&lt;$I208),"★计费期间起止反了","OK")))))))</f>
        <v/>
      </c>
      <c r="U208" s="29" t="str">
        <f aca="false">IF($L208="","",YEAR($L208))</f>
        <v/>
      </c>
      <c r="V208" s="40" t="str">
        <f aca="false">IF($C208="","",ROUND(SUMIF(收款关联,$B208,收款金额),2))</f>
        <v/>
      </c>
      <c r="W208" s="40" t="str">
        <f aca="false">IF($C208="","",MAX(0,ROUND(N($K208)-N($V208),2)))</f>
        <v/>
      </c>
      <c r="X208" s="40" t="str">
        <f aca="false">IF($C208="","",ROUND(SUMIFS(应收净额,应收键,$D208,应收行号,"&lt;="&amp;ROW()),2))</f>
        <v/>
      </c>
      <c r="Y208" s="29" t="str">
        <f aca="false">IF($C208="","",ROW())</f>
        <v/>
      </c>
    </row>
    <row r="209" customFormat="false" ht="15" hidden="false" customHeight="false" outlineLevel="0" collapsed="false">
      <c r="A209" s="29" t="str">
        <f aca="false">IF($C209="","",ROW()-4)</f>
        <v/>
      </c>
      <c r="B209" s="35" t="str">
        <f aca="false">IF($C209="","","YS"&amp;TEXT($C209,"yyyymm")&amp;"-"&amp;TEXT(ROW()-4,"0000"))</f>
        <v/>
      </c>
      <c r="C209" s="33"/>
      <c r="D209" s="24"/>
      <c r="E209" s="30" t="str">
        <f aca="false">IF($D209="","",IFERROR(INDEX(合同单位,MATCH($D209,合同键,0)),IFERROR(TRIM(LEFT($D209,FIND("｜",$D209)-1)),$D209)))</f>
        <v/>
      </c>
      <c r="F209" s="30" t="str">
        <f aca="false">IF($D209="","",IFERROR(INDEX(合同项目,MATCH($D209,合同键,0)),IFERROR(TRIM(MID($D209,FIND("｜",$D209)+1,99)),"")))</f>
        <v/>
      </c>
      <c r="G209" s="24"/>
      <c r="H209" s="35" t="str">
        <f aca="false">IF($G209="","",IFERROR(INDEX(费用款别,MATCH($G209,费用类别表,0)),"合同外款"))</f>
        <v/>
      </c>
      <c r="I209" s="33"/>
      <c r="J209" s="33"/>
      <c r="K209" s="39"/>
      <c r="L209" s="33"/>
      <c r="M209" s="25"/>
      <c r="N209" s="39"/>
      <c r="O209" s="35" t="str">
        <f aca="false">IF($C209="","",IF(N($N209)&lt;=0,"未开票",IF(ROUND(N($N209)-N($K209),2)&gt;=0,"已开票",IFERROR("部分开票 "&amp;TEXT(N($N209)/N($K209),"0%"),"部分开票"))))</f>
        <v/>
      </c>
      <c r="P209" s="40" t="str">
        <f aca="false">IF($C209="","",ROUND($V209+MIN($W209,MAX(0,(SUMIF(收款键,$D209,收款金额)-SUMIFS(收款金额,收款键,$D209,收款关联,"&lt;&gt;"))-($X209-$W209))),2))</f>
        <v/>
      </c>
      <c r="Q209" s="41" t="str">
        <f aca="false">IF($C209="","",ROUND(N($K209)-N($P209),2))</f>
        <v/>
      </c>
      <c r="R209" s="29" t="str">
        <f aca="false">IF($C209="","",YEAR($C209))</f>
        <v/>
      </c>
      <c r="S209" s="24"/>
      <c r="T209" s="35" t="str">
        <f aca="false">IF($C209="","",IF($D209="","★没选客户项目",IF(COUNTIF(合同键,$D209)=0,"★《维保合同》里没这个项目",IF(N($K209)&lt;=0,"★应收金额要填",IF(ROUND(N($N209)-N($K209),2)&gt;0.001,"★开票金额大于应收",IF(AND($L209&lt;&gt;"",N($N209)&lt;=0),"★填了开票日期没填开票金额",IF(AND($I209&lt;&gt;"",$J209&lt;&gt;"",$J209&lt;$I209),"★计费期间起止反了","OK")))))))</f>
        <v/>
      </c>
      <c r="U209" s="29" t="str">
        <f aca="false">IF($L209="","",YEAR($L209))</f>
        <v/>
      </c>
      <c r="V209" s="40" t="str">
        <f aca="false">IF($C209="","",ROUND(SUMIF(收款关联,$B209,收款金额),2))</f>
        <v/>
      </c>
      <c r="W209" s="40" t="str">
        <f aca="false">IF($C209="","",MAX(0,ROUND(N($K209)-N($V209),2)))</f>
        <v/>
      </c>
      <c r="X209" s="40" t="str">
        <f aca="false">IF($C209="","",ROUND(SUMIFS(应收净额,应收键,$D209,应收行号,"&lt;="&amp;ROW()),2))</f>
        <v/>
      </c>
      <c r="Y209" s="29" t="str">
        <f aca="false">IF($C209="","",ROW())</f>
        <v/>
      </c>
    </row>
    <row r="210" customFormat="false" ht="15" hidden="false" customHeight="false" outlineLevel="0" collapsed="false">
      <c r="A210" s="29" t="str">
        <f aca="false">IF($C210="","",ROW()-4)</f>
        <v/>
      </c>
      <c r="B210" s="35" t="str">
        <f aca="false">IF($C210="","","YS"&amp;TEXT($C210,"yyyymm")&amp;"-"&amp;TEXT(ROW()-4,"0000"))</f>
        <v/>
      </c>
      <c r="C210" s="33"/>
      <c r="D210" s="24"/>
      <c r="E210" s="30" t="str">
        <f aca="false">IF($D210="","",IFERROR(INDEX(合同单位,MATCH($D210,合同键,0)),IFERROR(TRIM(LEFT($D210,FIND("｜",$D210)-1)),$D210)))</f>
        <v/>
      </c>
      <c r="F210" s="30" t="str">
        <f aca="false">IF($D210="","",IFERROR(INDEX(合同项目,MATCH($D210,合同键,0)),IFERROR(TRIM(MID($D210,FIND("｜",$D210)+1,99)),"")))</f>
        <v/>
      </c>
      <c r="G210" s="24"/>
      <c r="H210" s="35" t="str">
        <f aca="false">IF($G210="","",IFERROR(INDEX(费用款别,MATCH($G210,费用类别表,0)),"合同外款"))</f>
        <v/>
      </c>
      <c r="I210" s="33"/>
      <c r="J210" s="33"/>
      <c r="K210" s="39"/>
      <c r="L210" s="33"/>
      <c r="M210" s="25"/>
      <c r="N210" s="39"/>
      <c r="O210" s="35" t="str">
        <f aca="false">IF($C210="","",IF(N($N210)&lt;=0,"未开票",IF(ROUND(N($N210)-N($K210),2)&gt;=0,"已开票",IFERROR("部分开票 "&amp;TEXT(N($N210)/N($K210),"0%"),"部分开票"))))</f>
        <v/>
      </c>
      <c r="P210" s="40" t="str">
        <f aca="false">IF($C210="","",ROUND($V210+MIN($W210,MAX(0,(SUMIF(收款键,$D210,收款金额)-SUMIFS(收款金额,收款键,$D210,收款关联,"&lt;&gt;"))-($X210-$W210))),2))</f>
        <v/>
      </c>
      <c r="Q210" s="41" t="str">
        <f aca="false">IF($C210="","",ROUND(N($K210)-N($P210),2))</f>
        <v/>
      </c>
      <c r="R210" s="29" t="str">
        <f aca="false">IF($C210="","",YEAR($C210))</f>
        <v/>
      </c>
      <c r="S210" s="24"/>
      <c r="T210" s="35" t="str">
        <f aca="false">IF($C210="","",IF($D210="","★没选客户项目",IF(COUNTIF(合同键,$D210)=0,"★《维保合同》里没这个项目",IF(N($K210)&lt;=0,"★应收金额要填",IF(ROUND(N($N210)-N($K210),2)&gt;0.001,"★开票金额大于应收",IF(AND($L210&lt;&gt;"",N($N210)&lt;=0),"★填了开票日期没填开票金额",IF(AND($I210&lt;&gt;"",$J210&lt;&gt;"",$J210&lt;$I210),"★计费期间起止反了","OK")))))))</f>
        <v/>
      </c>
      <c r="U210" s="29" t="str">
        <f aca="false">IF($L210="","",YEAR($L210))</f>
        <v/>
      </c>
      <c r="V210" s="40" t="str">
        <f aca="false">IF($C210="","",ROUND(SUMIF(收款关联,$B210,收款金额),2))</f>
        <v/>
      </c>
      <c r="W210" s="40" t="str">
        <f aca="false">IF($C210="","",MAX(0,ROUND(N($K210)-N($V210),2)))</f>
        <v/>
      </c>
      <c r="X210" s="40" t="str">
        <f aca="false">IF($C210="","",ROUND(SUMIFS(应收净额,应收键,$D210,应收行号,"&lt;="&amp;ROW()),2))</f>
        <v/>
      </c>
      <c r="Y210" s="29" t="str">
        <f aca="false">IF($C210="","",ROW())</f>
        <v/>
      </c>
    </row>
    <row r="211" customFormat="false" ht="15" hidden="false" customHeight="false" outlineLevel="0" collapsed="false">
      <c r="A211" s="29" t="str">
        <f aca="false">IF($C211="","",ROW()-4)</f>
        <v/>
      </c>
      <c r="B211" s="35" t="str">
        <f aca="false">IF($C211="","","YS"&amp;TEXT($C211,"yyyymm")&amp;"-"&amp;TEXT(ROW()-4,"0000"))</f>
        <v/>
      </c>
      <c r="C211" s="33"/>
      <c r="D211" s="24"/>
      <c r="E211" s="30" t="str">
        <f aca="false">IF($D211="","",IFERROR(INDEX(合同单位,MATCH($D211,合同键,0)),IFERROR(TRIM(LEFT($D211,FIND("｜",$D211)-1)),$D211)))</f>
        <v/>
      </c>
      <c r="F211" s="30" t="str">
        <f aca="false">IF($D211="","",IFERROR(INDEX(合同项目,MATCH($D211,合同键,0)),IFERROR(TRIM(MID($D211,FIND("｜",$D211)+1,99)),"")))</f>
        <v/>
      </c>
      <c r="G211" s="24"/>
      <c r="H211" s="35" t="str">
        <f aca="false">IF($G211="","",IFERROR(INDEX(费用款别,MATCH($G211,费用类别表,0)),"合同外款"))</f>
        <v/>
      </c>
      <c r="I211" s="33"/>
      <c r="J211" s="33"/>
      <c r="K211" s="39"/>
      <c r="L211" s="33"/>
      <c r="M211" s="25"/>
      <c r="N211" s="39"/>
      <c r="O211" s="35" t="str">
        <f aca="false">IF($C211="","",IF(N($N211)&lt;=0,"未开票",IF(ROUND(N($N211)-N($K211),2)&gt;=0,"已开票",IFERROR("部分开票 "&amp;TEXT(N($N211)/N($K211),"0%"),"部分开票"))))</f>
        <v/>
      </c>
      <c r="P211" s="40" t="str">
        <f aca="false">IF($C211="","",ROUND($V211+MIN($W211,MAX(0,(SUMIF(收款键,$D211,收款金额)-SUMIFS(收款金额,收款键,$D211,收款关联,"&lt;&gt;"))-($X211-$W211))),2))</f>
        <v/>
      </c>
      <c r="Q211" s="41" t="str">
        <f aca="false">IF($C211="","",ROUND(N($K211)-N($P211),2))</f>
        <v/>
      </c>
      <c r="R211" s="29" t="str">
        <f aca="false">IF($C211="","",YEAR($C211))</f>
        <v/>
      </c>
      <c r="S211" s="24"/>
      <c r="T211" s="35" t="str">
        <f aca="false">IF($C211="","",IF($D211="","★没选客户项目",IF(COUNTIF(合同键,$D211)=0,"★《维保合同》里没这个项目",IF(N($K211)&lt;=0,"★应收金额要填",IF(ROUND(N($N211)-N($K211),2)&gt;0.001,"★开票金额大于应收",IF(AND($L211&lt;&gt;"",N($N211)&lt;=0),"★填了开票日期没填开票金额",IF(AND($I211&lt;&gt;"",$J211&lt;&gt;"",$J211&lt;$I211),"★计费期间起止反了","OK")))))))</f>
        <v/>
      </c>
      <c r="U211" s="29" t="str">
        <f aca="false">IF($L211="","",YEAR($L211))</f>
        <v/>
      </c>
      <c r="V211" s="40" t="str">
        <f aca="false">IF($C211="","",ROUND(SUMIF(收款关联,$B211,收款金额),2))</f>
        <v/>
      </c>
      <c r="W211" s="40" t="str">
        <f aca="false">IF($C211="","",MAX(0,ROUND(N($K211)-N($V211),2)))</f>
        <v/>
      </c>
      <c r="X211" s="40" t="str">
        <f aca="false">IF($C211="","",ROUND(SUMIFS(应收净额,应收键,$D211,应收行号,"&lt;="&amp;ROW()),2))</f>
        <v/>
      </c>
      <c r="Y211" s="29" t="str">
        <f aca="false">IF($C211="","",ROW())</f>
        <v/>
      </c>
    </row>
    <row r="212" customFormat="false" ht="15" hidden="false" customHeight="false" outlineLevel="0" collapsed="false">
      <c r="A212" s="29" t="str">
        <f aca="false">IF($C212="","",ROW()-4)</f>
        <v/>
      </c>
      <c r="B212" s="35" t="str">
        <f aca="false">IF($C212="","","YS"&amp;TEXT($C212,"yyyymm")&amp;"-"&amp;TEXT(ROW()-4,"0000"))</f>
        <v/>
      </c>
      <c r="C212" s="33"/>
      <c r="D212" s="24"/>
      <c r="E212" s="30" t="str">
        <f aca="false">IF($D212="","",IFERROR(INDEX(合同单位,MATCH($D212,合同键,0)),IFERROR(TRIM(LEFT($D212,FIND("｜",$D212)-1)),$D212)))</f>
        <v/>
      </c>
      <c r="F212" s="30" t="str">
        <f aca="false">IF($D212="","",IFERROR(INDEX(合同项目,MATCH($D212,合同键,0)),IFERROR(TRIM(MID($D212,FIND("｜",$D212)+1,99)),"")))</f>
        <v/>
      </c>
      <c r="G212" s="24"/>
      <c r="H212" s="35" t="str">
        <f aca="false">IF($G212="","",IFERROR(INDEX(费用款别,MATCH($G212,费用类别表,0)),"合同外款"))</f>
        <v/>
      </c>
      <c r="I212" s="33"/>
      <c r="J212" s="33"/>
      <c r="K212" s="39"/>
      <c r="L212" s="33"/>
      <c r="M212" s="25"/>
      <c r="N212" s="39"/>
      <c r="O212" s="35" t="str">
        <f aca="false">IF($C212="","",IF(N($N212)&lt;=0,"未开票",IF(ROUND(N($N212)-N($K212),2)&gt;=0,"已开票",IFERROR("部分开票 "&amp;TEXT(N($N212)/N($K212),"0%"),"部分开票"))))</f>
        <v/>
      </c>
      <c r="P212" s="40" t="str">
        <f aca="false">IF($C212="","",ROUND($V212+MIN($W212,MAX(0,(SUMIF(收款键,$D212,收款金额)-SUMIFS(收款金额,收款键,$D212,收款关联,"&lt;&gt;"))-($X212-$W212))),2))</f>
        <v/>
      </c>
      <c r="Q212" s="41" t="str">
        <f aca="false">IF($C212="","",ROUND(N($K212)-N($P212),2))</f>
        <v/>
      </c>
      <c r="R212" s="29" t="str">
        <f aca="false">IF($C212="","",YEAR($C212))</f>
        <v/>
      </c>
      <c r="S212" s="24"/>
      <c r="T212" s="35" t="str">
        <f aca="false">IF($C212="","",IF($D212="","★没选客户项目",IF(COUNTIF(合同键,$D212)=0,"★《维保合同》里没这个项目",IF(N($K212)&lt;=0,"★应收金额要填",IF(ROUND(N($N212)-N($K212),2)&gt;0.001,"★开票金额大于应收",IF(AND($L212&lt;&gt;"",N($N212)&lt;=0),"★填了开票日期没填开票金额",IF(AND($I212&lt;&gt;"",$J212&lt;&gt;"",$J212&lt;$I212),"★计费期间起止反了","OK")))))))</f>
        <v/>
      </c>
      <c r="U212" s="29" t="str">
        <f aca="false">IF($L212="","",YEAR($L212))</f>
        <v/>
      </c>
      <c r="V212" s="40" t="str">
        <f aca="false">IF($C212="","",ROUND(SUMIF(收款关联,$B212,收款金额),2))</f>
        <v/>
      </c>
      <c r="W212" s="40" t="str">
        <f aca="false">IF($C212="","",MAX(0,ROUND(N($K212)-N($V212),2)))</f>
        <v/>
      </c>
      <c r="X212" s="40" t="str">
        <f aca="false">IF($C212="","",ROUND(SUMIFS(应收净额,应收键,$D212,应收行号,"&lt;="&amp;ROW()),2))</f>
        <v/>
      </c>
      <c r="Y212" s="29" t="str">
        <f aca="false">IF($C212="","",ROW())</f>
        <v/>
      </c>
    </row>
    <row r="213" customFormat="false" ht="15" hidden="false" customHeight="false" outlineLevel="0" collapsed="false">
      <c r="A213" s="29" t="str">
        <f aca="false">IF($C213="","",ROW()-4)</f>
        <v/>
      </c>
      <c r="B213" s="35" t="str">
        <f aca="false">IF($C213="","","YS"&amp;TEXT($C213,"yyyymm")&amp;"-"&amp;TEXT(ROW()-4,"0000"))</f>
        <v/>
      </c>
      <c r="C213" s="33"/>
      <c r="D213" s="24"/>
      <c r="E213" s="30" t="str">
        <f aca="false">IF($D213="","",IFERROR(INDEX(合同单位,MATCH($D213,合同键,0)),IFERROR(TRIM(LEFT($D213,FIND("｜",$D213)-1)),$D213)))</f>
        <v/>
      </c>
      <c r="F213" s="30" t="str">
        <f aca="false">IF($D213="","",IFERROR(INDEX(合同项目,MATCH($D213,合同键,0)),IFERROR(TRIM(MID($D213,FIND("｜",$D213)+1,99)),"")))</f>
        <v/>
      </c>
      <c r="G213" s="24"/>
      <c r="H213" s="35" t="str">
        <f aca="false">IF($G213="","",IFERROR(INDEX(费用款别,MATCH($G213,费用类别表,0)),"合同外款"))</f>
        <v/>
      </c>
      <c r="I213" s="33"/>
      <c r="J213" s="33"/>
      <c r="K213" s="39"/>
      <c r="L213" s="33"/>
      <c r="M213" s="25"/>
      <c r="N213" s="39"/>
      <c r="O213" s="35" t="str">
        <f aca="false">IF($C213="","",IF(N($N213)&lt;=0,"未开票",IF(ROUND(N($N213)-N($K213),2)&gt;=0,"已开票",IFERROR("部分开票 "&amp;TEXT(N($N213)/N($K213),"0%"),"部分开票"))))</f>
        <v/>
      </c>
      <c r="P213" s="40" t="str">
        <f aca="false">IF($C213="","",ROUND($V213+MIN($W213,MAX(0,(SUMIF(收款键,$D213,收款金额)-SUMIFS(收款金额,收款键,$D213,收款关联,"&lt;&gt;"))-($X213-$W213))),2))</f>
        <v/>
      </c>
      <c r="Q213" s="41" t="str">
        <f aca="false">IF($C213="","",ROUND(N($K213)-N($P213),2))</f>
        <v/>
      </c>
      <c r="R213" s="29" t="str">
        <f aca="false">IF($C213="","",YEAR($C213))</f>
        <v/>
      </c>
      <c r="S213" s="24"/>
      <c r="T213" s="35" t="str">
        <f aca="false">IF($C213="","",IF($D213="","★没选客户项目",IF(COUNTIF(合同键,$D213)=0,"★《维保合同》里没这个项目",IF(N($K213)&lt;=0,"★应收金额要填",IF(ROUND(N($N213)-N($K213),2)&gt;0.001,"★开票金额大于应收",IF(AND($L213&lt;&gt;"",N($N213)&lt;=0),"★填了开票日期没填开票金额",IF(AND($I213&lt;&gt;"",$J213&lt;&gt;"",$J213&lt;$I213),"★计费期间起止反了","OK")))))))</f>
        <v/>
      </c>
      <c r="U213" s="29" t="str">
        <f aca="false">IF($L213="","",YEAR($L213))</f>
        <v/>
      </c>
      <c r="V213" s="40" t="str">
        <f aca="false">IF($C213="","",ROUND(SUMIF(收款关联,$B213,收款金额),2))</f>
        <v/>
      </c>
      <c r="W213" s="40" t="str">
        <f aca="false">IF($C213="","",MAX(0,ROUND(N($K213)-N($V213),2)))</f>
        <v/>
      </c>
      <c r="X213" s="40" t="str">
        <f aca="false">IF($C213="","",ROUND(SUMIFS(应收净额,应收键,$D213,应收行号,"&lt;="&amp;ROW()),2))</f>
        <v/>
      </c>
      <c r="Y213" s="29" t="str">
        <f aca="false">IF($C213="","",ROW())</f>
        <v/>
      </c>
    </row>
    <row r="214" customFormat="false" ht="15" hidden="false" customHeight="false" outlineLevel="0" collapsed="false">
      <c r="A214" s="29" t="str">
        <f aca="false">IF($C214="","",ROW()-4)</f>
        <v/>
      </c>
      <c r="B214" s="35" t="str">
        <f aca="false">IF($C214="","","YS"&amp;TEXT($C214,"yyyymm")&amp;"-"&amp;TEXT(ROW()-4,"0000"))</f>
        <v/>
      </c>
      <c r="C214" s="33"/>
      <c r="D214" s="24"/>
      <c r="E214" s="30" t="str">
        <f aca="false">IF($D214="","",IFERROR(INDEX(合同单位,MATCH($D214,合同键,0)),IFERROR(TRIM(LEFT($D214,FIND("｜",$D214)-1)),$D214)))</f>
        <v/>
      </c>
      <c r="F214" s="30" t="str">
        <f aca="false">IF($D214="","",IFERROR(INDEX(合同项目,MATCH($D214,合同键,0)),IFERROR(TRIM(MID($D214,FIND("｜",$D214)+1,99)),"")))</f>
        <v/>
      </c>
      <c r="G214" s="24"/>
      <c r="H214" s="35" t="str">
        <f aca="false">IF($G214="","",IFERROR(INDEX(费用款别,MATCH($G214,费用类别表,0)),"合同外款"))</f>
        <v/>
      </c>
      <c r="I214" s="33"/>
      <c r="J214" s="33"/>
      <c r="K214" s="39"/>
      <c r="L214" s="33"/>
      <c r="M214" s="25"/>
      <c r="N214" s="39"/>
      <c r="O214" s="35" t="str">
        <f aca="false">IF($C214="","",IF(N($N214)&lt;=0,"未开票",IF(ROUND(N($N214)-N($K214),2)&gt;=0,"已开票",IFERROR("部分开票 "&amp;TEXT(N($N214)/N($K214),"0%"),"部分开票"))))</f>
        <v/>
      </c>
      <c r="P214" s="40" t="str">
        <f aca="false">IF($C214="","",ROUND($V214+MIN($W214,MAX(0,(SUMIF(收款键,$D214,收款金额)-SUMIFS(收款金额,收款键,$D214,收款关联,"&lt;&gt;"))-($X214-$W214))),2))</f>
        <v/>
      </c>
      <c r="Q214" s="41" t="str">
        <f aca="false">IF($C214="","",ROUND(N($K214)-N($P214),2))</f>
        <v/>
      </c>
      <c r="R214" s="29" t="str">
        <f aca="false">IF($C214="","",YEAR($C214))</f>
        <v/>
      </c>
      <c r="S214" s="24"/>
      <c r="T214" s="35" t="str">
        <f aca="false">IF($C214="","",IF($D214="","★没选客户项目",IF(COUNTIF(合同键,$D214)=0,"★《维保合同》里没这个项目",IF(N($K214)&lt;=0,"★应收金额要填",IF(ROUND(N($N214)-N($K214),2)&gt;0.001,"★开票金额大于应收",IF(AND($L214&lt;&gt;"",N($N214)&lt;=0),"★填了开票日期没填开票金额",IF(AND($I214&lt;&gt;"",$J214&lt;&gt;"",$J214&lt;$I214),"★计费期间起止反了","OK")))))))</f>
        <v/>
      </c>
      <c r="U214" s="29" t="str">
        <f aca="false">IF($L214="","",YEAR($L214))</f>
        <v/>
      </c>
      <c r="V214" s="40" t="str">
        <f aca="false">IF($C214="","",ROUND(SUMIF(收款关联,$B214,收款金额),2))</f>
        <v/>
      </c>
      <c r="W214" s="40" t="str">
        <f aca="false">IF($C214="","",MAX(0,ROUND(N($K214)-N($V214),2)))</f>
        <v/>
      </c>
      <c r="X214" s="40" t="str">
        <f aca="false">IF($C214="","",ROUND(SUMIFS(应收净额,应收键,$D214,应收行号,"&lt;="&amp;ROW()),2))</f>
        <v/>
      </c>
      <c r="Y214" s="29" t="str">
        <f aca="false">IF($C214="","",ROW())</f>
        <v/>
      </c>
    </row>
    <row r="215" customFormat="false" ht="15" hidden="false" customHeight="false" outlineLevel="0" collapsed="false">
      <c r="A215" s="29" t="str">
        <f aca="false">IF($C215="","",ROW()-4)</f>
        <v/>
      </c>
      <c r="B215" s="35" t="str">
        <f aca="false">IF($C215="","","YS"&amp;TEXT($C215,"yyyymm")&amp;"-"&amp;TEXT(ROW()-4,"0000"))</f>
        <v/>
      </c>
      <c r="C215" s="33"/>
      <c r="D215" s="24"/>
      <c r="E215" s="30" t="str">
        <f aca="false">IF($D215="","",IFERROR(INDEX(合同单位,MATCH($D215,合同键,0)),IFERROR(TRIM(LEFT($D215,FIND("｜",$D215)-1)),$D215)))</f>
        <v/>
      </c>
      <c r="F215" s="30" t="str">
        <f aca="false">IF($D215="","",IFERROR(INDEX(合同项目,MATCH($D215,合同键,0)),IFERROR(TRIM(MID($D215,FIND("｜",$D215)+1,99)),"")))</f>
        <v/>
      </c>
      <c r="G215" s="24"/>
      <c r="H215" s="35" t="str">
        <f aca="false">IF($G215="","",IFERROR(INDEX(费用款别,MATCH($G215,费用类别表,0)),"合同外款"))</f>
        <v/>
      </c>
      <c r="I215" s="33"/>
      <c r="J215" s="33"/>
      <c r="K215" s="39"/>
      <c r="L215" s="33"/>
      <c r="M215" s="25"/>
      <c r="N215" s="39"/>
      <c r="O215" s="35" t="str">
        <f aca="false">IF($C215="","",IF(N($N215)&lt;=0,"未开票",IF(ROUND(N($N215)-N($K215),2)&gt;=0,"已开票",IFERROR("部分开票 "&amp;TEXT(N($N215)/N($K215),"0%"),"部分开票"))))</f>
        <v/>
      </c>
      <c r="P215" s="40" t="str">
        <f aca="false">IF($C215="","",ROUND($V215+MIN($W215,MAX(0,(SUMIF(收款键,$D215,收款金额)-SUMIFS(收款金额,收款键,$D215,收款关联,"&lt;&gt;"))-($X215-$W215))),2))</f>
        <v/>
      </c>
      <c r="Q215" s="41" t="str">
        <f aca="false">IF($C215="","",ROUND(N($K215)-N($P215),2))</f>
        <v/>
      </c>
      <c r="R215" s="29" t="str">
        <f aca="false">IF($C215="","",YEAR($C215))</f>
        <v/>
      </c>
      <c r="S215" s="24"/>
      <c r="T215" s="35" t="str">
        <f aca="false">IF($C215="","",IF($D215="","★没选客户项目",IF(COUNTIF(合同键,$D215)=0,"★《维保合同》里没这个项目",IF(N($K215)&lt;=0,"★应收金额要填",IF(ROUND(N($N215)-N($K215),2)&gt;0.001,"★开票金额大于应收",IF(AND($L215&lt;&gt;"",N($N215)&lt;=0),"★填了开票日期没填开票金额",IF(AND($I215&lt;&gt;"",$J215&lt;&gt;"",$J215&lt;$I215),"★计费期间起止反了","OK")))))))</f>
        <v/>
      </c>
      <c r="U215" s="29" t="str">
        <f aca="false">IF($L215="","",YEAR($L215))</f>
        <v/>
      </c>
      <c r="V215" s="40" t="str">
        <f aca="false">IF($C215="","",ROUND(SUMIF(收款关联,$B215,收款金额),2))</f>
        <v/>
      </c>
      <c r="W215" s="40" t="str">
        <f aca="false">IF($C215="","",MAX(0,ROUND(N($K215)-N($V215),2)))</f>
        <v/>
      </c>
      <c r="X215" s="40" t="str">
        <f aca="false">IF($C215="","",ROUND(SUMIFS(应收净额,应收键,$D215,应收行号,"&lt;="&amp;ROW()),2))</f>
        <v/>
      </c>
      <c r="Y215" s="29" t="str">
        <f aca="false">IF($C215="","",ROW())</f>
        <v/>
      </c>
    </row>
    <row r="216" customFormat="false" ht="15" hidden="false" customHeight="false" outlineLevel="0" collapsed="false">
      <c r="A216" s="29" t="str">
        <f aca="false">IF($C216="","",ROW()-4)</f>
        <v/>
      </c>
      <c r="B216" s="35" t="str">
        <f aca="false">IF($C216="","","YS"&amp;TEXT($C216,"yyyymm")&amp;"-"&amp;TEXT(ROW()-4,"0000"))</f>
        <v/>
      </c>
      <c r="C216" s="33"/>
      <c r="D216" s="24"/>
      <c r="E216" s="30" t="str">
        <f aca="false">IF($D216="","",IFERROR(INDEX(合同单位,MATCH($D216,合同键,0)),IFERROR(TRIM(LEFT($D216,FIND("｜",$D216)-1)),$D216)))</f>
        <v/>
      </c>
      <c r="F216" s="30" t="str">
        <f aca="false">IF($D216="","",IFERROR(INDEX(合同项目,MATCH($D216,合同键,0)),IFERROR(TRIM(MID($D216,FIND("｜",$D216)+1,99)),"")))</f>
        <v/>
      </c>
      <c r="G216" s="24"/>
      <c r="H216" s="35" t="str">
        <f aca="false">IF($G216="","",IFERROR(INDEX(费用款别,MATCH($G216,费用类别表,0)),"合同外款"))</f>
        <v/>
      </c>
      <c r="I216" s="33"/>
      <c r="J216" s="33"/>
      <c r="K216" s="39"/>
      <c r="L216" s="33"/>
      <c r="M216" s="25"/>
      <c r="N216" s="39"/>
      <c r="O216" s="35" t="str">
        <f aca="false">IF($C216="","",IF(N($N216)&lt;=0,"未开票",IF(ROUND(N($N216)-N($K216),2)&gt;=0,"已开票",IFERROR("部分开票 "&amp;TEXT(N($N216)/N($K216),"0%"),"部分开票"))))</f>
        <v/>
      </c>
      <c r="P216" s="40" t="str">
        <f aca="false">IF($C216="","",ROUND($V216+MIN($W216,MAX(0,(SUMIF(收款键,$D216,收款金额)-SUMIFS(收款金额,收款键,$D216,收款关联,"&lt;&gt;"))-($X216-$W216))),2))</f>
        <v/>
      </c>
      <c r="Q216" s="41" t="str">
        <f aca="false">IF($C216="","",ROUND(N($K216)-N($P216),2))</f>
        <v/>
      </c>
      <c r="R216" s="29" t="str">
        <f aca="false">IF($C216="","",YEAR($C216))</f>
        <v/>
      </c>
      <c r="S216" s="24"/>
      <c r="T216" s="35" t="str">
        <f aca="false">IF($C216="","",IF($D216="","★没选客户项目",IF(COUNTIF(合同键,$D216)=0,"★《维保合同》里没这个项目",IF(N($K216)&lt;=0,"★应收金额要填",IF(ROUND(N($N216)-N($K216),2)&gt;0.001,"★开票金额大于应收",IF(AND($L216&lt;&gt;"",N($N216)&lt;=0),"★填了开票日期没填开票金额",IF(AND($I216&lt;&gt;"",$J216&lt;&gt;"",$J216&lt;$I216),"★计费期间起止反了","OK")))))))</f>
        <v/>
      </c>
      <c r="U216" s="29" t="str">
        <f aca="false">IF($L216="","",YEAR($L216))</f>
        <v/>
      </c>
      <c r="V216" s="40" t="str">
        <f aca="false">IF($C216="","",ROUND(SUMIF(收款关联,$B216,收款金额),2))</f>
        <v/>
      </c>
      <c r="W216" s="40" t="str">
        <f aca="false">IF($C216="","",MAX(0,ROUND(N($K216)-N($V216),2)))</f>
        <v/>
      </c>
      <c r="X216" s="40" t="str">
        <f aca="false">IF($C216="","",ROUND(SUMIFS(应收净额,应收键,$D216,应收行号,"&lt;="&amp;ROW()),2))</f>
        <v/>
      </c>
      <c r="Y216" s="29" t="str">
        <f aca="false">IF($C216="","",ROW())</f>
        <v/>
      </c>
    </row>
    <row r="217" customFormat="false" ht="15" hidden="false" customHeight="false" outlineLevel="0" collapsed="false">
      <c r="A217" s="29" t="str">
        <f aca="false">IF($C217="","",ROW()-4)</f>
        <v/>
      </c>
      <c r="B217" s="35" t="str">
        <f aca="false">IF($C217="","","YS"&amp;TEXT($C217,"yyyymm")&amp;"-"&amp;TEXT(ROW()-4,"0000"))</f>
        <v/>
      </c>
      <c r="C217" s="33"/>
      <c r="D217" s="24"/>
      <c r="E217" s="30" t="str">
        <f aca="false">IF($D217="","",IFERROR(INDEX(合同单位,MATCH($D217,合同键,0)),IFERROR(TRIM(LEFT($D217,FIND("｜",$D217)-1)),$D217)))</f>
        <v/>
      </c>
      <c r="F217" s="30" t="str">
        <f aca="false">IF($D217="","",IFERROR(INDEX(合同项目,MATCH($D217,合同键,0)),IFERROR(TRIM(MID($D217,FIND("｜",$D217)+1,99)),"")))</f>
        <v/>
      </c>
      <c r="G217" s="24"/>
      <c r="H217" s="35" t="str">
        <f aca="false">IF($G217="","",IFERROR(INDEX(费用款别,MATCH($G217,费用类别表,0)),"合同外款"))</f>
        <v/>
      </c>
      <c r="I217" s="33"/>
      <c r="J217" s="33"/>
      <c r="K217" s="39"/>
      <c r="L217" s="33"/>
      <c r="M217" s="25"/>
      <c r="N217" s="39"/>
      <c r="O217" s="35" t="str">
        <f aca="false">IF($C217="","",IF(N($N217)&lt;=0,"未开票",IF(ROUND(N($N217)-N($K217),2)&gt;=0,"已开票",IFERROR("部分开票 "&amp;TEXT(N($N217)/N($K217),"0%"),"部分开票"))))</f>
        <v/>
      </c>
      <c r="P217" s="40" t="str">
        <f aca="false">IF($C217="","",ROUND($V217+MIN($W217,MAX(0,(SUMIF(收款键,$D217,收款金额)-SUMIFS(收款金额,收款键,$D217,收款关联,"&lt;&gt;"))-($X217-$W217))),2))</f>
        <v/>
      </c>
      <c r="Q217" s="41" t="str">
        <f aca="false">IF($C217="","",ROUND(N($K217)-N($P217),2))</f>
        <v/>
      </c>
      <c r="R217" s="29" t="str">
        <f aca="false">IF($C217="","",YEAR($C217))</f>
        <v/>
      </c>
      <c r="S217" s="24"/>
      <c r="T217" s="35" t="str">
        <f aca="false">IF($C217="","",IF($D217="","★没选客户项目",IF(COUNTIF(合同键,$D217)=0,"★《维保合同》里没这个项目",IF(N($K217)&lt;=0,"★应收金额要填",IF(ROUND(N($N217)-N($K217),2)&gt;0.001,"★开票金额大于应收",IF(AND($L217&lt;&gt;"",N($N217)&lt;=0),"★填了开票日期没填开票金额",IF(AND($I217&lt;&gt;"",$J217&lt;&gt;"",$J217&lt;$I217),"★计费期间起止反了","OK")))))))</f>
        <v/>
      </c>
      <c r="U217" s="29" t="str">
        <f aca="false">IF($L217="","",YEAR($L217))</f>
        <v/>
      </c>
      <c r="V217" s="40" t="str">
        <f aca="false">IF($C217="","",ROUND(SUMIF(收款关联,$B217,收款金额),2))</f>
        <v/>
      </c>
      <c r="W217" s="40" t="str">
        <f aca="false">IF($C217="","",MAX(0,ROUND(N($K217)-N($V217),2)))</f>
        <v/>
      </c>
      <c r="X217" s="40" t="str">
        <f aca="false">IF($C217="","",ROUND(SUMIFS(应收净额,应收键,$D217,应收行号,"&lt;="&amp;ROW()),2))</f>
        <v/>
      </c>
      <c r="Y217" s="29" t="str">
        <f aca="false">IF($C217="","",ROW())</f>
        <v/>
      </c>
    </row>
    <row r="218" customFormat="false" ht="15" hidden="false" customHeight="false" outlineLevel="0" collapsed="false">
      <c r="A218" s="29" t="str">
        <f aca="false">IF($C218="","",ROW()-4)</f>
        <v/>
      </c>
      <c r="B218" s="35" t="str">
        <f aca="false">IF($C218="","","YS"&amp;TEXT($C218,"yyyymm")&amp;"-"&amp;TEXT(ROW()-4,"0000"))</f>
        <v/>
      </c>
      <c r="C218" s="33"/>
      <c r="D218" s="24"/>
      <c r="E218" s="30" t="str">
        <f aca="false">IF($D218="","",IFERROR(INDEX(合同单位,MATCH($D218,合同键,0)),IFERROR(TRIM(LEFT($D218,FIND("｜",$D218)-1)),$D218)))</f>
        <v/>
      </c>
      <c r="F218" s="30" t="str">
        <f aca="false">IF($D218="","",IFERROR(INDEX(合同项目,MATCH($D218,合同键,0)),IFERROR(TRIM(MID($D218,FIND("｜",$D218)+1,99)),"")))</f>
        <v/>
      </c>
      <c r="G218" s="24"/>
      <c r="H218" s="35" t="str">
        <f aca="false">IF($G218="","",IFERROR(INDEX(费用款别,MATCH($G218,费用类别表,0)),"合同外款"))</f>
        <v/>
      </c>
      <c r="I218" s="33"/>
      <c r="J218" s="33"/>
      <c r="K218" s="39"/>
      <c r="L218" s="33"/>
      <c r="M218" s="25"/>
      <c r="N218" s="39"/>
      <c r="O218" s="35" t="str">
        <f aca="false">IF($C218="","",IF(N($N218)&lt;=0,"未开票",IF(ROUND(N($N218)-N($K218),2)&gt;=0,"已开票",IFERROR("部分开票 "&amp;TEXT(N($N218)/N($K218),"0%"),"部分开票"))))</f>
        <v/>
      </c>
      <c r="P218" s="40" t="str">
        <f aca="false">IF($C218="","",ROUND($V218+MIN($W218,MAX(0,(SUMIF(收款键,$D218,收款金额)-SUMIFS(收款金额,收款键,$D218,收款关联,"&lt;&gt;"))-($X218-$W218))),2))</f>
        <v/>
      </c>
      <c r="Q218" s="41" t="str">
        <f aca="false">IF($C218="","",ROUND(N($K218)-N($P218),2))</f>
        <v/>
      </c>
      <c r="R218" s="29" t="str">
        <f aca="false">IF($C218="","",YEAR($C218))</f>
        <v/>
      </c>
      <c r="S218" s="24"/>
      <c r="T218" s="35" t="str">
        <f aca="false">IF($C218="","",IF($D218="","★没选客户项目",IF(COUNTIF(合同键,$D218)=0,"★《维保合同》里没这个项目",IF(N($K218)&lt;=0,"★应收金额要填",IF(ROUND(N($N218)-N($K218),2)&gt;0.001,"★开票金额大于应收",IF(AND($L218&lt;&gt;"",N($N218)&lt;=0),"★填了开票日期没填开票金额",IF(AND($I218&lt;&gt;"",$J218&lt;&gt;"",$J218&lt;$I218),"★计费期间起止反了","OK")))))))</f>
        <v/>
      </c>
      <c r="U218" s="29" t="str">
        <f aca="false">IF($L218="","",YEAR($L218))</f>
        <v/>
      </c>
      <c r="V218" s="40" t="str">
        <f aca="false">IF($C218="","",ROUND(SUMIF(收款关联,$B218,收款金额),2))</f>
        <v/>
      </c>
      <c r="W218" s="40" t="str">
        <f aca="false">IF($C218="","",MAX(0,ROUND(N($K218)-N($V218),2)))</f>
        <v/>
      </c>
      <c r="X218" s="40" t="str">
        <f aca="false">IF($C218="","",ROUND(SUMIFS(应收净额,应收键,$D218,应收行号,"&lt;="&amp;ROW()),2))</f>
        <v/>
      </c>
      <c r="Y218" s="29" t="str">
        <f aca="false">IF($C218="","",ROW())</f>
        <v/>
      </c>
    </row>
    <row r="219" customFormat="false" ht="15" hidden="false" customHeight="false" outlineLevel="0" collapsed="false">
      <c r="A219" s="29" t="str">
        <f aca="false">IF($C219="","",ROW()-4)</f>
        <v/>
      </c>
      <c r="B219" s="35" t="str">
        <f aca="false">IF($C219="","","YS"&amp;TEXT($C219,"yyyymm")&amp;"-"&amp;TEXT(ROW()-4,"0000"))</f>
        <v/>
      </c>
      <c r="C219" s="33"/>
      <c r="D219" s="24"/>
      <c r="E219" s="30" t="str">
        <f aca="false">IF($D219="","",IFERROR(INDEX(合同单位,MATCH($D219,合同键,0)),IFERROR(TRIM(LEFT($D219,FIND("｜",$D219)-1)),$D219)))</f>
        <v/>
      </c>
      <c r="F219" s="30" t="str">
        <f aca="false">IF($D219="","",IFERROR(INDEX(合同项目,MATCH($D219,合同键,0)),IFERROR(TRIM(MID($D219,FIND("｜",$D219)+1,99)),"")))</f>
        <v/>
      </c>
      <c r="G219" s="24"/>
      <c r="H219" s="35" t="str">
        <f aca="false">IF($G219="","",IFERROR(INDEX(费用款别,MATCH($G219,费用类别表,0)),"合同外款"))</f>
        <v/>
      </c>
      <c r="I219" s="33"/>
      <c r="J219" s="33"/>
      <c r="K219" s="39"/>
      <c r="L219" s="33"/>
      <c r="M219" s="25"/>
      <c r="N219" s="39"/>
      <c r="O219" s="35" t="str">
        <f aca="false">IF($C219="","",IF(N($N219)&lt;=0,"未开票",IF(ROUND(N($N219)-N($K219),2)&gt;=0,"已开票",IFERROR("部分开票 "&amp;TEXT(N($N219)/N($K219),"0%"),"部分开票"))))</f>
        <v/>
      </c>
      <c r="P219" s="40" t="str">
        <f aca="false">IF($C219="","",ROUND($V219+MIN($W219,MAX(0,(SUMIF(收款键,$D219,收款金额)-SUMIFS(收款金额,收款键,$D219,收款关联,"&lt;&gt;"))-($X219-$W219))),2))</f>
        <v/>
      </c>
      <c r="Q219" s="41" t="str">
        <f aca="false">IF($C219="","",ROUND(N($K219)-N($P219),2))</f>
        <v/>
      </c>
      <c r="R219" s="29" t="str">
        <f aca="false">IF($C219="","",YEAR($C219))</f>
        <v/>
      </c>
      <c r="S219" s="24"/>
      <c r="T219" s="35" t="str">
        <f aca="false">IF($C219="","",IF($D219="","★没选客户项目",IF(COUNTIF(合同键,$D219)=0,"★《维保合同》里没这个项目",IF(N($K219)&lt;=0,"★应收金额要填",IF(ROUND(N($N219)-N($K219),2)&gt;0.001,"★开票金额大于应收",IF(AND($L219&lt;&gt;"",N($N219)&lt;=0),"★填了开票日期没填开票金额",IF(AND($I219&lt;&gt;"",$J219&lt;&gt;"",$J219&lt;$I219),"★计费期间起止反了","OK")))))))</f>
        <v/>
      </c>
      <c r="U219" s="29" t="str">
        <f aca="false">IF($L219="","",YEAR($L219))</f>
        <v/>
      </c>
      <c r="V219" s="40" t="str">
        <f aca="false">IF($C219="","",ROUND(SUMIF(收款关联,$B219,收款金额),2))</f>
        <v/>
      </c>
      <c r="W219" s="40" t="str">
        <f aca="false">IF($C219="","",MAX(0,ROUND(N($K219)-N($V219),2)))</f>
        <v/>
      </c>
      <c r="X219" s="40" t="str">
        <f aca="false">IF($C219="","",ROUND(SUMIFS(应收净额,应收键,$D219,应收行号,"&lt;="&amp;ROW()),2))</f>
        <v/>
      </c>
      <c r="Y219" s="29" t="str">
        <f aca="false">IF($C219="","",ROW())</f>
        <v/>
      </c>
    </row>
    <row r="220" customFormat="false" ht="15" hidden="false" customHeight="false" outlineLevel="0" collapsed="false">
      <c r="A220" s="29" t="str">
        <f aca="false">IF($C220="","",ROW()-4)</f>
        <v/>
      </c>
      <c r="B220" s="35" t="str">
        <f aca="false">IF($C220="","","YS"&amp;TEXT($C220,"yyyymm")&amp;"-"&amp;TEXT(ROW()-4,"0000"))</f>
        <v/>
      </c>
      <c r="C220" s="33"/>
      <c r="D220" s="24"/>
      <c r="E220" s="30" t="str">
        <f aca="false">IF($D220="","",IFERROR(INDEX(合同单位,MATCH($D220,合同键,0)),IFERROR(TRIM(LEFT($D220,FIND("｜",$D220)-1)),$D220)))</f>
        <v/>
      </c>
      <c r="F220" s="30" t="str">
        <f aca="false">IF($D220="","",IFERROR(INDEX(合同项目,MATCH($D220,合同键,0)),IFERROR(TRIM(MID($D220,FIND("｜",$D220)+1,99)),"")))</f>
        <v/>
      </c>
      <c r="G220" s="24"/>
      <c r="H220" s="35" t="str">
        <f aca="false">IF($G220="","",IFERROR(INDEX(费用款别,MATCH($G220,费用类别表,0)),"合同外款"))</f>
        <v/>
      </c>
      <c r="I220" s="33"/>
      <c r="J220" s="33"/>
      <c r="K220" s="39"/>
      <c r="L220" s="33"/>
      <c r="M220" s="25"/>
      <c r="N220" s="39"/>
      <c r="O220" s="35" t="str">
        <f aca="false">IF($C220="","",IF(N($N220)&lt;=0,"未开票",IF(ROUND(N($N220)-N($K220),2)&gt;=0,"已开票",IFERROR("部分开票 "&amp;TEXT(N($N220)/N($K220),"0%"),"部分开票"))))</f>
        <v/>
      </c>
      <c r="P220" s="40" t="str">
        <f aca="false">IF($C220="","",ROUND($V220+MIN($W220,MAX(0,(SUMIF(收款键,$D220,收款金额)-SUMIFS(收款金额,收款键,$D220,收款关联,"&lt;&gt;"))-($X220-$W220))),2))</f>
        <v/>
      </c>
      <c r="Q220" s="41" t="str">
        <f aca="false">IF($C220="","",ROUND(N($K220)-N($P220),2))</f>
        <v/>
      </c>
      <c r="R220" s="29" t="str">
        <f aca="false">IF($C220="","",YEAR($C220))</f>
        <v/>
      </c>
      <c r="S220" s="24"/>
      <c r="T220" s="35" t="str">
        <f aca="false">IF($C220="","",IF($D220="","★没选客户项目",IF(COUNTIF(合同键,$D220)=0,"★《维保合同》里没这个项目",IF(N($K220)&lt;=0,"★应收金额要填",IF(ROUND(N($N220)-N($K220),2)&gt;0.001,"★开票金额大于应收",IF(AND($L220&lt;&gt;"",N($N220)&lt;=0),"★填了开票日期没填开票金额",IF(AND($I220&lt;&gt;"",$J220&lt;&gt;"",$J220&lt;$I220),"★计费期间起止反了","OK")))))))</f>
        <v/>
      </c>
      <c r="U220" s="29" t="str">
        <f aca="false">IF($L220="","",YEAR($L220))</f>
        <v/>
      </c>
      <c r="V220" s="40" t="str">
        <f aca="false">IF($C220="","",ROUND(SUMIF(收款关联,$B220,收款金额),2))</f>
        <v/>
      </c>
      <c r="W220" s="40" t="str">
        <f aca="false">IF($C220="","",MAX(0,ROUND(N($K220)-N($V220),2)))</f>
        <v/>
      </c>
      <c r="X220" s="40" t="str">
        <f aca="false">IF($C220="","",ROUND(SUMIFS(应收净额,应收键,$D220,应收行号,"&lt;="&amp;ROW()),2))</f>
        <v/>
      </c>
      <c r="Y220" s="29" t="str">
        <f aca="false">IF($C220="","",ROW())</f>
        <v/>
      </c>
    </row>
    <row r="221" customFormat="false" ht="15" hidden="false" customHeight="false" outlineLevel="0" collapsed="false">
      <c r="A221" s="29" t="str">
        <f aca="false">IF($C221="","",ROW()-4)</f>
        <v/>
      </c>
      <c r="B221" s="35" t="str">
        <f aca="false">IF($C221="","","YS"&amp;TEXT($C221,"yyyymm")&amp;"-"&amp;TEXT(ROW()-4,"0000"))</f>
        <v/>
      </c>
      <c r="C221" s="33"/>
      <c r="D221" s="24"/>
      <c r="E221" s="30" t="str">
        <f aca="false">IF($D221="","",IFERROR(INDEX(合同单位,MATCH($D221,合同键,0)),IFERROR(TRIM(LEFT($D221,FIND("｜",$D221)-1)),$D221)))</f>
        <v/>
      </c>
      <c r="F221" s="30" t="str">
        <f aca="false">IF($D221="","",IFERROR(INDEX(合同项目,MATCH($D221,合同键,0)),IFERROR(TRIM(MID($D221,FIND("｜",$D221)+1,99)),"")))</f>
        <v/>
      </c>
      <c r="G221" s="24"/>
      <c r="H221" s="35" t="str">
        <f aca="false">IF($G221="","",IFERROR(INDEX(费用款别,MATCH($G221,费用类别表,0)),"合同外款"))</f>
        <v/>
      </c>
      <c r="I221" s="33"/>
      <c r="J221" s="33"/>
      <c r="K221" s="39"/>
      <c r="L221" s="33"/>
      <c r="M221" s="25"/>
      <c r="N221" s="39"/>
      <c r="O221" s="35" t="str">
        <f aca="false">IF($C221="","",IF(N($N221)&lt;=0,"未开票",IF(ROUND(N($N221)-N($K221),2)&gt;=0,"已开票",IFERROR("部分开票 "&amp;TEXT(N($N221)/N($K221),"0%"),"部分开票"))))</f>
        <v/>
      </c>
      <c r="P221" s="40" t="str">
        <f aca="false">IF($C221="","",ROUND($V221+MIN($W221,MAX(0,(SUMIF(收款键,$D221,收款金额)-SUMIFS(收款金额,收款键,$D221,收款关联,"&lt;&gt;"))-($X221-$W221))),2))</f>
        <v/>
      </c>
      <c r="Q221" s="41" t="str">
        <f aca="false">IF($C221="","",ROUND(N($K221)-N($P221),2))</f>
        <v/>
      </c>
      <c r="R221" s="29" t="str">
        <f aca="false">IF($C221="","",YEAR($C221))</f>
        <v/>
      </c>
      <c r="S221" s="24"/>
      <c r="T221" s="35" t="str">
        <f aca="false">IF($C221="","",IF($D221="","★没选客户项目",IF(COUNTIF(合同键,$D221)=0,"★《维保合同》里没这个项目",IF(N($K221)&lt;=0,"★应收金额要填",IF(ROUND(N($N221)-N($K221),2)&gt;0.001,"★开票金额大于应收",IF(AND($L221&lt;&gt;"",N($N221)&lt;=0),"★填了开票日期没填开票金额",IF(AND($I221&lt;&gt;"",$J221&lt;&gt;"",$J221&lt;$I221),"★计费期间起止反了","OK")))))))</f>
        <v/>
      </c>
      <c r="U221" s="29" t="str">
        <f aca="false">IF($L221="","",YEAR($L221))</f>
        <v/>
      </c>
      <c r="V221" s="40" t="str">
        <f aca="false">IF($C221="","",ROUND(SUMIF(收款关联,$B221,收款金额),2))</f>
        <v/>
      </c>
      <c r="W221" s="40" t="str">
        <f aca="false">IF($C221="","",MAX(0,ROUND(N($K221)-N($V221),2)))</f>
        <v/>
      </c>
      <c r="X221" s="40" t="str">
        <f aca="false">IF($C221="","",ROUND(SUMIFS(应收净额,应收键,$D221,应收行号,"&lt;="&amp;ROW()),2))</f>
        <v/>
      </c>
      <c r="Y221" s="29" t="str">
        <f aca="false">IF($C221="","",ROW())</f>
        <v/>
      </c>
    </row>
    <row r="222" customFormat="false" ht="15" hidden="false" customHeight="false" outlineLevel="0" collapsed="false">
      <c r="A222" s="29" t="str">
        <f aca="false">IF($C222="","",ROW()-4)</f>
        <v/>
      </c>
      <c r="B222" s="35" t="str">
        <f aca="false">IF($C222="","","YS"&amp;TEXT($C222,"yyyymm")&amp;"-"&amp;TEXT(ROW()-4,"0000"))</f>
        <v/>
      </c>
      <c r="C222" s="33"/>
      <c r="D222" s="24"/>
      <c r="E222" s="30" t="str">
        <f aca="false">IF($D222="","",IFERROR(INDEX(合同单位,MATCH($D222,合同键,0)),IFERROR(TRIM(LEFT($D222,FIND("｜",$D222)-1)),$D222)))</f>
        <v/>
      </c>
      <c r="F222" s="30" t="str">
        <f aca="false">IF($D222="","",IFERROR(INDEX(合同项目,MATCH($D222,合同键,0)),IFERROR(TRIM(MID($D222,FIND("｜",$D222)+1,99)),"")))</f>
        <v/>
      </c>
      <c r="G222" s="24"/>
      <c r="H222" s="35" t="str">
        <f aca="false">IF($G222="","",IFERROR(INDEX(费用款别,MATCH($G222,费用类别表,0)),"合同外款"))</f>
        <v/>
      </c>
      <c r="I222" s="33"/>
      <c r="J222" s="33"/>
      <c r="K222" s="39"/>
      <c r="L222" s="33"/>
      <c r="M222" s="25"/>
      <c r="N222" s="39"/>
      <c r="O222" s="35" t="str">
        <f aca="false">IF($C222="","",IF(N($N222)&lt;=0,"未开票",IF(ROUND(N($N222)-N($K222),2)&gt;=0,"已开票",IFERROR("部分开票 "&amp;TEXT(N($N222)/N($K222),"0%"),"部分开票"))))</f>
        <v/>
      </c>
      <c r="P222" s="40" t="str">
        <f aca="false">IF($C222="","",ROUND($V222+MIN($W222,MAX(0,(SUMIF(收款键,$D222,收款金额)-SUMIFS(收款金额,收款键,$D222,收款关联,"&lt;&gt;"))-($X222-$W222))),2))</f>
        <v/>
      </c>
      <c r="Q222" s="41" t="str">
        <f aca="false">IF($C222="","",ROUND(N($K222)-N($P222),2))</f>
        <v/>
      </c>
      <c r="R222" s="29" t="str">
        <f aca="false">IF($C222="","",YEAR($C222))</f>
        <v/>
      </c>
      <c r="S222" s="24"/>
      <c r="T222" s="35" t="str">
        <f aca="false">IF($C222="","",IF($D222="","★没选客户项目",IF(COUNTIF(合同键,$D222)=0,"★《维保合同》里没这个项目",IF(N($K222)&lt;=0,"★应收金额要填",IF(ROUND(N($N222)-N($K222),2)&gt;0.001,"★开票金额大于应收",IF(AND($L222&lt;&gt;"",N($N222)&lt;=0),"★填了开票日期没填开票金额",IF(AND($I222&lt;&gt;"",$J222&lt;&gt;"",$J222&lt;$I222),"★计费期间起止反了","OK")))))))</f>
        <v/>
      </c>
      <c r="U222" s="29" t="str">
        <f aca="false">IF($L222="","",YEAR($L222))</f>
        <v/>
      </c>
      <c r="V222" s="40" t="str">
        <f aca="false">IF($C222="","",ROUND(SUMIF(收款关联,$B222,收款金额),2))</f>
        <v/>
      </c>
      <c r="W222" s="40" t="str">
        <f aca="false">IF($C222="","",MAX(0,ROUND(N($K222)-N($V222),2)))</f>
        <v/>
      </c>
      <c r="X222" s="40" t="str">
        <f aca="false">IF($C222="","",ROUND(SUMIFS(应收净额,应收键,$D222,应收行号,"&lt;="&amp;ROW()),2))</f>
        <v/>
      </c>
      <c r="Y222" s="29" t="str">
        <f aca="false">IF($C222="","",ROW())</f>
        <v/>
      </c>
    </row>
    <row r="223" customFormat="false" ht="15" hidden="false" customHeight="false" outlineLevel="0" collapsed="false">
      <c r="A223" s="29" t="str">
        <f aca="false">IF($C223="","",ROW()-4)</f>
        <v/>
      </c>
      <c r="B223" s="35" t="str">
        <f aca="false">IF($C223="","","YS"&amp;TEXT($C223,"yyyymm")&amp;"-"&amp;TEXT(ROW()-4,"0000"))</f>
        <v/>
      </c>
      <c r="C223" s="33"/>
      <c r="D223" s="24"/>
      <c r="E223" s="30" t="str">
        <f aca="false">IF($D223="","",IFERROR(INDEX(合同单位,MATCH($D223,合同键,0)),IFERROR(TRIM(LEFT($D223,FIND("｜",$D223)-1)),$D223)))</f>
        <v/>
      </c>
      <c r="F223" s="30" t="str">
        <f aca="false">IF($D223="","",IFERROR(INDEX(合同项目,MATCH($D223,合同键,0)),IFERROR(TRIM(MID($D223,FIND("｜",$D223)+1,99)),"")))</f>
        <v/>
      </c>
      <c r="G223" s="24"/>
      <c r="H223" s="35" t="str">
        <f aca="false">IF($G223="","",IFERROR(INDEX(费用款别,MATCH($G223,费用类别表,0)),"合同外款"))</f>
        <v/>
      </c>
      <c r="I223" s="33"/>
      <c r="J223" s="33"/>
      <c r="K223" s="39"/>
      <c r="L223" s="33"/>
      <c r="M223" s="25"/>
      <c r="N223" s="39"/>
      <c r="O223" s="35" t="str">
        <f aca="false">IF($C223="","",IF(N($N223)&lt;=0,"未开票",IF(ROUND(N($N223)-N($K223),2)&gt;=0,"已开票",IFERROR("部分开票 "&amp;TEXT(N($N223)/N($K223),"0%"),"部分开票"))))</f>
        <v/>
      </c>
      <c r="P223" s="40" t="str">
        <f aca="false">IF($C223="","",ROUND($V223+MIN($W223,MAX(0,(SUMIF(收款键,$D223,收款金额)-SUMIFS(收款金额,收款键,$D223,收款关联,"&lt;&gt;"))-($X223-$W223))),2))</f>
        <v/>
      </c>
      <c r="Q223" s="41" t="str">
        <f aca="false">IF($C223="","",ROUND(N($K223)-N($P223),2))</f>
        <v/>
      </c>
      <c r="R223" s="29" t="str">
        <f aca="false">IF($C223="","",YEAR($C223))</f>
        <v/>
      </c>
      <c r="S223" s="24"/>
      <c r="T223" s="35" t="str">
        <f aca="false">IF($C223="","",IF($D223="","★没选客户项目",IF(COUNTIF(合同键,$D223)=0,"★《维保合同》里没这个项目",IF(N($K223)&lt;=0,"★应收金额要填",IF(ROUND(N($N223)-N($K223),2)&gt;0.001,"★开票金额大于应收",IF(AND($L223&lt;&gt;"",N($N223)&lt;=0),"★填了开票日期没填开票金额",IF(AND($I223&lt;&gt;"",$J223&lt;&gt;"",$J223&lt;$I223),"★计费期间起止反了","OK")))))))</f>
        <v/>
      </c>
      <c r="U223" s="29" t="str">
        <f aca="false">IF($L223="","",YEAR($L223))</f>
        <v/>
      </c>
      <c r="V223" s="40" t="str">
        <f aca="false">IF($C223="","",ROUND(SUMIF(收款关联,$B223,收款金额),2))</f>
        <v/>
      </c>
      <c r="W223" s="40" t="str">
        <f aca="false">IF($C223="","",MAX(0,ROUND(N($K223)-N($V223),2)))</f>
        <v/>
      </c>
      <c r="X223" s="40" t="str">
        <f aca="false">IF($C223="","",ROUND(SUMIFS(应收净额,应收键,$D223,应收行号,"&lt;="&amp;ROW()),2))</f>
        <v/>
      </c>
      <c r="Y223" s="29" t="str">
        <f aca="false">IF($C223="","",ROW())</f>
        <v/>
      </c>
    </row>
    <row r="224" customFormat="false" ht="15" hidden="false" customHeight="false" outlineLevel="0" collapsed="false">
      <c r="A224" s="29" t="str">
        <f aca="false">IF($C224="","",ROW()-4)</f>
        <v/>
      </c>
      <c r="B224" s="35" t="str">
        <f aca="false">IF($C224="","","YS"&amp;TEXT($C224,"yyyymm")&amp;"-"&amp;TEXT(ROW()-4,"0000"))</f>
        <v/>
      </c>
      <c r="C224" s="33"/>
      <c r="D224" s="24"/>
      <c r="E224" s="30" t="str">
        <f aca="false">IF($D224="","",IFERROR(INDEX(合同单位,MATCH($D224,合同键,0)),IFERROR(TRIM(LEFT($D224,FIND("｜",$D224)-1)),$D224)))</f>
        <v/>
      </c>
      <c r="F224" s="30" t="str">
        <f aca="false">IF($D224="","",IFERROR(INDEX(合同项目,MATCH($D224,合同键,0)),IFERROR(TRIM(MID($D224,FIND("｜",$D224)+1,99)),"")))</f>
        <v/>
      </c>
      <c r="G224" s="24"/>
      <c r="H224" s="35" t="str">
        <f aca="false">IF($G224="","",IFERROR(INDEX(费用款别,MATCH($G224,费用类别表,0)),"合同外款"))</f>
        <v/>
      </c>
      <c r="I224" s="33"/>
      <c r="J224" s="33"/>
      <c r="K224" s="39"/>
      <c r="L224" s="33"/>
      <c r="M224" s="25"/>
      <c r="N224" s="39"/>
      <c r="O224" s="35" t="str">
        <f aca="false">IF($C224="","",IF(N($N224)&lt;=0,"未开票",IF(ROUND(N($N224)-N($K224),2)&gt;=0,"已开票",IFERROR("部分开票 "&amp;TEXT(N($N224)/N($K224),"0%"),"部分开票"))))</f>
        <v/>
      </c>
      <c r="P224" s="40" t="str">
        <f aca="false">IF($C224="","",ROUND($V224+MIN($W224,MAX(0,(SUMIF(收款键,$D224,收款金额)-SUMIFS(收款金额,收款键,$D224,收款关联,"&lt;&gt;"))-($X224-$W224))),2))</f>
        <v/>
      </c>
      <c r="Q224" s="41" t="str">
        <f aca="false">IF($C224="","",ROUND(N($K224)-N($P224),2))</f>
        <v/>
      </c>
      <c r="R224" s="29" t="str">
        <f aca="false">IF($C224="","",YEAR($C224))</f>
        <v/>
      </c>
      <c r="S224" s="24"/>
      <c r="T224" s="35" t="str">
        <f aca="false">IF($C224="","",IF($D224="","★没选客户项目",IF(COUNTIF(合同键,$D224)=0,"★《维保合同》里没这个项目",IF(N($K224)&lt;=0,"★应收金额要填",IF(ROUND(N($N224)-N($K224),2)&gt;0.001,"★开票金额大于应收",IF(AND($L224&lt;&gt;"",N($N224)&lt;=0),"★填了开票日期没填开票金额",IF(AND($I224&lt;&gt;"",$J224&lt;&gt;"",$J224&lt;$I224),"★计费期间起止反了","OK")))))))</f>
        <v/>
      </c>
      <c r="U224" s="29" t="str">
        <f aca="false">IF($L224="","",YEAR($L224))</f>
        <v/>
      </c>
      <c r="V224" s="40" t="str">
        <f aca="false">IF($C224="","",ROUND(SUMIF(收款关联,$B224,收款金额),2))</f>
        <v/>
      </c>
      <c r="W224" s="40" t="str">
        <f aca="false">IF($C224="","",MAX(0,ROUND(N($K224)-N($V224),2)))</f>
        <v/>
      </c>
      <c r="X224" s="40" t="str">
        <f aca="false">IF($C224="","",ROUND(SUMIFS(应收净额,应收键,$D224,应收行号,"&lt;="&amp;ROW()),2))</f>
        <v/>
      </c>
      <c r="Y224" s="29" t="str">
        <f aca="false">IF($C224="","",ROW())</f>
        <v/>
      </c>
    </row>
    <row r="225" customFormat="false" ht="15" hidden="false" customHeight="false" outlineLevel="0" collapsed="false">
      <c r="A225" s="29" t="str">
        <f aca="false">IF($C225="","",ROW()-4)</f>
        <v/>
      </c>
      <c r="B225" s="35" t="str">
        <f aca="false">IF($C225="","","YS"&amp;TEXT($C225,"yyyymm")&amp;"-"&amp;TEXT(ROW()-4,"0000"))</f>
        <v/>
      </c>
      <c r="C225" s="33"/>
      <c r="D225" s="24"/>
      <c r="E225" s="30" t="str">
        <f aca="false">IF($D225="","",IFERROR(INDEX(合同单位,MATCH($D225,合同键,0)),IFERROR(TRIM(LEFT($D225,FIND("｜",$D225)-1)),$D225)))</f>
        <v/>
      </c>
      <c r="F225" s="30" t="str">
        <f aca="false">IF($D225="","",IFERROR(INDEX(合同项目,MATCH($D225,合同键,0)),IFERROR(TRIM(MID($D225,FIND("｜",$D225)+1,99)),"")))</f>
        <v/>
      </c>
      <c r="G225" s="24"/>
      <c r="H225" s="35" t="str">
        <f aca="false">IF($G225="","",IFERROR(INDEX(费用款别,MATCH($G225,费用类别表,0)),"合同外款"))</f>
        <v/>
      </c>
      <c r="I225" s="33"/>
      <c r="J225" s="33"/>
      <c r="K225" s="39"/>
      <c r="L225" s="33"/>
      <c r="M225" s="25"/>
      <c r="N225" s="39"/>
      <c r="O225" s="35" t="str">
        <f aca="false">IF($C225="","",IF(N($N225)&lt;=0,"未开票",IF(ROUND(N($N225)-N($K225),2)&gt;=0,"已开票",IFERROR("部分开票 "&amp;TEXT(N($N225)/N($K225),"0%"),"部分开票"))))</f>
        <v/>
      </c>
      <c r="P225" s="40" t="str">
        <f aca="false">IF($C225="","",ROUND($V225+MIN($W225,MAX(0,(SUMIF(收款键,$D225,收款金额)-SUMIFS(收款金额,收款键,$D225,收款关联,"&lt;&gt;"))-($X225-$W225))),2))</f>
        <v/>
      </c>
      <c r="Q225" s="41" t="str">
        <f aca="false">IF($C225="","",ROUND(N($K225)-N($P225),2))</f>
        <v/>
      </c>
      <c r="R225" s="29" t="str">
        <f aca="false">IF($C225="","",YEAR($C225))</f>
        <v/>
      </c>
      <c r="S225" s="24"/>
      <c r="T225" s="35" t="str">
        <f aca="false">IF($C225="","",IF($D225="","★没选客户项目",IF(COUNTIF(合同键,$D225)=0,"★《维保合同》里没这个项目",IF(N($K225)&lt;=0,"★应收金额要填",IF(ROUND(N($N225)-N($K225),2)&gt;0.001,"★开票金额大于应收",IF(AND($L225&lt;&gt;"",N($N225)&lt;=0),"★填了开票日期没填开票金额",IF(AND($I225&lt;&gt;"",$J225&lt;&gt;"",$J225&lt;$I225),"★计费期间起止反了","OK")))))))</f>
        <v/>
      </c>
      <c r="U225" s="29" t="str">
        <f aca="false">IF($L225="","",YEAR($L225))</f>
        <v/>
      </c>
      <c r="V225" s="40" t="str">
        <f aca="false">IF($C225="","",ROUND(SUMIF(收款关联,$B225,收款金额),2))</f>
        <v/>
      </c>
      <c r="W225" s="40" t="str">
        <f aca="false">IF($C225="","",MAX(0,ROUND(N($K225)-N($V225),2)))</f>
        <v/>
      </c>
      <c r="X225" s="40" t="str">
        <f aca="false">IF($C225="","",ROUND(SUMIFS(应收净额,应收键,$D225,应收行号,"&lt;="&amp;ROW()),2))</f>
        <v/>
      </c>
      <c r="Y225" s="29" t="str">
        <f aca="false">IF($C225="","",ROW())</f>
        <v/>
      </c>
    </row>
    <row r="226" customFormat="false" ht="15" hidden="false" customHeight="false" outlineLevel="0" collapsed="false">
      <c r="A226" s="29" t="str">
        <f aca="false">IF($C226="","",ROW()-4)</f>
        <v/>
      </c>
      <c r="B226" s="35" t="str">
        <f aca="false">IF($C226="","","YS"&amp;TEXT($C226,"yyyymm")&amp;"-"&amp;TEXT(ROW()-4,"0000"))</f>
        <v/>
      </c>
      <c r="C226" s="33"/>
      <c r="D226" s="24"/>
      <c r="E226" s="30" t="str">
        <f aca="false">IF($D226="","",IFERROR(INDEX(合同单位,MATCH($D226,合同键,0)),IFERROR(TRIM(LEFT($D226,FIND("｜",$D226)-1)),$D226)))</f>
        <v/>
      </c>
      <c r="F226" s="30" t="str">
        <f aca="false">IF($D226="","",IFERROR(INDEX(合同项目,MATCH($D226,合同键,0)),IFERROR(TRIM(MID($D226,FIND("｜",$D226)+1,99)),"")))</f>
        <v/>
      </c>
      <c r="G226" s="24"/>
      <c r="H226" s="35" t="str">
        <f aca="false">IF($G226="","",IFERROR(INDEX(费用款别,MATCH($G226,费用类别表,0)),"合同外款"))</f>
        <v/>
      </c>
      <c r="I226" s="33"/>
      <c r="J226" s="33"/>
      <c r="K226" s="39"/>
      <c r="L226" s="33"/>
      <c r="M226" s="25"/>
      <c r="N226" s="39"/>
      <c r="O226" s="35" t="str">
        <f aca="false">IF($C226="","",IF(N($N226)&lt;=0,"未开票",IF(ROUND(N($N226)-N($K226),2)&gt;=0,"已开票",IFERROR("部分开票 "&amp;TEXT(N($N226)/N($K226),"0%"),"部分开票"))))</f>
        <v/>
      </c>
      <c r="P226" s="40" t="str">
        <f aca="false">IF($C226="","",ROUND($V226+MIN($W226,MAX(0,(SUMIF(收款键,$D226,收款金额)-SUMIFS(收款金额,收款键,$D226,收款关联,"&lt;&gt;"))-($X226-$W226))),2))</f>
        <v/>
      </c>
      <c r="Q226" s="41" t="str">
        <f aca="false">IF($C226="","",ROUND(N($K226)-N($P226),2))</f>
        <v/>
      </c>
      <c r="R226" s="29" t="str">
        <f aca="false">IF($C226="","",YEAR($C226))</f>
        <v/>
      </c>
      <c r="S226" s="24"/>
      <c r="T226" s="35" t="str">
        <f aca="false">IF($C226="","",IF($D226="","★没选客户项目",IF(COUNTIF(合同键,$D226)=0,"★《维保合同》里没这个项目",IF(N($K226)&lt;=0,"★应收金额要填",IF(ROUND(N($N226)-N($K226),2)&gt;0.001,"★开票金额大于应收",IF(AND($L226&lt;&gt;"",N($N226)&lt;=0),"★填了开票日期没填开票金额",IF(AND($I226&lt;&gt;"",$J226&lt;&gt;"",$J226&lt;$I226),"★计费期间起止反了","OK")))))))</f>
        <v/>
      </c>
      <c r="U226" s="29" t="str">
        <f aca="false">IF($L226="","",YEAR($L226))</f>
        <v/>
      </c>
      <c r="V226" s="40" t="str">
        <f aca="false">IF($C226="","",ROUND(SUMIF(收款关联,$B226,收款金额),2))</f>
        <v/>
      </c>
      <c r="W226" s="40" t="str">
        <f aca="false">IF($C226="","",MAX(0,ROUND(N($K226)-N($V226),2)))</f>
        <v/>
      </c>
      <c r="X226" s="40" t="str">
        <f aca="false">IF($C226="","",ROUND(SUMIFS(应收净额,应收键,$D226,应收行号,"&lt;="&amp;ROW()),2))</f>
        <v/>
      </c>
      <c r="Y226" s="29" t="str">
        <f aca="false">IF($C226="","",ROW())</f>
        <v/>
      </c>
    </row>
    <row r="227" customFormat="false" ht="15" hidden="false" customHeight="false" outlineLevel="0" collapsed="false">
      <c r="A227" s="29" t="str">
        <f aca="false">IF($C227="","",ROW()-4)</f>
        <v/>
      </c>
      <c r="B227" s="35" t="str">
        <f aca="false">IF($C227="","","YS"&amp;TEXT($C227,"yyyymm")&amp;"-"&amp;TEXT(ROW()-4,"0000"))</f>
        <v/>
      </c>
      <c r="C227" s="33"/>
      <c r="D227" s="24"/>
      <c r="E227" s="30" t="str">
        <f aca="false">IF($D227="","",IFERROR(INDEX(合同单位,MATCH($D227,合同键,0)),IFERROR(TRIM(LEFT($D227,FIND("｜",$D227)-1)),$D227)))</f>
        <v/>
      </c>
      <c r="F227" s="30" t="str">
        <f aca="false">IF($D227="","",IFERROR(INDEX(合同项目,MATCH($D227,合同键,0)),IFERROR(TRIM(MID($D227,FIND("｜",$D227)+1,99)),"")))</f>
        <v/>
      </c>
      <c r="G227" s="24"/>
      <c r="H227" s="35" t="str">
        <f aca="false">IF($G227="","",IFERROR(INDEX(费用款别,MATCH($G227,费用类别表,0)),"合同外款"))</f>
        <v/>
      </c>
      <c r="I227" s="33"/>
      <c r="J227" s="33"/>
      <c r="K227" s="39"/>
      <c r="L227" s="33"/>
      <c r="M227" s="25"/>
      <c r="N227" s="39"/>
      <c r="O227" s="35" t="str">
        <f aca="false">IF($C227="","",IF(N($N227)&lt;=0,"未开票",IF(ROUND(N($N227)-N($K227),2)&gt;=0,"已开票",IFERROR("部分开票 "&amp;TEXT(N($N227)/N($K227),"0%"),"部分开票"))))</f>
        <v/>
      </c>
      <c r="P227" s="40" t="str">
        <f aca="false">IF($C227="","",ROUND($V227+MIN($W227,MAX(0,(SUMIF(收款键,$D227,收款金额)-SUMIFS(收款金额,收款键,$D227,收款关联,"&lt;&gt;"))-($X227-$W227))),2))</f>
        <v/>
      </c>
      <c r="Q227" s="41" t="str">
        <f aca="false">IF($C227="","",ROUND(N($K227)-N($P227),2))</f>
        <v/>
      </c>
      <c r="R227" s="29" t="str">
        <f aca="false">IF($C227="","",YEAR($C227))</f>
        <v/>
      </c>
      <c r="S227" s="24"/>
      <c r="T227" s="35" t="str">
        <f aca="false">IF($C227="","",IF($D227="","★没选客户项目",IF(COUNTIF(合同键,$D227)=0,"★《维保合同》里没这个项目",IF(N($K227)&lt;=0,"★应收金额要填",IF(ROUND(N($N227)-N($K227),2)&gt;0.001,"★开票金额大于应收",IF(AND($L227&lt;&gt;"",N($N227)&lt;=0),"★填了开票日期没填开票金额",IF(AND($I227&lt;&gt;"",$J227&lt;&gt;"",$J227&lt;$I227),"★计费期间起止反了","OK")))))))</f>
        <v/>
      </c>
      <c r="U227" s="29" t="str">
        <f aca="false">IF($L227="","",YEAR($L227))</f>
        <v/>
      </c>
      <c r="V227" s="40" t="str">
        <f aca="false">IF($C227="","",ROUND(SUMIF(收款关联,$B227,收款金额),2))</f>
        <v/>
      </c>
      <c r="W227" s="40" t="str">
        <f aca="false">IF($C227="","",MAX(0,ROUND(N($K227)-N($V227),2)))</f>
        <v/>
      </c>
      <c r="X227" s="40" t="str">
        <f aca="false">IF($C227="","",ROUND(SUMIFS(应收净额,应收键,$D227,应收行号,"&lt;="&amp;ROW()),2))</f>
        <v/>
      </c>
      <c r="Y227" s="29" t="str">
        <f aca="false">IF($C227="","",ROW())</f>
        <v/>
      </c>
    </row>
    <row r="228" customFormat="false" ht="15" hidden="false" customHeight="false" outlineLevel="0" collapsed="false">
      <c r="A228" s="29" t="str">
        <f aca="false">IF($C228="","",ROW()-4)</f>
        <v/>
      </c>
      <c r="B228" s="35" t="str">
        <f aca="false">IF($C228="","","YS"&amp;TEXT($C228,"yyyymm")&amp;"-"&amp;TEXT(ROW()-4,"0000"))</f>
        <v/>
      </c>
      <c r="C228" s="33"/>
      <c r="D228" s="24"/>
      <c r="E228" s="30" t="str">
        <f aca="false">IF($D228="","",IFERROR(INDEX(合同单位,MATCH($D228,合同键,0)),IFERROR(TRIM(LEFT($D228,FIND("｜",$D228)-1)),$D228)))</f>
        <v/>
      </c>
      <c r="F228" s="30" t="str">
        <f aca="false">IF($D228="","",IFERROR(INDEX(合同项目,MATCH($D228,合同键,0)),IFERROR(TRIM(MID($D228,FIND("｜",$D228)+1,99)),"")))</f>
        <v/>
      </c>
      <c r="G228" s="24"/>
      <c r="H228" s="35" t="str">
        <f aca="false">IF($G228="","",IFERROR(INDEX(费用款别,MATCH($G228,费用类别表,0)),"合同外款"))</f>
        <v/>
      </c>
      <c r="I228" s="33"/>
      <c r="J228" s="33"/>
      <c r="K228" s="39"/>
      <c r="L228" s="33"/>
      <c r="M228" s="25"/>
      <c r="N228" s="39"/>
      <c r="O228" s="35" t="str">
        <f aca="false">IF($C228="","",IF(N($N228)&lt;=0,"未开票",IF(ROUND(N($N228)-N($K228),2)&gt;=0,"已开票",IFERROR("部分开票 "&amp;TEXT(N($N228)/N($K228),"0%"),"部分开票"))))</f>
        <v/>
      </c>
      <c r="P228" s="40" t="str">
        <f aca="false">IF($C228="","",ROUND($V228+MIN($W228,MAX(0,(SUMIF(收款键,$D228,收款金额)-SUMIFS(收款金额,收款键,$D228,收款关联,"&lt;&gt;"))-($X228-$W228))),2))</f>
        <v/>
      </c>
      <c r="Q228" s="41" t="str">
        <f aca="false">IF($C228="","",ROUND(N($K228)-N($P228),2))</f>
        <v/>
      </c>
      <c r="R228" s="29" t="str">
        <f aca="false">IF($C228="","",YEAR($C228))</f>
        <v/>
      </c>
      <c r="S228" s="24"/>
      <c r="T228" s="35" t="str">
        <f aca="false">IF($C228="","",IF($D228="","★没选客户项目",IF(COUNTIF(合同键,$D228)=0,"★《维保合同》里没这个项目",IF(N($K228)&lt;=0,"★应收金额要填",IF(ROUND(N($N228)-N($K228),2)&gt;0.001,"★开票金额大于应收",IF(AND($L228&lt;&gt;"",N($N228)&lt;=0),"★填了开票日期没填开票金额",IF(AND($I228&lt;&gt;"",$J228&lt;&gt;"",$J228&lt;$I228),"★计费期间起止反了","OK")))))))</f>
        <v/>
      </c>
      <c r="U228" s="29" t="str">
        <f aca="false">IF($L228="","",YEAR($L228))</f>
        <v/>
      </c>
      <c r="V228" s="40" t="str">
        <f aca="false">IF($C228="","",ROUND(SUMIF(收款关联,$B228,收款金额),2))</f>
        <v/>
      </c>
      <c r="W228" s="40" t="str">
        <f aca="false">IF($C228="","",MAX(0,ROUND(N($K228)-N($V228),2)))</f>
        <v/>
      </c>
      <c r="X228" s="40" t="str">
        <f aca="false">IF($C228="","",ROUND(SUMIFS(应收净额,应收键,$D228,应收行号,"&lt;="&amp;ROW()),2))</f>
        <v/>
      </c>
      <c r="Y228" s="29" t="str">
        <f aca="false">IF($C228="","",ROW())</f>
        <v/>
      </c>
    </row>
    <row r="229" customFormat="false" ht="15" hidden="false" customHeight="false" outlineLevel="0" collapsed="false">
      <c r="A229" s="29" t="str">
        <f aca="false">IF($C229="","",ROW()-4)</f>
        <v/>
      </c>
      <c r="B229" s="35" t="str">
        <f aca="false">IF($C229="","","YS"&amp;TEXT($C229,"yyyymm")&amp;"-"&amp;TEXT(ROW()-4,"0000"))</f>
        <v/>
      </c>
      <c r="C229" s="33"/>
      <c r="D229" s="24"/>
      <c r="E229" s="30" t="str">
        <f aca="false">IF($D229="","",IFERROR(INDEX(合同单位,MATCH($D229,合同键,0)),IFERROR(TRIM(LEFT($D229,FIND("｜",$D229)-1)),$D229)))</f>
        <v/>
      </c>
      <c r="F229" s="30" t="str">
        <f aca="false">IF($D229="","",IFERROR(INDEX(合同项目,MATCH($D229,合同键,0)),IFERROR(TRIM(MID($D229,FIND("｜",$D229)+1,99)),"")))</f>
        <v/>
      </c>
      <c r="G229" s="24"/>
      <c r="H229" s="35" t="str">
        <f aca="false">IF($G229="","",IFERROR(INDEX(费用款别,MATCH($G229,费用类别表,0)),"合同外款"))</f>
        <v/>
      </c>
      <c r="I229" s="33"/>
      <c r="J229" s="33"/>
      <c r="K229" s="39"/>
      <c r="L229" s="33"/>
      <c r="M229" s="25"/>
      <c r="N229" s="39"/>
      <c r="O229" s="35" t="str">
        <f aca="false">IF($C229="","",IF(N($N229)&lt;=0,"未开票",IF(ROUND(N($N229)-N($K229),2)&gt;=0,"已开票",IFERROR("部分开票 "&amp;TEXT(N($N229)/N($K229),"0%"),"部分开票"))))</f>
        <v/>
      </c>
      <c r="P229" s="40" t="str">
        <f aca="false">IF($C229="","",ROUND($V229+MIN($W229,MAX(0,(SUMIF(收款键,$D229,收款金额)-SUMIFS(收款金额,收款键,$D229,收款关联,"&lt;&gt;"))-($X229-$W229))),2))</f>
        <v/>
      </c>
      <c r="Q229" s="41" t="str">
        <f aca="false">IF($C229="","",ROUND(N($K229)-N($P229),2))</f>
        <v/>
      </c>
      <c r="R229" s="29" t="str">
        <f aca="false">IF($C229="","",YEAR($C229))</f>
        <v/>
      </c>
      <c r="S229" s="24"/>
      <c r="T229" s="35" t="str">
        <f aca="false">IF($C229="","",IF($D229="","★没选客户项目",IF(COUNTIF(合同键,$D229)=0,"★《维保合同》里没这个项目",IF(N($K229)&lt;=0,"★应收金额要填",IF(ROUND(N($N229)-N($K229),2)&gt;0.001,"★开票金额大于应收",IF(AND($L229&lt;&gt;"",N($N229)&lt;=0),"★填了开票日期没填开票金额",IF(AND($I229&lt;&gt;"",$J229&lt;&gt;"",$J229&lt;$I229),"★计费期间起止反了","OK")))))))</f>
        <v/>
      </c>
      <c r="U229" s="29" t="str">
        <f aca="false">IF($L229="","",YEAR($L229))</f>
        <v/>
      </c>
      <c r="V229" s="40" t="str">
        <f aca="false">IF($C229="","",ROUND(SUMIF(收款关联,$B229,收款金额),2))</f>
        <v/>
      </c>
      <c r="W229" s="40" t="str">
        <f aca="false">IF($C229="","",MAX(0,ROUND(N($K229)-N($V229),2)))</f>
        <v/>
      </c>
      <c r="X229" s="40" t="str">
        <f aca="false">IF($C229="","",ROUND(SUMIFS(应收净额,应收键,$D229,应收行号,"&lt;="&amp;ROW()),2))</f>
        <v/>
      </c>
      <c r="Y229" s="29" t="str">
        <f aca="false">IF($C229="","",ROW())</f>
        <v/>
      </c>
    </row>
    <row r="230" customFormat="false" ht="15" hidden="false" customHeight="false" outlineLevel="0" collapsed="false">
      <c r="A230" s="29" t="str">
        <f aca="false">IF($C230="","",ROW()-4)</f>
        <v/>
      </c>
      <c r="B230" s="35" t="str">
        <f aca="false">IF($C230="","","YS"&amp;TEXT($C230,"yyyymm")&amp;"-"&amp;TEXT(ROW()-4,"0000"))</f>
        <v/>
      </c>
      <c r="C230" s="33"/>
      <c r="D230" s="24"/>
      <c r="E230" s="30" t="str">
        <f aca="false">IF($D230="","",IFERROR(INDEX(合同单位,MATCH($D230,合同键,0)),IFERROR(TRIM(LEFT($D230,FIND("｜",$D230)-1)),$D230)))</f>
        <v/>
      </c>
      <c r="F230" s="30" t="str">
        <f aca="false">IF($D230="","",IFERROR(INDEX(合同项目,MATCH($D230,合同键,0)),IFERROR(TRIM(MID($D230,FIND("｜",$D230)+1,99)),"")))</f>
        <v/>
      </c>
      <c r="G230" s="24"/>
      <c r="H230" s="35" t="str">
        <f aca="false">IF($G230="","",IFERROR(INDEX(费用款别,MATCH($G230,费用类别表,0)),"合同外款"))</f>
        <v/>
      </c>
      <c r="I230" s="33"/>
      <c r="J230" s="33"/>
      <c r="K230" s="39"/>
      <c r="L230" s="33"/>
      <c r="M230" s="25"/>
      <c r="N230" s="39"/>
      <c r="O230" s="35" t="str">
        <f aca="false">IF($C230="","",IF(N($N230)&lt;=0,"未开票",IF(ROUND(N($N230)-N($K230),2)&gt;=0,"已开票",IFERROR("部分开票 "&amp;TEXT(N($N230)/N($K230),"0%"),"部分开票"))))</f>
        <v/>
      </c>
      <c r="P230" s="40" t="str">
        <f aca="false">IF($C230="","",ROUND($V230+MIN($W230,MAX(0,(SUMIF(收款键,$D230,收款金额)-SUMIFS(收款金额,收款键,$D230,收款关联,"&lt;&gt;"))-($X230-$W230))),2))</f>
        <v/>
      </c>
      <c r="Q230" s="41" t="str">
        <f aca="false">IF($C230="","",ROUND(N($K230)-N($P230),2))</f>
        <v/>
      </c>
      <c r="R230" s="29" t="str">
        <f aca="false">IF($C230="","",YEAR($C230))</f>
        <v/>
      </c>
      <c r="S230" s="24"/>
      <c r="T230" s="35" t="str">
        <f aca="false">IF($C230="","",IF($D230="","★没选客户项目",IF(COUNTIF(合同键,$D230)=0,"★《维保合同》里没这个项目",IF(N($K230)&lt;=0,"★应收金额要填",IF(ROUND(N($N230)-N($K230),2)&gt;0.001,"★开票金额大于应收",IF(AND($L230&lt;&gt;"",N($N230)&lt;=0),"★填了开票日期没填开票金额",IF(AND($I230&lt;&gt;"",$J230&lt;&gt;"",$J230&lt;$I230),"★计费期间起止反了","OK")))))))</f>
        <v/>
      </c>
      <c r="U230" s="29" t="str">
        <f aca="false">IF($L230="","",YEAR($L230))</f>
        <v/>
      </c>
      <c r="V230" s="40" t="str">
        <f aca="false">IF($C230="","",ROUND(SUMIF(收款关联,$B230,收款金额),2))</f>
        <v/>
      </c>
      <c r="W230" s="40" t="str">
        <f aca="false">IF($C230="","",MAX(0,ROUND(N($K230)-N($V230),2)))</f>
        <v/>
      </c>
      <c r="X230" s="40" t="str">
        <f aca="false">IF($C230="","",ROUND(SUMIFS(应收净额,应收键,$D230,应收行号,"&lt;="&amp;ROW()),2))</f>
        <v/>
      </c>
      <c r="Y230" s="29" t="str">
        <f aca="false">IF($C230="","",ROW())</f>
        <v/>
      </c>
    </row>
    <row r="231" customFormat="false" ht="15" hidden="false" customHeight="false" outlineLevel="0" collapsed="false">
      <c r="A231" s="29" t="str">
        <f aca="false">IF($C231="","",ROW()-4)</f>
        <v/>
      </c>
      <c r="B231" s="35" t="str">
        <f aca="false">IF($C231="","","YS"&amp;TEXT($C231,"yyyymm")&amp;"-"&amp;TEXT(ROW()-4,"0000"))</f>
        <v/>
      </c>
      <c r="C231" s="33"/>
      <c r="D231" s="24"/>
      <c r="E231" s="30" t="str">
        <f aca="false">IF($D231="","",IFERROR(INDEX(合同单位,MATCH($D231,合同键,0)),IFERROR(TRIM(LEFT($D231,FIND("｜",$D231)-1)),$D231)))</f>
        <v/>
      </c>
      <c r="F231" s="30" t="str">
        <f aca="false">IF($D231="","",IFERROR(INDEX(合同项目,MATCH($D231,合同键,0)),IFERROR(TRIM(MID($D231,FIND("｜",$D231)+1,99)),"")))</f>
        <v/>
      </c>
      <c r="G231" s="24"/>
      <c r="H231" s="35" t="str">
        <f aca="false">IF($G231="","",IFERROR(INDEX(费用款别,MATCH($G231,费用类别表,0)),"合同外款"))</f>
        <v/>
      </c>
      <c r="I231" s="33"/>
      <c r="J231" s="33"/>
      <c r="K231" s="39"/>
      <c r="L231" s="33"/>
      <c r="M231" s="25"/>
      <c r="N231" s="39"/>
      <c r="O231" s="35" t="str">
        <f aca="false">IF($C231="","",IF(N($N231)&lt;=0,"未开票",IF(ROUND(N($N231)-N($K231),2)&gt;=0,"已开票",IFERROR("部分开票 "&amp;TEXT(N($N231)/N($K231),"0%"),"部分开票"))))</f>
        <v/>
      </c>
      <c r="P231" s="40" t="str">
        <f aca="false">IF($C231="","",ROUND($V231+MIN($W231,MAX(0,(SUMIF(收款键,$D231,收款金额)-SUMIFS(收款金额,收款键,$D231,收款关联,"&lt;&gt;"))-($X231-$W231))),2))</f>
        <v/>
      </c>
      <c r="Q231" s="41" t="str">
        <f aca="false">IF($C231="","",ROUND(N($K231)-N($P231),2))</f>
        <v/>
      </c>
      <c r="R231" s="29" t="str">
        <f aca="false">IF($C231="","",YEAR($C231))</f>
        <v/>
      </c>
      <c r="S231" s="24"/>
      <c r="T231" s="35" t="str">
        <f aca="false">IF($C231="","",IF($D231="","★没选客户项目",IF(COUNTIF(合同键,$D231)=0,"★《维保合同》里没这个项目",IF(N($K231)&lt;=0,"★应收金额要填",IF(ROUND(N($N231)-N($K231),2)&gt;0.001,"★开票金额大于应收",IF(AND($L231&lt;&gt;"",N($N231)&lt;=0),"★填了开票日期没填开票金额",IF(AND($I231&lt;&gt;"",$J231&lt;&gt;"",$J231&lt;$I231),"★计费期间起止反了","OK")))))))</f>
        <v/>
      </c>
      <c r="U231" s="29" t="str">
        <f aca="false">IF($L231="","",YEAR($L231))</f>
        <v/>
      </c>
      <c r="V231" s="40" t="str">
        <f aca="false">IF($C231="","",ROUND(SUMIF(收款关联,$B231,收款金额),2))</f>
        <v/>
      </c>
      <c r="W231" s="40" t="str">
        <f aca="false">IF($C231="","",MAX(0,ROUND(N($K231)-N($V231),2)))</f>
        <v/>
      </c>
      <c r="X231" s="40" t="str">
        <f aca="false">IF($C231="","",ROUND(SUMIFS(应收净额,应收键,$D231,应收行号,"&lt;="&amp;ROW()),2))</f>
        <v/>
      </c>
      <c r="Y231" s="29" t="str">
        <f aca="false">IF($C231="","",ROW())</f>
        <v/>
      </c>
    </row>
    <row r="232" customFormat="false" ht="15" hidden="false" customHeight="false" outlineLevel="0" collapsed="false">
      <c r="A232" s="29" t="str">
        <f aca="false">IF($C232="","",ROW()-4)</f>
        <v/>
      </c>
      <c r="B232" s="35" t="str">
        <f aca="false">IF($C232="","","YS"&amp;TEXT($C232,"yyyymm")&amp;"-"&amp;TEXT(ROW()-4,"0000"))</f>
        <v/>
      </c>
      <c r="C232" s="33"/>
      <c r="D232" s="24"/>
      <c r="E232" s="30" t="str">
        <f aca="false">IF($D232="","",IFERROR(INDEX(合同单位,MATCH($D232,合同键,0)),IFERROR(TRIM(LEFT($D232,FIND("｜",$D232)-1)),$D232)))</f>
        <v/>
      </c>
      <c r="F232" s="30" t="str">
        <f aca="false">IF($D232="","",IFERROR(INDEX(合同项目,MATCH($D232,合同键,0)),IFERROR(TRIM(MID($D232,FIND("｜",$D232)+1,99)),"")))</f>
        <v/>
      </c>
      <c r="G232" s="24"/>
      <c r="H232" s="35" t="str">
        <f aca="false">IF($G232="","",IFERROR(INDEX(费用款别,MATCH($G232,费用类别表,0)),"合同外款"))</f>
        <v/>
      </c>
      <c r="I232" s="33"/>
      <c r="J232" s="33"/>
      <c r="K232" s="39"/>
      <c r="L232" s="33"/>
      <c r="M232" s="25"/>
      <c r="N232" s="39"/>
      <c r="O232" s="35" t="str">
        <f aca="false">IF($C232="","",IF(N($N232)&lt;=0,"未开票",IF(ROUND(N($N232)-N($K232),2)&gt;=0,"已开票",IFERROR("部分开票 "&amp;TEXT(N($N232)/N($K232),"0%"),"部分开票"))))</f>
        <v/>
      </c>
      <c r="P232" s="40" t="str">
        <f aca="false">IF($C232="","",ROUND($V232+MIN($W232,MAX(0,(SUMIF(收款键,$D232,收款金额)-SUMIFS(收款金额,收款键,$D232,收款关联,"&lt;&gt;"))-($X232-$W232))),2))</f>
        <v/>
      </c>
      <c r="Q232" s="41" t="str">
        <f aca="false">IF($C232="","",ROUND(N($K232)-N($P232),2))</f>
        <v/>
      </c>
      <c r="R232" s="29" t="str">
        <f aca="false">IF($C232="","",YEAR($C232))</f>
        <v/>
      </c>
      <c r="S232" s="24"/>
      <c r="T232" s="35" t="str">
        <f aca="false">IF($C232="","",IF($D232="","★没选客户项目",IF(COUNTIF(合同键,$D232)=0,"★《维保合同》里没这个项目",IF(N($K232)&lt;=0,"★应收金额要填",IF(ROUND(N($N232)-N($K232),2)&gt;0.001,"★开票金额大于应收",IF(AND($L232&lt;&gt;"",N($N232)&lt;=0),"★填了开票日期没填开票金额",IF(AND($I232&lt;&gt;"",$J232&lt;&gt;"",$J232&lt;$I232),"★计费期间起止反了","OK")))))))</f>
        <v/>
      </c>
      <c r="U232" s="29" t="str">
        <f aca="false">IF($L232="","",YEAR($L232))</f>
        <v/>
      </c>
      <c r="V232" s="40" t="str">
        <f aca="false">IF($C232="","",ROUND(SUMIF(收款关联,$B232,收款金额),2))</f>
        <v/>
      </c>
      <c r="W232" s="40" t="str">
        <f aca="false">IF($C232="","",MAX(0,ROUND(N($K232)-N($V232),2)))</f>
        <v/>
      </c>
      <c r="X232" s="40" t="str">
        <f aca="false">IF($C232="","",ROUND(SUMIFS(应收净额,应收键,$D232,应收行号,"&lt;="&amp;ROW()),2))</f>
        <v/>
      </c>
      <c r="Y232" s="29" t="str">
        <f aca="false">IF($C232="","",ROW())</f>
        <v/>
      </c>
    </row>
    <row r="233" customFormat="false" ht="15" hidden="false" customHeight="false" outlineLevel="0" collapsed="false">
      <c r="A233" s="29" t="str">
        <f aca="false">IF($C233="","",ROW()-4)</f>
        <v/>
      </c>
      <c r="B233" s="35" t="str">
        <f aca="false">IF($C233="","","YS"&amp;TEXT($C233,"yyyymm")&amp;"-"&amp;TEXT(ROW()-4,"0000"))</f>
        <v/>
      </c>
      <c r="C233" s="33"/>
      <c r="D233" s="24"/>
      <c r="E233" s="30" t="str">
        <f aca="false">IF($D233="","",IFERROR(INDEX(合同单位,MATCH($D233,合同键,0)),IFERROR(TRIM(LEFT($D233,FIND("｜",$D233)-1)),$D233)))</f>
        <v/>
      </c>
      <c r="F233" s="30" t="str">
        <f aca="false">IF($D233="","",IFERROR(INDEX(合同项目,MATCH($D233,合同键,0)),IFERROR(TRIM(MID($D233,FIND("｜",$D233)+1,99)),"")))</f>
        <v/>
      </c>
      <c r="G233" s="24"/>
      <c r="H233" s="35" t="str">
        <f aca="false">IF($G233="","",IFERROR(INDEX(费用款别,MATCH($G233,费用类别表,0)),"合同外款"))</f>
        <v/>
      </c>
      <c r="I233" s="33"/>
      <c r="J233" s="33"/>
      <c r="K233" s="39"/>
      <c r="L233" s="33"/>
      <c r="M233" s="25"/>
      <c r="N233" s="39"/>
      <c r="O233" s="35" t="str">
        <f aca="false">IF($C233="","",IF(N($N233)&lt;=0,"未开票",IF(ROUND(N($N233)-N($K233),2)&gt;=0,"已开票",IFERROR("部分开票 "&amp;TEXT(N($N233)/N($K233),"0%"),"部分开票"))))</f>
        <v/>
      </c>
      <c r="P233" s="40" t="str">
        <f aca="false">IF($C233="","",ROUND($V233+MIN($W233,MAX(0,(SUMIF(收款键,$D233,收款金额)-SUMIFS(收款金额,收款键,$D233,收款关联,"&lt;&gt;"))-($X233-$W233))),2))</f>
        <v/>
      </c>
      <c r="Q233" s="41" t="str">
        <f aca="false">IF($C233="","",ROUND(N($K233)-N($P233),2))</f>
        <v/>
      </c>
      <c r="R233" s="29" t="str">
        <f aca="false">IF($C233="","",YEAR($C233))</f>
        <v/>
      </c>
      <c r="S233" s="24"/>
      <c r="T233" s="35" t="str">
        <f aca="false">IF($C233="","",IF($D233="","★没选客户项目",IF(COUNTIF(合同键,$D233)=0,"★《维保合同》里没这个项目",IF(N($K233)&lt;=0,"★应收金额要填",IF(ROUND(N($N233)-N($K233),2)&gt;0.001,"★开票金额大于应收",IF(AND($L233&lt;&gt;"",N($N233)&lt;=0),"★填了开票日期没填开票金额",IF(AND($I233&lt;&gt;"",$J233&lt;&gt;"",$J233&lt;$I233),"★计费期间起止反了","OK")))))))</f>
        <v/>
      </c>
      <c r="U233" s="29" t="str">
        <f aca="false">IF($L233="","",YEAR($L233))</f>
        <v/>
      </c>
      <c r="V233" s="40" t="str">
        <f aca="false">IF($C233="","",ROUND(SUMIF(收款关联,$B233,收款金额),2))</f>
        <v/>
      </c>
      <c r="W233" s="40" t="str">
        <f aca="false">IF($C233="","",MAX(0,ROUND(N($K233)-N($V233),2)))</f>
        <v/>
      </c>
      <c r="X233" s="40" t="str">
        <f aca="false">IF($C233="","",ROUND(SUMIFS(应收净额,应收键,$D233,应收行号,"&lt;="&amp;ROW()),2))</f>
        <v/>
      </c>
      <c r="Y233" s="29" t="str">
        <f aca="false">IF($C233="","",ROW())</f>
        <v/>
      </c>
    </row>
    <row r="234" customFormat="false" ht="15" hidden="false" customHeight="false" outlineLevel="0" collapsed="false">
      <c r="A234" s="29" t="str">
        <f aca="false">IF($C234="","",ROW()-4)</f>
        <v/>
      </c>
      <c r="B234" s="35" t="str">
        <f aca="false">IF($C234="","","YS"&amp;TEXT($C234,"yyyymm")&amp;"-"&amp;TEXT(ROW()-4,"0000"))</f>
        <v/>
      </c>
      <c r="C234" s="33"/>
      <c r="D234" s="24"/>
      <c r="E234" s="30" t="str">
        <f aca="false">IF($D234="","",IFERROR(INDEX(合同单位,MATCH($D234,合同键,0)),IFERROR(TRIM(LEFT($D234,FIND("｜",$D234)-1)),$D234)))</f>
        <v/>
      </c>
      <c r="F234" s="30" t="str">
        <f aca="false">IF($D234="","",IFERROR(INDEX(合同项目,MATCH($D234,合同键,0)),IFERROR(TRIM(MID($D234,FIND("｜",$D234)+1,99)),"")))</f>
        <v/>
      </c>
      <c r="G234" s="24"/>
      <c r="H234" s="35" t="str">
        <f aca="false">IF($G234="","",IFERROR(INDEX(费用款别,MATCH($G234,费用类别表,0)),"合同外款"))</f>
        <v/>
      </c>
      <c r="I234" s="33"/>
      <c r="J234" s="33"/>
      <c r="K234" s="39"/>
      <c r="L234" s="33"/>
      <c r="M234" s="25"/>
      <c r="N234" s="39"/>
      <c r="O234" s="35" t="str">
        <f aca="false">IF($C234="","",IF(N($N234)&lt;=0,"未开票",IF(ROUND(N($N234)-N($K234),2)&gt;=0,"已开票",IFERROR("部分开票 "&amp;TEXT(N($N234)/N($K234),"0%"),"部分开票"))))</f>
        <v/>
      </c>
      <c r="P234" s="40" t="str">
        <f aca="false">IF($C234="","",ROUND($V234+MIN($W234,MAX(0,(SUMIF(收款键,$D234,收款金额)-SUMIFS(收款金额,收款键,$D234,收款关联,"&lt;&gt;"))-($X234-$W234))),2))</f>
        <v/>
      </c>
      <c r="Q234" s="41" t="str">
        <f aca="false">IF($C234="","",ROUND(N($K234)-N($P234),2))</f>
        <v/>
      </c>
      <c r="R234" s="29" t="str">
        <f aca="false">IF($C234="","",YEAR($C234))</f>
        <v/>
      </c>
      <c r="S234" s="24"/>
      <c r="T234" s="35" t="str">
        <f aca="false">IF($C234="","",IF($D234="","★没选客户项目",IF(COUNTIF(合同键,$D234)=0,"★《维保合同》里没这个项目",IF(N($K234)&lt;=0,"★应收金额要填",IF(ROUND(N($N234)-N($K234),2)&gt;0.001,"★开票金额大于应收",IF(AND($L234&lt;&gt;"",N($N234)&lt;=0),"★填了开票日期没填开票金额",IF(AND($I234&lt;&gt;"",$J234&lt;&gt;"",$J234&lt;$I234),"★计费期间起止反了","OK")))))))</f>
        <v/>
      </c>
      <c r="U234" s="29" t="str">
        <f aca="false">IF($L234="","",YEAR($L234))</f>
        <v/>
      </c>
      <c r="V234" s="40" t="str">
        <f aca="false">IF($C234="","",ROUND(SUMIF(收款关联,$B234,收款金额),2))</f>
        <v/>
      </c>
      <c r="W234" s="40" t="str">
        <f aca="false">IF($C234="","",MAX(0,ROUND(N($K234)-N($V234),2)))</f>
        <v/>
      </c>
      <c r="X234" s="40" t="str">
        <f aca="false">IF($C234="","",ROUND(SUMIFS(应收净额,应收键,$D234,应收行号,"&lt;="&amp;ROW()),2))</f>
        <v/>
      </c>
      <c r="Y234" s="29" t="str">
        <f aca="false">IF($C234="","",ROW())</f>
        <v/>
      </c>
    </row>
    <row r="235" customFormat="false" ht="15" hidden="false" customHeight="false" outlineLevel="0" collapsed="false">
      <c r="A235" s="29" t="str">
        <f aca="false">IF($C235="","",ROW()-4)</f>
        <v/>
      </c>
      <c r="B235" s="35" t="str">
        <f aca="false">IF($C235="","","YS"&amp;TEXT($C235,"yyyymm")&amp;"-"&amp;TEXT(ROW()-4,"0000"))</f>
        <v/>
      </c>
      <c r="C235" s="33"/>
      <c r="D235" s="24"/>
      <c r="E235" s="30" t="str">
        <f aca="false">IF($D235="","",IFERROR(INDEX(合同单位,MATCH($D235,合同键,0)),IFERROR(TRIM(LEFT($D235,FIND("｜",$D235)-1)),$D235)))</f>
        <v/>
      </c>
      <c r="F235" s="30" t="str">
        <f aca="false">IF($D235="","",IFERROR(INDEX(合同项目,MATCH($D235,合同键,0)),IFERROR(TRIM(MID($D235,FIND("｜",$D235)+1,99)),"")))</f>
        <v/>
      </c>
      <c r="G235" s="24"/>
      <c r="H235" s="35" t="str">
        <f aca="false">IF($G235="","",IFERROR(INDEX(费用款别,MATCH($G235,费用类别表,0)),"合同外款"))</f>
        <v/>
      </c>
      <c r="I235" s="33"/>
      <c r="J235" s="33"/>
      <c r="K235" s="39"/>
      <c r="L235" s="33"/>
      <c r="M235" s="25"/>
      <c r="N235" s="39"/>
      <c r="O235" s="35" t="str">
        <f aca="false">IF($C235="","",IF(N($N235)&lt;=0,"未开票",IF(ROUND(N($N235)-N($K235),2)&gt;=0,"已开票",IFERROR("部分开票 "&amp;TEXT(N($N235)/N($K235),"0%"),"部分开票"))))</f>
        <v/>
      </c>
      <c r="P235" s="40" t="str">
        <f aca="false">IF($C235="","",ROUND($V235+MIN($W235,MAX(0,(SUMIF(收款键,$D235,收款金额)-SUMIFS(收款金额,收款键,$D235,收款关联,"&lt;&gt;"))-($X235-$W235))),2))</f>
        <v/>
      </c>
      <c r="Q235" s="41" t="str">
        <f aca="false">IF($C235="","",ROUND(N($K235)-N($P235),2))</f>
        <v/>
      </c>
      <c r="R235" s="29" t="str">
        <f aca="false">IF($C235="","",YEAR($C235))</f>
        <v/>
      </c>
      <c r="S235" s="24"/>
      <c r="T235" s="35" t="str">
        <f aca="false">IF($C235="","",IF($D235="","★没选客户项目",IF(COUNTIF(合同键,$D235)=0,"★《维保合同》里没这个项目",IF(N($K235)&lt;=0,"★应收金额要填",IF(ROUND(N($N235)-N($K235),2)&gt;0.001,"★开票金额大于应收",IF(AND($L235&lt;&gt;"",N($N235)&lt;=0),"★填了开票日期没填开票金额",IF(AND($I235&lt;&gt;"",$J235&lt;&gt;"",$J235&lt;$I235),"★计费期间起止反了","OK")))))))</f>
        <v/>
      </c>
      <c r="U235" s="29" t="str">
        <f aca="false">IF($L235="","",YEAR($L235))</f>
        <v/>
      </c>
      <c r="V235" s="40" t="str">
        <f aca="false">IF($C235="","",ROUND(SUMIF(收款关联,$B235,收款金额),2))</f>
        <v/>
      </c>
      <c r="W235" s="40" t="str">
        <f aca="false">IF($C235="","",MAX(0,ROUND(N($K235)-N($V235),2)))</f>
        <v/>
      </c>
      <c r="X235" s="40" t="str">
        <f aca="false">IF($C235="","",ROUND(SUMIFS(应收净额,应收键,$D235,应收行号,"&lt;="&amp;ROW()),2))</f>
        <v/>
      </c>
      <c r="Y235" s="29" t="str">
        <f aca="false">IF($C235="","",ROW())</f>
        <v/>
      </c>
    </row>
    <row r="236" customFormat="false" ht="15" hidden="false" customHeight="false" outlineLevel="0" collapsed="false">
      <c r="A236" s="29" t="str">
        <f aca="false">IF($C236="","",ROW()-4)</f>
        <v/>
      </c>
      <c r="B236" s="35" t="str">
        <f aca="false">IF($C236="","","YS"&amp;TEXT($C236,"yyyymm")&amp;"-"&amp;TEXT(ROW()-4,"0000"))</f>
        <v/>
      </c>
      <c r="C236" s="33"/>
      <c r="D236" s="24"/>
      <c r="E236" s="30" t="str">
        <f aca="false">IF($D236="","",IFERROR(INDEX(合同单位,MATCH($D236,合同键,0)),IFERROR(TRIM(LEFT($D236,FIND("｜",$D236)-1)),$D236)))</f>
        <v/>
      </c>
      <c r="F236" s="30" t="str">
        <f aca="false">IF($D236="","",IFERROR(INDEX(合同项目,MATCH($D236,合同键,0)),IFERROR(TRIM(MID($D236,FIND("｜",$D236)+1,99)),"")))</f>
        <v/>
      </c>
      <c r="G236" s="24"/>
      <c r="H236" s="35" t="str">
        <f aca="false">IF($G236="","",IFERROR(INDEX(费用款别,MATCH($G236,费用类别表,0)),"合同外款"))</f>
        <v/>
      </c>
      <c r="I236" s="33"/>
      <c r="J236" s="33"/>
      <c r="K236" s="39"/>
      <c r="L236" s="33"/>
      <c r="M236" s="25"/>
      <c r="N236" s="39"/>
      <c r="O236" s="35" t="str">
        <f aca="false">IF($C236="","",IF(N($N236)&lt;=0,"未开票",IF(ROUND(N($N236)-N($K236),2)&gt;=0,"已开票",IFERROR("部分开票 "&amp;TEXT(N($N236)/N($K236),"0%"),"部分开票"))))</f>
        <v/>
      </c>
      <c r="P236" s="40" t="str">
        <f aca="false">IF($C236="","",ROUND($V236+MIN($W236,MAX(0,(SUMIF(收款键,$D236,收款金额)-SUMIFS(收款金额,收款键,$D236,收款关联,"&lt;&gt;"))-($X236-$W236))),2))</f>
        <v/>
      </c>
      <c r="Q236" s="41" t="str">
        <f aca="false">IF($C236="","",ROUND(N($K236)-N($P236),2))</f>
        <v/>
      </c>
      <c r="R236" s="29" t="str">
        <f aca="false">IF($C236="","",YEAR($C236))</f>
        <v/>
      </c>
      <c r="S236" s="24"/>
      <c r="T236" s="35" t="str">
        <f aca="false">IF($C236="","",IF($D236="","★没选客户项目",IF(COUNTIF(合同键,$D236)=0,"★《维保合同》里没这个项目",IF(N($K236)&lt;=0,"★应收金额要填",IF(ROUND(N($N236)-N($K236),2)&gt;0.001,"★开票金额大于应收",IF(AND($L236&lt;&gt;"",N($N236)&lt;=0),"★填了开票日期没填开票金额",IF(AND($I236&lt;&gt;"",$J236&lt;&gt;"",$J236&lt;$I236),"★计费期间起止反了","OK")))))))</f>
        <v/>
      </c>
      <c r="U236" s="29" t="str">
        <f aca="false">IF($L236="","",YEAR($L236))</f>
        <v/>
      </c>
      <c r="V236" s="40" t="str">
        <f aca="false">IF($C236="","",ROUND(SUMIF(收款关联,$B236,收款金额),2))</f>
        <v/>
      </c>
      <c r="W236" s="40" t="str">
        <f aca="false">IF($C236="","",MAX(0,ROUND(N($K236)-N($V236),2)))</f>
        <v/>
      </c>
      <c r="X236" s="40" t="str">
        <f aca="false">IF($C236="","",ROUND(SUMIFS(应收净额,应收键,$D236,应收行号,"&lt;="&amp;ROW()),2))</f>
        <v/>
      </c>
      <c r="Y236" s="29" t="str">
        <f aca="false">IF($C236="","",ROW())</f>
        <v/>
      </c>
    </row>
    <row r="237" customFormat="false" ht="15" hidden="false" customHeight="false" outlineLevel="0" collapsed="false">
      <c r="A237" s="29" t="str">
        <f aca="false">IF($C237="","",ROW()-4)</f>
        <v/>
      </c>
      <c r="B237" s="35" t="str">
        <f aca="false">IF($C237="","","YS"&amp;TEXT($C237,"yyyymm")&amp;"-"&amp;TEXT(ROW()-4,"0000"))</f>
        <v/>
      </c>
      <c r="C237" s="33"/>
      <c r="D237" s="24"/>
      <c r="E237" s="30" t="str">
        <f aca="false">IF($D237="","",IFERROR(INDEX(合同单位,MATCH($D237,合同键,0)),IFERROR(TRIM(LEFT($D237,FIND("｜",$D237)-1)),$D237)))</f>
        <v/>
      </c>
      <c r="F237" s="30" t="str">
        <f aca="false">IF($D237="","",IFERROR(INDEX(合同项目,MATCH($D237,合同键,0)),IFERROR(TRIM(MID($D237,FIND("｜",$D237)+1,99)),"")))</f>
        <v/>
      </c>
      <c r="G237" s="24"/>
      <c r="H237" s="35" t="str">
        <f aca="false">IF($G237="","",IFERROR(INDEX(费用款别,MATCH($G237,费用类别表,0)),"合同外款"))</f>
        <v/>
      </c>
      <c r="I237" s="33"/>
      <c r="J237" s="33"/>
      <c r="K237" s="39"/>
      <c r="L237" s="33"/>
      <c r="M237" s="25"/>
      <c r="N237" s="39"/>
      <c r="O237" s="35" t="str">
        <f aca="false">IF($C237="","",IF(N($N237)&lt;=0,"未开票",IF(ROUND(N($N237)-N($K237),2)&gt;=0,"已开票",IFERROR("部分开票 "&amp;TEXT(N($N237)/N($K237),"0%"),"部分开票"))))</f>
        <v/>
      </c>
      <c r="P237" s="40" t="str">
        <f aca="false">IF($C237="","",ROUND($V237+MIN($W237,MAX(0,(SUMIF(收款键,$D237,收款金额)-SUMIFS(收款金额,收款键,$D237,收款关联,"&lt;&gt;"))-($X237-$W237))),2))</f>
        <v/>
      </c>
      <c r="Q237" s="41" t="str">
        <f aca="false">IF($C237="","",ROUND(N($K237)-N($P237),2))</f>
        <v/>
      </c>
      <c r="R237" s="29" t="str">
        <f aca="false">IF($C237="","",YEAR($C237))</f>
        <v/>
      </c>
      <c r="S237" s="24"/>
      <c r="T237" s="35" t="str">
        <f aca="false">IF($C237="","",IF($D237="","★没选客户项目",IF(COUNTIF(合同键,$D237)=0,"★《维保合同》里没这个项目",IF(N($K237)&lt;=0,"★应收金额要填",IF(ROUND(N($N237)-N($K237),2)&gt;0.001,"★开票金额大于应收",IF(AND($L237&lt;&gt;"",N($N237)&lt;=0),"★填了开票日期没填开票金额",IF(AND($I237&lt;&gt;"",$J237&lt;&gt;"",$J237&lt;$I237),"★计费期间起止反了","OK")))))))</f>
        <v/>
      </c>
      <c r="U237" s="29" t="str">
        <f aca="false">IF($L237="","",YEAR($L237))</f>
        <v/>
      </c>
      <c r="V237" s="40" t="str">
        <f aca="false">IF($C237="","",ROUND(SUMIF(收款关联,$B237,收款金额),2))</f>
        <v/>
      </c>
      <c r="W237" s="40" t="str">
        <f aca="false">IF($C237="","",MAX(0,ROUND(N($K237)-N($V237),2)))</f>
        <v/>
      </c>
      <c r="X237" s="40" t="str">
        <f aca="false">IF($C237="","",ROUND(SUMIFS(应收净额,应收键,$D237,应收行号,"&lt;="&amp;ROW()),2))</f>
        <v/>
      </c>
      <c r="Y237" s="29" t="str">
        <f aca="false">IF($C237="","",ROW())</f>
        <v/>
      </c>
    </row>
    <row r="238" customFormat="false" ht="15" hidden="false" customHeight="false" outlineLevel="0" collapsed="false">
      <c r="A238" s="29" t="str">
        <f aca="false">IF($C238="","",ROW()-4)</f>
        <v/>
      </c>
      <c r="B238" s="35" t="str">
        <f aca="false">IF($C238="","","YS"&amp;TEXT($C238,"yyyymm")&amp;"-"&amp;TEXT(ROW()-4,"0000"))</f>
        <v/>
      </c>
      <c r="C238" s="33"/>
      <c r="D238" s="24"/>
      <c r="E238" s="30" t="str">
        <f aca="false">IF($D238="","",IFERROR(INDEX(合同单位,MATCH($D238,合同键,0)),IFERROR(TRIM(LEFT($D238,FIND("｜",$D238)-1)),$D238)))</f>
        <v/>
      </c>
      <c r="F238" s="30" t="str">
        <f aca="false">IF($D238="","",IFERROR(INDEX(合同项目,MATCH($D238,合同键,0)),IFERROR(TRIM(MID($D238,FIND("｜",$D238)+1,99)),"")))</f>
        <v/>
      </c>
      <c r="G238" s="24"/>
      <c r="H238" s="35" t="str">
        <f aca="false">IF($G238="","",IFERROR(INDEX(费用款别,MATCH($G238,费用类别表,0)),"合同外款"))</f>
        <v/>
      </c>
      <c r="I238" s="33"/>
      <c r="J238" s="33"/>
      <c r="K238" s="39"/>
      <c r="L238" s="33"/>
      <c r="M238" s="25"/>
      <c r="N238" s="39"/>
      <c r="O238" s="35" t="str">
        <f aca="false">IF($C238="","",IF(N($N238)&lt;=0,"未开票",IF(ROUND(N($N238)-N($K238),2)&gt;=0,"已开票",IFERROR("部分开票 "&amp;TEXT(N($N238)/N($K238),"0%"),"部分开票"))))</f>
        <v/>
      </c>
      <c r="P238" s="40" t="str">
        <f aca="false">IF($C238="","",ROUND($V238+MIN($W238,MAX(0,(SUMIF(收款键,$D238,收款金额)-SUMIFS(收款金额,收款键,$D238,收款关联,"&lt;&gt;"))-($X238-$W238))),2))</f>
        <v/>
      </c>
      <c r="Q238" s="41" t="str">
        <f aca="false">IF($C238="","",ROUND(N($K238)-N($P238),2))</f>
        <v/>
      </c>
      <c r="R238" s="29" t="str">
        <f aca="false">IF($C238="","",YEAR($C238))</f>
        <v/>
      </c>
      <c r="S238" s="24"/>
      <c r="T238" s="35" t="str">
        <f aca="false">IF($C238="","",IF($D238="","★没选客户项目",IF(COUNTIF(合同键,$D238)=0,"★《维保合同》里没这个项目",IF(N($K238)&lt;=0,"★应收金额要填",IF(ROUND(N($N238)-N($K238),2)&gt;0.001,"★开票金额大于应收",IF(AND($L238&lt;&gt;"",N($N238)&lt;=0),"★填了开票日期没填开票金额",IF(AND($I238&lt;&gt;"",$J238&lt;&gt;"",$J238&lt;$I238),"★计费期间起止反了","OK")))))))</f>
        <v/>
      </c>
      <c r="U238" s="29" t="str">
        <f aca="false">IF($L238="","",YEAR($L238))</f>
        <v/>
      </c>
      <c r="V238" s="40" t="str">
        <f aca="false">IF($C238="","",ROUND(SUMIF(收款关联,$B238,收款金额),2))</f>
        <v/>
      </c>
      <c r="W238" s="40" t="str">
        <f aca="false">IF($C238="","",MAX(0,ROUND(N($K238)-N($V238),2)))</f>
        <v/>
      </c>
      <c r="X238" s="40" t="str">
        <f aca="false">IF($C238="","",ROUND(SUMIFS(应收净额,应收键,$D238,应收行号,"&lt;="&amp;ROW()),2))</f>
        <v/>
      </c>
      <c r="Y238" s="29" t="str">
        <f aca="false">IF($C238="","",ROW())</f>
        <v/>
      </c>
    </row>
    <row r="239" customFormat="false" ht="15" hidden="false" customHeight="false" outlineLevel="0" collapsed="false">
      <c r="A239" s="29" t="str">
        <f aca="false">IF($C239="","",ROW()-4)</f>
        <v/>
      </c>
      <c r="B239" s="35" t="str">
        <f aca="false">IF($C239="","","YS"&amp;TEXT($C239,"yyyymm")&amp;"-"&amp;TEXT(ROW()-4,"0000"))</f>
        <v/>
      </c>
      <c r="C239" s="33"/>
      <c r="D239" s="24"/>
      <c r="E239" s="30" t="str">
        <f aca="false">IF($D239="","",IFERROR(INDEX(合同单位,MATCH($D239,合同键,0)),IFERROR(TRIM(LEFT($D239,FIND("｜",$D239)-1)),$D239)))</f>
        <v/>
      </c>
      <c r="F239" s="30" t="str">
        <f aca="false">IF($D239="","",IFERROR(INDEX(合同项目,MATCH($D239,合同键,0)),IFERROR(TRIM(MID($D239,FIND("｜",$D239)+1,99)),"")))</f>
        <v/>
      </c>
      <c r="G239" s="24"/>
      <c r="H239" s="35" t="str">
        <f aca="false">IF($G239="","",IFERROR(INDEX(费用款别,MATCH($G239,费用类别表,0)),"合同外款"))</f>
        <v/>
      </c>
      <c r="I239" s="33"/>
      <c r="J239" s="33"/>
      <c r="K239" s="39"/>
      <c r="L239" s="33"/>
      <c r="M239" s="25"/>
      <c r="N239" s="39"/>
      <c r="O239" s="35" t="str">
        <f aca="false">IF($C239="","",IF(N($N239)&lt;=0,"未开票",IF(ROUND(N($N239)-N($K239),2)&gt;=0,"已开票",IFERROR("部分开票 "&amp;TEXT(N($N239)/N($K239),"0%"),"部分开票"))))</f>
        <v/>
      </c>
      <c r="P239" s="40" t="str">
        <f aca="false">IF($C239="","",ROUND($V239+MIN($W239,MAX(0,(SUMIF(收款键,$D239,收款金额)-SUMIFS(收款金额,收款键,$D239,收款关联,"&lt;&gt;"))-($X239-$W239))),2))</f>
        <v/>
      </c>
      <c r="Q239" s="41" t="str">
        <f aca="false">IF($C239="","",ROUND(N($K239)-N($P239),2))</f>
        <v/>
      </c>
      <c r="R239" s="29" t="str">
        <f aca="false">IF($C239="","",YEAR($C239))</f>
        <v/>
      </c>
      <c r="S239" s="24"/>
      <c r="T239" s="35" t="str">
        <f aca="false">IF($C239="","",IF($D239="","★没选客户项目",IF(COUNTIF(合同键,$D239)=0,"★《维保合同》里没这个项目",IF(N($K239)&lt;=0,"★应收金额要填",IF(ROUND(N($N239)-N($K239),2)&gt;0.001,"★开票金额大于应收",IF(AND($L239&lt;&gt;"",N($N239)&lt;=0),"★填了开票日期没填开票金额",IF(AND($I239&lt;&gt;"",$J239&lt;&gt;"",$J239&lt;$I239),"★计费期间起止反了","OK")))))))</f>
        <v/>
      </c>
      <c r="U239" s="29" t="str">
        <f aca="false">IF($L239="","",YEAR($L239))</f>
        <v/>
      </c>
      <c r="V239" s="40" t="str">
        <f aca="false">IF($C239="","",ROUND(SUMIF(收款关联,$B239,收款金额),2))</f>
        <v/>
      </c>
      <c r="W239" s="40" t="str">
        <f aca="false">IF($C239="","",MAX(0,ROUND(N($K239)-N($V239),2)))</f>
        <v/>
      </c>
      <c r="X239" s="40" t="str">
        <f aca="false">IF($C239="","",ROUND(SUMIFS(应收净额,应收键,$D239,应收行号,"&lt;="&amp;ROW()),2))</f>
        <v/>
      </c>
      <c r="Y239" s="29" t="str">
        <f aca="false">IF($C239="","",ROW())</f>
        <v/>
      </c>
    </row>
    <row r="240" customFormat="false" ht="15" hidden="false" customHeight="false" outlineLevel="0" collapsed="false">
      <c r="A240" s="29" t="str">
        <f aca="false">IF($C240="","",ROW()-4)</f>
        <v/>
      </c>
      <c r="B240" s="35" t="str">
        <f aca="false">IF($C240="","","YS"&amp;TEXT($C240,"yyyymm")&amp;"-"&amp;TEXT(ROW()-4,"0000"))</f>
        <v/>
      </c>
      <c r="C240" s="33"/>
      <c r="D240" s="24"/>
      <c r="E240" s="30" t="str">
        <f aca="false">IF($D240="","",IFERROR(INDEX(合同单位,MATCH($D240,合同键,0)),IFERROR(TRIM(LEFT($D240,FIND("｜",$D240)-1)),$D240)))</f>
        <v/>
      </c>
      <c r="F240" s="30" t="str">
        <f aca="false">IF($D240="","",IFERROR(INDEX(合同项目,MATCH($D240,合同键,0)),IFERROR(TRIM(MID($D240,FIND("｜",$D240)+1,99)),"")))</f>
        <v/>
      </c>
      <c r="G240" s="24"/>
      <c r="H240" s="35" t="str">
        <f aca="false">IF($G240="","",IFERROR(INDEX(费用款别,MATCH($G240,费用类别表,0)),"合同外款"))</f>
        <v/>
      </c>
      <c r="I240" s="33"/>
      <c r="J240" s="33"/>
      <c r="K240" s="39"/>
      <c r="L240" s="33"/>
      <c r="M240" s="25"/>
      <c r="N240" s="39"/>
      <c r="O240" s="35" t="str">
        <f aca="false">IF($C240="","",IF(N($N240)&lt;=0,"未开票",IF(ROUND(N($N240)-N($K240),2)&gt;=0,"已开票",IFERROR("部分开票 "&amp;TEXT(N($N240)/N($K240),"0%"),"部分开票"))))</f>
        <v/>
      </c>
      <c r="P240" s="40" t="str">
        <f aca="false">IF($C240="","",ROUND($V240+MIN($W240,MAX(0,(SUMIF(收款键,$D240,收款金额)-SUMIFS(收款金额,收款键,$D240,收款关联,"&lt;&gt;"))-($X240-$W240))),2))</f>
        <v/>
      </c>
      <c r="Q240" s="41" t="str">
        <f aca="false">IF($C240="","",ROUND(N($K240)-N($P240),2))</f>
        <v/>
      </c>
      <c r="R240" s="29" t="str">
        <f aca="false">IF($C240="","",YEAR($C240))</f>
        <v/>
      </c>
      <c r="S240" s="24"/>
      <c r="T240" s="35" t="str">
        <f aca="false">IF($C240="","",IF($D240="","★没选客户项目",IF(COUNTIF(合同键,$D240)=0,"★《维保合同》里没这个项目",IF(N($K240)&lt;=0,"★应收金额要填",IF(ROUND(N($N240)-N($K240),2)&gt;0.001,"★开票金额大于应收",IF(AND($L240&lt;&gt;"",N($N240)&lt;=0),"★填了开票日期没填开票金额",IF(AND($I240&lt;&gt;"",$J240&lt;&gt;"",$J240&lt;$I240),"★计费期间起止反了","OK")))))))</f>
        <v/>
      </c>
      <c r="U240" s="29" t="str">
        <f aca="false">IF($L240="","",YEAR($L240))</f>
        <v/>
      </c>
      <c r="V240" s="40" t="str">
        <f aca="false">IF($C240="","",ROUND(SUMIF(收款关联,$B240,收款金额),2))</f>
        <v/>
      </c>
      <c r="W240" s="40" t="str">
        <f aca="false">IF($C240="","",MAX(0,ROUND(N($K240)-N($V240),2)))</f>
        <v/>
      </c>
      <c r="X240" s="40" t="str">
        <f aca="false">IF($C240="","",ROUND(SUMIFS(应收净额,应收键,$D240,应收行号,"&lt;="&amp;ROW()),2))</f>
        <v/>
      </c>
      <c r="Y240" s="29" t="str">
        <f aca="false">IF($C240="","",ROW())</f>
        <v/>
      </c>
    </row>
    <row r="241" customFormat="false" ht="15" hidden="false" customHeight="false" outlineLevel="0" collapsed="false">
      <c r="A241" s="29" t="str">
        <f aca="false">IF($C241="","",ROW()-4)</f>
        <v/>
      </c>
      <c r="B241" s="35" t="str">
        <f aca="false">IF($C241="","","YS"&amp;TEXT($C241,"yyyymm")&amp;"-"&amp;TEXT(ROW()-4,"0000"))</f>
        <v/>
      </c>
      <c r="C241" s="33"/>
      <c r="D241" s="24"/>
      <c r="E241" s="30" t="str">
        <f aca="false">IF($D241="","",IFERROR(INDEX(合同单位,MATCH($D241,合同键,0)),IFERROR(TRIM(LEFT($D241,FIND("｜",$D241)-1)),$D241)))</f>
        <v/>
      </c>
      <c r="F241" s="30" t="str">
        <f aca="false">IF($D241="","",IFERROR(INDEX(合同项目,MATCH($D241,合同键,0)),IFERROR(TRIM(MID($D241,FIND("｜",$D241)+1,99)),"")))</f>
        <v/>
      </c>
      <c r="G241" s="24"/>
      <c r="H241" s="35" t="str">
        <f aca="false">IF($G241="","",IFERROR(INDEX(费用款别,MATCH($G241,费用类别表,0)),"合同外款"))</f>
        <v/>
      </c>
      <c r="I241" s="33"/>
      <c r="J241" s="33"/>
      <c r="K241" s="39"/>
      <c r="L241" s="33"/>
      <c r="M241" s="25"/>
      <c r="N241" s="39"/>
      <c r="O241" s="35" t="str">
        <f aca="false">IF($C241="","",IF(N($N241)&lt;=0,"未开票",IF(ROUND(N($N241)-N($K241),2)&gt;=0,"已开票",IFERROR("部分开票 "&amp;TEXT(N($N241)/N($K241),"0%"),"部分开票"))))</f>
        <v/>
      </c>
      <c r="P241" s="40" t="str">
        <f aca="false">IF($C241="","",ROUND($V241+MIN($W241,MAX(0,(SUMIF(收款键,$D241,收款金额)-SUMIFS(收款金额,收款键,$D241,收款关联,"&lt;&gt;"))-($X241-$W241))),2))</f>
        <v/>
      </c>
      <c r="Q241" s="41" t="str">
        <f aca="false">IF($C241="","",ROUND(N($K241)-N($P241),2))</f>
        <v/>
      </c>
      <c r="R241" s="29" t="str">
        <f aca="false">IF($C241="","",YEAR($C241))</f>
        <v/>
      </c>
      <c r="S241" s="24"/>
      <c r="T241" s="35" t="str">
        <f aca="false">IF($C241="","",IF($D241="","★没选客户项目",IF(COUNTIF(合同键,$D241)=0,"★《维保合同》里没这个项目",IF(N($K241)&lt;=0,"★应收金额要填",IF(ROUND(N($N241)-N($K241),2)&gt;0.001,"★开票金额大于应收",IF(AND($L241&lt;&gt;"",N($N241)&lt;=0),"★填了开票日期没填开票金额",IF(AND($I241&lt;&gt;"",$J241&lt;&gt;"",$J241&lt;$I241),"★计费期间起止反了","OK")))))))</f>
        <v/>
      </c>
      <c r="U241" s="29" t="str">
        <f aca="false">IF($L241="","",YEAR($L241))</f>
        <v/>
      </c>
      <c r="V241" s="40" t="str">
        <f aca="false">IF($C241="","",ROUND(SUMIF(收款关联,$B241,收款金额),2))</f>
        <v/>
      </c>
      <c r="W241" s="40" t="str">
        <f aca="false">IF($C241="","",MAX(0,ROUND(N($K241)-N($V241),2)))</f>
        <v/>
      </c>
      <c r="X241" s="40" t="str">
        <f aca="false">IF($C241="","",ROUND(SUMIFS(应收净额,应收键,$D241,应收行号,"&lt;="&amp;ROW()),2))</f>
        <v/>
      </c>
      <c r="Y241" s="29" t="str">
        <f aca="false">IF($C241="","",ROW())</f>
        <v/>
      </c>
    </row>
    <row r="242" customFormat="false" ht="15" hidden="false" customHeight="false" outlineLevel="0" collapsed="false">
      <c r="A242" s="29" t="str">
        <f aca="false">IF($C242="","",ROW()-4)</f>
        <v/>
      </c>
      <c r="B242" s="35" t="str">
        <f aca="false">IF($C242="","","YS"&amp;TEXT($C242,"yyyymm")&amp;"-"&amp;TEXT(ROW()-4,"0000"))</f>
        <v/>
      </c>
      <c r="C242" s="33"/>
      <c r="D242" s="24"/>
      <c r="E242" s="30" t="str">
        <f aca="false">IF($D242="","",IFERROR(INDEX(合同单位,MATCH($D242,合同键,0)),IFERROR(TRIM(LEFT($D242,FIND("｜",$D242)-1)),$D242)))</f>
        <v/>
      </c>
      <c r="F242" s="30" t="str">
        <f aca="false">IF($D242="","",IFERROR(INDEX(合同项目,MATCH($D242,合同键,0)),IFERROR(TRIM(MID($D242,FIND("｜",$D242)+1,99)),"")))</f>
        <v/>
      </c>
      <c r="G242" s="24"/>
      <c r="H242" s="35" t="str">
        <f aca="false">IF($G242="","",IFERROR(INDEX(费用款别,MATCH($G242,费用类别表,0)),"合同外款"))</f>
        <v/>
      </c>
      <c r="I242" s="33"/>
      <c r="J242" s="33"/>
      <c r="K242" s="39"/>
      <c r="L242" s="33"/>
      <c r="M242" s="25"/>
      <c r="N242" s="39"/>
      <c r="O242" s="35" t="str">
        <f aca="false">IF($C242="","",IF(N($N242)&lt;=0,"未开票",IF(ROUND(N($N242)-N($K242),2)&gt;=0,"已开票",IFERROR("部分开票 "&amp;TEXT(N($N242)/N($K242),"0%"),"部分开票"))))</f>
        <v/>
      </c>
      <c r="P242" s="40" t="str">
        <f aca="false">IF($C242="","",ROUND($V242+MIN($W242,MAX(0,(SUMIF(收款键,$D242,收款金额)-SUMIFS(收款金额,收款键,$D242,收款关联,"&lt;&gt;"))-($X242-$W242))),2))</f>
        <v/>
      </c>
      <c r="Q242" s="41" t="str">
        <f aca="false">IF($C242="","",ROUND(N($K242)-N($P242),2))</f>
        <v/>
      </c>
      <c r="R242" s="29" t="str">
        <f aca="false">IF($C242="","",YEAR($C242))</f>
        <v/>
      </c>
      <c r="S242" s="24"/>
      <c r="T242" s="35" t="str">
        <f aca="false">IF($C242="","",IF($D242="","★没选客户项目",IF(COUNTIF(合同键,$D242)=0,"★《维保合同》里没这个项目",IF(N($K242)&lt;=0,"★应收金额要填",IF(ROUND(N($N242)-N($K242),2)&gt;0.001,"★开票金额大于应收",IF(AND($L242&lt;&gt;"",N($N242)&lt;=0),"★填了开票日期没填开票金额",IF(AND($I242&lt;&gt;"",$J242&lt;&gt;"",$J242&lt;$I242),"★计费期间起止反了","OK")))))))</f>
        <v/>
      </c>
      <c r="U242" s="29" t="str">
        <f aca="false">IF($L242="","",YEAR($L242))</f>
        <v/>
      </c>
      <c r="V242" s="40" t="str">
        <f aca="false">IF($C242="","",ROUND(SUMIF(收款关联,$B242,收款金额),2))</f>
        <v/>
      </c>
      <c r="W242" s="40" t="str">
        <f aca="false">IF($C242="","",MAX(0,ROUND(N($K242)-N($V242),2)))</f>
        <v/>
      </c>
      <c r="X242" s="40" t="str">
        <f aca="false">IF($C242="","",ROUND(SUMIFS(应收净额,应收键,$D242,应收行号,"&lt;="&amp;ROW()),2))</f>
        <v/>
      </c>
      <c r="Y242" s="29" t="str">
        <f aca="false">IF($C242="","",ROW())</f>
        <v/>
      </c>
    </row>
    <row r="243" customFormat="false" ht="15" hidden="false" customHeight="false" outlineLevel="0" collapsed="false">
      <c r="A243" s="29" t="str">
        <f aca="false">IF($C243="","",ROW()-4)</f>
        <v/>
      </c>
      <c r="B243" s="35" t="str">
        <f aca="false">IF($C243="","","YS"&amp;TEXT($C243,"yyyymm")&amp;"-"&amp;TEXT(ROW()-4,"0000"))</f>
        <v/>
      </c>
      <c r="C243" s="33"/>
      <c r="D243" s="24"/>
      <c r="E243" s="30" t="str">
        <f aca="false">IF($D243="","",IFERROR(INDEX(合同单位,MATCH($D243,合同键,0)),IFERROR(TRIM(LEFT($D243,FIND("｜",$D243)-1)),$D243)))</f>
        <v/>
      </c>
      <c r="F243" s="30" t="str">
        <f aca="false">IF($D243="","",IFERROR(INDEX(合同项目,MATCH($D243,合同键,0)),IFERROR(TRIM(MID($D243,FIND("｜",$D243)+1,99)),"")))</f>
        <v/>
      </c>
      <c r="G243" s="24"/>
      <c r="H243" s="35" t="str">
        <f aca="false">IF($G243="","",IFERROR(INDEX(费用款别,MATCH($G243,费用类别表,0)),"合同外款"))</f>
        <v/>
      </c>
      <c r="I243" s="33"/>
      <c r="J243" s="33"/>
      <c r="K243" s="39"/>
      <c r="L243" s="33"/>
      <c r="M243" s="25"/>
      <c r="N243" s="39"/>
      <c r="O243" s="35" t="str">
        <f aca="false">IF($C243="","",IF(N($N243)&lt;=0,"未开票",IF(ROUND(N($N243)-N($K243),2)&gt;=0,"已开票",IFERROR("部分开票 "&amp;TEXT(N($N243)/N($K243),"0%"),"部分开票"))))</f>
        <v/>
      </c>
      <c r="P243" s="40" t="str">
        <f aca="false">IF($C243="","",ROUND($V243+MIN($W243,MAX(0,(SUMIF(收款键,$D243,收款金额)-SUMIFS(收款金额,收款键,$D243,收款关联,"&lt;&gt;"))-($X243-$W243))),2))</f>
        <v/>
      </c>
      <c r="Q243" s="41" t="str">
        <f aca="false">IF($C243="","",ROUND(N($K243)-N($P243),2))</f>
        <v/>
      </c>
      <c r="R243" s="29" t="str">
        <f aca="false">IF($C243="","",YEAR($C243))</f>
        <v/>
      </c>
      <c r="S243" s="24"/>
      <c r="T243" s="35" t="str">
        <f aca="false">IF($C243="","",IF($D243="","★没选客户项目",IF(COUNTIF(合同键,$D243)=0,"★《维保合同》里没这个项目",IF(N($K243)&lt;=0,"★应收金额要填",IF(ROUND(N($N243)-N($K243),2)&gt;0.001,"★开票金额大于应收",IF(AND($L243&lt;&gt;"",N($N243)&lt;=0),"★填了开票日期没填开票金额",IF(AND($I243&lt;&gt;"",$J243&lt;&gt;"",$J243&lt;$I243),"★计费期间起止反了","OK")))))))</f>
        <v/>
      </c>
      <c r="U243" s="29" t="str">
        <f aca="false">IF($L243="","",YEAR($L243))</f>
        <v/>
      </c>
      <c r="V243" s="40" t="str">
        <f aca="false">IF($C243="","",ROUND(SUMIF(收款关联,$B243,收款金额),2))</f>
        <v/>
      </c>
      <c r="W243" s="40" t="str">
        <f aca="false">IF($C243="","",MAX(0,ROUND(N($K243)-N($V243),2)))</f>
        <v/>
      </c>
      <c r="X243" s="40" t="str">
        <f aca="false">IF($C243="","",ROUND(SUMIFS(应收净额,应收键,$D243,应收行号,"&lt;="&amp;ROW()),2))</f>
        <v/>
      </c>
      <c r="Y243" s="29" t="str">
        <f aca="false">IF($C243="","",ROW())</f>
        <v/>
      </c>
    </row>
    <row r="244" customFormat="false" ht="15" hidden="false" customHeight="false" outlineLevel="0" collapsed="false">
      <c r="A244" s="29" t="str">
        <f aca="false">IF($C244="","",ROW()-4)</f>
        <v/>
      </c>
      <c r="B244" s="35" t="str">
        <f aca="false">IF($C244="","","YS"&amp;TEXT($C244,"yyyymm")&amp;"-"&amp;TEXT(ROW()-4,"0000"))</f>
        <v/>
      </c>
      <c r="C244" s="33"/>
      <c r="D244" s="24"/>
      <c r="E244" s="30" t="str">
        <f aca="false">IF($D244="","",IFERROR(INDEX(合同单位,MATCH($D244,合同键,0)),IFERROR(TRIM(LEFT($D244,FIND("｜",$D244)-1)),$D244)))</f>
        <v/>
      </c>
      <c r="F244" s="30" t="str">
        <f aca="false">IF($D244="","",IFERROR(INDEX(合同项目,MATCH($D244,合同键,0)),IFERROR(TRIM(MID($D244,FIND("｜",$D244)+1,99)),"")))</f>
        <v/>
      </c>
      <c r="G244" s="24"/>
      <c r="H244" s="35" t="str">
        <f aca="false">IF($G244="","",IFERROR(INDEX(费用款别,MATCH($G244,费用类别表,0)),"合同外款"))</f>
        <v/>
      </c>
      <c r="I244" s="33"/>
      <c r="J244" s="33"/>
      <c r="K244" s="39"/>
      <c r="L244" s="33"/>
      <c r="M244" s="25"/>
      <c r="N244" s="39"/>
      <c r="O244" s="35" t="str">
        <f aca="false">IF($C244="","",IF(N($N244)&lt;=0,"未开票",IF(ROUND(N($N244)-N($K244),2)&gt;=0,"已开票",IFERROR("部分开票 "&amp;TEXT(N($N244)/N($K244),"0%"),"部分开票"))))</f>
        <v/>
      </c>
      <c r="P244" s="40" t="str">
        <f aca="false">IF($C244="","",ROUND($V244+MIN($W244,MAX(0,(SUMIF(收款键,$D244,收款金额)-SUMIFS(收款金额,收款键,$D244,收款关联,"&lt;&gt;"))-($X244-$W244))),2))</f>
        <v/>
      </c>
      <c r="Q244" s="41" t="str">
        <f aca="false">IF($C244="","",ROUND(N($K244)-N($P244),2))</f>
        <v/>
      </c>
      <c r="R244" s="29" t="str">
        <f aca="false">IF($C244="","",YEAR($C244))</f>
        <v/>
      </c>
      <c r="S244" s="24"/>
      <c r="T244" s="35" t="str">
        <f aca="false">IF($C244="","",IF($D244="","★没选客户项目",IF(COUNTIF(合同键,$D244)=0,"★《维保合同》里没这个项目",IF(N($K244)&lt;=0,"★应收金额要填",IF(ROUND(N($N244)-N($K244),2)&gt;0.001,"★开票金额大于应收",IF(AND($L244&lt;&gt;"",N($N244)&lt;=0),"★填了开票日期没填开票金额",IF(AND($I244&lt;&gt;"",$J244&lt;&gt;"",$J244&lt;$I244),"★计费期间起止反了","OK")))))))</f>
        <v/>
      </c>
      <c r="U244" s="29" t="str">
        <f aca="false">IF($L244="","",YEAR($L244))</f>
        <v/>
      </c>
      <c r="V244" s="40" t="str">
        <f aca="false">IF($C244="","",ROUND(SUMIF(收款关联,$B244,收款金额),2))</f>
        <v/>
      </c>
      <c r="W244" s="40" t="str">
        <f aca="false">IF($C244="","",MAX(0,ROUND(N($K244)-N($V244),2)))</f>
        <v/>
      </c>
      <c r="X244" s="40" t="str">
        <f aca="false">IF($C244="","",ROUND(SUMIFS(应收净额,应收键,$D244,应收行号,"&lt;="&amp;ROW()),2))</f>
        <v/>
      </c>
      <c r="Y244" s="29" t="str">
        <f aca="false">IF($C244="","",ROW())</f>
        <v/>
      </c>
    </row>
    <row r="245" customFormat="false" ht="15" hidden="false" customHeight="false" outlineLevel="0" collapsed="false">
      <c r="A245" s="29" t="str">
        <f aca="false">IF($C245="","",ROW()-4)</f>
        <v/>
      </c>
      <c r="B245" s="35" t="str">
        <f aca="false">IF($C245="","","YS"&amp;TEXT($C245,"yyyymm")&amp;"-"&amp;TEXT(ROW()-4,"0000"))</f>
        <v/>
      </c>
      <c r="C245" s="33"/>
      <c r="D245" s="24"/>
      <c r="E245" s="30" t="str">
        <f aca="false">IF($D245="","",IFERROR(INDEX(合同单位,MATCH($D245,合同键,0)),IFERROR(TRIM(LEFT($D245,FIND("｜",$D245)-1)),$D245)))</f>
        <v/>
      </c>
      <c r="F245" s="30" t="str">
        <f aca="false">IF($D245="","",IFERROR(INDEX(合同项目,MATCH($D245,合同键,0)),IFERROR(TRIM(MID($D245,FIND("｜",$D245)+1,99)),"")))</f>
        <v/>
      </c>
      <c r="G245" s="24"/>
      <c r="H245" s="35" t="str">
        <f aca="false">IF($G245="","",IFERROR(INDEX(费用款别,MATCH($G245,费用类别表,0)),"合同外款"))</f>
        <v/>
      </c>
      <c r="I245" s="33"/>
      <c r="J245" s="33"/>
      <c r="K245" s="39"/>
      <c r="L245" s="33"/>
      <c r="M245" s="25"/>
      <c r="N245" s="39"/>
      <c r="O245" s="35" t="str">
        <f aca="false">IF($C245="","",IF(N($N245)&lt;=0,"未开票",IF(ROUND(N($N245)-N($K245),2)&gt;=0,"已开票",IFERROR("部分开票 "&amp;TEXT(N($N245)/N($K245),"0%"),"部分开票"))))</f>
        <v/>
      </c>
      <c r="P245" s="40" t="str">
        <f aca="false">IF($C245="","",ROUND($V245+MIN($W245,MAX(0,(SUMIF(收款键,$D245,收款金额)-SUMIFS(收款金额,收款键,$D245,收款关联,"&lt;&gt;"))-($X245-$W245))),2))</f>
        <v/>
      </c>
      <c r="Q245" s="41" t="str">
        <f aca="false">IF($C245="","",ROUND(N($K245)-N($P245),2))</f>
        <v/>
      </c>
      <c r="R245" s="29" t="str">
        <f aca="false">IF($C245="","",YEAR($C245))</f>
        <v/>
      </c>
      <c r="S245" s="24"/>
      <c r="T245" s="35" t="str">
        <f aca="false">IF($C245="","",IF($D245="","★没选客户项目",IF(COUNTIF(合同键,$D245)=0,"★《维保合同》里没这个项目",IF(N($K245)&lt;=0,"★应收金额要填",IF(ROUND(N($N245)-N($K245),2)&gt;0.001,"★开票金额大于应收",IF(AND($L245&lt;&gt;"",N($N245)&lt;=0),"★填了开票日期没填开票金额",IF(AND($I245&lt;&gt;"",$J245&lt;&gt;"",$J245&lt;$I245),"★计费期间起止反了","OK")))))))</f>
        <v/>
      </c>
      <c r="U245" s="29" t="str">
        <f aca="false">IF($L245="","",YEAR($L245))</f>
        <v/>
      </c>
      <c r="V245" s="40" t="str">
        <f aca="false">IF($C245="","",ROUND(SUMIF(收款关联,$B245,收款金额),2))</f>
        <v/>
      </c>
      <c r="W245" s="40" t="str">
        <f aca="false">IF($C245="","",MAX(0,ROUND(N($K245)-N($V245),2)))</f>
        <v/>
      </c>
      <c r="X245" s="40" t="str">
        <f aca="false">IF($C245="","",ROUND(SUMIFS(应收净额,应收键,$D245,应收行号,"&lt;="&amp;ROW()),2))</f>
        <v/>
      </c>
      <c r="Y245" s="29" t="str">
        <f aca="false">IF($C245="","",ROW())</f>
        <v/>
      </c>
    </row>
    <row r="246" customFormat="false" ht="15" hidden="false" customHeight="false" outlineLevel="0" collapsed="false">
      <c r="A246" s="29" t="str">
        <f aca="false">IF($C246="","",ROW()-4)</f>
        <v/>
      </c>
      <c r="B246" s="35" t="str">
        <f aca="false">IF($C246="","","YS"&amp;TEXT($C246,"yyyymm")&amp;"-"&amp;TEXT(ROW()-4,"0000"))</f>
        <v/>
      </c>
      <c r="C246" s="33"/>
      <c r="D246" s="24"/>
      <c r="E246" s="30" t="str">
        <f aca="false">IF($D246="","",IFERROR(INDEX(合同单位,MATCH($D246,合同键,0)),IFERROR(TRIM(LEFT($D246,FIND("｜",$D246)-1)),$D246)))</f>
        <v/>
      </c>
      <c r="F246" s="30" t="str">
        <f aca="false">IF($D246="","",IFERROR(INDEX(合同项目,MATCH($D246,合同键,0)),IFERROR(TRIM(MID($D246,FIND("｜",$D246)+1,99)),"")))</f>
        <v/>
      </c>
      <c r="G246" s="24"/>
      <c r="H246" s="35" t="str">
        <f aca="false">IF($G246="","",IFERROR(INDEX(费用款别,MATCH($G246,费用类别表,0)),"合同外款"))</f>
        <v/>
      </c>
      <c r="I246" s="33"/>
      <c r="J246" s="33"/>
      <c r="K246" s="39"/>
      <c r="L246" s="33"/>
      <c r="M246" s="25"/>
      <c r="N246" s="39"/>
      <c r="O246" s="35" t="str">
        <f aca="false">IF($C246="","",IF(N($N246)&lt;=0,"未开票",IF(ROUND(N($N246)-N($K246),2)&gt;=0,"已开票",IFERROR("部分开票 "&amp;TEXT(N($N246)/N($K246),"0%"),"部分开票"))))</f>
        <v/>
      </c>
      <c r="P246" s="40" t="str">
        <f aca="false">IF($C246="","",ROUND($V246+MIN($W246,MAX(0,(SUMIF(收款键,$D246,收款金额)-SUMIFS(收款金额,收款键,$D246,收款关联,"&lt;&gt;"))-($X246-$W246))),2))</f>
        <v/>
      </c>
      <c r="Q246" s="41" t="str">
        <f aca="false">IF($C246="","",ROUND(N($K246)-N($P246),2))</f>
        <v/>
      </c>
      <c r="R246" s="29" t="str">
        <f aca="false">IF($C246="","",YEAR($C246))</f>
        <v/>
      </c>
      <c r="S246" s="24"/>
      <c r="T246" s="35" t="str">
        <f aca="false">IF($C246="","",IF($D246="","★没选客户项目",IF(COUNTIF(合同键,$D246)=0,"★《维保合同》里没这个项目",IF(N($K246)&lt;=0,"★应收金额要填",IF(ROUND(N($N246)-N($K246),2)&gt;0.001,"★开票金额大于应收",IF(AND($L246&lt;&gt;"",N($N246)&lt;=0),"★填了开票日期没填开票金额",IF(AND($I246&lt;&gt;"",$J246&lt;&gt;"",$J246&lt;$I246),"★计费期间起止反了","OK")))))))</f>
        <v/>
      </c>
      <c r="U246" s="29" t="str">
        <f aca="false">IF($L246="","",YEAR($L246))</f>
        <v/>
      </c>
      <c r="V246" s="40" t="str">
        <f aca="false">IF($C246="","",ROUND(SUMIF(收款关联,$B246,收款金额),2))</f>
        <v/>
      </c>
      <c r="W246" s="40" t="str">
        <f aca="false">IF($C246="","",MAX(0,ROUND(N($K246)-N($V246),2)))</f>
        <v/>
      </c>
      <c r="X246" s="40" t="str">
        <f aca="false">IF($C246="","",ROUND(SUMIFS(应收净额,应收键,$D246,应收行号,"&lt;="&amp;ROW()),2))</f>
        <v/>
      </c>
      <c r="Y246" s="29" t="str">
        <f aca="false">IF($C246="","",ROW())</f>
        <v/>
      </c>
    </row>
    <row r="247" customFormat="false" ht="15" hidden="false" customHeight="false" outlineLevel="0" collapsed="false">
      <c r="A247" s="29" t="str">
        <f aca="false">IF($C247="","",ROW()-4)</f>
        <v/>
      </c>
      <c r="B247" s="35" t="str">
        <f aca="false">IF($C247="","","YS"&amp;TEXT($C247,"yyyymm")&amp;"-"&amp;TEXT(ROW()-4,"0000"))</f>
        <v/>
      </c>
      <c r="C247" s="33"/>
      <c r="D247" s="24"/>
      <c r="E247" s="30" t="str">
        <f aca="false">IF($D247="","",IFERROR(INDEX(合同单位,MATCH($D247,合同键,0)),IFERROR(TRIM(LEFT($D247,FIND("｜",$D247)-1)),$D247)))</f>
        <v/>
      </c>
      <c r="F247" s="30" t="str">
        <f aca="false">IF($D247="","",IFERROR(INDEX(合同项目,MATCH($D247,合同键,0)),IFERROR(TRIM(MID($D247,FIND("｜",$D247)+1,99)),"")))</f>
        <v/>
      </c>
      <c r="G247" s="24"/>
      <c r="H247" s="35" t="str">
        <f aca="false">IF($G247="","",IFERROR(INDEX(费用款别,MATCH($G247,费用类别表,0)),"合同外款"))</f>
        <v/>
      </c>
      <c r="I247" s="33"/>
      <c r="J247" s="33"/>
      <c r="K247" s="39"/>
      <c r="L247" s="33"/>
      <c r="M247" s="25"/>
      <c r="N247" s="39"/>
      <c r="O247" s="35" t="str">
        <f aca="false">IF($C247="","",IF(N($N247)&lt;=0,"未开票",IF(ROUND(N($N247)-N($K247),2)&gt;=0,"已开票",IFERROR("部分开票 "&amp;TEXT(N($N247)/N($K247),"0%"),"部分开票"))))</f>
        <v/>
      </c>
      <c r="P247" s="40" t="str">
        <f aca="false">IF($C247="","",ROUND($V247+MIN($W247,MAX(0,(SUMIF(收款键,$D247,收款金额)-SUMIFS(收款金额,收款键,$D247,收款关联,"&lt;&gt;"))-($X247-$W247))),2))</f>
        <v/>
      </c>
      <c r="Q247" s="41" t="str">
        <f aca="false">IF($C247="","",ROUND(N($K247)-N($P247),2))</f>
        <v/>
      </c>
      <c r="R247" s="29" t="str">
        <f aca="false">IF($C247="","",YEAR($C247))</f>
        <v/>
      </c>
      <c r="S247" s="24"/>
      <c r="T247" s="35" t="str">
        <f aca="false">IF($C247="","",IF($D247="","★没选客户项目",IF(COUNTIF(合同键,$D247)=0,"★《维保合同》里没这个项目",IF(N($K247)&lt;=0,"★应收金额要填",IF(ROUND(N($N247)-N($K247),2)&gt;0.001,"★开票金额大于应收",IF(AND($L247&lt;&gt;"",N($N247)&lt;=0),"★填了开票日期没填开票金额",IF(AND($I247&lt;&gt;"",$J247&lt;&gt;"",$J247&lt;$I247),"★计费期间起止反了","OK")))))))</f>
        <v/>
      </c>
      <c r="U247" s="29" t="str">
        <f aca="false">IF($L247="","",YEAR($L247))</f>
        <v/>
      </c>
      <c r="V247" s="40" t="str">
        <f aca="false">IF($C247="","",ROUND(SUMIF(收款关联,$B247,收款金额),2))</f>
        <v/>
      </c>
      <c r="W247" s="40" t="str">
        <f aca="false">IF($C247="","",MAX(0,ROUND(N($K247)-N($V247),2)))</f>
        <v/>
      </c>
      <c r="X247" s="40" t="str">
        <f aca="false">IF($C247="","",ROUND(SUMIFS(应收净额,应收键,$D247,应收行号,"&lt;="&amp;ROW()),2))</f>
        <v/>
      </c>
      <c r="Y247" s="29" t="str">
        <f aca="false">IF($C247="","",ROW())</f>
        <v/>
      </c>
    </row>
    <row r="248" customFormat="false" ht="15" hidden="false" customHeight="false" outlineLevel="0" collapsed="false">
      <c r="A248" s="29" t="str">
        <f aca="false">IF($C248="","",ROW()-4)</f>
        <v/>
      </c>
      <c r="B248" s="35" t="str">
        <f aca="false">IF($C248="","","YS"&amp;TEXT($C248,"yyyymm")&amp;"-"&amp;TEXT(ROW()-4,"0000"))</f>
        <v/>
      </c>
      <c r="C248" s="33"/>
      <c r="D248" s="24"/>
      <c r="E248" s="30" t="str">
        <f aca="false">IF($D248="","",IFERROR(INDEX(合同单位,MATCH($D248,合同键,0)),IFERROR(TRIM(LEFT($D248,FIND("｜",$D248)-1)),$D248)))</f>
        <v/>
      </c>
      <c r="F248" s="30" t="str">
        <f aca="false">IF($D248="","",IFERROR(INDEX(合同项目,MATCH($D248,合同键,0)),IFERROR(TRIM(MID($D248,FIND("｜",$D248)+1,99)),"")))</f>
        <v/>
      </c>
      <c r="G248" s="24"/>
      <c r="H248" s="35" t="str">
        <f aca="false">IF($G248="","",IFERROR(INDEX(费用款别,MATCH($G248,费用类别表,0)),"合同外款"))</f>
        <v/>
      </c>
      <c r="I248" s="33"/>
      <c r="J248" s="33"/>
      <c r="K248" s="39"/>
      <c r="L248" s="33"/>
      <c r="M248" s="25"/>
      <c r="N248" s="39"/>
      <c r="O248" s="35" t="str">
        <f aca="false">IF($C248="","",IF(N($N248)&lt;=0,"未开票",IF(ROUND(N($N248)-N($K248),2)&gt;=0,"已开票",IFERROR("部分开票 "&amp;TEXT(N($N248)/N($K248),"0%"),"部分开票"))))</f>
        <v/>
      </c>
      <c r="P248" s="40" t="str">
        <f aca="false">IF($C248="","",ROUND($V248+MIN($W248,MAX(0,(SUMIF(收款键,$D248,收款金额)-SUMIFS(收款金额,收款键,$D248,收款关联,"&lt;&gt;"))-($X248-$W248))),2))</f>
        <v/>
      </c>
      <c r="Q248" s="41" t="str">
        <f aca="false">IF($C248="","",ROUND(N($K248)-N($P248),2))</f>
        <v/>
      </c>
      <c r="R248" s="29" t="str">
        <f aca="false">IF($C248="","",YEAR($C248))</f>
        <v/>
      </c>
      <c r="S248" s="24"/>
      <c r="T248" s="35" t="str">
        <f aca="false">IF($C248="","",IF($D248="","★没选客户项目",IF(COUNTIF(合同键,$D248)=0,"★《维保合同》里没这个项目",IF(N($K248)&lt;=0,"★应收金额要填",IF(ROUND(N($N248)-N($K248),2)&gt;0.001,"★开票金额大于应收",IF(AND($L248&lt;&gt;"",N($N248)&lt;=0),"★填了开票日期没填开票金额",IF(AND($I248&lt;&gt;"",$J248&lt;&gt;"",$J248&lt;$I248),"★计费期间起止反了","OK")))))))</f>
        <v/>
      </c>
      <c r="U248" s="29" t="str">
        <f aca="false">IF($L248="","",YEAR($L248))</f>
        <v/>
      </c>
      <c r="V248" s="40" t="str">
        <f aca="false">IF($C248="","",ROUND(SUMIF(收款关联,$B248,收款金额),2))</f>
        <v/>
      </c>
      <c r="W248" s="40" t="str">
        <f aca="false">IF($C248="","",MAX(0,ROUND(N($K248)-N($V248),2)))</f>
        <v/>
      </c>
      <c r="X248" s="40" t="str">
        <f aca="false">IF($C248="","",ROUND(SUMIFS(应收净额,应收键,$D248,应收行号,"&lt;="&amp;ROW()),2))</f>
        <v/>
      </c>
      <c r="Y248" s="29" t="str">
        <f aca="false">IF($C248="","",ROW())</f>
        <v/>
      </c>
    </row>
    <row r="249" customFormat="false" ht="15" hidden="false" customHeight="false" outlineLevel="0" collapsed="false">
      <c r="A249" s="29" t="str">
        <f aca="false">IF($C249="","",ROW()-4)</f>
        <v/>
      </c>
      <c r="B249" s="35" t="str">
        <f aca="false">IF($C249="","","YS"&amp;TEXT($C249,"yyyymm")&amp;"-"&amp;TEXT(ROW()-4,"0000"))</f>
        <v/>
      </c>
      <c r="C249" s="33"/>
      <c r="D249" s="24"/>
      <c r="E249" s="30" t="str">
        <f aca="false">IF($D249="","",IFERROR(INDEX(合同单位,MATCH($D249,合同键,0)),IFERROR(TRIM(LEFT($D249,FIND("｜",$D249)-1)),$D249)))</f>
        <v/>
      </c>
      <c r="F249" s="30" t="str">
        <f aca="false">IF($D249="","",IFERROR(INDEX(合同项目,MATCH($D249,合同键,0)),IFERROR(TRIM(MID($D249,FIND("｜",$D249)+1,99)),"")))</f>
        <v/>
      </c>
      <c r="G249" s="24"/>
      <c r="H249" s="35" t="str">
        <f aca="false">IF($G249="","",IFERROR(INDEX(费用款别,MATCH($G249,费用类别表,0)),"合同外款"))</f>
        <v/>
      </c>
      <c r="I249" s="33"/>
      <c r="J249" s="33"/>
      <c r="K249" s="39"/>
      <c r="L249" s="33"/>
      <c r="M249" s="25"/>
      <c r="N249" s="39"/>
      <c r="O249" s="35" t="str">
        <f aca="false">IF($C249="","",IF(N($N249)&lt;=0,"未开票",IF(ROUND(N($N249)-N($K249),2)&gt;=0,"已开票",IFERROR("部分开票 "&amp;TEXT(N($N249)/N($K249),"0%"),"部分开票"))))</f>
        <v/>
      </c>
      <c r="P249" s="40" t="str">
        <f aca="false">IF($C249="","",ROUND($V249+MIN($W249,MAX(0,(SUMIF(收款键,$D249,收款金额)-SUMIFS(收款金额,收款键,$D249,收款关联,"&lt;&gt;"))-($X249-$W249))),2))</f>
        <v/>
      </c>
      <c r="Q249" s="41" t="str">
        <f aca="false">IF($C249="","",ROUND(N($K249)-N($P249),2))</f>
        <v/>
      </c>
      <c r="R249" s="29" t="str">
        <f aca="false">IF($C249="","",YEAR($C249))</f>
        <v/>
      </c>
      <c r="S249" s="24"/>
      <c r="T249" s="35" t="str">
        <f aca="false">IF($C249="","",IF($D249="","★没选客户项目",IF(COUNTIF(合同键,$D249)=0,"★《维保合同》里没这个项目",IF(N($K249)&lt;=0,"★应收金额要填",IF(ROUND(N($N249)-N($K249),2)&gt;0.001,"★开票金额大于应收",IF(AND($L249&lt;&gt;"",N($N249)&lt;=0),"★填了开票日期没填开票金额",IF(AND($I249&lt;&gt;"",$J249&lt;&gt;"",$J249&lt;$I249),"★计费期间起止反了","OK")))))))</f>
        <v/>
      </c>
      <c r="U249" s="29" t="str">
        <f aca="false">IF($L249="","",YEAR($L249))</f>
        <v/>
      </c>
      <c r="V249" s="40" t="str">
        <f aca="false">IF($C249="","",ROUND(SUMIF(收款关联,$B249,收款金额),2))</f>
        <v/>
      </c>
      <c r="W249" s="40" t="str">
        <f aca="false">IF($C249="","",MAX(0,ROUND(N($K249)-N($V249),2)))</f>
        <v/>
      </c>
      <c r="X249" s="40" t="str">
        <f aca="false">IF($C249="","",ROUND(SUMIFS(应收净额,应收键,$D249,应收行号,"&lt;="&amp;ROW()),2))</f>
        <v/>
      </c>
      <c r="Y249" s="29" t="str">
        <f aca="false">IF($C249="","",ROW())</f>
        <v/>
      </c>
    </row>
    <row r="250" customFormat="false" ht="15" hidden="false" customHeight="false" outlineLevel="0" collapsed="false">
      <c r="A250" s="29" t="str">
        <f aca="false">IF($C250="","",ROW()-4)</f>
        <v/>
      </c>
      <c r="B250" s="35" t="str">
        <f aca="false">IF($C250="","","YS"&amp;TEXT($C250,"yyyymm")&amp;"-"&amp;TEXT(ROW()-4,"0000"))</f>
        <v/>
      </c>
      <c r="C250" s="33"/>
      <c r="D250" s="24"/>
      <c r="E250" s="30" t="str">
        <f aca="false">IF($D250="","",IFERROR(INDEX(合同单位,MATCH($D250,合同键,0)),IFERROR(TRIM(LEFT($D250,FIND("｜",$D250)-1)),$D250)))</f>
        <v/>
      </c>
      <c r="F250" s="30" t="str">
        <f aca="false">IF($D250="","",IFERROR(INDEX(合同项目,MATCH($D250,合同键,0)),IFERROR(TRIM(MID($D250,FIND("｜",$D250)+1,99)),"")))</f>
        <v/>
      </c>
      <c r="G250" s="24"/>
      <c r="H250" s="35" t="str">
        <f aca="false">IF($G250="","",IFERROR(INDEX(费用款别,MATCH($G250,费用类别表,0)),"合同外款"))</f>
        <v/>
      </c>
      <c r="I250" s="33"/>
      <c r="J250" s="33"/>
      <c r="K250" s="39"/>
      <c r="L250" s="33"/>
      <c r="M250" s="25"/>
      <c r="N250" s="39"/>
      <c r="O250" s="35" t="str">
        <f aca="false">IF($C250="","",IF(N($N250)&lt;=0,"未开票",IF(ROUND(N($N250)-N($K250),2)&gt;=0,"已开票",IFERROR("部分开票 "&amp;TEXT(N($N250)/N($K250),"0%"),"部分开票"))))</f>
        <v/>
      </c>
      <c r="P250" s="40" t="str">
        <f aca="false">IF($C250="","",ROUND($V250+MIN($W250,MAX(0,(SUMIF(收款键,$D250,收款金额)-SUMIFS(收款金额,收款键,$D250,收款关联,"&lt;&gt;"))-($X250-$W250))),2))</f>
        <v/>
      </c>
      <c r="Q250" s="41" t="str">
        <f aca="false">IF($C250="","",ROUND(N($K250)-N($P250),2))</f>
        <v/>
      </c>
      <c r="R250" s="29" t="str">
        <f aca="false">IF($C250="","",YEAR($C250))</f>
        <v/>
      </c>
      <c r="S250" s="24"/>
      <c r="T250" s="35" t="str">
        <f aca="false">IF($C250="","",IF($D250="","★没选客户项目",IF(COUNTIF(合同键,$D250)=0,"★《维保合同》里没这个项目",IF(N($K250)&lt;=0,"★应收金额要填",IF(ROUND(N($N250)-N($K250),2)&gt;0.001,"★开票金额大于应收",IF(AND($L250&lt;&gt;"",N($N250)&lt;=0),"★填了开票日期没填开票金额",IF(AND($I250&lt;&gt;"",$J250&lt;&gt;"",$J250&lt;$I250),"★计费期间起止反了","OK")))))))</f>
        <v/>
      </c>
      <c r="U250" s="29" t="str">
        <f aca="false">IF($L250="","",YEAR($L250))</f>
        <v/>
      </c>
      <c r="V250" s="40" t="str">
        <f aca="false">IF($C250="","",ROUND(SUMIF(收款关联,$B250,收款金额),2))</f>
        <v/>
      </c>
      <c r="W250" s="40" t="str">
        <f aca="false">IF($C250="","",MAX(0,ROUND(N($K250)-N($V250),2)))</f>
        <v/>
      </c>
      <c r="X250" s="40" t="str">
        <f aca="false">IF($C250="","",ROUND(SUMIFS(应收净额,应收键,$D250,应收行号,"&lt;="&amp;ROW()),2))</f>
        <v/>
      </c>
      <c r="Y250" s="29" t="str">
        <f aca="false">IF($C250="","",ROW())</f>
        <v/>
      </c>
    </row>
    <row r="251" customFormat="false" ht="15" hidden="false" customHeight="false" outlineLevel="0" collapsed="false">
      <c r="A251" s="29" t="str">
        <f aca="false">IF($C251="","",ROW()-4)</f>
        <v/>
      </c>
      <c r="B251" s="35" t="str">
        <f aca="false">IF($C251="","","YS"&amp;TEXT($C251,"yyyymm")&amp;"-"&amp;TEXT(ROW()-4,"0000"))</f>
        <v/>
      </c>
      <c r="C251" s="33"/>
      <c r="D251" s="24"/>
      <c r="E251" s="30" t="str">
        <f aca="false">IF($D251="","",IFERROR(INDEX(合同单位,MATCH($D251,合同键,0)),IFERROR(TRIM(LEFT($D251,FIND("｜",$D251)-1)),$D251)))</f>
        <v/>
      </c>
      <c r="F251" s="30" t="str">
        <f aca="false">IF($D251="","",IFERROR(INDEX(合同项目,MATCH($D251,合同键,0)),IFERROR(TRIM(MID($D251,FIND("｜",$D251)+1,99)),"")))</f>
        <v/>
      </c>
      <c r="G251" s="24"/>
      <c r="H251" s="35" t="str">
        <f aca="false">IF($G251="","",IFERROR(INDEX(费用款别,MATCH($G251,费用类别表,0)),"合同外款"))</f>
        <v/>
      </c>
      <c r="I251" s="33"/>
      <c r="J251" s="33"/>
      <c r="K251" s="39"/>
      <c r="L251" s="33"/>
      <c r="M251" s="25"/>
      <c r="N251" s="39"/>
      <c r="O251" s="35" t="str">
        <f aca="false">IF($C251="","",IF(N($N251)&lt;=0,"未开票",IF(ROUND(N($N251)-N($K251),2)&gt;=0,"已开票",IFERROR("部分开票 "&amp;TEXT(N($N251)/N($K251),"0%"),"部分开票"))))</f>
        <v/>
      </c>
      <c r="P251" s="40" t="str">
        <f aca="false">IF($C251="","",ROUND($V251+MIN($W251,MAX(0,(SUMIF(收款键,$D251,收款金额)-SUMIFS(收款金额,收款键,$D251,收款关联,"&lt;&gt;"))-($X251-$W251))),2))</f>
        <v/>
      </c>
      <c r="Q251" s="41" t="str">
        <f aca="false">IF($C251="","",ROUND(N($K251)-N($P251),2))</f>
        <v/>
      </c>
      <c r="R251" s="29" t="str">
        <f aca="false">IF($C251="","",YEAR($C251))</f>
        <v/>
      </c>
      <c r="S251" s="24"/>
      <c r="T251" s="35" t="str">
        <f aca="false">IF($C251="","",IF($D251="","★没选客户项目",IF(COUNTIF(合同键,$D251)=0,"★《维保合同》里没这个项目",IF(N($K251)&lt;=0,"★应收金额要填",IF(ROUND(N($N251)-N($K251),2)&gt;0.001,"★开票金额大于应收",IF(AND($L251&lt;&gt;"",N($N251)&lt;=0),"★填了开票日期没填开票金额",IF(AND($I251&lt;&gt;"",$J251&lt;&gt;"",$J251&lt;$I251),"★计费期间起止反了","OK")))))))</f>
        <v/>
      </c>
      <c r="U251" s="29" t="str">
        <f aca="false">IF($L251="","",YEAR($L251))</f>
        <v/>
      </c>
      <c r="V251" s="40" t="str">
        <f aca="false">IF($C251="","",ROUND(SUMIF(收款关联,$B251,收款金额),2))</f>
        <v/>
      </c>
      <c r="W251" s="40" t="str">
        <f aca="false">IF($C251="","",MAX(0,ROUND(N($K251)-N($V251),2)))</f>
        <v/>
      </c>
      <c r="X251" s="40" t="str">
        <f aca="false">IF($C251="","",ROUND(SUMIFS(应收净额,应收键,$D251,应收行号,"&lt;="&amp;ROW()),2))</f>
        <v/>
      </c>
      <c r="Y251" s="29" t="str">
        <f aca="false">IF($C251="","",ROW())</f>
        <v/>
      </c>
    </row>
    <row r="252" customFormat="false" ht="15" hidden="false" customHeight="false" outlineLevel="0" collapsed="false">
      <c r="A252" s="29" t="str">
        <f aca="false">IF($C252="","",ROW()-4)</f>
        <v/>
      </c>
      <c r="B252" s="35" t="str">
        <f aca="false">IF($C252="","","YS"&amp;TEXT($C252,"yyyymm")&amp;"-"&amp;TEXT(ROW()-4,"0000"))</f>
        <v/>
      </c>
      <c r="C252" s="33"/>
      <c r="D252" s="24"/>
      <c r="E252" s="30" t="str">
        <f aca="false">IF($D252="","",IFERROR(INDEX(合同单位,MATCH($D252,合同键,0)),IFERROR(TRIM(LEFT($D252,FIND("｜",$D252)-1)),$D252)))</f>
        <v/>
      </c>
      <c r="F252" s="30" t="str">
        <f aca="false">IF($D252="","",IFERROR(INDEX(合同项目,MATCH($D252,合同键,0)),IFERROR(TRIM(MID($D252,FIND("｜",$D252)+1,99)),"")))</f>
        <v/>
      </c>
      <c r="G252" s="24"/>
      <c r="H252" s="35" t="str">
        <f aca="false">IF($G252="","",IFERROR(INDEX(费用款别,MATCH($G252,费用类别表,0)),"合同外款"))</f>
        <v/>
      </c>
      <c r="I252" s="33"/>
      <c r="J252" s="33"/>
      <c r="K252" s="39"/>
      <c r="L252" s="33"/>
      <c r="M252" s="25"/>
      <c r="N252" s="39"/>
      <c r="O252" s="35" t="str">
        <f aca="false">IF($C252="","",IF(N($N252)&lt;=0,"未开票",IF(ROUND(N($N252)-N($K252),2)&gt;=0,"已开票",IFERROR("部分开票 "&amp;TEXT(N($N252)/N($K252),"0%"),"部分开票"))))</f>
        <v/>
      </c>
      <c r="P252" s="40" t="str">
        <f aca="false">IF($C252="","",ROUND($V252+MIN($W252,MAX(0,(SUMIF(收款键,$D252,收款金额)-SUMIFS(收款金额,收款键,$D252,收款关联,"&lt;&gt;"))-($X252-$W252))),2))</f>
        <v/>
      </c>
      <c r="Q252" s="41" t="str">
        <f aca="false">IF($C252="","",ROUND(N($K252)-N($P252),2))</f>
        <v/>
      </c>
      <c r="R252" s="29" t="str">
        <f aca="false">IF($C252="","",YEAR($C252))</f>
        <v/>
      </c>
      <c r="S252" s="24"/>
      <c r="T252" s="35" t="str">
        <f aca="false">IF($C252="","",IF($D252="","★没选客户项目",IF(COUNTIF(合同键,$D252)=0,"★《维保合同》里没这个项目",IF(N($K252)&lt;=0,"★应收金额要填",IF(ROUND(N($N252)-N($K252),2)&gt;0.001,"★开票金额大于应收",IF(AND($L252&lt;&gt;"",N($N252)&lt;=0),"★填了开票日期没填开票金额",IF(AND($I252&lt;&gt;"",$J252&lt;&gt;"",$J252&lt;$I252),"★计费期间起止反了","OK")))))))</f>
        <v/>
      </c>
      <c r="U252" s="29" t="str">
        <f aca="false">IF($L252="","",YEAR($L252))</f>
        <v/>
      </c>
      <c r="V252" s="40" t="str">
        <f aca="false">IF($C252="","",ROUND(SUMIF(收款关联,$B252,收款金额),2))</f>
        <v/>
      </c>
      <c r="W252" s="40" t="str">
        <f aca="false">IF($C252="","",MAX(0,ROUND(N($K252)-N($V252),2)))</f>
        <v/>
      </c>
      <c r="X252" s="40" t="str">
        <f aca="false">IF($C252="","",ROUND(SUMIFS(应收净额,应收键,$D252,应收行号,"&lt;="&amp;ROW()),2))</f>
        <v/>
      </c>
      <c r="Y252" s="29" t="str">
        <f aca="false">IF($C252="","",ROW())</f>
        <v/>
      </c>
    </row>
    <row r="253" customFormat="false" ht="15" hidden="false" customHeight="false" outlineLevel="0" collapsed="false">
      <c r="A253" s="29" t="str">
        <f aca="false">IF($C253="","",ROW()-4)</f>
        <v/>
      </c>
      <c r="B253" s="35" t="str">
        <f aca="false">IF($C253="","","YS"&amp;TEXT($C253,"yyyymm")&amp;"-"&amp;TEXT(ROW()-4,"0000"))</f>
        <v/>
      </c>
      <c r="C253" s="33"/>
      <c r="D253" s="24"/>
      <c r="E253" s="30" t="str">
        <f aca="false">IF($D253="","",IFERROR(INDEX(合同单位,MATCH($D253,合同键,0)),IFERROR(TRIM(LEFT($D253,FIND("｜",$D253)-1)),$D253)))</f>
        <v/>
      </c>
      <c r="F253" s="30" t="str">
        <f aca="false">IF($D253="","",IFERROR(INDEX(合同项目,MATCH($D253,合同键,0)),IFERROR(TRIM(MID($D253,FIND("｜",$D253)+1,99)),"")))</f>
        <v/>
      </c>
      <c r="G253" s="24"/>
      <c r="H253" s="35" t="str">
        <f aca="false">IF($G253="","",IFERROR(INDEX(费用款别,MATCH($G253,费用类别表,0)),"合同外款"))</f>
        <v/>
      </c>
      <c r="I253" s="33"/>
      <c r="J253" s="33"/>
      <c r="K253" s="39"/>
      <c r="L253" s="33"/>
      <c r="M253" s="25"/>
      <c r="N253" s="39"/>
      <c r="O253" s="35" t="str">
        <f aca="false">IF($C253="","",IF(N($N253)&lt;=0,"未开票",IF(ROUND(N($N253)-N($K253),2)&gt;=0,"已开票",IFERROR("部分开票 "&amp;TEXT(N($N253)/N($K253),"0%"),"部分开票"))))</f>
        <v/>
      </c>
      <c r="P253" s="40" t="str">
        <f aca="false">IF($C253="","",ROUND($V253+MIN($W253,MAX(0,(SUMIF(收款键,$D253,收款金额)-SUMIFS(收款金额,收款键,$D253,收款关联,"&lt;&gt;"))-($X253-$W253))),2))</f>
        <v/>
      </c>
      <c r="Q253" s="41" t="str">
        <f aca="false">IF($C253="","",ROUND(N($K253)-N($P253),2))</f>
        <v/>
      </c>
      <c r="R253" s="29" t="str">
        <f aca="false">IF($C253="","",YEAR($C253))</f>
        <v/>
      </c>
      <c r="S253" s="24"/>
      <c r="T253" s="35" t="str">
        <f aca="false">IF($C253="","",IF($D253="","★没选客户项目",IF(COUNTIF(合同键,$D253)=0,"★《维保合同》里没这个项目",IF(N($K253)&lt;=0,"★应收金额要填",IF(ROUND(N($N253)-N($K253),2)&gt;0.001,"★开票金额大于应收",IF(AND($L253&lt;&gt;"",N($N253)&lt;=0),"★填了开票日期没填开票金额",IF(AND($I253&lt;&gt;"",$J253&lt;&gt;"",$J253&lt;$I253),"★计费期间起止反了","OK")))))))</f>
        <v/>
      </c>
      <c r="U253" s="29" t="str">
        <f aca="false">IF($L253="","",YEAR($L253))</f>
        <v/>
      </c>
      <c r="V253" s="40" t="str">
        <f aca="false">IF($C253="","",ROUND(SUMIF(收款关联,$B253,收款金额),2))</f>
        <v/>
      </c>
      <c r="W253" s="40" t="str">
        <f aca="false">IF($C253="","",MAX(0,ROUND(N($K253)-N($V253),2)))</f>
        <v/>
      </c>
      <c r="X253" s="40" t="str">
        <f aca="false">IF($C253="","",ROUND(SUMIFS(应收净额,应收键,$D253,应收行号,"&lt;="&amp;ROW()),2))</f>
        <v/>
      </c>
      <c r="Y253" s="29" t="str">
        <f aca="false">IF($C253="","",ROW())</f>
        <v/>
      </c>
    </row>
    <row r="254" customFormat="false" ht="15" hidden="false" customHeight="false" outlineLevel="0" collapsed="false">
      <c r="A254" s="29" t="str">
        <f aca="false">IF($C254="","",ROW()-4)</f>
        <v/>
      </c>
      <c r="B254" s="35" t="str">
        <f aca="false">IF($C254="","","YS"&amp;TEXT($C254,"yyyymm")&amp;"-"&amp;TEXT(ROW()-4,"0000"))</f>
        <v/>
      </c>
      <c r="C254" s="33"/>
      <c r="D254" s="24"/>
      <c r="E254" s="30" t="str">
        <f aca="false">IF($D254="","",IFERROR(INDEX(合同单位,MATCH($D254,合同键,0)),IFERROR(TRIM(LEFT($D254,FIND("｜",$D254)-1)),$D254)))</f>
        <v/>
      </c>
      <c r="F254" s="30" t="str">
        <f aca="false">IF($D254="","",IFERROR(INDEX(合同项目,MATCH($D254,合同键,0)),IFERROR(TRIM(MID($D254,FIND("｜",$D254)+1,99)),"")))</f>
        <v/>
      </c>
      <c r="G254" s="24"/>
      <c r="H254" s="35" t="str">
        <f aca="false">IF($G254="","",IFERROR(INDEX(费用款别,MATCH($G254,费用类别表,0)),"合同外款"))</f>
        <v/>
      </c>
      <c r="I254" s="33"/>
      <c r="J254" s="33"/>
      <c r="K254" s="39"/>
      <c r="L254" s="33"/>
      <c r="M254" s="25"/>
      <c r="N254" s="39"/>
      <c r="O254" s="35" t="str">
        <f aca="false">IF($C254="","",IF(N($N254)&lt;=0,"未开票",IF(ROUND(N($N254)-N($K254),2)&gt;=0,"已开票",IFERROR("部分开票 "&amp;TEXT(N($N254)/N($K254),"0%"),"部分开票"))))</f>
        <v/>
      </c>
      <c r="P254" s="40" t="str">
        <f aca="false">IF($C254="","",ROUND($V254+MIN($W254,MAX(0,(SUMIF(收款键,$D254,收款金额)-SUMIFS(收款金额,收款键,$D254,收款关联,"&lt;&gt;"))-($X254-$W254))),2))</f>
        <v/>
      </c>
      <c r="Q254" s="41" t="str">
        <f aca="false">IF($C254="","",ROUND(N($K254)-N($P254),2))</f>
        <v/>
      </c>
      <c r="R254" s="29" t="str">
        <f aca="false">IF($C254="","",YEAR($C254))</f>
        <v/>
      </c>
      <c r="S254" s="24"/>
      <c r="T254" s="35" t="str">
        <f aca="false">IF($C254="","",IF($D254="","★没选客户项目",IF(COUNTIF(合同键,$D254)=0,"★《维保合同》里没这个项目",IF(N($K254)&lt;=0,"★应收金额要填",IF(ROUND(N($N254)-N($K254),2)&gt;0.001,"★开票金额大于应收",IF(AND($L254&lt;&gt;"",N($N254)&lt;=0),"★填了开票日期没填开票金额",IF(AND($I254&lt;&gt;"",$J254&lt;&gt;"",$J254&lt;$I254),"★计费期间起止反了","OK")))))))</f>
        <v/>
      </c>
      <c r="U254" s="29" t="str">
        <f aca="false">IF($L254="","",YEAR($L254))</f>
        <v/>
      </c>
      <c r="V254" s="40" t="str">
        <f aca="false">IF($C254="","",ROUND(SUMIF(收款关联,$B254,收款金额),2))</f>
        <v/>
      </c>
      <c r="W254" s="40" t="str">
        <f aca="false">IF($C254="","",MAX(0,ROUND(N($K254)-N($V254),2)))</f>
        <v/>
      </c>
      <c r="X254" s="40" t="str">
        <f aca="false">IF($C254="","",ROUND(SUMIFS(应收净额,应收键,$D254,应收行号,"&lt;="&amp;ROW()),2))</f>
        <v/>
      </c>
      <c r="Y254" s="29" t="str">
        <f aca="false">IF($C254="","",ROW())</f>
        <v/>
      </c>
    </row>
    <row r="255" customFormat="false" ht="15" hidden="false" customHeight="false" outlineLevel="0" collapsed="false">
      <c r="A255" s="29" t="str">
        <f aca="false">IF($C255="","",ROW()-4)</f>
        <v/>
      </c>
      <c r="B255" s="35" t="str">
        <f aca="false">IF($C255="","","YS"&amp;TEXT($C255,"yyyymm")&amp;"-"&amp;TEXT(ROW()-4,"0000"))</f>
        <v/>
      </c>
      <c r="C255" s="33"/>
      <c r="D255" s="24"/>
      <c r="E255" s="30" t="str">
        <f aca="false">IF($D255="","",IFERROR(INDEX(合同单位,MATCH($D255,合同键,0)),IFERROR(TRIM(LEFT($D255,FIND("｜",$D255)-1)),$D255)))</f>
        <v/>
      </c>
      <c r="F255" s="30" t="str">
        <f aca="false">IF($D255="","",IFERROR(INDEX(合同项目,MATCH($D255,合同键,0)),IFERROR(TRIM(MID($D255,FIND("｜",$D255)+1,99)),"")))</f>
        <v/>
      </c>
      <c r="G255" s="24"/>
      <c r="H255" s="35" t="str">
        <f aca="false">IF($G255="","",IFERROR(INDEX(费用款别,MATCH($G255,费用类别表,0)),"合同外款"))</f>
        <v/>
      </c>
      <c r="I255" s="33"/>
      <c r="J255" s="33"/>
      <c r="K255" s="39"/>
      <c r="L255" s="33"/>
      <c r="M255" s="25"/>
      <c r="N255" s="39"/>
      <c r="O255" s="35" t="str">
        <f aca="false">IF($C255="","",IF(N($N255)&lt;=0,"未开票",IF(ROUND(N($N255)-N($K255),2)&gt;=0,"已开票",IFERROR("部分开票 "&amp;TEXT(N($N255)/N($K255),"0%"),"部分开票"))))</f>
        <v/>
      </c>
      <c r="P255" s="40" t="str">
        <f aca="false">IF($C255="","",ROUND($V255+MIN($W255,MAX(0,(SUMIF(收款键,$D255,收款金额)-SUMIFS(收款金额,收款键,$D255,收款关联,"&lt;&gt;"))-($X255-$W255))),2))</f>
        <v/>
      </c>
      <c r="Q255" s="41" t="str">
        <f aca="false">IF($C255="","",ROUND(N($K255)-N($P255),2))</f>
        <v/>
      </c>
      <c r="R255" s="29" t="str">
        <f aca="false">IF($C255="","",YEAR($C255))</f>
        <v/>
      </c>
      <c r="S255" s="24"/>
      <c r="T255" s="35" t="str">
        <f aca="false">IF($C255="","",IF($D255="","★没选客户项目",IF(COUNTIF(合同键,$D255)=0,"★《维保合同》里没这个项目",IF(N($K255)&lt;=0,"★应收金额要填",IF(ROUND(N($N255)-N($K255),2)&gt;0.001,"★开票金额大于应收",IF(AND($L255&lt;&gt;"",N($N255)&lt;=0),"★填了开票日期没填开票金额",IF(AND($I255&lt;&gt;"",$J255&lt;&gt;"",$J255&lt;$I255),"★计费期间起止反了","OK")))))))</f>
        <v/>
      </c>
      <c r="U255" s="29" t="str">
        <f aca="false">IF($L255="","",YEAR($L255))</f>
        <v/>
      </c>
      <c r="V255" s="40" t="str">
        <f aca="false">IF($C255="","",ROUND(SUMIF(收款关联,$B255,收款金额),2))</f>
        <v/>
      </c>
      <c r="W255" s="40" t="str">
        <f aca="false">IF($C255="","",MAX(0,ROUND(N($K255)-N($V255),2)))</f>
        <v/>
      </c>
      <c r="X255" s="40" t="str">
        <f aca="false">IF($C255="","",ROUND(SUMIFS(应收净额,应收键,$D255,应收行号,"&lt;="&amp;ROW()),2))</f>
        <v/>
      </c>
      <c r="Y255" s="29" t="str">
        <f aca="false">IF($C255="","",ROW())</f>
        <v/>
      </c>
    </row>
    <row r="256" customFormat="false" ht="15" hidden="false" customHeight="false" outlineLevel="0" collapsed="false">
      <c r="A256" s="29" t="str">
        <f aca="false">IF($C256="","",ROW()-4)</f>
        <v/>
      </c>
      <c r="B256" s="35" t="str">
        <f aca="false">IF($C256="","","YS"&amp;TEXT($C256,"yyyymm")&amp;"-"&amp;TEXT(ROW()-4,"0000"))</f>
        <v/>
      </c>
      <c r="C256" s="33"/>
      <c r="D256" s="24"/>
      <c r="E256" s="30" t="str">
        <f aca="false">IF($D256="","",IFERROR(INDEX(合同单位,MATCH($D256,合同键,0)),IFERROR(TRIM(LEFT($D256,FIND("｜",$D256)-1)),$D256)))</f>
        <v/>
      </c>
      <c r="F256" s="30" t="str">
        <f aca="false">IF($D256="","",IFERROR(INDEX(合同项目,MATCH($D256,合同键,0)),IFERROR(TRIM(MID($D256,FIND("｜",$D256)+1,99)),"")))</f>
        <v/>
      </c>
      <c r="G256" s="24"/>
      <c r="H256" s="35" t="str">
        <f aca="false">IF($G256="","",IFERROR(INDEX(费用款别,MATCH($G256,费用类别表,0)),"合同外款"))</f>
        <v/>
      </c>
      <c r="I256" s="33"/>
      <c r="J256" s="33"/>
      <c r="K256" s="39"/>
      <c r="L256" s="33"/>
      <c r="M256" s="25"/>
      <c r="N256" s="39"/>
      <c r="O256" s="35" t="str">
        <f aca="false">IF($C256="","",IF(N($N256)&lt;=0,"未开票",IF(ROUND(N($N256)-N($K256),2)&gt;=0,"已开票",IFERROR("部分开票 "&amp;TEXT(N($N256)/N($K256),"0%"),"部分开票"))))</f>
        <v/>
      </c>
      <c r="P256" s="40" t="str">
        <f aca="false">IF($C256="","",ROUND($V256+MIN($W256,MAX(0,(SUMIF(收款键,$D256,收款金额)-SUMIFS(收款金额,收款键,$D256,收款关联,"&lt;&gt;"))-($X256-$W256))),2))</f>
        <v/>
      </c>
      <c r="Q256" s="41" t="str">
        <f aca="false">IF($C256="","",ROUND(N($K256)-N($P256),2))</f>
        <v/>
      </c>
      <c r="R256" s="29" t="str">
        <f aca="false">IF($C256="","",YEAR($C256))</f>
        <v/>
      </c>
      <c r="S256" s="24"/>
      <c r="T256" s="35" t="str">
        <f aca="false">IF($C256="","",IF($D256="","★没选客户项目",IF(COUNTIF(合同键,$D256)=0,"★《维保合同》里没这个项目",IF(N($K256)&lt;=0,"★应收金额要填",IF(ROUND(N($N256)-N($K256),2)&gt;0.001,"★开票金额大于应收",IF(AND($L256&lt;&gt;"",N($N256)&lt;=0),"★填了开票日期没填开票金额",IF(AND($I256&lt;&gt;"",$J256&lt;&gt;"",$J256&lt;$I256),"★计费期间起止反了","OK")))))))</f>
        <v/>
      </c>
      <c r="U256" s="29" t="str">
        <f aca="false">IF($L256="","",YEAR($L256))</f>
        <v/>
      </c>
      <c r="V256" s="40" t="str">
        <f aca="false">IF($C256="","",ROUND(SUMIF(收款关联,$B256,收款金额),2))</f>
        <v/>
      </c>
      <c r="W256" s="40" t="str">
        <f aca="false">IF($C256="","",MAX(0,ROUND(N($K256)-N($V256),2)))</f>
        <v/>
      </c>
      <c r="X256" s="40" t="str">
        <f aca="false">IF($C256="","",ROUND(SUMIFS(应收净额,应收键,$D256,应收行号,"&lt;="&amp;ROW()),2))</f>
        <v/>
      </c>
      <c r="Y256" s="29" t="str">
        <f aca="false">IF($C256="","",ROW())</f>
        <v/>
      </c>
    </row>
    <row r="257" customFormat="false" ht="15" hidden="false" customHeight="false" outlineLevel="0" collapsed="false">
      <c r="A257" s="29" t="str">
        <f aca="false">IF($C257="","",ROW()-4)</f>
        <v/>
      </c>
      <c r="B257" s="35" t="str">
        <f aca="false">IF($C257="","","YS"&amp;TEXT($C257,"yyyymm")&amp;"-"&amp;TEXT(ROW()-4,"0000"))</f>
        <v/>
      </c>
      <c r="C257" s="33"/>
      <c r="D257" s="24"/>
      <c r="E257" s="30" t="str">
        <f aca="false">IF($D257="","",IFERROR(INDEX(合同单位,MATCH($D257,合同键,0)),IFERROR(TRIM(LEFT($D257,FIND("｜",$D257)-1)),$D257)))</f>
        <v/>
      </c>
      <c r="F257" s="30" t="str">
        <f aca="false">IF($D257="","",IFERROR(INDEX(合同项目,MATCH($D257,合同键,0)),IFERROR(TRIM(MID($D257,FIND("｜",$D257)+1,99)),"")))</f>
        <v/>
      </c>
      <c r="G257" s="24"/>
      <c r="H257" s="35" t="str">
        <f aca="false">IF($G257="","",IFERROR(INDEX(费用款别,MATCH($G257,费用类别表,0)),"合同外款"))</f>
        <v/>
      </c>
      <c r="I257" s="33"/>
      <c r="J257" s="33"/>
      <c r="K257" s="39"/>
      <c r="L257" s="33"/>
      <c r="M257" s="25"/>
      <c r="N257" s="39"/>
      <c r="O257" s="35" t="str">
        <f aca="false">IF($C257="","",IF(N($N257)&lt;=0,"未开票",IF(ROUND(N($N257)-N($K257),2)&gt;=0,"已开票",IFERROR("部分开票 "&amp;TEXT(N($N257)/N($K257),"0%"),"部分开票"))))</f>
        <v/>
      </c>
      <c r="P257" s="40" t="str">
        <f aca="false">IF($C257="","",ROUND($V257+MIN($W257,MAX(0,(SUMIF(收款键,$D257,收款金额)-SUMIFS(收款金额,收款键,$D257,收款关联,"&lt;&gt;"))-($X257-$W257))),2))</f>
        <v/>
      </c>
      <c r="Q257" s="41" t="str">
        <f aca="false">IF($C257="","",ROUND(N($K257)-N($P257),2))</f>
        <v/>
      </c>
      <c r="R257" s="29" t="str">
        <f aca="false">IF($C257="","",YEAR($C257))</f>
        <v/>
      </c>
      <c r="S257" s="24"/>
      <c r="T257" s="35" t="str">
        <f aca="false">IF($C257="","",IF($D257="","★没选客户项目",IF(COUNTIF(合同键,$D257)=0,"★《维保合同》里没这个项目",IF(N($K257)&lt;=0,"★应收金额要填",IF(ROUND(N($N257)-N($K257),2)&gt;0.001,"★开票金额大于应收",IF(AND($L257&lt;&gt;"",N($N257)&lt;=0),"★填了开票日期没填开票金额",IF(AND($I257&lt;&gt;"",$J257&lt;&gt;"",$J257&lt;$I257),"★计费期间起止反了","OK")))))))</f>
        <v/>
      </c>
      <c r="U257" s="29" t="str">
        <f aca="false">IF($L257="","",YEAR($L257))</f>
        <v/>
      </c>
      <c r="V257" s="40" t="str">
        <f aca="false">IF($C257="","",ROUND(SUMIF(收款关联,$B257,收款金额),2))</f>
        <v/>
      </c>
      <c r="W257" s="40" t="str">
        <f aca="false">IF($C257="","",MAX(0,ROUND(N($K257)-N($V257),2)))</f>
        <v/>
      </c>
      <c r="X257" s="40" t="str">
        <f aca="false">IF($C257="","",ROUND(SUMIFS(应收净额,应收键,$D257,应收行号,"&lt;="&amp;ROW()),2))</f>
        <v/>
      </c>
      <c r="Y257" s="29" t="str">
        <f aca="false">IF($C257="","",ROW())</f>
        <v/>
      </c>
    </row>
    <row r="258" customFormat="false" ht="15" hidden="false" customHeight="false" outlineLevel="0" collapsed="false">
      <c r="A258" s="29" t="str">
        <f aca="false">IF($C258="","",ROW()-4)</f>
        <v/>
      </c>
      <c r="B258" s="35" t="str">
        <f aca="false">IF($C258="","","YS"&amp;TEXT($C258,"yyyymm")&amp;"-"&amp;TEXT(ROW()-4,"0000"))</f>
        <v/>
      </c>
      <c r="C258" s="33"/>
      <c r="D258" s="24"/>
      <c r="E258" s="30" t="str">
        <f aca="false">IF($D258="","",IFERROR(INDEX(合同单位,MATCH($D258,合同键,0)),IFERROR(TRIM(LEFT($D258,FIND("｜",$D258)-1)),$D258)))</f>
        <v/>
      </c>
      <c r="F258" s="30" t="str">
        <f aca="false">IF($D258="","",IFERROR(INDEX(合同项目,MATCH($D258,合同键,0)),IFERROR(TRIM(MID($D258,FIND("｜",$D258)+1,99)),"")))</f>
        <v/>
      </c>
      <c r="G258" s="24"/>
      <c r="H258" s="35" t="str">
        <f aca="false">IF($G258="","",IFERROR(INDEX(费用款别,MATCH($G258,费用类别表,0)),"合同外款"))</f>
        <v/>
      </c>
      <c r="I258" s="33"/>
      <c r="J258" s="33"/>
      <c r="K258" s="39"/>
      <c r="L258" s="33"/>
      <c r="M258" s="25"/>
      <c r="N258" s="39"/>
      <c r="O258" s="35" t="str">
        <f aca="false">IF($C258="","",IF(N($N258)&lt;=0,"未开票",IF(ROUND(N($N258)-N($K258),2)&gt;=0,"已开票",IFERROR("部分开票 "&amp;TEXT(N($N258)/N($K258),"0%"),"部分开票"))))</f>
        <v/>
      </c>
      <c r="P258" s="40" t="str">
        <f aca="false">IF($C258="","",ROUND($V258+MIN($W258,MAX(0,(SUMIF(收款键,$D258,收款金额)-SUMIFS(收款金额,收款键,$D258,收款关联,"&lt;&gt;"))-($X258-$W258))),2))</f>
        <v/>
      </c>
      <c r="Q258" s="41" t="str">
        <f aca="false">IF($C258="","",ROUND(N($K258)-N($P258),2))</f>
        <v/>
      </c>
      <c r="R258" s="29" t="str">
        <f aca="false">IF($C258="","",YEAR($C258))</f>
        <v/>
      </c>
      <c r="S258" s="24"/>
      <c r="T258" s="35" t="str">
        <f aca="false">IF($C258="","",IF($D258="","★没选客户项目",IF(COUNTIF(合同键,$D258)=0,"★《维保合同》里没这个项目",IF(N($K258)&lt;=0,"★应收金额要填",IF(ROUND(N($N258)-N($K258),2)&gt;0.001,"★开票金额大于应收",IF(AND($L258&lt;&gt;"",N($N258)&lt;=0),"★填了开票日期没填开票金额",IF(AND($I258&lt;&gt;"",$J258&lt;&gt;"",$J258&lt;$I258),"★计费期间起止反了","OK")))))))</f>
        <v/>
      </c>
      <c r="U258" s="29" t="str">
        <f aca="false">IF($L258="","",YEAR($L258))</f>
        <v/>
      </c>
      <c r="V258" s="40" t="str">
        <f aca="false">IF($C258="","",ROUND(SUMIF(收款关联,$B258,收款金额),2))</f>
        <v/>
      </c>
      <c r="W258" s="40" t="str">
        <f aca="false">IF($C258="","",MAX(0,ROUND(N($K258)-N($V258),2)))</f>
        <v/>
      </c>
      <c r="X258" s="40" t="str">
        <f aca="false">IF($C258="","",ROUND(SUMIFS(应收净额,应收键,$D258,应收行号,"&lt;="&amp;ROW()),2))</f>
        <v/>
      </c>
      <c r="Y258" s="29" t="str">
        <f aca="false">IF($C258="","",ROW())</f>
        <v/>
      </c>
    </row>
    <row r="259" customFormat="false" ht="15" hidden="false" customHeight="false" outlineLevel="0" collapsed="false">
      <c r="A259" s="29" t="str">
        <f aca="false">IF($C259="","",ROW()-4)</f>
        <v/>
      </c>
      <c r="B259" s="35" t="str">
        <f aca="false">IF($C259="","","YS"&amp;TEXT($C259,"yyyymm")&amp;"-"&amp;TEXT(ROW()-4,"0000"))</f>
        <v/>
      </c>
      <c r="C259" s="33"/>
      <c r="D259" s="24"/>
      <c r="E259" s="30" t="str">
        <f aca="false">IF($D259="","",IFERROR(INDEX(合同单位,MATCH($D259,合同键,0)),IFERROR(TRIM(LEFT($D259,FIND("｜",$D259)-1)),$D259)))</f>
        <v/>
      </c>
      <c r="F259" s="30" t="str">
        <f aca="false">IF($D259="","",IFERROR(INDEX(合同项目,MATCH($D259,合同键,0)),IFERROR(TRIM(MID($D259,FIND("｜",$D259)+1,99)),"")))</f>
        <v/>
      </c>
      <c r="G259" s="24"/>
      <c r="H259" s="35" t="str">
        <f aca="false">IF($G259="","",IFERROR(INDEX(费用款别,MATCH($G259,费用类别表,0)),"合同外款"))</f>
        <v/>
      </c>
      <c r="I259" s="33"/>
      <c r="J259" s="33"/>
      <c r="K259" s="39"/>
      <c r="L259" s="33"/>
      <c r="M259" s="25"/>
      <c r="N259" s="39"/>
      <c r="O259" s="35" t="str">
        <f aca="false">IF($C259="","",IF(N($N259)&lt;=0,"未开票",IF(ROUND(N($N259)-N($K259),2)&gt;=0,"已开票",IFERROR("部分开票 "&amp;TEXT(N($N259)/N($K259),"0%"),"部分开票"))))</f>
        <v/>
      </c>
      <c r="P259" s="40" t="str">
        <f aca="false">IF($C259="","",ROUND($V259+MIN($W259,MAX(0,(SUMIF(收款键,$D259,收款金额)-SUMIFS(收款金额,收款键,$D259,收款关联,"&lt;&gt;"))-($X259-$W259))),2))</f>
        <v/>
      </c>
      <c r="Q259" s="41" t="str">
        <f aca="false">IF($C259="","",ROUND(N($K259)-N($P259),2))</f>
        <v/>
      </c>
      <c r="R259" s="29" t="str">
        <f aca="false">IF($C259="","",YEAR($C259))</f>
        <v/>
      </c>
      <c r="S259" s="24"/>
      <c r="T259" s="35" t="str">
        <f aca="false">IF($C259="","",IF($D259="","★没选客户项目",IF(COUNTIF(合同键,$D259)=0,"★《维保合同》里没这个项目",IF(N($K259)&lt;=0,"★应收金额要填",IF(ROUND(N($N259)-N($K259),2)&gt;0.001,"★开票金额大于应收",IF(AND($L259&lt;&gt;"",N($N259)&lt;=0),"★填了开票日期没填开票金额",IF(AND($I259&lt;&gt;"",$J259&lt;&gt;"",$J259&lt;$I259),"★计费期间起止反了","OK")))))))</f>
        <v/>
      </c>
      <c r="U259" s="29" t="str">
        <f aca="false">IF($L259="","",YEAR($L259))</f>
        <v/>
      </c>
      <c r="V259" s="40" t="str">
        <f aca="false">IF($C259="","",ROUND(SUMIF(收款关联,$B259,收款金额),2))</f>
        <v/>
      </c>
      <c r="W259" s="40" t="str">
        <f aca="false">IF($C259="","",MAX(0,ROUND(N($K259)-N($V259),2)))</f>
        <v/>
      </c>
      <c r="X259" s="40" t="str">
        <f aca="false">IF($C259="","",ROUND(SUMIFS(应收净额,应收键,$D259,应收行号,"&lt;="&amp;ROW()),2))</f>
        <v/>
      </c>
      <c r="Y259" s="29" t="str">
        <f aca="false">IF($C259="","",ROW())</f>
        <v/>
      </c>
    </row>
    <row r="260" customFormat="false" ht="15" hidden="false" customHeight="false" outlineLevel="0" collapsed="false">
      <c r="A260" s="29" t="str">
        <f aca="false">IF($C260="","",ROW()-4)</f>
        <v/>
      </c>
      <c r="B260" s="35" t="str">
        <f aca="false">IF($C260="","","YS"&amp;TEXT($C260,"yyyymm")&amp;"-"&amp;TEXT(ROW()-4,"0000"))</f>
        <v/>
      </c>
      <c r="C260" s="33"/>
      <c r="D260" s="24"/>
      <c r="E260" s="30" t="str">
        <f aca="false">IF($D260="","",IFERROR(INDEX(合同单位,MATCH($D260,合同键,0)),IFERROR(TRIM(LEFT($D260,FIND("｜",$D260)-1)),$D260)))</f>
        <v/>
      </c>
      <c r="F260" s="30" t="str">
        <f aca="false">IF($D260="","",IFERROR(INDEX(合同项目,MATCH($D260,合同键,0)),IFERROR(TRIM(MID($D260,FIND("｜",$D260)+1,99)),"")))</f>
        <v/>
      </c>
      <c r="G260" s="24"/>
      <c r="H260" s="35" t="str">
        <f aca="false">IF($G260="","",IFERROR(INDEX(费用款别,MATCH($G260,费用类别表,0)),"合同外款"))</f>
        <v/>
      </c>
      <c r="I260" s="33"/>
      <c r="J260" s="33"/>
      <c r="K260" s="39"/>
      <c r="L260" s="33"/>
      <c r="M260" s="25"/>
      <c r="N260" s="39"/>
      <c r="O260" s="35" t="str">
        <f aca="false">IF($C260="","",IF(N($N260)&lt;=0,"未开票",IF(ROUND(N($N260)-N($K260),2)&gt;=0,"已开票",IFERROR("部分开票 "&amp;TEXT(N($N260)/N($K260),"0%"),"部分开票"))))</f>
        <v/>
      </c>
      <c r="P260" s="40" t="str">
        <f aca="false">IF($C260="","",ROUND($V260+MIN($W260,MAX(0,(SUMIF(收款键,$D260,收款金额)-SUMIFS(收款金额,收款键,$D260,收款关联,"&lt;&gt;"))-($X260-$W260))),2))</f>
        <v/>
      </c>
      <c r="Q260" s="41" t="str">
        <f aca="false">IF($C260="","",ROUND(N($K260)-N($P260),2))</f>
        <v/>
      </c>
      <c r="R260" s="29" t="str">
        <f aca="false">IF($C260="","",YEAR($C260))</f>
        <v/>
      </c>
      <c r="S260" s="24"/>
      <c r="T260" s="35" t="str">
        <f aca="false">IF($C260="","",IF($D260="","★没选客户项目",IF(COUNTIF(合同键,$D260)=0,"★《维保合同》里没这个项目",IF(N($K260)&lt;=0,"★应收金额要填",IF(ROUND(N($N260)-N($K260),2)&gt;0.001,"★开票金额大于应收",IF(AND($L260&lt;&gt;"",N($N260)&lt;=0),"★填了开票日期没填开票金额",IF(AND($I260&lt;&gt;"",$J260&lt;&gt;"",$J260&lt;$I260),"★计费期间起止反了","OK")))))))</f>
        <v/>
      </c>
      <c r="U260" s="29" t="str">
        <f aca="false">IF($L260="","",YEAR($L260))</f>
        <v/>
      </c>
      <c r="V260" s="40" t="str">
        <f aca="false">IF($C260="","",ROUND(SUMIF(收款关联,$B260,收款金额),2))</f>
        <v/>
      </c>
      <c r="W260" s="40" t="str">
        <f aca="false">IF($C260="","",MAX(0,ROUND(N($K260)-N($V260),2)))</f>
        <v/>
      </c>
      <c r="X260" s="40" t="str">
        <f aca="false">IF($C260="","",ROUND(SUMIFS(应收净额,应收键,$D260,应收行号,"&lt;="&amp;ROW()),2))</f>
        <v/>
      </c>
      <c r="Y260" s="29" t="str">
        <f aca="false">IF($C260="","",ROW())</f>
        <v/>
      </c>
    </row>
    <row r="261" customFormat="false" ht="15" hidden="false" customHeight="false" outlineLevel="0" collapsed="false">
      <c r="A261" s="29" t="str">
        <f aca="false">IF($C261="","",ROW()-4)</f>
        <v/>
      </c>
      <c r="B261" s="35" t="str">
        <f aca="false">IF($C261="","","YS"&amp;TEXT($C261,"yyyymm")&amp;"-"&amp;TEXT(ROW()-4,"0000"))</f>
        <v/>
      </c>
      <c r="C261" s="33"/>
      <c r="D261" s="24"/>
      <c r="E261" s="30" t="str">
        <f aca="false">IF($D261="","",IFERROR(INDEX(合同单位,MATCH($D261,合同键,0)),IFERROR(TRIM(LEFT($D261,FIND("｜",$D261)-1)),$D261)))</f>
        <v/>
      </c>
      <c r="F261" s="30" t="str">
        <f aca="false">IF($D261="","",IFERROR(INDEX(合同项目,MATCH($D261,合同键,0)),IFERROR(TRIM(MID($D261,FIND("｜",$D261)+1,99)),"")))</f>
        <v/>
      </c>
      <c r="G261" s="24"/>
      <c r="H261" s="35" t="str">
        <f aca="false">IF($G261="","",IFERROR(INDEX(费用款别,MATCH($G261,费用类别表,0)),"合同外款"))</f>
        <v/>
      </c>
      <c r="I261" s="33"/>
      <c r="J261" s="33"/>
      <c r="K261" s="39"/>
      <c r="L261" s="33"/>
      <c r="M261" s="25"/>
      <c r="N261" s="39"/>
      <c r="O261" s="35" t="str">
        <f aca="false">IF($C261="","",IF(N($N261)&lt;=0,"未开票",IF(ROUND(N($N261)-N($K261),2)&gt;=0,"已开票",IFERROR("部分开票 "&amp;TEXT(N($N261)/N($K261),"0%"),"部分开票"))))</f>
        <v/>
      </c>
      <c r="P261" s="40" t="str">
        <f aca="false">IF($C261="","",ROUND($V261+MIN($W261,MAX(0,(SUMIF(收款键,$D261,收款金额)-SUMIFS(收款金额,收款键,$D261,收款关联,"&lt;&gt;"))-($X261-$W261))),2))</f>
        <v/>
      </c>
      <c r="Q261" s="41" t="str">
        <f aca="false">IF($C261="","",ROUND(N($K261)-N($P261),2))</f>
        <v/>
      </c>
      <c r="R261" s="29" t="str">
        <f aca="false">IF($C261="","",YEAR($C261))</f>
        <v/>
      </c>
      <c r="S261" s="24"/>
      <c r="T261" s="35" t="str">
        <f aca="false">IF($C261="","",IF($D261="","★没选客户项目",IF(COUNTIF(合同键,$D261)=0,"★《维保合同》里没这个项目",IF(N($K261)&lt;=0,"★应收金额要填",IF(ROUND(N($N261)-N($K261),2)&gt;0.001,"★开票金额大于应收",IF(AND($L261&lt;&gt;"",N($N261)&lt;=0),"★填了开票日期没填开票金额",IF(AND($I261&lt;&gt;"",$J261&lt;&gt;"",$J261&lt;$I261),"★计费期间起止反了","OK")))))))</f>
        <v/>
      </c>
      <c r="U261" s="29" t="str">
        <f aca="false">IF($L261="","",YEAR($L261))</f>
        <v/>
      </c>
      <c r="V261" s="40" t="str">
        <f aca="false">IF($C261="","",ROUND(SUMIF(收款关联,$B261,收款金额),2))</f>
        <v/>
      </c>
      <c r="W261" s="40" t="str">
        <f aca="false">IF($C261="","",MAX(0,ROUND(N($K261)-N($V261),2)))</f>
        <v/>
      </c>
      <c r="X261" s="40" t="str">
        <f aca="false">IF($C261="","",ROUND(SUMIFS(应收净额,应收键,$D261,应收行号,"&lt;="&amp;ROW()),2))</f>
        <v/>
      </c>
      <c r="Y261" s="29" t="str">
        <f aca="false">IF($C261="","",ROW())</f>
        <v/>
      </c>
    </row>
    <row r="262" customFormat="false" ht="15" hidden="false" customHeight="false" outlineLevel="0" collapsed="false">
      <c r="A262" s="29" t="str">
        <f aca="false">IF($C262="","",ROW()-4)</f>
        <v/>
      </c>
      <c r="B262" s="35" t="str">
        <f aca="false">IF($C262="","","YS"&amp;TEXT($C262,"yyyymm")&amp;"-"&amp;TEXT(ROW()-4,"0000"))</f>
        <v/>
      </c>
      <c r="C262" s="33"/>
      <c r="D262" s="24"/>
      <c r="E262" s="30" t="str">
        <f aca="false">IF($D262="","",IFERROR(INDEX(合同单位,MATCH($D262,合同键,0)),IFERROR(TRIM(LEFT($D262,FIND("｜",$D262)-1)),$D262)))</f>
        <v/>
      </c>
      <c r="F262" s="30" t="str">
        <f aca="false">IF($D262="","",IFERROR(INDEX(合同项目,MATCH($D262,合同键,0)),IFERROR(TRIM(MID($D262,FIND("｜",$D262)+1,99)),"")))</f>
        <v/>
      </c>
      <c r="G262" s="24"/>
      <c r="H262" s="35" t="str">
        <f aca="false">IF($G262="","",IFERROR(INDEX(费用款别,MATCH($G262,费用类别表,0)),"合同外款"))</f>
        <v/>
      </c>
      <c r="I262" s="33"/>
      <c r="J262" s="33"/>
      <c r="K262" s="39"/>
      <c r="L262" s="33"/>
      <c r="M262" s="25"/>
      <c r="N262" s="39"/>
      <c r="O262" s="35" t="str">
        <f aca="false">IF($C262="","",IF(N($N262)&lt;=0,"未开票",IF(ROUND(N($N262)-N($K262),2)&gt;=0,"已开票",IFERROR("部分开票 "&amp;TEXT(N($N262)/N($K262),"0%"),"部分开票"))))</f>
        <v/>
      </c>
      <c r="P262" s="40" t="str">
        <f aca="false">IF($C262="","",ROUND($V262+MIN($W262,MAX(0,(SUMIF(收款键,$D262,收款金额)-SUMIFS(收款金额,收款键,$D262,收款关联,"&lt;&gt;"))-($X262-$W262))),2))</f>
        <v/>
      </c>
      <c r="Q262" s="41" t="str">
        <f aca="false">IF($C262="","",ROUND(N($K262)-N($P262),2))</f>
        <v/>
      </c>
      <c r="R262" s="29" t="str">
        <f aca="false">IF($C262="","",YEAR($C262))</f>
        <v/>
      </c>
      <c r="S262" s="24"/>
      <c r="T262" s="35" t="str">
        <f aca="false">IF($C262="","",IF($D262="","★没选客户项目",IF(COUNTIF(合同键,$D262)=0,"★《维保合同》里没这个项目",IF(N($K262)&lt;=0,"★应收金额要填",IF(ROUND(N($N262)-N($K262),2)&gt;0.001,"★开票金额大于应收",IF(AND($L262&lt;&gt;"",N($N262)&lt;=0),"★填了开票日期没填开票金额",IF(AND($I262&lt;&gt;"",$J262&lt;&gt;"",$J262&lt;$I262),"★计费期间起止反了","OK")))))))</f>
        <v/>
      </c>
      <c r="U262" s="29" t="str">
        <f aca="false">IF($L262="","",YEAR($L262))</f>
        <v/>
      </c>
      <c r="V262" s="40" t="str">
        <f aca="false">IF($C262="","",ROUND(SUMIF(收款关联,$B262,收款金额),2))</f>
        <v/>
      </c>
      <c r="W262" s="40" t="str">
        <f aca="false">IF($C262="","",MAX(0,ROUND(N($K262)-N($V262),2)))</f>
        <v/>
      </c>
      <c r="X262" s="40" t="str">
        <f aca="false">IF($C262="","",ROUND(SUMIFS(应收净额,应收键,$D262,应收行号,"&lt;="&amp;ROW()),2))</f>
        <v/>
      </c>
      <c r="Y262" s="29" t="str">
        <f aca="false">IF($C262="","",ROW())</f>
        <v/>
      </c>
    </row>
    <row r="263" customFormat="false" ht="15" hidden="false" customHeight="false" outlineLevel="0" collapsed="false">
      <c r="A263" s="29" t="str">
        <f aca="false">IF($C263="","",ROW()-4)</f>
        <v/>
      </c>
      <c r="B263" s="35" t="str">
        <f aca="false">IF($C263="","","YS"&amp;TEXT($C263,"yyyymm")&amp;"-"&amp;TEXT(ROW()-4,"0000"))</f>
        <v/>
      </c>
      <c r="C263" s="33"/>
      <c r="D263" s="24"/>
      <c r="E263" s="30" t="str">
        <f aca="false">IF($D263="","",IFERROR(INDEX(合同单位,MATCH($D263,合同键,0)),IFERROR(TRIM(LEFT($D263,FIND("｜",$D263)-1)),$D263)))</f>
        <v/>
      </c>
      <c r="F263" s="30" t="str">
        <f aca="false">IF($D263="","",IFERROR(INDEX(合同项目,MATCH($D263,合同键,0)),IFERROR(TRIM(MID($D263,FIND("｜",$D263)+1,99)),"")))</f>
        <v/>
      </c>
      <c r="G263" s="24"/>
      <c r="H263" s="35" t="str">
        <f aca="false">IF($G263="","",IFERROR(INDEX(费用款别,MATCH($G263,费用类别表,0)),"合同外款"))</f>
        <v/>
      </c>
      <c r="I263" s="33"/>
      <c r="J263" s="33"/>
      <c r="K263" s="39"/>
      <c r="L263" s="33"/>
      <c r="M263" s="25"/>
      <c r="N263" s="39"/>
      <c r="O263" s="35" t="str">
        <f aca="false">IF($C263="","",IF(N($N263)&lt;=0,"未开票",IF(ROUND(N($N263)-N($K263),2)&gt;=0,"已开票",IFERROR("部分开票 "&amp;TEXT(N($N263)/N($K263),"0%"),"部分开票"))))</f>
        <v/>
      </c>
      <c r="P263" s="40" t="str">
        <f aca="false">IF($C263="","",ROUND($V263+MIN($W263,MAX(0,(SUMIF(收款键,$D263,收款金额)-SUMIFS(收款金额,收款键,$D263,收款关联,"&lt;&gt;"))-($X263-$W263))),2))</f>
        <v/>
      </c>
      <c r="Q263" s="41" t="str">
        <f aca="false">IF($C263="","",ROUND(N($K263)-N($P263),2))</f>
        <v/>
      </c>
      <c r="R263" s="29" t="str">
        <f aca="false">IF($C263="","",YEAR($C263))</f>
        <v/>
      </c>
      <c r="S263" s="24"/>
      <c r="T263" s="35" t="str">
        <f aca="false">IF($C263="","",IF($D263="","★没选客户项目",IF(COUNTIF(合同键,$D263)=0,"★《维保合同》里没这个项目",IF(N($K263)&lt;=0,"★应收金额要填",IF(ROUND(N($N263)-N($K263),2)&gt;0.001,"★开票金额大于应收",IF(AND($L263&lt;&gt;"",N($N263)&lt;=0),"★填了开票日期没填开票金额",IF(AND($I263&lt;&gt;"",$J263&lt;&gt;"",$J263&lt;$I263),"★计费期间起止反了","OK")))))))</f>
        <v/>
      </c>
      <c r="U263" s="29" t="str">
        <f aca="false">IF($L263="","",YEAR($L263))</f>
        <v/>
      </c>
      <c r="V263" s="40" t="str">
        <f aca="false">IF($C263="","",ROUND(SUMIF(收款关联,$B263,收款金额),2))</f>
        <v/>
      </c>
      <c r="W263" s="40" t="str">
        <f aca="false">IF($C263="","",MAX(0,ROUND(N($K263)-N($V263),2)))</f>
        <v/>
      </c>
      <c r="X263" s="40" t="str">
        <f aca="false">IF($C263="","",ROUND(SUMIFS(应收净额,应收键,$D263,应收行号,"&lt;="&amp;ROW()),2))</f>
        <v/>
      </c>
      <c r="Y263" s="29" t="str">
        <f aca="false">IF($C263="","",ROW())</f>
        <v/>
      </c>
    </row>
    <row r="264" customFormat="false" ht="15" hidden="false" customHeight="false" outlineLevel="0" collapsed="false">
      <c r="A264" s="29" t="str">
        <f aca="false">IF($C264="","",ROW()-4)</f>
        <v/>
      </c>
      <c r="B264" s="35" t="str">
        <f aca="false">IF($C264="","","YS"&amp;TEXT($C264,"yyyymm")&amp;"-"&amp;TEXT(ROW()-4,"0000"))</f>
        <v/>
      </c>
      <c r="C264" s="33"/>
      <c r="D264" s="24"/>
      <c r="E264" s="30" t="str">
        <f aca="false">IF($D264="","",IFERROR(INDEX(合同单位,MATCH($D264,合同键,0)),IFERROR(TRIM(LEFT($D264,FIND("｜",$D264)-1)),$D264)))</f>
        <v/>
      </c>
      <c r="F264" s="30" t="str">
        <f aca="false">IF($D264="","",IFERROR(INDEX(合同项目,MATCH($D264,合同键,0)),IFERROR(TRIM(MID($D264,FIND("｜",$D264)+1,99)),"")))</f>
        <v/>
      </c>
      <c r="G264" s="24"/>
      <c r="H264" s="35" t="str">
        <f aca="false">IF($G264="","",IFERROR(INDEX(费用款别,MATCH($G264,费用类别表,0)),"合同外款"))</f>
        <v/>
      </c>
      <c r="I264" s="33"/>
      <c r="J264" s="33"/>
      <c r="K264" s="39"/>
      <c r="L264" s="33"/>
      <c r="M264" s="25"/>
      <c r="N264" s="39"/>
      <c r="O264" s="35" t="str">
        <f aca="false">IF($C264="","",IF(N($N264)&lt;=0,"未开票",IF(ROUND(N($N264)-N($K264),2)&gt;=0,"已开票",IFERROR("部分开票 "&amp;TEXT(N($N264)/N($K264),"0%"),"部分开票"))))</f>
        <v/>
      </c>
      <c r="P264" s="40" t="str">
        <f aca="false">IF($C264="","",ROUND($V264+MIN($W264,MAX(0,(SUMIF(收款键,$D264,收款金额)-SUMIFS(收款金额,收款键,$D264,收款关联,"&lt;&gt;"))-($X264-$W264))),2))</f>
        <v/>
      </c>
      <c r="Q264" s="41" t="str">
        <f aca="false">IF($C264="","",ROUND(N($K264)-N($P264),2))</f>
        <v/>
      </c>
      <c r="R264" s="29" t="str">
        <f aca="false">IF($C264="","",YEAR($C264))</f>
        <v/>
      </c>
      <c r="S264" s="24"/>
      <c r="T264" s="35" t="str">
        <f aca="false">IF($C264="","",IF($D264="","★没选客户项目",IF(COUNTIF(合同键,$D264)=0,"★《维保合同》里没这个项目",IF(N($K264)&lt;=0,"★应收金额要填",IF(ROUND(N($N264)-N($K264),2)&gt;0.001,"★开票金额大于应收",IF(AND($L264&lt;&gt;"",N($N264)&lt;=0),"★填了开票日期没填开票金额",IF(AND($I264&lt;&gt;"",$J264&lt;&gt;"",$J264&lt;$I264),"★计费期间起止反了","OK")))))))</f>
        <v/>
      </c>
      <c r="U264" s="29" t="str">
        <f aca="false">IF($L264="","",YEAR($L264))</f>
        <v/>
      </c>
      <c r="V264" s="40" t="str">
        <f aca="false">IF($C264="","",ROUND(SUMIF(收款关联,$B264,收款金额),2))</f>
        <v/>
      </c>
      <c r="W264" s="40" t="str">
        <f aca="false">IF($C264="","",MAX(0,ROUND(N($K264)-N($V264),2)))</f>
        <v/>
      </c>
      <c r="X264" s="40" t="str">
        <f aca="false">IF($C264="","",ROUND(SUMIFS(应收净额,应收键,$D264,应收行号,"&lt;="&amp;ROW()),2))</f>
        <v/>
      </c>
      <c r="Y264" s="29" t="str">
        <f aca="false">IF($C264="","",ROW())</f>
        <v/>
      </c>
    </row>
    <row r="265" customFormat="false" ht="15" hidden="false" customHeight="false" outlineLevel="0" collapsed="false">
      <c r="A265" s="29" t="str">
        <f aca="false">IF($C265="","",ROW()-4)</f>
        <v/>
      </c>
      <c r="B265" s="35" t="str">
        <f aca="false">IF($C265="","","YS"&amp;TEXT($C265,"yyyymm")&amp;"-"&amp;TEXT(ROW()-4,"0000"))</f>
        <v/>
      </c>
      <c r="C265" s="33"/>
      <c r="D265" s="24"/>
      <c r="E265" s="30" t="str">
        <f aca="false">IF($D265="","",IFERROR(INDEX(合同单位,MATCH($D265,合同键,0)),IFERROR(TRIM(LEFT($D265,FIND("｜",$D265)-1)),$D265)))</f>
        <v/>
      </c>
      <c r="F265" s="30" t="str">
        <f aca="false">IF($D265="","",IFERROR(INDEX(合同项目,MATCH($D265,合同键,0)),IFERROR(TRIM(MID($D265,FIND("｜",$D265)+1,99)),"")))</f>
        <v/>
      </c>
      <c r="G265" s="24"/>
      <c r="H265" s="35" t="str">
        <f aca="false">IF($G265="","",IFERROR(INDEX(费用款别,MATCH($G265,费用类别表,0)),"合同外款"))</f>
        <v/>
      </c>
      <c r="I265" s="33"/>
      <c r="J265" s="33"/>
      <c r="K265" s="39"/>
      <c r="L265" s="33"/>
      <c r="M265" s="25"/>
      <c r="N265" s="39"/>
      <c r="O265" s="35" t="str">
        <f aca="false">IF($C265="","",IF(N($N265)&lt;=0,"未开票",IF(ROUND(N($N265)-N($K265),2)&gt;=0,"已开票",IFERROR("部分开票 "&amp;TEXT(N($N265)/N($K265),"0%"),"部分开票"))))</f>
        <v/>
      </c>
      <c r="P265" s="40" t="str">
        <f aca="false">IF($C265="","",ROUND($V265+MIN($W265,MAX(0,(SUMIF(收款键,$D265,收款金额)-SUMIFS(收款金额,收款键,$D265,收款关联,"&lt;&gt;"))-($X265-$W265))),2))</f>
        <v/>
      </c>
      <c r="Q265" s="41" t="str">
        <f aca="false">IF($C265="","",ROUND(N($K265)-N($P265),2))</f>
        <v/>
      </c>
      <c r="R265" s="29" t="str">
        <f aca="false">IF($C265="","",YEAR($C265))</f>
        <v/>
      </c>
      <c r="S265" s="24"/>
      <c r="T265" s="35" t="str">
        <f aca="false">IF($C265="","",IF($D265="","★没选客户项目",IF(COUNTIF(合同键,$D265)=0,"★《维保合同》里没这个项目",IF(N($K265)&lt;=0,"★应收金额要填",IF(ROUND(N($N265)-N($K265),2)&gt;0.001,"★开票金额大于应收",IF(AND($L265&lt;&gt;"",N($N265)&lt;=0),"★填了开票日期没填开票金额",IF(AND($I265&lt;&gt;"",$J265&lt;&gt;"",$J265&lt;$I265),"★计费期间起止反了","OK")))))))</f>
        <v/>
      </c>
      <c r="U265" s="29" t="str">
        <f aca="false">IF($L265="","",YEAR($L265))</f>
        <v/>
      </c>
      <c r="V265" s="40" t="str">
        <f aca="false">IF($C265="","",ROUND(SUMIF(收款关联,$B265,收款金额),2))</f>
        <v/>
      </c>
      <c r="W265" s="40" t="str">
        <f aca="false">IF($C265="","",MAX(0,ROUND(N($K265)-N($V265),2)))</f>
        <v/>
      </c>
      <c r="X265" s="40" t="str">
        <f aca="false">IF($C265="","",ROUND(SUMIFS(应收净额,应收键,$D265,应收行号,"&lt;="&amp;ROW()),2))</f>
        <v/>
      </c>
      <c r="Y265" s="29" t="str">
        <f aca="false">IF($C265="","",ROW())</f>
        <v/>
      </c>
    </row>
    <row r="266" customFormat="false" ht="15" hidden="false" customHeight="false" outlineLevel="0" collapsed="false">
      <c r="A266" s="29" t="str">
        <f aca="false">IF($C266="","",ROW()-4)</f>
        <v/>
      </c>
      <c r="B266" s="35" t="str">
        <f aca="false">IF($C266="","","YS"&amp;TEXT($C266,"yyyymm")&amp;"-"&amp;TEXT(ROW()-4,"0000"))</f>
        <v/>
      </c>
      <c r="C266" s="33"/>
      <c r="D266" s="24"/>
      <c r="E266" s="30" t="str">
        <f aca="false">IF($D266="","",IFERROR(INDEX(合同单位,MATCH($D266,合同键,0)),IFERROR(TRIM(LEFT($D266,FIND("｜",$D266)-1)),$D266)))</f>
        <v/>
      </c>
      <c r="F266" s="30" t="str">
        <f aca="false">IF($D266="","",IFERROR(INDEX(合同项目,MATCH($D266,合同键,0)),IFERROR(TRIM(MID($D266,FIND("｜",$D266)+1,99)),"")))</f>
        <v/>
      </c>
      <c r="G266" s="24"/>
      <c r="H266" s="35" t="str">
        <f aca="false">IF($G266="","",IFERROR(INDEX(费用款别,MATCH($G266,费用类别表,0)),"合同外款"))</f>
        <v/>
      </c>
      <c r="I266" s="33"/>
      <c r="J266" s="33"/>
      <c r="K266" s="39"/>
      <c r="L266" s="33"/>
      <c r="M266" s="25"/>
      <c r="N266" s="39"/>
      <c r="O266" s="35" t="str">
        <f aca="false">IF($C266="","",IF(N($N266)&lt;=0,"未开票",IF(ROUND(N($N266)-N($K266),2)&gt;=0,"已开票",IFERROR("部分开票 "&amp;TEXT(N($N266)/N($K266),"0%"),"部分开票"))))</f>
        <v/>
      </c>
      <c r="P266" s="40" t="str">
        <f aca="false">IF($C266="","",ROUND($V266+MIN($W266,MAX(0,(SUMIF(收款键,$D266,收款金额)-SUMIFS(收款金额,收款键,$D266,收款关联,"&lt;&gt;"))-($X266-$W266))),2))</f>
        <v/>
      </c>
      <c r="Q266" s="41" t="str">
        <f aca="false">IF($C266="","",ROUND(N($K266)-N($P266),2))</f>
        <v/>
      </c>
      <c r="R266" s="29" t="str">
        <f aca="false">IF($C266="","",YEAR($C266))</f>
        <v/>
      </c>
      <c r="S266" s="24"/>
      <c r="T266" s="35" t="str">
        <f aca="false">IF($C266="","",IF($D266="","★没选客户项目",IF(COUNTIF(合同键,$D266)=0,"★《维保合同》里没这个项目",IF(N($K266)&lt;=0,"★应收金额要填",IF(ROUND(N($N266)-N($K266),2)&gt;0.001,"★开票金额大于应收",IF(AND($L266&lt;&gt;"",N($N266)&lt;=0),"★填了开票日期没填开票金额",IF(AND($I266&lt;&gt;"",$J266&lt;&gt;"",$J266&lt;$I266),"★计费期间起止反了","OK")))))))</f>
        <v/>
      </c>
      <c r="U266" s="29" t="str">
        <f aca="false">IF($L266="","",YEAR($L266))</f>
        <v/>
      </c>
      <c r="V266" s="40" t="str">
        <f aca="false">IF($C266="","",ROUND(SUMIF(收款关联,$B266,收款金额),2))</f>
        <v/>
      </c>
      <c r="W266" s="40" t="str">
        <f aca="false">IF($C266="","",MAX(0,ROUND(N($K266)-N($V266),2)))</f>
        <v/>
      </c>
      <c r="X266" s="40" t="str">
        <f aca="false">IF($C266="","",ROUND(SUMIFS(应收净额,应收键,$D266,应收行号,"&lt;="&amp;ROW()),2))</f>
        <v/>
      </c>
      <c r="Y266" s="29" t="str">
        <f aca="false">IF($C266="","",ROW())</f>
        <v/>
      </c>
    </row>
    <row r="267" customFormat="false" ht="15" hidden="false" customHeight="false" outlineLevel="0" collapsed="false">
      <c r="A267" s="29" t="str">
        <f aca="false">IF($C267="","",ROW()-4)</f>
        <v/>
      </c>
      <c r="B267" s="35" t="str">
        <f aca="false">IF($C267="","","YS"&amp;TEXT($C267,"yyyymm")&amp;"-"&amp;TEXT(ROW()-4,"0000"))</f>
        <v/>
      </c>
      <c r="C267" s="33"/>
      <c r="D267" s="24"/>
      <c r="E267" s="30" t="str">
        <f aca="false">IF($D267="","",IFERROR(INDEX(合同单位,MATCH($D267,合同键,0)),IFERROR(TRIM(LEFT($D267,FIND("｜",$D267)-1)),$D267)))</f>
        <v/>
      </c>
      <c r="F267" s="30" t="str">
        <f aca="false">IF($D267="","",IFERROR(INDEX(合同项目,MATCH($D267,合同键,0)),IFERROR(TRIM(MID($D267,FIND("｜",$D267)+1,99)),"")))</f>
        <v/>
      </c>
      <c r="G267" s="24"/>
      <c r="H267" s="35" t="str">
        <f aca="false">IF($G267="","",IFERROR(INDEX(费用款别,MATCH($G267,费用类别表,0)),"合同外款"))</f>
        <v/>
      </c>
      <c r="I267" s="33"/>
      <c r="J267" s="33"/>
      <c r="K267" s="39"/>
      <c r="L267" s="33"/>
      <c r="M267" s="25"/>
      <c r="N267" s="39"/>
      <c r="O267" s="35" t="str">
        <f aca="false">IF($C267="","",IF(N($N267)&lt;=0,"未开票",IF(ROUND(N($N267)-N($K267),2)&gt;=0,"已开票",IFERROR("部分开票 "&amp;TEXT(N($N267)/N($K267),"0%"),"部分开票"))))</f>
        <v/>
      </c>
      <c r="P267" s="40" t="str">
        <f aca="false">IF($C267="","",ROUND($V267+MIN($W267,MAX(0,(SUMIF(收款键,$D267,收款金额)-SUMIFS(收款金额,收款键,$D267,收款关联,"&lt;&gt;"))-($X267-$W267))),2))</f>
        <v/>
      </c>
      <c r="Q267" s="41" t="str">
        <f aca="false">IF($C267="","",ROUND(N($K267)-N($P267),2))</f>
        <v/>
      </c>
      <c r="R267" s="29" t="str">
        <f aca="false">IF($C267="","",YEAR($C267))</f>
        <v/>
      </c>
      <c r="S267" s="24"/>
      <c r="T267" s="35" t="str">
        <f aca="false">IF($C267="","",IF($D267="","★没选客户项目",IF(COUNTIF(合同键,$D267)=0,"★《维保合同》里没这个项目",IF(N($K267)&lt;=0,"★应收金额要填",IF(ROUND(N($N267)-N($K267),2)&gt;0.001,"★开票金额大于应收",IF(AND($L267&lt;&gt;"",N($N267)&lt;=0),"★填了开票日期没填开票金额",IF(AND($I267&lt;&gt;"",$J267&lt;&gt;"",$J267&lt;$I267),"★计费期间起止反了","OK")))))))</f>
        <v/>
      </c>
      <c r="U267" s="29" t="str">
        <f aca="false">IF($L267="","",YEAR($L267))</f>
        <v/>
      </c>
      <c r="V267" s="40" t="str">
        <f aca="false">IF($C267="","",ROUND(SUMIF(收款关联,$B267,收款金额),2))</f>
        <v/>
      </c>
      <c r="W267" s="40" t="str">
        <f aca="false">IF($C267="","",MAX(0,ROUND(N($K267)-N($V267),2)))</f>
        <v/>
      </c>
      <c r="X267" s="40" t="str">
        <f aca="false">IF($C267="","",ROUND(SUMIFS(应收净额,应收键,$D267,应收行号,"&lt;="&amp;ROW()),2))</f>
        <v/>
      </c>
      <c r="Y267" s="29" t="str">
        <f aca="false">IF($C267="","",ROW())</f>
        <v/>
      </c>
    </row>
    <row r="268" customFormat="false" ht="15" hidden="false" customHeight="false" outlineLevel="0" collapsed="false">
      <c r="A268" s="29" t="str">
        <f aca="false">IF($C268="","",ROW()-4)</f>
        <v/>
      </c>
      <c r="B268" s="35" t="str">
        <f aca="false">IF($C268="","","YS"&amp;TEXT($C268,"yyyymm")&amp;"-"&amp;TEXT(ROW()-4,"0000"))</f>
        <v/>
      </c>
      <c r="C268" s="33"/>
      <c r="D268" s="24"/>
      <c r="E268" s="30" t="str">
        <f aca="false">IF($D268="","",IFERROR(INDEX(合同单位,MATCH($D268,合同键,0)),IFERROR(TRIM(LEFT($D268,FIND("｜",$D268)-1)),$D268)))</f>
        <v/>
      </c>
      <c r="F268" s="30" t="str">
        <f aca="false">IF($D268="","",IFERROR(INDEX(合同项目,MATCH($D268,合同键,0)),IFERROR(TRIM(MID($D268,FIND("｜",$D268)+1,99)),"")))</f>
        <v/>
      </c>
      <c r="G268" s="24"/>
      <c r="H268" s="35" t="str">
        <f aca="false">IF($G268="","",IFERROR(INDEX(费用款别,MATCH($G268,费用类别表,0)),"合同外款"))</f>
        <v/>
      </c>
      <c r="I268" s="33"/>
      <c r="J268" s="33"/>
      <c r="K268" s="39"/>
      <c r="L268" s="33"/>
      <c r="M268" s="25"/>
      <c r="N268" s="39"/>
      <c r="O268" s="35" t="str">
        <f aca="false">IF($C268="","",IF(N($N268)&lt;=0,"未开票",IF(ROUND(N($N268)-N($K268),2)&gt;=0,"已开票",IFERROR("部分开票 "&amp;TEXT(N($N268)/N($K268),"0%"),"部分开票"))))</f>
        <v/>
      </c>
      <c r="P268" s="40" t="str">
        <f aca="false">IF($C268="","",ROUND($V268+MIN($W268,MAX(0,(SUMIF(收款键,$D268,收款金额)-SUMIFS(收款金额,收款键,$D268,收款关联,"&lt;&gt;"))-($X268-$W268))),2))</f>
        <v/>
      </c>
      <c r="Q268" s="41" t="str">
        <f aca="false">IF($C268="","",ROUND(N($K268)-N($P268),2))</f>
        <v/>
      </c>
      <c r="R268" s="29" t="str">
        <f aca="false">IF($C268="","",YEAR($C268))</f>
        <v/>
      </c>
      <c r="S268" s="24"/>
      <c r="T268" s="35" t="str">
        <f aca="false">IF($C268="","",IF($D268="","★没选客户项目",IF(COUNTIF(合同键,$D268)=0,"★《维保合同》里没这个项目",IF(N($K268)&lt;=0,"★应收金额要填",IF(ROUND(N($N268)-N($K268),2)&gt;0.001,"★开票金额大于应收",IF(AND($L268&lt;&gt;"",N($N268)&lt;=0),"★填了开票日期没填开票金额",IF(AND($I268&lt;&gt;"",$J268&lt;&gt;"",$J268&lt;$I268),"★计费期间起止反了","OK")))))))</f>
        <v/>
      </c>
      <c r="U268" s="29" t="str">
        <f aca="false">IF($L268="","",YEAR($L268))</f>
        <v/>
      </c>
      <c r="V268" s="40" t="str">
        <f aca="false">IF($C268="","",ROUND(SUMIF(收款关联,$B268,收款金额),2))</f>
        <v/>
      </c>
      <c r="W268" s="40" t="str">
        <f aca="false">IF($C268="","",MAX(0,ROUND(N($K268)-N($V268),2)))</f>
        <v/>
      </c>
      <c r="X268" s="40" t="str">
        <f aca="false">IF($C268="","",ROUND(SUMIFS(应收净额,应收键,$D268,应收行号,"&lt;="&amp;ROW()),2))</f>
        <v/>
      </c>
      <c r="Y268" s="29" t="str">
        <f aca="false">IF($C268="","",ROW())</f>
        <v/>
      </c>
    </row>
    <row r="269" customFormat="false" ht="15" hidden="false" customHeight="false" outlineLevel="0" collapsed="false">
      <c r="A269" s="29" t="str">
        <f aca="false">IF($C269="","",ROW()-4)</f>
        <v/>
      </c>
      <c r="B269" s="35" t="str">
        <f aca="false">IF($C269="","","YS"&amp;TEXT($C269,"yyyymm")&amp;"-"&amp;TEXT(ROW()-4,"0000"))</f>
        <v/>
      </c>
      <c r="C269" s="33"/>
      <c r="D269" s="24"/>
      <c r="E269" s="30" t="str">
        <f aca="false">IF($D269="","",IFERROR(INDEX(合同单位,MATCH($D269,合同键,0)),IFERROR(TRIM(LEFT($D269,FIND("｜",$D269)-1)),$D269)))</f>
        <v/>
      </c>
      <c r="F269" s="30" t="str">
        <f aca="false">IF($D269="","",IFERROR(INDEX(合同项目,MATCH($D269,合同键,0)),IFERROR(TRIM(MID($D269,FIND("｜",$D269)+1,99)),"")))</f>
        <v/>
      </c>
      <c r="G269" s="24"/>
      <c r="H269" s="35" t="str">
        <f aca="false">IF($G269="","",IFERROR(INDEX(费用款别,MATCH($G269,费用类别表,0)),"合同外款"))</f>
        <v/>
      </c>
      <c r="I269" s="33"/>
      <c r="J269" s="33"/>
      <c r="K269" s="39"/>
      <c r="L269" s="33"/>
      <c r="M269" s="25"/>
      <c r="N269" s="39"/>
      <c r="O269" s="35" t="str">
        <f aca="false">IF($C269="","",IF(N($N269)&lt;=0,"未开票",IF(ROUND(N($N269)-N($K269),2)&gt;=0,"已开票",IFERROR("部分开票 "&amp;TEXT(N($N269)/N($K269),"0%"),"部分开票"))))</f>
        <v/>
      </c>
      <c r="P269" s="40" t="str">
        <f aca="false">IF($C269="","",ROUND($V269+MIN($W269,MAX(0,(SUMIF(收款键,$D269,收款金额)-SUMIFS(收款金额,收款键,$D269,收款关联,"&lt;&gt;"))-($X269-$W269))),2))</f>
        <v/>
      </c>
      <c r="Q269" s="41" t="str">
        <f aca="false">IF($C269="","",ROUND(N($K269)-N($P269),2))</f>
        <v/>
      </c>
      <c r="R269" s="29" t="str">
        <f aca="false">IF($C269="","",YEAR($C269))</f>
        <v/>
      </c>
      <c r="S269" s="24"/>
      <c r="T269" s="35" t="str">
        <f aca="false">IF($C269="","",IF($D269="","★没选客户项目",IF(COUNTIF(合同键,$D269)=0,"★《维保合同》里没这个项目",IF(N($K269)&lt;=0,"★应收金额要填",IF(ROUND(N($N269)-N($K269),2)&gt;0.001,"★开票金额大于应收",IF(AND($L269&lt;&gt;"",N($N269)&lt;=0),"★填了开票日期没填开票金额",IF(AND($I269&lt;&gt;"",$J269&lt;&gt;"",$J269&lt;$I269),"★计费期间起止反了","OK")))))))</f>
        <v/>
      </c>
      <c r="U269" s="29" t="str">
        <f aca="false">IF($L269="","",YEAR($L269))</f>
        <v/>
      </c>
      <c r="V269" s="40" t="str">
        <f aca="false">IF($C269="","",ROUND(SUMIF(收款关联,$B269,收款金额),2))</f>
        <v/>
      </c>
      <c r="W269" s="40" t="str">
        <f aca="false">IF($C269="","",MAX(0,ROUND(N($K269)-N($V269),2)))</f>
        <v/>
      </c>
      <c r="X269" s="40" t="str">
        <f aca="false">IF($C269="","",ROUND(SUMIFS(应收净额,应收键,$D269,应收行号,"&lt;="&amp;ROW()),2))</f>
        <v/>
      </c>
      <c r="Y269" s="29" t="str">
        <f aca="false">IF($C269="","",ROW())</f>
        <v/>
      </c>
    </row>
    <row r="270" customFormat="false" ht="15" hidden="false" customHeight="false" outlineLevel="0" collapsed="false">
      <c r="A270" s="29" t="str">
        <f aca="false">IF($C270="","",ROW()-4)</f>
        <v/>
      </c>
      <c r="B270" s="35" t="str">
        <f aca="false">IF($C270="","","YS"&amp;TEXT($C270,"yyyymm")&amp;"-"&amp;TEXT(ROW()-4,"0000"))</f>
        <v/>
      </c>
      <c r="C270" s="33"/>
      <c r="D270" s="24"/>
      <c r="E270" s="30" t="str">
        <f aca="false">IF($D270="","",IFERROR(INDEX(合同单位,MATCH($D270,合同键,0)),IFERROR(TRIM(LEFT($D270,FIND("｜",$D270)-1)),$D270)))</f>
        <v/>
      </c>
      <c r="F270" s="30" t="str">
        <f aca="false">IF($D270="","",IFERROR(INDEX(合同项目,MATCH($D270,合同键,0)),IFERROR(TRIM(MID($D270,FIND("｜",$D270)+1,99)),"")))</f>
        <v/>
      </c>
      <c r="G270" s="24"/>
      <c r="H270" s="35" t="str">
        <f aca="false">IF($G270="","",IFERROR(INDEX(费用款别,MATCH($G270,费用类别表,0)),"合同外款"))</f>
        <v/>
      </c>
      <c r="I270" s="33"/>
      <c r="J270" s="33"/>
      <c r="K270" s="39"/>
      <c r="L270" s="33"/>
      <c r="M270" s="25"/>
      <c r="N270" s="39"/>
      <c r="O270" s="35" t="str">
        <f aca="false">IF($C270="","",IF(N($N270)&lt;=0,"未开票",IF(ROUND(N($N270)-N($K270),2)&gt;=0,"已开票",IFERROR("部分开票 "&amp;TEXT(N($N270)/N($K270),"0%"),"部分开票"))))</f>
        <v/>
      </c>
      <c r="P270" s="40" t="str">
        <f aca="false">IF($C270="","",ROUND($V270+MIN($W270,MAX(0,(SUMIF(收款键,$D270,收款金额)-SUMIFS(收款金额,收款键,$D270,收款关联,"&lt;&gt;"))-($X270-$W270))),2))</f>
        <v/>
      </c>
      <c r="Q270" s="41" t="str">
        <f aca="false">IF($C270="","",ROUND(N($K270)-N($P270),2))</f>
        <v/>
      </c>
      <c r="R270" s="29" t="str">
        <f aca="false">IF($C270="","",YEAR($C270))</f>
        <v/>
      </c>
      <c r="S270" s="24"/>
      <c r="T270" s="35" t="str">
        <f aca="false">IF($C270="","",IF($D270="","★没选客户项目",IF(COUNTIF(合同键,$D270)=0,"★《维保合同》里没这个项目",IF(N($K270)&lt;=0,"★应收金额要填",IF(ROUND(N($N270)-N($K270),2)&gt;0.001,"★开票金额大于应收",IF(AND($L270&lt;&gt;"",N($N270)&lt;=0),"★填了开票日期没填开票金额",IF(AND($I270&lt;&gt;"",$J270&lt;&gt;"",$J270&lt;$I270),"★计费期间起止反了","OK")))))))</f>
        <v/>
      </c>
      <c r="U270" s="29" t="str">
        <f aca="false">IF($L270="","",YEAR($L270))</f>
        <v/>
      </c>
      <c r="V270" s="40" t="str">
        <f aca="false">IF($C270="","",ROUND(SUMIF(收款关联,$B270,收款金额),2))</f>
        <v/>
      </c>
      <c r="W270" s="40" t="str">
        <f aca="false">IF($C270="","",MAX(0,ROUND(N($K270)-N($V270),2)))</f>
        <v/>
      </c>
      <c r="X270" s="40" t="str">
        <f aca="false">IF($C270="","",ROUND(SUMIFS(应收净额,应收键,$D270,应收行号,"&lt;="&amp;ROW()),2))</f>
        <v/>
      </c>
      <c r="Y270" s="29" t="str">
        <f aca="false">IF($C270="","",ROW())</f>
        <v/>
      </c>
    </row>
    <row r="271" customFormat="false" ht="15" hidden="false" customHeight="false" outlineLevel="0" collapsed="false">
      <c r="A271" s="29" t="str">
        <f aca="false">IF($C271="","",ROW()-4)</f>
        <v/>
      </c>
      <c r="B271" s="35" t="str">
        <f aca="false">IF($C271="","","YS"&amp;TEXT($C271,"yyyymm")&amp;"-"&amp;TEXT(ROW()-4,"0000"))</f>
        <v/>
      </c>
      <c r="C271" s="33"/>
      <c r="D271" s="24"/>
      <c r="E271" s="30" t="str">
        <f aca="false">IF($D271="","",IFERROR(INDEX(合同单位,MATCH($D271,合同键,0)),IFERROR(TRIM(LEFT($D271,FIND("｜",$D271)-1)),$D271)))</f>
        <v/>
      </c>
      <c r="F271" s="30" t="str">
        <f aca="false">IF($D271="","",IFERROR(INDEX(合同项目,MATCH($D271,合同键,0)),IFERROR(TRIM(MID($D271,FIND("｜",$D271)+1,99)),"")))</f>
        <v/>
      </c>
      <c r="G271" s="24"/>
      <c r="H271" s="35" t="str">
        <f aca="false">IF($G271="","",IFERROR(INDEX(费用款别,MATCH($G271,费用类别表,0)),"合同外款"))</f>
        <v/>
      </c>
      <c r="I271" s="33"/>
      <c r="J271" s="33"/>
      <c r="K271" s="39"/>
      <c r="L271" s="33"/>
      <c r="M271" s="25"/>
      <c r="N271" s="39"/>
      <c r="O271" s="35" t="str">
        <f aca="false">IF($C271="","",IF(N($N271)&lt;=0,"未开票",IF(ROUND(N($N271)-N($K271),2)&gt;=0,"已开票",IFERROR("部分开票 "&amp;TEXT(N($N271)/N($K271),"0%"),"部分开票"))))</f>
        <v/>
      </c>
      <c r="P271" s="40" t="str">
        <f aca="false">IF($C271="","",ROUND($V271+MIN($W271,MAX(0,(SUMIF(收款键,$D271,收款金额)-SUMIFS(收款金额,收款键,$D271,收款关联,"&lt;&gt;"))-($X271-$W271))),2))</f>
        <v/>
      </c>
      <c r="Q271" s="41" t="str">
        <f aca="false">IF($C271="","",ROUND(N($K271)-N($P271),2))</f>
        <v/>
      </c>
      <c r="R271" s="29" t="str">
        <f aca="false">IF($C271="","",YEAR($C271))</f>
        <v/>
      </c>
      <c r="S271" s="24"/>
      <c r="T271" s="35" t="str">
        <f aca="false">IF($C271="","",IF($D271="","★没选客户项目",IF(COUNTIF(合同键,$D271)=0,"★《维保合同》里没这个项目",IF(N($K271)&lt;=0,"★应收金额要填",IF(ROUND(N($N271)-N($K271),2)&gt;0.001,"★开票金额大于应收",IF(AND($L271&lt;&gt;"",N($N271)&lt;=0),"★填了开票日期没填开票金额",IF(AND($I271&lt;&gt;"",$J271&lt;&gt;"",$J271&lt;$I271),"★计费期间起止反了","OK")))))))</f>
        <v/>
      </c>
      <c r="U271" s="29" t="str">
        <f aca="false">IF($L271="","",YEAR($L271))</f>
        <v/>
      </c>
      <c r="V271" s="40" t="str">
        <f aca="false">IF($C271="","",ROUND(SUMIF(收款关联,$B271,收款金额),2))</f>
        <v/>
      </c>
      <c r="W271" s="40" t="str">
        <f aca="false">IF($C271="","",MAX(0,ROUND(N($K271)-N($V271),2)))</f>
        <v/>
      </c>
      <c r="X271" s="40" t="str">
        <f aca="false">IF($C271="","",ROUND(SUMIFS(应收净额,应收键,$D271,应收行号,"&lt;="&amp;ROW()),2))</f>
        <v/>
      </c>
      <c r="Y271" s="29" t="str">
        <f aca="false">IF($C271="","",ROW())</f>
        <v/>
      </c>
    </row>
    <row r="272" customFormat="false" ht="15" hidden="false" customHeight="false" outlineLevel="0" collapsed="false">
      <c r="A272" s="29" t="str">
        <f aca="false">IF($C272="","",ROW()-4)</f>
        <v/>
      </c>
      <c r="B272" s="35" t="str">
        <f aca="false">IF($C272="","","YS"&amp;TEXT($C272,"yyyymm")&amp;"-"&amp;TEXT(ROW()-4,"0000"))</f>
        <v/>
      </c>
      <c r="C272" s="33"/>
      <c r="D272" s="24"/>
      <c r="E272" s="30" t="str">
        <f aca="false">IF($D272="","",IFERROR(INDEX(合同单位,MATCH($D272,合同键,0)),IFERROR(TRIM(LEFT($D272,FIND("｜",$D272)-1)),$D272)))</f>
        <v/>
      </c>
      <c r="F272" s="30" t="str">
        <f aca="false">IF($D272="","",IFERROR(INDEX(合同项目,MATCH($D272,合同键,0)),IFERROR(TRIM(MID($D272,FIND("｜",$D272)+1,99)),"")))</f>
        <v/>
      </c>
      <c r="G272" s="24"/>
      <c r="H272" s="35" t="str">
        <f aca="false">IF($G272="","",IFERROR(INDEX(费用款别,MATCH($G272,费用类别表,0)),"合同外款"))</f>
        <v/>
      </c>
      <c r="I272" s="33"/>
      <c r="J272" s="33"/>
      <c r="K272" s="39"/>
      <c r="L272" s="33"/>
      <c r="M272" s="25"/>
      <c r="N272" s="39"/>
      <c r="O272" s="35" t="str">
        <f aca="false">IF($C272="","",IF(N($N272)&lt;=0,"未开票",IF(ROUND(N($N272)-N($K272),2)&gt;=0,"已开票",IFERROR("部分开票 "&amp;TEXT(N($N272)/N($K272),"0%"),"部分开票"))))</f>
        <v/>
      </c>
      <c r="P272" s="40" t="str">
        <f aca="false">IF($C272="","",ROUND($V272+MIN($W272,MAX(0,(SUMIF(收款键,$D272,收款金额)-SUMIFS(收款金额,收款键,$D272,收款关联,"&lt;&gt;"))-($X272-$W272))),2))</f>
        <v/>
      </c>
      <c r="Q272" s="41" t="str">
        <f aca="false">IF($C272="","",ROUND(N($K272)-N($P272),2))</f>
        <v/>
      </c>
      <c r="R272" s="29" t="str">
        <f aca="false">IF($C272="","",YEAR($C272))</f>
        <v/>
      </c>
      <c r="S272" s="24"/>
      <c r="T272" s="35" t="str">
        <f aca="false">IF($C272="","",IF($D272="","★没选客户项目",IF(COUNTIF(合同键,$D272)=0,"★《维保合同》里没这个项目",IF(N($K272)&lt;=0,"★应收金额要填",IF(ROUND(N($N272)-N($K272),2)&gt;0.001,"★开票金额大于应收",IF(AND($L272&lt;&gt;"",N($N272)&lt;=0),"★填了开票日期没填开票金额",IF(AND($I272&lt;&gt;"",$J272&lt;&gt;"",$J272&lt;$I272),"★计费期间起止反了","OK")))))))</f>
        <v/>
      </c>
      <c r="U272" s="29" t="str">
        <f aca="false">IF($L272="","",YEAR($L272))</f>
        <v/>
      </c>
      <c r="V272" s="40" t="str">
        <f aca="false">IF($C272="","",ROUND(SUMIF(收款关联,$B272,收款金额),2))</f>
        <v/>
      </c>
      <c r="W272" s="40" t="str">
        <f aca="false">IF($C272="","",MAX(0,ROUND(N($K272)-N($V272),2)))</f>
        <v/>
      </c>
      <c r="X272" s="40" t="str">
        <f aca="false">IF($C272="","",ROUND(SUMIFS(应收净额,应收键,$D272,应收行号,"&lt;="&amp;ROW()),2))</f>
        <v/>
      </c>
      <c r="Y272" s="29" t="str">
        <f aca="false">IF($C272="","",ROW())</f>
        <v/>
      </c>
    </row>
    <row r="273" customFormat="false" ht="15" hidden="false" customHeight="false" outlineLevel="0" collapsed="false">
      <c r="A273" s="29" t="str">
        <f aca="false">IF($C273="","",ROW()-4)</f>
        <v/>
      </c>
      <c r="B273" s="35" t="str">
        <f aca="false">IF($C273="","","YS"&amp;TEXT($C273,"yyyymm")&amp;"-"&amp;TEXT(ROW()-4,"0000"))</f>
        <v/>
      </c>
      <c r="C273" s="33"/>
      <c r="D273" s="24"/>
      <c r="E273" s="30" t="str">
        <f aca="false">IF($D273="","",IFERROR(INDEX(合同单位,MATCH($D273,合同键,0)),IFERROR(TRIM(LEFT($D273,FIND("｜",$D273)-1)),$D273)))</f>
        <v/>
      </c>
      <c r="F273" s="30" t="str">
        <f aca="false">IF($D273="","",IFERROR(INDEX(合同项目,MATCH($D273,合同键,0)),IFERROR(TRIM(MID($D273,FIND("｜",$D273)+1,99)),"")))</f>
        <v/>
      </c>
      <c r="G273" s="24"/>
      <c r="H273" s="35" t="str">
        <f aca="false">IF($G273="","",IFERROR(INDEX(费用款别,MATCH($G273,费用类别表,0)),"合同外款"))</f>
        <v/>
      </c>
      <c r="I273" s="33"/>
      <c r="J273" s="33"/>
      <c r="K273" s="39"/>
      <c r="L273" s="33"/>
      <c r="M273" s="25"/>
      <c r="N273" s="39"/>
      <c r="O273" s="35" t="str">
        <f aca="false">IF($C273="","",IF(N($N273)&lt;=0,"未开票",IF(ROUND(N($N273)-N($K273),2)&gt;=0,"已开票",IFERROR("部分开票 "&amp;TEXT(N($N273)/N($K273),"0%"),"部分开票"))))</f>
        <v/>
      </c>
      <c r="P273" s="40" t="str">
        <f aca="false">IF($C273="","",ROUND($V273+MIN($W273,MAX(0,(SUMIF(收款键,$D273,收款金额)-SUMIFS(收款金额,收款键,$D273,收款关联,"&lt;&gt;"))-($X273-$W273))),2))</f>
        <v/>
      </c>
      <c r="Q273" s="41" t="str">
        <f aca="false">IF($C273="","",ROUND(N($K273)-N($P273),2))</f>
        <v/>
      </c>
      <c r="R273" s="29" t="str">
        <f aca="false">IF($C273="","",YEAR($C273))</f>
        <v/>
      </c>
      <c r="S273" s="24"/>
      <c r="T273" s="35" t="str">
        <f aca="false">IF($C273="","",IF($D273="","★没选客户项目",IF(COUNTIF(合同键,$D273)=0,"★《维保合同》里没这个项目",IF(N($K273)&lt;=0,"★应收金额要填",IF(ROUND(N($N273)-N($K273),2)&gt;0.001,"★开票金额大于应收",IF(AND($L273&lt;&gt;"",N($N273)&lt;=0),"★填了开票日期没填开票金额",IF(AND($I273&lt;&gt;"",$J273&lt;&gt;"",$J273&lt;$I273),"★计费期间起止反了","OK")))))))</f>
        <v/>
      </c>
      <c r="U273" s="29" t="str">
        <f aca="false">IF($L273="","",YEAR($L273))</f>
        <v/>
      </c>
      <c r="V273" s="40" t="str">
        <f aca="false">IF($C273="","",ROUND(SUMIF(收款关联,$B273,收款金额),2))</f>
        <v/>
      </c>
      <c r="W273" s="40" t="str">
        <f aca="false">IF($C273="","",MAX(0,ROUND(N($K273)-N($V273),2)))</f>
        <v/>
      </c>
      <c r="X273" s="40" t="str">
        <f aca="false">IF($C273="","",ROUND(SUMIFS(应收净额,应收键,$D273,应收行号,"&lt;="&amp;ROW()),2))</f>
        <v/>
      </c>
      <c r="Y273" s="29" t="str">
        <f aca="false">IF($C273="","",ROW())</f>
        <v/>
      </c>
    </row>
    <row r="274" customFormat="false" ht="15" hidden="false" customHeight="false" outlineLevel="0" collapsed="false">
      <c r="A274" s="29" t="str">
        <f aca="false">IF($C274="","",ROW()-4)</f>
        <v/>
      </c>
      <c r="B274" s="35" t="str">
        <f aca="false">IF($C274="","","YS"&amp;TEXT($C274,"yyyymm")&amp;"-"&amp;TEXT(ROW()-4,"0000"))</f>
        <v/>
      </c>
      <c r="C274" s="33"/>
      <c r="D274" s="24"/>
      <c r="E274" s="30" t="str">
        <f aca="false">IF($D274="","",IFERROR(INDEX(合同单位,MATCH($D274,合同键,0)),IFERROR(TRIM(LEFT($D274,FIND("｜",$D274)-1)),$D274)))</f>
        <v/>
      </c>
      <c r="F274" s="30" t="str">
        <f aca="false">IF($D274="","",IFERROR(INDEX(合同项目,MATCH($D274,合同键,0)),IFERROR(TRIM(MID($D274,FIND("｜",$D274)+1,99)),"")))</f>
        <v/>
      </c>
      <c r="G274" s="24"/>
      <c r="H274" s="35" t="str">
        <f aca="false">IF($G274="","",IFERROR(INDEX(费用款别,MATCH($G274,费用类别表,0)),"合同外款"))</f>
        <v/>
      </c>
      <c r="I274" s="33"/>
      <c r="J274" s="33"/>
      <c r="K274" s="39"/>
      <c r="L274" s="33"/>
      <c r="M274" s="25"/>
      <c r="N274" s="39"/>
      <c r="O274" s="35" t="str">
        <f aca="false">IF($C274="","",IF(N($N274)&lt;=0,"未开票",IF(ROUND(N($N274)-N($K274),2)&gt;=0,"已开票",IFERROR("部分开票 "&amp;TEXT(N($N274)/N($K274),"0%"),"部分开票"))))</f>
        <v/>
      </c>
      <c r="P274" s="40" t="str">
        <f aca="false">IF($C274="","",ROUND($V274+MIN($W274,MAX(0,(SUMIF(收款键,$D274,收款金额)-SUMIFS(收款金额,收款键,$D274,收款关联,"&lt;&gt;"))-($X274-$W274))),2))</f>
        <v/>
      </c>
      <c r="Q274" s="41" t="str">
        <f aca="false">IF($C274="","",ROUND(N($K274)-N($P274),2))</f>
        <v/>
      </c>
      <c r="R274" s="29" t="str">
        <f aca="false">IF($C274="","",YEAR($C274))</f>
        <v/>
      </c>
      <c r="S274" s="24"/>
      <c r="T274" s="35" t="str">
        <f aca="false">IF($C274="","",IF($D274="","★没选客户项目",IF(COUNTIF(合同键,$D274)=0,"★《维保合同》里没这个项目",IF(N($K274)&lt;=0,"★应收金额要填",IF(ROUND(N($N274)-N($K274),2)&gt;0.001,"★开票金额大于应收",IF(AND($L274&lt;&gt;"",N($N274)&lt;=0),"★填了开票日期没填开票金额",IF(AND($I274&lt;&gt;"",$J274&lt;&gt;"",$J274&lt;$I274),"★计费期间起止反了","OK")))))))</f>
        <v/>
      </c>
      <c r="U274" s="29" t="str">
        <f aca="false">IF($L274="","",YEAR($L274))</f>
        <v/>
      </c>
      <c r="V274" s="40" t="str">
        <f aca="false">IF($C274="","",ROUND(SUMIF(收款关联,$B274,收款金额),2))</f>
        <v/>
      </c>
      <c r="W274" s="40" t="str">
        <f aca="false">IF($C274="","",MAX(0,ROUND(N($K274)-N($V274),2)))</f>
        <v/>
      </c>
      <c r="X274" s="40" t="str">
        <f aca="false">IF($C274="","",ROUND(SUMIFS(应收净额,应收键,$D274,应收行号,"&lt;="&amp;ROW()),2))</f>
        <v/>
      </c>
      <c r="Y274" s="29" t="str">
        <f aca="false">IF($C274="","",ROW())</f>
        <v/>
      </c>
    </row>
    <row r="275" customFormat="false" ht="15" hidden="false" customHeight="false" outlineLevel="0" collapsed="false">
      <c r="A275" s="29" t="str">
        <f aca="false">IF($C275="","",ROW()-4)</f>
        <v/>
      </c>
      <c r="B275" s="35" t="str">
        <f aca="false">IF($C275="","","YS"&amp;TEXT($C275,"yyyymm")&amp;"-"&amp;TEXT(ROW()-4,"0000"))</f>
        <v/>
      </c>
      <c r="C275" s="33"/>
      <c r="D275" s="24"/>
      <c r="E275" s="30" t="str">
        <f aca="false">IF($D275="","",IFERROR(INDEX(合同单位,MATCH($D275,合同键,0)),IFERROR(TRIM(LEFT($D275,FIND("｜",$D275)-1)),$D275)))</f>
        <v/>
      </c>
      <c r="F275" s="30" t="str">
        <f aca="false">IF($D275="","",IFERROR(INDEX(合同项目,MATCH($D275,合同键,0)),IFERROR(TRIM(MID($D275,FIND("｜",$D275)+1,99)),"")))</f>
        <v/>
      </c>
      <c r="G275" s="24"/>
      <c r="H275" s="35" t="str">
        <f aca="false">IF($G275="","",IFERROR(INDEX(费用款别,MATCH($G275,费用类别表,0)),"合同外款"))</f>
        <v/>
      </c>
      <c r="I275" s="33"/>
      <c r="J275" s="33"/>
      <c r="K275" s="39"/>
      <c r="L275" s="33"/>
      <c r="M275" s="25"/>
      <c r="N275" s="39"/>
      <c r="O275" s="35" t="str">
        <f aca="false">IF($C275="","",IF(N($N275)&lt;=0,"未开票",IF(ROUND(N($N275)-N($K275),2)&gt;=0,"已开票",IFERROR("部分开票 "&amp;TEXT(N($N275)/N($K275),"0%"),"部分开票"))))</f>
        <v/>
      </c>
      <c r="P275" s="40" t="str">
        <f aca="false">IF($C275="","",ROUND($V275+MIN($W275,MAX(0,(SUMIF(收款键,$D275,收款金额)-SUMIFS(收款金额,收款键,$D275,收款关联,"&lt;&gt;"))-($X275-$W275))),2))</f>
        <v/>
      </c>
      <c r="Q275" s="41" t="str">
        <f aca="false">IF($C275="","",ROUND(N($K275)-N($P275),2))</f>
        <v/>
      </c>
      <c r="R275" s="29" t="str">
        <f aca="false">IF($C275="","",YEAR($C275))</f>
        <v/>
      </c>
      <c r="S275" s="24"/>
      <c r="T275" s="35" t="str">
        <f aca="false">IF($C275="","",IF($D275="","★没选客户项目",IF(COUNTIF(合同键,$D275)=0,"★《维保合同》里没这个项目",IF(N($K275)&lt;=0,"★应收金额要填",IF(ROUND(N($N275)-N($K275),2)&gt;0.001,"★开票金额大于应收",IF(AND($L275&lt;&gt;"",N($N275)&lt;=0),"★填了开票日期没填开票金额",IF(AND($I275&lt;&gt;"",$J275&lt;&gt;"",$J275&lt;$I275),"★计费期间起止反了","OK")))))))</f>
        <v/>
      </c>
      <c r="U275" s="29" t="str">
        <f aca="false">IF($L275="","",YEAR($L275))</f>
        <v/>
      </c>
      <c r="V275" s="40" t="str">
        <f aca="false">IF($C275="","",ROUND(SUMIF(收款关联,$B275,收款金额),2))</f>
        <v/>
      </c>
      <c r="W275" s="40" t="str">
        <f aca="false">IF($C275="","",MAX(0,ROUND(N($K275)-N($V275),2)))</f>
        <v/>
      </c>
      <c r="X275" s="40" t="str">
        <f aca="false">IF($C275="","",ROUND(SUMIFS(应收净额,应收键,$D275,应收行号,"&lt;="&amp;ROW()),2))</f>
        <v/>
      </c>
      <c r="Y275" s="29" t="str">
        <f aca="false">IF($C275="","",ROW())</f>
        <v/>
      </c>
    </row>
    <row r="276" customFormat="false" ht="15" hidden="false" customHeight="false" outlineLevel="0" collapsed="false">
      <c r="A276" s="29" t="str">
        <f aca="false">IF($C276="","",ROW()-4)</f>
        <v/>
      </c>
      <c r="B276" s="35" t="str">
        <f aca="false">IF($C276="","","YS"&amp;TEXT($C276,"yyyymm")&amp;"-"&amp;TEXT(ROW()-4,"0000"))</f>
        <v/>
      </c>
      <c r="C276" s="33"/>
      <c r="D276" s="24"/>
      <c r="E276" s="30" t="str">
        <f aca="false">IF($D276="","",IFERROR(INDEX(合同单位,MATCH($D276,合同键,0)),IFERROR(TRIM(LEFT($D276,FIND("｜",$D276)-1)),$D276)))</f>
        <v/>
      </c>
      <c r="F276" s="30" t="str">
        <f aca="false">IF($D276="","",IFERROR(INDEX(合同项目,MATCH($D276,合同键,0)),IFERROR(TRIM(MID($D276,FIND("｜",$D276)+1,99)),"")))</f>
        <v/>
      </c>
      <c r="G276" s="24"/>
      <c r="H276" s="35" t="str">
        <f aca="false">IF($G276="","",IFERROR(INDEX(费用款别,MATCH($G276,费用类别表,0)),"合同外款"))</f>
        <v/>
      </c>
      <c r="I276" s="33"/>
      <c r="J276" s="33"/>
      <c r="K276" s="39"/>
      <c r="L276" s="33"/>
      <c r="M276" s="25"/>
      <c r="N276" s="39"/>
      <c r="O276" s="35" t="str">
        <f aca="false">IF($C276="","",IF(N($N276)&lt;=0,"未开票",IF(ROUND(N($N276)-N($K276),2)&gt;=0,"已开票",IFERROR("部分开票 "&amp;TEXT(N($N276)/N($K276),"0%"),"部分开票"))))</f>
        <v/>
      </c>
      <c r="P276" s="40" t="str">
        <f aca="false">IF($C276="","",ROUND($V276+MIN($W276,MAX(0,(SUMIF(收款键,$D276,收款金额)-SUMIFS(收款金额,收款键,$D276,收款关联,"&lt;&gt;"))-($X276-$W276))),2))</f>
        <v/>
      </c>
      <c r="Q276" s="41" t="str">
        <f aca="false">IF($C276="","",ROUND(N($K276)-N($P276),2))</f>
        <v/>
      </c>
      <c r="R276" s="29" t="str">
        <f aca="false">IF($C276="","",YEAR($C276))</f>
        <v/>
      </c>
      <c r="S276" s="24"/>
      <c r="T276" s="35" t="str">
        <f aca="false">IF($C276="","",IF($D276="","★没选客户项目",IF(COUNTIF(合同键,$D276)=0,"★《维保合同》里没这个项目",IF(N($K276)&lt;=0,"★应收金额要填",IF(ROUND(N($N276)-N($K276),2)&gt;0.001,"★开票金额大于应收",IF(AND($L276&lt;&gt;"",N($N276)&lt;=0),"★填了开票日期没填开票金额",IF(AND($I276&lt;&gt;"",$J276&lt;&gt;"",$J276&lt;$I276),"★计费期间起止反了","OK")))))))</f>
        <v/>
      </c>
      <c r="U276" s="29" t="str">
        <f aca="false">IF($L276="","",YEAR($L276))</f>
        <v/>
      </c>
      <c r="V276" s="40" t="str">
        <f aca="false">IF($C276="","",ROUND(SUMIF(收款关联,$B276,收款金额),2))</f>
        <v/>
      </c>
      <c r="W276" s="40" t="str">
        <f aca="false">IF($C276="","",MAX(0,ROUND(N($K276)-N($V276),2)))</f>
        <v/>
      </c>
      <c r="X276" s="40" t="str">
        <f aca="false">IF($C276="","",ROUND(SUMIFS(应收净额,应收键,$D276,应收行号,"&lt;="&amp;ROW()),2))</f>
        <v/>
      </c>
      <c r="Y276" s="29" t="str">
        <f aca="false">IF($C276="","",ROW())</f>
        <v/>
      </c>
    </row>
    <row r="277" customFormat="false" ht="15" hidden="false" customHeight="false" outlineLevel="0" collapsed="false">
      <c r="A277" s="29" t="str">
        <f aca="false">IF($C277="","",ROW()-4)</f>
        <v/>
      </c>
      <c r="B277" s="35" t="str">
        <f aca="false">IF($C277="","","YS"&amp;TEXT($C277,"yyyymm")&amp;"-"&amp;TEXT(ROW()-4,"0000"))</f>
        <v/>
      </c>
      <c r="C277" s="33"/>
      <c r="D277" s="24"/>
      <c r="E277" s="30" t="str">
        <f aca="false">IF($D277="","",IFERROR(INDEX(合同单位,MATCH($D277,合同键,0)),IFERROR(TRIM(LEFT($D277,FIND("｜",$D277)-1)),$D277)))</f>
        <v/>
      </c>
      <c r="F277" s="30" t="str">
        <f aca="false">IF($D277="","",IFERROR(INDEX(合同项目,MATCH($D277,合同键,0)),IFERROR(TRIM(MID($D277,FIND("｜",$D277)+1,99)),"")))</f>
        <v/>
      </c>
      <c r="G277" s="24"/>
      <c r="H277" s="35" t="str">
        <f aca="false">IF($G277="","",IFERROR(INDEX(费用款别,MATCH($G277,费用类别表,0)),"合同外款"))</f>
        <v/>
      </c>
      <c r="I277" s="33"/>
      <c r="J277" s="33"/>
      <c r="K277" s="39"/>
      <c r="L277" s="33"/>
      <c r="M277" s="25"/>
      <c r="N277" s="39"/>
      <c r="O277" s="35" t="str">
        <f aca="false">IF($C277="","",IF(N($N277)&lt;=0,"未开票",IF(ROUND(N($N277)-N($K277),2)&gt;=0,"已开票",IFERROR("部分开票 "&amp;TEXT(N($N277)/N($K277),"0%"),"部分开票"))))</f>
        <v/>
      </c>
      <c r="P277" s="40" t="str">
        <f aca="false">IF($C277="","",ROUND($V277+MIN($W277,MAX(0,(SUMIF(收款键,$D277,收款金额)-SUMIFS(收款金额,收款键,$D277,收款关联,"&lt;&gt;"))-($X277-$W277))),2))</f>
        <v/>
      </c>
      <c r="Q277" s="41" t="str">
        <f aca="false">IF($C277="","",ROUND(N($K277)-N($P277),2))</f>
        <v/>
      </c>
      <c r="R277" s="29" t="str">
        <f aca="false">IF($C277="","",YEAR($C277))</f>
        <v/>
      </c>
      <c r="S277" s="24"/>
      <c r="T277" s="35" t="str">
        <f aca="false">IF($C277="","",IF($D277="","★没选客户项目",IF(COUNTIF(合同键,$D277)=0,"★《维保合同》里没这个项目",IF(N($K277)&lt;=0,"★应收金额要填",IF(ROUND(N($N277)-N($K277),2)&gt;0.001,"★开票金额大于应收",IF(AND($L277&lt;&gt;"",N($N277)&lt;=0),"★填了开票日期没填开票金额",IF(AND($I277&lt;&gt;"",$J277&lt;&gt;"",$J277&lt;$I277),"★计费期间起止反了","OK")))))))</f>
        <v/>
      </c>
      <c r="U277" s="29" t="str">
        <f aca="false">IF($L277="","",YEAR($L277))</f>
        <v/>
      </c>
      <c r="V277" s="40" t="str">
        <f aca="false">IF($C277="","",ROUND(SUMIF(收款关联,$B277,收款金额),2))</f>
        <v/>
      </c>
      <c r="W277" s="40" t="str">
        <f aca="false">IF($C277="","",MAX(0,ROUND(N($K277)-N($V277),2)))</f>
        <v/>
      </c>
      <c r="X277" s="40" t="str">
        <f aca="false">IF($C277="","",ROUND(SUMIFS(应收净额,应收键,$D277,应收行号,"&lt;="&amp;ROW()),2))</f>
        <v/>
      </c>
      <c r="Y277" s="29" t="str">
        <f aca="false">IF($C277="","",ROW())</f>
        <v/>
      </c>
    </row>
    <row r="278" customFormat="false" ht="15" hidden="false" customHeight="false" outlineLevel="0" collapsed="false">
      <c r="A278" s="29" t="str">
        <f aca="false">IF($C278="","",ROW()-4)</f>
        <v/>
      </c>
      <c r="B278" s="35" t="str">
        <f aca="false">IF($C278="","","YS"&amp;TEXT($C278,"yyyymm")&amp;"-"&amp;TEXT(ROW()-4,"0000"))</f>
        <v/>
      </c>
      <c r="C278" s="33"/>
      <c r="D278" s="24"/>
      <c r="E278" s="30" t="str">
        <f aca="false">IF($D278="","",IFERROR(INDEX(合同单位,MATCH($D278,合同键,0)),IFERROR(TRIM(LEFT($D278,FIND("｜",$D278)-1)),$D278)))</f>
        <v/>
      </c>
      <c r="F278" s="30" t="str">
        <f aca="false">IF($D278="","",IFERROR(INDEX(合同项目,MATCH($D278,合同键,0)),IFERROR(TRIM(MID($D278,FIND("｜",$D278)+1,99)),"")))</f>
        <v/>
      </c>
      <c r="G278" s="24"/>
      <c r="H278" s="35" t="str">
        <f aca="false">IF($G278="","",IFERROR(INDEX(费用款别,MATCH($G278,费用类别表,0)),"合同外款"))</f>
        <v/>
      </c>
      <c r="I278" s="33"/>
      <c r="J278" s="33"/>
      <c r="K278" s="39"/>
      <c r="L278" s="33"/>
      <c r="M278" s="25"/>
      <c r="N278" s="39"/>
      <c r="O278" s="35" t="str">
        <f aca="false">IF($C278="","",IF(N($N278)&lt;=0,"未开票",IF(ROUND(N($N278)-N($K278),2)&gt;=0,"已开票",IFERROR("部分开票 "&amp;TEXT(N($N278)/N($K278),"0%"),"部分开票"))))</f>
        <v/>
      </c>
      <c r="P278" s="40" t="str">
        <f aca="false">IF($C278="","",ROUND($V278+MIN($W278,MAX(0,(SUMIF(收款键,$D278,收款金额)-SUMIFS(收款金额,收款键,$D278,收款关联,"&lt;&gt;"))-($X278-$W278))),2))</f>
        <v/>
      </c>
      <c r="Q278" s="41" t="str">
        <f aca="false">IF($C278="","",ROUND(N($K278)-N($P278),2))</f>
        <v/>
      </c>
      <c r="R278" s="29" t="str">
        <f aca="false">IF($C278="","",YEAR($C278))</f>
        <v/>
      </c>
      <c r="S278" s="24"/>
      <c r="T278" s="35" t="str">
        <f aca="false">IF($C278="","",IF($D278="","★没选客户项目",IF(COUNTIF(合同键,$D278)=0,"★《维保合同》里没这个项目",IF(N($K278)&lt;=0,"★应收金额要填",IF(ROUND(N($N278)-N($K278),2)&gt;0.001,"★开票金额大于应收",IF(AND($L278&lt;&gt;"",N($N278)&lt;=0),"★填了开票日期没填开票金额",IF(AND($I278&lt;&gt;"",$J278&lt;&gt;"",$J278&lt;$I278),"★计费期间起止反了","OK")))))))</f>
        <v/>
      </c>
      <c r="U278" s="29" t="str">
        <f aca="false">IF($L278="","",YEAR($L278))</f>
        <v/>
      </c>
      <c r="V278" s="40" t="str">
        <f aca="false">IF($C278="","",ROUND(SUMIF(收款关联,$B278,收款金额),2))</f>
        <v/>
      </c>
      <c r="W278" s="40" t="str">
        <f aca="false">IF($C278="","",MAX(0,ROUND(N($K278)-N($V278),2)))</f>
        <v/>
      </c>
      <c r="X278" s="40" t="str">
        <f aca="false">IF($C278="","",ROUND(SUMIFS(应收净额,应收键,$D278,应收行号,"&lt;="&amp;ROW()),2))</f>
        <v/>
      </c>
      <c r="Y278" s="29" t="str">
        <f aca="false">IF($C278="","",ROW())</f>
        <v/>
      </c>
    </row>
    <row r="279" customFormat="false" ht="15" hidden="false" customHeight="false" outlineLevel="0" collapsed="false">
      <c r="A279" s="29" t="str">
        <f aca="false">IF($C279="","",ROW()-4)</f>
        <v/>
      </c>
      <c r="B279" s="35" t="str">
        <f aca="false">IF($C279="","","YS"&amp;TEXT($C279,"yyyymm")&amp;"-"&amp;TEXT(ROW()-4,"0000"))</f>
        <v/>
      </c>
      <c r="C279" s="33"/>
      <c r="D279" s="24"/>
      <c r="E279" s="30" t="str">
        <f aca="false">IF($D279="","",IFERROR(INDEX(合同单位,MATCH($D279,合同键,0)),IFERROR(TRIM(LEFT($D279,FIND("｜",$D279)-1)),$D279)))</f>
        <v/>
      </c>
      <c r="F279" s="30" t="str">
        <f aca="false">IF($D279="","",IFERROR(INDEX(合同项目,MATCH($D279,合同键,0)),IFERROR(TRIM(MID($D279,FIND("｜",$D279)+1,99)),"")))</f>
        <v/>
      </c>
      <c r="G279" s="24"/>
      <c r="H279" s="35" t="str">
        <f aca="false">IF($G279="","",IFERROR(INDEX(费用款别,MATCH($G279,费用类别表,0)),"合同外款"))</f>
        <v/>
      </c>
      <c r="I279" s="33"/>
      <c r="J279" s="33"/>
      <c r="K279" s="39"/>
      <c r="L279" s="33"/>
      <c r="M279" s="25"/>
      <c r="N279" s="39"/>
      <c r="O279" s="35" t="str">
        <f aca="false">IF($C279="","",IF(N($N279)&lt;=0,"未开票",IF(ROUND(N($N279)-N($K279),2)&gt;=0,"已开票",IFERROR("部分开票 "&amp;TEXT(N($N279)/N($K279),"0%"),"部分开票"))))</f>
        <v/>
      </c>
      <c r="P279" s="40" t="str">
        <f aca="false">IF($C279="","",ROUND($V279+MIN($W279,MAX(0,(SUMIF(收款键,$D279,收款金额)-SUMIFS(收款金额,收款键,$D279,收款关联,"&lt;&gt;"))-($X279-$W279))),2))</f>
        <v/>
      </c>
      <c r="Q279" s="41" t="str">
        <f aca="false">IF($C279="","",ROUND(N($K279)-N($P279),2))</f>
        <v/>
      </c>
      <c r="R279" s="29" t="str">
        <f aca="false">IF($C279="","",YEAR($C279))</f>
        <v/>
      </c>
      <c r="S279" s="24"/>
      <c r="T279" s="35" t="str">
        <f aca="false">IF($C279="","",IF($D279="","★没选客户项目",IF(COUNTIF(合同键,$D279)=0,"★《维保合同》里没这个项目",IF(N($K279)&lt;=0,"★应收金额要填",IF(ROUND(N($N279)-N($K279),2)&gt;0.001,"★开票金额大于应收",IF(AND($L279&lt;&gt;"",N($N279)&lt;=0),"★填了开票日期没填开票金额",IF(AND($I279&lt;&gt;"",$J279&lt;&gt;"",$J279&lt;$I279),"★计费期间起止反了","OK")))))))</f>
        <v/>
      </c>
      <c r="U279" s="29" t="str">
        <f aca="false">IF($L279="","",YEAR($L279))</f>
        <v/>
      </c>
      <c r="V279" s="40" t="str">
        <f aca="false">IF($C279="","",ROUND(SUMIF(收款关联,$B279,收款金额),2))</f>
        <v/>
      </c>
      <c r="W279" s="40" t="str">
        <f aca="false">IF($C279="","",MAX(0,ROUND(N($K279)-N($V279),2)))</f>
        <v/>
      </c>
      <c r="X279" s="40" t="str">
        <f aca="false">IF($C279="","",ROUND(SUMIFS(应收净额,应收键,$D279,应收行号,"&lt;="&amp;ROW()),2))</f>
        <v/>
      </c>
      <c r="Y279" s="29" t="str">
        <f aca="false">IF($C279="","",ROW())</f>
        <v/>
      </c>
    </row>
    <row r="280" customFormat="false" ht="15" hidden="false" customHeight="false" outlineLevel="0" collapsed="false">
      <c r="A280" s="29" t="str">
        <f aca="false">IF($C280="","",ROW()-4)</f>
        <v/>
      </c>
      <c r="B280" s="35" t="str">
        <f aca="false">IF($C280="","","YS"&amp;TEXT($C280,"yyyymm")&amp;"-"&amp;TEXT(ROW()-4,"0000"))</f>
        <v/>
      </c>
      <c r="C280" s="33"/>
      <c r="D280" s="24"/>
      <c r="E280" s="30" t="str">
        <f aca="false">IF($D280="","",IFERROR(INDEX(合同单位,MATCH($D280,合同键,0)),IFERROR(TRIM(LEFT($D280,FIND("｜",$D280)-1)),$D280)))</f>
        <v/>
      </c>
      <c r="F280" s="30" t="str">
        <f aca="false">IF($D280="","",IFERROR(INDEX(合同项目,MATCH($D280,合同键,0)),IFERROR(TRIM(MID($D280,FIND("｜",$D280)+1,99)),"")))</f>
        <v/>
      </c>
      <c r="G280" s="24"/>
      <c r="H280" s="35" t="str">
        <f aca="false">IF($G280="","",IFERROR(INDEX(费用款别,MATCH($G280,费用类别表,0)),"合同外款"))</f>
        <v/>
      </c>
      <c r="I280" s="33"/>
      <c r="J280" s="33"/>
      <c r="K280" s="39"/>
      <c r="L280" s="33"/>
      <c r="M280" s="25"/>
      <c r="N280" s="39"/>
      <c r="O280" s="35" t="str">
        <f aca="false">IF($C280="","",IF(N($N280)&lt;=0,"未开票",IF(ROUND(N($N280)-N($K280),2)&gt;=0,"已开票",IFERROR("部分开票 "&amp;TEXT(N($N280)/N($K280),"0%"),"部分开票"))))</f>
        <v/>
      </c>
      <c r="P280" s="40" t="str">
        <f aca="false">IF($C280="","",ROUND($V280+MIN($W280,MAX(0,(SUMIF(收款键,$D280,收款金额)-SUMIFS(收款金额,收款键,$D280,收款关联,"&lt;&gt;"))-($X280-$W280))),2))</f>
        <v/>
      </c>
      <c r="Q280" s="41" t="str">
        <f aca="false">IF($C280="","",ROUND(N($K280)-N($P280),2))</f>
        <v/>
      </c>
      <c r="R280" s="29" t="str">
        <f aca="false">IF($C280="","",YEAR($C280))</f>
        <v/>
      </c>
      <c r="S280" s="24"/>
      <c r="T280" s="35" t="str">
        <f aca="false">IF($C280="","",IF($D280="","★没选客户项目",IF(COUNTIF(合同键,$D280)=0,"★《维保合同》里没这个项目",IF(N($K280)&lt;=0,"★应收金额要填",IF(ROUND(N($N280)-N($K280),2)&gt;0.001,"★开票金额大于应收",IF(AND($L280&lt;&gt;"",N($N280)&lt;=0),"★填了开票日期没填开票金额",IF(AND($I280&lt;&gt;"",$J280&lt;&gt;"",$J280&lt;$I280),"★计费期间起止反了","OK")))))))</f>
        <v/>
      </c>
      <c r="U280" s="29" t="str">
        <f aca="false">IF($L280="","",YEAR($L280))</f>
        <v/>
      </c>
      <c r="V280" s="40" t="str">
        <f aca="false">IF($C280="","",ROUND(SUMIF(收款关联,$B280,收款金额),2))</f>
        <v/>
      </c>
      <c r="W280" s="40" t="str">
        <f aca="false">IF($C280="","",MAX(0,ROUND(N($K280)-N($V280),2)))</f>
        <v/>
      </c>
      <c r="X280" s="40" t="str">
        <f aca="false">IF($C280="","",ROUND(SUMIFS(应收净额,应收键,$D280,应收行号,"&lt;="&amp;ROW()),2))</f>
        <v/>
      </c>
      <c r="Y280" s="29" t="str">
        <f aca="false">IF($C280="","",ROW())</f>
        <v/>
      </c>
    </row>
    <row r="281" customFormat="false" ht="15" hidden="false" customHeight="false" outlineLevel="0" collapsed="false">
      <c r="A281" s="29" t="str">
        <f aca="false">IF($C281="","",ROW()-4)</f>
        <v/>
      </c>
      <c r="B281" s="35" t="str">
        <f aca="false">IF($C281="","","YS"&amp;TEXT($C281,"yyyymm")&amp;"-"&amp;TEXT(ROW()-4,"0000"))</f>
        <v/>
      </c>
      <c r="C281" s="33"/>
      <c r="D281" s="24"/>
      <c r="E281" s="30" t="str">
        <f aca="false">IF($D281="","",IFERROR(INDEX(合同单位,MATCH($D281,合同键,0)),IFERROR(TRIM(LEFT($D281,FIND("｜",$D281)-1)),$D281)))</f>
        <v/>
      </c>
      <c r="F281" s="30" t="str">
        <f aca="false">IF($D281="","",IFERROR(INDEX(合同项目,MATCH($D281,合同键,0)),IFERROR(TRIM(MID($D281,FIND("｜",$D281)+1,99)),"")))</f>
        <v/>
      </c>
      <c r="G281" s="24"/>
      <c r="H281" s="35" t="str">
        <f aca="false">IF($G281="","",IFERROR(INDEX(费用款别,MATCH($G281,费用类别表,0)),"合同外款"))</f>
        <v/>
      </c>
      <c r="I281" s="33"/>
      <c r="J281" s="33"/>
      <c r="K281" s="39"/>
      <c r="L281" s="33"/>
      <c r="M281" s="25"/>
      <c r="N281" s="39"/>
      <c r="O281" s="35" t="str">
        <f aca="false">IF($C281="","",IF(N($N281)&lt;=0,"未开票",IF(ROUND(N($N281)-N($K281),2)&gt;=0,"已开票",IFERROR("部分开票 "&amp;TEXT(N($N281)/N($K281),"0%"),"部分开票"))))</f>
        <v/>
      </c>
      <c r="P281" s="40" t="str">
        <f aca="false">IF($C281="","",ROUND($V281+MIN($W281,MAX(0,(SUMIF(收款键,$D281,收款金额)-SUMIFS(收款金额,收款键,$D281,收款关联,"&lt;&gt;"))-($X281-$W281))),2))</f>
        <v/>
      </c>
      <c r="Q281" s="41" t="str">
        <f aca="false">IF($C281="","",ROUND(N($K281)-N($P281),2))</f>
        <v/>
      </c>
      <c r="R281" s="29" t="str">
        <f aca="false">IF($C281="","",YEAR($C281))</f>
        <v/>
      </c>
      <c r="S281" s="24"/>
      <c r="T281" s="35" t="str">
        <f aca="false">IF($C281="","",IF($D281="","★没选客户项目",IF(COUNTIF(合同键,$D281)=0,"★《维保合同》里没这个项目",IF(N($K281)&lt;=0,"★应收金额要填",IF(ROUND(N($N281)-N($K281),2)&gt;0.001,"★开票金额大于应收",IF(AND($L281&lt;&gt;"",N($N281)&lt;=0),"★填了开票日期没填开票金额",IF(AND($I281&lt;&gt;"",$J281&lt;&gt;"",$J281&lt;$I281),"★计费期间起止反了","OK")))))))</f>
        <v/>
      </c>
      <c r="U281" s="29" t="str">
        <f aca="false">IF($L281="","",YEAR($L281))</f>
        <v/>
      </c>
      <c r="V281" s="40" t="str">
        <f aca="false">IF($C281="","",ROUND(SUMIF(收款关联,$B281,收款金额),2))</f>
        <v/>
      </c>
      <c r="W281" s="40" t="str">
        <f aca="false">IF($C281="","",MAX(0,ROUND(N($K281)-N($V281),2)))</f>
        <v/>
      </c>
      <c r="X281" s="40" t="str">
        <f aca="false">IF($C281="","",ROUND(SUMIFS(应收净额,应收键,$D281,应收行号,"&lt;="&amp;ROW()),2))</f>
        <v/>
      </c>
      <c r="Y281" s="29" t="str">
        <f aca="false">IF($C281="","",ROW())</f>
        <v/>
      </c>
    </row>
    <row r="282" customFormat="false" ht="15" hidden="false" customHeight="false" outlineLevel="0" collapsed="false">
      <c r="A282" s="29" t="str">
        <f aca="false">IF($C282="","",ROW()-4)</f>
        <v/>
      </c>
      <c r="B282" s="35" t="str">
        <f aca="false">IF($C282="","","YS"&amp;TEXT($C282,"yyyymm")&amp;"-"&amp;TEXT(ROW()-4,"0000"))</f>
        <v/>
      </c>
      <c r="C282" s="33"/>
      <c r="D282" s="24"/>
      <c r="E282" s="30" t="str">
        <f aca="false">IF($D282="","",IFERROR(INDEX(合同单位,MATCH($D282,合同键,0)),IFERROR(TRIM(LEFT($D282,FIND("｜",$D282)-1)),$D282)))</f>
        <v/>
      </c>
      <c r="F282" s="30" t="str">
        <f aca="false">IF($D282="","",IFERROR(INDEX(合同项目,MATCH($D282,合同键,0)),IFERROR(TRIM(MID($D282,FIND("｜",$D282)+1,99)),"")))</f>
        <v/>
      </c>
      <c r="G282" s="24"/>
      <c r="H282" s="35" t="str">
        <f aca="false">IF($G282="","",IFERROR(INDEX(费用款别,MATCH($G282,费用类别表,0)),"合同外款"))</f>
        <v/>
      </c>
      <c r="I282" s="33"/>
      <c r="J282" s="33"/>
      <c r="K282" s="39"/>
      <c r="L282" s="33"/>
      <c r="M282" s="25"/>
      <c r="N282" s="39"/>
      <c r="O282" s="35" t="str">
        <f aca="false">IF($C282="","",IF(N($N282)&lt;=0,"未开票",IF(ROUND(N($N282)-N($K282),2)&gt;=0,"已开票",IFERROR("部分开票 "&amp;TEXT(N($N282)/N($K282),"0%"),"部分开票"))))</f>
        <v/>
      </c>
      <c r="P282" s="40" t="str">
        <f aca="false">IF($C282="","",ROUND($V282+MIN($W282,MAX(0,(SUMIF(收款键,$D282,收款金额)-SUMIFS(收款金额,收款键,$D282,收款关联,"&lt;&gt;"))-($X282-$W282))),2))</f>
        <v/>
      </c>
      <c r="Q282" s="41" t="str">
        <f aca="false">IF($C282="","",ROUND(N($K282)-N($P282),2))</f>
        <v/>
      </c>
      <c r="R282" s="29" t="str">
        <f aca="false">IF($C282="","",YEAR($C282))</f>
        <v/>
      </c>
      <c r="S282" s="24"/>
      <c r="T282" s="35" t="str">
        <f aca="false">IF($C282="","",IF($D282="","★没选客户项目",IF(COUNTIF(合同键,$D282)=0,"★《维保合同》里没这个项目",IF(N($K282)&lt;=0,"★应收金额要填",IF(ROUND(N($N282)-N($K282),2)&gt;0.001,"★开票金额大于应收",IF(AND($L282&lt;&gt;"",N($N282)&lt;=0),"★填了开票日期没填开票金额",IF(AND($I282&lt;&gt;"",$J282&lt;&gt;"",$J282&lt;$I282),"★计费期间起止反了","OK")))))))</f>
        <v/>
      </c>
      <c r="U282" s="29" t="str">
        <f aca="false">IF($L282="","",YEAR($L282))</f>
        <v/>
      </c>
      <c r="V282" s="40" t="str">
        <f aca="false">IF($C282="","",ROUND(SUMIF(收款关联,$B282,收款金额),2))</f>
        <v/>
      </c>
      <c r="W282" s="40" t="str">
        <f aca="false">IF($C282="","",MAX(0,ROUND(N($K282)-N($V282),2)))</f>
        <v/>
      </c>
      <c r="X282" s="40" t="str">
        <f aca="false">IF($C282="","",ROUND(SUMIFS(应收净额,应收键,$D282,应收行号,"&lt;="&amp;ROW()),2))</f>
        <v/>
      </c>
      <c r="Y282" s="29" t="str">
        <f aca="false">IF($C282="","",ROW())</f>
        <v/>
      </c>
    </row>
    <row r="283" customFormat="false" ht="15" hidden="false" customHeight="false" outlineLevel="0" collapsed="false">
      <c r="A283" s="29" t="str">
        <f aca="false">IF($C283="","",ROW()-4)</f>
        <v/>
      </c>
      <c r="B283" s="35" t="str">
        <f aca="false">IF($C283="","","YS"&amp;TEXT($C283,"yyyymm")&amp;"-"&amp;TEXT(ROW()-4,"0000"))</f>
        <v/>
      </c>
      <c r="C283" s="33"/>
      <c r="D283" s="24"/>
      <c r="E283" s="30" t="str">
        <f aca="false">IF($D283="","",IFERROR(INDEX(合同单位,MATCH($D283,合同键,0)),IFERROR(TRIM(LEFT($D283,FIND("｜",$D283)-1)),$D283)))</f>
        <v/>
      </c>
      <c r="F283" s="30" t="str">
        <f aca="false">IF($D283="","",IFERROR(INDEX(合同项目,MATCH($D283,合同键,0)),IFERROR(TRIM(MID($D283,FIND("｜",$D283)+1,99)),"")))</f>
        <v/>
      </c>
      <c r="G283" s="24"/>
      <c r="H283" s="35" t="str">
        <f aca="false">IF($G283="","",IFERROR(INDEX(费用款别,MATCH($G283,费用类别表,0)),"合同外款"))</f>
        <v/>
      </c>
      <c r="I283" s="33"/>
      <c r="J283" s="33"/>
      <c r="K283" s="39"/>
      <c r="L283" s="33"/>
      <c r="M283" s="25"/>
      <c r="N283" s="39"/>
      <c r="O283" s="35" t="str">
        <f aca="false">IF($C283="","",IF(N($N283)&lt;=0,"未开票",IF(ROUND(N($N283)-N($K283),2)&gt;=0,"已开票",IFERROR("部分开票 "&amp;TEXT(N($N283)/N($K283),"0%"),"部分开票"))))</f>
        <v/>
      </c>
      <c r="P283" s="40" t="str">
        <f aca="false">IF($C283="","",ROUND($V283+MIN($W283,MAX(0,(SUMIF(收款键,$D283,收款金额)-SUMIFS(收款金额,收款键,$D283,收款关联,"&lt;&gt;"))-($X283-$W283))),2))</f>
        <v/>
      </c>
      <c r="Q283" s="41" t="str">
        <f aca="false">IF($C283="","",ROUND(N($K283)-N($P283),2))</f>
        <v/>
      </c>
      <c r="R283" s="29" t="str">
        <f aca="false">IF($C283="","",YEAR($C283))</f>
        <v/>
      </c>
      <c r="S283" s="24"/>
      <c r="T283" s="35" t="str">
        <f aca="false">IF($C283="","",IF($D283="","★没选客户项目",IF(COUNTIF(合同键,$D283)=0,"★《维保合同》里没这个项目",IF(N($K283)&lt;=0,"★应收金额要填",IF(ROUND(N($N283)-N($K283),2)&gt;0.001,"★开票金额大于应收",IF(AND($L283&lt;&gt;"",N($N283)&lt;=0),"★填了开票日期没填开票金额",IF(AND($I283&lt;&gt;"",$J283&lt;&gt;"",$J283&lt;$I283),"★计费期间起止反了","OK")))))))</f>
        <v/>
      </c>
      <c r="U283" s="29" t="str">
        <f aca="false">IF($L283="","",YEAR($L283))</f>
        <v/>
      </c>
      <c r="V283" s="40" t="str">
        <f aca="false">IF($C283="","",ROUND(SUMIF(收款关联,$B283,收款金额),2))</f>
        <v/>
      </c>
      <c r="W283" s="40" t="str">
        <f aca="false">IF($C283="","",MAX(0,ROUND(N($K283)-N($V283),2)))</f>
        <v/>
      </c>
      <c r="X283" s="40" t="str">
        <f aca="false">IF($C283="","",ROUND(SUMIFS(应收净额,应收键,$D283,应收行号,"&lt;="&amp;ROW()),2))</f>
        <v/>
      </c>
      <c r="Y283" s="29" t="str">
        <f aca="false">IF($C283="","",ROW())</f>
        <v/>
      </c>
    </row>
    <row r="284" customFormat="false" ht="15" hidden="false" customHeight="false" outlineLevel="0" collapsed="false">
      <c r="A284" s="29" t="str">
        <f aca="false">IF($C284="","",ROW()-4)</f>
        <v/>
      </c>
      <c r="B284" s="35" t="str">
        <f aca="false">IF($C284="","","YS"&amp;TEXT($C284,"yyyymm")&amp;"-"&amp;TEXT(ROW()-4,"0000"))</f>
        <v/>
      </c>
      <c r="C284" s="33"/>
      <c r="D284" s="24"/>
      <c r="E284" s="30" t="str">
        <f aca="false">IF($D284="","",IFERROR(INDEX(合同单位,MATCH($D284,合同键,0)),IFERROR(TRIM(LEFT($D284,FIND("｜",$D284)-1)),$D284)))</f>
        <v/>
      </c>
      <c r="F284" s="30" t="str">
        <f aca="false">IF($D284="","",IFERROR(INDEX(合同项目,MATCH($D284,合同键,0)),IFERROR(TRIM(MID($D284,FIND("｜",$D284)+1,99)),"")))</f>
        <v/>
      </c>
      <c r="G284" s="24"/>
      <c r="H284" s="35" t="str">
        <f aca="false">IF($G284="","",IFERROR(INDEX(费用款别,MATCH($G284,费用类别表,0)),"合同外款"))</f>
        <v/>
      </c>
      <c r="I284" s="33"/>
      <c r="J284" s="33"/>
      <c r="K284" s="39"/>
      <c r="L284" s="33"/>
      <c r="M284" s="25"/>
      <c r="N284" s="39"/>
      <c r="O284" s="35" t="str">
        <f aca="false">IF($C284="","",IF(N($N284)&lt;=0,"未开票",IF(ROUND(N($N284)-N($K284),2)&gt;=0,"已开票",IFERROR("部分开票 "&amp;TEXT(N($N284)/N($K284),"0%"),"部分开票"))))</f>
        <v/>
      </c>
      <c r="P284" s="40" t="str">
        <f aca="false">IF($C284="","",ROUND($V284+MIN($W284,MAX(0,(SUMIF(收款键,$D284,收款金额)-SUMIFS(收款金额,收款键,$D284,收款关联,"&lt;&gt;"))-($X284-$W284))),2))</f>
        <v/>
      </c>
      <c r="Q284" s="41" t="str">
        <f aca="false">IF($C284="","",ROUND(N($K284)-N($P284),2))</f>
        <v/>
      </c>
      <c r="R284" s="29" t="str">
        <f aca="false">IF($C284="","",YEAR($C284))</f>
        <v/>
      </c>
      <c r="S284" s="24"/>
      <c r="T284" s="35" t="str">
        <f aca="false">IF($C284="","",IF($D284="","★没选客户项目",IF(COUNTIF(合同键,$D284)=0,"★《维保合同》里没这个项目",IF(N($K284)&lt;=0,"★应收金额要填",IF(ROUND(N($N284)-N($K284),2)&gt;0.001,"★开票金额大于应收",IF(AND($L284&lt;&gt;"",N($N284)&lt;=0),"★填了开票日期没填开票金额",IF(AND($I284&lt;&gt;"",$J284&lt;&gt;"",$J284&lt;$I284),"★计费期间起止反了","OK")))))))</f>
        <v/>
      </c>
      <c r="U284" s="29" t="str">
        <f aca="false">IF($L284="","",YEAR($L284))</f>
        <v/>
      </c>
      <c r="V284" s="40" t="str">
        <f aca="false">IF($C284="","",ROUND(SUMIF(收款关联,$B284,收款金额),2))</f>
        <v/>
      </c>
      <c r="W284" s="40" t="str">
        <f aca="false">IF($C284="","",MAX(0,ROUND(N($K284)-N($V284),2)))</f>
        <v/>
      </c>
      <c r="X284" s="40" t="str">
        <f aca="false">IF($C284="","",ROUND(SUMIFS(应收净额,应收键,$D284,应收行号,"&lt;="&amp;ROW()),2))</f>
        <v/>
      </c>
      <c r="Y284" s="29" t="str">
        <f aca="false">IF($C284="","",ROW())</f>
        <v/>
      </c>
    </row>
    <row r="285" customFormat="false" ht="15" hidden="false" customHeight="false" outlineLevel="0" collapsed="false">
      <c r="A285" s="29" t="str">
        <f aca="false">IF($C285="","",ROW()-4)</f>
        <v/>
      </c>
      <c r="B285" s="35" t="str">
        <f aca="false">IF($C285="","","YS"&amp;TEXT($C285,"yyyymm")&amp;"-"&amp;TEXT(ROW()-4,"0000"))</f>
        <v/>
      </c>
      <c r="C285" s="33"/>
      <c r="D285" s="24"/>
      <c r="E285" s="30" t="str">
        <f aca="false">IF($D285="","",IFERROR(INDEX(合同单位,MATCH($D285,合同键,0)),IFERROR(TRIM(LEFT($D285,FIND("｜",$D285)-1)),$D285)))</f>
        <v/>
      </c>
      <c r="F285" s="30" t="str">
        <f aca="false">IF($D285="","",IFERROR(INDEX(合同项目,MATCH($D285,合同键,0)),IFERROR(TRIM(MID($D285,FIND("｜",$D285)+1,99)),"")))</f>
        <v/>
      </c>
      <c r="G285" s="24"/>
      <c r="H285" s="35" t="str">
        <f aca="false">IF($G285="","",IFERROR(INDEX(费用款别,MATCH($G285,费用类别表,0)),"合同外款"))</f>
        <v/>
      </c>
      <c r="I285" s="33"/>
      <c r="J285" s="33"/>
      <c r="K285" s="39"/>
      <c r="L285" s="33"/>
      <c r="M285" s="25"/>
      <c r="N285" s="39"/>
      <c r="O285" s="35" t="str">
        <f aca="false">IF($C285="","",IF(N($N285)&lt;=0,"未开票",IF(ROUND(N($N285)-N($K285),2)&gt;=0,"已开票",IFERROR("部分开票 "&amp;TEXT(N($N285)/N($K285),"0%"),"部分开票"))))</f>
        <v/>
      </c>
      <c r="P285" s="40" t="str">
        <f aca="false">IF($C285="","",ROUND($V285+MIN($W285,MAX(0,(SUMIF(收款键,$D285,收款金额)-SUMIFS(收款金额,收款键,$D285,收款关联,"&lt;&gt;"))-($X285-$W285))),2))</f>
        <v/>
      </c>
      <c r="Q285" s="41" t="str">
        <f aca="false">IF($C285="","",ROUND(N($K285)-N($P285),2))</f>
        <v/>
      </c>
      <c r="R285" s="29" t="str">
        <f aca="false">IF($C285="","",YEAR($C285))</f>
        <v/>
      </c>
      <c r="S285" s="24"/>
      <c r="T285" s="35" t="str">
        <f aca="false">IF($C285="","",IF($D285="","★没选客户项目",IF(COUNTIF(合同键,$D285)=0,"★《维保合同》里没这个项目",IF(N($K285)&lt;=0,"★应收金额要填",IF(ROUND(N($N285)-N($K285),2)&gt;0.001,"★开票金额大于应收",IF(AND($L285&lt;&gt;"",N($N285)&lt;=0),"★填了开票日期没填开票金额",IF(AND($I285&lt;&gt;"",$J285&lt;&gt;"",$J285&lt;$I285),"★计费期间起止反了","OK")))))))</f>
        <v/>
      </c>
      <c r="U285" s="29" t="str">
        <f aca="false">IF($L285="","",YEAR($L285))</f>
        <v/>
      </c>
      <c r="V285" s="40" t="str">
        <f aca="false">IF($C285="","",ROUND(SUMIF(收款关联,$B285,收款金额),2))</f>
        <v/>
      </c>
      <c r="W285" s="40" t="str">
        <f aca="false">IF($C285="","",MAX(0,ROUND(N($K285)-N($V285),2)))</f>
        <v/>
      </c>
      <c r="X285" s="40" t="str">
        <f aca="false">IF($C285="","",ROUND(SUMIFS(应收净额,应收键,$D285,应收行号,"&lt;="&amp;ROW()),2))</f>
        <v/>
      </c>
      <c r="Y285" s="29" t="str">
        <f aca="false">IF($C285="","",ROW())</f>
        <v/>
      </c>
    </row>
    <row r="286" customFormat="false" ht="15" hidden="false" customHeight="false" outlineLevel="0" collapsed="false">
      <c r="A286" s="29" t="str">
        <f aca="false">IF($C286="","",ROW()-4)</f>
        <v/>
      </c>
      <c r="B286" s="35" t="str">
        <f aca="false">IF($C286="","","YS"&amp;TEXT($C286,"yyyymm")&amp;"-"&amp;TEXT(ROW()-4,"0000"))</f>
        <v/>
      </c>
      <c r="C286" s="33"/>
      <c r="D286" s="24"/>
      <c r="E286" s="30" t="str">
        <f aca="false">IF($D286="","",IFERROR(INDEX(合同单位,MATCH($D286,合同键,0)),IFERROR(TRIM(LEFT($D286,FIND("｜",$D286)-1)),$D286)))</f>
        <v/>
      </c>
      <c r="F286" s="30" t="str">
        <f aca="false">IF($D286="","",IFERROR(INDEX(合同项目,MATCH($D286,合同键,0)),IFERROR(TRIM(MID($D286,FIND("｜",$D286)+1,99)),"")))</f>
        <v/>
      </c>
      <c r="G286" s="24"/>
      <c r="H286" s="35" t="str">
        <f aca="false">IF($G286="","",IFERROR(INDEX(费用款别,MATCH($G286,费用类别表,0)),"合同外款"))</f>
        <v/>
      </c>
      <c r="I286" s="33"/>
      <c r="J286" s="33"/>
      <c r="K286" s="39"/>
      <c r="L286" s="33"/>
      <c r="M286" s="25"/>
      <c r="N286" s="39"/>
      <c r="O286" s="35" t="str">
        <f aca="false">IF($C286="","",IF(N($N286)&lt;=0,"未开票",IF(ROUND(N($N286)-N($K286),2)&gt;=0,"已开票",IFERROR("部分开票 "&amp;TEXT(N($N286)/N($K286),"0%"),"部分开票"))))</f>
        <v/>
      </c>
      <c r="P286" s="40" t="str">
        <f aca="false">IF($C286="","",ROUND($V286+MIN($W286,MAX(0,(SUMIF(收款键,$D286,收款金额)-SUMIFS(收款金额,收款键,$D286,收款关联,"&lt;&gt;"))-($X286-$W286))),2))</f>
        <v/>
      </c>
      <c r="Q286" s="41" t="str">
        <f aca="false">IF($C286="","",ROUND(N($K286)-N($P286),2))</f>
        <v/>
      </c>
      <c r="R286" s="29" t="str">
        <f aca="false">IF($C286="","",YEAR($C286))</f>
        <v/>
      </c>
      <c r="S286" s="24"/>
      <c r="T286" s="35" t="str">
        <f aca="false">IF($C286="","",IF($D286="","★没选客户项目",IF(COUNTIF(合同键,$D286)=0,"★《维保合同》里没这个项目",IF(N($K286)&lt;=0,"★应收金额要填",IF(ROUND(N($N286)-N($K286),2)&gt;0.001,"★开票金额大于应收",IF(AND($L286&lt;&gt;"",N($N286)&lt;=0),"★填了开票日期没填开票金额",IF(AND($I286&lt;&gt;"",$J286&lt;&gt;"",$J286&lt;$I286),"★计费期间起止反了","OK")))))))</f>
        <v/>
      </c>
      <c r="U286" s="29" t="str">
        <f aca="false">IF($L286="","",YEAR($L286))</f>
        <v/>
      </c>
      <c r="V286" s="40" t="str">
        <f aca="false">IF($C286="","",ROUND(SUMIF(收款关联,$B286,收款金额),2))</f>
        <v/>
      </c>
      <c r="W286" s="40" t="str">
        <f aca="false">IF($C286="","",MAX(0,ROUND(N($K286)-N($V286),2)))</f>
        <v/>
      </c>
      <c r="X286" s="40" t="str">
        <f aca="false">IF($C286="","",ROUND(SUMIFS(应收净额,应收键,$D286,应收行号,"&lt;="&amp;ROW()),2))</f>
        <v/>
      </c>
      <c r="Y286" s="29" t="str">
        <f aca="false">IF($C286="","",ROW())</f>
        <v/>
      </c>
    </row>
    <row r="287" customFormat="false" ht="15" hidden="false" customHeight="false" outlineLevel="0" collapsed="false">
      <c r="A287" s="29" t="str">
        <f aca="false">IF($C287="","",ROW()-4)</f>
        <v/>
      </c>
      <c r="B287" s="35" t="str">
        <f aca="false">IF($C287="","","YS"&amp;TEXT($C287,"yyyymm")&amp;"-"&amp;TEXT(ROW()-4,"0000"))</f>
        <v/>
      </c>
      <c r="C287" s="33"/>
      <c r="D287" s="24"/>
      <c r="E287" s="30" t="str">
        <f aca="false">IF($D287="","",IFERROR(INDEX(合同单位,MATCH($D287,合同键,0)),IFERROR(TRIM(LEFT($D287,FIND("｜",$D287)-1)),$D287)))</f>
        <v/>
      </c>
      <c r="F287" s="30" t="str">
        <f aca="false">IF($D287="","",IFERROR(INDEX(合同项目,MATCH($D287,合同键,0)),IFERROR(TRIM(MID($D287,FIND("｜",$D287)+1,99)),"")))</f>
        <v/>
      </c>
      <c r="G287" s="24"/>
      <c r="H287" s="35" t="str">
        <f aca="false">IF($G287="","",IFERROR(INDEX(费用款别,MATCH($G287,费用类别表,0)),"合同外款"))</f>
        <v/>
      </c>
      <c r="I287" s="33"/>
      <c r="J287" s="33"/>
      <c r="K287" s="39"/>
      <c r="L287" s="33"/>
      <c r="M287" s="25"/>
      <c r="N287" s="39"/>
      <c r="O287" s="35" t="str">
        <f aca="false">IF($C287="","",IF(N($N287)&lt;=0,"未开票",IF(ROUND(N($N287)-N($K287),2)&gt;=0,"已开票",IFERROR("部分开票 "&amp;TEXT(N($N287)/N($K287),"0%"),"部分开票"))))</f>
        <v/>
      </c>
      <c r="P287" s="40" t="str">
        <f aca="false">IF($C287="","",ROUND($V287+MIN($W287,MAX(0,(SUMIF(收款键,$D287,收款金额)-SUMIFS(收款金额,收款键,$D287,收款关联,"&lt;&gt;"))-($X287-$W287))),2))</f>
        <v/>
      </c>
      <c r="Q287" s="41" t="str">
        <f aca="false">IF($C287="","",ROUND(N($K287)-N($P287),2))</f>
        <v/>
      </c>
      <c r="R287" s="29" t="str">
        <f aca="false">IF($C287="","",YEAR($C287))</f>
        <v/>
      </c>
      <c r="S287" s="24"/>
      <c r="T287" s="35" t="str">
        <f aca="false">IF($C287="","",IF($D287="","★没选客户项目",IF(COUNTIF(合同键,$D287)=0,"★《维保合同》里没这个项目",IF(N($K287)&lt;=0,"★应收金额要填",IF(ROUND(N($N287)-N($K287),2)&gt;0.001,"★开票金额大于应收",IF(AND($L287&lt;&gt;"",N($N287)&lt;=0),"★填了开票日期没填开票金额",IF(AND($I287&lt;&gt;"",$J287&lt;&gt;"",$J287&lt;$I287),"★计费期间起止反了","OK")))))))</f>
        <v/>
      </c>
      <c r="U287" s="29" t="str">
        <f aca="false">IF($L287="","",YEAR($L287))</f>
        <v/>
      </c>
      <c r="V287" s="40" t="str">
        <f aca="false">IF($C287="","",ROUND(SUMIF(收款关联,$B287,收款金额),2))</f>
        <v/>
      </c>
      <c r="W287" s="40" t="str">
        <f aca="false">IF($C287="","",MAX(0,ROUND(N($K287)-N($V287),2)))</f>
        <v/>
      </c>
      <c r="X287" s="40" t="str">
        <f aca="false">IF($C287="","",ROUND(SUMIFS(应收净额,应收键,$D287,应收行号,"&lt;="&amp;ROW()),2))</f>
        <v/>
      </c>
      <c r="Y287" s="29" t="str">
        <f aca="false">IF($C287="","",ROW())</f>
        <v/>
      </c>
    </row>
    <row r="288" customFormat="false" ht="15" hidden="false" customHeight="false" outlineLevel="0" collapsed="false">
      <c r="A288" s="29" t="str">
        <f aca="false">IF($C288="","",ROW()-4)</f>
        <v/>
      </c>
      <c r="B288" s="35" t="str">
        <f aca="false">IF($C288="","","YS"&amp;TEXT($C288,"yyyymm")&amp;"-"&amp;TEXT(ROW()-4,"0000"))</f>
        <v/>
      </c>
      <c r="C288" s="33"/>
      <c r="D288" s="24"/>
      <c r="E288" s="30" t="str">
        <f aca="false">IF($D288="","",IFERROR(INDEX(合同单位,MATCH($D288,合同键,0)),IFERROR(TRIM(LEFT($D288,FIND("｜",$D288)-1)),$D288)))</f>
        <v/>
      </c>
      <c r="F288" s="30" t="str">
        <f aca="false">IF($D288="","",IFERROR(INDEX(合同项目,MATCH($D288,合同键,0)),IFERROR(TRIM(MID($D288,FIND("｜",$D288)+1,99)),"")))</f>
        <v/>
      </c>
      <c r="G288" s="24"/>
      <c r="H288" s="35" t="str">
        <f aca="false">IF($G288="","",IFERROR(INDEX(费用款别,MATCH($G288,费用类别表,0)),"合同外款"))</f>
        <v/>
      </c>
      <c r="I288" s="33"/>
      <c r="J288" s="33"/>
      <c r="K288" s="39"/>
      <c r="L288" s="33"/>
      <c r="M288" s="25"/>
      <c r="N288" s="39"/>
      <c r="O288" s="35" t="str">
        <f aca="false">IF($C288="","",IF(N($N288)&lt;=0,"未开票",IF(ROUND(N($N288)-N($K288),2)&gt;=0,"已开票",IFERROR("部分开票 "&amp;TEXT(N($N288)/N($K288),"0%"),"部分开票"))))</f>
        <v/>
      </c>
      <c r="P288" s="40" t="str">
        <f aca="false">IF($C288="","",ROUND($V288+MIN($W288,MAX(0,(SUMIF(收款键,$D288,收款金额)-SUMIFS(收款金额,收款键,$D288,收款关联,"&lt;&gt;"))-($X288-$W288))),2))</f>
        <v/>
      </c>
      <c r="Q288" s="41" t="str">
        <f aca="false">IF($C288="","",ROUND(N($K288)-N($P288),2))</f>
        <v/>
      </c>
      <c r="R288" s="29" t="str">
        <f aca="false">IF($C288="","",YEAR($C288))</f>
        <v/>
      </c>
      <c r="S288" s="24"/>
      <c r="T288" s="35" t="str">
        <f aca="false">IF($C288="","",IF($D288="","★没选客户项目",IF(COUNTIF(合同键,$D288)=0,"★《维保合同》里没这个项目",IF(N($K288)&lt;=0,"★应收金额要填",IF(ROUND(N($N288)-N($K288),2)&gt;0.001,"★开票金额大于应收",IF(AND($L288&lt;&gt;"",N($N288)&lt;=0),"★填了开票日期没填开票金额",IF(AND($I288&lt;&gt;"",$J288&lt;&gt;"",$J288&lt;$I288),"★计费期间起止反了","OK")))))))</f>
        <v/>
      </c>
      <c r="U288" s="29" t="str">
        <f aca="false">IF($L288="","",YEAR($L288))</f>
        <v/>
      </c>
      <c r="V288" s="40" t="str">
        <f aca="false">IF($C288="","",ROUND(SUMIF(收款关联,$B288,收款金额),2))</f>
        <v/>
      </c>
      <c r="W288" s="40" t="str">
        <f aca="false">IF($C288="","",MAX(0,ROUND(N($K288)-N($V288),2)))</f>
        <v/>
      </c>
      <c r="X288" s="40" t="str">
        <f aca="false">IF($C288="","",ROUND(SUMIFS(应收净额,应收键,$D288,应收行号,"&lt;="&amp;ROW()),2))</f>
        <v/>
      </c>
      <c r="Y288" s="29" t="str">
        <f aca="false">IF($C288="","",ROW())</f>
        <v/>
      </c>
    </row>
    <row r="289" customFormat="false" ht="15" hidden="false" customHeight="false" outlineLevel="0" collapsed="false">
      <c r="A289" s="29" t="str">
        <f aca="false">IF($C289="","",ROW()-4)</f>
        <v/>
      </c>
      <c r="B289" s="35" t="str">
        <f aca="false">IF($C289="","","YS"&amp;TEXT($C289,"yyyymm")&amp;"-"&amp;TEXT(ROW()-4,"0000"))</f>
        <v/>
      </c>
      <c r="C289" s="33"/>
      <c r="D289" s="24"/>
      <c r="E289" s="30" t="str">
        <f aca="false">IF($D289="","",IFERROR(INDEX(合同单位,MATCH($D289,合同键,0)),IFERROR(TRIM(LEFT($D289,FIND("｜",$D289)-1)),$D289)))</f>
        <v/>
      </c>
      <c r="F289" s="30" t="str">
        <f aca="false">IF($D289="","",IFERROR(INDEX(合同项目,MATCH($D289,合同键,0)),IFERROR(TRIM(MID($D289,FIND("｜",$D289)+1,99)),"")))</f>
        <v/>
      </c>
      <c r="G289" s="24"/>
      <c r="H289" s="35" t="str">
        <f aca="false">IF($G289="","",IFERROR(INDEX(费用款别,MATCH($G289,费用类别表,0)),"合同外款"))</f>
        <v/>
      </c>
      <c r="I289" s="33"/>
      <c r="J289" s="33"/>
      <c r="K289" s="39"/>
      <c r="L289" s="33"/>
      <c r="M289" s="25"/>
      <c r="N289" s="39"/>
      <c r="O289" s="35" t="str">
        <f aca="false">IF($C289="","",IF(N($N289)&lt;=0,"未开票",IF(ROUND(N($N289)-N($K289),2)&gt;=0,"已开票",IFERROR("部分开票 "&amp;TEXT(N($N289)/N($K289),"0%"),"部分开票"))))</f>
        <v/>
      </c>
      <c r="P289" s="40" t="str">
        <f aca="false">IF($C289="","",ROUND($V289+MIN($W289,MAX(0,(SUMIF(收款键,$D289,收款金额)-SUMIFS(收款金额,收款键,$D289,收款关联,"&lt;&gt;"))-($X289-$W289))),2))</f>
        <v/>
      </c>
      <c r="Q289" s="41" t="str">
        <f aca="false">IF($C289="","",ROUND(N($K289)-N($P289),2))</f>
        <v/>
      </c>
      <c r="R289" s="29" t="str">
        <f aca="false">IF($C289="","",YEAR($C289))</f>
        <v/>
      </c>
      <c r="S289" s="24"/>
      <c r="T289" s="35" t="str">
        <f aca="false">IF($C289="","",IF($D289="","★没选客户项目",IF(COUNTIF(合同键,$D289)=0,"★《维保合同》里没这个项目",IF(N($K289)&lt;=0,"★应收金额要填",IF(ROUND(N($N289)-N($K289),2)&gt;0.001,"★开票金额大于应收",IF(AND($L289&lt;&gt;"",N($N289)&lt;=0),"★填了开票日期没填开票金额",IF(AND($I289&lt;&gt;"",$J289&lt;&gt;"",$J289&lt;$I289),"★计费期间起止反了","OK")))))))</f>
        <v/>
      </c>
      <c r="U289" s="29" t="str">
        <f aca="false">IF($L289="","",YEAR($L289))</f>
        <v/>
      </c>
      <c r="V289" s="40" t="str">
        <f aca="false">IF($C289="","",ROUND(SUMIF(收款关联,$B289,收款金额),2))</f>
        <v/>
      </c>
      <c r="W289" s="40" t="str">
        <f aca="false">IF($C289="","",MAX(0,ROUND(N($K289)-N($V289),2)))</f>
        <v/>
      </c>
      <c r="X289" s="40" t="str">
        <f aca="false">IF($C289="","",ROUND(SUMIFS(应收净额,应收键,$D289,应收行号,"&lt;="&amp;ROW()),2))</f>
        <v/>
      </c>
      <c r="Y289" s="29" t="str">
        <f aca="false">IF($C289="","",ROW())</f>
        <v/>
      </c>
    </row>
    <row r="290" customFormat="false" ht="15" hidden="false" customHeight="false" outlineLevel="0" collapsed="false">
      <c r="A290" s="29" t="str">
        <f aca="false">IF($C290="","",ROW()-4)</f>
        <v/>
      </c>
      <c r="B290" s="35" t="str">
        <f aca="false">IF($C290="","","YS"&amp;TEXT($C290,"yyyymm")&amp;"-"&amp;TEXT(ROW()-4,"0000"))</f>
        <v/>
      </c>
      <c r="C290" s="33"/>
      <c r="D290" s="24"/>
      <c r="E290" s="30" t="str">
        <f aca="false">IF($D290="","",IFERROR(INDEX(合同单位,MATCH($D290,合同键,0)),IFERROR(TRIM(LEFT($D290,FIND("｜",$D290)-1)),$D290)))</f>
        <v/>
      </c>
      <c r="F290" s="30" t="str">
        <f aca="false">IF($D290="","",IFERROR(INDEX(合同项目,MATCH($D290,合同键,0)),IFERROR(TRIM(MID($D290,FIND("｜",$D290)+1,99)),"")))</f>
        <v/>
      </c>
      <c r="G290" s="24"/>
      <c r="H290" s="35" t="str">
        <f aca="false">IF($G290="","",IFERROR(INDEX(费用款别,MATCH($G290,费用类别表,0)),"合同外款"))</f>
        <v/>
      </c>
      <c r="I290" s="33"/>
      <c r="J290" s="33"/>
      <c r="K290" s="39"/>
      <c r="L290" s="33"/>
      <c r="M290" s="25"/>
      <c r="N290" s="39"/>
      <c r="O290" s="35" t="str">
        <f aca="false">IF($C290="","",IF(N($N290)&lt;=0,"未开票",IF(ROUND(N($N290)-N($K290),2)&gt;=0,"已开票",IFERROR("部分开票 "&amp;TEXT(N($N290)/N($K290),"0%"),"部分开票"))))</f>
        <v/>
      </c>
      <c r="P290" s="40" t="str">
        <f aca="false">IF($C290="","",ROUND($V290+MIN($W290,MAX(0,(SUMIF(收款键,$D290,收款金额)-SUMIFS(收款金额,收款键,$D290,收款关联,"&lt;&gt;"))-($X290-$W290))),2))</f>
        <v/>
      </c>
      <c r="Q290" s="41" t="str">
        <f aca="false">IF($C290="","",ROUND(N($K290)-N($P290),2))</f>
        <v/>
      </c>
      <c r="R290" s="29" t="str">
        <f aca="false">IF($C290="","",YEAR($C290))</f>
        <v/>
      </c>
      <c r="S290" s="24"/>
      <c r="T290" s="35" t="str">
        <f aca="false">IF($C290="","",IF($D290="","★没选客户项目",IF(COUNTIF(合同键,$D290)=0,"★《维保合同》里没这个项目",IF(N($K290)&lt;=0,"★应收金额要填",IF(ROUND(N($N290)-N($K290),2)&gt;0.001,"★开票金额大于应收",IF(AND($L290&lt;&gt;"",N($N290)&lt;=0),"★填了开票日期没填开票金额",IF(AND($I290&lt;&gt;"",$J290&lt;&gt;"",$J290&lt;$I290),"★计费期间起止反了","OK")))))))</f>
        <v/>
      </c>
      <c r="U290" s="29" t="str">
        <f aca="false">IF($L290="","",YEAR($L290))</f>
        <v/>
      </c>
      <c r="V290" s="40" t="str">
        <f aca="false">IF($C290="","",ROUND(SUMIF(收款关联,$B290,收款金额),2))</f>
        <v/>
      </c>
      <c r="W290" s="40" t="str">
        <f aca="false">IF($C290="","",MAX(0,ROUND(N($K290)-N($V290),2)))</f>
        <v/>
      </c>
      <c r="X290" s="40" t="str">
        <f aca="false">IF($C290="","",ROUND(SUMIFS(应收净额,应收键,$D290,应收行号,"&lt;="&amp;ROW()),2))</f>
        <v/>
      </c>
      <c r="Y290" s="29" t="str">
        <f aca="false">IF($C290="","",ROW())</f>
        <v/>
      </c>
    </row>
    <row r="291" customFormat="false" ht="15" hidden="false" customHeight="false" outlineLevel="0" collapsed="false">
      <c r="A291" s="29" t="str">
        <f aca="false">IF($C291="","",ROW()-4)</f>
        <v/>
      </c>
      <c r="B291" s="35" t="str">
        <f aca="false">IF($C291="","","YS"&amp;TEXT($C291,"yyyymm")&amp;"-"&amp;TEXT(ROW()-4,"0000"))</f>
        <v/>
      </c>
      <c r="C291" s="33"/>
      <c r="D291" s="24"/>
      <c r="E291" s="30" t="str">
        <f aca="false">IF($D291="","",IFERROR(INDEX(合同单位,MATCH($D291,合同键,0)),IFERROR(TRIM(LEFT($D291,FIND("｜",$D291)-1)),$D291)))</f>
        <v/>
      </c>
      <c r="F291" s="30" t="str">
        <f aca="false">IF($D291="","",IFERROR(INDEX(合同项目,MATCH($D291,合同键,0)),IFERROR(TRIM(MID($D291,FIND("｜",$D291)+1,99)),"")))</f>
        <v/>
      </c>
      <c r="G291" s="24"/>
      <c r="H291" s="35" t="str">
        <f aca="false">IF($G291="","",IFERROR(INDEX(费用款别,MATCH($G291,费用类别表,0)),"合同外款"))</f>
        <v/>
      </c>
      <c r="I291" s="33"/>
      <c r="J291" s="33"/>
      <c r="K291" s="39"/>
      <c r="L291" s="33"/>
      <c r="M291" s="25"/>
      <c r="N291" s="39"/>
      <c r="O291" s="35" t="str">
        <f aca="false">IF($C291="","",IF(N($N291)&lt;=0,"未开票",IF(ROUND(N($N291)-N($K291),2)&gt;=0,"已开票",IFERROR("部分开票 "&amp;TEXT(N($N291)/N($K291),"0%"),"部分开票"))))</f>
        <v/>
      </c>
      <c r="P291" s="40" t="str">
        <f aca="false">IF($C291="","",ROUND($V291+MIN($W291,MAX(0,(SUMIF(收款键,$D291,收款金额)-SUMIFS(收款金额,收款键,$D291,收款关联,"&lt;&gt;"))-($X291-$W291))),2))</f>
        <v/>
      </c>
      <c r="Q291" s="41" t="str">
        <f aca="false">IF($C291="","",ROUND(N($K291)-N($P291),2))</f>
        <v/>
      </c>
      <c r="R291" s="29" t="str">
        <f aca="false">IF($C291="","",YEAR($C291))</f>
        <v/>
      </c>
      <c r="S291" s="24"/>
      <c r="T291" s="35" t="str">
        <f aca="false">IF($C291="","",IF($D291="","★没选客户项目",IF(COUNTIF(合同键,$D291)=0,"★《维保合同》里没这个项目",IF(N($K291)&lt;=0,"★应收金额要填",IF(ROUND(N($N291)-N($K291),2)&gt;0.001,"★开票金额大于应收",IF(AND($L291&lt;&gt;"",N($N291)&lt;=0),"★填了开票日期没填开票金额",IF(AND($I291&lt;&gt;"",$J291&lt;&gt;"",$J291&lt;$I291),"★计费期间起止反了","OK")))))))</f>
        <v/>
      </c>
      <c r="U291" s="29" t="str">
        <f aca="false">IF($L291="","",YEAR($L291))</f>
        <v/>
      </c>
      <c r="V291" s="40" t="str">
        <f aca="false">IF($C291="","",ROUND(SUMIF(收款关联,$B291,收款金额),2))</f>
        <v/>
      </c>
      <c r="W291" s="40" t="str">
        <f aca="false">IF($C291="","",MAX(0,ROUND(N($K291)-N($V291),2)))</f>
        <v/>
      </c>
      <c r="X291" s="40" t="str">
        <f aca="false">IF($C291="","",ROUND(SUMIFS(应收净额,应收键,$D291,应收行号,"&lt;="&amp;ROW()),2))</f>
        <v/>
      </c>
      <c r="Y291" s="29" t="str">
        <f aca="false">IF($C291="","",ROW())</f>
        <v/>
      </c>
    </row>
    <row r="292" customFormat="false" ht="15" hidden="false" customHeight="false" outlineLevel="0" collapsed="false">
      <c r="A292" s="29" t="str">
        <f aca="false">IF($C292="","",ROW()-4)</f>
        <v/>
      </c>
      <c r="B292" s="35" t="str">
        <f aca="false">IF($C292="","","YS"&amp;TEXT($C292,"yyyymm")&amp;"-"&amp;TEXT(ROW()-4,"0000"))</f>
        <v/>
      </c>
      <c r="C292" s="33"/>
      <c r="D292" s="24"/>
      <c r="E292" s="30" t="str">
        <f aca="false">IF($D292="","",IFERROR(INDEX(合同单位,MATCH($D292,合同键,0)),IFERROR(TRIM(LEFT($D292,FIND("｜",$D292)-1)),$D292)))</f>
        <v/>
      </c>
      <c r="F292" s="30" t="str">
        <f aca="false">IF($D292="","",IFERROR(INDEX(合同项目,MATCH($D292,合同键,0)),IFERROR(TRIM(MID($D292,FIND("｜",$D292)+1,99)),"")))</f>
        <v/>
      </c>
      <c r="G292" s="24"/>
      <c r="H292" s="35" t="str">
        <f aca="false">IF($G292="","",IFERROR(INDEX(费用款别,MATCH($G292,费用类别表,0)),"合同外款"))</f>
        <v/>
      </c>
      <c r="I292" s="33"/>
      <c r="J292" s="33"/>
      <c r="K292" s="39"/>
      <c r="L292" s="33"/>
      <c r="M292" s="25"/>
      <c r="N292" s="39"/>
      <c r="O292" s="35" t="str">
        <f aca="false">IF($C292="","",IF(N($N292)&lt;=0,"未开票",IF(ROUND(N($N292)-N($K292),2)&gt;=0,"已开票",IFERROR("部分开票 "&amp;TEXT(N($N292)/N($K292),"0%"),"部分开票"))))</f>
        <v/>
      </c>
      <c r="P292" s="40" t="str">
        <f aca="false">IF($C292="","",ROUND($V292+MIN($W292,MAX(0,(SUMIF(收款键,$D292,收款金额)-SUMIFS(收款金额,收款键,$D292,收款关联,"&lt;&gt;"))-($X292-$W292))),2))</f>
        <v/>
      </c>
      <c r="Q292" s="41" t="str">
        <f aca="false">IF($C292="","",ROUND(N($K292)-N($P292),2))</f>
        <v/>
      </c>
      <c r="R292" s="29" t="str">
        <f aca="false">IF($C292="","",YEAR($C292))</f>
        <v/>
      </c>
      <c r="S292" s="24"/>
      <c r="T292" s="35" t="str">
        <f aca="false">IF($C292="","",IF($D292="","★没选客户项目",IF(COUNTIF(合同键,$D292)=0,"★《维保合同》里没这个项目",IF(N($K292)&lt;=0,"★应收金额要填",IF(ROUND(N($N292)-N($K292),2)&gt;0.001,"★开票金额大于应收",IF(AND($L292&lt;&gt;"",N($N292)&lt;=0),"★填了开票日期没填开票金额",IF(AND($I292&lt;&gt;"",$J292&lt;&gt;"",$J292&lt;$I292),"★计费期间起止反了","OK")))))))</f>
        <v/>
      </c>
      <c r="U292" s="29" t="str">
        <f aca="false">IF($L292="","",YEAR($L292))</f>
        <v/>
      </c>
      <c r="V292" s="40" t="str">
        <f aca="false">IF($C292="","",ROUND(SUMIF(收款关联,$B292,收款金额),2))</f>
        <v/>
      </c>
      <c r="W292" s="40" t="str">
        <f aca="false">IF($C292="","",MAX(0,ROUND(N($K292)-N($V292),2)))</f>
        <v/>
      </c>
      <c r="X292" s="40" t="str">
        <f aca="false">IF($C292="","",ROUND(SUMIFS(应收净额,应收键,$D292,应收行号,"&lt;="&amp;ROW()),2))</f>
        <v/>
      </c>
      <c r="Y292" s="29" t="str">
        <f aca="false">IF($C292="","",ROW())</f>
        <v/>
      </c>
    </row>
    <row r="293" customFormat="false" ht="15" hidden="false" customHeight="false" outlineLevel="0" collapsed="false">
      <c r="A293" s="29" t="str">
        <f aca="false">IF($C293="","",ROW()-4)</f>
        <v/>
      </c>
      <c r="B293" s="35" t="str">
        <f aca="false">IF($C293="","","YS"&amp;TEXT($C293,"yyyymm")&amp;"-"&amp;TEXT(ROW()-4,"0000"))</f>
        <v/>
      </c>
      <c r="C293" s="33"/>
      <c r="D293" s="24"/>
      <c r="E293" s="30" t="str">
        <f aca="false">IF($D293="","",IFERROR(INDEX(合同单位,MATCH($D293,合同键,0)),IFERROR(TRIM(LEFT($D293,FIND("｜",$D293)-1)),$D293)))</f>
        <v/>
      </c>
      <c r="F293" s="30" t="str">
        <f aca="false">IF($D293="","",IFERROR(INDEX(合同项目,MATCH($D293,合同键,0)),IFERROR(TRIM(MID($D293,FIND("｜",$D293)+1,99)),"")))</f>
        <v/>
      </c>
      <c r="G293" s="24"/>
      <c r="H293" s="35" t="str">
        <f aca="false">IF($G293="","",IFERROR(INDEX(费用款别,MATCH($G293,费用类别表,0)),"合同外款"))</f>
        <v/>
      </c>
      <c r="I293" s="33"/>
      <c r="J293" s="33"/>
      <c r="K293" s="39"/>
      <c r="L293" s="33"/>
      <c r="M293" s="25"/>
      <c r="N293" s="39"/>
      <c r="O293" s="35" t="str">
        <f aca="false">IF($C293="","",IF(N($N293)&lt;=0,"未开票",IF(ROUND(N($N293)-N($K293),2)&gt;=0,"已开票",IFERROR("部分开票 "&amp;TEXT(N($N293)/N($K293),"0%"),"部分开票"))))</f>
        <v/>
      </c>
      <c r="P293" s="40" t="str">
        <f aca="false">IF($C293="","",ROUND($V293+MIN($W293,MAX(0,(SUMIF(收款键,$D293,收款金额)-SUMIFS(收款金额,收款键,$D293,收款关联,"&lt;&gt;"))-($X293-$W293))),2))</f>
        <v/>
      </c>
      <c r="Q293" s="41" t="str">
        <f aca="false">IF($C293="","",ROUND(N($K293)-N($P293),2))</f>
        <v/>
      </c>
      <c r="R293" s="29" t="str">
        <f aca="false">IF($C293="","",YEAR($C293))</f>
        <v/>
      </c>
      <c r="S293" s="24"/>
      <c r="T293" s="35" t="str">
        <f aca="false">IF($C293="","",IF($D293="","★没选客户项目",IF(COUNTIF(合同键,$D293)=0,"★《维保合同》里没这个项目",IF(N($K293)&lt;=0,"★应收金额要填",IF(ROUND(N($N293)-N($K293),2)&gt;0.001,"★开票金额大于应收",IF(AND($L293&lt;&gt;"",N($N293)&lt;=0),"★填了开票日期没填开票金额",IF(AND($I293&lt;&gt;"",$J293&lt;&gt;"",$J293&lt;$I293),"★计费期间起止反了","OK")))))))</f>
        <v/>
      </c>
      <c r="U293" s="29" t="str">
        <f aca="false">IF($L293="","",YEAR($L293))</f>
        <v/>
      </c>
      <c r="V293" s="40" t="str">
        <f aca="false">IF($C293="","",ROUND(SUMIF(收款关联,$B293,收款金额),2))</f>
        <v/>
      </c>
      <c r="W293" s="40" t="str">
        <f aca="false">IF($C293="","",MAX(0,ROUND(N($K293)-N($V293),2)))</f>
        <v/>
      </c>
      <c r="X293" s="40" t="str">
        <f aca="false">IF($C293="","",ROUND(SUMIFS(应收净额,应收键,$D293,应收行号,"&lt;="&amp;ROW()),2))</f>
        <v/>
      </c>
      <c r="Y293" s="29" t="str">
        <f aca="false">IF($C293="","",ROW())</f>
        <v/>
      </c>
    </row>
    <row r="294" customFormat="false" ht="15" hidden="false" customHeight="false" outlineLevel="0" collapsed="false">
      <c r="A294" s="29" t="str">
        <f aca="false">IF($C294="","",ROW()-4)</f>
        <v/>
      </c>
      <c r="B294" s="35" t="str">
        <f aca="false">IF($C294="","","YS"&amp;TEXT($C294,"yyyymm")&amp;"-"&amp;TEXT(ROW()-4,"0000"))</f>
        <v/>
      </c>
      <c r="C294" s="33"/>
      <c r="D294" s="24"/>
      <c r="E294" s="30" t="str">
        <f aca="false">IF($D294="","",IFERROR(INDEX(合同单位,MATCH($D294,合同键,0)),IFERROR(TRIM(LEFT($D294,FIND("｜",$D294)-1)),$D294)))</f>
        <v/>
      </c>
      <c r="F294" s="30" t="str">
        <f aca="false">IF($D294="","",IFERROR(INDEX(合同项目,MATCH($D294,合同键,0)),IFERROR(TRIM(MID($D294,FIND("｜",$D294)+1,99)),"")))</f>
        <v/>
      </c>
      <c r="G294" s="24"/>
      <c r="H294" s="35" t="str">
        <f aca="false">IF($G294="","",IFERROR(INDEX(费用款别,MATCH($G294,费用类别表,0)),"合同外款"))</f>
        <v/>
      </c>
      <c r="I294" s="33"/>
      <c r="J294" s="33"/>
      <c r="K294" s="39"/>
      <c r="L294" s="33"/>
      <c r="M294" s="25"/>
      <c r="N294" s="39"/>
      <c r="O294" s="35" t="str">
        <f aca="false">IF($C294="","",IF(N($N294)&lt;=0,"未开票",IF(ROUND(N($N294)-N($K294),2)&gt;=0,"已开票",IFERROR("部分开票 "&amp;TEXT(N($N294)/N($K294),"0%"),"部分开票"))))</f>
        <v/>
      </c>
      <c r="P294" s="40" t="str">
        <f aca="false">IF($C294="","",ROUND($V294+MIN($W294,MAX(0,(SUMIF(收款键,$D294,收款金额)-SUMIFS(收款金额,收款键,$D294,收款关联,"&lt;&gt;"))-($X294-$W294))),2))</f>
        <v/>
      </c>
      <c r="Q294" s="41" t="str">
        <f aca="false">IF($C294="","",ROUND(N($K294)-N($P294),2))</f>
        <v/>
      </c>
      <c r="R294" s="29" t="str">
        <f aca="false">IF($C294="","",YEAR($C294))</f>
        <v/>
      </c>
      <c r="S294" s="24"/>
      <c r="T294" s="35" t="str">
        <f aca="false">IF($C294="","",IF($D294="","★没选客户项目",IF(COUNTIF(合同键,$D294)=0,"★《维保合同》里没这个项目",IF(N($K294)&lt;=0,"★应收金额要填",IF(ROUND(N($N294)-N($K294),2)&gt;0.001,"★开票金额大于应收",IF(AND($L294&lt;&gt;"",N($N294)&lt;=0),"★填了开票日期没填开票金额",IF(AND($I294&lt;&gt;"",$J294&lt;&gt;"",$J294&lt;$I294),"★计费期间起止反了","OK")))))))</f>
        <v/>
      </c>
      <c r="U294" s="29" t="str">
        <f aca="false">IF($L294="","",YEAR($L294))</f>
        <v/>
      </c>
      <c r="V294" s="40" t="str">
        <f aca="false">IF($C294="","",ROUND(SUMIF(收款关联,$B294,收款金额),2))</f>
        <v/>
      </c>
      <c r="W294" s="40" t="str">
        <f aca="false">IF($C294="","",MAX(0,ROUND(N($K294)-N($V294),2)))</f>
        <v/>
      </c>
      <c r="X294" s="40" t="str">
        <f aca="false">IF($C294="","",ROUND(SUMIFS(应收净额,应收键,$D294,应收行号,"&lt;="&amp;ROW()),2))</f>
        <v/>
      </c>
      <c r="Y294" s="29" t="str">
        <f aca="false">IF($C294="","",ROW())</f>
        <v/>
      </c>
    </row>
    <row r="295" customFormat="false" ht="15" hidden="false" customHeight="false" outlineLevel="0" collapsed="false">
      <c r="A295" s="29" t="str">
        <f aca="false">IF($C295="","",ROW()-4)</f>
        <v/>
      </c>
      <c r="B295" s="35" t="str">
        <f aca="false">IF($C295="","","YS"&amp;TEXT($C295,"yyyymm")&amp;"-"&amp;TEXT(ROW()-4,"0000"))</f>
        <v/>
      </c>
      <c r="C295" s="33"/>
      <c r="D295" s="24"/>
      <c r="E295" s="30" t="str">
        <f aca="false">IF($D295="","",IFERROR(INDEX(合同单位,MATCH($D295,合同键,0)),IFERROR(TRIM(LEFT($D295,FIND("｜",$D295)-1)),$D295)))</f>
        <v/>
      </c>
      <c r="F295" s="30" t="str">
        <f aca="false">IF($D295="","",IFERROR(INDEX(合同项目,MATCH($D295,合同键,0)),IFERROR(TRIM(MID($D295,FIND("｜",$D295)+1,99)),"")))</f>
        <v/>
      </c>
      <c r="G295" s="24"/>
      <c r="H295" s="35" t="str">
        <f aca="false">IF($G295="","",IFERROR(INDEX(费用款别,MATCH($G295,费用类别表,0)),"合同外款"))</f>
        <v/>
      </c>
      <c r="I295" s="33"/>
      <c r="J295" s="33"/>
      <c r="K295" s="39"/>
      <c r="L295" s="33"/>
      <c r="M295" s="25"/>
      <c r="N295" s="39"/>
      <c r="O295" s="35" t="str">
        <f aca="false">IF($C295="","",IF(N($N295)&lt;=0,"未开票",IF(ROUND(N($N295)-N($K295),2)&gt;=0,"已开票",IFERROR("部分开票 "&amp;TEXT(N($N295)/N($K295),"0%"),"部分开票"))))</f>
        <v/>
      </c>
      <c r="P295" s="40" t="str">
        <f aca="false">IF($C295="","",ROUND($V295+MIN($W295,MAX(0,(SUMIF(收款键,$D295,收款金额)-SUMIFS(收款金额,收款键,$D295,收款关联,"&lt;&gt;"))-($X295-$W295))),2))</f>
        <v/>
      </c>
      <c r="Q295" s="41" t="str">
        <f aca="false">IF($C295="","",ROUND(N($K295)-N($P295),2))</f>
        <v/>
      </c>
      <c r="R295" s="29" t="str">
        <f aca="false">IF($C295="","",YEAR($C295))</f>
        <v/>
      </c>
      <c r="S295" s="24"/>
      <c r="T295" s="35" t="str">
        <f aca="false">IF($C295="","",IF($D295="","★没选客户项目",IF(COUNTIF(合同键,$D295)=0,"★《维保合同》里没这个项目",IF(N($K295)&lt;=0,"★应收金额要填",IF(ROUND(N($N295)-N($K295),2)&gt;0.001,"★开票金额大于应收",IF(AND($L295&lt;&gt;"",N($N295)&lt;=0),"★填了开票日期没填开票金额",IF(AND($I295&lt;&gt;"",$J295&lt;&gt;"",$J295&lt;$I295),"★计费期间起止反了","OK")))))))</f>
        <v/>
      </c>
      <c r="U295" s="29" t="str">
        <f aca="false">IF($L295="","",YEAR($L295))</f>
        <v/>
      </c>
      <c r="V295" s="40" t="str">
        <f aca="false">IF($C295="","",ROUND(SUMIF(收款关联,$B295,收款金额),2))</f>
        <v/>
      </c>
      <c r="W295" s="40" t="str">
        <f aca="false">IF($C295="","",MAX(0,ROUND(N($K295)-N($V295),2)))</f>
        <v/>
      </c>
      <c r="X295" s="40" t="str">
        <f aca="false">IF($C295="","",ROUND(SUMIFS(应收净额,应收键,$D295,应收行号,"&lt;="&amp;ROW()),2))</f>
        <v/>
      </c>
      <c r="Y295" s="29" t="str">
        <f aca="false">IF($C295="","",ROW())</f>
        <v/>
      </c>
    </row>
    <row r="296" customFormat="false" ht="15" hidden="false" customHeight="false" outlineLevel="0" collapsed="false">
      <c r="A296" s="29" t="str">
        <f aca="false">IF($C296="","",ROW()-4)</f>
        <v/>
      </c>
      <c r="B296" s="35" t="str">
        <f aca="false">IF($C296="","","YS"&amp;TEXT($C296,"yyyymm")&amp;"-"&amp;TEXT(ROW()-4,"0000"))</f>
        <v/>
      </c>
      <c r="C296" s="33"/>
      <c r="D296" s="24"/>
      <c r="E296" s="30" t="str">
        <f aca="false">IF($D296="","",IFERROR(INDEX(合同单位,MATCH($D296,合同键,0)),IFERROR(TRIM(LEFT($D296,FIND("｜",$D296)-1)),$D296)))</f>
        <v/>
      </c>
      <c r="F296" s="30" t="str">
        <f aca="false">IF($D296="","",IFERROR(INDEX(合同项目,MATCH($D296,合同键,0)),IFERROR(TRIM(MID($D296,FIND("｜",$D296)+1,99)),"")))</f>
        <v/>
      </c>
      <c r="G296" s="24"/>
      <c r="H296" s="35" t="str">
        <f aca="false">IF($G296="","",IFERROR(INDEX(费用款别,MATCH($G296,费用类别表,0)),"合同外款"))</f>
        <v/>
      </c>
      <c r="I296" s="33"/>
      <c r="J296" s="33"/>
      <c r="K296" s="39"/>
      <c r="L296" s="33"/>
      <c r="M296" s="25"/>
      <c r="N296" s="39"/>
      <c r="O296" s="35" t="str">
        <f aca="false">IF($C296="","",IF(N($N296)&lt;=0,"未开票",IF(ROUND(N($N296)-N($K296),2)&gt;=0,"已开票",IFERROR("部分开票 "&amp;TEXT(N($N296)/N($K296),"0%"),"部分开票"))))</f>
        <v/>
      </c>
      <c r="P296" s="40" t="str">
        <f aca="false">IF($C296="","",ROUND($V296+MIN($W296,MAX(0,(SUMIF(收款键,$D296,收款金额)-SUMIFS(收款金额,收款键,$D296,收款关联,"&lt;&gt;"))-($X296-$W296))),2))</f>
        <v/>
      </c>
      <c r="Q296" s="41" t="str">
        <f aca="false">IF($C296="","",ROUND(N($K296)-N($P296),2))</f>
        <v/>
      </c>
      <c r="R296" s="29" t="str">
        <f aca="false">IF($C296="","",YEAR($C296))</f>
        <v/>
      </c>
      <c r="S296" s="24"/>
      <c r="T296" s="35" t="str">
        <f aca="false">IF($C296="","",IF($D296="","★没选客户项目",IF(COUNTIF(合同键,$D296)=0,"★《维保合同》里没这个项目",IF(N($K296)&lt;=0,"★应收金额要填",IF(ROUND(N($N296)-N($K296),2)&gt;0.001,"★开票金额大于应收",IF(AND($L296&lt;&gt;"",N($N296)&lt;=0),"★填了开票日期没填开票金额",IF(AND($I296&lt;&gt;"",$J296&lt;&gt;"",$J296&lt;$I296),"★计费期间起止反了","OK")))))))</f>
        <v/>
      </c>
      <c r="U296" s="29" t="str">
        <f aca="false">IF($L296="","",YEAR($L296))</f>
        <v/>
      </c>
      <c r="V296" s="40" t="str">
        <f aca="false">IF($C296="","",ROUND(SUMIF(收款关联,$B296,收款金额),2))</f>
        <v/>
      </c>
      <c r="W296" s="40" t="str">
        <f aca="false">IF($C296="","",MAX(0,ROUND(N($K296)-N($V296),2)))</f>
        <v/>
      </c>
      <c r="X296" s="40" t="str">
        <f aca="false">IF($C296="","",ROUND(SUMIFS(应收净额,应收键,$D296,应收行号,"&lt;="&amp;ROW()),2))</f>
        <v/>
      </c>
      <c r="Y296" s="29" t="str">
        <f aca="false">IF($C296="","",ROW())</f>
        <v/>
      </c>
    </row>
    <row r="297" customFormat="false" ht="15" hidden="false" customHeight="false" outlineLevel="0" collapsed="false">
      <c r="A297" s="29" t="str">
        <f aca="false">IF($C297="","",ROW()-4)</f>
        <v/>
      </c>
      <c r="B297" s="35" t="str">
        <f aca="false">IF($C297="","","YS"&amp;TEXT($C297,"yyyymm")&amp;"-"&amp;TEXT(ROW()-4,"0000"))</f>
        <v/>
      </c>
      <c r="C297" s="33"/>
      <c r="D297" s="24"/>
      <c r="E297" s="30" t="str">
        <f aca="false">IF($D297="","",IFERROR(INDEX(合同单位,MATCH($D297,合同键,0)),IFERROR(TRIM(LEFT($D297,FIND("｜",$D297)-1)),$D297)))</f>
        <v/>
      </c>
      <c r="F297" s="30" t="str">
        <f aca="false">IF($D297="","",IFERROR(INDEX(合同项目,MATCH($D297,合同键,0)),IFERROR(TRIM(MID($D297,FIND("｜",$D297)+1,99)),"")))</f>
        <v/>
      </c>
      <c r="G297" s="24"/>
      <c r="H297" s="35" t="str">
        <f aca="false">IF($G297="","",IFERROR(INDEX(费用款别,MATCH($G297,费用类别表,0)),"合同外款"))</f>
        <v/>
      </c>
      <c r="I297" s="33"/>
      <c r="J297" s="33"/>
      <c r="K297" s="39"/>
      <c r="L297" s="33"/>
      <c r="M297" s="25"/>
      <c r="N297" s="39"/>
      <c r="O297" s="35" t="str">
        <f aca="false">IF($C297="","",IF(N($N297)&lt;=0,"未开票",IF(ROUND(N($N297)-N($K297),2)&gt;=0,"已开票",IFERROR("部分开票 "&amp;TEXT(N($N297)/N($K297),"0%"),"部分开票"))))</f>
        <v/>
      </c>
      <c r="P297" s="40" t="str">
        <f aca="false">IF($C297="","",ROUND($V297+MIN($W297,MAX(0,(SUMIF(收款键,$D297,收款金额)-SUMIFS(收款金额,收款键,$D297,收款关联,"&lt;&gt;"))-($X297-$W297))),2))</f>
        <v/>
      </c>
      <c r="Q297" s="41" t="str">
        <f aca="false">IF($C297="","",ROUND(N($K297)-N($P297),2))</f>
        <v/>
      </c>
      <c r="R297" s="29" t="str">
        <f aca="false">IF($C297="","",YEAR($C297))</f>
        <v/>
      </c>
      <c r="S297" s="24"/>
      <c r="T297" s="35" t="str">
        <f aca="false">IF($C297="","",IF($D297="","★没选客户项目",IF(COUNTIF(合同键,$D297)=0,"★《维保合同》里没这个项目",IF(N($K297)&lt;=0,"★应收金额要填",IF(ROUND(N($N297)-N($K297),2)&gt;0.001,"★开票金额大于应收",IF(AND($L297&lt;&gt;"",N($N297)&lt;=0),"★填了开票日期没填开票金额",IF(AND($I297&lt;&gt;"",$J297&lt;&gt;"",$J297&lt;$I297),"★计费期间起止反了","OK")))))))</f>
        <v/>
      </c>
      <c r="U297" s="29" t="str">
        <f aca="false">IF($L297="","",YEAR($L297))</f>
        <v/>
      </c>
      <c r="V297" s="40" t="str">
        <f aca="false">IF($C297="","",ROUND(SUMIF(收款关联,$B297,收款金额),2))</f>
        <v/>
      </c>
      <c r="W297" s="40" t="str">
        <f aca="false">IF($C297="","",MAX(0,ROUND(N($K297)-N($V297),2)))</f>
        <v/>
      </c>
      <c r="X297" s="40" t="str">
        <f aca="false">IF($C297="","",ROUND(SUMIFS(应收净额,应收键,$D297,应收行号,"&lt;="&amp;ROW()),2))</f>
        <v/>
      </c>
      <c r="Y297" s="29" t="str">
        <f aca="false">IF($C297="","",ROW())</f>
        <v/>
      </c>
    </row>
    <row r="298" customFormat="false" ht="15" hidden="false" customHeight="false" outlineLevel="0" collapsed="false">
      <c r="A298" s="29" t="str">
        <f aca="false">IF($C298="","",ROW()-4)</f>
        <v/>
      </c>
      <c r="B298" s="35" t="str">
        <f aca="false">IF($C298="","","YS"&amp;TEXT($C298,"yyyymm")&amp;"-"&amp;TEXT(ROW()-4,"0000"))</f>
        <v/>
      </c>
      <c r="C298" s="33"/>
      <c r="D298" s="24"/>
      <c r="E298" s="30" t="str">
        <f aca="false">IF($D298="","",IFERROR(INDEX(合同单位,MATCH($D298,合同键,0)),IFERROR(TRIM(LEFT($D298,FIND("｜",$D298)-1)),$D298)))</f>
        <v/>
      </c>
      <c r="F298" s="30" t="str">
        <f aca="false">IF($D298="","",IFERROR(INDEX(合同项目,MATCH($D298,合同键,0)),IFERROR(TRIM(MID($D298,FIND("｜",$D298)+1,99)),"")))</f>
        <v/>
      </c>
      <c r="G298" s="24"/>
      <c r="H298" s="35" t="str">
        <f aca="false">IF($G298="","",IFERROR(INDEX(费用款别,MATCH($G298,费用类别表,0)),"合同外款"))</f>
        <v/>
      </c>
      <c r="I298" s="33"/>
      <c r="J298" s="33"/>
      <c r="K298" s="39"/>
      <c r="L298" s="33"/>
      <c r="M298" s="25"/>
      <c r="N298" s="39"/>
      <c r="O298" s="35" t="str">
        <f aca="false">IF($C298="","",IF(N($N298)&lt;=0,"未开票",IF(ROUND(N($N298)-N($K298),2)&gt;=0,"已开票",IFERROR("部分开票 "&amp;TEXT(N($N298)/N($K298),"0%"),"部分开票"))))</f>
        <v/>
      </c>
      <c r="P298" s="40" t="str">
        <f aca="false">IF($C298="","",ROUND($V298+MIN($W298,MAX(0,(SUMIF(收款键,$D298,收款金额)-SUMIFS(收款金额,收款键,$D298,收款关联,"&lt;&gt;"))-($X298-$W298))),2))</f>
        <v/>
      </c>
      <c r="Q298" s="41" t="str">
        <f aca="false">IF($C298="","",ROUND(N($K298)-N($P298),2))</f>
        <v/>
      </c>
      <c r="R298" s="29" t="str">
        <f aca="false">IF($C298="","",YEAR($C298))</f>
        <v/>
      </c>
      <c r="S298" s="24"/>
      <c r="T298" s="35" t="str">
        <f aca="false">IF($C298="","",IF($D298="","★没选客户项目",IF(COUNTIF(合同键,$D298)=0,"★《维保合同》里没这个项目",IF(N($K298)&lt;=0,"★应收金额要填",IF(ROUND(N($N298)-N($K298),2)&gt;0.001,"★开票金额大于应收",IF(AND($L298&lt;&gt;"",N($N298)&lt;=0),"★填了开票日期没填开票金额",IF(AND($I298&lt;&gt;"",$J298&lt;&gt;"",$J298&lt;$I298),"★计费期间起止反了","OK")))))))</f>
        <v/>
      </c>
      <c r="U298" s="29" t="str">
        <f aca="false">IF($L298="","",YEAR($L298))</f>
        <v/>
      </c>
      <c r="V298" s="40" t="str">
        <f aca="false">IF($C298="","",ROUND(SUMIF(收款关联,$B298,收款金额),2))</f>
        <v/>
      </c>
      <c r="W298" s="40" t="str">
        <f aca="false">IF($C298="","",MAX(0,ROUND(N($K298)-N($V298),2)))</f>
        <v/>
      </c>
      <c r="X298" s="40" t="str">
        <f aca="false">IF($C298="","",ROUND(SUMIFS(应收净额,应收键,$D298,应收行号,"&lt;="&amp;ROW()),2))</f>
        <v/>
      </c>
      <c r="Y298" s="29" t="str">
        <f aca="false">IF($C298="","",ROW())</f>
        <v/>
      </c>
    </row>
    <row r="299" customFormat="false" ht="15" hidden="false" customHeight="false" outlineLevel="0" collapsed="false">
      <c r="A299" s="29" t="str">
        <f aca="false">IF($C299="","",ROW()-4)</f>
        <v/>
      </c>
      <c r="B299" s="35" t="str">
        <f aca="false">IF($C299="","","YS"&amp;TEXT($C299,"yyyymm")&amp;"-"&amp;TEXT(ROW()-4,"0000"))</f>
        <v/>
      </c>
      <c r="C299" s="33"/>
      <c r="D299" s="24"/>
      <c r="E299" s="30" t="str">
        <f aca="false">IF($D299="","",IFERROR(INDEX(合同单位,MATCH($D299,合同键,0)),IFERROR(TRIM(LEFT($D299,FIND("｜",$D299)-1)),$D299)))</f>
        <v/>
      </c>
      <c r="F299" s="30" t="str">
        <f aca="false">IF($D299="","",IFERROR(INDEX(合同项目,MATCH($D299,合同键,0)),IFERROR(TRIM(MID($D299,FIND("｜",$D299)+1,99)),"")))</f>
        <v/>
      </c>
      <c r="G299" s="24"/>
      <c r="H299" s="35" t="str">
        <f aca="false">IF($G299="","",IFERROR(INDEX(费用款别,MATCH($G299,费用类别表,0)),"合同外款"))</f>
        <v/>
      </c>
      <c r="I299" s="33"/>
      <c r="J299" s="33"/>
      <c r="K299" s="39"/>
      <c r="L299" s="33"/>
      <c r="M299" s="25"/>
      <c r="N299" s="39"/>
      <c r="O299" s="35" t="str">
        <f aca="false">IF($C299="","",IF(N($N299)&lt;=0,"未开票",IF(ROUND(N($N299)-N($K299),2)&gt;=0,"已开票",IFERROR("部分开票 "&amp;TEXT(N($N299)/N($K299),"0%"),"部分开票"))))</f>
        <v/>
      </c>
      <c r="P299" s="40" t="str">
        <f aca="false">IF($C299="","",ROUND($V299+MIN($W299,MAX(0,(SUMIF(收款键,$D299,收款金额)-SUMIFS(收款金额,收款键,$D299,收款关联,"&lt;&gt;"))-($X299-$W299))),2))</f>
        <v/>
      </c>
      <c r="Q299" s="41" t="str">
        <f aca="false">IF($C299="","",ROUND(N($K299)-N($P299),2))</f>
        <v/>
      </c>
      <c r="R299" s="29" t="str">
        <f aca="false">IF($C299="","",YEAR($C299))</f>
        <v/>
      </c>
      <c r="S299" s="24"/>
      <c r="T299" s="35" t="str">
        <f aca="false">IF($C299="","",IF($D299="","★没选客户项目",IF(COUNTIF(合同键,$D299)=0,"★《维保合同》里没这个项目",IF(N($K299)&lt;=0,"★应收金额要填",IF(ROUND(N($N299)-N($K299),2)&gt;0.001,"★开票金额大于应收",IF(AND($L299&lt;&gt;"",N($N299)&lt;=0),"★填了开票日期没填开票金额",IF(AND($I299&lt;&gt;"",$J299&lt;&gt;"",$J299&lt;$I299),"★计费期间起止反了","OK")))))))</f>
        <v/>
      </c>
      <c r="U299" s="29" t="str">
        <f aca="false">IF($L299="","",YEAR($L299))</f>
        <v/>
      </c>
      <c r="V299" s="40" t="str">
        <f aca="false">IF($C299="","",ROUND(SUMIF(收款关联,$B299,收款金额),2))</f>
        <v/>
      </c>
      <c r="W299" s="40" t="str">
        <f aca="false">IF($C299="","",MAX(0,ROUND(N($K299)-N($V299),2)))</f>
        <v/>
      </c>
      <c r="X299" s="40" t="str">
        <f aca="false">IF($C299="","",ROUND(SUMIFS(应收净额,应收键,$D299,应收行号,"&lt;="&amp;ROW()),2))</f>
        <v/>
      </c>
      <c r="Y299" s="29" t="str">
        <f aca="false">IF($C299="","",ROW())</f>
        <v/>
      </c>
    </row>
    <row r="300" customFormat="false" ht="15" hidden="false" customHeight="false" outlineLevel="0" collapsed="false">
      <c r="A300" s="29" t="str">
        <f aca="false">IF($C300="","",ROW()-4)</f>
        <v/>
      </c>
      <c r="B300" s="35" t="str">
        <f aca="false">IF($C300="","","YS"&amp;TEXT($C300,"yyyymm")&amp;"-"&amp;TEXT(ROW()-4,"0000"))</f>
        <v/>
      </c>
      <c r="C300" s="33"/>
      <c r="D300" s="24"/>
      <c r="E300" s="30" t="str">
        <f aca="false">IF($D300="","",IFERROR(INDEX(合同单位,MATCH($D300,合同键,0)),IFERROR(TRIM(LEFT($D300,FIND("｜",$D300)-1)),$D300)))</f>
        <v/>
      </c>
      <c r="F300" s="30" t="str">
        <f aca="false">IF($D300="","",IFERROR(INDEX(合同项目,MATCH($D300,合同键,0)),IFERROR(TRIM(MID($D300,FIND("｜",$D300)+1,99)),"")))</f>
        <v/>
      </c>
      <c r="G300" s="24"/>
      <c r="H300" s="35" t="str">
        <f aca="false">IF($G300="","",IFERROR(INDEX(费用款别,MATCH($G300,费用类别表,0)),"合同外款"))</f>
        <v/>
      </c>
      <c r="I300" s="33"/>
      <c r="J300" s="33"/>
      <c r="K300" s="39"/>
      <c r="L300" s="33"/>
      <c r="M300" s="25"/>
      <c r="N300" s="39"/>
      <c r="O300" s="35" t="str">
        <f aca="false">IF($C300="","",IF(N($N300)&lt;=0,"未开票",IF(ROUND(N($N300)-N($K300),2)&gt;=0,"已开票",IFERROR("部分开票 "&amp;TEXT(N($N300)/N($K300),"0%"),"部分开票"))))</f>
        <v/>
      </c>
      <c r="P300" s="40" t="str">
        <f aca="false">IF($C300="","",ROUND($V300+MIN($W300,MAX(0,(SUMIF(收款键,$D300,收款金额)-SUMIFS(收款金额,收款键,$D300,收款关联,"&lt;&gt;"))-($X300-$W300))),2))</f>
        <v/>
      </c>
      <c r="Q300" s="41" t="str">
        <f aca="false">IF($C300="","",ROUND(N($K300)-N($P300),2))</f>
        <v/>
      </c>
      <c r="R300" s="29" t="str">
        <f aca="false">IF($C300="","",YEAR($C300))</f>
        <v/>
      </c>
      <c r="S300" s="24"/>
      <c r="T300" s="35" t="str">
        <f aca="false">IF($C300="","",IF($D300="","★没选客户项目",IF(COUNTIF(合同键,$D300)=0,"★《维保合同》里没这个项目",IF(N($K300)&lt;=0,"★应收金额要填",IF(ROUND(N($N300)-N($K300),2)&gt;0.001,"★开票金额大于应收",IF(AND($L300&lt;&gt;"",N($N300)&lt;=0),"★填了开票日期没填开票金额",IF(AND($I300&lt;&gt;"",$J300&lt;&gt;"",$J300&lt;$I300),"★计费期间起止反了","OK")))))))</f>
        <v/>
      </c>
      <c r="U300" s="29" t="str">
        <f aca="false">IF($L300="","",YEAR($L300))</f>
        <v/>
      </c>
      <c r="V300" s="40" t="str">
        <f aca="false">IF($C300="","",ROUND(SUMIF(收款关联,$B300,收款金额),2))</f>
        <v/>
      </c>
      <c r="W300" s="40" t="str">
        <f aca="false">IF($C300="","",MAX(0,ROUND(N($K300)-N($V300),2)))</f>
        <v/>
      </c>
      <c r="X300" s="40" t="str">
        <f aca="false">IF($C300="","",ROUND(SUMIFS(应收净额,应收键,$D300,应收行号,"&lt;="&amp;ROW()),2))</f>
        <v/>
      </c>
      <c r="Y300" s="29" t="str">
        <f aca="false">IF($C300="","",ROW())</f>
        <v/>
      </c>
    </row>
    <row r="301" customFormat="false" ht="15" hidden="false" customHeight="false" outlineLevel="0" collapsed="false">
      <c r="A301" s="29" t="str">
        <f aca="false">IF($C301="","",ROW()-4)</f>
        <v/>
      </c>
      <c r="B301" s="35" t="str">
        <f aca="false">IF($C301="","","YS"&amp;TEXT($C301,"yyyymm")&amp;"-"&amp;TEXT(ROW()-4,"0000"))</f>
        <v/>
      </c>
      <c r="C301" s="33"/>
      <c r="D301" s="24"/>
      <c r="E301" s="30" t="str">
        <f aca="false">IF($D301="","",IFERROR(INDEX(合同单位,MATCH($D301,合同键,0)),IFERROR(TRIM(LEFT($D301,FIND("｜",$D301)-1)),$D301)))</f>
        <v/>
      </c>
      <c r="F301" s="30" t="str">
        <f aca="false">IF($D301="","",IFERROR(INDEX(合同项目,MATCH($D301,合同键,0)),IFERROR(TRIM(MID($D301,FIND("｜",$D301)+1,99)),"")))</f>
        <v/>
      </c>
      <c r="G301" s="24"/>
      <c r="H301" s="35" t="str">
        <f aca="false">IF($G301="","",IFERROR(INDEX(费用款别,MATCH($G301,费用类别表,0)),"合同外款"))</f>
        <v/>
      </c>
      <c r="I301" s="33"/>
      <c r="J301" s="33"/>
      <c r="K301" s="39"/>
      <c r="L301" s="33"/>
      <c r="M301" s="25"/>
      <c r="N301" s="39"/>
      <c r="O301" s="35" t="str">
        <f aca="false">IF($C301="","",IF(N($N301)&lt;=0,"未开票",IF(ROUND(N($N301)-N($K301),2)&gt;=0,"已开票",IFERROR("部分开票 "&amp;TEXT(N($N301)/N($K301),"0%"),"部分开票"))))</f>
        <v/>
      </c>
      <c r="P301" s="40" t="str">
        <f aca="false">IF($C301="","",ROUND($V301+MIN($W301,MAX(0,(SUMIF(收款键,$D301,收款金额)-SUMIFS(收款金额,收款键,$D301,收款关联,"&lt;&gt;"))-($X301-$W301))),2))</f>
        <v/>
      </c>
      <c r="Q301" s="41" t="str">
        <f aca="false">IF($C301="","",ROUND(N($K301)-N($P301),2))</f>
        <v/>
      </c>
      <c r="R301" s="29" t="str">
        <f aca="false">IF($C301="","",YEAR($C301))</f>
        <v/>
      </c>
      <c r="S301" s="24"/>
      <c r="T301" s="35" t="str">
        <f aca="false">IF($C301="","",IF($D301="","★没选客户项目",IF(COUNTIF(合同键,$D301)=0,"★《维保合同》里没这个项目",IF(N($K301)&lt;=0,"★应收金额要填",IF(ROUND(N($N301)-N($K301),2)&gt;0.001,"★开票金额大于应收",IF(AND($L301&lt;&gt;"",N($N301)&lt;=0),"★填了开票日期没填开票金额",IF(AND($I301&lt;&gt;"",$J301&lt;&gt;"",$J301&lt;$I301),"★计费期间起止反了","OK")))))))</f>
        <v/>
      </c>
      <c r="U301" s="29" t="str">
        <f aca="false">IF($L301="","",YEAR($L301))</f>
        <v/>
      </c>
      <c r="V301" s="40" t="str">
        <f aca="false">IF($C301="","",ROUND(SUMIF(收款关联,$B301,收款金额),2))</f>
        <v/>
      </c>
      <c r="W301" s="40" t="str">
        <f aca="false">IF($C301="","",MAX(0,ROUND(N($K301)-N($V301),2)))</f>
        <v/>
      </c>
      <c r="X301" s="40" t="str">
        <f aca="false">IF($C301="","",ROUND(SUMIFS(应收净额,应收键,$D301,应收行号,"&lt;="&amp;ROW()),2))</f>
        <v/>
      </c>
      <c r="Y301" s="29" t="str">
        <f aca="false">IF($C301="","",ROW())</f>
        <v/>
      </c>
    </row>
    <row r="302" customFormat="false" ht="15" hidden="false" customHeight="false" outlineLevel="0" collapsed="false">
      <c r="A302" s="29" t="str">
        <f aca="false">IF($C302="","",ROW()-4)</f>
        <v/>
      </c>
      <c r="B302" s="35" t="str">
        <f aca="false">IF($C302="","","YS"&amp;TEXT($C302,"yyyymm")&amp;"-"&amp;TEXT(ROW()-4,"0000"))</f>
        <v/>
      </c>
      <c r="C302" s="33"/>
      <c r="D302" s="24"/>
      <c r="E302" s="30" t="str">
        <f aca="false">IF($D302="","",IFERROR(INDEX(合同单位,MATCH($D302,合同键,0)),IFERROR(TRIM(LEFT($D302,FIND("｜",$D302)-1)),$D302)))</f>
        <v/>
      </c>
      <c r="F302" s="30" t="str">
        <f aca="false">IF($D302="","",IFERROR(INDEX(合同项目,MATCH($D302,合同键,0)),IFERROR(TRIM(MID($D302,FIND("｜",$D302)+1,99)),"")))</f>
        <v/>
      </c>
      <c r="G302" s="24"/>
      <c r="H302" s="35" t="str">
        <f aca="false">IF($G302="","",IFERROR(INDEX(费用款别,MATCH($G302,费用类别表,0)),"合同外款"))</f>
        <v/>
      </c>
      <c r="I302" s="33"/>
      <c r="J302" s="33"/>
      <c r="K302" s="39"/>
      <c r="L302" s="33"/>
      <c r="M302" s="25"/>
      <c r="N302" s="39"/>
      <c r="O302" s="35" t="str">
        <f aca="false">IF($C302="","",IF(N($N302)&lt;=0,"未开票",IF(ROUND(N($N302)-N($K302),2)&gt;=0,"已开票",IFERROR("部分开票 "&amp;TEXT(N($N302)/N($K302),"0%"),"部分开票"))))</f>
        <v/>
      </c>
      <c r="P302" s="40" t="str">
        <f aca="false">IF($C302="","",ROUND($V302+MIN($W302,MAX(0,(SUMIF(收款键,$D302,收款金额)-SUMIFS(收款金额,收款键,$D302,收款关联,"&lt;&gt;"))-($X302-$W302))),2))</f>
        <v/>
      </c>
      <c r="Q302" s="41" t="str">
        <f aca="false">IF($C302="","",ROUND(N($K302)-N($P302),2))</f>
        <v/>
      </c>
      <c r="R302" s="29" t="str">
        <f aca="false">IF($C302="","",YEAR($C302))</f>
        <v/>
      </c>
      <c r="S302" s="24"/>
      <c r="T302" s="35" t="str">
        <f aca="false">IF($C302="","",IF($D302="","★没选客户项目",IF(COUNTIF(合同键,$D302)=0,"★《维保合同》里没这个项目",IF(N($K302)&lt;=0,"★应收金额要填",IF(ROUND(N($N302)-N($K302),2)&gt;0.001,"★开票金额大于应收",IF(AND($L302&lt;&gt;"",N($N302)&lt;=0),"★填了开票日期没填开票金额",IF(AND($I302&lt;&gt;"",$J302&lt;&gt;"",$J302&lt;$I302),"★计费期间起止反了","OK")))))))</f>
        <v/>
      </c>
      <c r="U302" s="29" t="str">
        <f aca="false">IF($L302="","",YEAR($L302))</f>
        <v/>
      </c>
      <c r="V302" s="40" t="str">
        <f aca="false">IF($C302="","",ROUND(SUMIF(收款关联,$B302,收款金额),2))</f>
        <v/>
      </c>
      <c r="W302" s="40" t="str">
        <f aca="false">IF($C302="","",MAX(0,ROUND(N($K302)-N($V302),2)))</f>
        <v/>
      </c>
      <c r="X302" s="40" t="str">
        <f aca="false">IF($C302="","",ROUND(SUMIFS(应收净额,应收键,$D302,应收行号,"&lt;="&amp;ROW()),2))</f>
        <v/>
      </c>
      <c r="Y302" s="29" t="str">
        <f aca="false">IF($C302="","",ROW())</f>
        <v/>
      </c>
    </row>
    <row r="303" customFormat="false" ht="15" hidden="false" customHeight="false" outlineLevel="0" collapsed="false">
      <c r="A303" s="29" t="str">
        <f aca="false">IF($C303="","",ROW()-4)</f>
        <v/>
      </c>
      <c r="B303" s="35" t="str">
        <f aca="false">IF($C303="","","YS"&amp;TEXT($C303,"yyyymm")&amp;"-"&amp;TEXT(ROW()-4,"0000"))</f>
        <v/>
      </c>
      <c r="C303" s="33"/>
      <c r="D303" s="24"/>
      <c r="E303" s="30" t="str">
        <f aca="false">IF($D303="","",IFERROR(INDEX(合同单位,MATCH($D303,合同键,0)),IFERROR(TRIM(LEFT($D303,FIND("｜",$D303)-1)),$D303)))</f>
        <v/>
      </c>
      <c r="F303" s="30" t="str">
        <f aca="false">IF($D303="","",IFERROR(INDEX(合同项目,MATCH($D303,合同键,0)),IFERROR(TRIM(MID($D303,FIND("｜",$D303)+1,99)),"")))</f>
        <v/>
      </c>
      <c r="G303" s="24"/>
      <c r="H303" s="35" t="str">
        <f aca="false">IF($G303="","",IFERROR(INDEX(费用款别,MATCH($G303,费用类别表,0)),"合同外款"))</f>
        <v/>
      </c>
      <c r="I303" s="33"/>
      <c r="J303" s="33"/>
      <c r="K303" s="39"/>
      <c r="L303" s="33"/>
      <c r="M303" s="25"/>
      <c r="N303" s="39"/>
      <c r="O303" s="35" t="str">
        <f aca="false">IF($C303="","",IF(N($N303)&lt;=0,"未开票",IF(ROUND(N($N303)-N($K303),2)&gt;=0,"已开票",IFERROR("部分开票 "&amp;TEXT(N($N303)/N($K303),"0%"),"部分开票"))))</f>
        <v/>
      </c>
      <c r="P303" s="40" t="str">
        <f aca="false">IF($C303="","",ROUND($V303+MIN($W303,MAX(0,(SUMIF(收款键,$D303,收款金额)-SUMIFS(收款金额,收款键,$D303,收款关联,"&lt;&gt;"))-($X303-$W303))),2))</f>
        <v/>
      </c>
      <c r="Q303" s="41" t="str">
        <f aca="false">IF($C303="","",ROUND(N($K303)-N($P303),2))</f>
        <v/>
      </c>
      <c r="R303" s="29" t="str">
        <f aca="false">IF($C303="","",YEAR($C303))</f>
        <v/>
      </c>
      <c r="S303" s="24"/>
      <c r="T303" s="35" t="str">
        <f aca="false">IF($C303="","",IF($D303="","★没选客户项目",IF(COUNTIF(合同键,$D303)=0,"★《维保合同》里没这个项目",IF(N($K303)&lt;=0,"★应收金额要填",IF(ROUND(N($N303)-N($K303),2)&gt;0.001,"★开票金额大于应收",IF(AND($L303&lt;&gt;"",N($N303)&lt;=0),"★填了开票日期没填开票金额",IF(AND($I303&lt;&gt;"",$J303&lt;&gt;"",$J303&lt;$I303),"★计费期间起止反了","OK")))))))</f>
        <v/>
      </c>
      <c r="U303" s="29" t="str">
        <f aca="false">IF($L303="","",YEAR($L303))</f>
        <v/>
      </c>
      <c r="V303" s="40" t="str">
        <f aca="false">IF($C303="","",ROUND(SUMIF(收款关联,$B303,收款金额),2))</f>
        <v/>
      </c>
      <c r="W303" s="40" t="str">
        <f aca="false">IF($C303="","",MAX(0,ROUND(N($K303)-N($V303),2)))</f>
        <v/>
      </c>
      <c r="X303" s="40" t="str">
        <f aca="false">IF($C303="","",ROUND(SUMIFS(应收净额,应收键,$D303,应收行号,"&lt;="&amp;ROW()),2))</f>
        <v/>
      </c>
      <c r="Y303" s="29" t="str">
        <f aca="false">IF($C303="","",ROW())</f>
        <v/>
      </c>
    </row>
    <row r="304" customFormat="false" ht="15" hidden="false" customHeight="false" outlineLevel="0" collapsed="false">
      <c r="A304" s="29" t="str">
        <f aca="false">IF($C304="","",ROW()-4)</f>
        <v/>
      </c>
      <c r="B304" s="35" t="str">
        <f aca="false">IF($C304="","","YS"&amp;TEXT($C304,"yyyymm")&amp;"-"&amp;TEXT(ROW()-4,"0000"))</f>
        <v/>
      </c>
      <c r="C304" s="33"/>
      <c r="D304" s="24"/>
      <c r="E304" s="30" t="str">
        <f aca="false">IF($D304="","",IFERROR(INDEX(合同单位,MATCH($D304,合同键,0)),IFERROR(TRIM(LEFT($D304,FIND("｜",$D304)-1)),$D304)))</f>
        <v/>
      </c>
      <c r="F304" s="30" t="str">
        <f aca="false">IF($D304="","",IFERROR(INDEX(合同项目,MATCH($D304,合同键,0)),IFERROR(TRIM(MID($D304,FIND("｜",$D304)+1,99)),"")))</f>
        <v/>
      </c>
      <c r="G304" s="24"/>
      <c r="H304" s="35" t="str">
        <f aca="false">IF($G304="","",IFERROR(INDEX(费用款别,MATCH($G304,费用类别表,0)),"合同外款"))</f>
        <v/>
      </c>
      <c r="I304" s="33"/>
      <c r="J304" s="33"/>
      <c r="K304" s="39"/>
      <c r="L304" s="33"/>
      <c r="M304" s="25"/>
      <c r="N304" s="39"/>
      <c r="O304" s="35" t="str">
        <f aca="false">IF($C304="","",IF(N($N304)&lt;=0,"未开票",IF(ROUND(N($N304)-N($K304),2)&gt;=0,"已开票",IFERROR("部分开票 "&amp;TEXT(N($N304)/N($K304),"0%"),"部分开票"))))</f>
        <v/>
      </c>
      <c r="P304" s="40" t="str">
        <f aca="false">IF($C304="","",ROUND($V304+MIN($W304,MAX(0,(SUMIF(收款键,$D304,收款金额)-SUMIFS(收款金额,收款键,$D304,收款关联,"&lt;&gt;"))-($X304-$W304))),2))</f>
        <v/>
      </c>
      <c r="Q304" s="41" t="str">
        <f aca="false">IF($C304="","",ROUND(N($K304)-N($P304),2))</f>
        <v/>
      </c>
      <c r="R304" s="29" t="str">
        <f aca="false">IF($C304="","",YEAR($C304))</f>
        <v/>
      </c>
      <c r="S304" s="24"/>
      <c r="T304" s="35" t="str">
        <f aca="false">IF($C304="","",IF($D304="","★没选客户项目",IF(COUNTIF(合同键,$D304)=0,"★《维保合同》里没这个项目",IF(N($K304)&lt;=0,"★应收金额要填",IF(ROUND(N($N304)-N($K304),2)&gt;0.001,"★开票金额大于应收",IF(AND($L304&lt;&gt;"",N($N304)&lt;=0),"★填了开票日期没填开票金额",IF(AND($I304&lt;&gt;"",$J304&lt;&gt;"",$J304&lt;$I304),"★计费期间起止反了","OK")))))))</f>
        <v/>
      </c>
      <c r="U304" s="29" t="str">
        <f aca="false">IF($L304="","",YEAR($L304))</f>
        <v/>
      </c>
      <c r="V304" s="40" t="str">
        <f aca="false">IF($C304="","",ROUND(SUMIF(收款关联,$B304,收款金额),2))</f>
        <v/>
      </c>
      <c r="W304" s="40" t="str">
        <f aca="false">IF($C304="","",MAX(0,ROUND(N($K304)-N($V304),2)))</f>
        <v/>
      </c>
      <c r="X304" s="40" t="str">
        <f aca="false">IF($C304="","",ROUND(SUMIFS(应收净额,应收键,$D304,应收行号,"&lt;="&amp;ROW()),2))</f>
        <v/>
      </c>
      <c r="Y304" s="29" t="str">
        <f aca="false">IF($C304="","",ROW())</f>
        <v/>
      </c>
    </row>
    <row r="305" customFormat="false" ht="15" hidden="false" customHeight="false" outlineLevel="0" collapsed="false">
      <c r="A305" s="29" t="str">
        <f aca="false">IF($C305="","",ROW()-4)</f>
        <v/>
      </c>
      <c r="B305" s="35" t="str">
        <f aca="false">IF($C305="","","YS"&amp;TEXT($C305,"yyyymm")&amp;"-"&amp;TEXT(ROW()-4,"0000"))</f>
        <v/>
      </c>
      <c r="C305" s="33"/>
      <c r="D305" s="24"/>
      <c r="E305" s="30" t="str">
        <f aca="false">IF($D305="","",IFERROR(INDEX(合同单位,MATCH($D305,合同键,0)),IFERROR(TRIM(LEFT($D305,FIND("｜",$D305)-1)),$D305)))</f>
        <v/>
      </c>
      <c r="F305" s="30" t="str">
        <f aca="false">IF($D305="","",IFERROR(INDEX(合同项目,MATCH($D305,合同键,0)),IFERROR(TRIM(MID($D305,FIND("｜",$D305)+1,99)),"")))</f>
        <v/>
      </c>
      <c r="G305" s="24"/>
      <c r="H305" s="35" t="str">
        <f aca="false">IF($G305="","",IFERROR(INDEX(费用款别,MATCH($G305,费用类别表,0)),"合同外款"))</f>
        <v/>
      </c>
      <c r="I305" s="33"/>
      <c r="J305" s="33"/>
      <c r="K305" s="39"/>
      <c r="L305" s="33"/>
      <c r="M305" s="25"/>
      <c r="N305" s="39"/>
      <c r="O305" s="35" t="str">
        <f aca="false">IF($C305="","",IF(N($N305)&lt;=0,"未开票",IF(ROUND(N($N305)-N($K305),2)&gt;=0,"已开票",IFERROR("部分开票 "&amp;TEXT(N($N305)/N($K305),"0%"),"部分开票"))))</f>
        <v/>
      </c>
      <c r="P305" s="40" t="str">
        <f aca="false">IF($C305="","",ROUND($V305+MIN($W305,MAX(0,(SUMIF(收款键,$D305,收款金额)-SUMIFS(收款金额,收款键,$D305,收款关联,"&lt;&gt;"))-($X305-$W305))),2))</f>
        <v/>
      </c>
      <c r="Q305" s="41" t="str">
        <f aca="false">IF($C305="","",ROUND(N($K305)-N($P305),2))</f>
        <v/>
      </c>
      <c r="R305" s="29" t="str">
        <f aca="false">IF($C305="","",YEAR($C305))</f>
        <v/>
      </c>
      <c r="S305" s="24"/>
      <c r="T305" s="35" t="str">
        <f aca="false">IF($C305="","",IF($D305="","★没选客户项目",IF(COUNTIF(合同键,$D305)=0,"★《维保合同》里没这个项目",IF(N($K305)&lt;=0,"★应收金额要填",IF(ROUND(N($N305)-N($K305),2)&gt;0.001,"★开票金额大于应收",IF(AND($L305&lt;&gt;"",N($N305)&lt;=0),"★填了开票日期没填开票金额",IF(AND($I305&lt;&gt;"",$J305&lt;&gt;"",$J305&lt;$I305),"★计费期间起止反了","OK")))))))</f>
        <v/>
      </c>
      <c r="U305" s="29" t="str">
        <f aca="false">IF($L305="","",YEAR($L305))</f>
        <v/>
      </c>
      <c r="V305" s="40" t="str">
        <f aca="false">IF($C305="","",ROUND(SUMIF(收款关联,$B305,收款金额),2))</f>
        <v/>
      </c>
      <c r="W305" s="40" t="str">
        <f aca="false">IF($C305="","",MAX(0,ROUND(N($K305)-N($V305),2)))</f>
        <v/>
      </c>
      <c r="X305" s="40" t="str">
        <f aca="false">IF($C305="","",ROUND(SUMIFS(应收净额,应收键,$D305,应收行号,"&lt;="&amp;ROW()),2))</f>
        <v/>
      </c>
      <c r="Y305" s="29" t="str">
        <f aca="false">IF($C305="","",ROW())</f>
        <v/>
      </c>
    </row>
    <row r="306" customFormat="false" ht="15" hidden="false" customHeight="false" outlineLevel="0" collapsed="false">
      <c r="A306" s="29" t="str">
        <f aca="false">IF($C306="","",ROW()-4)</f>
        <v/>
      </c>
      <c r="B306" s="35" t="str">
        <f aca="false">IF($C306="","","YS"&amp;TEXT($C306,"yyyymm")&amp;"-"&amp;TEXT(ROW()-4,"0000"))</f>
        <v/>
      </c>
      <c r="C306" s="33"/>
      <c r="D306" s="24"/>
      <c r="E306" s="30" t="str">
        <f aca="false">IF($D306="","",IFERROR(INDEX(合同单位,MATCH($D306,合同键,0)),IFERROR(TRIM(LEFT($D306,FIND("｜",$D306)-1)),$D306)))</f>
        <v/>
      </c>
      <c r="F306" s="30" t="str">
        <f aca="false">IF($D306="","",IFERROR(INDEX(合同项目,MATCH($D306,合同键,0)),IFERROR(TRIM(MID($D306,FIND("｜",$D306)+1,99)),"")))</f>
        <v/>
      </c>
      <c r="G306" s="24"/>
      <c r="H306" s="35" t="str">
        <f aca="false">IF($G306="","",IFERROR(INDEX(费用款别,MATCH($G306,费用类别表,0)),"合同外款"))</f>
        <v/>
      </c>
      <c r="I306" s="33"/>
      <c r="J306" s="33"/>
      <c r="K306" s="39"/>
      <c r="L306" s="33"/>
      <c r="M306" s="25"/>
      <c r="N306" s="39"/>
      <c r="O306" s="35" t="str">
        <f aca="false">IF($C306="","",IF(N($N306)&lt;=0,"未开票",IF(ROUND(N($N306)-N($K306),2)&gt;=0,"已开票",IFERROR("部分开票 "&amp;TEXT(N($N306)/N($K306),"0%"),"部分开票"))))</f>
        <v/>
      </c>
      <c r="P306" s="40" t="str">
        <f aca="false">IF($C306="","",ROUND($V306+MIN($W306,MAX(0,(SUMIF(收款键,$D306,收款金额)-SUMIFS(收款金额,收款键,$D306,收款关联,"&lt;&gt;"))-($X306-$W306))),2))</f>
        <v/>
      </c>
      <c r="Q306" s="41" t="str">
        <f aca="false">IF($C306="","",ROUND(N($K306)-N($P306),2))</f>
        <v/>
      </c>
      <c r="R306" s="29" t="str">
        <f aca="false">IF($C306="","",YEAR($C306))</f>
        <v/>
      </c>
      <c r="S306" s="24"/>
      <c r="T306" s="35" t="str">
        <f aca="false">IF($C306="","",IF($D306="","★没选客户项目",IF(COUNTIF(合同键,$D306)=0,"★《维保合同》里没这个项目",IF(N($K306)&lt;=0,"★应收金额要填",IF(ROUND(N($N306)-N($K306),2)&gt;0.001,"★开票金额大于应收",IF(AND($L306&lt;&gt;"",N($N306)&lt;=0),"★填了开票日期没填开票金额",IF(AND($I306&lt;&gt;"",$J306&lt;&gt;"",$J306&lt;$I306),"★计费期间起止反了","OK")))))))</f>
        <v/>
      </c>
      <c r="U306" s="29" t="str">
        <f aca="false">IF($L306="","",YEAR($L306))</f>
        <v/>
      </c>
      <c r="V306" s="40" t="str">
        <f aca="false">IF($C306="","",ROUND(SUMIF(收款关联,$B306,收款金额),2))</f>
        <v/>
      </c>
      <c r="W306" s="40" t="str">
        <f aca="false">IF($C306="","",MAX(0,ROUND(N($K306)-N($V306),2)))</f>
        <v/>
      </c>
      <c r="X306" s="40" t="str">
        <f aca="false">IF($C306="","",ROUND(SUMIFS(应收净额,应收键,$D306,应收行号,"&lt;="&amp;ROW()),2))</f>
        <v/>
      </c>
      <c r="Y306" s="29" t="str">
        <f aca="false">IF($C306="","",ROW())</f>
        <v/>
      </c>
    </row>
    <row r="307" customFormat="false" ht="15" hidden="false" customHeight="false" outlineLevel="0" collapsed="false">
      <c r="A307" s="29" t="str">
        <f aca="false">IF($C307="","",ROW()-4)</f>
        <v/>
      </c>
      <c r="B307" s="35" t="str">
        <f aca="false">IF($C307="","","YS"&amp;TEXT($C307,"yyyymm")&amp;"-"&amp;TEXT(ROW()-4,"0000"))</f>
        <v/>
      </c>
      <c r="C307" s="33"/>
      <c r="D307" s="24"/>
      <c r="E307" s="30" t="str">
        <f aca="false">IF($D307="","",IFERROR(INDEX(合同单位,MATCH($D307,合同键,0)),IFERROR(TRIM(LEFT($D307,FIND("｜",$D307)-1)),$D307)))</f>
        <v/>
      </c>
      <c r="F307" s="30" t="str">
        <f aca="false">IF($D307="","",IFERROR(INDEX(合同项目,MATCH($D307,合同键,0)),IFERROR(TRIM(MID($D307,FIND("｜",$D307)+1,99)),"")))</f>
        <v/>
      </c>
      <c r="G307" s="24"/>
      <c r="H307" s="35" t="str">
        <f aca="false">IF($G307="","",IFERROR(INDEX(费用款别,MATCH($G307,费用类别表,0)),"合同外款"))</f>
        <v/>
      </c>
      <c r="I307" s="33"/>
      <c r="J307" s="33"/>
      <c r="K307" s="39"/>
      <c r="L307" s="33"/>
      <c r="M307" s="25"/>
      <c r="N307" s="39"/>
      <c r="O307" s="35" t="str">
        <f aca="false">IF($C307="","",IF(N($N307)&lt;=0,"未开票",IF(ROUND(N($N307)-N($K307),2)&gt;=0,"已开票",IFERROR("部分开票 "&amp;TEXT(N($N307)/N($K307),"0%"),"部分开票"))))</f>
        <v/>
      </c>
      <c r="P307" s="40" t="str">
        <f aca="false">IF($C307="","",ROUND($V307+MIN($W307,MAX(0,(SUMIF(收款键,$D307,收款金额)-SUMIFS(收款金额,收款键,$D307,收款关联,"&lt;&gt;"))-($X307-$W307))),2))</f>
        <v/>
      </c>
      <c r="Q307" s="41" t="str">
        <f aca="false">IF($C307="","",ROUND(N($K307)-N($P307),2))</f>
        <v/>
      </c>
      <c r="R307" s="29" t="str">
        <f aca="false">IF($C307="","",YEAR($C307))</f>
        <v/>
      </c>
      <c r="S307" s="24"/>
      <c r="T307" s="35" t="str">
        <f aca="false">IF($C307="","",IF($D307="","★没选客户项目",IF(COUNTIF(合同键,$D307)=0,"★《维保合同》里没这个项目",IF(N($K307)&lt;=0,"★应收金额要填",IF(ROUND(N($N307)-N($K307),2)&gt;0.001,"★开票金额大于应收",IF(AND($L307&lt;&gt;"",N($N307)&lt;=0),"★填了开票日期没填开票金额",IF(AND($I307&lt;&gt;"",$J307&lt;&gt;"",$J307&lt;$I307),"★计费期间起止反了","OK")))))))</f>
        <v/>
      </c>
      <c r="U307" s="29" t="str">
        <f aca="false">IF($L307="","",YEAR($L307))</f>
        <v/>
      </c>
      <c r="V307" s="40" t="str">
        <f aca="false">IF($C307="","",ROUND(SUMIF(收款关联,$B307,收款金额),2))</f>
        <v/>
      </c>
      <c r="W307" s="40" t="str">
        <f aca="false">IF($C307="","",MAX(0,ROUND(N($K307)-N($V307),2)))</f>
        <v/>
      </c>
      <c r="X307" s="40" t="str">
        <f aca="false">IF($C307="","",ROUND(SUMIFS(应收净额,应收键,$D307,应收行号,"&lt;="&amp;ROW()),2))</f>
        <v/>
      </c>
      <c r="Y307" s="29" t="str">
        <f aca="false">IF($C307="","",ROW())</f>
        <v/>
      </c>
    </row>
    <row r="308" customFormat="false" ht="15" hidden="false" customHeight="false" outlineLevel="0" collapsed="false">
      <c r="A308" s="29" t="str">
        <f aca="false">IF($C308="","",ROW()-4)</f>
        <v/>
      </c>
      <c r="B308" s="35" t="str">
        <f aca="false">IF($C308="","","YS"&amp;TEXT($C308,"yyyymm")&amp;"-"&amp;TEXT(ROW()-4,"0000"))</f>
        <v/>
      </c>
      <c r="C308" s="33"/>
      <c r="D308" s="24"/>
      <c r="E308" s="30" t="str">
        <f aca="false">IF($D308="","",IFERROR(INDEX(合同单位,MATCH($D308,合同键,0)),IFERROR(TRIM(LEFT($D308,FIND("｜",$D308)-1)),$D308)))</f>
        <v/>
      </c>
      <c r="F308" s="30" t="str">
        <f aca="false">IF($D308="","",IFERROR(INDEX(合同项目,MATCH($D308,合同键,0)),IFERROR(TRIM(MID($D308,FIND("｜",$D308)+1,99)),"")))</f>
        <v/>
      </c>
      <c r="G308" s="24"/>
      <c r="H308" s="35" t="str">
        <f aca="false">IF($G308="","",IFERROR(INDEX(费用款别,MATCH($G308,费用类别表,0)),"合同外款"))</f>
        <v/>
      </c>
      <c r="I308" s="33"/>
      <c r="J308" s="33"/>
      <c r="K308" s="39"/>
      <c r="L308" s="33"/>
      <c r="M308" s="25"/>
      <c r="N308" s="39"/>
      <c r="O308" s="35" t="str">
        <f aca="false">IF($C308="","",IF(N($N308)&lt;=0,"未开票",IF(ROUND(N($N308)-N($K308),2)&gt;=0,"已开票",IFERROR("部分开票 "&amp;TEXT(N($N308)/N($K308),"0%"),"部分开票"))))</f>
        <v/>
      </c>
      <c r="P308" s="40" t="str">
        <f aca="false">IF($C308="","",ROUND($V308+MIN($W308,MAX(0,(SUMIF(收款键,$D308,收款金额)-SUMIFS(收款金额,收款键,$D308,收款关联,"&lt;&gt;"))-($X308-$W308))),2))</f>
        <v/>
      </c>
      <c r="Q308" s="41" t="str">
        <f aca="false">IF($C308="","",ROUND(N($K308)-N($P308),2))</f>
        <v/>
      </c>
      <c r="R308" s="29" t="str">
        <f aca="false">IF($C308="","",YEAR($C308))</f>
        <v/>
      </c>
      <c r="S308" s="24"/>
      <c r="T308" s="35" t="str">
        <f aca="false">IF($C308="","",IF($D308="","★没选客户项目",IF(COUNTIF(合同键,$D308)=0,"★《维保合同》里没这个项目",IF(N($K308)&lt;=0,"★应收金额要填",IF(ROUND(N($N308)-N($K308),2)&gt;0.001,"★开票金额大于应收",IF(AND($L308&lt;&gt;"",N($N308)&lt;=0),"★填了开票日期没填开票金额",IF(AND($I308&lt;&gt;"",$J308&lt;&gt;"",$J308&lt;$I308),"★计费期间起止反了","OK")))))))</f>
        <v/>
      </c>
      <c r="U308" s="29" t="str">
        <f aca="false">IF($L308="","",YEAR($L308))</f>
        <v/>
      </c>
      <c r="V308" s="40" t="str">
        <f aca="false">IF($C308="","",ROUND(SUMIF(收款关联,$B308,收款金额),2))</f>
        <v/>
      </c>
      <c r="W308" s="40" t="str">
        <f aca="false">IF($C308="","",MAX(0,ROUND(N($K308)-N($V308),2)))</f>
        <v/>
      </c>
      <c r="X308" s="40" t="str">
        <f aca="false">IF($C308="","",ROUND(SUMIFS(应收净额,应收键,$D308,应收行号,"&lt;="&amp;ROW()),2))</f>
        <v/>
      </c>
      <c r="Y308" s="29" t="str">
        <f aca="false">IF($C308="","",ROW())</f>
        <v/>
      </c>
    </row>
    <row r="309" customFormat="false" ht="15" hidden="false" customHeight="false" outlineLevel="0" collapsed="false">
      <c r="A309" s="29" t="str">
        <f aca="false">IF($C309="","",ROW()-4)</f>
        <v/>
      </c>
      <c r="B309" s="35" t="str">
        <f aca="false">IF($C309="","","YS"&amp;TEXT($C309,"yyyymm")&amp;"-"&amp;TEXT(ROW()-4,"0000"))</f>
        <v/>
      </c>
      <c r="C309" s="33"/>
      <c r="D309" s="24"/>
      <c r="E309" s="30" t="str">
        <f aca="false">IF($D309="","",IFERROR(INDEX(合同单位,MATCH($D309,合同键,0)),IFERROR(TRIM(LEFT($D309,FIND("｜",$D309)-1)),$D309)))</f>
        <v/>
      </c>
      <c r="F309" s="30" t="str">
        <f aca="false">IF($D309="","",IFERROR(INDEX(合同项目,MATCH($D309,合同键,0)),IFERROR(TRIM(MID($D309,FIND("｜",$D309)+1,99)),"")))</f>
        <v/>
      </c>
      <c r="G309" s="24"/>
      <c r="H309" s="35" t="str">
        <f aca="false">IF($G309="","",IFERROR(INDEX(费用款别,MATCH($G309,费用类别表,0)),"合同外款"))</f>
        <v/>
      </c>
      <c r="I309" s="33"/>
      <c r="J309" s="33"/>
      <c r="K309" s="39"/>
      <c r="L309" s="33"/>
      <c r="M309" s="25"/>
      <c r="N309" s="39"/>
      <c r="O309" s="35" t="str">
        <f aca="false">IF($C309="","",IF(N($N309)&lt;=0,"未开票",IF(ROUND(N($N309)-N($K309),2)&gt;=0,"已开票",IFERROR("部分开票 "&amp;TEXT(N($N309)/N($K309),"0%"),"部分开票"))))</f>
        <v/>
      </c>
      <c r="P309" s="40" t="str">
        <f aca="false">IF($C309="","",ROUND($V309+MIN($W309,MAX(0,(SUMIF(收款键,$D309,收款金额)-SUMIFS(收款金额,收款键,$D309,收款关联,"&lt;&gt;"))-($X309-$W309))),2))</f>
        <v/>
      </c>
      <c r="Q309" s="41" t="str">
        <f aca="false">IF($C309="","",ROUND(N($K309)-N($P309),2))</f>
        <v/>
      </c>
      <c r="R309" s="29" t="str">
        <f aca="false">IF($C309="","",YEAR($C309))</f>
        <v/>
      </c>
      <c r="S309" s="24"/>
      <c r="T309" s="35" t="str">
        <f aca="false">IF($C309="","",IF($D309="","★没选客户项目",IF(COUNTIF(合同键,$D309)=0,"★《维保合同》里没这个项目",IF(N($K309)&lt;=0,"★应收金额要填",IF(ROUND(N($N309)-N($K309),2)&gt;0.001,"★开票金额大于应收",IF(AND($L309&lt;&gt;"",N($N309)&lt;=0),"★填了开票日期没填开票金额",IF(AND($I309&lt;&gt;"",$J309&lt;&gt;"",$J309&lt;$I309),"★计费期间起止反了","OK")))))))</f>
        <v/>
      </c>
      <c r="U309" s="29" t="str">
        <f aca="false">IF($L309="","",YEAR($L309))</f>
        <v/>
      </c>
      <c r="V309" s="40" t="str">
        <f aca="false">IF($C309="","",ROUND(SUMIF(收款关联,$B309,收款金额),2))</f>
        <v/>
      </c>
      <c r="W309" s="40" t="str">
        <f aca="false">IF($C309="","",MAX(0,ROUND(N($K309)-N($V309),2)))</f>
        <v/>
      </c>
      <c r="X309" s="40" t="str">
        <f aca="false">IF($C309="","",ROUND(SUMIFS(应收净额,应收键,$D309,应收行号,"&lt;="&amp;ROW()),2))</f>
        <v/>
      </c>
      <c r="Y309" s="29" t="str">
        <f aca="false">IF($C309="","",ROW())</f>
        <v/>
      </c>
    </row>
    <row r="310" customFormat="false" ht="15" hidden="false" customHeight="false" outlineLevel="0" collapsed="false">
      <c r="A310" s="29" t="str">
        <f aca="false">IF($C310="","",ROW()-4)</f>
        <v/>
      </c>
      <c r="B310" s="35" t="str">
        <f aca="false">IF($C310="","","YS"&amp;TEXT($C310,"yyyymm")&amp;"-"&amp;TEXT(ROW()-4,"0000"))</f>
        <v/>
      </c>
      <c r="C310" s="33"/>
      <c r="D310" s="24"/>
      <c r="E310" s="30" t="str">
        <f aca="false">IF($D310="","",IFERROR(INDEX(合同单位,MATCH($D310,合同键,0)),IFERROR(TRIM(LEFT($D310,FIND("｜",$D310)-1)),$D310)))</f>
        <v/>
      </c>
      <c r="F310" s="30" t="str">
        <f aca="false">IF($D310="","",IFERROR(INDEX(合同项目,MATCH($D310,合同键,0)),IFERROR(TRIM(MID($D310,FIND("｜",$D310)+1,99)),"")))</f>
        <v/>
      </c>
      <c r="G310" s="24"/>
      <c r="H310" s="35" t="str">
        <f aca="false">IF($G310="","",IFERROR(INDEX(费用款别,MATCH($G310,费用类别表,0)),"合同外款"))</f>
        <v/>
      </c>
      <c r="I310" s="33"/>
      <c r="J310" s="33"/>
      <c r="K310" s="39"/>
      <c r="L310" s="33"/>
      <c r="M310" s="25"/>
      <c r="N310" s="39"/>
      <c r="O310" s="35" t="str">
        <f aca="false">IF($C310="","",IF(N($N310)&lt;=0,"未开票",IF(ROUND(N($N310)-N($K310),2)&gt;=0,"已开票",IFERROR("部分开票 "&amp;TEXT(N($N310)/N($K310),"0%"),"部分开票"))))</f>
        <v/>
      </c>
      <c r="P310" s="40" t="str">
        <f aca="false">IF($C310="","",ROUND($V310+MIN($W310,MAX(0,(SUMIF(收款键,$D310,收款金额)-SUMIFS(收款金额,收款键,$D310,收款关联,"&lt;&gt;"))-($X310-$W310))),2))</f>
        <v/>
      </c>
      <c r="Q310" s="41" t="str">
        <f aca="false">IF($C310="","",ROUND(N($K310)-N($P310),2))</f>
        <v/>
      </c>
      <c r="R310" s="29" t="str">
        <f aca="false">IF($C310="","",YEAR($C310))</f>
        <v/>
      </c>
      <c r="S310" s="24"/>
      <c r="T310" s="35" t="str">
        <f aca="false">IF($C310="","",IF($D310="","★没选客户项目",IF(COUNTIF(合同键,$D310)=0,"★《维保合同》里没这个项目",IF(N($K310)&lt;=0,"★应收金额要填",IF(ROUND(N($N310)-N($K310),2)&gt;0.001,"★开票金额大于应收",IF(AND($L310&lt;&gt;"",N($N310)&lt;=0),"★填了开票日期没填开票金额",IF(AND($I310&lt;&gt;"",$J310&lt;&gt;"",$J310&lt;$I310),"★计费期间起止反了","OK")))))))</f>
        <v/>
      </c>
      <c r="U310" s="29" t="str">
        <f aca="false">IF($L310="","",YEAR($L310))</f>
        <v/>
      </c>
      <c r="V310" s="40" t="str">
        <f aca="false">IF($C310="","",ROUND(SUMIF(收款关联,$B310,收款金额),2))</f>
        <v/>
      </c>
      <c r="W310" s="40" t="str">
        <f aca="false">IF($C310="","",MAX(0,ROUND(N($K310)-N($V310),2)))</f>
        <v/>
      </c>
      <c r="X310" s="40" t="str">
        <f aca="false">IF($C310="","",ROUND(SUMIFS(应收净额,应收键,$D310,应收行号,"&lt;="&amp;ROW()),2))</f>
        <v/>
      </c>
      <c r="Y310" s="29" t="str">
        <f aca="false">IF($C310="","",ROW())</f>
        <v/>
      </c>
    </row>
    <row r="311" customFormat="false" ht="15" hidden="false" customHeight="false" outlineLevel="0" collapsed="false">
      <c r="A311" s="29" t="str">
        <f aca="false">IF($C311="","",ROW()-4)</f>
        <v/>
      </c>
      <c r="B311" s="35" t="str">
        <f aca="false">IF($C311="","","YS"&amp;TEXT($C311,"yyyymm")&amp;"-"&amp;TEXT(ROW()-4,"0000"))</f>
        <v/>
      </c>
      <c r="C311" s="33"/>
      <c r="D311" s="24"/>
      <c r="E311" s="30" t="str">
        <f aca="false">IF($D311="","",IFERROR(INDEX(合同单位,MATCH($D311,合同键,0)),IFERROR(TRIM(LEFT($D311,FIND("｜",$D311)-1)),$D311)))</f>
        <v/>
      </c>
      <c r="F311" s="30" t="str">
        <f aca="false">IF($D311="","",IFERROR(INDEX(合同项目,MATCH($D311,合同键,0)),IFERROR(TRIM(MID($D311,FIND("｜",$D311)+1,99)),"")))</f>
        <v/>
      </c>
      <c r="G311" s="24"/>
      <c r="H311" s="35" t="str">
        <f aca="false">IF($G311="","",IFERROR(INDEX(费用款别,MATCH($G311,费用类别表,0)),"合同外款"))</f>
        <v/>
      </c>
      <c r="I311" s="33"/>
      <c r="J311" s="33"/>
      <c r="K311" s="39"/>
      <c r="L311" s="33"/>
      <c r="M311" s="25"/>
      <c r="N311" s="39"/>
      <c r="O311" s="35" t="str">
        <f aca="false">IF($C311="","",IF(N($N311)&lt;=0,"未开票",IF(ROUND(N($N311)-N($K311),2)&gt;=0,"已开票",IFERROR("部分开票 "&amp;TEXT(N($N311)/N($K311),"0%"),"部分开票"))))</f>
        <v/>
      </c>
      <c r="P311" s="40" t="str">
        <f aca="false">IF($C311="","",ROUND($V311+MIN($W311,MAX(0,(SUMIF(收款键,$D311,收款金额)-SUMIFS(收款金额,收款键,$D311,收款关联,"&lt;&gt;"))-($X311-$W311))),2))</f>
        <v/>
      </c>
      <c r="Q311" s="41" t="str">
        <f aca="false">IF($C311="","",ROUND(N($K311)-N($P311),2))</f>
        <v/>
      </c>
      <c r="R311" s="29" t="str">
        <f aca="false">IF($C311="","",YEAR($C311))</f>
        <v/>
      </c>
      <c r="S311" s="24"/>
      <c r="T311" s="35" t="str">
        <f aca="false">IF($C311="","",IF($D311="","★没选客户项目",IF(COUNTIF(合同键,$D311)=0,"★《维保合同》里没这个项目",IF(N($K311)&lt;=0,"★应收金额要填",IF(ROUND(N($N311)-N($K311),2)&gt;0.001,"★开票金额大于应收",IF(AND($L311&lt;&gt;"",N($N311)&lt;=0),"★填了开票日期没填开票金额",IF(AND($I311&lt;&gt;"",$J311&lt;&gt;"",$J311&lt;$I311),"★计费期间起止反了","OK")))))))</f>
        <v/>
      </c>
      <c r="U311" s="29" t="str">
        <f aca="false">IF($L311="","",YEAR($L311))</f>
        <v/>
      </c>
      <c r="V311" s="40" t="str">
        <f aca="false">IF($C311="","",ROUND(SUMIF(收款关联,$B311,收款金额),2))</f>
        <v/>
      </c>
      <c r="W311" s="40" t="str">
        <f aca="false">IF($C311="","",MAX(0,ROUND(N($K311)-N($V311),2)))</f>
        <v/>
      </c>
      <c r="X311" s="40" t="str">
        <f aca="false">IF($C311="","",ROUND(SUMIFS(应收净额,应收键,$D311,应收行号,"&lt;="&amp;ROW()),2))</f>
        <v/>
      </c>
      <c r="Y311" s="29" t="str">
        <f aca="false">IF($C311="","",ROW())</f>
        <v/>
      </c>
    </row>
    <row r="312" customFormat="false" ht="15" hidden="false" customHeight="false" outlineLevel="0" collapsed="false">
      <c r="A312" s="29" t="str">
        <f aca="false">IF($C312="","",ROW()-4)</f>
        <v/>
      </c>
      <c r="B312" s="35" t="str">
        <f aca="false">IF($C312="","","YS"&amp;TEXT($C312,"yyyymm")&amp;"-"&amp;TEXT(ROW()-4,"0000"))</f>
        <v/>
      </c>
      <c r="C312" s="33"/>
      <c r="D312" s="24"/>
      <c r="E312" s="30" t="str">
        <f aca="false">IF($D312="","",IFERROR(INDEX(合同单位,MATCH($D312,合同键,0)),IFERROR(TRIM(LEFT($D312,FIND("｜",$D312)-1)),$D312)))</f>
        <v/>
      </c>
      <c r="F312" s="30" t="str">
        <f aca="false">IF($D312="","",IFERROR(INDEX(合同项目,MATCH($D312,合同键,0)),IFERROR(TRIM(MID($D312,FIND("｜",$D312)+1,99)),"")))</f>
        <v/>
      </c>
      <c r="G312" s="24"/>
      <c r="H312" s="35" t="str">
        <f aca="false">IF($G312="","",IFERROR(INDEX(费用款别,MATCH($G312,费用类别表,0)),"合同外款"))</f>
        <v/>
      </c>
      <c r="I312" s="33"/>
      <c r="J312" s="33"/>
      <c r="K312" s="39"/>
      <c r="L312" s="33"/>
      <c r="M312" s="25"/>
      <c r="N312" s="39"/>
      <c r="O312" s="35" t="str">
        <f aca="false">IF($C312="","",IF(N($N312)&lt;=0,"未开票",IF(ROUND(N($N312)-N($K312),2)&gt;=0,"已开票",IFERROR("部分开票 "&amp;TEXT(N($N312)/N($K312),"0%"),"部分开票"))))</f>
        <v/>
      </c>
      <c r="P312" s="40" t="str">
        <f aca="false">IF($C312="","",ROUND($V312+MIN($W312,MAX(0,(SUMIF(收款键,$D312,收款金额)-SUMIFS(收款金额,收款键,$D312,收款关联,"&lt;&gt;"))-($X312-$W312))),2))</f>
        <v/>
      </c>
      <c r="Q312" s="41" t="str">
        <f aca="false">IF($C312="","",ROUND(N($K312)-N($P312),2))</f>
        <v/>
      </c>
      <c r="R312" s="29" t="str">
        <f aca="false">IF($C312="","",YEAR($C312))</f>
        <v/>
      </c>
      <c r="S312" s="24"/>
      <c r="T312" s="35" t="str">
        <f aca="false">IF($C312="","",IF($D312="","★没选客户项目",IF(COUNTIF(合同键,$D312)=0,"★《维保合同》里没这个项目",IF(N($K312)&lt;=0,"★应收金额要填",IF(ROUND(N($N312)-N($K312),2)&gt;0.001,"★开票金额大于应收",IF(AND($L312&lt;&gt;"",N($N312)&lt;=0),"★填了开票日期没填开票金额",IF(AND($I312&lt;&gt;"",$J312&lt;&gt;"",$J312&lt;$I312),"★计费期间起止反了","OK")))))))</f>
        <v/>
      </c>
      <c r="U312" s="29" t="str">
        <f aca="false">IF($L312="","",YEAR($L312))</f>
        <v/>
      </c>
      <c r="V312" s="40" t="str">
        <f aca="false">IF($C312="","",ROUND(SUMIF(收款关联,$B312,收款金额),2))</f>
        <v/>
      </c>
      <c r="W312" s="40" t="str">
        <f aca="false">IF($C312="","",MAX(0,ROUND(N($K312)-N($V312),2)))</f>
        <v/>
      </c>
      <c r="X312" s="40" t="str">
        <f aca="false">IF($C312="","",ROUND(SUMIFS(应收净额,应收键,$D312,应收行号,"&lt;="&amp;ROW()),2))</f>
        <v/>
      </c>
      <c r="Y312" s="29" t="str">
        <f aca="false">IF($C312="","",ROW())</f>
        <v/>
      </c>
    </row>
    <row r="313" customFormat="false" ht="15" hidden="false" customHeight="false" outlineLevel="0" collapsed="false">
      <c r="A313" s="29" t="str">
        <f aca="false">IF($C313="","",ROW()-4)</f>
        <v/>
      </c>
      <c r="B313" s="35" t="str">
        <f aca="false">IF($C313="","","YS"&amp;TEXT($C313,"yyyymm")&amp;"-"&amp;TEXT(ROW()-4,"0000"))</f>
        <v/>
      </c>
      <c r="C313" s="33"/>
      <c r="D313" s="24"/>
      <c r="E313" s="30" t="str">
        <f aca="false">IF($D313="","",IFERROR(INDEX(合同单位,MATCH($D313,合同键,0)),IFERROR(TRIM(LEFT($D313,FIND("｜",$D313)-1)),$D313)))</f>
        <v/>
      </c>
      <c r="F313" s="30" t="str">
        <f aca="false">IF($D313="","",IFERROR(INDEX(合同项目,MATCH($D313,合同键,0)),IFERROR(TRIM(MID($D313,FIND("｜",$D313)+1,99)),"")))</f>
        <v/>
      </c>
      <c r="G313" s="24"/>
      <c r="H313" s="35" t="str">
        <f aca="false">IF($G313="","",IFERROR(INDEX(费用款别,MATCH($G313,费用类别表,0)),"合同外款"))</f>
        <v/>
      </c>
      <c r="I313" s="33"/>
      <c r="J313" s="33"/>
      <c r="K313" s="39"/>
      <c r="L313" s="33"/>
      <c r="M313" s="25"/>
      <c r="N313" s="39"/>
      <c r="O313" s="35" t="str">
        <f aca="false">IF($C313="","",IF(N($N313)&lt;=0,"未开票",IF(ROUND(N($N313)-N($K313),2)&gt;=0,"已开票",IFERROR("部分开票 "&amp;TEXT(N($N313)/N($K313),"0%"),"部分开票"))))</f>
        <v/>
      </c>
      <c r="P313" s="40" t="str">
        <f aca="false">IF($C313="","",ROUND($V313+MIN($W313,MAX(0,(SUMIF(收款键,$D313,收款金额)-SUMIFS(收款金额,收款键,$D313,收款关联,"&lt;&gt;"))-($X313-$W313))),2))</f>
        <v/>
      </c>
      <c r="Q313" s="41" t="str">
        <f aca="false">IF($C313="","",ROUND(N($K313)-N($P313),2))</f>
        <v/>
      </c>
      <c r="R313" s="29" t="str">
        <f aca="false">IF($C313="","",YEAR($C313))</f>
        <v/>
      </c>
      <c r="S313" s="24"/>
      <c r="T313" s="35" t="str">
        <f aca="false">IF($C313="","",IF($D313="","★没选客户项目",IF(COUNTIF(合同键,$D313)=0,"★《维保合同》里没这个项目",IF(N($K313)&lt;=0,"★应收金额要填",IF(ROUND(N($N313)-N($K313),2)&gt;0.001,"★开票金额大于应收",IF(AND($L313&lt;&gt;"",N($N313)&lt;=0),"★填了开票日期没填开票金额",IF(AND($I313&lt;&gt;"",$J313&lt;&gt;"",$J313&lt;$I313),"★计费期间起止反了","OK")))))))</f>
        <v/>
      </c>
      <c r="U313" s="29" t="str">
        <f aca="false">IF($L313="","",YEAR($L313))</f>
        <v/>
      </c>
      <c r="V313" s="40" t="str">
        <f aca="false">IF($C313="","",ROUND(SUMIF(收款关联,$B313,收款金额),2))</f>
        <v/>
      </c>
      <c r="W313" s="40" t="str">
        <f aca="false">IF($C313="","",MAX(0,ROUND(N($K313)-N($V313),2)))</f>
        <v/>
      </c>
      <c r="X313" s="40" t="str">
        <f aca="false">IF($C313="","",ROUND(SUMIFS(应收净额,应收键,$D313,应收行号,"&lt;="&amp;ROW()),2))</f>
        <v/>
      </c>
      <c r="Y313" s="29" t="str">
        <f aca="false">IF($C313="","",ROW())</f>
        <v/>
      </c>
    </row>
    <row r="314" customFormat="false" ht="15" hidden="false" customHeight="false" outlineLevel="0" collapsed="false">
      <c r="A314" s="29" t="str">
        <f aca="false">IF($C314="","",ROW()-4)</f>
        <v/>
      </c>
      <c r="B314" s="35" t="str">
        <f aca="false">IF($C314="","","YS"&amp;TEXT($C314,"yyyymm")&amp;"-"&amp;TEXT(ROW()-4,"0000"))</f>
        <v/>
      </c>
      <c r="C314" s="33"/>
      <c r="D314" s="24"/>
      <c r="E314" s="30" t="str">
        <f aca="false">IF($D314="","",IFERROR(INDEX(合同单位,MATCH($D314,合同键,0)),IFERROR(TRIM(LEFT($D314,FIND("｜",$D314)-1)),$D314)))</f>
        <v/>
      </c>
      <c r="F314" s="30" t="str">
        <f aca="false">IF($D314="","",IFERROR(INDEX(合同项目,MATCH($D314,合同键,0)),IFERROR(TRIM(MID($D314,FIND("｜",$D314)+1,99)),"")))</f>
        <v/>
      </c>
      <c r="G314" s="24"/>
      <c r="H314" s="35" t="str">
        <f aca="false">IF($G314="","",IFERROR(INDEX(费用款别,MATCH($G314,费用类别表,0)),"合同外款"))</f>
        <v/>
      </c>
      <c r="I314" s="33"/>
      <c r="J314" s="33"/>
      <c r="K314" s="39"/>
      <c r="L314" s="33"/>
      <c r="M314" s="25"/>
      <c r="N314" s="39"/>
      <c r="O314" s="35" t="str">
        <f aca="false">IF($C314="","",IF(N($N314)&lt;=0,"未开票",IF(ROUND(N($N314)-N($K314),2)&gt;=0,"已开票",IFERROR("部分开票 "&amp;TEXT(N($N314)/N($K314),"0%"),"部分开票"))))</f>
        <v/>
      </c>
      <c r="P314" s="40" t="str">
        <f aca="false">IF($C314="","",ROUND($V314+MIN($W314,MAX(0,(SUMIF(收款键,$D314,收款金额)-SUMIFS(收款金额,收款键,$D314,收款关联,"&lt;&gt;"))-($X314-$W314))),2))</f>
        <v/>
      </c>
      <c r="Q314" s="41" t="str">
        <f aca="false">IF($C314="","",ROUND(N($K314)-N($P314),2))</f>
        <v/>
      </c>
      <c r="R314" s="29" t="str">
        <f aca="false">IF($C314="","",YEAR($C314))</f>
        <v/>
      </c>
      <c r="S314" s="24"/>
      <c r="T314" s="35" t="str">
        <f aca="false">IF($C314="","",IF($D314="","★没选客户项目",IF(COUNTIF(合同键,$D314)=0,"★《维保合同》里没这个项目",IF(N($K314)&lt;=0,"★应收金额要填",IF(ROUND(N($N314)-N($K314),2)&gt;0.001,"★开票金额大于应收",IF(AND($L314&lt;&gt;"",N($N314)&lt;=0),"★填了开票日期没填开票金额",IF(AND($I314&lt;&gt;"",$J314&lt;&gt;"",$J314&lt;$I314),"★计费期间起止反了","OK")))))))</f>
        <v/>
      </c>
      <c r="U314" s="29" t="str">
        <f aca="false">IF($L314="","",YEAR($L314))</f>
        <v/>
      </c>
      <c r="V314" s="40" t="str">
        <f aca="false">IF($C314="","",ROUND(SUMIF(收款关联,$B314,收款金额),2))</f>
        <v/>
      </c>
      <c r="W314" s="40" t="str">
        <f aca="false">IF($C314="","",MAX(0,ROUND(N($K314)-N($V314),2)))</f>
        <v/>
      </c>
      <c r="X314" s="40" t="str">
        <f aca="false">IF($C314="","",ROUND(SUMIFS(应收净额,应收键,$D314,应收行号,"&lt;="&amp;ROW()),2))</f>
        <v/>
      </c>
      <c r="Y314" s="29" t="str">
        <f aca="false">IF($C314="","",ROW())</f>
        <v/>
      </c>
    </row>
    <row r="315" customFormat="false" ht="15" hidden="false" customHeight="false" outlineLevel="0" collapsed="false">
      <c r="A315" s="29" t="str">
        <f aca="false">IF($C315="","",ROW()-4)</f>
        <v/>
      </c>
      <c r="B315" s="35" t="str">
        <f aca="false">IF($C315="","","YS"&amp;TEXT($C315,"yyyymm")&amp;"-"&amp;TEXT(ROW()-4,"0000"))</f>
        <v/>
      </c>
      <c r="C315" s="33"/>
      <c r="D315" s="24"/>
      <c r="E315" s="30" t="str">
        <f aca="false">IF($D315="","",IFERROR(INDEX(合同单位,MATCH($D315,合同键,0)),IFERROR(TRIM(LEFT($D315,FIND("｜",$D315)-1)),$D315)))</f>
        <v/>
      </c>
      <c r="F315" s="30" t="str">
        <f aca="false">IF($D315="","",IFERROR(INDEX(合同项目,MATCH($D315,合同键,0)),IFERROR(TRIM(MID($D315,FIND("｜",$D315)+1,99)),"")))</f>
        <v/>
      </c>
      <c r="G315" s="24"/>
      <c r="H315" s="35" t="str">
        <f aca="false">IF($G315="","",IFERROR(INDEX(费用款别,MATCH($G315,费用类别表,0)),"合同外款"))</f>
        <v/>
      </c>
      <c r="I315" s="33"/>
      <c r="J315" s="33"/>
      <c r="K315" s="39"/>
      <c r="L315" s="33"/>
      <c r="M315" s="25"/>
      <c r="N315" s="39"/>
      <c r="O315" s="35" t="str">
        <f aca="false">IF($C315="","",IF(N($N315)&lt;=0,"未开票",IF(ROUND(N($N315)-N($K315),2)&gt;=0,"已开票",IFERROR("部分开票 "&amp;TEXT(N($N315)/N($K315),"0%"),"部分开票"))))</f>
        <v/>
      </c>
      <c r="P315" s="40" t="str">
        <f aca="false">IF($C315="","",ROUND($V315+MIN($W315,MAX(0,(SUMIF(收款键,$D315,收款金额)-SUMIFS(收款金额,收款键,$D315,收款关联,"&lt;&gt;"))-($X315-$W315))),2))</f>
        <v/>
      </c>
      <c r="Q315" s="41" t="str">
        <f aca="false">IF($C315="","",ROUND(N($K315)-N($P315),2))</f>
        <v/>
      </c>
      <c r="R315" s="29" t="str">
        <f aca="false">IF($C315="","",YEAR($C315))</f>
        <v/>
      </c>
      <c r="S315" s="24"/>
      <c r="T315" s="35" t="str">
        <f aca="false">IF($C315="","",IF($D315="","★没选客户项目",IF(COUNTIF(合同键,$D315)=0,"★《维保合同》里没这个项目",IF(N($K315)&lt;=0,"★应收金额要填",IF(ROUND(N($N315)-N($K315),2)&gt;0.001,"★开票金额大于应收",IF(AND($L315&lt;&gt;"",N($N315)&lt;=0),"★填了开票日期没填开票金额",IF(AND($I315&lt;&gt;"",$J315&lt;&gt;"",$J315&lt;$I315),"★计费期间起止反了","OK")))))))</f>
        <v/>
      </c>
      <c r="U315" s="29" t="str">
        <f aca="false">IF($L315="","",YEAR($L315))</f>
        <v/>
      </c>
      <c r="V315" s="40" t="str">
        <f aca="false">IF($C315="","",ROUND(SUMIF(收款关联,$B315,收款金额),2))</f>
        <v/>
      </c>
      <c r="W315" s="40" t="str">
        <f aca="false">IF($C315="","",MAX(0,ROUND(N($K315)-N($V315),2)))</f>
        <v/>
      </c>
      <c r="X315" s="40" t="str">
        <f aca="false">IF($C315="","",ROUND(SUMIFS(应收净额,应收键,$D315,应收行号,"&lt;="&amp;ROW()),2))</f>
        <v/>
      </c>
      <c r="Y315" s="29" t="str">
        <f aca="false">IF($C315="","",ROW())</f>
        <v/>
      </c>
    </row>
    <row r="316" customFormat="false" ht="15" hidden="false" customHeight="false" outlineLevel="0" collapsed="false">
      <c r="A316" s="29" t="str">
        <f aca="false">IF($C316="","",ROW()-4)</f>
        <v/>
      </c>
      <c r="B316" s="35" t="str">
        <f aca="false">IF($C316="","","YS"&amp;TEXT($C316,"yyyymm")&amp;"-"&amp;TEXT(ROW()-4,"0000"))</f>
        <v/>
      </c>
      <c r="C316" s="33"/>
      <c r="D316" s="24"/>
      <c r="E316" s="30" t="str">
        <f aca="false">IF($D316="","",IFERROR(INDEX(合同单位,MATCH($D316,合同键,0)),IFERROR(TRIM(LEFT($D316,FIND("｜",$D316)-1)),$D316)))</f>
        <v/>
      </c>
      <c r="F316" s="30" t="str">
        <f aca="false">IF($D316="","",IFERROR(INDEX(合同项目,MATCH($D316,合同键,0)),IFERROR(TRIM(MID($D316,FIND("｜",$D316)+1,99)),"")))</f>
        <v/>
      </c>
      <c r="G316" s="24"/>
      <c r="H316" s="35" t="str">
        <f aca="false">IF($G316="","",IFERROR(INDEX(费用款别,MATCH($G316,费用类别表,0)),"合同外款"))</f>
        <v/>
      </c>
      <c r="I316" s="33"/>
      <c r="J316" s="33"/>
      <c r="K316" s="39"/>
      <c r="L316" s="33"/>
      <c r="M316" s="25"/>
      <c r="N316" s="39"/>
      <c r="O316" s="35" t="str">
        <f aca="false">IF($C316="","",IF(N($N316)&lt;=0,"未开票",IF(ROUND(N($N316)-N($K316),2)&gt;=0,"已开票",IFERROR("部分开票 "&amp;TEXT(N($N316)/N($K316),"0%"),"部分开票"))))</f>
        <v/>
      </c>
      <c r="P316" s="40" t="str">
        <f aca="false">IF($C316="","",ROUND($V316+MIN($W316,MAX(0,(SUMIF(收款键,$D316,收款金额)-SUMIFS(收款金额,收款键,$D316,收款关联,"&lt;&gt;"))-($X316-$W316))),2))</f>
        <v/>
      </c>
      <c r="Q316" s="41" t="str">
        <f aca="false">IF($C316="","",ROUND(N($K316)-N($P316),2))</f>
        <v/>
      </c>
      <c r="R316" s="29" t="str">
        <f aca="false">IF($C316="","",YEAR($C316))</f>
        <v/>
      </c>
      <c r="S316" s="24"/>
      <c r="T316" s="35" t="str">
        <f aca="false">IF($C316="","",IF($D316="","★没选客户项目",IF(COUNTIF(合同键,$D316)=0,"★《维保合同》里没这个项目",IF(N($K316)&lt;=0,"★应收金额要填",IF(ROUND(N($N316)-N($K316),2)&gt;0.001,"★开票金额大于应收",IF(AND($L316&lt;&gt;"",N($N316)&lt;=0),"★填了开票日期没填开票金额",IF(AND($I316&lt;&gt;"",$J316&lt;&gt;"",$J316&lt;$I316),"★计费期间起止反了","OK")))))))</f>
        <v/>
      </c>
      <c r="U316" s="29" t="str">
        <f aca="false">IF($L316="","",YEAR($L316))</f>
        <v/>
      </c>
      <c r="V316" s="40" t="str">
        <f aca="false">IF($C316="","",ROUND(SUMIF(收款关联,$B316,收款金额),2))</f>
        <v/>
      </c>
      <c r="W316" s="40" t="str">
        <f aca="false">IF($C316="","",MAX(0,ROUND(N($K316)-N($V316),2)))</f>
        <v/>
      </c>
      <c r="X316" s="40" t="str">
        <f aca="false">IF($C316="","",ROUND(SUMIFS(应收净额,应收键,$D316,应收行号,"&lt;="&amp;ROW()),2))</f>
        <v/>
      </c>
      <c r="Y316" s="29" t="str">
        <f aca="false">IF($C316="","",ROW())</f>
        <v/>
      </c>
    </row>
    <row r="317" customFormat="false" ht="15" hidden="false" customHeight="false" outlineLevel="0" collapsed="false">
      <c r="A317" s="29" t="str">
        <f aca="false">IF($C317="","",ROW()-4)</f>
        <v/>
      </c>
      <c r="B317" s="35" t="str">
        <f aca="false">IF($C317="","","YS"&amp;TEXT($C317,"yyyymm")&amp;"-"&amp;TEXT(ROW()-4,"0000"))</f>
        <v/>
      </c>
      <c r="C317" s="33"/>
      <c r="D317" s="24"/>
      <c r="E317" s="30" t="str">
        <f aca="false">IF($D317="","",IFERROR(INDEX(合同单位,MATCH($D317,合同键,0)),IFERROR(TRIM(LEFT($D317,FIND("｜",$D317)-1)),$D317)))</f>
        <v/>
      </c>
      <c r="F317" s="30" t="str">
        <f aca="false">IF($D317="","",IFERROR(INDEX(合同项目,MATCH($D317,合同键,0)),IFERROR(TRIM(MID($D317,FIND("｜",$D317)+1,99)),"")))</f>
        <v/>
      </c>
      <c r="G317" s="24"/>
      <c r="H317" s="35" t="str">
        <f aca="false">IF($G317="","",IFERROR(INDEX(费用款别,MATCH($G317,费用类别表,0)),"合同外款"))</f>
        <v/>
      </c>
      <c r="I317" s="33"/>
      <c r="J317" s="33"/>
      <c r="K317" s="39"/>
      <c r="L317" s="33"/>
      <c r="M317" s="25"/>
      <c r="N317" s="39"/>
      <c r="O317" s="35" t="str">
        <f aca="false">IF($C317="","",IF(N($N317)&lt;=0,"未开票",IF(ROUND(N($N317)-N($K317),2)&gt;=0,"已开票",IFERROR("部分开票 "&amp;TEXT(N($N317)/N($K317),"0%"),"部分开票"))))</f>
        <v/>
      </c>
      <c r="P317" s="40" t="str">
        <f aca="false">IF($C317="","",ROUND($V317+MIN($W317,MAX(0,(SUMIF(收款键,$D317,收款金额)-SUMIFS(收款金额,收款键,$D317,收款关联,"&lt;&gt;"))-($X317-$W317))),2))</f>
        <v/>
      </c>
      <c r="Q317" s="41" t="str">
        <f aca="false">IF($C317="","",ROUND(N($K317)-N($P317),2))</f>
        <v/>
      </c>
      <c r="R317" s="29" t="str">
        <f aca="false">IF($C317="","",YEAR($C317))</f>
        <v/>
      </c>
      <c r="S317" s="24"/>
      <c r="T317" s="35" t="str">
        <f aca="false">IF($C317="","",IF($D317="","★没选客户项目",IF(COUNTIF(合同键,$D317)=0,"★《维保合同》里没这个项目",IF(N($K317)&lt;=0,"★应收金额要填",IF(ROUND(N($N317)-N($K317),2)&gt;0.001,"★开票金额大于应收",IF(AND($L317&lt;&gt;"",N($N317)&lt;=0),"★填了开票日期没填开票金额",IF(AND($I317&lt;&gt;"",$J317&lt;&gt;"",$J317&lt;$I317),"★计费期间起止反了","OK")))))))</f>
        <v/>
      </c>
      <c r="U317" s="29" t="str">
        <f aca="false">IF($L317="","",YEAR($L317))</f>
        <v/>
      </c>
      <c r="V317" s="40" t="str">
        <f aca="false">IF($C317="","",ROUND(SUMIF(收款关联,$B317,收款金额),2))</f>
        <v/>
      </c>
      <c r="W317" s="40" t="str">
        <f aca="false">IF($C317="","",MAX(0,ROUND(N($K317)-N($V317),2)))</f>
        <v/>
      </c>
      <c r="X317" s="40" t="str">
        <f aca="false">IF($C317="","",ROUND(SUMIFS(应收净额,应收键,$D317,应收行号,"&lt;="&amp;ROW()),2))</f>
        <v/>
      </c>
      <c r="Y317" s="29" t="str">
        <f aca="false">IF($C317="","",ROW())</f>
        <v/>
      </c>
    </row>
    <row r="318" customFormat="false" ht="15" hidden="false" customHeight="false" outlineLevel="0" collapsed="false">
      <c r="A318" s="29" t="str">
        <f aca="false">IF($C318="","",ROW()-4)</f>
        <v/>
      </c>
      <c r="B318" s="35" t="str">
        <f aca="false">IF($C318="","","YS"&amp;TEXT($C318,"yyyymm")&amp;"-"&amp;TEXT(ROW()-4,"0000"))</f>
        <v/>
      </c>
      <c r="C318" s="33"/>
      <c r="D318" s="24"/>
      <c r="E318" s="30" t="str">
        <f aca="false">IF($D318="","",IFERROR(INDEX(合同单位,MATCH($D318,合同键,0)),IFERROR(TRIM(LEFT($D318,FIND("｜",$D318)-1)),$D318)))</f>
        <v/>
      </c>
      <c r="F318" s="30" t="str">
        <f aca="false">IF($D318="","",IFERROR(INDEX(合同项目,MATCH($D318,合同键,0)),IFERROR(TRIM(MID($D318,FIND("｜",$D318)+1,99)),"")))</f>
        <v/>
      </c>
      <c r="G318" s="24"/>
      <c r="H318" s="35" t="str">
        <f aca="false">IF($G318="","",IFERROR(INDEX(费用款别,MATCH($G318,费用类别表,0)),"合同外款"))</f>
        <v/>
      </c>
      <c r="I318" s="33"/>
      <c r="J318" s="33"/>
      <c r="K318" s="39"/>
      <c r="L318" s="33"/>
      <c r="M318" s="25"/>
      <c r="N318" s="39"/>
      <c r="O318" s="35" t="str">
        <f aca="false">IF($C318="","",IF(N($N318)&lt;=0,"未开票",IF(ROUND(N($N318)-N($K318),2)&gt;=0,"已开票",IFERROR("部分开票 "&amp;TEXT(N($N318)/N($K318),"0%"),"部分开票"))))</f>
        <v/>
      </c>
      <c r="P318" s="40" t="str">
        <f aca="false">IF($C318="","",ROUND($V318+MIN($W318,MAX(0,(SUMIF(收款键,$D318,收款金额)-SUMIFS(收款金额,收款键,$D318,收款关联,"&lt;&gt;"))-($X318-$W318))),2))</f>
        <v/>
      </c>
      <c r="Q318" s="41" t="str">
        <f aca="false">IF($C318="","",ROUND(N($K318)-N($P318),2))</f>
        <v/>
      </c>
      <c r="R318" s="29" t="str">
        <f aca="false">IF($C318="","",YEAR($C318))</f>
        <v/>
      </c>
      <c r="S318" s="24"/>
      <c r="T318" s="35" t="str">
        <f aca="false">IF($C318="","",IF($D318="","★没选客户项目",IF(COUNTIF(合同键,$D318)=0,"★《维保合同》里没这个项目",IF(N($K318)&lt;=0,"★应收金额要填",IF(ROUND(N($N318)-N($K318),2)&gt;0.001,"★开票金额大于应收",IF(AND($L318&lt;&gt;"",N($N318)&lt;=0),"★填了开票日期没填开票金额",IF(AND($I318&lt;&gt;"",$J318&lt;&gt;"",$J318&lt;$I318),"★计费期间起止反了","OK")))))))</f>
        <v/>
      </c>
      <c r="U318" s="29" t="str">
        <f aca="false">IF($L318="","",YEAR($L318))</f>
        <v/>
      </c>
      <c r="V318" s="40" t="str">
        <f aca="false">IF($C318="","",ROUND(SUMIF(收款关联,$B318,收款金额),2))</f>
        <v/>
      </c>
      <c r="W318" s="40" t="str">
        <f aca="false">IF($C318="","",MAX(0,ROUND(N($K318)-N($V318),2)))</f>
        <v/>
      </c>
      <c r="X318" s="40" t="str">
        <f aca="false">IF($C318="","",ROUND(SUMIFS(应收净额,应收键,$D318,应收行号,"&lt;="&amp;ROW()),2))</f>
        <v/>
      </c>
      <c r="Y318" s="29" t="str">
        <f aca="false">IF($C318="","",ROW())</f>
        <v/>
      </c>
    </row>
    <row r="319" customFormat="false" ht="15" hidden="false" customHeight="false" outlineLevel="0" collapsed="false">
      <c r="A319" s="29" t="str">
        <f aca="false">IF($C319="","",ROW()-4)</f>
        <v/>
      </c>
      <c r="B319" s="35" t="str">
        <f aca="false">IF($C319="","","YS"&amp;TEXT($C319,"yyyymm")&amp;"-"&amp;TEXT(ROW()-4,"0000"))</f>
        <v/>
      </c>
      <c r="C319" s="33"/>
      <c r="D319" s="24"/>
      <c r="E319" s="30" t="str">
        <f aca="false">IF($D319="","",IFERROR(INDEX(合同单位,MATCH($D319,合同键,0)),IFERROR(TRIM(LEFT($D319,FIND("｜",$D319)-1)),$D319)))</f>
        <v/>
      </c>
      <c r="F319" s="30" t="str">
        <f aca="false">IF($D319="","",IFERROR(INDEX(合同项目,MATCH($D319,合同键,0)),IFERROR(TRIM(MID($D319,FIND("｜",$D319)+1,99)),"")))</f>
        <v/>
      </c>
      <c r="G319" s="24"/>
      <c r="H319" s="35" t="str">
        <f aca="false">IF($G319="","",IFERROR(INDEX(费用款别,MATCH($G319,费用类别表,0)),"合同外款"))</f>
        <v/>
      </c>
      <c r="I319" s="33"/>
      <c r="J319" s="33"/>
      <c r="K319" s="39"/>
      <c r="L319" s="33"/>
      <c r="M319" s="25"/>
      <c r="N319" s="39"/>
      <c r="O319" s="35" t="str">
        <f aca="false">IF($C319="","",IF(N($N319)&lt;=0,"未开票",IF(ROUND(N($N319)-N($K319),2)&gt;=0,"已开票",IFERROR("部分开票 "&amp;TEXT(N($N319)/N($K319),"0%"),"部分开票"))))</f>
        <v/>
      </c>
      <c r="P319" s="40" t="str">
        <f aca="false">IF($C319="","",ROUND($V319+MIN($W319,MAX(0,(SUMIF(收款键,$D319,收款金额)-SUMIFS(收款金额,收款键,$D319,收款关联,"&lt;&gt;"))-($X319-$W319))),2))</f>
        <v/>
      </c>
      <c r="Q319" s="41" t="str">
        <f aca="false">IF($C319="","",ROUND(N($K319)-N($P319),2))</f>
        <v/>
      </c>
      <c r="R319" s="29" t="str">
        <f aca="false">IF($C319="","",YEAR($C319))</f>
        <v/>
      </c>
      <c r="S319" s="24"/>
      <c r="T319" s="35" t="str">
        <f aca="false">IF($C319="","",IF($D319="","★没选客户项目",IF(COUNTIF(合同键,$D319)=0,"★《维保合同》里没这个项目",IF(N($K319)&lt;=0,"★应收金额要填",IF(ROUND(N($N319)-N($K319),2)&gt;0.001,"★开票金额大于应收",IF(AND($L319&lt;&gt;"",N($N319)&lt;=0),"★填了开票日期没填开票金额",IF(AND($I319&lt;&gt;"",$J319&lt;&gt;"",$J319&lt;$I319),"★计费期间起止反了","OK")))))))</f>
        <v/>
      </c>
      <c r="U319" s="29" t="str">
        <f aca="false">IF($L319="","",YEAR($L319))</f>
        <v/>
      </c>
      <c r="V319" s="40" t="str">
        <f aca="false">IF($C319="","",ROUND(SUMIF(收款关联,$B319,收款金额),2))</f>
        <v/>
      </c>
      <c r="W319" s="40" t="str">
        <f aca="false">IF($C319="","",MAX(0,ROUND(N($K319)-N($V319),2)))</f>
        <v/>
      </c>
      <c r="X319" s="40" t="str">
        <f aca="false">IF($C319="","",ROUND(SUMIFS(应收净额,应收键,$D319,应收行号,"&lt;="&amp;ROW()),2))</f>
        <v/>
      </c>
      <c r="Y319" s="29" t="str">
        <f aca="false">IF($C319="","",ROW())</f>
        <v/>
      </c>
    </row>
    <row r="320" customFormat="false" ht="15" hidden="false" customHeight="false" outlineLevel="0" collapsed="false">
      <c r="A320" s="29" t="str">
        <f aca="false">IF($C320="","",ROW()-4)</f>
        <v/>
      </c>
      <c r="B320" s="35" t="str">
        <f aca="false">IF($C320="","","YS"&amp;TEXT($C320,"yyyymm")&amp;"-"&amp;TEXT(ROW()-4,"0000"))</f>
        <v/>
      </c>
      <c r="C320" s="33"/>
      <c r="D320" s="24"/>
      <c r="E320" s="30" t="str">
        <f aca="false">IF($D320="","",IFERROR(INDEX(合同单位,MATCH($D320,合同键,0)),IFERROR(TRIM(LEFT($D320,FIND("｜",$D320)-1)),$D320)))</f>
        <v/>
      </c>
      <c r="F320" s="30" t="str">
        <f aca="false">IF($D320="","",IFERROR(INDEX(合同项目,MATCH($D320,合同键,0)),IFERROR(TRIM(MID($D320,FIND("｜",$D320)+1,99)),"")))</f>
        <v/>
      </c>
      <c r="G320" s="24"/>
      <c r="H320" s="35" t="str">
        <f aca="false">IF($G320="","",IFERROR(INDEX(费用款别,MATCH($G320,费用类别表,0)),"合同外款"))</f>
        <v/>
      </c>
      <c r="I320" s="33"/>
      <c r="J320" s="33"/>
      <c r="K320" s="39"/>
      <c r="L320" s="33"/>
      <c r="M320" s="25"/>
      <c r="N320" s="39"/>
      <c r="O320" s="35" t="str">
        <f aca="false">IF($C320="","",IF(N($N320)&lt;=0,"未开票",IF(ROUND(N($N320)-N($K320),2)&gt;=0,"已开票",IFERROR("部分开票 "&amp;TEXT(N($N320)/N($K320),"0%"),"部分开票"))))</f>
        <v/>
      </c>
      <c r="P320" s="40" t="str">
        <f aca="false">IF($C320="","",ROUND($V320+MIN($W320,MAX(0,(SUMIF(收款键,$D320,收款金额)-SUMIFS(收款金额,收款键,$D320,收款关联,"&lt;&gt;"))-($X320-$W320))),2))</f>
        <v/>
      </c>
      <c r="Q320" s="41" t="str">
        <f aca="false">IF($C320="","",ROUND(N($K320)-N($P320),2))</f>
        <v/>
      </c>
      <c r="R320" s="29" t="str">
        <f aca="false">IF($C320="","",YEAR($C320))</f>
        <v/>
      </c>
      <c r="S320" s="24"/>
      <c r="T320" s="35" t="str">
        <f aca="false">IF($C320="","",IF($D320="","★没选客户项目",IF(COUNTIF(合同键,$D320)=0,"★《维保合同》里没这个项目",IF(N($K320)&lt;=0,"★应收金额要填",IF(ROUND(N($N320)-N($K320),2)&gt;0.001,"★开票金额大于应收",IF(AND($L320&lt;&gt;"",N($N320)&lt;=0),"★填了开票日期没填开票金额",IF(AND($I320&lt;&gt;"",$J320&lt;&gt;"",$J320&lt;$I320),"★计费期间起止反了","OK")))))))</f>
        <v/>
      </c>
      <c r="U320" s="29" t="str">
        <f aca="false">IF($L320="","",YEAR($L320))</f>
        <v/>
      </c>
      <c r="V320" s="40" t="str">
        <f aca="false">IF($C320="","",ROUND(SUMIF(收款关联,$B320,收款金额),2))</f>
        <v/>
      </c>
      <c r="W320" s="40" t="str">
        <f aca="false">IF($C320="","",MAX(0,ROUND(N($K320)-N($V320),2)))</f>
        <v/>
      </c>
      <c r="X320" s="40" t="str">
        <f aca="false">IF($C320="","",ROUND(SUMIFS(应收净额,应收键,$D320,应收行号,"&lt;="&amp;ROW()),2))</f>
        <v/>
      </c>
      <c r="Y320" s="29" t="str">
        <f aca="false">IF($C320="","",ROW())</f>
        <v/>
      </c>
    </row>
    <row r="321" customFormat="false" ht="15" hidden="false" customHeight="false" outlineLevel="0" collapsed="false">
      <c r="A321" s="29" t="str">
        <f aca="false">IF($C321="","",ROW()-4)</f>
        <v/>
      </c>
      <c r="B321" s="35" t="str">
        <f aca="false">IF($C321="","","YS"&amp;TEXT($C321,"yyyymm")&amp;"-"&amp;TEXT(ROW()-4,"0000"))</f>
        <v/>
      </c>
      <c r="C321" s="33"/>
      <c r="D321" s="24"/>
      <c r="E321" s="30" t="str">
        <f aca="false">IF($D321="","",IFERROR(INDEX(合同单位,MATCH($D321,合同键,0)),IFERROR(TRIM(LEFT($D321,FIND("｜",$D321)-1)),$D321)))</f>
        <v/>
      </c>
      <c r="F321" s="30" t="str">
        <f aca="false">IF($D321="","",IFERROR(INDEX(合同项目,MATCH($D321,合同键,0)),IFERROR(TRIM(MID($D321,FIND("｜",$D321)+1,99)),"")))</f>
        <v/>
      </c>
      <c r="G321" s="24"/>
      <c r="H321" s="35" t="str">
        <f aca="false">IF($G321="","",IFERROR(INDEX(费用款别,MATCH($G321,费用类别表,0)),"合同外款"))</f>
        <v/>
      </c>
      <c r="I321" s="33"/>
      <c r="J321" s="33"/>
      <c r="K321" s="39"/>
      <c r="L321" s="33"/>
      <c r="M321" s="25"/>
      <c r="N321" s="39"/>
      <c r="O321" s="35" t="str">
        <f aca="false">IF($C321="","",IF(N($N321)&lt;=0,"未开票",IF(ROUND(N($N321)-N($K321),2)&gt;=0,"已开票",IFERROR("部分开票 "&amp;TEXT(N($N321)/N($K321),"0%"),"部分开票"))))</f>
        <v/>
      </c>
      <c r="P321" s="40" t="str">
        <f aca="false">IF($C321="","",ROUND($V321+MIN($W321,MAX(0,(SUMIF(收款键,$D321,收款金额)-SUMIFS(收款金额,收款键,$D321,收款关联,"&lt;&gt;"))-($X321-$W321))),2))</f>
        <v/>
      </c>
      <c r="Q321" s="41" t="str">
        <f aca="false">IF($C321="","",ROUND(N($K321)-N($P321),2))</f>
        <v/>
      </c>
      <c r="R321" s="29" t="str">
        <f aca="false">IF($C321="","",YEAR($C321))</f>
        <v/>
      </c>
      <c r="S321" s="24"/>
      <c r="T321" s="35" t="str">
        <f aca="false">IF($C321="","",IF($D321="","★没选客户项目",IF(COUNTIF(合同键,$D321)=0,"★《维保合同》里没这个项目",IF(N($K321)&lt;=0,"★应收金额要填",IF(ROUND(N($N321)-N($K321),2)&gt;0.001,"★开票金额大于应收",IF(AND($L321&lt;&gt;"",N($N321)&lt;=0),"★填了开票日期没填开票金额",IF(AND($I321&lt;&gt;"",$J321&lt;&gt;"",$J321&lt;$I321),"★计费期间起止反了","OK")))))))</f>
        <v/>
      </c>
      <c r="U321" s="29" t="str">
        <f aca="false">IF($L321="","",YEAR($L321))</f>
        <v/>
      </c>
      <c r="V321" s="40" t="str">
        <f aca="false">IF($C321="","",ROUND(SUMIF(收款关联,$B321,收款金额),2))</f>
        <v/>
      </c>
      <c r="W321" s="40" t="str">
        <f aca="false">IF($C321="","",MAX(0,ROUND(N($K321)-N($V321),2)))</f>
        <v/>
      </c>
      <c r="X321" s="40" t="str">
        <f aca="false">IF($C321="","",ROUND(SUMIFS(应收净额,应收键,$D321,应收行号,"&lt;="&amp;ROW()),2))</f>
        <v/>
      </c>
      <c r="Y321" s="29" t="str">
        <f aca="false">IF($C321="","",ROW())</f>
        <v/>
      </c>
    </row>
    <row r="322" customFormat="false" ht="15" hidden="false" customHeight="false" outlineLevel="0" collapsed="false">
      <c r="A322" s="29" t="str">
        <f aca="false">IF($C322="","",ROW()-4)</f>
        <v/>
      </c>
      <c r="B322" s="35" t="str">
        <f aca="false">IF($C322="","","YS"&amp;TEXT($C322,"yyyymm")&amp;"-"&amp;TEXT(ROW()-4,"0000"))</f>
        <v/>
      </c>
      <c r="C322" s="33"/>
      <c r="D322" s="24"/>
      <c r="E322" s="30" t="str">
        <f aca="false">IF($D322="","",IFERROR(INDEX(合同单位,MATCH($D322,合同键,0)),IFERROR(TRIM(LEFT($D322,FIND("｜",$D322)-1)),$D322)))</f>
        <v/>
      </c>
      <c r="F322" s="30" t="str">
        <f aca="false">IF($D322="","",IFERROR(INDEX(合同项目,MATCH($D322,合同键,0)),IFERROR(TRIM(MID($D322,FIND("｜",$D322)+1,99)),"")))</f>
        <v/>
      </c>
      <c r="G322" s="24"/>
      <c r="H322" s="35" t="str">
        <f aca="false">IF($G322="","",IFERROR(INDEX(费用款别,MATCH($G322,费用类别表,0)),"合同外款"))</f>
        <v/>
      </c>
      <c r="I322" s="33"/>
      <c r="J322" s="33"/>
      <c r="K322" s="39"/>
      <c r="L322" s="33"/>
      <c r="M322" s="25"/>
      <c r="N322" s="39"/>
      <c r="O322" s="35" t="str">
        <f aca="false">IF($C322="","",IF(N($N322)&lt;=0,"未开票",IF(ROUND(N($N322)-N($K322),2)&gt;=0,"已开票",IFERROR("部分开票 "&amp;TEXT(N($N322)/N($K322),"0%"),"部分开票"))))</f>
        <v/>
      </c>
      <c r="P322" s="40" t="str">
        <f aca="false">IF($C322="","",ROUND($V322+MIN($W322,MAX(0,(SUMIF(收款键,$D322,收款金额)-SUMIFS(收款金额,收款键,$D322,收款关联,"&lt;&gt;"))-($X322-$W322))),2))</f>
        <v/>
      </c>
      <c r="Q322" s="41" t="str">
        <f aca="false">IF($C322="","",ROUND(N($K322)-N($P322),2))</f>
        <v/>
      </c>
      <c r="R322" s="29" t="str">
        <f aca="false">IF($C322="","",YEAR($C322))</f>
        <v/>
      </c>
      <c r="S322" s="24"/>
      <c r="T322" s="35" t="str">
        <f aca="false">IF($C322="","",IF($D322="","★没选客户项目",IF(COUNTIF(合同键,$D322)=0,"★《维保合同》里没这个项目",IF(N($K322)&lt;=0,"★应收金额要填",IF(ROUND(N($N322)-N($K322),2)&gt;0.001,"★开票金额大于应收",IF(AND($L322&lt;&gt;"",N($N322)&lt;=0),"★填了开票日期没填开票金额",IF(AND($I322&lt;&gt;"",$J322&lt;&gt;"",$J322&lt;$I322),"★计费期间起止反了","OK")))))))</f>
        <v/>
      </c>
      <c r="U322" s="29" t="str">
        <f aca="false">IF($L322="","",YEAR($L322))</f>
        <v/>
      </c>
      <c r="V322" s="40" t="str">
        <f aca="false">IF($C322="","",ROUND(SUMIF(收款关联,$B322,收款金额),2))</f>
        <v/>
      </c>
      <c r="W322" s="40" t="str">
        <f aca="false">IF($C322="","",MAX(0,ROUND(N($K322)-N($V322),2)))</f>
        <v/>
      </c>
      <c r="X322" s="40" t="str">
        <f aca="false">IF($C322="","",ROUND(SUMIFS(应收净额,应收键,$D322,应收行号,"&lt;="&amp;ROW()),2))</f>
        <v/>
      </c>
      <c r="Y322" s="29" t="str">
        <f aca="false">IF($C322="","",ROW())</f>
        <v/>
      </c>
    </row>
    <row r="323" customFormat="false" ht="15" hidden="false" customHeight="false" outlineLevel="0" collapsed="false">
      <c r="A323" s="29" t="str">
        <f aca="false">IF($C323="","",ROW()-4)</f>
        <v/>
      </c>
      <c r="B323" s="35" t="str">
        <f aca="false">IF($C323="","","YS"&amp;TEXT($C323,"yyyymm")&amp;"-"&amp;TEXT(ROW()-4,"0000"))</f>
        <v/>
      </c>
      <c r="C323" s="33"/>
      <c r="D323" s="24"/>
      <c r="E323" s="30" t="str">
        <f aca="false">IF($D323="","",IFERROR(INDEX(合同单位,MATCH($D323,合同键,0)),IFERROR(TRIM(LEFT($D323,FIND("｜",$D323)-1)),$D323)))</f>
        <v/>
      </c>
      <c r="F323" s="30" t="str">
        <f aca="false">IF($D323="","",IFERROR(INDEX(合同项目,MATCH($D323,合同键,0)),IFERROR(TRIM(MID($D323,FIND("｜",$D323)+1,99)),"")))</f>
        <v/>
      </c>
      <c r="G323" s="24"/>
      <c r="H323" s="35" t="str">
        <f aca="false">IF($G323="","",IFERROR(INDEX(费用款别,MATCH($G323,费用类别表,0)),"合同外款"))</f>
        <v/>
      </c>
      <c r="I323" s="33"/>
      <c r="J323" s="33"/>
      <c r="K323" s="39"/>
      <c r="L323" s="33"/>
      <c r="M323" s="25"/>
      <c r="N323" s="39"/>
      <c r="O323" s="35" t="str">
        <f aca="false">IF($C323="","",IF(N($N323)&lt;=0,"未开票",IF(ROUND(N($N323)-N($K323),2)&gt;=0,"已开票",IFERROR("部分开票 "&amp;TEXT(N($N323)/N($K323),"0%"),"部分开票"))))</f>
        <v/>
      </c>
      <c r="P323" s="40" t="str">
        <f aca="false">IF($C323="","",ROUND($V323+MIN($W323,MAX(0,(SUMIF(收款键,$D323,收款金额)-SUMIFS(收款金额,收款键,$D323,收款关联,"&lt;&gt;"))-($X323-$W323))),2))</f>
        <v/>
      </c>
      <c r="Q323" s="41" t="str">
        <f aca="false">IF($C323="","",ROUND(N($K323)-N($P323),2))</f>
        <v/>
      </c>
      <c r="R323" s="29" t="str">
        <f aca="false">IF($C323="","",YEAR($C323))</f>
        <v/>
      </c>
      <c r="S323" s="24"/>
      <c r="T323" s="35" t="str">
        <f aca="false">IF($C323="","",IF($D323="","★没选客户项目",IF(COUNTIF(合同键,$D323)=0,"★《维保合同》里没这个项目",IF(N($K323)&lt;=0,"★应收金额要填",IF(ROUND(N($N323)-N($K323),2)&gt;0.001,"★开票金额大于应收",IF(AND($L323&lt;&gt;"",N($N323)&lt;=0),"★填了开票日期没填开票金额",IF(AND($I323&lt;&gt;"",$J323&lt;&gt;"",$J323&lt;$I323),"★计费期间起止反了","OK")))))))</f>
        <v/>
      </c>
      <c r="U323" s="29" t="str">
        <f aca="false">IF($L323="","",YEAR($L323))</f>
        <v/>
      </c>
      <c r="V323" s="40" t="str">
        <f aca="false">IF($C323="","",ROUND(SUMIF(收款关联,$B323,收款金额),2))</f>
        <v/>
      </c>
      <c r="W323" s="40" t="str">
        <f aca="false">IF($C323="","",MAX(0,ROUND(N($K323)-N($V323),2)))</f>
        <v/>
      </c>
      <c r="X323" s="40" t="str">
        <f aca="false">IF($C323="","",ROUND(SUMIFS(应收净额,应收键,$D323,应收行号,"&lt;="&amp;ROW()),2))</f>
        <v/>
      </c>
      <c r="Y323" s="29" t="str">
        <f aca="false">IF($C323="","",ROW())</f>
        <v/>
      </c>
    </row>
    <row r="324" customFormat="false" ht="15" hidden="false" customHeight="false" outlineLevel="0" collapsed="false">
      <c r="A324" s="29" t="str">
        <f aca="false">IF($C324="","",ROW()-4)</f>
        <v/>
      </c>
      <c r="B324" s="35" t="str">
        <f aca="false">IF($C324="","","YS"&amp;TEXT($C324,"yyyymm")&amp;"-"&amp;TEXT(ROW()-4,"0000"))</f>
        <v/>
      </c>
      <c r="C324" s="33"/>
      <c r="D324" s="24"/>
      <c r="E324" s="30" t="str">
        <f aca="false">IF($D324="","",IFERROR(INDEX(合同单位,MATCH($D324,合同键,0)),IFERROR(TRIM(LEFT($D324,FIND("｜",$D324)-1)),$D324)))</f>
        <v/>
      </c>
      <c r="F324" s="30" t="str">
        <f aca="false">IF($D324="","",IFERROR(INDEX(合同项目,MATCH($D324,合同键,0)),IFERROR(TRIM(MID($D324,FIND("｜",$D324)+1,99)),"")))</f>
        <v/>
      </c>
      <c r="G324" s="24"/>
      <c r="H324" s="35" t="str">
        <f aca="false">IF($G324="","",IFERROR(INDEX(费用款别,MATCH($G324,费用类别表,0)),"合同外款"))</f>
        <v/>
      </c>
      <c r="I324" s="33"/>
      <c r="J324" s="33"/>
      <c r="K324" s="39"/>
      <c r="L324" s="33"/>
      <c r="M324" s="25"/>
      <c r="N324" s="39"/>
      <c r="O324" s="35" t="str">
        <f aca="false">IF($C324="","",IF(N($N324)&lt;=0,"未开票",IF(ROUND(N($N324)-N($K324),2)&gt;=0,"已开票",IFERROR("部分开票 "&amp;TEXT(N($N324)/N($K324),"0%"),"部分开票"))))</f>
        <v/>
      </c>
      <c r="P324" s="40" t="str">
        <f aca="false">IF($C324="","",ROUND($V324+MIN($W324,MAX(0,(SUMIF(收款键,$D324,收款金额)-SUMIFS(收款金额,收款键,$D324,收款关联,"&lt;&gt;"))-($X324-$W324))),2))</f>
        <v/>
      </c>
      <c r="Q324" s="41" t="str">
        <f aca="false">IF($C324="","",ROUND(N($K324)-N($P324),2))</f>
        <v/>
      </c>
      <c r="R324" s="29" t="str">
        <f aca="false">IF($C324="","",YEAR($C324))</f>
        <v/>
      </c>
      <c r="S324" s="24"/>
      <c r="T324" s="35" t="str">
        <f aca="false">IF($C324="","",IF($D324="","★没选客户项目",IF(COUNTIF(合同键,$D324)=0,"★《维保合同》里没这个项目",IF(N($K324)&lt;=0,"★应收金额要填",IF(ROUND(N($N324)-N($K324),2)&gt;0.001,"★开票金额大于应收",IF(AND($L324&lt;&gt;"",N($N324)&lt;=0),"★填了开票日期没填开票金额",IF(AND($I324&lt;&gt;"",$J324&lt;&gt;"",$J324&lt;$I324),"★计费期间起止反了","OK")))))))</f>
        <v/>
      </c>
      <c r="U324" s="29" t="str">
        <f aca="false">IF($L324="","",YEAR($L324))</f>
        <v/>
      </c>
      <c r="V324" s="40" t="str">
        <f aca="false">IF($C324="","",ROUND(SUMIF(收款关联,$B324,收款金额),2))</f>
        <v/>
      </c>
      <c r="W324" s="40" t="str">
        <f aca="false">IF($C324="","",MAX(0,ROUND(N($K324)-N($V324),2)))</f>
        <v/>
      </c>
      <c r="X324" s="40" t="str">
        <f aca="false">IF($C324="","",ROUND(SUMIFS(应收净额,应收键,$D324,应收行号,"&lt;="&amp;ROW()),2))</f>
        <v/>
      </c>
      <c r="Y324" s="29" t="str">
        <f aca="false">IF($C324="","",ROW())</f>
        <v/>
      </c>
    </row>
    <row r="325" customFormat="false" ht="15" hidden="false" customHeight="false" outlineLevel="0" collapsed="false">
      <c r="A325" s="29" t="str">
        <f aca="false">IF($C325="","",ROW()-4)</f>
        <v/>
      </c>
      <c r="B325" s="35" t="str">
        <f aca="false">IF($C325="","","YS"&amp;TEXT($C325,"yyyymm")&amp;"-"&amp;TEXT(ROW()-4,"0000"))</f>
        <v/>
      </c>
      <c r="C325" s="33"/>
      <c r="D325" s="24"/>
      <c r="E325" s="30" t="str">
        <f aca="false">IF($D325="","",IFERROR(INDEX(合同单位,MATCH($D325,合同键,0)),IFERROR(TRIM(LEFT($D325,FIND("｜",$D325)-1)),$D325)))</f>
        <v/>
      </c>
      <c r="F325" s="30" t="str">
        <f aca="false">IF($D325="","",IFERROR(INDEX(合同项目,MATCH($D325,合同键,0)),IFERROR(TRIM(MID($D325,FIND("｜",$D325)+1,99)),"")))</f>
        <v/>
      </c>
      <c r="G325" s="24"/>
      <c r="H325" s="35" t="str">
        <f aca="false">IF($G325="","",IFERROR(INDEX(费用款别,MATCH($G325,费用类别表,0)),"合同外款"))</f>
        <v/>
      </c>
      <c r="I325" s="33"/>
      <c r="J325" s="33"/>
      <c r="K325" s="39"/>
      <c r="L325" s="33"/>
      <c r="M325" s="25"/>
      <c r="N325" s="39"/>
      <c r="O325" s="35" t="str">
        <f aca="false">IF($C325="","",IF(N($N325)&lt;=0,"未开票",IF(ROUND(N($N325)-N($K325),2)&gt;=0,"已开票",IFERROR("部分开票 "&amp;TEXT(N($N325)/N($K325),"0%"),"部分开票"))))</f>
        <v/>
      </c>
      <c r="P325" s="40" t="str">
        <f aca="false">IF($C325="","",ROUND($V325+MIN($W325,MAX(0,(SUMIF(收款键,$D325,收款金额)-SUMIFS(收款金额,收款键,$D325,收款关联,"&lt;&gt;"))-($X325-$W325))),2))</f>
        <v/>
      </c>
      <c r="Q325" s="41" t="str">
        <f aca="false">IF($C325="","",ROUND(N($K325)-N($P325),2))</f>
        <v/>
      </c>
      <c r="R325" s="29" t="str">
        <f aca="false">IF($C325="","",YEAR($C325))</f>
        <v/>
      </c>
      <c r="S325" s="24"/>
      <c r="T325" s="35" t="str">
        <f aca="false">IF($C325="","",IF($D325="","★没选客户项目",IF(COUNTIF(合同键,$D325)=0,"★《维保合同》里没这个项目",IF(N($K325)&lt;=0,"★应收金额要填",IF(ROUND(N($N325)-N($K325),2)&gt;0.001,"★开票金额大于应收",IF(AND($L325&lt;&gt;"",N($N325)&lt;=0),"★填了开票日期没填开票金额",IF(AND($I325&lt;&gt;"",$J325&lt;&gt;"",$J325&lt;$I325),"★计费期间起止反了","OK")))))))</f>
        <v/>
      </c>
      <c r="U325" s="29" t="str">
        <f aca="false">IF($L325="","",YEAR($L325))</f>
        <v/>
      </c>
      <c r="V325" s="40" t="str">
        <f aca="false">IF($C325="","",ROUND(SUMIF(收款关联,$B325,收款金额),2))</f>
        <v/>
      </c>
      <c r="W325" s="40" t="str">
        <f aca="false">IF($C325="","",MAX(0,ROUND(N($K325)-N($V325),2)))</f>
        <v/>
      </c>
      <c r="X325" s="40" t="str">
        <f aca="false">IF($C325="","",ROUND(SUMIFS(应收净额,应收键,$D325,应收行号,"&lt;="&amp;ROW()),2))</f>
        <v/>
      </c>
      <c r="Y325" s="29" t="str">
        <f aca="false">IF($C325="","",ROW())</f>
        <v/>
      </c>
    </row>
    <row r="326" customFormat="false" ht="15" hidden="false" customHeight="false" outlineLevel="0" collapsed="false">
      <c r="A326" s="29" t="str">
        <f aca="false">IF($C326="","",ROW()-4)</f>
        <v/>
      </c>
      <c r="B326" s="35" t="str">
        <f aca="false">IF($C326="","","YS"&amp;TEXT($C326,"yyyymm")&amp;"-"&amp;TEXT(ROW()-4,"0000"))</f>
        <v/>
      </c>
      <c r="C326" s="33"/>
      <c r="D326" s="24"/>
      <c r="E326" s="30" t="str">
        <f aca="false">IF($D326="","",IFERROR(INDEX(合同单位,MATCH($D326,合同键,0)),IFERROR(TRIM(LEFT($D326,FIND("｜",$D326)-1)),$D326)))</f>
        <v/>
      </c>
      <c r="F326" s="30" t="str">
        <f aca="false">IF($D326="","",IFERROR(INDEX(合同项目,MATCH($D326,合同键,0)),IFERROR(TRIM(MID($D326,FIND("｜",$D326)+1,99)),"")))</f>
        <v/>
      </c>
      <c r="G326" s="24"/>
      <c r="H326" s="35" t="str">
        <f aca="false">IF($G326="","",IFERROR(INDEX(费用款别,MATCH($G326,费用类别表,0)),"合同外款"))</f>
        <v/>
      </c>
      <c r="I326" s="33"/>
      <c r="J326" s="33"/>
      <c r="K326" s="39"/>
      <c r="L326" s="33"/>
      <c r="M326" s="25"/>
      <c r="N326" s="39"/>
      <c r="O326" s="35" t="str">
        <f aca="false">IF($C326="","",IF(N($N326)&lt;=0,"未开票",IF(ROUND(N($N326)-N($K326),2)&gt;=0,"已开票",IFERROR("部分开票 "&amp;TEXT(N($N326)/N($K326),"0%"),"部分开票"))))</f>
        <v/>
      </c>
      <c r="P326" s="40" t="str">
        <f aca="false">IF($C326="","",ROUND($V326+MIN($W326,MAX(0,(SUMIF(收款键,$D326,收款金额)-SUMIFS(收款金额,收款键,$D326,收款关联,"&lt;&gt;"))-($X326-$W326))),2))</f>
        <v/>
      </c>
      <c r="Q326" s="41" t="str">
        <f aca="false">IF($C326="","",ROUND(N($K326)-N($P326),2))</f>
        <v/>
      </c>
      <c r="R326" s="29" t="str">
        <f aca="false">IF($C326="","",YEAR($C326))</f>
        <v/>
      </c>
      <c r="S326" s="24"/>
      <c r="T326" s="35" t="str">
        <f aca="false">IF($C326="","",IF($D326="","★没选客户项目",IF(COUNTIF(合同键,$D326)=0,"★《维保合同》里没这个项目",IF(N($K326)&lt;=0,"★应收金额要填",IF(ROUND(N($N326)-N($K326),2)&gt;0.001,"★开票金额大于应收",IF(AND($L326&lt;&gt;"",N($N326)&lt;=0),"★填了开票日期没填开票金额",IF(AND($I326&lt;&gt;"",$J326&lt;&gt;"",$J326&lt;$I326),"★计费期间起止反了","OK")))))))</f>
        <v/>
      </c>
      <c r="U326" s="29" t="str">
        <f aca="false">IF($L326="","",YEAR($L326))</f>
        <v/>
      </c>
      <c r="V326" s="40" t="str">
        <f aca="false">IF($C326="","",ROUND(SUMIF(收款关联,$B326,收款金额),2))</f>
        <v/>
      </c>
      <c r="W326" s="40" t="str">
        <f aca="false">IF($C326="","",MAX(0,ROUND(N($K326)-N($V326),2)))</f>
        <v/>
      </c>
      <c r="X326" s="40" t="str">
        <f aca="false">IF($C326="","",ROUND(SUMIFS(应收净额,应收键,$D326,应收行号,"&lt;="&amp;ROW()),2))</f>
        <v/>
      </c>
      <c r="Y326" s="29" t="str">
        <f aca="false">IF($C326="","",ROW())</f>
        <v/>
      </c>
    </row>
    <row r="327" customFormat="false" ht="15" hidden="false" customHeight="false" outlineLevel="0" collapsed="false">
      <c r="A327" s="29" t="str">
        <f aca="false">IF($C327="","",ROW()-4)</f>
        <v/>
      </c>
      <c r="B327" s="35" t="str">
        <f aca="false">IF($C327="","","YS"&amp;TEXT($C327,"yyyymm")&amp;"-"&amp;TEXT(ROW()-4,"0000"))</f>
        <v/>
      </c>
      <c r="C327" s="33"/>
      <c r="D327" s="24"/>
      <c r="E327" s="30" t="str">
        <f aca="false">IF($D327="","",IFERROR(INDEX(合同单位,MATCH($D327,合同键,0)),IFERROR(TRIM(LEFT($D327,FIND("｜",$D327)-1)),$D327)))</f>
        <v/>
      </c>
      <c r="F327" s="30" t="str">
        <f aca="false">IF($D327="","",IFERROR(INDEX(合同项目,MATCH($D327,合同键,0)),IFERROR(TRIM(MID($D327,FIND("｜",$D327)+1,99)),"")))</f>
        <v/>
      </c>
      <c r="G327" s="24"/>
      <c r="H327" s="35" t="str">
        <f aca="false">IF($G327="","",IFERROR(INDEX(费用款别,MATCH($G327,费用类别表,0)),"合同外款"))</f>
        <v/>
      </c>
      <c r="I327" s="33"/>
      <c r="J327" s="33"/>
      <c r="K327" s="39"/>
      <c r="L327" s="33"/>
      <c r="M327" s="25"/>
      <c r="N327" s="39"/>
      <c r="O327" s="35" t="str">
        <f aca="false">IF($C327="","",IF(N($N327)&lt;=0,"未开票",IF(ROUND(N($N327)-N($K327),2)&gt;=0,"已开票",IFERROR("部分开票 "&amp;TEXT(N($N327)/N($K327),"0%"),"部分开票"))))</f>
        <v/>
      </c>
      <c r="P327" s="40" t="str">
        <f aca="false">IF($C327="","",ROUND($V327+MIN($W327,MAX(0,(SUMIF(收款键,$D327,收款金额)-SUMIFS(收款金额,收款键,$D327,收款关联,"&lt;&gt;"))-($X327-$W327))),2))</f>
        <v/>
      </c>
      <c r="Q327" s="41" t="str">
        <f aca="false">IF($C327="","",ROUND(N($K327)-N($P327),2))</f>
        <v/>
      </c>
      <c r="R327" s="29" t="str">
        <f aca="false">IF($C327="","",YEAR($C327))</f>
        <v/>
      </c>
      <c r="S327" s="24"/>
      <c r="T327" s="35" t="str">
        <f aca="false">IF($C327="","",IF($D327="","★没选客户项目",IF(COUNTIF(合同键,$D327)=0,"★《维保合同》里没这个项目",IF(N($K327)&lt;=0,"★应收金额要填",IF(ROUND(N($N327)-N($K327),2)&gt;0.001,"★开票金额大于应收",IF(AND($L327&lt;&gt;"",N($N327)&lt;=0),"★填了开票日期没填开票金额",IF(AND($I327&lt;&gt;"",$J327&lt;&gt;"",$J327&lt;$I327),"★计费期间起止反了","OK")))))))</f>
        <v/>
      </c>
      <c r="U327" s="29" t="str">
        <f aca="false">IF($L327="","",YEAR($L327))</f>
        <v/>
      </c>
      <c r="V327" s="40" t="str">
        <f aca="false">IF($C327="","",ROUND(SUMIF(收款关联,$B327,收款金额),2))</f>
        <v/>
      </c>
      <c r="W327" s="40" t="str">
        <f aca="false">IF($C327="","",MAX(0,ROUND(N($K327)-N($V327),2)))</f>
        <v/>
      </c>
      <c r="X327" s="40" t="str">
        <f aca="false">IF($C327="","",ROUND(SUMIFS(应收净额,应收键,$D327,应收行号,"&lt;="&amp;ROW()),2))</f>
        <v/>
      </c>
      <c r="Y327" s="29" t="str">
        <f aca="false">IF($C327="","",ROW())</f>
        <v/>
      </c>
    </row>
    <row r="328" customFormat="false" ht="15" hidden="false" customHeight="false" outlineLevel="0" collapsed="false">
      <c r="A328" s="29" t="str">
        <f aca="false">IF($C328="","",ROW()-4)</f>
        <v/>
      </c>
      <c r="B328" s="35" t="str">
        <f aca="false">IF($C328="","","YS"&amp;TEXT($C328,"yyyymm")&amp;"-"&amp;TEXT(ROW()-4,"0000"))</f>
        <v/>
      </c>
      <c r="C328" s="33"/>
      <c r="D328" s="24"/>
      <c r="E328" s="30" t="str">
        <f aca="false">IF($D328="","",IFERROR(INDEX(合同单位,MATCH($D328,合同键,0)),IFERROR(TRIM(LEFT($D328,FIND("｜",$D328)-1)),$D328)))</f>
        <v/>
      </c>
      <c r="F328" s="30" t="str">
        <f aca="false">IF($D328="","",IFERROR(INDEX(合同项目,MATCH($D328,合同键,0)),IFERROR(TRIM(MID($D328,FIND("｜",$D328)+1,99)),"")))</f>
        <v/>
      </c>
      <c r="G328" s="24"/>
      <c r="H328" s="35" t="str">
        <f aca="false">IF($G328="","",IFERROR(INDEX(费用款别,MATCH($G328,费用类别表,0)),"合同外款"))</f>
        <v/>
      </c>
      <c r="I328" s="33"/>
      <c r="J328" s="33"/>
      <c r="K328" s="39"/>
      <c r="L328" s="33"/>
      <c r="M328" s="25"/>
      <c r="N328" s="39"/>
      <c r="O328" s="35" t="str">
        <f aca="false">IF($C328="","",IF(N($N328)&lt;=0,"未开票",IF(ROUND(N($N328)-N($K328),2)&gt;=0,"已开票",IFERROR("部分开票 "&amp;TEXT(N($N328)/N($K328),"0%"),"部分开票"))))</f>
        <v/>
      </c>
      <c r="P328" s="40" t="str">
        <f aca="false">IF($C328="","",ROUND($V328+MIN($W328,MAX(0,(SUMIF(收款键,$D328,收款金额)-SUMIFS(收款金额,收款键,$D328,收款关联,"&lt;&gt;"))-($X328-$W328))),2))</f>
        <v/>
      </c>
      <c r="Q328" s="41" t="str">
        <f aca="false">IF($C328="","",ROUND(N($K328)-N($P328),2))</f>
        <v/>
      </c>
      <c r="R328" s="29" t="str">
        <f aca="false">IF($C328="","",YEAR($C328))</f>
        <v/>
      </c>
      <c r="S328" s="24"/>
      <c r="T328" s="35" t="str">
        <f aca="false">IF($C328="","",IF($D328="","★没选客户项目",IF(COUNTIF(合同键,$D328)=0,"★《维保合同》里没这个项目",IF(N($K328)&lt;=0,"★应收金额要填",IF(ROUND(N($N328)-N($K328),2)&gt;0.001,"★开票金额大于应收",IF(AND($L328&lt;&gt;"",N($N328)&lt;=0),"★填了开票日期没填开票金额",IF(AND($I328&lt;&gt;"",$J328&lt;&gt;"",$J328&lt;$I328),"★计费期间起止反了","OK")))))))</f>
        <v/>
      </c>
      <c r="U328" s="29" t="str">
        <f aca="false">IF($L328="","",YEAR($L328))</f>
        <v/>
      </c>
      <c r="V328" s="40" t="str">
        <f aca="false">IF($C328="","",ROUND(SUMIF(收款关联,$B328,收款金额),2))</f>
        <v/>
      </c>
      <c r="W328" s="40" t="str">
        <f aca="false">IF($C328="","",MAX(0,ROUND(N($K328)-N($V328),2)))</f>
        <v/>
      </c>
      <c r="X328" s="40" t="str">
        <f aca="false">IF($C328="","",ROUND(SUMIFS(应收净额,应收键,$D328,应收行号,"&lt;="&amp;ROW()),2))</f>
        <v/>
      </c>
      <c r="Y328" s="29" t="str">
        <f aca="false">IF($C328="","",ROW())</f>
        <v/>
      </c>
    </row>
    <row r="329" customFormat="false" ht="15" hidden="false" customHeight="false" outlineLevel="0" collapsed="false">
      <c r="A329" s="29" t="str">
        <f aca="false">IF($C329="","",ROW()-4)</f>
        <v/>
      </c>
      <c r="B329" s="35" t="str">
        <f aca="false">IF($C329="","","YS"&amp;TEXT($C329,"yyyymm")&amp;"-"&amp;TEXT(ROW()-4,"0000"))</f>
        <v/>
      </c>
      <c r="C329" s="33"/>
      <c r="D329" s="24"/>
      <c r="E329" s="30" t="str">
        <f aca="false">IF($D329="","",IFERROR(INDEX(合同单位,MATCH($D329,合同键,0)),IFERROR(TRIM(LEFT($D329,FIND("｜",$D329)-1)),$D329)))</f>
        <v/>
      </c>
      <c r="F329" s="30" t="str">
        <f aca="false">IF($D329="","",IFERROR(INDEX(合同项目,MATCH($D329,合同键,0)),IFERROR(TRIM(MID($D329,FIND("｜",$D329)+1,99)),"")))</f>
        <v/>
      </c>
      <c r="G329" s="24"/>
      <c r="H329" s="35" t="str">
        <f aca="false">IF($G329="","",IFERROR(INDEX(费用款别,MATCH($G329,费用类别表,0)),"合同外款"))</f>
        <v/>
      </c>
      <c r="I329" s="33"/>
      <c r="J329" s="33"/>
      <c r="K329" s="39"/>
      <c r="L329" s="33"/>
      <c r="M329" s="25"/>
      <c r="N329" s="39"/>
      <c r="O329" s="35" t="str">
        <f aca="false">IF($C329="","",IF(N($N329)&lt;=0,"未开票",IF(ROUND(N($N329)-N($K329),2)&gt;=0,"已开票",IFERROR("部分开票 "&amp;TEXT(N($N329)/N($K329),"0%"),"部分开票"))))</f>
        <v/>
      </c>
      <c r="P329" s="40" t="str">
        <f aca="false">IF($C329="","",ROUND($V329+MIN($W329,MAX(0,(SUMIF(收款键,$D329,收款金额)-SUMIFS(收款金额,收款键,$D329,收款关联,"&lt;&gt;"))-($X329-$W329))),2))</f>
        <v/>
      </c>
      <c r="Q329" s="41" t="str">
        <f aca="false">IF($C329="","",ROUND(N($K329)-N($P329),2))</f>
        <v/>
      </c>
      <c r="R329" s="29" t="str">
        <f aca="false">IF($C329="","",YEAR($C329))</f>
        <v/>
      </c>
      <c r="S329" s="24"/>
      <c r="T329" s="35" t="str">
        <f aca="false">IF($C329="","",IF($D329="","★没选客户项目",IF(COUNTIF(合同键,$D329)=0,"★《维保合同》里没这个项目",IF(N($K329)&lt;=0,"★应收金额要填",IF(ROUND(N($N329)-N($K329),2)&gt;0.001,"★开票金额大于应收",IF(AND($L329&lt;&gt;"",N($N329)&lt;=0),"★填了开票日期没填开票金额",IF(AND($I329&lt;&gt;"",$J329&lt;&gt;"",$J329&lt;$I329),"★计费期间起止反了","OK")))))))</f>
        <v/>
      </c>
      <c r="U329" s="29" t="str">
        <f aca="false">IF($L329="","",YEAR($L329))</f>
        <v/>
      </c>
      <c r="V329" s="40" t="str">
        <f aca="false">IF($C329="","",ROUND(SUMIF(收款关联,$B329,收款金额),2))</f>
        <v/>
      </c>
      <c r="W329" s="40" t="str">
        <f aca="false">IF($C329="","",MAX(0,ROUND(N($K329)-N($V329),2)))</f>
        <v/>
      </c>
      <c r="X329" s="40" t="str">
        <f aca="false">IF($C329="","",ROUND(SUMIFS(应收净额,应收键,$D329,应收行号,"&lt;="&amp;ROW()),2))</f>
        <v/>
      </c>
      <c r="Y329" s="29" t="str">
        <f aca="false">IF($C329="","",ROW())</f>
        <v/>
      </c>
    </row>
    <row r="330" customFormat="false" ht="15" hidden="false" customHeight="false" outlineLevel="0" collapsed="false">
      <c r="A330" s="29" t="str">
        <f aca="false">IF($C330="","",ROW()-4)</f>
        <v/>
      </c>
      <c r="B330" s="35" t="str">
        <f aca="false">IF($C330="","","YS"&amp;TEXT($C330,"yyyymm")&amp;"-"&amp;TEXT(ROW()-4,"0000"))</f>
        <v/>
      </c>
      <c r="C330" s="33"/>
      <c r="D330" s="24"/>
      <c r="E330" s="30" t="str">
        <f aca="false">IF($D330="","",IFERROR(INDEX(合同单位,MATCH($D330,合同键,0)),IFERROR(TRIM(LEFT($D330,FIND("｜",$D330)-1)),$D330)))</f>
        <v/>
      </c>
      <c r="F330" s="30" t="str">
        <f aca="false">IF($D330="","",IFERROR(INDEX(合同项目,MATCH($D330,合同键,0)),IFERROR(TRIM(MID($D330,FIND("｜",$D330)+1,99)),"")))</f>
        <v/>
      </c>
      <c r="G330" s="24"/>
      <c r="H330" s="35" t="str">
        <f aca="false">IF($G330="","",IFERROR(INDEX(费用款别,MATCH($G330,费用类别表,0)),"合同外款"))</f>
        <v/>
      </c>
      <c r="I330" s="33"/>
      <c r="J330" s="33"/>
      <c r="K330" s="39"/>
      <c r="L330" s="33"/>
      <c r="M330" s="25"/>
      <c r="N330" s="39"/>
      <c r="O330" s="35" t="str">
        <f aca="false">IF($C330="","",IF(N($N330)&lt;=0,"未开票",IF(ROUND(N($N330)-N($K330),2)&gt;=0,"已开票",IFERROR("部分开票 "&amp;TEXT(N($N330)/N($K330),"0%"),"部分开票"))))</f>
        <v/>
      </c>
      <c r="P330" s="40" t="str">
        <f aca="false">IF($C330="","",ROUND($V330+MIN($W330,MAX(0,(SUMIF(收款键,$D330,收款金额)-SUMIFS(收款金额,收款键,$D330,收款关联,"&lt;&gt;"))-($X330-$W330))),2))</f>
        <v/>
      </c>
      <c r="Q330" s="41" t="str">
        <f aca="false">IF($C330="","",ROUND(N($K330)-N($P330),2))</f>
        <v/>
      </c>
      <c r="R330" s="29" t="str">
        <f aca="false">IF($C330="","",YEAR($C330))</f>
        <v/>
      </c>
      <c r="S330" s="24"/>
      <c r="T330" s="35" t="str">
        <f aca="false">IF($C330="","",IF($D330="","★没选客户项目",IF(COUNTIF(合同键,$D330)=0,"★《维保合同》里没这个项目",IF(N($K330)&lt;=0,"★应收金额要填",IF(ROUND(N($N330)-N($K330),2)&gt;0.001,"★开票金额大于应收",IF(AND($L330&lt;&gt;"",N($N330)&lt;=0),"★填了开票日期没填开票金额",IF(AND($I330&lt;&gt;"",$J330&lt;&gt;"",$J330&lt;$I330),"★计费期间起止反了","OK")))))))</f>
        <v/>
      </c>
      <c r="U330" s="29" t="str">
        <f aca="false">IF($L330="","",YEAR($L330))</f>
        <v/>
      </c>
      <c r="V330" s="40" t="str">
        <f aca="false">IF($C330="","",ROUND(SUMIF(收款关联,$B330,收款金额),2))</f>
        <v/>
      </c>
      <c r="W330" s="40" t="str">
        <f aca="false">IF($C330="","",MAX(0,ROUND(N($K330)-N($V330),2)))</f>
        <v/>
      </c>
      <c r="X330" s="40" t="str">
        <f aca="false">IF($C330="","",ROUND(SUMIFS(应收净额,应收键,$D330,应收行号,"&lt;="&amp;ROW()),2))</f>
        <v/>
      </c>
      <c r="Y330" s="29" t="str">
        <f aca="false">IF($C330="","",ROW())</f>
        <v/>
      </c>
    </row>
    <row r="331" customFormat="false" ht="15" hidden="false" customHeight="false" outlineLevel="0" collapsed="false">
      <c r="A331" s="29" t="str">
        <f aca="false">IF($C331="","",ROW()-4)</f>
        <v/>
      </c>
      <c r="B331" s="35" t="str">
        <f aca="false">IF($C331="","","YS"&amp;TEXT($C331,"yyyymm")&amp;"-"&amp;TEXT(ROW()-4,"0000"))</f>
        <v/>
      </c>
      <c r="C331" s="33"/>
      <c r="D331" s="24"/>
      <c r="E331" s="30" t="str">
        <f aca="false">IF($D331="","",IFERROR(INDEX(合同单位,MATCH($D331,合同键,0)),IFERROR(TRIM(LEFT($D331,FIND("｜",$D331)-1)),$D331)))</f>
        <v/>
      </c>
      <c r="F331" s="30" t="str">
        <f aca="false">IF($D331="","",IFERROR(INDEX(合同项目,MATCH($D331,合同键,0)),IFERROR(TRIM(MID($D331,FIND("｜",$D331)+1,99)),"")))</f>
        <v/>
      </c>
      <c r="G331" s="24"/>
      <c r="H331" s="35" t="str">
        <f aca="false">IF($G331="","",IFERROR(INDEX(费用款别,MATCH($G331,费用类别表,0)),"合同外款"))</f>
        <v/>
      </c>
      <c r="I331" s="33"/>
      <c r="J331" s="33"/>
      <c r="K331" s="39"/>
      <c r="L331" s="33"/>
      <c r="M331" s="25"/>
      <c r="N331" s="39"/>
      <c r="O331" s="35" t="str">
        <f aca="false">IF($C331="","",IF(N($N331)&lt;=0,"未开票",IF(ROUND(N($N331)-N($K331),2)&gt;=0,"已开票",IFERROR("部分开票 "&amp;TEXT(N($N331)/N($K331),"0%"),"部分开票"))))</f>
        <v/>
      </c>
      <c r="P331" s="40" t="str">
        <f aca="false">IF($C331="","",ROUND($V331+MIN($W331,MAX(0,(SUMIF(收款键,$D331,收款金额)-SUMIFS(收款金额,收款键,$D331,收款关联,"&lt;&gt;"))-($X331-$W331))),2))</f>
        <v/>
      </c>
      <c r="Q331" s="41" t="str">
        <f aca="false">IF($C331="","",ROUND(N($K331)-N($P331),2))</f>
        <v/>
      </c>
      <c r="R331" s="29" t="str">
        <f aca="false">IF($C331="","",YEAR($C331))</f>
        <v/>
      </c>
      <c r="S331" s="24"/>
      <c r="T331" s="35" t="str">
        <f aca="false">IF($C331="","",IF($D331="","★没选客户项目",IF(COUNTIF(合同键,$D331)=0,"★《维保合同》里没这个项目",IF(N($K331)&lt;=0,"★应收金额要填",IF(ROUND(N($N331)-N($K331),2)&gt;0.001,"★开票金额大于应收",IF(AND($L331&lt;&gt;"",N($N331)&lt;=0),"★填了开票日期没填开票金额",IF(AND($I331&lt;&gt;"",$J331&lt;&gt;"",$J331&lt;$I331),"★计费期间起止反了","OK")))))))</f>
        <v/>
      </c>
      <c r="U331" s="29" t="str">
        <f aca="false">IF($L331="","",YEAR($L331))</f>
        <v/>
      </c>
      <c r="V331" s="40" t="str">
        <f aca="false">IF($C331="","",ROUND(SUMIF(收款关联,$B331,收款金额),2))</f>
        <v/>
      </c>
      <c r="W331" s="40" t="str">
        <f aca="false">IF($C331="","",MAX(0,ROUND(N($K331)-N($V331),2)))</f>
        <v/>
      </c>
      <c r="X331" s="40" t="str">
        <f aca="false">IF($C331="","",ROUND(SUMIFS(应收净额,应收键,$D331,应收行号,"&lt;="&amp;ROW()),2))</f>
        <v/>
      </c>
      <c r="Y331" s="29" t="str">
        <f aca="false">IF($C331="","",ROW())</f>
        <v/>
      </c>
    </row>
    <row r="332" customFormat="false" ht="15" hidden="false" customHeight="false" outlineLevel="0" collapsed="false">
      <c r="A332" s="29" t="str">
        <f aca="false">IF($C332="","",ROW()-4)</f>
        <v/>
      </c>
      <c r="B332" s="35" t="str">
        <f aca="false">IF($C332="","","YS"&amp;TEXT($C332,"yyyymm")&amp;"-"&amp;TEXT(ROW()-4,"0000"))</f>
        <v/>
      </c>
      <c r="C332" s="33"/>
      <c r="D332" s="24"/>
      <c r="E332" s="30" t="str">
        <f aca="false">IF($D332="","",IFERROR(INDEX(合同单位,MATCH($D332,合同键,0)),IFERROR(TRIM(LEFT($D332,FIND("｜",$D332)-1)),$D332)))</f>
        <v/>
      </c>
      <c r="F332" s="30" t="str">
        <f aca="false">IF($D332="","",IFERROR(INDEX(合同项目,MATCH($D332,合同键,0)),IFERROR(TRIM(MID($D332,FIND("｜",$D332)+1,99)),"")))</f>
        <v/>
      </c>
      <c r="G332" s="24"/>
      <c r="H332" s="35" t="str">
        <f aca="false">IF($G332="","",IFERROR(INDEX(费用款别,MATCH($G332,费用类别表,0)),"合同外款"))</f>
        <v/>
      </c>
      <c r="I332" s="33"/>
      <c r="J332" s="33"/>
      <c r="K332" s="39"/>
      <c r="L332" s="33"/>
      <c r="M332" s="25"/>
      <c r="N332" s="39"/>
      <c r="O332" s="35" t="str">
        <f aca="false">IF($C332="","",IF(N($N332)&lt;=0,"未开票",IF(ROUND(N($N332)-N($K332),2)&gt;=0,"已开票",IFERROR("部分开票 "&amp;TEXT(N($N332)/N($K332),"0%"),"部分开票"))))</f>
        <v/>
      </c>
      <c r="P332" s="40" t="str">
        <f aca="false">IF($C332="","",ROUND($V332+MIN($W332,MAX(0,(SUMIF(收款键,$D332,收款金额)-SUMIFS(收款金额,收款键,$D332,收款关联,"&lt;&gt;"))-($X332-$W332))),2))</f>
        <v/>
      </c>
      <c r="Q332" s="41" t="str">
        <f aca="false">IF($C332="","",ROUND(N($K332)-N($P332),2))</f>
        <v/>
      </c>
      <c r="R332" s="29" t="str">
        <f aca="false">IF($C332="","",YEAR($C332))</f>
        <v/>
      </c>
      <c r="S332" s="24"/>
      <c r="T332" s="35" t="str">
        <f aca="false">IF($C332="","",IF($D332="","★没选客户项目",IF(COUNTIF(合同键,$D332)=0,"★《维保合同》里没这个项目",IF(N($K332)&lt;=0,"★应收金额要填",IF(ROUND(N($N332)-N($K332),2)&gt;0.001,"★开票金额大于应收",IF(AND($L332&lt;&gt;"",N($N332)&lt;=0),"★填了开票日期没填开票金额",IF(AND($I332&lt;&gt;"",$J332&lt;&gt;"",$J332&lt;$I332),"★计费期间起止反了","OK")))))))</f>
        <v/>
      </c>
      <c r="U332" s="29" t="str">
        <f aca="false">IF($L332="","",YEAR($L332))</f>
        <v/>
      </c>
      <c r="V332" s="40" t="str">
        <f aca="false">IF($C332="","",ROUND(SUMIF(收款关联,$B332,收款金额),2))</f>
        <v/>
      </c>
      <c r="W332" s="40" t="str">
        <f aca="false">IF($C332="","",MAX(0,ROUND(N($K332)-N($V332),2)))</f>
        <v/>
      </c>
      <c r="X332" s="40" t="str">
        <f aca="false">IF($C332="","",ROUND(SUMIFS(应收净额,应收键,$D332,应收行号,"&lt;="&amp;ROW()),2))</f>
        <v/>
      </c>
      <c r="Y332" s="29" t="str">
        <f aca="false">IF($C332="","",ROW())</f>
        <v/>
      </c>
    </row>
    <row r="333" customFormat="false" ht="15" hidden="false" customHeight="false" outlineLevel="0" collapsed="false">
      <c r="A333" s="29" t="str">
        <f aca="false">IF($C333="","",ROW()-4)</f>
        <v/>
      </c>
      <c r="B333" s="35" t="str">
        <f aca="false">IF($C333="","","YS"&amp;TEXT($C333,"yyyymm")&amp;"-"&amp;TEXT(ROW()-4,"0000"))</f>
        <v/>
      </c>
      <c r="C333" s="33"/>
      <c r="D333" s="24"/>
      <c r="E333" s="30" t="str">
        <f aca="false">IF($D333="","",IFERROR(INDEX(合同单位,MATCH($D333,合同键,0)),IFERROR(TRIM(LEFT($D333,FIND("｜",$D333)-1)),$D333)))</f>
        <v/>
      </c>
      <c r="F333" s="30" t="str">
        <f aca="false">IF($D333="","",IFERROR(INDEX(合同项目,MATCH($D333,合同键,0)),IFERROR(TRIM(MID($D333,FIND("｜",$D333)+1,99)),"")))</f>
        <v/>
      </c>
      <c r="G333" s="24"/>
      <c r="H333" s="35" t="str">
        <f aca="false">IF($G333="","",IFERROR(INDEX(费用款别,MATCH($G333,费用类别表,0)),"合同外款"))</f>
        <v/>
      </c>
      <c r="I333" s="33"/>
      <c r="J333" s="33"/>
      <c r="K333" s="39"/>
      <c r="L333" s="33"/>
      <c r="M333" s="25"/>
      <c r="N333" s="39"/>
      <c r="O333" s="35" t="str">
        <f aca="false">IF($C333="","",IF(N($N333)&lt;=0,"未开票",IF(ROUND(N($N333)-N($K333),2)&gt;=0,"已开票",IFERROR("部分开票 "&amp;TEXT(N($N333)/N($K333),"0%"),"部分开票"))))</f>
        <v/>
      </c>
      <c r="P333" s="40" t="str">
        <f aca="false">IF($C333="","",ROUND($V333+MIN($W333,MAX(0,(SUMIF(收款键,$D333,收款金额)-SUMIFS(收款金额,收款键,$D333,收款关联,"&lt;&gt;"))-($X333-$W333))),2))</f>
        <v/>
      </c>
      <c r="Q333" s="41" t="str">
        <f aca="false">IF($C333="","",ROUND(N($K333)-N($P333),2))</f>
        <v/>
      </c>
      <c r="R333" s="29" t="str">
        <f aca="false">IF($C333="","",YEAR($C333))</f>
        <v/>
      </c>
      <c r="S333" s="24"/>
      <c r="T333" s="35" t="str">
        <f aca="false">IF($C333="","",IF($D333="","★没选客户项目",IF(COUNTIF(合同键,$D333)=0,"★《维保合同》里没这个项目",IF(N($K333)&lt;=0,"★应收金额要填",IF(ROUND(N($N333)-N($K333),2)&gt;0.001,"★开票金额大于应收",IF(AND($L333&lt;&gt;"",N($N333)&lt;=0),"★填了开票日期没填开票金额",IF(AND($I333&lt;&gt;"",$J333&lt;&gt;"",$J333&lt;$I333),"★计费期间起止反了","OK")))))))</f>
        <v/>
      </c>
      <c r="U333" s="29" t="str">
        <f aca="false">IF($L333="","",YEAR($L333))</f>
        <v/>
      </c>
      <c r="V333" s="40" t="str">
        <f aca="false">IF($C333="","",ROUND(SUMIF(收款关联,$B333,收款金额),2))</f>
        <v/>
      </c>
      <c r="W333" s="40" t="str">
        <f aca="false">IF($C333="","",MAX(0,ROUND(N($K333)-N($V333),2)))</f>
        <v/>
      </c>
      <c r="X333" s="40" t="str">
        <f aca="false">IF($C333="","",ROUND(SUMIFS(应收净额,应收键,$D333,应收行号,"&lt;="&amp;ROW()),2))</f>
        <v/>
      </c>
      <c r="Y333" s="29" t="str">
        <f aca="false">IF($C333="","",ROW())</f>
        <v/>
      </c>
    </row>
    <row r="334" customFormat="false" ht="15" hidden="false" customHeight="false" outlineLevel="0" collapsed="false">
      <c r="A334" s="29" t="str">
        <f aca="false">IF($C334="","",ROW()-4)</f>
        <v/>
      </c>
      <c r="B334" s="35" t="str">
        <f aca="false">IF($C334="","","YS"&amp;TEXT($C334,"yyyymm")&amp;"-"&amp;TEXT(ROW()-4,"0000"))</f>
        <v/>
      </c>
      <c r="C334" s="33"/>
      <c r="D334" s="24"/>
      <c r="E334" s="30" t="str">
        <f aca="false">IF($D334="","",IFERROR(INDEX(合同单位,MATCH($D334,合同键,0)),IFERROR(TRIM(LEFT($D334,FIND("｜",$D334)-1)),$D334)))</f>
        <v/>
      </c>
      <c r="F334" s="30" t="str">
        <f aca="false">IF($D334="","",IFERROR(INDEX(合同项目,MATCH($D334,合同键,0)),IFERROR(TRIM(MID($D334,FIND("｜",$D334)+1,99)),"")))</f>
        <v/>
      </c>
      <c r="G334" s="24"/>
      <c r="H334" s="35" t="str">
        <f aca="false">IF($G334="","",IFERROR(INDEX(费用款别,MATCH($G334,费用类别表,0)),"合同外款"))</f>
        <v/>
      </c>
      <c r="I334" s="33"/>
      <c r="J334" s="33"/>
      <c r="K334" s="39"/>
      <c r="L334" s="33"/>
      <c r="M334" s="25"/>
      <c r="N334" s="39"/>
      <c r="O334" s="35" t="str">
        <f aca="false">IF($C334="","",IF(N($N334)&lt;=0,"未开票",IF(ROUND(N($N334)-N($K334),2)&gt;=0,"已开票",IFERROR("部分开票 "&amp;TEXT(N($N334)/N($K334),"0%"),"部分开票"))))</f>
        <v/>
      </c>
      <c r="P334" s="40" t="str">
        <f aca="false">IF($C334="","",ROUND($V334+MIN($W334,MAX(0,(SUMIF(收款键,$D334,收款金额)-SUMIFS(收款金额,收款键,$D334,收款关联,"&lt;&gt;"))-($X334-$W334))),2))</f>
        <v/>
      </c>
      <c r="Q334" s="41" t="str">
        <f aca="false">IF($C334="","",ROUND(N($K334)-N($P334),2))</f>
        <v/>
      </c>
      <c r="R334" s="29" t="str">
        <f aca="false">IF($C334="","",YEAR($C334))</f>
        <v/>
      </c>
      <c r="S334" s="24"/>
      <c r="T334" s="35" t="str">
        <f aca="false">IF($C334="","",IF($D334="","★没选客户项目",IF(COUNTIF(合同键,$D334)=0,"★《维保合同》里没这个项目",IF(N($K334)&lt;=0,"★应收金额要填",IF(ROUND(N($N334)-N($K334),2)&gt;0.001,"★开票金额大于应收",IF(AND($L334&lt;&gt;"",N($N334)&lt;=0),"★填了开票日期没填开票金额",IF(AND($I334&lt;&gt;"",$J334&lt;&gt;"",$J334&lt;$I334),"★计费期间起止反了","OK")))))))</f>
        <v/>
      </c>
      <c r="U334" s="29" t="str">
        <f aca="false">IF($L334="","",YEAR($L334))</f>
        <v/>
      </c>
      <c r="V334" s="40" t="str">
        <f aca="false">IF($C334="","",ROUND(SUMIF(收款关联,$B334,收款金额),2))</f>
        <v/>
      </c>
      <c r="W334" s="40" t="str">
        <f aca="false">IF($C334="","",MAX(0,ROUND(N($K334)-N($V334),2)))</f>
        <v/>
      </c>
      <c r="X334" s="40" t="str">
        <f aca="false">IF($C334="","",ROUND(SUMIFS(应收净额,应收键,$D334,应收行号,"&lt;="&amp;ROW()),2))</f>
        <v/>
      </c>
      <c r="Y334" s="29" t="str">
        <f aca="false">IF($C334="","",ROW())</f>
        <v/>
      </c>
    </row>
    <row r="335" customFormat="false" ht="15" hidden="false" customHeight="false" outlineLevel="0" collapsed="false">
      <c r="A335" s="29" t="str">
        <f aca="false">IF($C335="","",ROW()-4)</f>
        <v/>
      </c>
      <c r="B335" s="35" t="str">
        <f aca="false">IF($C335="","","YS"&amp;TEXT($C335,"yyyymm")&amp;"-"&amp;TEXT(ROW()-4,"0000"))</f>
        <v/>
      </c>
      <c r="C335" s="33"/>
      <c r="D335" s="24"/>
      <c r="E335" s="30" t="str">
        <f aca="false">IF($D335="","",IFERROR(INDEX(合同单位,MATCH($D335,合同键,0)),IFERROR(TRIM(LEFT($D335,FIND("｜",$D335)-1)),$D335)))</f>
        <v/>
      </c>
      <c r="F335" s="30" t="str">
        <f aca="false">IF($D335="","",IFERROR(INDEX(合同项目,MATCH($D335,合同键,0)),IFERROR(TRIM(MID($D335,FIND("｜",$D335)+1,99)),"")))</f>
        <v/>
      </c>
      <c r="G335" s="24"/>
      <c r="H335" s="35" t="str">
        <f aca="false">IF($G335="","",IFERROR(INDEX(费用款别,MATCH($G335,费用类别表,0)),"合同外款"))</f>
        <v/>
      </c>
      <c r="I335" s="33"/>
      <c r="J335" s="33"/>
      <c r="K335" s="39"/>
      <c r="L335" s="33"/>
      <c r="M335" s="25"/>
      <c r="N335" s="39"/>
      <c r="O335" s="35" t="str">
        <f aca="false">IF($C335="","",IF(N($N335)&lt;=0,"未开票",IF(ROUND(N($N335)-N($K335),2)&gt;=0,"已开票",IFERROR("部分开票 "&amp;TEXT(N($N335)/N($K335),"0%"),"部分开票"))))</f>
        <v/>
      </c>
      <c r="P335" s="40" t="str">
        <f aca="false">IF($C335="","",ROUND($V335+MIN($W335,MAX(0,(SUMIF(收款键,$D335,收款金额)-SUMIFS(收款金额,收款键,$D335,收款关联,"&lt;&gt;"))-($X335-$W335))),2))</f>
        <v/>
      </c>
      <c r="Q335" s="41" t="str">
        <f aca="false">IF($C335="","",ROUND(N($K335)-N($P335),2))</f>
        <v/>
      </c>
      <c r="R335" s="29" t="str">
        <f aca="false">IF($C335="","",YEAR($C335))</f>
        <v/>
      </c>
      <c r="S335" s="24"/>
      <c r="T335" s="35" t="str">
        <f aca="false">IF($C335="","",IF($D335="","★没选客户项目",IF(COUNTIF(合同键,$D335)=0,"★《维保合同》里没这个项目",IF(N($K335)&lt;=0,"★应收金额要填",IF(ROUND(N($N335)-N($K335),2)&gt;0.001,"★开票金额大于应收",IF(AND($L335&lt;&gt;"",N($N335)&lt;=0),"★填了开票日期没填开票金额",IF(AND($I335&lt;&gt;"",$J335&lt;&gt;"",$J335&lt;$I335),"★计费期间起止反了","OK")))))))</f>
        <v/>
      </c>
      <c r="U335" s="29" t="str">
        <f aca="false">IF($L335="","",YEAR($L335))</f>
        <v/>
      </c>
      <c r="V335" s="40" t="str">
        <f aca="false">IF($C335="","",ROUND(SUMIF(收款关联,$B335,收款金额),2))</f>
        <v/>
      </c>
      <c r="W335" s="40" t="str">
        <f aca="false">IF($C335="","",MAX(0,ROUND(N($K335)-N($V335),2)))</f>
        <v/>
      </c>
      <c r="X335" s="40" t="str">
        <f aca="false">IF($C335="","",ROUND(SUMIFS(应收净额,应收键,$D335,应收行号,"&lt;="&amp;ROW()),2))</f>
        <v/>
      </c>
      <c r="Y335" s="29" t="str">
        <f aca="false">IF($C335="","",ROW())</f>
        <v/>
      </c>
    </row>
    <row r="336" customFormat="false" ht="15" hidden="false" customHeight="false" outlineLevel="0" collapsed="false">
      <c r="A336" s="29" t="str">
        <f aca="false">IF($C336="","",ROW()-4)</f>
        <v/>
      </c>
      <c r="B336" s="35" t="str">
        <f aca="false">IF($C336="","","YS"&amp;TEXT($C336,"yyyymm")&amp;"-"&amp;TEXT(ROW()-4,"0000"))</f>
        <v/>
      </c>
      <c r="C336" s="33"/>
      <c r="D336" s="24"/>
      <c r="E336" s="30" t="str">
        <f aca="false">IF($D336="","",IFERROR(INDEX(合同单位,MATCH($D336,合同键,0)),IFERROR(TRIM(LEFT($D336,FIND("｜",$D336)-1)),$D336)))</f>
        <v/>
      </c>
      <c r="F336" s="30" t="str">
        <f aca="false">IF($D336="","",IFERROR(INDEX(合同项目,MATCH($D336,合同键,0)),IFERROR(TRIM(MID($D336,FIND("｜",$D336)+1,99)),"")))</f>
        <v/>
      </c>
      <c r="G336" s="24"/>
      <c r="H336" s="35" t="str">
        <f aca="false">IF($G336="","",IFERROR(INDEX(费用款别,MATCH($G336,费用类别表,0)),"合同外款"))</f>
        <v/>
      </c>
      <c r="I336" s="33"/>
      <c r="J336" s="33"/>
      <c r="K336" s="39"/>
      <c r="L336" s="33"/>
      <c r="M336" s="25"/>
      <c r="N336" s="39"/>
      <c r="O336" s="35" t="str">
        <f aca="false">IF($C336="","",IF(N($N336)&lt;=0,"未开票",IF(ROUND(N($N336)-N($K336),2)&gt;=0,"已开票",IFERROR("部分开票 "&amp;TEXT(N($N336)/N($K336),"0%"),"部分开票"))))</f>
        <v/>
      </c>
      <c r="P336" s="40" t="str">
        <f aca="false">IF($C336="","",ROUND($V336+MIN($W336,MAX(0,(SUMIF(收款键,$D336,收款金额)-SUMIFS(收款金额,收款键,$D336,收款关联,"&lt;&gt;"))-($X336-$W336))),2))</f>
        <v/>
      </c>
      <c r="Q336" s="41" t="str">
        <f aca="false">IF($C336="","",ROUND(N($K336)-N($P336),2))</f>
        <v/>
      </c>
      <c r="R336" s="29" t="str">
        <f aca="false">IF($C336="","",YEAR($C336))</f>
        <v/>
      </c>
      <c r="S336" s="24"/>
      <c r="T336" s="35" t="str">
        <f aca="false">IF($C336="","",IF($D336="","★没选客户项目",IF(COUNTIF(合同键,$D336)=0,"★《维保合同》里没这个项目",IF(N($K336)&lt;=0,"★应收金额要填",IF(ROUND(N($N336)-N($K336),2)&gt;0.001,"★开票金额大于应收",IF(AND($L336&lt;&gt;"",N($N336)&lt;=0),"★填了开票日期没填开票金额",IF(AND($I336&lt;&gt;"",$J336&lt;&gt;"",$J336&lt;$I336),"★计费期间起止反了","OK")))))))</f>
        <v/>
      </c>
      <c r="U336" s="29" t="str">
        <f aca="false">IF($L336="","",YEAR($L336))</f>
        <v/>
      </c>
      <c r="V336" s="40" t="str">
        <f aca="false">IF($C336="","",ROUND(SUMIF(收款关联,$B336,收款金额),2))</f>
        <v/>
      </c>
      <c r="W336" s="40" t="str">
        <f aca="false">IF($C336="","",MAX(0,ROUND(N($K336)-N($V336),2)))</f>
        <v/>
      </c>
      <c r="X336" s="40" t="str">
        <f aca="false">IF($C336="","",ROUND(SUMIFS(应收净额,应收键,$D336,应收行号,"&lt;="&amp;ROW()),2))</f>
        <v/>
      </c>
      <c r="Y336" s="29" t="str">
        <f aca="false">IF($C336="","",ROW())</f>
        <v/>
      </c>
    </row>
    <row r="337" customFormat="false" ht="15" hidden="false" customHeight="false" outlineLevel="0" collapsed="false">
      <c r="A337" s="29" t="str">
        <f aca="false">IF($C337="","",ROW()-4)</f>
        <v/>
      </c>
      <c r="B337" s="35" t="str">
        <f aca="false">IF($C337="","","YS"&amp;TEXT($C337,"yyyymm")&amp;"-"&amp;TEXT(ROW()-4,"0000"))</f>
        <v/>
      </c>
      <c r="C337" s="33"/>
      <c r="D337" s="24"/>
      <c r="E337" s="30" t="str">
        <f aca="false">IF($D337="","",IFERROR(INDEX(合同单位,MATCH($D337,合同键,0)),IFERROR(TRIM(LEFT($D337,FIND("｜",$D337)-1)),$D337)))</f>
        <v/>
      </c>
      <c r="F337" s="30" t="str">
        <f aca="false">IF($D337="","",IFERROR(INDEX(合同项目,MATCH($D337,合同键,0)),IFERROR(TRIM(MID($D337,FIND("｜",$D337)+1,99)),"")))</f>
        <v/>
      </c>
      <c r="G337" s="24"/>
      <c r="H337" s="35" t="str">
        <f aca="false">IF($G337="","",IFERROR(INDEX(费用款别,MATCH($G337,费用类别表,0)),"合同外款"))</f>
        <v/>
      </c>
      <c r="I337" s="33"/>
      <c r="J337" s="33"/>
      <c r="K337" s="39"/>
      <c r="L337" s="33"/>
      <c r="M337" s="25"/>
      <c r="N337" s="39"/>
      <c r="O337" s="35" t="str">
        <f aca="false">IF($C337="","",IF(N($N337)&lt;=0,"未开票",IF(ROUND(N($N337)-N($K337),2)&gt;=0,"已开票",IFERROR("部分开票 "&amp;TEXT(N($N337)/N($K337),"0%"),"部分开票"))))</f>
        <v/>
      </c>
      <c r="P337" s="40" t="str">
        <f aca="false">IF($C337="","",ROUND($V337+MIN($W337,MAX(0,(SUMIF(收款键,$D337,收款金额)-SUMIFS(收款金额,收款键,$D337,收款关联,"&lt;&gt;"))-($X337-$W337))),2))</f>
        <v/>
      </c>
      <c r="Q337" s="41" t="str">
        <f aca="false">IF($C337="","",ROUND(N($K337)-N($P337),2))</f>
        <v/>
      </c>
      <c r="R337" s="29" t="str">
        <f aca="false">IF($C337="","",YEAR($C337))</f>
        <v/>
      </c>
      <c r="S337" s="24"/>
      <c r="T337" s="35" t="str">
        <f aca="false">IF($C337="","",IF($D337="","★没选客户项目",IF(COUNTIF(合同键,$D337)=0,"★《维保合同》里没这个项目",IF(N($K337)&lt;=0,"★应收金额要填",IF(ROUND(N($N337)-N($K337),2)&gt;0.001,"★开票金额大于应收",IF(AND($L337&lt;&gt;"",N($N337)&lt;=0),"★填了开票日期没填开票金额",IF(AND($I337&lt;&gt;"",$J337&lt;&gt;"",$J337&lt;$I337),"★计费期间起止反了","OK")))))))</f>
        <v/>
      </c>
      <c r="U337" s="29" t="str">
        <f aca="false">IF($L337="","",YEAR($L337))</f>
        <v/>
      </c>
      <c r="V337" s="40" t="str">
        <f aca="false">IF($C337="","",ROUND(SUMIF(收款关联,$B337,收款金额),2))</f>
        <v/>
      </c>
      <c r="W337" s="40" t="str">
        <f aca="false">IF($C337="","",MAX(0,ROUND(N($K337)-N($V337),2)))</f>
        <v/>
      </c>
      <c r="X337" s="40" t="str">
        <f aca="false">IF($C337="","",ROUND(SUMIFS(应收净额,应收键,$D337,应收行号,"&lt;="&amp;ROW()),2))</f>
        <v/>
      </c>
      <c r="Y337" s="29" t="str">
        <f aca="false">IF($C337="","",ROW())</f>
        <v/>
      </c>
    </row>
    <row r="338" customFormat="false" ht="15" hidden="false" customHeight="false" outlineLevel="0" collapsed="false">
      <c r="A338" s="29" t="str">
        <f aca="false">IF($C338="","",ROW()-4)</f>
        <v/>
      </c>
      <c r="B338" s="35" t="str">
        <f aca="false">IF($C338="","","YS"&amp;TEXT($C338,"yyyymm")&amp;"-"&amp;TEXT(ROW()-4,"0000"))</f>
        <v/>
      </c>
      <c r="C338" s="33"/>
      <c r="D338" s="24"/>
      <c r="E338" s="30" t="str">
        <f aca="false">IF($D338="","",IFERROR(INDEX(合同单位,MATCH($D338,合同键,0)),IFERROR(TRIM(LEFT($D338,FIND("｜",$D338)-1)),$D338)))</f>
        <v/>
      </c>
      <c r="F338" s="30" t="str">
        <f aca="false">IF($D338="","",IFERROR(INDEX(合同项目,MATCH($D338,合同键,0)),IFERROR(TRIM(MID($D338,FIND("｜",$D338)+1,99)),"")))</f>
        <v/>
      </c>
      <c r="G338" s="24"/>
      <c r="H338" s="35" t="str">
        <f aca="false">IF($G338="","",IFERROR(INDEX(费用款别,MATCH($G338,费用类别表,0)),"合同外款"))</f>
        <v/>
      </c>
      <c r="I338" s="33"/>
      <c r="J338" s="33"/>
      <c r="K338" s="39"/>
      <c r="L338" s="33"/>
      <c r="M338" s="25"/>
      <c r="N338" s="39"/>
      <c r="O338" s="35" t="str">
        <f aca="false">IF($C338="","",IF(N($N338)&lt;=0,"未开票",IF(ROUND(N($N338)-N($K338),2)&gt;=0,"已开票",IFERROR("部分开票 "&amp;TEXT(N($N338)/N($K338),"0%"),"部分开票"))))</f>
        <v/>
      </c>
      <c r="P338" s="40" t="str">
        <f aca="false">IF($C338="","",ROUND($V338+MIN($W338,MAX(0,(SUMIF(收款键,$D338,收款金额)-SUMIFS(收款金额,收款键,$D338,收款关联,"&lt;&gt;"))-($X338-$W338))),2))</f>
        <v/>
      </c>
      <c r="Q338" s="41" t="str">
        <f aca="false">IF($C338="","",ROUND(N($K338)-N($P338),2))</f>
        <v/>
      </c>
      <c r="R338" s="29" t="str">
        <f aca="false">IF($C338="","",YEAR($C338))</f>
        <v/>
      </c>
      <c r="S338" s="24"/>
      <c r="T338" s="35" t="str">
        <f aca="false">IF($C338="","",IF($D338="","★没选客户项目",IF(COUNTIF(合同键,$D338)=0,"★《维保合同》里没这个项目",IF(N($K338)&lt;=0,"★应收金额要填",IF(ROUND(N($N338)-N($K338),2)&gt;0.001,"★开票金额大于应收",IF(AND($L338&lt;&gt;"",N($N338)&lt;=0),"★填了开票日期没填开票金额",IF(AND($I338&lt;&gt;"",$J338&lt;&gt;"",$J338&lt;$I338),"★计费期间起止反了","OK")))))))</f>
        <v/>
      </c>
      <c r="U338" s="29" t="str">
        <f aca="false">IF($L338="","",YEAR($L338))</f>
        <v/>
      </c>
      <c r="V338" s="40" t="str">
        <f aca="false">IF($C338="","",ROUND(SUMIF(收款关联,$B338,收款金额),2))</f>
        <v/>
      </c>
      <c r="W338" s="40" t="str">
        <f aca="false">IF($C338="","",MAX(0,ROUND(N($K338)-N($V338),2)))</f>
        <v/>
      </c>
      <c r="X338" s="40" t="str">
        <f aca="false">IF($C338="","",ROUND(SUMIFS(应收净额,应收键,$D338,应收行号,"&lt;="&amp;ROW()),2))</f>
        <v/>
      </c>
      <c r="Y338" s="29" t="str">
        <f aca="false">IF($C338="","",ROW())</f>
        <v/>
      </c>
    </row>
    <row r="339" customFormat="false" ht="15" hidden="false" customHeight="false" outlineLevel="0" collapsed="false">
      <c r="A339" s="29" t="str">
        <f aca="false">IF($C339="","",ROW()-4)</f>
        <v/>
      </c>
      <c r="B339" s="35" t="str">
        <f aca="false">IF($C339="","","YS"&amp;TEXT($C339,"yyyymm")&amp;"-"&amp;TEXT(ROW()-4,"0000"))</f>
        <v/>
      </c>
      <c r="C339" s="33"/>
      <c r="D339" s="24"/>
      <c r="E339" s="30" t="str">
        <f aca="false">IF($D339="","",IFERROR(INDEX(合同单位,MATCH($D339,合同键,0)),IFERROR(TRIM(LEFT($D339,FIND("｜",$D339)-1)),$D339)))</f>
        <v/>
      </c>
      <c r="F339" s="30" t="str">
        <f aca="false">IF($D339="","",IFERROR(INDEX(合同项目,MATCH($D339,合同键,0)),IFERROR(TRIM(MID($D339,FIND("｜",$D339)+1,99)),"")))</f>
        <v/>
      </c>
      <c r="G339" s="24"/>
      <c r="H339" s="35" t="str">
        <f aca="false">IF($G339="","",IFERROR(INDEX(费用款别,MATCH($G339,费用类别表,0)),"合同外款"))</f>
        <v/>
      </c>
      <c r="I339" s="33"/>
      <c r="J339" s="33"/>
      <c r="K339" s="39"/>
      <c r="L339" s="33"/>
      <c r="M339" s="25"/>
      <c r="N339" s="39"/>
      <c r="O339" s="35" t="str">
        <f aca="false">IF($C339="","",IF(N($N339)&lt;=0,"未开票",IF(ROUND(N($N339)-N($K339),2)&gt;=0,"已开票",IFERROR("部分开票 "&amp;TEXT(N($N339)/N($K339),"0%"),"部分开票"))))</f>
        <v/>
      </c>
      <c r="P339" s="40" t="str">
        <f aca="false">IF($C339="","",ROUND($V339+MIN($W339,MAX(0,(SUMIF(收款键,$D339,收款金额)-SUMIFS(收款金额,收款键,$D339,收款关联,"&lt;&gt;"))-($X339-$W339))),2))</f>
        <v/>
      </c>
      <c r="Q339" s="41" t="str">
        <f aca="false">IF($C339="","",ROUND(N($K339)-N($P339),2))</f>
        <v/>
      </c>
      <c r="R339" s="29" t="str">
        <f aca="false">IF($C339="","",YEAR($C339))</f>
        <v/>
      </c>
      <c r="S339" s="24"/>
      <c r="T339" s="35" t="str">
        <f aca="false">IF($C339="","",IF($D339="","★没选客户项目",IF(COUNTIF(合同键,$D339)=0,"★《维保合同》里没这个项目",IF(N($K339)&lt;=0,"★应收金额要填",IF(ROUND(N($N339)-N($K339),2)&gt;0.001,"★开票金额大于应收",IF(AND($L339&lt;&gt;"",N($N339)&lt;=0),"★填了开票日期没填开票金额",IF(AND($I339&lt;&gt;"",$J339&lt;&gt;"",$J339&lt;$I339),"★计费期间起止反了","OK")))))))</f>
        <v/>
      </c>
      <c r="U339" s="29" t="str">
        <f aca="false">IF($L339="","",YEAR($L339))</f>
        <v/>
      </c>
      <c r="V339" s="40" t="str">
        <f aca="false">IF($C339="","",ROUND(SUMIF(收款关联,$B339,收款金额),2))</f>
        <v/>
      </c>
      <c r="W339" s="40" t="str">
        <f aca="false">IF($C339="","",MAX(0,ROUND(N($K339)-N($V339),2)))</f>
        <v/>
      </c>
      <c r="X339" s="40" t="str">
        <f aca="false">IF($C339="","",ROUND(SUMIFS(应收净额,应收键,$D339,应收行号,"&lt;="&amp;ROW()),2))</f>
        <v/>
      </c>
      <c r="Y339" s="29" t="str">
        <f aca="false">IF($C339="","",ROW())</f>
        <v/>
      </c>
    </row>
    <row r="340" customFormat="false" ht="15" hidden="false" customHeight="false" outlineLevel="0" collapsed="false">
      <c r="A340" s="29" t="str">
        <f aca="false">IF($C340="","",ROW()-4)</f>
        <v/>
      </c>
      <c r="B340" s="35" t="str">
        <f aca="false">IF($C340="","","YS"&amp;TEXT($C340,"yyyymm")&amp;"-"&amp;TEXT(ROW()-4,"0000"))</f>
        <v/>
      </c>
      <c r="C340" s="33"/>
      <c r="D340" s="24"/>
      <c r="E340" s="30" t="str">
        <f aca="false">IF($D340="","",IFERROR(INDEX(合同单位,MATCH($D340,合同键,0)),IFERROR(TRIM(LEFT($D340,FIND("｜",$D340)-1)),$D340)))</f>
        <v/>
      </c>
      <c r="F340" s="30" t="str">
        <f aca="false">IF($D340="","",IFERROR(INDEX(合同项目,MATCH($D340,合同键,0)),IFERROR(TRIM(MID($D340,FIND("｜",$D340)+1,99)),"")))</f>
        <v/>
      </c>
      <c r="G340" s="24"/>
      <c r="H340" s="35" t="str">
        <f aca="false">IF($G340="","",IFERROR(INDEX(费用款别,MATCH($G340,费用类别表,0)),"合同外款"))</f>
        <v/>
      </c>
      <c r="I340" s="33"/>
      <c r="J340" s="33"/>
      <c r="K340" s="39"/>
      <c r="L340" s="33"/>
      <c r="M340" s="25"/>
      <c r="N340" s="39"/>
      <c r="O340" s="35" t="str">
        <f aca="false">IF($C340="","",IF(N($N340)&lt;=0,"未开票",IF(ROUND(N($N340)-N($K340),2)&gt;=0,"已开票",IFERROR("部分开票 "&amp;TEXT(N($N340)/N($K340),"0%"),"部分开票"))))</f>
        <v/>
      </c>
      <c r="P340" s="40" t="str">
        <f aca="false">IF($C340="","",ROUND($V340+MIN($W340,MAX(0,(SUMIF(收款键,$D340,收款金额)-SUMIFS(收款金额,收款键,$D340,收款关联,"&lt;&gt;"))-($X340-$W340))),2))</f>
        <v/>
      </c>
      <c r="Q340" s="41" t="str">
        <f aca="false">IF($C340="","",ROUND(N($K340)-N($P340),2))</f>
        <v/>
      </c>
      <c r="R340" s="29" t="str">
        <f aca="false">IF($C340="","",YEAR($C340))</f>
        <v/>
      </c>
      <c r="S340" s="24"/>
      <c r="T340" s="35" t="str">
        <f aca="false">IF($C340="","",IF($D340="","★没选客户项目",IF(COUNTIF(合同键,$D340)=0,"★《维保合同》里没这个项目",IF(N($K340)&lt;=0,"★应收金额要填",IF(ROUND(N($N340)-N($K340),2)&gt;0.001,"★开票金额大于应收",IF(AND($L340&lt;&gt;"",N($N340)&lt;=0),"★填了开票日期没填开票金额",IF(AND($I340&lt;&gt;"",$J340&lt;&gt;"",$J340&lt;$I340),"★计费期间起止反了","OK")))))))</f>
        <v/>
      </c>
      <c r="U340" s="29" t="str">
        <f aca="false">IF($L340="","",YEAR($L340))</f>
        <v/>
      </c>
      <c r="V340" s="40" t="str">
        <f aca="false">IF($C340="","",ROUND(SUMIF(收款关联,$B340,收款金额),2))</f>
        <v/>
      </c>
      <c r="W340" s="40" t="str">
        <f aca="false">IF($C340="","",MAX(0,ROUND(N($K340)-N($V340),2)))</f>
        <v/>
      </c>
      <c r="X340" s="40" t="str">
        <f aca="false">IF($C340="","",ROUND(SUMIFS(应收净额,应收键,$D340,应收行号,"&lt;="&amp;ROW()),2))</f>
        <v/>
      </c>
      <c r="Y340" s="29" t="str">
        <f aca="false">IF($C340="","",ROW())</f>
        <v/>
      </c>
    </row>
    <row r="341" customFormat="false" ht="15" hidden="false" customHeight="false" outlineLevel="0" collapsed="false">
      <c r="A341" s="29" t="str">
        <f aca="false">IF($C341="","",ROW()-4)</f>
        <v/>
      </c>
      <c r="B341" s="35" t="str">
        <f aca="false">IF($C341="","","YS"&amp;TEXT($C341,"yyyymm")&amp;"-"&amp;TEXT(ROW()-4,"0000"))</f>
        <v/>
      </c>
      <c r="C341" s="33"/>
      <c r="D341" s="24"/>
      <c r="E341" s="30" t="str">
        <f aca="false">IF($D341="","",IFERROR(INDEX(合同单位,MATCH($D341,合同键,0)),IFERROR(TRIM(LEFT($D341,FIND("｜",$D341)-1)),$D341)))</f>
        <v/>
      </c>
      <c r="F341" s="30" t="str">
        <f aca="false">IF($D341="","",IFERROR(INDEX(合同项目,MATCH($D341,合同键,0)),IFERROR(TRIM(MID($D341,FIND("｜",$D341)+1,99)),"")))</f>
        <v/>
      </c>
      <c r="G341" s="24"/>
      <c r="H341" s="35" t="str">
        <f aca="false">IF($G341="","",IFERROR(INDEX(费用款别,MATCH($G341,费用类别表,0)),"合同外款"))</f>
        <v/>
      </c>
      <c r="I341" s="33"/>
      <c r="J341" s="33"/>
      <c r="K341" s="39"/>
      <c r="L341" s="33"/>
      <c r="M341" s="25"/>
      <c r="N341" s="39"/>
      <c r="O341" s="35" t="str">
        <f aca="false">IF($C341="","",IF(N($N341)&lt;=0,"未开票",IF(ROUND(N($N341)-N($K341),2)&gt;=0,"已开票",IFERROR("部分开票 "&amp;TEXT(N($N341)/N($K341),"0%"),"部分开票"))))</f>
        <v/>
      </c>
      <c r="P341" s="40" t="str">
        <f aca="false">IF($C341="","",ROUND($V341+MIN($W341,MAX(0,(SUMIF(收款键,$D341,收款金额)-SUMIFS(收款金额,收款键,$D341,收款关联,"&lt;&gt;"))-($X341-$W341))),2))</f>
        <v/>
      </c>
      <c r="Q341" s="41" t="str">
        <f aca="false">IF($C341="","",ROUND(N($K341)-N($P341),2))</f>
        <v/>
      </c>
      <c r="R341" s="29" t="str">
        <f aca="false">IF($C341="","",YEAR($C341))</f>
        <v/>
      </c>
      <c r="S341" s="24"/>
      <c r="T341" s="35" t="str">
        <f aca="false">IF($C341="","",IF($D341="","★没选客户项目",IF(COUNTIF(合同键,$D341)=0,"★《维保合同》里没这个项目",IF(N($K341)&lt;=0,"★应收金额要填",IF(ROUND(N($N341)-N($K341),2)&gt;0.001,"★开票金额大于应收",IF(AND($L341&lt;&gt;"",N($N341)&lt;=0),"★填了开票日期没填开票金额",IF(AND($I341&lt;&gt;"",$J341&lt;&gt;"",$J341&lt;$I341),"★计费期间起止反了","OK")))))))</f>
        <v/>
      </c>
      <c r="U341" s="29" t="str">
        <f aca="false">IF($L341="","",YEAR($L341))</f>
        <v/>
      </c>
      <c r="V341" s="40" t="str">
        <f aca="false">IF($C341="","",ROUND(SUMIF(收款关联,$B341,收款金额),2))</f>
        <v/>
      </c>
      <c r="W341" s="40" t="str">
        <f aca="false">IF($C341="","",MAX(0,ROUND(N($K341)-N($V341),2)))</f>
        <v/>
      </c>
      <c r="X341" s="40" t="str">
        <f aca="false">IF($C341="","",ROUND(SUMIFS(应收净额,应收键,$D341,应收行号,"&lt;="&amp;ROW()),2))</f>
        <v/>
      </c>
      <c r="Y341" s="29" t="str">
        <f aca="false">IF($C341="","",ROW())</f>
        <v/>
      </c>
    </row>
    <row r="342" customFormat="false" ht="15" hidden="false" customHeight="false" outlineLevel="0" collapsed="false">
      <c r="A342" s="29" t="str">
        <f aca="false">IF($C342="","",ROW()-4)</f>
        <v/>
      </c>
      <c r="B342" s="35" t="str">
        <f aca="false">IF($C342="","","YS"&amp;TEXT($C342,"yyyymm")&amp;"-"&amp;TEXT(ROW()-4,"0000"))</f>
        <v/>
      </c>
      <c r="C342" s="33"/>
      <c r="D342" s="24"/>
      <c r="E342" s="30" t="str">
        <f aca="false">IF($D342="","",IFERROR(INDEX(合同单位,MATCH($D342,合同键,0)),IFERROR(TRIM(LEFT($D342,FIND("｜",$D342)-1)),$D342)))</f>
        <v/>
      </c>
      <c r="F342" s="30" t="str">
        <f aca="false">IF($D342="","",IFERROR(INDEX(合同项目,MATCH($D342,合同键,0)),IFERROR(TRIM(MID($D342,FIND("｜",$D342)+1,99)),"")))</f>
        <v/>
      </c>
      <c r="G342" s="24"/>
      <c r="H342" s="35" t="str">
        <f aca="false">IF($G342="","",IFERROR(INDEX(费用款别,MATCH($G342,费用类别表,0)),"合同外款"))</f>
        <v/>
      </c>
      <c r="I342" s="33"/>
      <c r="J342" s="33"/>
      <c r="K342" s="39"/>
      <c r="L342" s="33"/>
      <c r="M342" s="25"/>
      <c r="N342" s="39"/>
      <c r="O342" s="35" t="str">
        <f aca="false">IF($C342="","",IF(N($N342)&lt;=0,"未开票",IF(ROUND(N($N342)-N($K342),2)&gt;=0,"已开票",IFERROR("部分开票 "&amp;TEXT(N($N342)/N($K342),"0%"),"部分开票"))))</f>
        <v/>
      </c>
      <c r="P342" s="40" t="str">
        <f aca="false">IF($C342="","",ROUND($V342+MIN($W342,MAX(0,(SUMIF(收款键,$D342,收款金额)-SUMIFS(收款金额,收款键,$D342,收款关联,"&lt;&gt;"))-($X342-$W342))),2))</f>
        <v/>
      </c>
      <c r="Q342" s="41" t="str">
        <f aca="false">IF($C342="","",ROUND(N($K342)-N($P342),2))</f>
        <v/>
      </c>
      <c r="R342" s="29" t="str">
        <f aca="false">IF($C342="","",YEAR($C342))</f>
        <v/>
      </c>
      <c r="S342" s="24"/>
      <c r="T342" s="35" t="str">
        <f aca="false">IF($C342="","",IF($D342="","★没选客户项目",IF(COUNTIF(合同键,$D342)=0,"★《维保合同》里没这个项目",IF(N($K342)&lt;=0,"★应收金额要填",IF(ROUND(N($N342)-N($K342),2)&gt;0.001,"★开票金额大于应收",IF(AND($L342&lt;&gt;"",N($N342)&lt;=0),"★填了开票日期没填开票金额",IF(AND($I342&lt;&gt;"",$J342&lt;&gt;"",$J342&lt;$I342),"★计费期间起止反了","OK")))))))</f>
        <v/>
      </c>
      <c r="U342" s="29" t="str">
        <f aca="false">IF($L342="","",YEAR($L342))</f>
        <v/>
      </c>
      <c r="V342" s="40" t="str">
        <f aca="false">IF($C342="","",ROUND(SUMIF(收款关联,$B342,收款金额),2))</f>
        <v/>
      </c>
      <c r="W342" s="40" t="str">
        <f aca="false">IF($C342="","",MAX(0,ROUND(N($K342)-N($V342),2)))</f>
        <v/>
      </c>
      <c r="X342" s="40" t="str">
        <f aca="false">IF($C342="","",ROUND(SUMIFS(应收净额,应收键,$D342,应收行号,"&lt;="&amp;ROW()),2))</f>
        <v/>
      </c>
      <c r="Y342" s="29" t="str">
        <f aca="false">IF($C342="","",ROW())</f>
        <v/>
      </c>
    </row>
    <row r="343" customFormat="false" ht="15" hidden="false" customHeight="false" outlineLevel="0" collapsed="false">
      <c r="A343" s="29" t="str">
        <f aca="false">IF($C343="","",ROW()-4)</f>
        <v/>
      </c>
      <c r="B343" s="35" t="str">
        <f aca="false">IF($C343="","","YS"&amp;TEXT($C343,"yyyymm")&amp;"-"&amp;TEXT(ROW()-4,"0000"))</f>
        <v/>
      </c>
      <c r="C343" s="33"/>
      <c r="D343" s="24"/>
      <c r="E343" s="30" t="str">
        <f aca="false">IF($D343="","",IFERROR(INDEX(合同单位,MATCH($D343,合同键,0)),IFERROR(TRIM(LEFT($D343,FIND("｜",$D343)-1)),$D343)))</f>
        <v/>
      </c>
      <c r="F343" s="30" t="str">
        <f aca="false">IF($D343="","",IFERROR(INDEX(合同项目,MATCH($D343,合同键,0)),IFERROR(TRIM(MID($D343,FIND("｜",$D343)+1,99)),"")))</f>
        <v/>
      </c>
      <c r="G343" s="24"/>
      <c r="H343" s="35" t="str">
        <f aca="false">IF($G343="","",IFERROR(INDEX(费用款别,MATCH($G343,费用类别表,0)),"合同外款"))</f>
        <v/>
      </c>
      <c r="I343" s="33"/>
      <c r="J343" s="33"/>
      <c r="K343" s="39"/>
      <c r="L343" s="33"/>
      <c r="M343" s="25"/>
      <c r="N343" s="39"/>
      <c r="O343" s="35" t="str">
        <f aca="false">IF($C343="","",IF(N($N343)&lt;=0,"未开票",IF(ROUND(N($N343)-N($K343),2)&gt;=0,"已开票",IFERROR("部分开票 "&amp;TEXT(N($N343)/N($K343),"0%"),"部分开票"))))</f>
        <v/>
      </c>
      <c r="P343" s="40" t="str">
        <f aca="false">IF($C343="","",ROUND($V343+MIN($W343,MAX(0,(SUMIF(收款键,$D343,收款金额)-SUMIFS(收款金额,收款键,$D343,收款关联,"&lt;&gt;"))-($X343-$W343))),2))</f>
        <v/>
      </c>
      <c r="Q343" s="41" t="str">
        <f aca="false">IF($C343="","",ROUND(N($K343)-N($P343),2))</f>
        <v/>
      </c>
      <c r="R343" s="29" t="str">
        <f aca="false">IF($C343="","",YEAR($C343))</f>
        <v/>
      </c>
      <c r="S343" s="24"/>
      <c r="T343" s="35" t="str">
        <f aca="false">IF($C343="","",IF($D343="","★没选客户项目",IF(COUNTIF(合同键,$D343)=0,"★《维保合同》里没这个项目",IF(N($K343)&lt;=0,"★应收金额要填",IF(ROUND(N($N343)-N($K343),2)&gt;0.001,"★开票金额大于应收",IF(AND($L343&lt;&gt;"",N($N343)&lt;=0),"★填了开票日期没填开票金额",IF(AND($I343&lt;&gt;"",$J343&lt;&gt;"",$J343&lt;$I343),"★计费期间起止反了","OK")))))))</f>
        <v/>
      </c>
      <c r="U343" s="29" t="str">
        <f aca="false">IF($L343="","",YEAR($L343))</f>
        <v/>
      </c>
      <c r="V343" s="40" t="str">
        <f aca="false">IF($C343="","",ROUND(SUMIF(收款关联,$B343,收款金额),2))</f>
        <v/>
      </c>
      <c r="W343" s="40" t="str">
        <f aca="false">IF($C343="","",MAX(0,ROUND(N($K343)-N($V343),2)))</f>
        <v/>
      </c>
      <c r="X343" s="40" t="str">
        <f aca="false">IF($C343="","",ROUND(SUMIFS(应收净额,应收键,$D343,应收行号,"&lt;="&amp;ROW()),2))</f>
        <v/>
      </c>
      <c r="Y343" s="29" t="str">
        <f aca="false">IF($C343="","",ROW())</f>
        <v/>
      </c>
    </row>
    <row r="344" customFormat="false" ht="15" hidden="false" customHeight="false" outlineLevel="0" collapsed="false">
      <c r="A344" s="29" t="str">
        <f aca="false">IF($C344="","",ROW()-4)</f>
        <v/>
      </c>
      <c r="B344" s="35" t="str">
        <f aca="false">IF($C344="","","YS"&amp;TEXT($C344,"yyyymm")&amp;"-"&amp;TEXT(ROW()-4,"0000"))</f>
        <v/>
      </c>
      <c r="C344" s="33"/>
      <c r="D344" s="24"/>
      <c r="E344" s="30" t="str">
        <f aca="false">IF($D344="","",IFERROR(INDEX(合同单位,MATCH($D344,合同键,0)),IFERROR(TRIM(LEFT($D344,FIND("｜",$D344)-1)),$D344)))</f>
        <v/>
      </c>
      <c r="F344" s="30" t="str">
        <f aca="false">IF($D344="","",IFERROR(INDEX(合同项目,MATCH($D344,合同键,0)),IFERROR(TRIM(MID($D344,FIND("｜",$D344)+1,99)),"")))</f>
        <v/>
      </c>
      <c r="G344" s="24"/>
      <c r="H344" s="35" t="str">
        <f aca="false">IF($G344="","",IFERROR(INDEX(费用款别,MATCH($G344,费用类别表,0)),"合同外款"))</f>
        <v/>
      </c>
      <c r="I344" s="33"/>
      <c r="J344" s="33"/>
      <c r="K344" s="39"/>
      <c r="L344" s="33"/>
      <c r="M344" s="25"/>
      <c r="N344" s="39"/>
      <c r="O344" s="35" t="str">
        <f aca="false">IF($C344="","",IF(N($N344)&lt;=0,"未开票",IF(ROUND(N($N344)-N($K344),2)&gt;=0,"已开票",IFERROR("部分开票 "&amp;TEXT(N($N344)/N($K344),"0%"),"部分开票"))))</f>
        <v/>
      </c>
      <c r="P344" s="40" t="str">
        <f aca="false">IF($C344="","",ROUND($V344+MIN($W344,MAX(0,(SUMIF(收款键,$D344,收款金额)-SUMIFS(收款金额,收款键,$D344,收款关联,"&lt;&gt;"))-($X344-$W344))),2))</f>
        <v/>
      </c>
      <c r="Q344" s="41" t="str">
        <f aca="false">IF($C344="","",ROUND(N($K344)-N($P344),2))</f>
        <v/>
      </c>
      <c r="R344" s="29" t="str">
        <f aca="false">IF($C344="","",YEAR($C344))</f>
        <v/>
      </c>
      <c r="S344" s="24"/>
      <c r="T344" s="35" t="str">
        <f aca="false">IF($C344="","",IF($D344="","★没选客户项目",IF(COUNTIF(合同键,$D344)=0,"★《维保合同》里没这个项目",IF(N($K344)&lt;=0,"★应收金额要填",IF(ROUND(N($N344)-N($K344),2)&gt;0.001,"★开票金额大于应收",IF(AND($L344&lt;&gt;"",N($N344)&lt;=0),"★填了开票日期没填开票金额",IF(AND($I344&lt;&gt;"",$J344&lt;&gt;"",$J344&lt;$I344),"★计费期间起止反了","OK")))))))</f>
        <v/>
      </c>
      <c r="U344" s="29" t="str">
        <f aca="false">IF($L344="","",YEAR($L344))</f>
        <v/>
      </c>
      <c r="V344" s="40" t="str">
        <f aca="false">IF($C344="","",ROUND(SUMIF(收款关联,$B344,收款金额),2))</f>
        <v/>
      </c>
      <c r="W344" s="40" t="str">
        <f aca="false">IF($C344="","",MAX(0,ROUND(N($K344)-N($V344),2)))</f>
        <v/>
      </c>
      <c r="X344" s="40" t="str">
        <f aca="false">IF($C344="","",ROUND(SUMIFS(应收净额,应收键,$D344,应收行号,"&lt;="&amp;ROW()),2))</f>
        <v/>
      </c>
      <c r="Y344" s="29" t="str">
        <f aca="false">IF($C344="","",ROW())</f>
        <v/>
      </c>
    </row>
    <row r="345" customFormat="false" ht="15" hidden="false" customHeight="false" outlineLevel="0" collapsed="false">
      <c r="A345" s="29" t="str">
        <f aca="false">IF($C345="","",ROW()-4)</f>
        <v/>
      </c>
      <c r="B345" s="35" t="str">
        <f aca="false">IF($C345="","","YS"&amp;TEXT($C345,"yyyymm")&amp;"-"&amp;TEXT(ROW()-4,"0000"))</f>
        <v/>
      </c>
      <c r="C345" s="33"/>
      <c r="D345" s="24"/>
      <c r="E345" s="30" t="str">
        <f aca="false">IF($D345="","",IFERROR(INDEX(合同单位,MATCH($D345,合同键,0)),IFERROR(TRIM(LEFT($D345,FIND("｜",$D345)-1)),$D345)))</f>
        <v/>
      </c>
      <c r="F345" s="30" t="str">
        <f aca="false">IF($D345="","",IFERROR(INDEX(合同项目,MATCH($D345,合同键,0)),IFERROR(TRIM(MID($D345,FIND("｜",$D345)+1,99)),"")))</f>
        <v/>
      </c>
      <c r="G345" s="24"/>
      <c r="H345" s="35" t="str">
        <f aca="false">IF($G345="","",IFERROR(INDEX(费用款别,MATCH($G345,费用类别表,0)),"合同外款"))</f>
        <v/>
      </c>
      <c r="I345" s="33"/>
      <c r="J345" s="33"/>
      <c r="K345" s="39"/>
      <c r="L345" s="33"/>
      <c r="M345" s="25"/>
      <c r="N345" s="39"/>
      <c r="O345" s="35" t="str">
        <f aca="false">IF($C345="","",IF(N($N345)&lt;=0,"未开票",IF(ROUND(N($N345)-N($K345),2)&gt;=0,"已开票",IFERROR("部分开票 "&amp;TEXT(N($N345)/N($K345),"0%"),"部分开票"))))</f>
        <v/>
      </c>
      <c r="P345" s="40" t="str">
        <f aca="false">IF($C345="","",ROUND($V345+MIN($W345,MAX(0,(SUMIF(收款键,$D345,收款金额)-SUMIFS(收款金额,收款键,$D345,收款关联,"&lt;&gt;"))-($X345-$W345))),2))</f>
        <v/>
      </c>
      <c r="Q345" s="41" t="str">
        <f aca="false">IF($C345="","",ROUND(N($K345)-N($P345),2))</f>
        <v/>
      </c>
      <c r="R345" s="29" t="str">
        <f aca="false">IF($C345="","",YEAR($C345))</f>
        <v/>
      </c>
      <c r="S345" s="24"/>
      <c r="T345" s="35" t="str">
        <f aca="false">IF($C345="","",IF($D345="","★没选客户项目",IF(COUNTIF(合同键,$D345)=0,"★《维保合同》里没这个项目",IF(N($K345)&lt;=0,"★应收金额要填",IF(ROUND(N($N345)-N($K345),2)&gt;0.001,"★开票金额大于应收",IF(AND($L345&lt;&gt;"",N($N345)&lt;=0),"★填了开票日期没填开票金额",IF(AND($I345&lt;&gt;"",$J345&lt;&gt;"",$J345&lt;$I345),"★计费期间起止反了","OK")))))))</f>
        <v/>
      </c>
      <c r="U345" s="29" t="str">
        <f aca="false">IF($L345="","",YEAR($L345))</f>
        <v/>
      </c>
      <c r="V345" s="40" t="str">
        <f aca="false">IF($C345="","",ROUND(SUMIF(收款关联,$B345,收款金额),2))</f>
        <v/>
      </c>
      <c r="W345" s="40" t="str">
        <f aca="false">IF($C345="","",MAX(0,ROUND(N($K345)-N($V345),2)))</f>
        <v/>
      </c>
      <c r="X345" s="40" t="str">
        <f aca="false">IF($C345="","",ROUND(SUMIFS(应收净额,应收键,$D345,应收行号,"&lt;="&amp;ROW()),2))</f>
        <v/>
      </c>
      <c r="Y345" s="29" t="str">
        <f aca="false">IF($C345="","",ROW())</f>
        <v/>
      </c>
    </row>
    <row r="346" customFormat="false" ht="15" hidden="false" customHeight="false" outlineLevel="0" collapsed="false">
      <c r="A346" s="29" t="str">
        <f aca="false">IF($C346="","",ROW()-4)</f>
        <v/>
      </c>
      <c r="B346" s="35" t="str">
        <f aca="false">IF($C346="","","YS"&amp;TEXT($C346,"yyyymm")&amp;"-"&amp;TEXT(ROW()-4,"0000"))</f>
        <v/>
      </c>
      <c r="C346" s="33"/>
      <c r="D346" s="24"/>
      <c r="E346" s="30" t="str">
        <f aca="false">IF($D346="","",IFERROR(INDEX(合同单位,MATCH($D346,合同键,0)),IFERROR(TRIM(LEFT($D346,FIND("｜",$D346)-1)),$D346)))</f>
        <v/>
      </c>
      <c r="F346" s="30" t="str">
        <f aca="false">IF($D346="","",IFERROR(INDEX(合同项目,MATCH($D346,合同键,0)),IFERROR(TRIM(MID($D346,FIND("｜",$D346)+1,99)),"")))</f>
        <v/>
      </c>
      <c r="G346" s="24"/>
      <c r="H346" s="35" t="str">
        <f aca="false">IF($G346="","",IFERROR(INDEX(费用款别,MATCH($G346,费用类别表,0)),"合同外款"))</f>
        <v/>
      </c>
      <c r="I346" s="33"/>
      <c r="J346" s="33"/>
      <c r="K346" s="39"/>
      <c r="L346" s="33"/>
      <c r="M346" s="25"/>
      <c r="N346" s="39"/>
      <c r="O346" s="35" t="str">
        <f aca="false">IF($C346="","",IF(N($N346)&lt;=0,"未开票",IF(ROUND(N($N346)-N($K346),2)&gt;=0,"已开票",IFERROR("部分开票 "&amp;TEXT(N($N346)/N($K346),"0%"),"部分开票"))))</f>
        <v/>
      </c>
      <c r="P346" s="40" t="str">
        <f aca="false">IF($C346="","",ROUND($V346+MIN($W346,MAX(0,(SUMIF(收款键,$D346,收款金额)-SUMIFS(收款金额,收款键,$D346,收款关联,"&lt;&gt;"))-($X346-$W346))),2))</f>
        <v/>
      </c>
      <c r="Q346" s="41" t="str">
        <f aca="false">IF($C346="","",ROUND(N($K346)-N($P346),2))</f>
        <v/>
      </c>
      <c r="R346" s="29" t="str">
        <f aca="false">IF($C346="","",YEAR($C346))</f>
        <v/>
      </c>
      <c r="S346" s="24"/>
      <c r="T346" s="35" t="str">
        <f aca="false">IF($C346="","",IF($D346="","★没选客户项目",IF(COUNTIF(合同键,$D346)=0,"★《维保合同》里没这个项目",IF(N($K346)&lt;=0,"★应收金额要填",IF(ROUND(N($N346)-N($K346),2)&gt;0.001,"★开票金额大于应收",IF(AND($L346&lt;&gt;"",N($N346)&lt;=0),"★填了开票日期没填开票金额",IF(AND($I346&lt;&gt;"",$J346&lt;&gt;"",$J346&lt;$I346),"★计费期间起止反了","OK")))))))</f>
        <v/>
      </c>
      <c r="U346" s="29" t="str">
        <f aca="false">IF($L346="","",YEAR($L346))</f>
        <v/>
      </c>
      <c r="V346" s="40" t="str">
        <f aca="false">IF($C346="","",ROUND(SUMIF(收款关联,$B346,收款金额),2))</f>
        <v/>
      </c>
      <c r="W346" s="40" t="str">
        <f aca="false">IF($C346="","",MAX(0,ROUND(N($K346)-N($V346),2)))</f>
        <v/>
      </c>
      <c r="X346" s="40" t="str">
        <f aca="false">IF($C346="","",ROUND(SUMIFS(应收净额,应收键,$D346,应收行号,"&lt;="&amp;ROW()),2))</f>
        <v/>
      </c>
      <c r="Y346" s="29" t="str">
        <f aca="false">IF($C346="","",ROW())</f>
        <v/>
      </c>
    </row>
    <row r="347" customFormat="false" ht="15" hidden="false" customHeight="false" outlineLevel="0" collapsed="false">
      <c r="A347" s="29" t="str">
        <f aca="false">IF($C347="","",ROW()-4)</f>
        <v/>
      </c>
      <c r="B347" s="35" t="str">
        <f aca="false">IF($C347="","","YS"&amp;TEXT($C347,"yyyymm")&amp;"-"&amp;TEXT(ROW()-4,"0000"))</f>
        <v/>
      </c>
      <c r="C347" s="33"/>
      <c r="D347" s="24"/>
      <c r="E347" s="30" t="str">
        <f aca="false">IF($D347="","",IFERROR(INDEX(合同单位,MATCH($D347,合同键,0)),IFERROR(TRIM(LEFT($D347,FIND("｜",$D347)-1)),$D347)))</f>
        <v/>
      </c>
      <c r="F347" s="30" t="str">
        <f aca="false">IF($D347="","",IFERROR(INDEX(合同项目,MATCH($D347,合同键,0)),IFERROR(TRIM(MID($D347,FIND("｜",$D347)+1,99)),"")))</f>
        <v/>
      </c>
      <c r="G347" s="24"/>
      <c r="H347" s="35" t="str">
        <f aca="false">IF($G347="","",IFERROR(INDEX(费用款别,MATCH($G347,费用类别表,0)),"合同外款"))</f>
        <v/>
      </c>
      <c r="I347" s="33"/>
      <c r="J347" s="33"/>
      <c r="K347" s="39"/>
      <c r="L347" s="33"/>
      <c r="M347" s="25"/>
      <c r="N347" s="39"/>
      <c r="O347" s="35" t="str">
        <f aca="false">IF($C347="","",IF(N($N347)&lt;=0,"未开票",IF(ROUND(N($N347)-N($K347),2)&gt;=0,"已开票",IFERROR("部分开票 "&amp;TEXT(N($N347)/N($K347),"0%"),"部分开票"))))</f>
        <v/>
      </c>
      <c r="P347" s="40" t="str">
        <f aca="false">IF($C347="","",ROUND($V347+MIN($W347,MAX(0,(SUMIF(收款键,$D347,收款金额)-SUMIFS(收款金额,收款键,$D347,收款关联,"&lt;&gt;"))-($X347-$W347))),2))</f>
        <v/>
      </c>
      <c r="Q347" s="41" t="str">
        <f aca="false">IF($C347="","",ROUND(N($K347)-N($P347),2))</f>
        <v/>
      </c>
      <c r="R347" s="29" t="str">
        <f aca="false">IF($C347="","",YEAR($C347))</f>
        <v/>
      </c>
      <c r="S347" s="24"/>
      <c r="T347" s="35" t="str">
        <f aca="false">IF($C347="","",IF($D347="","★没选客户项目",IF(COUNTIF(合同键,$D347)=0,"★《维保合同》里没这个项目",IF(N($K347)&lt;=0,"★应收金额要填",IF(ROUND(N($N347)-N($K347),2)&gt;0.001,"★开票金额大于应收",IF(AND($L347&lt;&gt;"",N($N347)&lt;=0),"★填了开票日期没填开票金额",IF(AND($I347&lt;&gt;"",$J347&lt;&gt;"",$J347&lt;$I347),"★计费期间起止反了","OK")))))))</f>
        <v/>
      </c>
      <c r="U347" s="29" t="str">
        <f aca="false">IF($L347="","",YEAR($L347))</f>
        <v/>
      </c>
      <c r="V347" s="40" t="str">
        <f aca="false">IF($C347="","",ROUND(SUMIF(收款关联,$B347,收款金额),2))</f>
        <v/>
      </c>
      <c r="W347" s="40" t="str">
        <f aca="false">IF($C347="","",MAX(0,ROUND(N($K347)-N($V347),2)))</f>
        <v/>
      </c>
      <c r="X347" s="40" t="str">
        <f aca="false">IF($C347="","",ROUND(SUMIFS(应收净额,应收键,$D347,应收行号,"&lt;="&amp;ROW()),2))</f>
        <v/>
      </c>
      <c r="Y347" s="29" t="str">
        <f aca="false">IF($C347="","",ROW())</f>
        <v/>
      </c>
    </row>
    <row r="348" customFormat="false" ht="15" hidden="false" customHeight="false" outlineLevel="0" collapsed="false">
      <c r="A348" s="29" t="str">
        <f aca="false">IF($C348="","",ROW()-4)</f>
        <v/>
      </c>
      <c r="B348" s="35" t="str">
        <f aca="false">IF($C348="","","YS"&amp;TEXT($C348,"yyyymm")&amp;"-"&amp;TEXT(ROW()-4,"0000"))</f>
        <v/>
      </c>
      <c r="C348" s="33"/>
      <c r="D348" s="24"/>
      <c r="E348" s="30" t="str">
        <f aca="false">IF($D348="","",IFERROR(INDEX(合同单位,MATCH($D348,合同键,0)),IFERROR(TRIM(LEFT($D348,FIND("｜",$D348)-1)),$D348)))</f>
        <v/>
      </c>
      <c r="F348" s="30" t="str">
        <f aca="false">IF($D348="","",IFERROR(INDEX(合同项目,MATCH($D348,合同键,0)),IFERROR(TRIM(MID($D348,FIND("｜",$D348)+1,99)),"")))</f>
        <v/>
      </c>
      <c r="G348" s="24"/>
      <c r="H348" s="35" t="str">
        <f aca="false">IF($G348="","",IFERROR(INDEX(费用款别,MATCH($G348,费用类别表,0)),"合同外款"))</f>
        <v/>
      </c>
      <c r="I348" s="33"/>
      <c r="J348" s="33"/>
      <c r="K348" s="39"/>
      <c r="L348" s="33"/>
      <c r="M348" s="25"/>
      <c r="N348" s="39"/>
      <c r="O348" s="35" t="str">
        <f aca="false">IF($C348="","",IF(N($N348)&lt;=0,"未开票",IF(ROUND(N($N348)-N($K348),2)&gt;=0,"已开票",IFERROR("部分开票 "&amp;TEXT(N($N348)/N($K348),"0%"),"部分开票"))))</f>
        <v/>
      </c>
      <c r="P348" s="40" t="str">
        <f aca="false">IF($C348="","",ROUND($V348+MIN($W348,MAX(0,(SUMIF(收款键,$D348,收款金额)-SUMIFS(收款金额,收款键,$D348,收款关联,"&lt;&gt;"))-($X348-$W348))),2))</f>
        <v/>
      </c>
      <c r="Q348" s="41" t="str">
        <f aca="false">IF($C348="","",ROUND(N($K348)-N($P348),2))</f>
        <v/>
      </c>
      <c r="R348" s="29" t="str">
        <f aca="false">IF($C348="","",YEAR($C348))</f>
        <v/>
      </c>
      <c r="S348" s="24"/>
      <c r="T348" s="35" t="str">
        <f aca="false">IF($C348="","",IF($D348="","★没选客户项目",IF(COUNTIF(合同键,$D348)=0,"★《维保合同》里没这个项目",IF(N($K348)&lt;=0,"★应收金额要填",IF(ROUND(N($N348)-N($K348),2)&gt;0.001,"★开票金额大于应收",IF(AND($L348&lt;&gt;"",N($N348)&lt;=0),"★填了开票日期没填开票金额",IF(AND($I348&lt;&gt;"",$J348&lt;&gt;"",$J348&lt;$I348),"★计费期间起止反了","OK")))))))</f>
        <v/>
      </c>
      <c r="U348" s="29" t="str">
        <f aca="false">IF($L348="","",YEAR($L348))</f>
        <v/>
      </c>
      <c r="V348" s="40" t="str">
        <f aca="false">IF($C348="","",ROUND(SUMIF(收款关联,$B348,收款金额),2))</f>
        <v/>
      </c>
      <c r="W348" s="40" t="str">
        <f aca="false">IF($C348="","",MAX(0,ROUND(N($K348)-N($V348),2)))</f>
        <v/>
      </c>
      <c r="X348" s="40" t="str">
        <f aca="false">IF($C348="","",ROUND(SUMIFS(应收净额,应收键,$D348,应收行号,"&lt;="&amp;ROW()),2))</f>
        <v/>
      </c>
      <c r="Y348" s="29" t="str">
        <f aca="false">IF($C348="","",ROW())</f>
        <v/>
      </c>
    </row>
    <row r="349" customFormat="false" ht="15" hidden="false" customHeight="false" outlineLevel="0" collapsed="false">
      <c r="A349" s="29" t="str">
        <f aca="false">IF($C349="","",ROW()-4)</f>
        <v/>
      </c>
      <c r="B349" s="35" t="str">
        <f aca="false">IF($C349="","","YS"&amp;TEXT($C349,"yyyymm")&amp;"-"&amp;TEXT(ROW()-4,"0000"))</f>
        <v/>
      </c>
      <c r="C349" s="33"/>
      <c r="D349" s="24"/>
      <c r="E349" s="30" t="str">
        <f aca="false">IF($D349="","",IFERROR(INDEX(合同单位,MATCH($D349,合同键,0)),IFERROR(TRIM(LEFT($D349,FIND("｜",$D349)-1)),$D349)))</f>
        <v/>
      </c>
      <c r="F349" s="30" t="str">
        <f aca="false">IF($D349="","",IFERROR(INDEX(合同项目,MATCH($D349,合同键,0)),IFERROR(TRIM(MID($D349,FIND("｜",$D349)+1,99)),"")))</f>
        <v/>
      </c>
      <c r="G349" s="24"/>
      <c r="H349" s="35" t="str">
        <f aca="false">IF($G349="","",IFERROR(INDEX(费用款别,MATCH($G349,费用类别表,0)),"合同外款"))</f>
        <v/>
      </c>
      <c r="I349" s="33"/>
      <c r="J349" s="33"/>
      <c r="K349" s="39"/>
      <c r="L349" s="33"/>
      <c r="M349" s="25"/>
      <c r="N349" s="39"/>
      <c r="O349" s="35" t="str">
        <f aca="false">IF($C349="","",IF(N($N349)&lt;=0,"未开票",IF(ROUND(N($N349)-N($K349),2)&gt;=0,"已开票",IFERROR("部分开票 "&amp;TEXT(N($N349)/N($K349),"0%"),"部分开票"))))</f>
        <v/>
      </c>
      <c r="P349" s="40" t="str">
        <f aca="false">IF($C349="","",ROUND($V349+MIN($W349,MAX(0,(SUMIF(收款键,$D349,收款金额)-SUMIFS(收款金额,收款键,$D349,收款关联,"&lt;&gt;"))-($X349-$W349))),2))</f>
        <v/>
      </c>
      <c r="Q349" s="41" t="str">
        <f aca="false">IF($C349="","",ROUND(N($K349)-N($P349),2))</f>
        <v/>
      </c>
      <c r="R349" s="29" t="str">
        <f aca="false">IF($C349="","",YEAR($C349))</f>
        <v/>
      </c>
      <c r="S349" s="24"/>
      <c r="T349" s="35" t="str">
        <f aca="false">IF($C349="","",IF($D349="","★没选客户项目",IF(COUNTIF(合同键,$D349)=0,"★《维保合同》里没这个项目",IF(N($K349)&lt;=0,"★应收金额要填",IF(ROUND(N($N349)-N($K349),2)&gt;0.001,"★开票金额大于应收",IF(AND($L349&lt;&gt;"",N($N349)&lt;=0),"★填了开票日期没填开票金额",IF(AND($I349&lt;&gt;"",$J349&lt;&gt;"",$J349&lt;$I349),"★计费期间起止反了","OK")))))))</f>
        <v/>
      </c>
      <c r="U349" s="29" t="str">
        <f aca="false">IF($L349="","",YEAR($L349))</f>
        <v/>
      </c>
      <c r="V349" s="40" t="str">
        <f aca="false">IF($C349="","",ROUND(SUMIF(收款关联,$B349,收款金额),2))</f>
        <v/>
      </c>
      <c r="W349" s="40" t="str">
        <f aca="false">IF($C349="","",MAX(0,ROUND(N($K349)-N($V349),2)))</f>
        <v/>
      </c>
      <c r="X349" s="40" t="str">
        <f aca="false">IF($C349="","",ROUND(SUMIFS(应收净额,应收键,$D349,应收行号,"&lt;="&amp;ROW()),2))</f>
        <v/>
      </c>
      <c r="Y349" s="29" t="str">
        <f aca="false">IF($C349="","",ROW())</f>
        <v/>
      </c>
    </row>
    <row r="350" customFormat="false" ht="15" hidden="false" customHeight="false" outlineLevel="0" collapsed="false">
      <c r="A350" s="29" t="str">
        <f aca="false">IF($C350="","",ROW()-4)</f>
        <v/>
      </c>
      <c r="B350" s="35" t="str">
        <f aca="false">IF($C350="","","YS"&amp;TEXT($C350,"yyyymm")&amp;"-"&amp;TEXT(ROW()-4,"0000"))</f>
        <v/>
      </c>
      <c r="C350" s="33"/>
      <c r="D350" s="24"/>
      <c r="E350" s="30" t="str">
        <f aca="false">IF($D350="","",IFERROR(INDEX(合同单位,MATCH($D350,合同键,0)),IFERROR(TRIM(LEFT($D350,FIND("｜",$D350)-1)),$D350)))</f>
        <v/>
      </c>
      <c r="F350" s="30" t="str">
        <f aca="false">IF($D350="","",IFERROR(INDEX(合同项目,MATCH($D350,合同键,0)),IFERROR(TRIM(MID($D350,FIND("｜",$D350)+1,99)),"")))</f>
        <v/>
      </c>
      <c r="G350" s="24"/>
      <c r="H350" s="35" t="str">
        <f aca="false">IF($G350="","",IFERROR(INDEX(费用款别,MATCH($G350,费用类别表,0)),"合同外款"))</f>
        <v/>
      </c>
      <c r="I350" s="33"/>
      <c r="J350" s="33"/>
      <c r="K350" s="39"/>
      <c r="L350" s="33"/>
      <c r="M350" s="25"/>
      <c r="N350" s="39"/>
      <c r="O350" s="35" t="str">
        <f aca="false">IF($C350="","",IF(N($N350)&lt;=0,"未开票",IF(ROUND(N($N350)-N($K350),2)&gt;=0,"已开票",IFERROR("部分开票 "&amp;TEXT(N($N350)/N($K350),"0%"),"部分开票"))))</f>
        <v/>
      </c>
      <c r="P350" s="40" t="str">
        <f aca="false">IF($C350="","",ROUND($V350+MIN($W350,MAX(0,(SUMIF(收款键,$D350,收款金额)-SUMIFS(收款金额,收款键,$D350,收款关联,"&lt;&gt;"))-($X350-$W350))),2))</f>
        <v/>
      </c>
      <c r="Q350" s="41" t="str">
        <f aca="false">IF($C350="","",ROUND(N($K350)-N($P350),2))</f>
        <v/>
      </c>
      <c r="R350" s="29" t="str">
        <f aca="false">IF($C350="","",YEAR($C350))</f>
        <v/>
      </c>
      <c r="S350" s="24"/>
      <c r="T350" s="35" t="str">
        <f aca="false">IF($C350="","",IF($D350="","★没选客户项目",IF(COUNTIF(合同键,$D350)=0,"★《维保合同》里没这个项目",IF(N($K350)&lt;=0,"★应收金额要填",IF(ROUND(N($N350)-N($K350),2)&gt;0.001,"★开票金额大于应收",IF(AND($L350&lt;&gt;"",N($N350)&lt;=0),"★填了开票日期没填开票金额",IF(AND($I350&lt;&gt;"",$J350&lt;&gt;"",$J350&lt;$I350),"★计费期间起止反了","OK")))))))</f>
        <v/>
      </c>
      <c r="U350" s="29" t="str">
        <f aca="false">IF($L350="","",YEAR($L350))</f>
        <v/>
      </c>
      <c r="V350" s="40" t="str">
        <f aca="false">IF($C350="","",ROUND(SUMIF(收款关联,$B350,收款金额),2))</f>
        <v/>
      </c>
      <c r="W350" s="40" t="str">
        <f aca="false">IF($C350="","",MAX(0,ROUND(N($K350)-N($V350),2)))</f>
        <v/>
      </c>
      <c r="X350" s="40" t="str">
        <f aca="false">IF($C350="","",ROUND(SUMIFS(应收净额,应收键,$D350,应收行号,"&lt;="&amp;ROW()),2))</f>
        <v/>
      </c>
      <c r="Y350" s="29" t="str">
        <f aca="false">IF($C350="","",ROW())</f>
        <v/>
      </c>
    </row>
    <row r="351" customFormat="false" ht="15" hidden="false" customHeight="false" outlineLevel="0" collapsed="false">
      <c r="A351" s="29" t="str">
        <f aca="false">IF($C351="","",ROW()-4)</f>
        <v/>
      </c>
      <c r="B351" s="35" t="str">
        <f aca="false">IF($C351="","","YS"&amp;TEXT($C351,"yyyymm")&amp;"-"&amp;TEXT(ROW()-4,"0000"))</f>
        <v/>
      </c>
      <c r="C351" s="33"/>
      <c r="D351" s="24"/>
      <c r="E351" s="30" t="str">
        <f aca="false">IF($D351="","",IFERROR(INDEX(合同单位,MATCH($D351,合同键,0)),IFERROR(TRIM(LEFT($D351,FIND("｜",$D351)-1)),$D351)))</f>
        <v/>
      </c>
      <c r="F351" s="30" t="str">
        <f aca="false">IF($D351="","",IFERROR(INDEX(合同项目,MATCH($D351,合同键,0)),IFERROR(TRIM(MID($D351,FIND("｜",$D351)+1,99)),"")))</f>
        <v/>
      </c>
      <c r="G351" s="24"/>
      <c r="H351" s="35" t="str">
        <f aca="false">IF($G351="","",IFERROR(INDEX(费用款别,MATCH($G351,费用类别表,0)),"合同外款"))</f>
        <v/>
      </c>
      <c r="I351" s="33"/>
      <c r="J351" s="33"/>
      <c r="K351" s="39"/>
      <c r="L351" s="33"/>
      <c r="M351" s="25"/>
      <c r="N351" s="39"/>
      <c r="O351" s="35" t="str">
        <f aca="false">IF($C351="","",IF(N($N351)&lt;=0,"未开票",IF(ROUND(N($N351)-N($K351),2)&gt;=0,"已开票",IFERROR("部分开票 "&amp;TEXT(N($N351)/N($K351),"0%"),"部分开票"))))</f>
        <v/>
      </c>
      <c r="P351" s="40" t="str">
        <f aca="false">IF($C351="","",ROUND($V351+MIN($W351,MAX(0,(SUMIF(收款键,$D351,收款金额)-SUMIFS(收款金额,收款键,$D351,收款关联,"&lt;&gt;"))-($X351-$W351))),2))</f>
        <v/>
      </c>
      <c r="Q351" s="41" t="str">
        <f aca="false">IF($C351="","",ROUND(N($K351)-N($P351),2))</f>
        <v/>
      </c>
      <c r="R351" s="29" t="str">
        <f aca="false">IF($C351="","",YEAR($C351))</f>
        <v/>
      </c>
      <c r="S351" s="24"/>
      <c r="T351" s="35" t="str">
        <f aca="false">IF($C351="","",IF($D351="","★没选客户项目",IF(COUNTIF(合同键,$D351)=0,"★《维保合同》里没这个项目",IF(N($K351)&lt;=0,"★应收金额要填",IF(ROUND(N($N351)-N($K351),2)&gt;0.001,"★开票金额大于应收",IF(AND($L351&lt;&gt;"",N($N351)&lt;=0),"★填了开票日期没填开票金额",IF(AND($I351&lt;&gt;"",$J351&lt;&gt;"",$J351&lt;$I351),"★计费期间起止反了","OK")))))))</f>
        <v/>
      </c>
      <c r="U351" s="29" t="str">
        <f aca="false">IF($L351="","",YEAR($L351))</f>
        <v/>
      </c>
      <c r="V351" s="40" t="str">
        <f aca="false">IF($C351="","",ROUND(SUMIF(收款关联,$B351,收款金额),2))</f>
        <v/>
      </c>
      <c r="W351" s="40" t="str">
        <f aca="false">IF($C351="","",MAX(0,ROUND(N($K351)-N($V351),2)))</f>
        <v/>
      </c>
      <c r="X351" s="40" t="str">
        <f aca="false">IF($C351="","",ROUND(SUMIFS(应收净额,应收键,$D351,应收行号,"&lt;="&amp;ROW()),2))</f>
        <v/>
      </c>
      <c r="Y351" s="29" t="str">
        <f aca="false">IF($C351="","",ROW())</f>
        <v/>
      </c>
    </row>
    <row r="352" customFormat="false" ht="15" hidden="false" customHeight="false" outlineLevel="0" collapsed="false">
      <c r="A352" s="29" t="str">
        <f aca="false">IF($C352="","",ROW()-4)</f>
        <v/>
      </c>
      <c r="B352" s="35" t="str">
        <f aca="false">IF($C352="","","YS"&amp;TEXT($C352,"yyyymm")&amp;"-"&amp;TEXT(ROW()-4,"0000"))</f>
        <v/>
      </c>
      <c r="C352" s="33"/>
      <c r="D352" s="24"/>
      <c r="E352" s="30" t="str">
        <f aca="false">IF($D352="","",IFERROR(INDEX(合同单位,MATCH($D352,合同键,0)),IFERROR(TRIM(LEFT($D352,FIND("｜",$D352)-1)),$D352)))</f>
        <v/>
      </c>
      <c r="F352" s="30" t="str">
        <f aca="false">IF($D352="","",IFERROR(INDEX(合同项目,MATCH($D352,合同键,0)),IFERROR(TRIM(MID($D352,FIND("｜",$D352)+1,99)),"")))</f>
        <v/>
      </c>
      <c r="G352" s="24"/>
      <c r="H352" s="35" t="str">
        <f aca="false">IF($G352="","",IFERROR(INDEX(费用款别,MATCH($G352,费用类别表,0)),"合同外款"))</f>
        <v/>
      </c>
      <c r="I352" s="33"/>
      <c r="J352" s="33"/>
      <c r="K352" s="39"/>
      <c r="L352" s="33"/>
      <c r="M352" s="25"/>
      <c r="N352" s="39"/>
      <c r="O352" s="35" t="str">
        <f aca="false">IF($C352="","",IF(N($N352)&lt;=0,"未开票",IF(ROUND(N($N352)-N($K352),2)&gt;=0,"已开票",IFERROR("部分开票 "&amp;TEXT(N($N352)/N($K352),"0%"),"部分开票"))))</f>
        <v/>
      </c>
      <c r="P352" s="40" t="str">
        <f aca="false">IF($C352="","",ROUND($V352+MIN($W352,MAX(0,(SUMIF(收款键,$D352,收款金额)-SUMIFS(收款金额,收款键,$D352,收款关联,"&lt;&gt;"))-($X352-$W352))),2))</f>
        <v/>
      </c>
      <c r="Q352" s="41" t="str">
        <f aca="false">IF($C352="","",ROUND(N($K352)-N($P352),2))</f>
        <v/>
      </c>
      <c r="R352" s="29" t="str">
        <f aca="false">IF($C352="","",YEAR($C352))</f>
        <v/>
      </c>
      <c r="S352" s="24"/>
      <c r="T352" s="35" t="str">
        <f aca="false">IF($C352="","",IF($D352="","★没选客户项目",IF(COUNTIF(合同键,$D352)=0,"★《维保合同》里没这个项目",IF(N($K352)&lt;=0,"★应收金额要填",IF(ROUND(N($N352)-N($K352),2)&gt;0.001,"★开票金额大于应收",IF(AND($L352&lt;&gt;"",N($N352)&lt;=0),"★填了开票日期没填开票金额",IF(AND($I352&lt;&gt;"",$J352&lt;&gt;"",$J352&lt;$I352),"★计费期间起止反了","OK")))))))</f>
        <v/>
      </c>
      <c r="U352" s="29" t="str">
        <f aca="false">IF($L352="","",YEAR($L352))</f>
        <v/>
      </c>
      <c r="V352" s="40" t="str">
        <f aca="false">IF($C352="","",ROUND(SUMIF(收款关联,$B352,收款金额),2))</f>
        <v/>
      </c>
      <c r="W352" s="40" t="str">
        <f aca="false">IF($C352="","",MAX(0,ROUND(N($K352)-N($V352),2)))</f>
        <v/>
      </c>
      <c r="X352" s="40" t="str">
        <f aca="false">IF($C352="","",ROUND(SUMIFS(应收净额,应收键,$D352,应收行号,"&lt;="&amp;ROW()),2))</f>
        <v/>
      </c>
      <c r="Y352" s="29" t="str">
        <f aca="false">IF($C352="","",ROW())</f>
        <v/>
      </c>
    </row>
    <row r="353" customFormat="false" ht="15" hidden="false" customHeight="false" outlineLevel="0" collapsed="false">
      <c r="A353" s="29" t="str">
        <f aca="false">IF($C353="","",ROW()-4)</f>
        <v/>
      </c>
      <c r="B353" s="35" t="str">
        <f aca="false">IF($C353="","","YS"&amp;TEXT($C353,"yyyymm")&amp;"-"&amp;TEXT(ROW()-4,"0000"))</f>
        <v/>
      </c>
      <c r="C353" s="33"/>
      <c r="D353" s="24"/>
      <c r="E353" s="30" t="str">
        <f aca="false">IF($D353="","",IFERROR(INDEX(合同单位,MATCH($D353,合同键,0)),IFERROR(TRIM(LEFT($D353,FIND("｜",$D353)-1)),$D353)))</f>
        <v/>
      </c>
      <c r="F353" s="30" t="str">
        <f aca="false">IF($D353="","",IFERROR(INDEX(合同项目,MATCH($D353,合同键,0)),IFERROR(TRIM(MID($D353,FIND("｜",$D353)+1,99)),"")))</f>
        <v/>
      </c>
      <c r="G353" s="24"/>
      <c r="H353" s="35" t="str">
        <f aca="false">IF($G353="","",IFERROR(INDEX(费用款别,MATCH($G353,费用类别表,0)),"合同外款"))</f>
        <v/>
      </c>
      <c r="I353" s="33"/>
      <c r="J353" s="33"/>
      <c r="K353" s="39"/>
      <c r="L353" s="33"/>
      <c r="M353" s="25"/>
      <c r="N353" s="39"/>
      <c r="O353" s="35" t="str">
        <f aca="false">IF($C353="","",IF(N($N353)&lt;=0,"未开票",IF(ROUND(N($N353)-N($K353),2)&gt;=0,"已开票",IFERROR("部分开票 "&amp;TEXT(N($N353)/N($K353),"0%"),"部分开票"))))</f>
        <v/>
      </c>
      <c r="P353" s="40" t="str">
        <f aca="false">IF($C353="","",ROUND($V353+MIN($W353,MAX(0,(SUMIF(收款键,$D353,收款金额)-SUMIFS(收款金额,收款键,$D353,收款关联,"&lt;&gt;"))-($X353-$W353))),2))</f>
        <v/>
      </c>
      <c r="Q353" s="41" t="str">
        <f aca="false">IF($C353="","",ROUND(N($K353)-N($P353),2))</f>
        <v/>
      </c>
      <c r="R353" s="29" t="str">
        <f aca="false">IF($C353="","",YEAR($C353))</f>
        <v/>
      </c>
      <c r="S353" s="24"/>
      <c r="T353" s="35" t="str">
        <f aca="false">IF($C353="","",IF($D353="","★没选客户项目",IF(COUNTIF(合同键,$D353)=0,"★《维保合同》里没这个项目",IF(N($K353)&lt;=0,"★应收金额要填",IF(ROUND(N($N353)-N($K353),2)&gt;0.001,"★开票金额大于应收",IF(AND($L353&lt;&gt;"",N($N353)&lt;=0),"★填了开票日期没填开票金额",IF(AND($I353&lt;&gt;"",$J353&lt;&gt;"",$J353&lt;$I353),"★计费期间起止反了","OK")))))))</f>
        <v/>
      </c>
      <c r="U353" s="29" t="str">
        <f aca="false">IF($L353="","",YEAR($L353))</f>
        <v/>
      </c>
      <c r="V353" s="40" t="str">
        <f aca="false">IF($C353="","",ROUND(SUMIF(收款关联,$B353,收款金额),2))</f>
        <v/>
      </c>
      <c r="W353" s="40" t="str">
        <f aca="false">IF($C353="","",MAX(0,ROUND(N($K353)-N($V353),2)))</f>
        <v/>
      </c>
      <c r="X353" s="40" t="str">
        <f aca="false">IF($C353="","",ROUND(SUMIFS(应收净额,应收键,$D353,应收行号,"&lt;="&amp;ROW()),2))</f>
        <v/>
      </c>
      <c r="Y353" s="29" t="str">
        <f aca="false">IF($C353="","",ROW())</f>
        <v/>
      </c>
    </row>
    <row r="354" customFormat="false" ht="15" hidden="false" customHeight="false" outlineLevel="0" collapsed="false">
      <c r="A354" s="29" t="str">
        <f aca="false">IF($C354="","",ROW()-4)</f>
        <v/>
      </c>
      <c r="B354" s="35" t="str">
        <f aca="false">IF($C354="","","YS"&amp;TEXT($C354,"yyyymm")&amp;"-"&amp;TEXT(ROW()-4,"0000"))</f>
        <v/>
      </c>
      <c r="C354" s="33"/>
      <c r="D354" s="24"/>
      <c r="E354" s="30" t="str">
        <f aca="false">IF($D354="","",IFERROR(INDEX(合同单位,MATCH($D354,合同键,0)),IFERROR(TRIM(LEFT($D354,FIND("｜",$D354)-1)),$D354)))</f>
        <v/>
      </c>
      <c r="F354" s="30" t="str">
        <f aca="false">IF($D354="","",IFERROR(INDEX(合同项目,MATCH($D354,合同键,0)),IFERROR(TRIM(MID($D354,FIND("｜",$D354)+1,99)),"")))</f>
        <v/>
      </c>
      <c r="G354" s="24"/>
      <c r="H354" s="35" t="str">
        <f aca="false">IF($G354="","",IFERROR(INDEX(费用款别,MATCH($G354,费用类别表,0)),"合同外款"))</f>
        <v/>
      </c>
      <c r="I354" s="33"/>
      <c r="J354" s="33"/>
      <c r="K354" s="39"/>
      <c r="L354" s="33"/>
      <c r="M354" s="25"/>
      <c r="N354" s="39"/>
      <c r="O354" s="35" t="str">
        <f aca="false">IF($C354="","",IF(N($N354)&lt;=0,"未开票",IF(ROUND(N($N354)-N($K354),2)&gt;=0,"已开票",IFERROR("部分开票 "&amp;TEXT(N($N354)/N($K354),"0%"),"部分开票"))))</f>
        <v/>
      </c>
      <c r="P354" s="40" t="str">
        <f aca="false">IF($C354="","",ROUND($V354+MIN($W354,MAX(0,(SUMIF(收款键,$D354,收款金额)-SUMIFS(收款金额,收款键,$D354,收款关联,"&lt;&gt;"))-($X354-$W354))),2))</f>
        <v/>
      </c>
      <c r="Q354" s="41" t="str">
        <f aca="false">IF($C354="","",ROUND(N($K354)-N($P354),2))</f>
        <v/>
      </c>
      <c r="R354" s="29" t="str">
        <f aca="false">IF($C354="","",YEAR($C354))</f>
        <v/>
      </c>
      <c r="S354" s="24"/>
      <c r="T354" s="35" t="str">
        <f aca="false">IF($C354="","",IF($D354="","★没选客户项目",IF(COUNTIF(合同键,$D354)=0,"★《维保合同》里没这个项目",IF(N($K354)&lt;=0,"★应收金额要填",IF(ROUND(N($N354)-N($K354),2)&gt;0.001,"★开票金额大于应收",IF(AND($L354&lt;&gt;"",N($N354)&lt;=0),"★填了开票日期没填开票金额",IF(AND($I354&lt;&gt;"",$J354&lt;&gt;"",$J354&lt;$I354),"★计费期间起止反了","OK")))))))</f>
        <v/>
      </c>
      <c r="U354" s="29" t="str">
        <f aca="false">IF($L354="","",YEAR($L354))</f>
        <v/>
      </c>
      <c r="V354" s="40" t="str">
        <f aca="false">IF($C354="","",ROUND(SUMIF(收款关联,$B354,收款金额),2))</f>
        <v/>
      </c>
      <c r="W354" s="40" t="str">
        <f aca="false">IF($C354="","",MAX(0,ROUND(N($K354)-N($V354),2)))</f>
        <v/>
      </c>
      <c r="X354" s="40" t="str">
        <f aca="false">IF($C354="","",ROUND(SUMIFS(应收净额,应收键,$D354,应收行号,"&lt;="&amp;ROW()),2))</f>
        <v/>
      </c>
      <c r="Y354" s="29" t="str">
        <f aca="false">IF($C354="","",ROW())</f>
        <v/>
      </c>
    </row>
    <row r="355" customFormat="false" ht="15" hidden="false" customHeight="false" outlineLevel="0" collapsed="false">
      <c r="A355" s="29" t="str">
        <f aca="false">IF($C355="","",ROW()-4)</f>
        <v/>
      </c>
      <c r="B355" s="35" t="str">
        <f aca="false">IF($C355="","","YS"&amp;TEXT($C355,"yyyymm")&amp;"-"&amp;TEXT(ROW()-4,"0000"))</f>
        <v/>
      </c>
      <c r="C355" s="33"/>
      <c r="D355" s="24"/>
      <c r="E355" s="30" t="str">
        <f aca="false">IF($D355="","",IFERROR(INDEX(合同单位,MATCH($D355,合同键,0)),IFERROR(TRIM(LEFT($D355,FIND("｜",$D355)-1)),$D355)))</f>
        <v/>
      </c>
      <c r="F355" s="30" t="str">
        <f aca="false">IF($D355="","",IFERROR(INDEX(合同项目,MATCH($D355,合同键,0)),IFERROR(TRIM(MID($D355,FIND("｜",$D355)+1,99)),"")))</f>
        <v/>
      </c>
      <c r="G355" s="24"/>
      <c r="H355" s="35" t="str">
        <f aca="false">IF($G355="","",IFERROR(INDEX(费用款别,MATCH($G355,费用类别表,0)),"合同外款"))</f>
        <v/>
      </c>
      <c r="I355" s="33"/>
      <c r="J355" s="33"/>
      <c r="K355" s="39"/>
      <c r="L355" s="33"/>
      <c r="M355" s="25"/>
      <c r="N355" s="39"/>
      <c r="O355" s="35" t="str">
        <f aca="false">IF($C355="","",IF(N($N355)&lt;=0,"未开票",IF(ROUND(N($N355)-N($K355),2)&gt;=0,"已开票",IFERROR("部分开票 "&amp;TEXT(N($N355)/N($K355),"0%"),"部分开票"))))</f>
        <v/>
      </c>
      <c r="P355" s="40" t="str">
        <f aca="false">IF($C355="","",ROUND($V355+MIN($W355,MAX(0,(SUMIF(收款键,$D355,收款金额)-SUMIFS(收款金额,收款键,$D355,收款关联,"&lt;&gt;"))-($X355-$W355))),2))</f>
        <v/>
      </c>
      <c r="Q355" s="41" t="str">
        <f aca="false">IF($C355="","",ROUND(N($K355)-N($P355),2))</f>
        <v/>
      </c>
      <c r="R355" s="29" t="str">
        <f aca="false">IF($C355="","",YEAR($C355))</f>
        <v/>
      </c>
      <c r="S355" s="24"/>
      <c r="T355" s="35" t="str">
        <f aca="false">IF($C355="","",IF($D355="","★没选客户项目",IF(COUNTIF(合同键,$D355)=0,"★《维保合同》里没这个项目",IF(N($K355)&lt;=0,"★应收金额要填",IF(ROUND(N($N355)-N($K355),2)&gt;0.001,"★开票金额大于应收",IF(AND($L355&lt;&gt;"",N($N355)&lt;=0),"★填了开票日期没填开票金额",IF(AND($I355&lt;&gt;"",$J355&lt;&gt;"",$J355&lt;$I355),"★计费期间起止反了","OK")))))))</f>
        <v/>
      </c>
      <c r="U355" s="29" t="str">
        <f aca="false">IF($L355="","",YEAR($L355))</f>
        <v/>
      </c>
      <c r="V355" s="40" t="str">
        <f aca="false">IF($C355="","",ROUND(SUMIF(收款关联,$B355,收款金额),2))</f>
        <v/>
      </c>
      <c r="W355" s="40" t="str">
        <f aca="false">IF($C355="","",MAX(0,ROUND(N($K355)-N($V355),2)))</f>
        <v/>
      </c>
      <c r="X355" s="40" t="str">
        <f aca="false">IF($C355="","",ROUND(SUMIFS(应收净额,应收键,$D355,应收行号,"&lt;="&amp;ROW()),2))</f>
        <v/>
      </c>
      <c r="Y355" s="29" t="str">
        <f aca="false">IF($C355="","",ROW())</f>
        <v/>
      </c>
    </row>
    <row r="356" customFormat="false" ht="15" hidden="false" customHeight="false" outlineLevel="0" collapsed="false">
      <c r="A356" s="29" t="str">
        <f aca="false">IF($C356="","",ROW()-4)</f>
        <v/>
      </c>
      <c r="B356" s="35" t="str">
        <f aca="false">IF($C356="","","YS"&amp;TEXT($C356,"yyyymm")&amp;"-"&amp;TEXT(ROW()-4,"0000"))</f>
        <v/>
      </c>
      <c r="C356" s="33"/>
      <c r="D356" s="24"/>
      <c r="E356" s="30" t="str">
        <f aca="false">IF($D356="","",IFERROR(INDEX(合同单位,MATCH($D356,合同键,0)),IFERROR(TRIM(LEFT($D356,FIND("｜",$D356)-1)),$D356)))</f>
        <v/>
      </c>
      <c r="F356" s="30" t="str">
        <f aca="false">IF($D356="","",IFERROR(INDEX(合同项目,MATCH($D356,合同键,0)),IFERROR(TRIM(MID($D356,FIND("｜",$D356)+1,99)),"")))</f>
        <v/>
      </c>
      <c r="G356" s="24"/>
      <c r="H356" s="35" t="str">
        <f aca="false">IF($G356="","",IFERROR(INDEX(费用款别,MATCH($G356,费用类别表,0)),"合同外款"))</f>
        <v/>
      </c>
      <c r="I356" s="33"/>
      <c r="J356" s="33"/>
      <c r="K356" s="39"/>
      <c r="L356" s="33"/>
      <c r="M356" s="25"/>
      <c r="N356" s="39"/>
      <c r="O356" s="35" t="str">
        <f aca="false">IF($C356="","",IF(N($N356)&lt;=0,"未开票",IF(ROUND(N($N356)-N($K356),2)&gt;=0,"已开票",IFERROR("部分开票 "&amp;TEXT(N($N356)/N($K356),"0%"),"部分开票"))))</f>
        <v/>
      </c>
      <c r="P356" s="40" t="str">
        <f aca="false">IF($C356="","",ROUND($V356+MIN($W356,MAX(0,(SUMIF(收款键,$D356,收款金额)-SUMIFS(收款金额,收款键,$D356,收款关联,"&lt;&gt;"))-($X356-$W356))),2))</f>
        <v/>
      </c>
      <c r="Q356" s="41" t="str">
        <f aca="false">IF($C356="","",ROUND(N($K356)-N($P356),2))</f>
        <v/>
      </c>
      <c r="R356" s="29" t="str">
        <f aca="false">IF($C356="","",YEAR($C356))</f>
        <v/>
      </c>
      <c r="S356" s="24"/>
      <c r="T356" s="35" t="str">
        <f aca="false">IF($C356="","",IF($D356="","★没选客户项目",IF(COUNTIF(合同键,$D356)=0,"★《维保合同》里没这个项目",IF(N($K356)&lt;=0,"★应收金额要填",IF(ROUND(N($N356)-N($K356),2)&gt;0.001,"★开票金额大于应收",IF(AND($L356&lt;&gt;"",N($N356)&lt;=0),"★填了开票日期没填开票金额",IF(AND($I356&lt;&gt;"",$J356&lt;&gt;"",$J356&lt;$I356),"★计费期间起止反了","OK")))))))</f>
        <v/>
      </c>
      <c r="U356" s="29" t="str">
        <f aca="false">IF($L356="","",YEAR($L356))</f>
        <v/>
      </c>
      <c r="V356" s="40" t="str">
        <f aca="false">IF($C356="","",ROUND(SUMIF(收款关联,$B356,收款金额),2))</f>
        <v/>
      </c>
      <c r="W356" s="40" t="str">
        <f aca="false">IF($C356="","",MAX(0,ROUND(N($K356)-N($V356),2)))</f>
        <v/>
      </c>
      <c r="X356" s="40" t="str">
        <f aca="false">IF($C356="","",ROUND(SUMIFS(应收净额,应收键,$D356,应收行号,"&lt;="&amp;ROW()),2))</f>
        <v/>
      </c>
      <c r="Y356" s="29" t="str">
        <f aca="false">IF($C356="","",ROW())</f>
        <v/>
      </c>
    </row>
    <row r="357" customFormat="false" ht="15" hidden="false" customHeight="false" outlineLevel="0" collapsed="false">
      <c r="A357" s="29" t="str">
        <f aca="false">IF($C357="","",ROW()-4)</f>
        <v/>
      </c>
      <c r="B357" s="35" t="str">
        <f aca="false">IF($C357="","","YS"&amp;TEXT($C357,"yyyymm")&amp;"-"&amp;TEXT(ROW()-4,"0000"))</f>
        <v/>
      </c>
      <c r="C357" s="33"/>
      <c r="D357" s="24"/>
      <c r="E357" s="30" t="str">
        <f aca="false">IF($D357="","",IFERROR(INDEX(合同单位,MATCH($D357,合同键,0)),IFERROR(TRIM(LEFT($D357,FIND("｜",$D357)-1)),$D357)))</f>
        <v/>
      </c>
      <c r="F357" s="30" t="str">
        <f aca="false">IF($D357="","",IFERROR(INDEX(合同项目,MATCH($D357,合同键,0)),IFERROR(TRIM(MID($D357,FIND("｜",$D357)+1,99)),"")))</f>
        <v/>
      </c>
      <c r="G357" s="24"/>
      <c r="H357" s="35" t="str">
        <f aca="false">IF($G357="","",IFERROR(INDEX(费用款别,MATCH($G357,费用类别表,0)),"合同外款"))</f>
        <v/>
      </c>
      <c r="I357" s="33"/>
      <c r="J357" s="33"/>
      <c r="K357" s="39"/>
      <c r="L357" s="33"/>
      <c r="M357" s="25"/>
      <c r="N357" s="39"/>
      <c r="O357" s="35" t="str">
        <f aca="false">IF($C357="","",IF(N($N357)&lt;=0,"未开票",IF(ROUND(N($N357)-N($K357),2)&gt;=0,"已开票",IFERROR("部分开票 "&amp;TEXT(N($N357)/N($K357),"0%"),"部分开票"))))</f>
        <v/>
      </c>
      <c r="P357" s="40" t="str">
        <f aca="false">IF($C357="","",ROUND($V357+MIN($W357,MAX(0,(SUMIF(收款键,$D357,收款金额)-SUMIFS(收款金额,收款键,$D357,收款关联,"&lt;&gt;"))-($X357-$W357))),2))</f>
        <v/>
      </c>
      <c r="Q357" s="41" t="str">
        <f aca="false">IF($C357="","",ROUND(N($K357)-N($P357),2))</f>
        <v/>
      </c>
      <c r="R357" s="29" t="str">
        <f aca="false">IF($C357="","",YEAR($C357))</f>
        <v/>
      </c>
      <c r="S357" s="24"/>
      <c r="T357" s="35" t="str">
        <f aca="false">IF($C357="","",IF($D357="","★没选客户项目",IF(COUNTIF(合同键,$D357)=0,"★《维保合同》里没这个项目",IF(N($K357)&lt;=0,"★应收金额要填",IF(ROUND(N($N357)-N($K357),2)&gt;0.001,"★开票金额大于应收",IF(AND($L357&lt;&gt;"",N($N357)&lt;=0),"★填了开票日期没填开票金额",IF(AND($I357&lt;&gt;"",$J357&lt;&gt;"",$J357&lt;$I357),"★计费期间起止反了","OK")))))))</f>
        <v/>
      </c>
      <c r="U357" s="29" t="str">
        <f aca="false">IF($L357="","",YEAR($L357))</f>
        <v/>
      </c>
      <c r="V357" s="40" t="str">
        <f aca="false">IF($C357="","",ROUND(SUMIF(收款关联,$B357,收款金额),2))</f>
        <v/>
      </c>
      <c r="W357" s="40" t="str">
        <f aca="false">IF($C357="","",MAX(0,ROUND(N($K357)-N($V357),2)))</f>
        <v/>
      </c>
      <c r="X357" s="40" t="str">
        <f aca="false">IF($C357="","",ROUND(SUMIFS(应收净额,应收键,$D357,应收行号,"&lt;="&amp;ROW()),2))</f>
        <v/>
      </c>
      <c r="Y357" s="29" t="str">
        <f aca="false">IF($C357="","",ROW())</f>
        <v/>
      </c>
    </row>
    <row r="358" customFormat="false" ht="15" hidden="false" customHeight="false" outlineLevel="0" collapsed="false">
      <c r="A358" s="29" t="str">
        <f aca="false">IF($C358="","",ROW()-4)</f>
        <v/>
      </c>
      <c r="B358" s="35" t="str">
        <f aca="false">IF($C358="","","YS"&amp;TEXT($C358,"yyyymm")&amp;"-"&amp;TEXT(ROW()-4,"0000"))</f>
        <v/>
      </c>
      <c r="C358" s="33"/>
      <c r="D358" s="24"/>
      <c r="E358" s="30" t="str">
        <f aca="false">IF($D358="","",IFERROR(INDEX(合同单位,MATCH($D358,合同键,0)),IFERROR(TRIM(LEFT($D358,FIND("｜",$D358)-1)),$D358)))</f>
        <v/>
      </c>
      <c r="F358" s="30" t="str">
        <f aca="false">IF($D358="","",IFERROR(INDEX(合同项目,MATCH($D358,合同键,0)),IFERROR(TRIM(MID($D358,FIND("｜",$D358)+1,99)),"")))</f>
        <v/>
      </c>
      <c r="G358" s="24"/>
      <c r="H358" s="35" t="str">
        <f aca="false">IF($G358="","",IFERROR(INDEX(费用款别,MATCH($G358,费用类别表,0)),"合同外款"))</f>
        <v/>
      </c>
      <c r="I358" s="33"/>
      <c r="J358" s="33"/>
      <c r="K358" s="39"/>
      <c r="L358" s="33"/>
      <c r="M358" s="25"/>
      <c r="N358" s="39"/>
      <c r="O358" s="35" t="str">
        <f aca="false">IF($C358="","",IF(N($N358)&lt;=0,"未开票",IF(ROUND(N($N358)-N($K358),2)&gt;=0,"已开票",IFERROR("部分开票 "&amp;TEXT(N($N358)/N($K358),"0%"),"部分开票"))))</f>
        <v/>
      </c>
      <c r="P358" s="40" t="str">
        <f aca="false">IF($C358="","",ROUND($V358+MIN($W358,MAX(0,(SUMIF(收款键,$D358,收款金额)-SUMIFS(收款金额,收款键,$D358,收款关联,"&lt;&gt;"))-($X358-$W358))),2))</f>
        <v/>
      </c>
      <c r="Q358" s="41" t="str">
        <f aca="false">IF($C358="","",ROUND(N($K358)-N($P358),2))</f>
        <v/>
      </c>
      <c r="R358" s="29" t="str">
        <f aca="false">IF($C358="","",YEAR($C358))</f>
        <v/>
      </c>
      <c r="S358" s="24"/>
      <c r="T358" s="35" t="str">
        <f aca="false">IF($C358="","",IF($D358="","★没选客户项目",IF(COUNTIF(合同键,$D358)=0,"★《维保合同》里没这个项目",IF(N($K358)&lt;=0,"★应收金额要填",IF(ROUND(N($N358)-N($K358),2)&gt;0.001,"★开票金额大于应收",IF(AND($L358&lt;&gt;"",N($N358)&lt;=0),"★填了开票日期没填开票金额",IF(AND($I358&lt;&gt;"",$J358&lt;&gt;"",$J358&lt;$I358),"★计费期间起止反了","OK")))))))</f>
        <v/>
      </c>
      <c r="U358" s="29" t="str">
        <f aca="false">IF($L358="","",YEAR($L358))</f>
        <v/>
      </c>
      <c r="V358" s="40" t="str">
        <f aca="false">IF($C358="","",ROUND(SUMIF(收款关联,$B358,收款金额),2))</f>
        <v/>
      </c>
      <c r="W358" s="40" t="str">
        <f aca="false">IF($C358="","",MAX(0,ROUND(N($K358)-N($V358),2)))</f>
        <v/>
      </c>
      <c r="X358" s="40" t="str">
        <f aca="false">IF($C358="","",ROUND(SUMIFS(应收净额,应收键,$D358,应收行号,"&lt;="&amp;ROW()),2))</f>
        <v/>
      </c>
      <c r="Y358" s="29" t="str">
        <f aca="false">IF($C358="","",ROW())</f>
        <v/>
      </c>
    </row>
    <row r="359" customFormat="false" ht="15" hidden="false" customHeight="false" outlineLevel="0" collapsed="false">
      <c r="A359" s="29" t="str">
        <f aca="false">IF($C359="","",ROW()-4)</f>
        <v/>
      </c>
      <c r="B359" s="35" t="str">
        <f aca="false">IF($C359="","","YS"&amp;TEXT($C359,"yyyymm")&amp;"-"&amp;TEXT(ROW()-4,"0000"))</f>
        <v/>
      </c>
      <c r="C359" s="33"/>
      <c r="D359" s="24"/>
      <c r="E359" s="30" t="str">
        <f aca="false">IF($D359="","",IFERROR(INDEX(合同单位,MATCH($D359,合同键,0)),IFERROR(TRIM(LEFT($D359,FIND("｜",$D359)-1)),$D359)))</f>
        <v/>
      </c>
      <c r="F359" s="30" t="str">
        <f aca="false">IF($D359="","",IFERROR(INDEX(合同项目,MATCH($D359,合同键,0)),IFERROR(TRIM(MID($D359,FIND("｜",$D359)+1,99)),"")))</f>
        <v/>
      </c>
      <c r="G359" s="24"/>
      <c r="H359" s="35" t="str">
        <f aca="false">IF($G359="","",IFERROR(INDEX(费用款别,MATCH($G359,费用类别表,0)),"合同外款"))</f>
        <v/>
      </c>
      <c r="I359" s="33"/>
      <c r="J359" s="33"/>
      <c r="K359" s="39"/>
      <c r="L359" s="33"/>
      <c r="M359" s="25"/>
      <c r="N359" s="39"/>
      <c r="O359" s="35" t="str">
        <f aca="false">IF($C359="","",IF(N($N359)&lt;=0,"未开票",IF(ROUND(N($N359)-N($K359),2)&gt;=0,"已开票",IFERROR("部分开票 "&amp;TEXT(N($N359)/N($K359),"0%"),"部分开票"))))</f>
        <v/>
      </c>
      <c r="P359" s="40" t="str">
        <f aca="false">IF($C359="","",ROUND($V359+MIN($W359,MAX(0,(SUMIF(收款键,$D359,收款金额)-SUMIFS(收款金额,收款键,$D359,收款关联,"&lt;&gt;"))-($X359-$W359))),2))</f>
        <v/>
      </c>
      <c r="Q359" s="41" t="str">
        <f aca="false">IF($C359="","",ROUND(N($K359)-N($P359),2))</f>
        <v/>
      </c>
      <c r="R359" s="29" t="str">
        <f aca="false">IF($C359="","",YEAR($C359))</f>
        <v/>
      </c>
      <c r="S359" s="24"/>
      <c r="T359" s="35" t="str">
        <f aca="false">IF($C359="","",IF($D359="","★没选客户项目",IF(COUNTIF(合同键,$D359)=0,"★《维保合同》里没这个项目",IF(N($K359)&lt;=0,"★应收金额要填",IF(ROUND(N($N359)-N($K359),2)&gt;0.001,"★开票金额大于应收",IF(AND($L359&lt;&gt;"",N($N359)&lt;=0),"★填了开票日期没填开票金额",IF(AND($I359&lt;&gt;"",$J359&lt;&gt;"",$J359&lt;$I359),"★计费期间起止反了","OK")))))))</f>
        <v/>
      </c>
      <c r="U359" s="29" t="str">
        <f aca="false">IF($L359="","",YEAR($L359))</f>
        <v/>
      </c>
      <c r="V359" s="40" t="str">
        <f aca="false">IF($C359="","",ROUND(SUMIF(收款关联,$B359,收款金额),2))</f>
        <v/>
      </c>
      <c r="W359" s="40" t="str">
        <f aca="false">IF($C359="","",MAX(0,ROUND(N($K359)-N($V359),2)))</f>
        <v/>
      </c>
      <c r="X359" s="40" t="str">
        <f aca="false">IF($C359="","",ROUND(SUMIFS(应收净额,应收键,$D359,应收行号,"&lt;="&amp;ROW()),2))</f>
        <v/>
      </c>
      <c r="Y359" s="29" t="str">
        <f aca="false">IF($C359="","",ROW())</f>
        <v/>
      </c>
    </row>
    <row r="360" customFormat="false" ht="15" hidden="false" customHeight="false" outlineLevel="0" collapsed="false">
      <c r="A360" s="29" t="str">
        <f aca="false">IF($C360="","",ROW()-4)</f>
        <v/>
      </c>
      <c r="B360" s="35" t="str">
        <f aca="false">IF($C360="","","YS"&amp;TEXT($C360,"yyyymm")&amp;"-"&amp;TEXT(ROW()-4,"0000"))</f>
        <v/>
      </c>
      <c r="C360" s="33"/>
      <c r="D360" s="24"/>
      <c r="E360" s="30" t="str">
        <f aca="false">IF($D360="","",IFERROR(INDEX(合同单位,MATCH($D360,合同键,0)),IFERROR(TRIM(LEFT($D360,FIND("｜",$D360)-1)),$D360)))</f>
        <v/>
      </c>
      <c r="F360" s="30" t="str">
        <f aca="false">IF($D360="","",IFERROR(INDEX(合同项目,MATCH($D360,合同键,0)),IFERROR(TRIM(MID($D360,FIND("｜",$D360)+1,99)),"")))</f>
        <v/>
      </c>
      <c r="G360" s="24"/>
      <c r="H360" s="35" t="str">
        <f aca="false">IF($G360="","",IFERROR(INDEX(费用款别,MATCH($G360,费用类别表,0)),"合同外款"))</f>
        <v/>
      </c>
      <c r="I360" s="33"/>
      <c r="J360" s="33"/>
      <c r="K360" s="39"/>
      <c r="L360" s="33"/>
      <c r="M360" s="25"/>
      <c r="N360" s="39"/>
      <c r="O360" s="35" t="str">
        <f aca="false">IF($C360="","",IF(N($N360)&lt;=0,"未开票",IF(ROUND(N($N360)-N($K360),2)&gt;=0,"已开票",IFERROR("部分开票 "&amp;TEXT(N($N360)/N($K360),"0%"),"部分开票"))))</f>
        <v/>
      </c>
      <c r="P360" s="40" t="str">
        <f aca="false">IF($C360="","",ROUND($V360+MIN($W360,MAX(0,(SUMIF(收款键,$D360,收款金额)-SUMIFS(收款金额,收款键,$D360,收款关联,"&lt;&gt;"))-($X360-$W360))),2))</f>
        <v/>
      </c>
      <c r="Q360" s="41" t="str">
        <f aca="false">IF($C360="","",ROUND(N($K360)-N($P360),2))</f>
        <v/>
      </c>
      <c r="R360" s="29" t="str">
        <f aca="false">IF($C360="","",YEAR($C360))</f>
        <v/>
      </c>
      <c r="S360" s="24"/>
      <c r="T360" s="35" t="str">
        <f aca="false">IF($C360="","",IF($D360="","★没选客户项目",IF(COUNTIF(合同键,$D360)=0,"★《维保合同》里没这个项目",IF(N($K360)&lt;=0,"★应收金额要填",IF(ROUND(N($N360)-N($K360),2)&gt;0.001,"★开票金额大于应收",IF(AND($L360&lt;&gt;"",N($N360)&lt;=0),"★填了开票日期没填开票金额",IF(AND($I360&lt;&gt;"",$J360&lt;&gt;"",$J360&lt;$I360),"★计费期间起止反了","OK")))))))</f>
        <v/>
      </c>
      <c r="U360" s="29" t="str">
        <f aca="false">IF($L360="","",YEAR($L360))</f>
        <v/>
      </c>
      <c r="V360" s="40" t="str">
        <f aca="false">IF($C360="","",ROUND(SUMIF(收款关联,$B360,收款金额),2))</f>
        <v/>
      </c>
      <c r="W360" s="40" t="str">
        <f aca="false">IF($C360="","",MAX(0,ROUND(N($K360)-N($V360),2)))</f>
        <v/>
      </c>
      <c r="X360" s="40" t="str">
        <f aca="false">IF($C360="","",ROUND(SUMIFS(应收净额,应收键,$D360,应收行号,"&lt;="&amp;ROW()),2))</f>
        <v/>
      </c>
      <c r="Y360" s="29" t="str">
        <f aca="false">IF($C360="","",ROW())</f>
        <v/>
      </c>
    </row>
    <row r="361" customFormat="false" ht="15" hidden="false" customHeight="false" outlineLevel="0" collapsed="false">
      <c r="A361" s="29" t="str">
        <f aca="false">IF($C361="","",ROW()-4)</f>
        <v/>
      </c>
      <c r="B361" s="35" t="str">
        <f aca="false">IF($C361="","","YS"&amp;TEXT($C361,"yyyymm")&amp;"-"&amp;TEXT(ROW()-4,"0000"))</f>
        <v/>
      </c>
      <c r="C361" s="33"/>
      <c r="D361" s="24"/>
      <c r="E361" s="30" t="str">
        <f aca="false">IF($D361="","",IFERROR(INDEX(合同单位,MATCH($D361,合同键,0)),IFERROR(TRIM(LEFT($D361,FIND("｜",$D361)-1)),$D361)))</f>
        <v/>
      </c>
      <c r="F361" s="30" t="str">
        <f aca="false">IF($D361="","",IFERROR(INDEX(合同项目,MATCH($D361,合同键,0)),IFERROR(TRIM(MID($D361,FIND("｜",$D361)+1,99)),"")))</f>
        <v/>
      </c>
      <c r="G361" s="24"/>
      <c r="H361" s="35" t="str">
        <f aca="false">IF($G361="","",IFERROR(INDEX(费用款别,MATCH($G361,费用类别表,0)),"合同外款"))</f>
        <v/>
      </c>
      <c r="I361" s="33"/>
      <c r="J361" s="33"/>
      <c r="K361" s="39"/>
      <c r="L361" s="33"/>
      <c r="M361" s="25"/>
      <c r="N361" s="39"/>
      <c r="O361" s="35" t="str">
        <f aca="false">IF($C361="","",IF(N($N361)&lt;=0,"未开票",IF(ROUND(N($N361)-N($K361),2)&gt;=0,"已开票",IFERROR("部分开票 "&amp;TEXT(N($N361)/N($K361),"0%"),"部分开票"))))</f>
        <v/>
      </c>
      <c r="P361" s="40" t="str">
        <f aca="false">IF($C361="","",ROUND($V361+MIN($W361,MAX(0,(SUMIF(收款键,$D361,收款金额)-SUMIFS(收款金额,收款键,$D361,收款关联,"&lt;&gt;"))-($X361-$W361))),2))</f>
        <v/>
      </c>
      <c r="Q361" s="41" t="str">
        <f aca="false">IF($C361="","",ROUND(N($K361)-N($P361),2))</f>
        <v/>
      </c>
      <c r="R361" s="29" t="str">
        <f aca="false">IF($C361="","",YEAR($C361))</f>
        <v/>
      </c>
      <c r="S361" s="24"/>
      <c r="T361" s="35" t="str">
        <f aca="false">IF($C361="","",IF($D361="","★没选客户项目",IF(COUNTIF(合同键,$D361)=0,"★《维保合同》里没这个项目",IF(N($K361)&lt;=0,"★应收金额要填",IF(ROUND(N($N361)-N($K361),2)&gt;0.001,"★开票金额大于应收",IF(AND($L361&lt;&gt;"",N($N361)&lt;=0),"★填了开票日期没填开票金额",IF(AND($I361&lt;&gt;"",$J361&lt;&gt;"",$J361&lt;$I361),"★计费期间起止反了","OK")))))))</f>
        <v/>
      </c>
      <c r="U361" s="29" t="str">
        <f aca="false">IF($L361="","",YEAR($L361))</f>
        <v/>
      </c>
      <c r="V361" s="40" t="str">
        <f aca="false">IF($C361="","",ROUND(SUMIF(收款关联,$B361,收款金额),2))</f>
        <v/>
      </c>
      <c r="W361" s="40" t="str">
        <f aca="false">IF($C361="","",MAX(0,ROUND(N($K361)-N($V361),2)))</f>
        <v/>
      </c>
      <c r="X361" s="40" t="str">
        <f aca="false">IF($C361="","",ROUND(SUMIFS(应收净额,应收键,$D361,应收行号,"&lt;="&amp;ROW()),2))</f>
        <v/>
      </c>
      <c r="Y361" s="29" t="str">
        <f aca="false">IF($C361="","",ROW())</f>
        <v/>
      </c>
    </row>
    <row r="362" customFormat="false" ht="15" hidden="false" customHeight="false" outlineLevel="0" collapsed="false">
      <c r="A362" s="29" t="str">
        <f aca="false">IF($C362="","",ROW()-4)</f>
        <v/>
      </c>
      <c r="B362" s="35" t="str">
        <f aca="false">IF($C362="","","YS"&amp;TEXT($C362,"yyyymm")&amp;"-"&amp;TEXT(ROW()-4,"0000"))</f>
        <v/>
      </c>
      <c r="C362" s="33"/>
      <c r="D362" s="24"/>
      <c r="E362" s="30" t="str">
        <f aca="false">IF($D362="","",IFERROR(INDEX(合同单位,MATCH($D362,合同键,0)),IFERROR(TRIM(LEFT($D362,FIND("｜",$D362)-1)),$D362)))</f>
        <v/>
      </c>
      <c r="F362" s="30" t="str">
        <f aca="false">IF($D362="","",IFERROR(INDEX(合同项目,MATCH($D362,合同键,0)),IFERROR(TRIM(MID($D362,FIND("｜",$D362)+1,99)),"")))</f>
        <v/>
      </c>
      <c r="G362" s="24"/>
      <c r="H362" s="35" t="str">
        <f aca="false">IF($G362="","",IFERROR(INDEX(费用款别,MATCH($G362,费用类别表,0)),"合同外款"))</f>
        <v/>
      </c>
      <c r="I362" s="33"/>
      <c r="J362" s="33"/>
      <c r="K362" s="39"/>
      <c r="L362" s="33"/>
      <c r="M362" s="25"/>
      <c r="N362" s="39"/>
      <c r="O362" s="35" t="str">
        <f aca="false">IF($C362="","",IF(N($N362)&lt;=0,"未开票",IF(ROUND(N($N362)-N($K362),2)&gt;=0,"已开票",IFERROR("部分开票 "&amp;TEXT(N($N362)/N($K362),"0%"),"部分开票"))))</f>
        <v/>
      </c>
      <c r="P362" s="40" t="str">
        <f aca="false">IF($C362="","",ROUND($V362+MIN($W362,MAX(0,(SUMIF(收款键,$D362,收款金额)-SUMIFS(收款金额,收款键,$D362,收款关联,"&lt;&gt;"))-($X362-$W362))),2))</f>
        <v/>
      </c>
      <c r="Q362" s="41" t="str">
        <f aca="false">IF($C362="","",ROUND(N($K362)-N($P362),2))</f>
        <v/>
      </c>
      <c r="R362" s="29" t="str">
        <f aca="false">IF($C362="","",YEAR($C362))</f>
        <v/>
      </c>
      <c r="S362" s="24"/>
      <c r="T362" s="35" t="str">
        <f aca="false">IF($C362="","",IF($D362="","★没选客户项目",IF(COUNTIF(合同键,$D362)=0,"★《维保合同》里没这个项目",IF(N($K362)&lt;=0,"★应收金额要填",IF(ROUND(N($N362)-N($K362),2)&gt;0.001,"★开票金额大于应收",IF(AND($L362&lt;&gt;"",N($N362)&lt;=0),"★填了开票日期没填开票金额",IF(AND($I362&lt;&gt;"",$J362&lt;&gt;"",$J362&lt;$I362),"★计费期间起止反了","OK")))))))</f>
        <v/>
      </c>
      <c r="U362" s="29" t="str">
        <f aca="false">IF($L362="","",YEAR($L362))</f>
        <v/>
      </c>
      <c r="V362" s="40" t="str">
        <f aca="false">IF($C362="","",ROUND(SUMIF(收款关联,$B362,收款金额),2))</f>
        <v/>
      </c>
      <c r="W362" s="40" t="str">
        <f aca="false">IF($C362="","",MAX(0,ROUND(N($K362)-N($V362),2)))</f>
        <v/>
      </c>
      <c r="X362" s="40" t="str">
        <f aca="false">IF($C362="","",ROUND(SUMIFS(应收净额,应收键,$D362,应收行号,"&lt;="&amp;ROW()),2))</f>
        <v/>
      </c>
      <c r="Y362" s="29" t="str">
        <f aca="false">IF($C362="","",ROW())</f>
        <v/>
      </c>
    </row>
    <row r="363" customFormat="false" ht="15" hidden="false" customHeight="false" outlineLevel="0" collapsed="false">
      <c r="A363" s="29" t="str">
        <f aca="false">IF($C363="","",ROW()-4)</f>
        <v/>
      </c>
      <c r="B363" s="35" t="str">
        <f aca="false">IF($C363="","","YS"&amp;TEXT($C363,"yyyymm")&amp;"-"&amp;TEXT(ROW()-4,"0000"))</f>
        <v/>
      </c>
      <c r="C363" s="33"/>
      <c r="D363" s="24"/>
      <c r="E363" s="30" t="str">
        <f aca="false">IF($D363="","",IFERROR(INDEX(合同单位,MATCH($D363,合同键,0)),IFERROR(TRIM(LEFT($D363,FIND("｜",$D363)-1)),$D363)))</f>
        <v/>
      </c>
      <c r="F363" s="30" t="str">
        <f aca="false">IF($D363="","",IFERROR(INDEX(合同项目,MATCH($D363,合同键,0)),IFERROR(TRIM(MID($D363,FIND("｜",$D363)+1,99)),"")))</f>
        <v/>
      </c>
      <c r="G363" s="24"/>
      <c r="H363" s="35" t="str">
        <f aca="false">IF($G363="","",IFERROR(INDEX(费用款别,MATCH($G363,费用类别表,0)),"合同外款"))</f>
        <v/>
      </c>
      <c r="I363" s="33"/>
      <c r="J363" s="33"/>
      <c r="K363" s="39"/>
      <c r="L363" s="33"/>
      <c r="M363" s="25"/>
      <c r="N363" s="39"/>
      <c r="O363" s="35" t="str">
        <f aca="false">IF($C363="","",IF(N($N363)&lt;=0,"未开票",IF(ROUND(N($N363)-N($K363),2)&gt;=0,"已开票",IFERROR("部分开票 "&amp;TEXT(N($N363)/N($K363),"0%"),"部分开票"))))</f>
        <v/>
      </c>
      <c r="P363" s="40" t="str">
        <f aca="false">IF($C363="","",ROUND($V363+MIN($W363,MAX(0,(SUMIF(收款键,$D363,收款金额)-SUMIFS(收款金额,收款键,$D363,收款关联,"&lt;&gt;"))-($X363-$W363))),2))</f>
        <v/>
      </c>
      <c r="Q363" s="41" t="str">
        <f aca="false">IF($C363="","",ROUND(N($K363)-N($P363),2))</f>
        <v/>
      </c>
      <c r="R363" s="29" t="str">
        <f aca="false">IF($C363="","",YEAR($C363))</f>
        <v/>
      </c>
      <c r="S363" s="24"/>
      <c r="T363" s="35" t="str">
        <f aca="false">IF($C363="","",IF($D363="","★没选客户项目",IF(COUNTIF(合同键,$D363)=0,"★《维保合同》里没这个项目",IF(N($K363)&lt;=0,"★应收金额要填",IF(ROUND(N($N363)-N($K363),2)&gt;0.001,"★开票金额大于应收",IF(AND($L363&lt;&gt;"",N($N363)&lt;=0),"★填了开票日期没填开票金额",IF(AND($I363&lt;&gt;"",$J363&lt;&gt;"",$J363&lt;$I363),"★计费期间起止反了","OK")))))))</f>
        <v/>
      </c>
      <c r="U363" s="29" t="str">
        <f aca="false">IF($L363="","",YEAR($L363))</f>
        <v/>
      </c>
      <c r="V363" s="40" t="str">
        <f aca="false">IF($C363="","",ROUND(SUMIF(收款关联,$B363,收款金额),2))</f>
        <v/>
      </c>
      <c r="W363" s="40" t="str">
        <f aca="false">IF($C363="","",MAX(0,ROUND(N($K363)-N($V363),2)))</f>
        <v/>
      </c>
      <c r="X363" s="40" t="str">
        <f aca="false">IF($C363="","",ROUND(SUMIFS(应收净额,应收键,$D363,应收行号,"&lt;="&amp;ROW()),2))</f>
        <v/>
      </c>
      <c r="Y363" s="29" t="str">
        <f aca="false">IF($C363="","",ROW())</f>
        <v/>
      </c>
    </row>
    <row r="364" customFormat="false" ht="15" hidden="false" customHeight="false" outlineLevel="0" collapsed="false">
      <c r="A364" s="29" t="str">
        <f aca="false">IF($C364="","",ROW()-4)</f>
        <v/>
      </c>
      <c r="B364" s="35" t="str">
        <f aca="false">IF($C364="","","YS"&amp;TEXT($C364,"yyyymm")&amp;"-"&amp;TEXT(ROW()-4,"0000"))</f>
        <v/>
      </c>
      <c r="C364" s="33"/>
      <c r="D364" s="24"/>
      <c r="E364" s="30" t="str">
        <f aca="false">IF($D364="","",IFERROR(INDEX(合同单位,MATCH($D364,合同键,0)),IFERROR(TRIM(LEFT($D364,FIND("｜",$D364)-1)),$D364)))</f>
        <v/>
      </c>
      <c r="F364" s="30" t="str">
        <f aca="false">IF($D364="","",IFERROR(INDEX(合同项目,MATCH($D364,合同键,0)),IFERROR(TRIM(MID($D364,FIND("｜",$D364)+1,99)),"")))</f>
        <v/>
      </c>
      <c r="G364" s="24"/>
      <c r="H364" s="35" t="str">
        <f aca="false">IF($G364="","",IFERROR(INDEX(费用款别,MATCH($G364,费用类别表,0)),"合同外款"))</f>
        <v/>
      </c>
      <c r="I364" s="33"/>
      <c r="J364" s="33"/>
      <c r="K364" s="39"/>
      <c r="L364" s="33"/>
      <c r="M364" s="25"/>
      <c r="N364" s="39"/>
      <c r="O364" s="35" t="str">
        <f aca="false">IF($C364="","",IF(N($N364)&lt;=0,"未开票",IF(ROUND(N($N364)-N($K364),2)&gt;=0,"已开票",IFERROR("部分开票 "&amp;TEXT(N($N364)/N($K364),"0%"),"部分开票"))))</f>
        <v/>
      </c>
      <c r="P364" s="40" t="str">
        <f aca="false">IF($C364="","",ROUND($V364+MIN($W364,MAX(0,(SUMIF(收款键,$D364,收款金额)-SUMIFS(收款金额,收款键,$D364,收款关联,"&lt;&gt;"))-($X364-$W364))),2))</f>
        <v/>
      </c>
      <c r="Q364" s="41" t="str">
        <f aca="false">IF($C364="","",ROUND(N($K364)-N($P364),2))</f>
        <v/>
      </c>
      <c r="R364" s="29" t="str">
        <f aca="false">IF($C364="","",YEAR($C364))</f>
        <v/>
      </c>
      <c r="S364" s="24"/>
      <c r="T364" s="35" t="str">
        <f aca="false">IF($C364="","",IF($D364="","★没选客户项目",IF(COUNTIF(合同键,$D364)=0,"★《维保合同》里没这个项目",IF(N($K364)&lt;=0,"★应收金额要填",IF(ROUND(N($N364)-N($K364),2)&gt;0.001,"★开票金额大于应收",IF(AND($L364&lt;&gt;"",N($N364)&lt;=0),"★填了开票日期没填开票金额",IF(AND($I364&lt;&gt;"",$J364&lt;&gt;"",$J364&lt;$I364),"★计费期间起止反了","OK")))))))</f>
        <v/>
      </c>
      <c r="U364" s="29" t="str">
        <f aca="false">IF($L364="","",YEAR($L364))</f>
        <v/>
      </c>
      <c r="V364" s="40" t="str">
        <f aca="false">IF($C364="","",ROUND(SUMIF(收款关联,$B364,收款金额),2))</f>
        <v/>
      </c>
      <c r="W364" s="40" t="str">
        <f aca="false">IF($C364="","",MAX(0,ROUND(N($K364)-N($V364),2)))</f>
        <v/>
      </c>
      <c r="X364" s="40" t="str">
        <f aca="false">IF($C364="","",ROUND(SUMIFS(应收净额,应收键,$D364,应收行号,"&lt;="&amp;ROW()),2))</f>
        <v/>
      </c>
      <c r="Y364" s="29" t="str">
        <f aca="false">IF($C364="","",ROW())</f>
        <v/>
      </c>
    </row>
    <row r="365" customFormat="false" ht="15" hidden="false" customHeight="false" outlineLevel="0" collapsed="false">
      <c r="A365" s="29" t="str">
        <f aca="false">IF($C365="","",ROW()-4)</f>
        <v/>
      </c>
      <c r="B365" s="35" t="str">
        <f aca="false">IF($C365="","","YS"&amp;TEXT($C365,"yyyymm")&amp;"-"&amp;TEXT(ROW()-4,"0000"))</f>
        <v/>
      </c>
      <c r="C365" s="33"/>
      <c r="D365" s="24"/>
      <c r="E365" s="30" t="str">
        <f aca="false">IF($D365="","",IFERROR(INDEX(合同单位,MATCH($D365,合同键,0)),IFERROR(TRIM(LEFT($D365,FIND("｜",$D365)-1)),$D365)))</f>
        <v/>
      </c>
      <c r="F365" s="30" t="str">
        <f aca="false">IF($D365="","",IFERROR(INDEX(合同项目,MATCH($D365,合同键,0)),IFERROR(TRIM(MID($D365,FIND("｜",$D365)+1,99)),"")))</f>
        <v/>
      </c>
      <c r="G365" s="24"/>
      <c r="H365" s="35" t="str">
        <f aca="false">IF($G365="","",IFERROR(INDEX(费用款别,MATCH($G365,费用类别表,0)),"合同外款"))</f>
        <v/>
      </c>
      <c r="I365" s="33"/>
      <c r="J365" s="33"/>
      <c r="K365" s="39"/>
      <c r="L365" s="33"/>
      <c r="M365" s="25"/>
      <c r="N365" s="39"/>
      <c r="O365" s="35" t="str">
        <f aca="false">IF($C365="","",IF(N($N365)&lt;=0,"未开票",IF(ROUND(N($N365)-N($K365),2)&gt;=0,"已开票",IFERROR("部分开票 "&amp;TEXT(N($N365)/N($K365),"0%"),"部分开票"))))</f>
        <v/>
      </c>
      <c r="P365" s="40" t="str">
        <f aca="false">IF($C365="","",ROUND($V365+MIN($W365,MAX(0,(SUMIF(收款键,$D365,收款金额)-SUMIFS(收款金额,收款键,$D365,收款关联,"&lt;&gt;"))-($X365-$W365))),2))</f>
        <v/>
      </c>
      <c r="Q365" s="41" t="str">
        <f aca="false">IF($C365="","",ROUND(N($K365)-N($P365),2))</f>
        <v/>
      </c>
      <c r="R365" s="29" t="str">
        <f aca="false">IF($C365="","",YEAR($C365))</f>
        <v/>
      </c>
      <c r="S365" s="24"/>
      <c r="T365" s="35" t="str">
        <f aca="false">IF($C365="","",IF($D365="","★没选客户项目",IF(COUNTIF(合同键,$D365)=0,"★《维保合同》里没这个项目",IF(N($K365)&lt;=0,"★应收金额要填",IF(ROUND(N($N365)-N($K365),2)&gt;0.001,"★开票金额大于应收",IF(AND($L365&lt;&gt;"",N($N365)&lt;=0),"★填了开票日期没填开票金额",IF(AND($I365&lt;&gt;"",$J365&lt;&gt;"",$J365&lt;$I365),"★计费期间起止反了","OK")))))))</f>
        <v/>
      </c>
      <c r="U365" s="29" t="str">
        <f aca="false">IF($L365="","",YEAR($L365))</f>
        <v/>
      </c>
      <c r="V365" s="40" t="str">
        <f aca="false">IF($C365="","",ROUND(SUMIF(收款关联,$B365,收款金额),2))</f>
        <v/>
      </c>
      <c r="W365" s="40" t="str">
        <f aca="false">IF($C365="","",MAX(0,ROUND(N($K365)-N($V365),2)))</f>
        <v/>
      </c>
      <c r="X365" s="40" t="str">
        <f aca="false">IF($C365="","",ROUND(SUMIFS(应收净额,应收键,$D365,应收行号,"&lt;="&amp;ROW()),2))</f>
        <v/>
      </c>
      <c r="Y365" s="29" t="str">
        <f aca="false">IF($C365="","",ROW())</f>
        <v/>
      </c>
    </row>
    <row r="366" customFormat="false" ht="15" hidden="false" customHeight="false" outlineLevel="0" collapsed="false">
      <c r="A366" s="29" t="str">
        <f aca="false">IF($C366="","",ROW()-4)</f>
        <v/>
      </c>
      <c r="B366" s="35" t="str">
        <f aca="false">IF($C366="","","YS"&amp;TEXT($C366,"yyyymm")&amp;"-"&amp;TEXT(ROW()-4,"0000"))</f>
        <v/>
      </c>
      <c r="C366" s="33"/>
      <c r="D366" s="24"/>
      <c r="E366" s="30" t="str">
        <f aca="false">IF($D366="","",IFERROR(INDEX(合同单位,MATCH($D366,合同键,0)),IFERROR(TRIM(LEFT($D366,FIND("｜",$D366)-1)),$D366)))</f>
        <v/>
      </c>
      <c r="F366" s="30" t="str">
        <f aca="false">IF($D366="","",IFERROR(INDEX(合同项目,MATCH($D366,合同键,0)),IFERROR(TRIM(MID($D366,FIND("｜",$D366)+1,99)),"")))</f>
        <v/>
      </c>
      <c r="G366" s="24"/>
      <c r="H366" s="35" t="str">
        <f aca="false">IF($G366="","",IFERROR(INDEX(费用款别,MATCH($G366,费用类别表,0)),"合同外款"))</f>
        <v/>
      </c>
      <c r="I366" s="33"/>
      <c r="J366" s="33"/>
      <c r="K366" s="39"/>
      <c r="L366" s="33"/>
      <c r="M366" s="25"/>
      <c r="N366" s="39"/>
      <c r="O366" s="35" t="str">
        <f aca="false">IF($C366="","",IF(N($N366)&lt;=0,"未开票",IF(ROUND(N($N366)-N($K366),2)&gt;=0,"已开票",IFERROR("部分开票 "&amp;TEXT(N($N366)/N($K366),"0%"),"部分开票"))))</f>
        <v/>
      </c>
      <c r="P366" s="40" t="str">
        <f aca="false">IF($C366="","",ROUND($V366+MIN($W366,MAX(0,(SUMIF(收款键,$D366,收款金额)-SUMIFS(收款金额,收款键,$D366,收款关联,"&lt;&gt;"))-($X366-$W366))),2))</f>
        <v/>
      </c>
      <c r="Q366" s="41" t="str">
        <f aca="false">IF($C366="","",ROUND(N($K366)-N($P366),2))</f>
        <v/>
      </c>
      <c r="R366" s="29" t="str">
        <f aca="false">IF($C366="","",YEAR($C366))</f>
        <v/>
      </c>
      <c r="S366" s="24"/>
      <c r="T366" s="35" t="str">
        <f aca="false">IF($C366="","",IF($D366="","★没选客户项目",IF(COUNTIF(合同键,$D366)=0,"★《维保合同》里没这个项目",IF(N($K366)&lt;=0,"★应收金额要填",IF(ROUND(N($N366)-N($K366),2)&gt;0.001,"★开票金额大于应收",IF(AND($L366&lt;&gt;"",N($N366)&lt;=0),"★填了开票日期没填开票金额",IF(AND($I366&lt;&gt;"",$J366&lt;&gt;"",$J366&lt;$I366),"★计费期间起止反了","OK")))))))</f>
        <v/>
      </c>
      <c r="U366" s="29" t="str">
        <f aca="false">IF($L366="","",YEAR($L366))</f>
        <v/>
      </c>
      <c r="V366" s="40" t="str">
        <f aca="false">IF($C366="","",ROUND(SUMIF(收款关联,$B366,收款金额),2))</f>
        <v/>
      </c>
      <c r="W366" s="40" t="str">
        <f aca="false">IF($C366="","",MAX(0,ROUND(N($K366)-N($V366),2)))</f>
        <v/>
      </c>
      <c r="X366" s="40" t="str">
        <f aca="false">IF($C366="","",ROUND(SUMIFS(应收净额,应收键,$D366,应收行号,"&lt;="&amp;ROW()),2))</f>
        <v/>
      </c>
      <c r="Y366" s="29" t="str">
        <f aca="false">IF($C366="","",ROW())</f>
        <v/>
      </c>
    </row>
    <row r="367" customFormat="false" ht="15" hidden="false" customHeight="false" outlineLevel="0" collapsed="false">
      <c r="A367" s="29" t="str">
        <f aca="false">IF($C367="","",ROW()-4)</f>
        <v/>
      </c>
      <c r="B367" s="35" t="str">
        <f aca="false">IF($C367="","","YS"&amp;TEXT($C367,"yyyymm")&amp;"-"&amp;TEXT(ROW()-4,"0000"))</f>
        <v/>
      </c>
      <c r="C367" s="33"/>
      <c r="D367" s="24"/>
      <c r="E367" s="30" t="str">
        <f aca="false">IF($D367="","",IFERROR(INDEX(合同单位,MATCH($D367,合同键,0)),IFERROR(TRIM(LEFT($D367,FIND("｜",$D367)-1)),$D367)))</f>
        <v/>
      </c>
      <c r="F367" s="30" t="str">
        <f aca="false">IF($D367="","",IFERROR(INDEX(合同项目,MATCH($D367,合同键,0)),IFERROR(TRIM(MID($D367,FIND("｜",$D367)+1,99)),"")))</f>
        <v/>
      </c>
      <c r="G367" s="24"/>
      <c r="H367" s="35" t="str">
        <f aca="false">IF($G367="","",IFERROR(INDEX(费用款别,MATCH($G367,费用类别表,0)),"合同外款"))</f>
        <v/>
      </c>
      <c r="I367" s="33"/>
      <c r="J367" s="33"/>
      <c r="K367" s="39"/>
      <c r="L367" s="33"/>
      <c r="M367" s="25"/>
      <c r="N367" s="39"/>
      <c r="O367" s="35" t="str">
        <f aca="false">IF($C367="","",IF(N($N367)&lt;=0,"未开票",IF(ROUND(N($N367)-N($K367),2)&gt;=0,"已开票",IFERROR("部分开票 "&amp;TEXT(N($N367)/N($K367),"0%"),"部分开票"))))</f>
        <v/>
      </c>
      <c r="P367" s="40" t="str">
        <f aca="false">IF($C367="","",ROUND($V367+MIN($W367,MAX(0,(SUMIF(收款键,$D367,收款金额)-SUMIFS(收款金额,收款键,$D367,收款关联,"&lt;&gt;"))-($X367-$W367))),2))</f>
        <v/>
      </c>
      <c r="Q367" s="41" t="str">
        <f aca="false">IF($C367="","",ROUND(N($K367)-N($P367),2))</f>
        <v/>
      </c>
      <c r="R367" s="29" t="str">
        <f aca="false">IF($C367="","",YEAR($C367))</f>
        <v/>
      </c>
      <c r="S367" s="24"/>
      <c r="T367" s="35" t="str">
        <f aca="false">IF($C367="","",IF($D367="","★没选客户项目",IF(COUNTIF(合同键,$D367)=0,"★《维保合同》里没这个项目",IF(N($K367)&lt;=0,"★应收金额要填",IF(ROUND(N($N367)-N($K367),2)&gt;0.001,"★开票金额大于应收",IF(AND($L367&lt;&gt;"",N($N367)&lt;=0),"★填了开票日期没填开票金额",IF(AND($I367&lt;&gt;"",$J367&lt;&gt;"",$J367&lt;$I367),"★计费期间起止反了","OK")))))))</f>
        <v/>
      </c>
      <c r="U367" s="29" t="str">
        <f aca="false">IF($L367="","",YEAR($L367))</f>
        <v/>
      </c>
      <c r="V367" s="40" t="str">
        <f aca="false">IF($C367="","",ROUND(SUMIF(收款关联,$B367,收款金额),2))</f>
        <v/>
      </c>
      <c r="W367" s="40" t="str">
        <f aca="false">IF($C367="","",MAX(0,ROUND(N($K367)-N($V367),2)))</f>
        <v/>
      </c>
      <c r="X367" s="40" t="str">
        <f aca="false">IF($C367="","",ROUND(SUMIFS(应收净额,应收键,$D367,应收行号,"&lt;="&amp;ROW()),2))</f>
        <v/>
      </c>
      <c r="Y367" s="29" t="str">
        <f aca="false">IF($C367="","",ROW())</f>
        <v/>
      </c>
    </row>
    <row r="368" customFormat="false" ht="15" hidden="false" customHeight="false" outlineLevel="0" collapsed="false">
      <c r="A368" s="29" t="str">
        <f aca="false">IF($C368="","",ROW()-4)</f>
        <v/>
      </c>
      <c r="B368" s="35" t="str">
        <f aca="false">IF($C368="","","YS"&amp;TEXT($C368,"yyyymm")&amp;"-"&amp;TEXT(ROW()-4,"0000"))</f>
        <v/>
      </c>
      <c r="C368" s="33"/>
      <c r="D368" s="24"/>
      <c r="E368" s="30" t="str">
        <f aca="false">IF($D368="","",IFERROR(INDEX(合同单位,MATCH($D368,合同键,0)),IFERROR(TRIM(LEFT($D368,FIND("｜",$D368)-1)),$D368)))</f>
        <v/>
      </c>
      <c r="F368" s="30" t="str">
        <f aca="false">IF($D368="","",IFERROR(INDEX(合同项目,MATCH($D368,合同键,0)),IFERROR(TRIM(MID($D368,FIND("｜",$D368)+1,99)),"")))</f>
        <v/>
      </c>
      <c r="G368" s="24"/>
      <c r="H368" s="35" t="str">
        <f aca="false">IF($G368="","",IFERROR(INDEX(费用款别,MATCH($G368,费用类别表,0)),"合同外款"))</f>
        <v/>
      </c>
      <c r="I368" s="33"/>
      <c r="J368" s="33"/>
      <c r="K368" s="39"/>
      <c r="L368" s="33"/>
      <c r="M368" s="25"/>
      <c r="N368" s="39"/>
      <c r="O368" s="35" t="str">
        <f aca="false">IF($C368="","",IF(N($N368)&lt;=0,"未开票",IF(ROUND(N($N368)-N($K368),2)&gt;=0,"已开票",IFERROR("部分开票 "&amp;TEXT(N($N368)/N($K368),"0%"),"部分开票"))))</f>
        <v/>
      </c>
      <c r="P368" s="40" t="str">
        <f aca="false">IF($C368="","",ROUND($V368+MIN($W368,MAX(0,(SUMIF(收款键,$D368,收款金额)-SUMIFS(收款金额,收款键,$D368,收款关联,"&lt;&gt;"))-($X368-$W368))),2))</f>
        <v/>
      </c>
      <c r="Q368" s="41" t="str">
        <f aca="false">IF($C368="","",ROUND(N($K368)-N($P368),2))</f>
        <v/>
      </c>
      <c r="R368" s="29" t="str">
        <f aca="false">IF($C368="","",YEAR($C368))</f>
        <v/>
      </c>
      <c r="S368" s="24"/>
      <c r="T368" s="35" t="str">
        <f aca="false">IF($C368="","",IF($D368="","★没选客户项目",IF(COUNTIF(合同键,$D368)=0,"★《维保合同》里没这个项目",IF(N($K368)&lt;=0,"★应收金额要填",IF(ROUND(N($N368)-N($K368),2)&gt;0.001,"★开票金额大于应收",IF(AND($L368&lt;&gt;"",N($N368)&lt;=0),"★填了开票日期没填开票金额",IF(AND($I368&lt;&gt;"",$J368&lt;&gt;"",$J368&lt;$I368),"★计费期间起止反了","OK")))))))</f>
        <v/>
      </c>
      <c r="U368" s="29" t="str">
        <f aca="false">IF($L368="","",YEAR($L368))</f>
        <v/>
      </c>
      <c r="V368" s="40" t="str">
        <f aca="false">IF($C368="","",ROUND(SUMIF(收款关联,$B368,收款金额),2))</f>
        <v/>
      </c>
      <c r="W368" s="40" t="str">
        <f aca="false">IF($C368="","",MAX(0,ROUND(N($K368)-N($V368),2)))</f>
        <v/>
      </c>
      <c r="X368" s="40" t="str">
        <f aca="false">IF($C368="","",ROUND(SUMIFS(应收净额,应收键,$D368,应收行号,"&lt;="&amp;ROW()),2))</f>
        <v/>
      </c>
      <c r="Y368" s="29" t="str">
        <f aca="false">IF($C368="","",ROW())</f>
        <v/>
      </c>
    </row>
    <row r="369" customFormat="false" ht="15" hidden="false" customHeight="false" outlineLevel="0" collapsed="false">
      <c r="A369" s="29" t="str">
        <f aca="false">IF($C369="","",ROW()-4)</f>
        <v/>
      </c>
      <c r="B369" s="35" t="str">
        <f aca="false">IF($C369="","","YS"&amp;TEXT($C369,"yyyymm")&amp;"-"&amp;TEXT(ROW()-4,"0000"))</f>
        <v/>
      </c>
      <c r="C369" s="33"/>
      <c r="D369" s="24"/>
      <c r="E369" s="30" t="str">
        <f aca="false">IF($D369="","",IFERROR(INDEX(合同单位,MATCH($D369,合同键,0)),IFERROR(TRIM(LEFT($D369,FIND("｜",$D369)-1)),$D369)))</f>
        <v/>
      </c>
      <c r="F369" s="30" t="str">
        <f aca="false">IF($D369="","",IFERROR(INDEX(合同项目,MATCH($D369,合同键,0)),IFERROR(TRIM(MID($D369,FIND("｜",$D369)+1,99)),"")))</f>
        <v/>
      </c>
      <c r="G369" s="24"/>
      <c r="H369" s="35" t="str">
        <f aca="false">IF($G369="","",IFERROR(INDEX(费用款别,MATCH($G369,费用类别表,0)),"合同外款"))</f>
        <v/>
      </c>
      <c r="I369" s="33"/>
      <c r="J369" s="33"/>
      <c r="K369" s="39"/>
      <c r="L369" s="33"/>
      <c r="M369" s="25"/>
      <c r="N369" s="39"/>
      <c r="O369" s="35" t="str">
        <f aca="false">IF($C369="","",IF(N($N369)&lt;=0,"未开票",IF(ROUND(N($N369)-N($K369),2)&gt;=0,"已开票",IFERROR("部分开票 "&amp;TEXT(N($N369)/N($K369),"0%"),"部分开票"))))</f>
        <v/>
      </c>
      <c r="P369" s="40" t="str">
        <f aca="false">IF($C369="","",ROUND($V369+MIN($W369,MAX(0,(SUMIF(收款键,$D369,收款金额)-SUMIFS(收款金额,收款键,$D369,收款关联,"&lt;&gt;"))-($X369-$W369))),2))</f>
        <v/>
      </c>
      <c r="Q369" s="41" t="str">
        <f aca="false">IF($C369="","",ROUND(N($K369)-N($P369),2))</f>
        <v/>
      </c>
      <c r="R369" s="29" t="str">
        <f aca="false">IF($C369="","",YEAR($C369))</f>
        <v/>
      </c>
      <c r="S369" s="24"/>
      <c r="T369" s="35" t="str">
        <f aca="false">IF($C369="","",IF($D369="","★没选客户项目",IF(COUNTIF(合同键,$D369)=0,"★《维保合同》里没这个项目",IF(N($K369)&lt;=0,"★应收金额要填",IF(ROUND(N($N369)-N($K369),2)&gt;0.001,"★开票金额大于应收",IF(AND($L369&lt;&gt;"",N($N369)&lt;=0),"★填了开票日期没填开票金额",IF(AND($I369&lt;&gt;"",$J369&lt;&gt;"",$J369&lt;$I369),"★计费期间起止反了","OK")))))))</f>
        <v/>
      </c>
      <c r="U369" s="29" t="str">
        <f aca="false">IF($L369="","",YEAR($L369))</f>
        <v/>
      </c>
      <c r="V369" s="40" t="str">
        <f aca="false">IF($C369="","",ROUND(SUMIF(收款关联,$B369,收款金额),2))</f>
        <v/>
      </c>
      <c r="W369" s="40" t="str">
        <f aca="false">IF($C369="","",MAX(0,ROUND(N($K369)-N($V369),2)))</f>
        <v/>
      </c>
      <c r="X369" s="40" t="str">
        <f aca="false">IF($C369="","",ROUND(SUMIFS(应收净额,应收键,$D369,应收行号,"&lt;="&amp;ROW()),2))</f>
        <v/>
      </c>
      <c r="Y369" s="29" t="str">
        <f aca="false">IF($C369="","",ROW())</f>
        <v/>
      </c>
    </row>
    <row r="370" customFormat="false" ht="15" hidden="false" customHeight="false" outlineLevel="0" collapsed="false">
      <c r="A370" s="29" t="str">
        <f aca="false">IF($C370="","",ROW()-4)</f>
        <v/>
      </c>
      <c r="B370" s="35" t="str">
        <f aca="false">IF($C370="","","YS"&amp;TEXT($C370,"yyyymm")&amp;"-"&amp;TEXT(ROW()-4,"0000"))</f>
        <v/>
      </c>
      <c r="C370" s="33"/>
      <c r="D370" s="24"/>
      <c r="E370" s="30" t="str">
        <f aca="false">IF($D370="","",IFERROR(INDEX(合同单位,MATCH($D370,合同键,0)),IFERROR(TRIM(LEFT($D370,FIND("｜",$D370)-1)),$D370)))</f>
        <v/>
      </c>
      <c r="F370" s="30" t="str">
        <f aca="false">IF($D370="","",IFERROR(INDEX(合同项目,MATCH($D370,合同键,0)),IFERROR(TRIM(MID($D370,FIND("｜",$D370)+1,99)),"")))</f>
        <v/>
      </c>
      <c r="G370" s="24"/>
      <c r="H370" s="35" t="str">
        <f aca="false">IF($G370="","",IFERROR(INDEX(费用款别,MATCH($G370,费用类别表,0)),"合同外款"))</f>
        <v/>
      </c>
      <c r="I370" s="33"/>
      <c r="J370" s="33"/>
      <c r="K370" s="39"/>
      <c r="L370" s="33"/>
      <c r="M370" s="25"/>
      <c r="N370" s="39"/>
      <c r="O370" s="35" t="str">
        <f aca="false">IF($C370="","",IF(N($N370)&lt;=0,"未开票",IF(ROUND(N($N370)-N($K370),2)&gt;=0,"已开票",IFERROR("部分开票 "&amp;TEXT(N($N370)/N($K370),"0%"),"部分开票"))))</f>
        <v/>
      </c>
      <c r="P370" s="40" t="str">
        <f aca="false">IF($C370="","",ROUND($V370+MIN($W370,MAX(0,(SUMIF(收款键,$D370,收款金额)-SUMIFS(收款金额,收款键,$D370,收款关联,"&lt;&gt;"))-($X370-$W370))),2))</f>
        <v/>
      </c>
      <c r="Q370" s="41" t="str">
        <f aca="false">IF($C370="","",ROUND(N($K370)-N($P370),2))</f>
        <v/>
      </c>
      <c r="R370" s="29" t="str">
        <f aca="false">IF($C370="","",YEAR($C370))</f>
        <v/>
      </c>
      <c r="S370" s="24"/>
      <c r="T370" s="35" t="str">
        <f aca="false">IF($C370="","",IF($D370="","★没选客户项目",IF(COUNTIF(合同键,$D370)=0,"★《维保合同》里没这个项目",IF(N($K370)&lt;=0,"★应收金额要填",IF(ROUND(N($N370)-N($K370),2)&gt;0.001,"★开票金额大于应收",IF(AND($L370&lt;&gt;"",N($N370)&lt;=0),"★填了开票日期没填开票金额",IF(AND($I370&lt;&gt;"",$J370&lt;&gt;"",$J370&lt;$I370),"★计费期间起止反了","OK")))))))</f>
        <v/>
      </c>
      <c r="U370" s="29" t="str">
        <f aca="false">IF($L370="","",YEAR($L370))</f>
        <v/>
      </c>
      <c r="V370" s="40" t="str">
        <f aca="false">IF($C370="","",ROUND(SUMIF(收款关联,$B370,收款金额),2))</f>
        <v/>
      </c>
      <c r="W370" s="40" t="str">
        <f aca="false">IF($C370="","",MAX(0,ROUND(N($K370)-N($V370),2)))</f>
        <v/>
      </c>
      <c r="X370" s="40" t="str">
        <f aca="false">IF($C370="","",ROUND(SUMIFS(应收净额,应收键,$D370,应收行号,"&lt;="&amp;ROW()),2))</f>
        <v/>
      </c>
      <c r="Y370" s="29" t="str">
        <f aca="false">IF($C370="","",ROW())</f>
        <v/>
      </c>
    </row>
    <row r="371" customFormat="false" ht="15" hidden="false" customHeight="false" outlineLevel="0" collapsed="false">
      <c r="A371" s="29" t="str">
        <f aca="false">IF($C371="","",ROW()-4)</f>
        <v/>
      </c>
      <c r="B371" s="35" t="str">
        <f aca="false">IF($C371="","","YS"&amp;TEXT($C371,"yyyymm")&amp;"-"&amp;TEXT(ROW()-4,"0000"))</f>
        <v/>
      </c>
      <c r="C371" s="33"/>
      <c r="D371" s="24"/>
      <c r="E371" s="30" t="str">
        <f aca="false">IF($D371="","",IFERROR(INDEX(合同单位,MATCH($D371,合同键,0)),IFERROR(TRIM(LEFT($D371,FIND("｜",$D371)-1)),$D371)))</f>
        <v/>
      </c>
      <c r="F371" s="30" t="str">
        <f aca="false">IF($D371="","",IFERROR(INDEX(合同项目,MATCH($D371,合同键,0)),IFERROR(TRIM(MID($D371,FIND("｜",$D371)+1,99)),"")))</f>
        <v/>
      </c>
      <c r="G371" s="24"/>
      <c r="H371" s="35" t="str">
        <f aca="false">IF($G371="","",IFERROR(INDEX(费用款别,MATCH($G371,费用类别表,0)),"合同外款"))</f>
        <v/>
      </c>
      <c r="I371" s="33"/>
      <c r="J371" s="33"/>
      <c r="K371" s="39"/>
      <c r="L371" s="33"/>
      <c r="M371" s="25"/>
      <c r="N371" s="39"/>
      <c r="O371" s="35" t="str">
        <f aca="false">IF($C371="","",IF(N($N371)&lt;=0,"未开票",IF(ROUND(N($N371)-N($K371),2)&gt;=0,"已开票",IFERROR("部分开票 "&amp;TEXT(N($N371)/N($K371),"0%"),"部分开票"))))</f>
        <v/>
      </c>
      <c r="P371" s="40" t="str">
        <f aca="false">IF($C371="","",ROUND($V371+MIN($W371,MAX(0,(SUMIF(收款键,$D371,收款金额)-SUMIFS(收款金额,收款键,$D371,收款关联,"&lt;&gt;"))-($X371-$W371))),2))</f>
        <v/>
      </c>
      <c r="Q371" s="41" t="str">
        <f aca="false">IF($C371="","",ROUND(N($K371)-N($P371),2))</f>
        <v/>
      </c>
      <c r="R371" s="29" t="str">
        <f aca="false">IF($C371="","",YEAR($C371))</f>
        <v/>
      </c>
      <c r="S371" s="24"/>
      <c r="T371" s="35" t="str">
        <f aca="false">IF($C371="","",IF($D371="","★没选客户项目",IF(COUNTIF(合同键,$D371)=0,"★《维保合同》里没这个项目",IF(N($K371)&lt;=0,"★应收金额要填",IF(ROUND(N($N371)-N($K371),2)&gt;0.001,"★开票金额大于应收",IF(AND($L371&lt;&gt;"",N($N371)&lt;=0),"★填了开票日期没填开票金额",IF(AND($I371&lt;&gt;"",$J371&lt;&gt;"",$J371&lt;$I371),"★计费期间起止反了","OK")))))))</f>
        <v/>
      </c>
      <c r="U371" s="29" t="str">
        <f aca="false">IF($L371="","",YEAR($L371))</f>
        <v/>
      </c>
      <c r="V371" s="40" t="str">
        <f aca="false">IF($C371="","",ROUND(SUMIF(收款关联,$B371,收款金额),2))</f>
        <v/>
      </c>
      <c r="W371" s="40" t="str">
        <f aca="false">IF($C371="","",MAX(0,ROUND(N($K371)-N($V371),2)))</f>
        <v/>
      </c>
      <c r="X371" s="40" t="str">
        <f aca="false">IF($C371="","",ROUND(SUMIFS(应收净额,应收键,$D371,应收行号,"&lt;="&amp;ROW()),2))</f>
        <v/>
      </c>
      <c r="Y371" s="29" t="str">
        <f aca="false">IF($C371="","",ROW())</f>
        <v/>
      </c>
    </row>
    <row r="372" customFormat="false" ht="15" hidden="false" customHeight="false" outlineLevel="0" collapsed="false">
      <c r="A372" s="29" t="str">
        <f aca="false">IF($C372="","",ROW()-4)</f>
        <v/>
      </c>
      <c r="B372" s="35" t="str">
        <f aca="false">IF($C372="","","YS"&amp;TEXT($C372,"yyyymm")&amp;"-"&amp;TEXT(ROW()-4,"0000"))</f>
        <v/>
      </c>
      <c r="C372" s="33"/>
      <c r="D372" s="24"/>
      <c r="E372" s="30" t="str">
        <f aca="false">IF($D372="","",IFERROR(INDEX(合同单位,MATCH($D372,合同键,0)),IFERROR(TRIM(LEFT($D372,FIND("｜",$D372)-1)),$D372)))</f>
        <v/>
      </c>
      <c r="F372" s="30" t="str">
        <f aca="false">IF($D372="","",IFERROR(INDEX(合同项目,MATCH($D372,合同键,0)),IFERROR(TRIM(MID($D372,FIND("｜",$D372)+1,99)),"")))</f>
        <v/>
      </c>
      <c r="G372" s="24"/>
      <c r="H372" s="35" t="str">
        <f aca="false">IF($G372="","",IFERROR(INDEX(费用款别,MATCH($G372,费用类别表,0)),"合同外款"))</f>
        <v/>
      </c>
      <c r="I372" s="33"/>
      <c r="J372" s="33"/>
      <c r="K372" s="39"/>
      <c r="L372" s="33"/>
      <c r="M372" s="25"/>
      <c r="N372" s="39"/>
      <c r="O372" s="35" t="str">
        <f aca="false">IF($C372="","",IF(N($N372)&lt;=0,"未开票",IF(ROUND(N($N372)-N($K372),2)&gt;=0,"已开票",IFERROR("部分开票 "&amp;TEXT(N($N372)/N($K372),"0%"),"部分开票"))))</f>
        <v/>
      </c>
      <c r="P372" s="40" t="str">
        <f aca="false">IF($C372="","",ROUND($V372+MIN($W372,MAX(0,(SUMIF(收款键,$D372,收款金额)-SUMIFS(收款金额,收款键,$D372,收款关联,"&lt;&gt;"))-($X372-$W372))),2))</f>
        <v/>
      </c>
      <c r="Q372" s="41" t="str">
        <f aca="false">IF($C372="","",ROUND(N($K372)-N($P372),2))</f>
        <v/>
      </c>
      <c r="R372" s="29" t="str">
        <f aca="false">IF($C372="","",YEAR($C372))</f>
        <v/>
      </c>
      <c r="S372" s="24"/>
      <c r="T372" s="35" t="str">
        <f aca="false">IF($C372="","",IF($D372="","★没选客户项目",IF(COUNTIF(合同键,$D372)=0,"★《维保合同》里没这个项目",IF(N($K372)&lt;=0,"★应收金额要填",IF(ROUND(N($N372)-N($K372),2)&gt;0.001,"★开票金额大于应收",IF(AND($L372&lt;&gt;"",N($N372)&lt;=0),"★填了开票日期没填开票金额",IF(AND($I372&lt;&gt;"",$J372&lt;&gt;"",$J372&lt;$I372),"★计费期间起止反了","OK")))))))</f>
        <v/>
      </c>
      <c r="U372" s="29" t="str">
        <f aca="false">IF($L372="","",YEAR($L372))</f>
        <v/>
      </c>
      <c r="V372" s="40" t="str">
        <f aca="false">IF($C372="","",ROUND(SUMIF(收款关联,$B372,收款金额),2))</f>
        <v/>
      </c>
      <c r="W372" s="40" t="str">
        <f aca="false">IF($C372="","",MAX(0,ROUND(N($K372)-N($V372),2)))</f>
        <v/>
      </c>
      <c r="X372" s="40" t="str">
        <f aca="false">IF($C372="","",ROUND(SUMIFS(应收净额,应收键,$D372,应收行号,"&lt;="&amp;ROW()),2))</f>
        <v/>
      </c>
      <c r="Y372" s="29" t="str">
        <f aca="false">IF($C372="","",ROW())</f>
        <v/>
      </c>
    </row>
    <row r="373" customFormat="false" ht="15" hidden="false" customHeight="false" outlineLevel="0" collapsed="false">
      <c r="A373" s="29" t="str">
        <f aca="false">IF($C373="","",ROW()-4)</f>
        <v/>
      </c>
      <c r="B373" s="35" t="str">
        <f aca="false">IF($C373="","","YS"&amp;TEXT($C373,"yyyymm")&amp;"-"&amp;TEXT(ROW()-4,"0000"))</f>
        <v/>
      </c>
      <c r="C373" s="33"/>
      <c r="D373" s="24"/>
      <c r="E373" s="30" t="str">
        <f aca="false">IF($D373="","",IFERROR(INDEX(合同单位,MATCH($D373,合同键,0)),IFERROR(TRIM(LEFT($D373,FIND("｜",$D373)-1)),$D373)))</f>
        <v/>
      </c>
      <c r="F373" s="30" t="str">
        <f aca="false">IF($D373="","",IFERROR(INDEX(合同项目,MATCH($D373,合同键,0)),IFERROR(TRIM(MID($D373,FIND("｜",$D373)+1,99)),"")))</f>
        <v/>
      </c>
      <c r="G373" s="24"/>
      <c r="H373" s="35" t="str">
        <f aca="false">IF($G373="","",IFERROR(INDEX(费用款别,MATCH($G373,费用类别表,0)),"合同外款"))</f>
        <v/>
      </c>
      <c r="I373" s="33"/>
      <c r="J373" s="33"/>
      <c r="K373" s="39"/>
      <c r="L373" s="33"/>
      <c r="M373" s="25"/>
      <c r="N373" s="39"/>
      <c r="O373" s="35" t="str">
        <f aca="false">IF($C373="","",IF(N($N373)&lt;=0,"未开票",IF(ROUND(N($N373)-N($K373),2)&gt;=0,"已开票",IFERROR("部分开票 "&amp;TEXT(N($N373)/N($K373),"0%"),"部分开票"))))</f>
        <v/>
      </c>
      <c r="P373" s="40" t="str">
        <f aca="false">IF($C373="","",ROUND($V373+MIN($W373,MAX(0,(SUMIF(收款键,$D373,收款金额)-SUMIFS(收款金额,收款键,$D373,收款关联,"&lt;&gt;"))-($X373-$W373))),2))</f>
        <v/>
      </c>
      <c r="Q373" s="41" t="str">
        <f aca="false">IF($C373="","",ROUND(N($K373)-N($P373),2))</f>
        <v/>
      </c>
      <c r="R373" s="29" t="str">
        <f aca="false">IF($C373="","",YEAR($C373))</f>
        <v/>
      </c>
      <c r="S373" s="24"/>
      <c r="T373" s="35" t="str">
        <f aca="false">IF($C373="","",IF($D373="","★没选客户项目",IF(COUNTIF(合同键,$D373)=0,"★《维保合同》里没这个项目",IF(N($K373)&lt;=0,"★应收金额要填",IF(ROUND(N($N373)-N($K373),2)&gt;0.001,"★开票金额大于应收",IF(AND($L373&lt;&gt;"",N($N373)&lt;=0),"★填了开票日期没填开票金额",IF(AND($I373&lt;&gt;"",$J373&lt;&gt;"",$J373&lt;$I373),"★计费期间起止反了","OK")))))))</f>
        <v/>
      </c>
      <c r="U373" s="29" t="str">
        <f aca="false">IF($L373="","",YEAR($L373))</f>
        <v/>
      </c>
      <c r="V373" s="40" t="str">
        <f aca="false">IF($C373="","",ROUND(SUMIF(收款关联,$B373,收款金额),2))</f>
        <v/>
      </c>
      <c r="W373" s="40" t="str">
        <f aca="false">IF($C373="","",MAX(0,ROUND(N($K373)-N($V373),2)))</f>
        <v/>
      </c>
      <c r="X373" s="40" t="str">
        <f aca="false">IF($C373="","",ROUND(SUMIFS(应收净额,应收键,$D373,应收行号,"&lt;="&amp;ROW()),2))</f>
        <v/>
      </c>
      <c r="Y373" s="29" t="str">
        <f aca="false">IF($C373="","",ROW())</f>
        <v/>
      </c>
    </row>
    <row r="374" customFormat="false" ht="15" hidden="false" customHeight="false" outlineLevel="0" collapsed="false">
      <c r="A374" s="29" t="str">
        <f aca="false">IF($C374="","",ROW()-4)</f>
        <v/>
      </c>
      <c r="B374" s="35" t="str">
        <f aca="false">IF($C374="","","YS"&amp;TEXT($C374,"yyyymm")&amp;"-"&amp;TEXT(ROW()-4,"0000"))</f>
        <v/>
      </c>
      <c r="C374" s="33"/>
      <c r="D374" s="24"/>
      <c r="E374" s="30" t="str">
        <f aca="false">IF($D374="","",IFERROR(INDEX(合同单位,MATCH($D374,合同键,0)),IFERROR(TRIM(LEFT($D374,FIND("｜",$D374)-1)),$D374)))</f>
        <v/>
      </c>
      <c r="F374" s="30" t="str">
        <f aca="false">IF($D374="","",IFERROR(INDEX(合同项目,MATCH($D374,合同键,0)),IFERROR(TRIM(MID($D374,FIND("｜",$D374)+1,99)),"")))</f>
        <v/>
      </c>
      <c r="G374" s="24"/>
      <c r="H374" s="35" t="str">
        <f aca="false">IF($G374="","",IFERROR(INDEX(费用款别,MATCH($G374,费用类别表,0)),"合同外款"))</f>
        <v/>
      </c>
      <c r="I374" s="33"/>
      <c r="J374" s="33"/>
      <c r="K374" s="39"/>
      <c r="L374" s="33"/>
      <c r="M374" s="25"/>
      <c r="N374" s="39"/>
      <c r="O374" s="35" t="str">
        <f aca="false">IF($C374="","",IF(N($N374)&lt;=0,"未开票",IF(ROUND(N($N374)-N($K374),2)&gt;=0,"已开票",IFERROR("部分开票 "&amp;TEXT(N($N374)/N($K374),"0%"),"部分开票"))))</f>
        <v/>
      </c>
      <c r="P374" s="40" t="str">
        <f aca="false">IF($C374="","",ROUND($V374+MIN($W374,MAX(0,(SUMIF(收款键,$D374,收款金额)-SUMIFS(收款金额,收款键,$D374,收款关联,"&lt;&gt;"))-($X374-$W374))),2))</f>
        <v/>
      </c>
      <c r="Q374" s="41" t="str">
        <f aca="false">IF($C374="","",ROUND(N($K374)-N($P374),2))</f>
        <v/>
      </c>
      <c r="R374" s="29" t="str">
        <f aca="false">IF($C374="","",YEAR($C374))</f>
        <v/>
      </c>
      <c r="S374" s="24"/>
      <c r="T374" s="35" t="str">
        <f aca="false">IF($C374="","",IF($D374="","★没选客户项目",IF(COUNTIF(合同键,$D374)=0,"★《维保合同》里没这个项目",IF(N($K374)&lt;=0,"★应收金额要填",IF(ROUND(N($N374)-N($K374),2)&gt;0.001,"★开票金额大于应收",IF(AND($L374&lt;&gt;"",N($N374)&lt;=0),"★填了开票日期没填开票金额",IF(AND($I374&lt;&gt;"",$J374&lt;&gt;"",$J374&lt;$I374),"★计费期间起止反了","OK")))))))</f>
        <v/>
      </c>
      <c r="U374" s="29" t="str">
        <f aca="false">IF($L374="","",YEAR($L374))</f>
        <v/>
      </c>
      <c r="V374" s="40" t="str">
        <f aca="false">IF($C374="","",ROUND(SUMIF(收款关联,$B374,收款金额),2))</f>
        <v/>
      </c>
      <c r="W374" s="40" t="str">
        <f aca="false">IF($C374="","",MAX(0,ROUND(N($K374)-N($V374),2)))</f>
        <v/>
      </c>
      <c r="X374" s="40" t="str">
        <f aca="false">IF($C374="","",ROUND(SUMIFS(应收净额,应收键,$D374,应收行号,"&lt;="&amp;ROW()),2))</f>
        <v/>
      </c>
      <c r="Y374" s="29" t="str">
        <f aca="false">IF($C374="","",ROW())</f>
        <v/>
      </c>
    </row>
    <row r="375" customFormat="false" ht="15" hidden="false" customHeight="false" outlineLevel="0" collapsed="false">
      <c r="A375" s="29" t="str">
        <f aca="false">IF($C375="","",ROW()-4)</f>
        <v/>
      </c>
      <c r="B375" s="35" t="str">
        <f aca="false">IF($C375="","","YS"&amp;TEXT($C375,"yyyymm")&amp;"-"&amp;TEXT(ROW()-4,"0000"))</f>
        <v/>
      </c>
      <c r="C375" s="33"/>
      <c r="D375" s="24"/>
      <c r="E375" s="30" t="str">
        <f aca="false">IF($D375="","",IFERROR(INDEX(合同单位,MATCH($D375,合同键,0)),IFERROR(TRIM(LEFT($D375,FIND("｜",$D375)-1)),$D375)))</f>
        <v/>
      </c>
      <c r="F375" s="30" t="str">
        <f aca="false">IF($D375="","",IFERROR(INDEX(合同项目,MATCH($D375,合同键,0)),IFERROR(TRIM(MID($D375,FIND("｜",$D375)+1,99)),"")))</f>
        <v/>
      </c>
      <c r="G375" s="24"/>
      <c r="H375" s="35" t="str">
        <f aca="false">IF($G375="","",IFERROR(INDEX(费用款别,MATCH($G375,费用类别表,0)),"合同外款"))</f>
        <v/>
      </c>
      <c r="I375" s="33"/>
      <c r="J375" s="33"/>
      <c r="K375" s="39"/>
      <c r="L375" s="33"/>
      <c r="M375" s="25"/>
      <c r="N375" s="39"/>
      <c r="O375" s="35" t="str">
        <f aca="false">IF($C375="","",IF(N($N375)&lt;=0,"未开票",IF(ROUND(N($N375)-N($K375),2)&gt;=0,"已开票",IFERROR("部分开票 "&amp;TEXT(N($N375)/N($K375),"0%"),"部分开票"))))</f>
        <v/>
      </c>
      <c r="P375" s="40" t="str">
        <f aca="false">IF($C375="","",ROUND($V375+MIN($W375,MAX(0,(SUMIF(收款键,$D375,收款金额)-SUMIFS(收款金额,收款键,$D375,收款关联,"&lt;&gt;"))-($X375-$W375))),2))</f>
        <v/>
      </c>
      <c r="Q375" s="41" t="str">
        <f aca="false">IF($C375="","",ROUND(N($K375)-N($P375),2))</f>
        <v/>
      </c>
      <c r="R375" s="29" t="str">
        <f aca="false">IF($C375="","",YEAR($C375))</f>
        <v/>
      </c>
      <c r="S375" s="24"/>
      <c r="T375" s="35" t="str">
        <f aca="false">IF($C375="","",IF($D375="","★没选客户项目",IF(COUNTIF(合同键,$D375)=0,"★《维保合同》里没这个项目",IF(N($K375)&lt;=0,"★应收金额要填",IF(ROUND(N($N375)-N($K375),2)&gt;0.001,"★开票金额大于应收",IF(AND($L375&lt;&gt;"",N($N375)&lt;=0),"★填了开票日期没填开票金额",IF(AND($I375&lt;&gt;"",$J375&lt;&gt;"",$J375&lt;$I375),"★计费期间起止反了","OK")))))))</f>
        <v/>
      </c>
      <c r="U375" s="29" t="str">
        <f aca="false">IF($L375="","",YEAR($L375))</f>
        <v/>
      </c>
      <c r="V375" s="40" t="str">
        <f aca="false">IF($C375="","",ROUND(SUMIF(收款关联,$B375,收款金额),2))</f>
        <v/>
      </c>
      <c r="W375" s="40" t="str">
        <f aca="false">IF($C375="","",MAX(0,ROUND(N($K375)-N($V375),2)))</f>
        <v/>
      </c>
      <c r="X375" s="40" t="str">
        <f aca="false">IF($C375="","",ROUND(SUMIFS(应收净额,应收键,$D375,应收行号,"&lt;="&amp;ROW()),2))</f>
        <v/>
      </c>
      <c r="Y375" s="29" t="str">
        <f aca="false">IF($C375="","",ROW())</f>
        <v/>
      </c>
    </row>
    <row r="376" customFormat="false" ht="15" hidden="false" customHeight="false" outlineLevel="0" collapsed="false">
      <c r="A376" s="29" t="str">
        <f aca="false">IF($C376="","",ROW()-4)</f>
        <v/>
      </c>
      <c r="B376" s="35" t="str">
        <f aca="false">IF($C376="","","YS"&amp;TEXT($C376,"yyyymm")&amp;"-"&amp;TEXT(ROW()-4,"0000"))</f>
        <v/>
      </c>
      <c r="C376" s="33"/>
      <c r="D376" s="24"/>
      <c r="E376" s="30" t="str">
        <f aca="false">IF($D376="","",IFERROR(INDEX(合同单位,MATCH($D376,合同键,0)),IFERROR(TRIM(LEFT($D376,FIND("｜",$D376)-1)),$D376)))</f>
        <v/>
      </c>
      <c r="F376" s="30" t="str">
        <f aca="false">IF($D376="","",IFERROR(INDEX(合同项目,MATCH($D376,合同键,0)),IFERROR(TRIM(MID($D376,FIND("｜",$D376)+1,99)),"")))</f>
        <v/>
      </c>
      <c r="G376" s="24"/>
      <c r="H376" s="35" t="str">
        <f aca="false">IF($G376="","",IFERROR(INDEX(费用款别,MATCH($G376,费用类别表,0)),"合同外款"))</f>
        <v/>
      </c>
      <c r="I376" s="33"/>
      <c r="J376" s="33"/>
      <c r="K376" s="39"/>
      <c r="L376" s="33"/>
      <c r="M376" s="25"/>
      <c r="N376" s="39"/>
      <c r="O376" s="35" t="str">
        <f aca="false">IF($C376="","",IF(N($N376)&lt;=0,"未开票",IF(ROUND(N($N376)-N($K376),2)&gt;=0,"已开票",IFERROR("部分开票 "&amp;TEXT(N($N376)/N($K376),"0%"),"部分开票"))))</f>
        <v/>
      </c>
      <c r="P376" s="40" t="str">
        <f aca="false">IF($C376="","",ROUND($V376+MIN($W376,MAX(0,(SUMIF(收款键,$D376,收款金额)-SUMIFS(收款金额,收款键,$D376,收款关联,"&lt;&gt;"))-($X376-$W376))),2))</f>
        <v/>
      </c>
      <c r="Q376" s="41" t="str">
        <f aca="false">IF($C376="","",ROUND(N($K376)-N($P376),2))</f>
        <v/>
      </c>
      <c r="R376" s="29" t="str">
        <f aca="false">IF($C376="","",YEAR($C376))</f>
        <v/>
      </c>
      <c r="S376" s="24"/>
      <c r="T376" s="35" t="str">
        <f aca="false">IF($C376="","",IF($D376="","★没选客户项目",IF(COUNTIF(合同键,$D376)=0,"★《维保合同》里没这个项目",IF(N($K376)&lt;=0,"★应收金额要填",IF(ROUND(N($N376)-N($K376),2)&gt;0.001,"★开票金额大于应收",IF(AND($L376&lt;&gt;"",N($N376)&lt;=0),"★填了开票日期没填开票金额",IF(AND($I376&lt;&gt;"",$J376&lt;&gt;"",$J376&lt;$I376),"★计费期间起止反了","OK")))))))</f>
        <v/>
      </c>
      <c r="U376" s="29" t="str">
        <f aca="false">IF($L376="","",YEAR($L376))</f>
        <v/>
      </c>
      <c r="V376" s="40" t="str">
        <f aca="false">IF($C376="","",ROUND(SUMIF(收款关联,$B376,收款金额),2))</f>
        <v/>
      </c>
      <c r="W376" s="40" t="str">
        <f aca="false">IF($C376="","",MAX(0,ROUND(N($K376)-N($V376),2)))</f>
        <v/>
      </c>
      <c r="X376" s="40" t="str">
        <f aca="false">IF($C376="","",ROUND(SUMIFS(应收净额,应收键,$D376,应收行号,"&lt;="&amp;ROW()),2))</f>
        <v/>
      </c>
      <c r="Y376" s="29" t="str">
        <f aca="false">IF($C376="","",ROW())</f>
        <v/>
      </c>
    </row>
    <row r="377" customFormat="false" ht="15" hidden="false" customHeight="false" outlineLevel="0" collapsed="false">
      <c r="A377" s="29" t="str">
        <f aca="false">IF($C377="","",ROW()-4)</f>
        <v/>
      </c>
      <c r="B377" s="35" t="str">
        <f aca="false">IF($C377="","","YS"&amp;TEXT($C377,"yyyymm")&amp;"-"&amp;TEXT(ROW()-4,"0000"))</f>
        <v/>
      </c>
      <c r="C377" s="33"/>
      <c r="D377" s="24"/>
      <c r="E377" s="30" t="str">
        <f aca="false">IF($D377="","",IFERROR(INDEX(合同单位,MATCH($D377,合同键,0)),IFERROR(TRIM(LEFT($D377,FIND("｜",$D377)-1)),$D377)))</f>
        <v/>
      </c>
      <c r="F377" s="30" t="str">
        <f aca="false">IF($D377="","",IFERROR(INDEX(合同项目,MATCH($D377,合同键,0)),IFERROR(TRIM(MID($D377,FIND("｜",$D377)+1,99)),"")))</f>
        <v/>
      </c>
      <c r="G377" s="24"/>
      <c r="H377" s="35" t="str">
        <f aca="false">IF($G377="","",IFERROR(INDEX(费用款别,MATCH($G377,费用类别表,0)),"合同外款"))</f>
        <v/>
      </c>
      <c r="I377" s="33"/>
      <c r="J377" s="33"/>
      <c r="K377" s="39"/>
      <c r="L377" s="33"/>
      <c r="M377" s="25"/>
      <c r="N377" s="39"/>
      <c r="O377" s="35" t="str">
        <f aca="false">IF($C377="","",IF(N($N377)&lt;=0,"未开票",IF(ROUND(N($N377)-N($K377),2)&gt;=0,"已开票",IFERROR("部分开票 "&amp;TEXT(N($N377)/N($K377),"0%"),"部分开票"))))</f>
        <v/>
      </c>
      <c r="P377" s="40" t="str">
        <f aca="false">IF($C377="","",ROUND($V377+MIN($W377,MAX(0,(SUMIF(收款键,$D377,收款金额)-SUMIFS(收款金额,收款键,$D377,收款关联,"&lt;&gt;"))-($X377-$W377))),2))</f>
        <v/>
      </c>
      <c r="Q377" s="41" t="str">
        <f aca="false">IF($C377="","",ROUND(N($K377)-N($P377),2))</f>
        <v/>
      </c>
      <c r="R377" s="29" t="str">
        <f aca="false">IF($C377="","",YEAR($C377))</f>
        <v/>
      </c>
      <c r="S377" s="24"/>
      <c r="T377" s="35" t="str">
        <f aca="false">IF($C377="","",IF($D377="","★没选客户项目",IF(COUNTIF(合同键,$D377)=0,"★《维保合同》里没这个项目",IF(N($K377)&lt;=0,"★应收金额要填",IF(ROUND(N($N377)-N($K377),2)&gt;0.001,"★开票金额大于应收",IF(AND($L377&lt;&gt;"",N($N377)&lt;=0),"★填了开票日期没填开票金额",IF(AND($I377&lt;&gt;"",$J377&lt;&gt;"",$J377&lt;$I377),"★计费期间起止反了","OK")))))))</f>
        <v/>
      </c>
      <c r="U377" s="29" t="str">
        <f aca="false">IF($L377="","",YEAR($L377))</f>
        <v/>
      </c>
      <c r="V377" s="40" t="str">
        <f aca="false">IF($C377="","",ROUND(SUMIF(收款关联,$B377,收款金额),2))</f>
        <v/>
      </c>
      <c r="W377" s="40" t="str">
        <f aca="false">IF($C377="","",MAX(0,ROUND(N($K377)-N($V377),2)))</f>
        <v/>
      </c>
      <c r="X377" s="40" t="str">
        <f aca="false">IF($C377="","",ROUND(SUMIFS(应收净额,应收键,$D377,应收行号,"&lt;="&amp;ROW()),2))</f>
        <v/>
      </c>
      <c r="Y377" s="29" t="str">
        <f aca="false">IF($C377="","",ROW())</f>
        <v/>
      </c>
    </row>
    <row r="378" customFormat="false" ht="15" hidden="false" customHeight="false" outlineLevel="0" collapsed="false">
      <c r="A378" s="29" t="str">
        <f aca="false">IF($C378="","",ROW()-4)</f>
        <v/>
      </c>
      <c r="B378" s="35" t="str">
        <f aca="false">IF($C378="","","YS"&amp;TEXT($C378,"yyyymm")&amp;"-"&amp;TEXT(ROW()-4,"0000"))</f>
        <v/>
      </c>
      <c r="C378" s="33"/>
      <c r="D378" s="24"/>
      <c r="E378" s="30" t="str">
        <f aca="false">IF($D378="","",IFERROR(INDEX(合同单位,MATCH($D378,合同键,0)),IFERROR(TRIM(LEFT($D378,FIND("｜",$D378)-1)),$D378)))</f>
        <v/>
      </c>
      <c r="F378" s="30" t="str">
        <f aca="false">IF($D378="","",IFERROR(INDEX(合同项目,MATCH($D378,合同键,0)),IFERROR(TRIM(MID($D378,FIND("｜",$D378)+1,99)),"")))</f>
        <v/>
      </c>
      <c r="G378" s="24"/>
      <c r="H378" s="35" t="str">
        <f aca="false">IF($G378="","",IFERROR(INDEX(费用款别,MATCH($G378,费用类别表,0)),"合同外款"))</f>
        <v/>
      </c>
      <c r="I378" s="33"/>
      <c r="J378" s="33"/>
      <c r="K378" s="39"/>
      <c r="L378" s="33"/>
      <c r="M378" s="25"/>
      <c r="N378" s="39"/>
      <c r="O378" s="35" t="str">
        <f aca="false">IF($C378="","",IF(N($N378)&lt;=0,"未开票",IF(ROUND(N($N378)-N($K378),2)&gt;=0,"已开票",IFERROR("部分开票 "&amp;TEXT(N($N378)/N($K378),"0%"),"部分开票"))))</f>
        <v/>
      </c>
      <c r="P378" s="40" t="str">
        <f aca="false">IF($C378="","",ROUND($V378+MIN($W378,MAX(0,(SUMIF(收款键,$D378,收款金额)-SUMIFS(收款金额,收款键,$D378,收款关联,"&lt;&gt;"))-($X378-$W378))),2))</f>
        <v/>
      </c>
      <c r="Q378" s="41" t="str">
        <f aca="false">IF($C378="","",ROUND(N($K378)-N($P378),2))</f>
        <v/>
      </c>
      <c r="R378" s="29" t="str">
        <f aca="false">IF($C378="","",YEAR($C378))</f>
        <v/>
      </c>
      <c r="S378" s="24"/>
      <c r="T378" s="35" t="str">
        <f aca="false">IF($C378="","",IF($D378="","★没选客户项目",IF(COUNTIF(合同键,$D378)=0,"★《维保合同》里没这个项目",IF(N($K378)&lt;=0,"★应收金额要填",IF(ROUND(N($N378)-N($K378),2)&gt;0.001,"★开票金额大于应收",IF(AND($L378&lt;&gt;"",N($N378)&lt;=0),"★填了开票日期没填开票金额",IF(AND($I378&lt;&gt;"",$J378&lt;&gt;"",$J378&lt;$I378),"★计费期间起止反了","OK")))))))</f>
        <v/>
      </c>
      <c r="U378" s="29" t="str">
        <f aca="false">IF($L378="","",YEAR($L378))</f>
        <v/>
      </c>
      <c r="V378" s="40" t="str">
        <f aca="false">IF($C378="","",ROUND(SUMIF(收款关联,$B378,收款金额),2))</f>
        <v/>
      </c>
      <c r="W378" s="40" t="str">
        <f aca="false">IF($C378="","",MAX(0,ROUND(N($K378)-N($V378),2)))</f>
        <v/>
      </c>
      <c r="X378" s="40" t="str">
        <f aca="false">IF($C378="","",ROUND(SUMIFS(应收净额,应收键,$D378,应收行号,"&lt;="&amp;ROW()),2))</f>
        <v/>
      </c>
      <c r="Y378" s="29" t="str">
        <f aca="false">IF($C378="","",ROW())</f>
        <v/>
      </c>
    </row>
    <row r="379" customFormat="false" ht="15" hidden="false" customHeight="false" outlineLevel="0" collapsed="false">
      <c r="A379" s="29" t="str">
        <f aca="false">IF($C379="","",ROW()-4)</f>
        <v/>
      </c>
      <c r="B379" s="35" t="str">
        <f aca="false">IF($C379="","","YS"&amp;TEXT($C379,"yyyymm")&amp;"-"&amp;TEXT(ROW()-4,"0000"))</f>
        <v/>
      </c>
      <c r="C379" s="33"/>
      <c r="D379" s="24"/>
      <c r="E379" s="30" t="str">
        <f aca="false">IF($D379="","",IFERROR(INDEX(合同单位,MATCH($D379,合同键,0)),IFERROR(TRIM(LEFT($D379,FIND("｜",$D379)-1)),$D379)))</f>
        <v/>
      </c>
      <c r="F379" s="30" t="str">
        <f aca="false">IF($D379="","",IFERROR(INDEX(合同项目,MATCH($D379,合同键,0)),IFERROR(TRIM(MID($D379,FIND("｜",$D379)+1,99)),"")))</f>
        <v/>
      </c>
      <c r="G379" s="24"/>
      <c r="H379" s="35" t="str">
        <f aca="false">IF($G379="","",IFERROR(INDEX(费用款别,MATCH($G379,费用类别表,0)),"合同外款"))</f>
        <v/>
      </c>
      <c r="I379" s="33"/>
      <c r="J379" s="33"/>
      <c r="K379" s="39"/>
      <c r="L379" s="33"/>
      <c r="M379" s="25"/>
      <c r="N379" s="39"/>
      <c r="O379" s="35" t="str">
        <f aca="false">IF($C379="","",IF(N($N379)&lt;=0,"未开票",IF(ROUND(N($N379)-N($K379),2)&gt;=0,"已开票",IFERROR("部分开票 "&amp;TEXT(N($N379)/N($K379),"0%"),"部分开票"))))</f>
        <v/>
      </c>
      <c r="P379" s="40" t="str">
        <f aca="false">IF($C379="","",ROUND($V379+MIN($W379,MAX(0,(SUMIF(收款键,$D379,收款金额)-SUMIFS(收款金额,收款键,$D379,收款关联,"&lt;&gt;"))-($X379-$W379))),2))</f>
        <v/>
      </c>
      <c r="Q379" s="41" t="str">
        <f aca="false">IF($C379="","",ROUND(N($K379)-N($P379),2))</f>
        <v/>
      </c>
      <c r="R379" s="29" t="str">
        <f aca="false">IF($C379="","",YEAR($C379))</f>
        <v/>
      </c>
      <c r="S379" s="24"/>
      <c r="T379" s="35" t="str">
        <f aca="false">IF($C379="","",IF($D379="","★没选客户项目",IF(COUNTIF(合同键,$D379)=0,"★《维保合同》里没这个项目",IF(N($K379)&lt;=0,"★应收金额要填",IF(ROUND(N($N379)-N($K379),2)&gt;0.001,"★开票金额大于应收",IF(AND($L379&lt;&gt;"",N($N379)&lt;=0),"★填了开票日期没填开票金额",IF(AND($I379&lt;&gt;"",$J379&lt;&gt;"",$J379&lt;$I379),"★计费期间起止反了","OK")))))))</f>
        <v/>
      </c>
      <c r="U379" s="29" t="str">
        <f aca="false">IF($L379="","",YEAR($L379))</f>
        <v/>
      </c>
      <c r="V379" s="40" t="str">
        <f aca="false">IF($C379="","",ROUND(SUMIF(收款关联,$B379,收款金额),2))</f>
        <v/>
      </c>
      <c r="W379" s="40" t="str">
        <f aca="false">IF($C379="","",MAX(0,ROUND(N($K379)-N($V379),2)))</f>
        <v/>
      </c>
      <c r="X379" s="40" t="str">
        <f aca="false">IF($C379="","",ROUND(SUMIFS(应收净额,应收键,$D379,应收行号,"&lt;="&amp;ROW()),2))</f>
        <v/>
      </c>
      <c r="Y379" s="29" t="str">
        <f aca="false">IF($C379="","",ROW())</f>
        <v/>
      </c>
    </row>
    <row r="380" customFormat="false" ht="15" hidden="false" customHeight="false" outlineLevel="0" collapsed="false">
      <c r="A380" s="29" t="str">
        <f aca="false">IF($C380="","",ROW()-4)</f>
        <v/>
      </c>
      <c r="B380" s="35" t="str">
        <f aca="false">IF($C380="","","YS"&amp;TEXT($C380,"yyyymm")&amp;"-"&amp;TEXT(ROW()-4,"0000"))</f>
        <v/>
      </c>
      <c r="C380" s="33"/>
      <c r="D380" s="24"/>
      <c r="E380" s="30" t="str">
        <f aca="false">IF($D380="","",IFERROR(INDEX(合同单位,MATCH($D380,合同键,0)),IFERROR(TRIM(LEFT($D380,FIND("｜",$D380)-1)),$D380)))</f>
        <v/>
      </c>
      <c r="F380" s="30" t="str">
        <f aca="false">IF($D380="","",IFERROR(INDEX(合同项目,MATCH($D380,合同键,0)),IFERROR(TRIM(MID($D380,FIND("｜",$D380)+1,99)),"")))</f>
        <v/>
      </c>
      <c r="G380" s="24"/>
      <c r="H380" s="35" t="str">
        <f aca="false">IF($G380="","",IFERROR(INDEX(费用款别,MATCH($G380,费用类别表,0)),"合同外款"))</f>
        <v/>
      </c>
      <c r="I380" s="33"/>
      <c r="J380" s="33"/>
      <c r="K380" s="39"/>
      <c r="L380" s="33"/>
      <c r="M380" s="25"/>
      <c r="N380" s="39"/>
      <c r="O380" s="35" t="str">
        <f aca="false">IF($C380="","",IF(N($N380)&lt;=0,"未开票",IF(ROUND(N($N380)-N($K380),2)&gt;=0,"已开票",IFERROR("部分开票 "&amp;TEXT(N($N380)/N($K380),"0%"),"部分开票"))))</f>
        <v/>
      </c>
      <c r="P380" s="40" t="str">
        <f aca="false">IF($C380="","",ROUND($V380+MIN($W380,MAX(0,(SUMIF(收款键,$D380,收款金额)-SUMIFS(收款金额,收款键,$D380,收款关联,"&lt;&gt;"))-($X380-$W380))),2))</f>
        <v/>
      </c>
      <c r="Q380" s="41" t="str">
        <f aca="false">IF($C380="","",ROUND(N($K380)-N($P380),2))</f>
        <v/>
      </c>
      <c r="R380" s="29" t="str">
        <f aca="false">IF($C380="","",YEAR($C380))</f>
        <v/>
      </c>
      <c r="S380" s="24"/>
      <c r="T380" s="35" t="str">
        <f aca="false">IF($C380="","",IF($D380="","★没选客户项目",IF(COUNTIF(合同键,$D380)=0,"★《维保合同》里没这个项目",IF(N($K380)&lt;=0,"★应收金额要填",IF(ROUND(N($N380)-N($K380),2)&gt;0.001,"★开票金额大于应收",IF(AND($L380&lt;&gt;"",N($N380)&lt;=0),"★填了开票日期没填开票金额",IF(AND($I380&lt;&gt;"",$J380&lt;&gt;"",$J380&lt;$I380),"★计费期间起止反了","OK")))))))</f>
        <v/>
      </c>
      <c r="U380" s="29" t="str">
        <f aca="false">IF($L380="","",YEAR($L380))</f>
        <v/>
      </c>
      <c r="V380" s="40" t="str">
        <f aca="false">IF($C380="","",ROUND(SUMIF(收款关联,$B380,收款金额),2))</f>
        <v/>
      </c>
      <c r="W380" s="40" t="str">
        <f aca="false">IF($C380="","",MAX(0,ROUND(N($K380)-N($V380),2)))</f>
        <v/>
      </c>
      <c r="X380" s="40" t="str">
        <f aca="false">IF($C380="","",ROUND(SUMIFS(应收净额,应收键,$D380,应收行号,"&lt;="&amp;ROW()),2))</f>
        <v/>
      </c>
      <c r="Y380" s="29" t="str">
        <f aca="false">IF($C380="","",ROW())</f>
        <v/>
      </c>
    </row>
    <row r="381" customFormat="false" ht="15" hidden="false" customHeight="false" outlineLevel="0" collapsed="false">
      <c r="A381" s="29" t="str">
        <f aca="false">IF($C381="","",ROW()-4)</f>
        <v/>
      </c>
      <c r="B381" s="35" t="str">
        <f aca="false">IF($C381="","","YS"&amp;TEXT($C381,"yyyymm")&amp;"-"&amp;TEXT(ROW()-4,"0000"))</f>
        <v/>
      </c>
      <c r="C381" s="33"/>
      <c r="D381" s="24"/>
      <c r="E381" s="30" t="str">
        <f aca="false">IF($D381="","",IFERROR(INDEX(合同单位,MATCH($D381,合同键,0)),IFERROR(TRIM(LEFT($D381,FIND("｜",$D381)-1)),$D381)))</f>
        <v/>
      </c>
      <c r="F381" s="30" t="str">
        <f aca="false">IF($D381="","",IFERROR(INDEX(合同项目,MATCH($D381,合同键,0)),IFERROR(TRIM(MID($D381,FIND("｜",$D381)+1,99)),"")))</f>
        <v/>
      </c>
      <c r="G381" s="24"/>
      <c r="H381" s="35" t="str">
        <f aca="false">IF($G381="","",IFERROR(INDEX(费用款别,MATCH($G381,费用类别表,0)),"合同外款"))</f>
        <v/>
      </c>
      <c r="I381" s="33"/>
      <c r="J381" s="33"/>
      <c r="K381" s="39"/>
      <c r="L381" s="33"/>
      <c r="M381" s="25"/>
      <c r="N381" s="39"/>
      <c r="O381" s="35" t="str">
        <f aca="false">IF($C381="","",IF(N($N381)&lt;=0,"未开票",IF(ROUND(N($N381)-N($K381),2)&gt;=0,"已开票",IFERROR("部分开票 "&amp;TEXT(N($N381)/N($K381),"0%"),"部分开票"))))</f>
        <v/>
      </c>
      <c r="P381" s="40" t="str">
        <f aca="false">IF($C381="","",ROUND($V381+MIN($W381,MAX(0,(SUMIF(收款键,$D381,收款金额)-SUMIFS(收款金额,收款键,$D381,收款关联,"&lt;&gt;"))-($X381-$W381))),2))</f>
        <v/>
      </c>
      <c r="Q381" s="41" t="str">
        <f aca="false">IF($C381="","",ROUND(N($K381)-N($P381),2))</f>
        <v/>
      </c>
      <c r="R381" s="29" t="str">
        <f aca="false">IF($C381="","",YEAR($C381))</f>
        <v/>
      </c>
      <c r="S381" s="24"/>
      <c r="T381" s="35" t="str">
        <f aca="false">IF($C381="","",IF($D381="","★没选客户项目",IF(COUNTIF(合同键,$D381)=0,"★《维保合同》里没这个项目",IF(N($K381)&lt;=0,"★应收金额要填",IF(ROUND(N($N381)-N($K381),2)&gt;0.001,"★开票金额大于应收",IF(AND($L381&lt;&gt;"",N($N381)&lt;=0),"★填了开票日期没填开票金额",IF(AND($I381&lt;&gt;"",$J381&lt;&gt;"",$J381&lt;$I381),"★计费期间起止反了","OK")))))))</f>
        <v/>
      </c>
      <c r="U381" s="29" t="str">
        <f aca="false">IF($L381="","",YEAR($L381))</f>
        <v/>
      </c>
      <c r="V381" s="40" t="str">
        <f aca="false">IF($C381="","",ROUND(SUMIF(收款关联,$B381,收款金额),2))</f>
        <v/>
      </c>
      <c r="W381" s="40" t="str">
        <f aca="false">IF($C381="","",MAX(0,ROUND(N($K381)-N($V381),2)))</f>
        <v/>
      </c>
      <c r="X381" s="40" t="str">
        <f aca="false">IF($C381="","",ROUND(SUMIFS(应收净额,应收键,$D381,应收行号,"&lt;="&amp;ROW()),2))</f>
        <v/>
      </c>
      <c r="Y381" s="29" t="str">
        <f aca="false">IF($C381="","",ROW())</f>
        <v/>
      </c>
    </row>
    <row r="382" customFormat="false" ht="15" hidden="false" customHeight="false" outlineLevel="0" collapsed="false">
      <c r="A382" s="29" t="str">
        <f aca="false">IF($C382="","",ROW()-4)</f>
        <v/>
      </c>
      <c r="B382" s="35" t="str">
        <f aca="false">IF($C382="","","YS"&amp;TEXT($C382,"yyyymm")&amp;"-"&amp;TEXT(ROW()-4,"0000"))</f>
        <v/>
      </c>
      <c r="C382" s="33"/>
      <c r="D382" s="24"/>
      <c r="E382" s="30" t="str">
        <f aca="false">IF($D382="","",IFERROR(INDEX(合同单位,MATCH($D382,合同键,0)),IFERROR(TRIM(LEFT($D382,FIND("｜",$D382)-1)),$D382)))</f>
        <v/>
      </c>
      <c r="F382" s="30" t="str">
        <f aca="false">IF($D382="","",IFERROR(INDEX(合同项目,MATCH($D382,合同键,0)),IFERROR(TRIM(MID($D382,FIND("｜",$D382)+1,99)),"")))</f>
        <v/>
      </c>
      <c r="G382" s="24"/>
      <c r="H382" s="35" t="str">
        <f aca="false">IF($G382="","",IFERROR(INDEX(费用款别,MATCH($G382,费用类别表,0)),"合同外款"))</f>
        <v/>
      </c>
      <c r="I382" s="33"/>
      <c r="J382" s="33"/>
      <c r="K382" s="39"/>
      <c r="L382" s="33"/>
      <c r="M382" s="25"/>
      <c r="N382" s="39"/>
      <c r="O382" s="35" t="str">
        <f aca="false">IF($C382="","",IF(N($N382)&lt;=0,"未开票",IF(ROUND(N($N382)-N($K382),2)&gt;=0,"已开票",IFERROR("部分开票 "&amp;TEXT(N($N382)/N($K382),"0%"),"部分开票"))))</f>
        <v/>
      </c>
      <c r="P382" s="40" t="str">
        <f aca="false">IF($C382="","",ROUND($V382+MIN($W382,MAX(0,(SUMIF(收款键,$D382,收款金额)-SUMIFS(收款金额,收款键,$D382,收款关联,"&lt;&gt;"))-($X382-$W382))),2))</f>
        <v/>
      </c>
      <c r="Q382" s="41" t="str">
        <f aca="false">IF($C382="","",ROUND(N($K382)-N($P382),2))</f>
        <v/>
      </c>
      <c r="R382" s="29" t="str">
        <f aca="false">IF($C382="","",YEAR($C382))</f>
        <v/>
      </c>
      <c r="S382" s="24"/>
      <c r="T382" s="35" t="str">
        <f aca="false">IF($C382="","",IF($D382="","★没选客户项目",IF(COUNTIF(合同键,$D382)=0,"★《维保合同》里没这个项目",IF(N($K382)&lt;=0,"★应收金额要填",IF(ROUND(N($N382)-N($K382),2)&gt;0.001,"★开票金额大于应收",IF(AND($L382&lt;&gt;"",N($N382)&lt;=0),"★填了开票日期没填开票金额",IF(AND($I382&lt;&gt;"",$J382&lt;&gt;"",$J382&lt;$I382),"★计费期间起止反了","OK")))))))</f>
        <v/>
      </c>
      <c r="U382" s="29" t="str">
        <f aca="false">IF($L382="","",YEAR($L382))</f>
        <v/>
      </c>
      <c r="V382" s="40" t="str">
        <f aca="false">IF($C382="","",ROUND(SUMIF(收款关联,$B382,收款金额),2))</f>
        <v/>
      </c>
      <c r="W382" s="40" t="str">
        <f aca="false">IF($C382="","",MAX(0,ROUND(N($K382)-N($V382),2)))</f>
        <v/>
      </c>
      <c r="X382" s="40" t="str">
        <f aca="false">IF($C382="","",ROUND(SUMIFS(应收净额,应收键,$D382,应收行号,"&lt;="&amp;ROW()),2))</f>
        <v/>
      </c>
      <c r="Y382" s="29" t="str">
        <f aca="false">IF($C382="","",ROW())</f>
        <v/>
      </c>
    </row>
    <row r="383" customFormat="false" ht="15" hidden="false" customHeight="false" outlineLevel="0" collapsed="false">
      <c r="A383" s="29" t="str">
        <f aca="false">IF($C383="","",ROW()-4)</f>
        <v/>
      </c>
      <c r="B383" s="35" t="str">
        <f aca="false">IF($C383="","","YS"&amp;TEXT($C383,"yyyymm")&amp;"-"&amp;TEXT(ROW()-4,"0000"))</f>
        <v/>
      </c>
      <c r="C383" s="33"/>
      <c r="D383" s="24"/>
      <c r="E383" s="30" t="str">
        <f aca="false">IF($D383="","",IFERROR(INDEX(合同单位,MATCH($D383,合同键,0)),IFERROR(TRIM(LEFT($D383,FIND("｜",$D383)-1)),$D383)))</f>
        <v/>
      </c>
      <c r="F383" s="30" t="str">
        <f aca="false">IF($D383="","",IFERROR(INDEX(合同项目,MATCH($D383,合同键,0)),IFERROR(TRIM(MID($D383,FIND("｜",$D383)+1,99)),"")))</f>
        <v/>
      </c>
      <c r="G383" s="24"/>
      <c r="H383" s="35" t="str">
        <f aca="false">IF($G383="","",IFERROR(INDEX(费用款别,MATCH($G383,费用类别表,0)),"合同外款"))</f>
        <v/>
      </c>
      <c r="I383" s="33"/>
      <c r="J383" s="33"/>
      <c r="K383" s="39"/>
      <c r="L383" s="33"/>
      <c r="M383" s="25"/>
      <c r="N383" s="39"/>
      <c r="O383" s="35" t="str">
        <f aca="false">IF($C383="","",IF(N($N383)&lt;=0,"未开票",IF(ROUND(N($N383)-N($K383),2)&gt;=0,"已开票",IFERROR("部分开票 "&amp;TEXT(N($N383)/N($K383),"0%"),"部分开票"))))</f>
        <v/>
      </c>
      <c r="P383" s="40" t="str">
        <f aca="false">IF($C383="","",ROUND($V383+MIN($W383,MAX(0,(SUMIF(收款键,$D383,收款金额)-SUMIFS(收款金额,收款键,$D383,收款关联,"&lt;&gt;"))-($X383-$W383))),2))</f>
        <v/>
      </c>
      <c r="Q383" s="41" t="str">
        <f aca="false">IF($C383="","",ROUND(N($K383)-N($P383),2))</f>
        <v/>
      </c>
      <c r="R383" s="29" t="str">
        <f aca="false">IF($C383="","",YEAR($C383))</f>
        <v/>
      </c>
      <c r="S383" s="24"/>
      <c r="T383" s="35" t="str">
        <f aca="false">IF($C383="","",IF($D383="","★没选客户项目",IF(COUNTIF(合同键,$D383)=0,"★《维保合同》里没这个项目",IF(N($K383)&lt;=0,"★应收金额要填",IF(ROUND(N($N383)-N($K383),2)&gt;0.001,"★开票金额大于应收",IF(AND($L383&lt;&gt;"",N($N383)&lt;=0),"★填了开票日期没填开票金额",IF(AND($I383&lt;&gt;"",$J383&lt;&gt;"",$J383&lt;$I383),"★计费期间起止反了","OK")))))))</f>
        <v/>
      </c>
      <c r="U383" s="29" t="str">
        <f aca="false">IF($L383="","",YEAR($L383))</f>
        <v/>
      </c>
      <c r="V383" s="40" t="str">
        <f aca="false">IF($C383="","",ROUND(SUMIF(收款关联,$B383,收款金额),2))</f>
        <v/>
      </c>
      <c r="W383" s="40" t="str">
        <f aca="false">IF($C383="","",MAX(0,ROUND(N($K383)-N($V383),2)))</f>
        <v/>
      </c>
      <c r="X383" s="40" t="str">
        <f aca="false">IF($C383="","",ROUND(SUMIFS(应收净额,应收键,$D383,应收行号,"&lt;="&amp;ROW()),2))</f>
        <v/>
      </c>
      <c r="Y383" s="29" t="str">
        <f aca="false">IF($C383="","",ROW())</f>
        <v/>
      </c>
    </row>
    <row r="384" customFormat="false" ht="15" hidden="false" customHeight="false" outlineLevel="0" collapsed="false">
      <c r="A384" s="29" t="str">
        <f aca="false">IF($C384="","",ROW()-4)</f>
        <v/>
      </c>
      <c r="B384" s="35" t="str">
        <f aca="false">IF($C384="","","YS"&amp;TEXT($C384,"yyyymm")&amp;"-"&amp;TEXT(ROW()-4,"0000"))</f>
        <v/>
      </c>
      <c r="C384" s="33"/>
      <c r="D384" s="24"/>
      <c r="E384" s="30" t="str">
        <f aca="false">IF($D384="","",IFERROR(INDEX(合同单位,MATCH($D384,合同键,0)),IFERROR(TRIM(LEFT($D384,FIND("｜",$D384)-1)),$D384)))</f>
        <v/>
      </c>
      <c r="F384" s="30" t="str">
        <f aca="false">IF($D384="","",IFERROR(INDEX(合同项目,MATCH($D384,合同键,0)),IFERROR(TRIM(MID($D384,FIND("｜",$D384)+1,99)),"")))</f>
        <v/>
      </c>
      <c r="G384" s="24"/>
      <c r="H384" s="35" t="str">
        <f aca="false">IF($G384="","",IFERROR(INDEX(费用款别,MATCH($G384,费用类别表,0)),"合同外款"))</f>
        <v/>
      </c>
      <c r="I384" s="33"/>
      <c r="J384" s="33"/>
      <c r="K384" s="39"/>
      <c r="L384" s="33"/>
      <c r="M384" s="25"/>
      <c r="N384" s="39"/>
      <c r="O384" s="35" t="str">
        <f aca="false">IF($C384="","",IF(N($N384)&lt;=0,"未开票",IF(ROUND(N($N384)-N($K384),2)&gt;=0,"已开票",IFERROR("部分开票 "&amp;TEXT(N($N384)/N($K384),"0%"),"部分开票"))))</f>
        <v/>
      </c>
      <c r="P384" s="40" t="str">
        <f aca="false">IF($C384="","",ROUND($V384+MIN($W384,MAX(0,(SUMIF(收款键,$D384,收款金额)-SUMIFS(收款金额,收款键,$D384,收款关联,"&lt;&gt;"))-($X384-$W384))),2))</f>
        <v/>
      </c>
      <c r="Q384" s="41" t="str">
        <f aca="false">IF($C384="","",ROUND(N($K384)-N($P384),2))</f>
        <v/>
      </c>
      <c r="R384" s="29" t="str">
        <f aca="false">IF($C384="","",YEAR($C384))</f>
        <v/>
      </c>
      <c r="S384" s="24"/>
      <c r="T384" s="35" t="str">
        <f aca="false">IF($C384="","",IF($D384="","★没选客户项目",IF(COUNTIF(合同键,$D384)=0,"★《维保合同》里没这个项目",IF(N($K384)&lt;=0,"★应收金额要填",IF(ROUND(N($N384)-N($K384),2)&gt;0.001,"★开票金额大于应收",IF(AND($L384&lt;&gt;"",N($N384)&lt;=0),"★填了开票日期没填开票金额",IF(AND($I384&lt;&gt;"",$J384&lt;&gt;"",$J384&lt;$I384),"★计费期间起止反了","OK")))))))</f>
        <v/>
      </c>
      <c r="U384" s="29" t="str">
        <f aca="false">IF($L384="","",YEAR($L384))</f>
        <v/>
      </c>
      <c r="V384" s="40" t="str">
        <f aca="false">IF($C384="","",ROUND(SUMIF(收款关联,$B384,收款金额),2))</f>
        <v/>
      </c>
      <c r="W384" s="40" t="str">
        <f aca="false">IF($C384="","",MAX(0,ROUND(N($K384)-N($V384),2)))</f>
        <v/>
      </c>
      <c r="X384" s="40" t="str">
        <f aca="false">IF($C384="","",ROUND(SUMIFS(应收净额,应收键,$D384,应收行号,"&lt;="&amp;ROW()),2))</f>
        <v/>
      </c>
      <c r="Y384" s="29" t="str">
        <f aca="false">IF($C384="","",ROW())</f>
        <v/>
      </c>
    </row>
    <row r="385" customFormat="false" ht="15" hidden="false" customHeight="false" outlineLevel="0" collapsed="false">
      <c r="A385" s="29" t="str">
        <f aca="false">IF($C385="","",ROW()-4)</f>
        <v/>
      </c>
      <c r="B385" s="35" t="str">
        <f aca="false">IF($C385="","","YS"&amp;TEXT($C385,"yyyymm")&amp;"-"&amp;TEXT(ROW()-4,"0000"))</f>
        <v/>
      </c>
      <c r="C385" s="33"/>
      <c r="D385" s="24"/>
      <c r="E385" s="30" t="str">
        <f aca="false">IF($D385="","",IFERROR(INDEX(合同单位,MATCH($D385,合同键,0)),IFERROR(TRIM(LEFT($D385,FIND("｜",$D385)-1)),$D385)))</f>
        <v/>
      </c>
      <c r="F385" s="30" t="str">
        <f aca="false">IF($D385="","",IFERROR(INDEX(合同项目,MATCH($D385,合同键,0)),IFERROR(TRIM(MID($D385,FIND("｜",$D385)+1,99)),"")))</f>
        <v/>
      </c>
      <c r="G385" s="24"/>
      <c r="H385" s="35" t="str">
        <f aca="false">IF($G385="","",IFERROR(INDEX(费用款别,MATCH($G385,费用类别表,0)),"合同外款"))</f>
        <v/>
      </c>
      <c r="I385" s="33"/>
      <c r="J385" s="33"/>
      <c r="K385" s="39"/>
      <c r="L385" s="33"/>
      <c r="M385" s="25"/>
      <c r="N385" s="39"/>
      <c r="O385" s="35" t="str">
        <f aca="false">IF($C385="","",IF(N($N385)&lt;=0,"未开票",IF(ROUND(N($N385)-N($K385),2)&gt;=0,"已开票",IFERROR("部分开票 "&amp;TEXT(N($N385)/N($K385),"0%"),"部分开票"))))</f>
        <v/>
      </c>
      <c r="P385" s="40" t="str">
        <f aca="false">IF($C385="","",ROUND($V385+MIN($W385,MAX(0,(SUMIF(收款键,$D385,收款金额)-SUMIFS(收款金额,收款键,$D385,收款关联,"&lt;&gt;"))-($X385-$W385))),2))</f>
        <v/>
      </c>
      <c r="Q385" s="41" t="str">
        <f aca="false">IF($C385="","",ROUND(N($K385)-N($P385),2))</f>
        <v/>
      </c>
      <c r="R385" s="29" t="str">
        <f aca="false">IF($C385="","",YEAR($C385))</f>
        <v/>
      </c>
      <c r="S385" s="24"/>
      <c r="T385" s="35" t="str">
        <f aca="false">IF($C385="","",IF($D385="","★没选客户项目",IF(COUNTIF(合同键,$D385)=0,"★《维保合同》里没这个项目",IF(N($K385)&lt;=0,"★应收金额要填",IF(ROUND(N($N385)-N($K385),2)&gt;0.001,"★开票金额大于应收",IF(AND($L385&lt;&gt;"",N($N385)&lt;=0),"★填了开票日期没填开票金额",IF(AND($I385&lt;&gt;"",$J385&lt;&gt;"",$J385&lt;$I385),"★计费期间起止反了","OK")))))))</f>
        <v/>
      </c>
      <c r="U385" s="29" t="str">
        <f aca="false">IF($L385="","",YEAR($L385))</f>
        <v/>
      </c>
      <c r="V385" s="40" t="str">
        <f aca="false">IF($C385="","",ROUND(SUMIF(收款关联,$B385,收款金额),2))</f>
        <v/>
      </c>
      <c r="W385" s="40" t="str">
        <f aca="false">IF($C385="","",MAX(0,ROUND(N($K385)-N($V385),2)))</f>
        <v/>
      </c>
      <c r="X385" s="40" t="str">
        <f aca="false">IF($C385="","",ROUND(SUMIFS(应收净额,应收键,$D385,应收行号,"&lt;="&amp;ROW()),2))</f>
        <v/>
      </c>
      <c r="Y385" s="29" t="str">
        <f aca="false">IF($C385="","",ROW())</f>
        <v/>
      </c>
    </row>
    <row r="386" customFormat="false" ht="15" hidden="false" customHeight="false" outlineLevel="0" collapsed="false">
      <c r="A386" s="29" t="str">
        <f aca="false">IF($C386="","",ROW()-4)</f>
        <v/>
      </c>
      <c r="B386" s="35" t="str">
        <f aca="false">IF($C386="","","YS"&amp;TEXT($C386,"yyyymm")&amp;"-"&amp;TEXT(ROW()-4,"0000"))</f>
        <v/>
      </c>
      <c r="C386" s="33"/>
      <c r="D386" s="24"/>
      <c r="E386" s="30" t="str">
        <f aca="false">IF($D386="","",IFERROR(INDEX(合同单位,MATCH($D386,合同键,0)),IFERROR(TRIM(LEFT($D386,FIND("｜",$D386)-1)),$D386)))</f>
        <v/>
      </c>
      <c r="F386" s="30" t="str">
        <f aca="false">IF($D386="","",IFERROR(INDEX(合同项目,MATCH($D386,合同键,0)),IFERROR(TRIM(MID($D386,FIND("｜",$D386)+1,99)),"")))</f>
        <v/>
      </c>
      <c r="G386" s="24"/>
      <c r="H386" s="35" t="str">
        <f aca="false">IF($G386="","",IFERROR(INDEX(费用款别,MATCH($G386,费用类别表,0)),"合同外款"))</f>
        <v/>
      </c>
      <c r="I386" s="33"/>
      <c r="J386" s="33"/>
      <c r="K386" s="39"/>
      <c r="L386" s="33"/>
      <c r="M386" s="25"/>
      <c r="N386" s="39"/>
      <c r="O386" s="35" t="str">
        <f aca="false">IF($C386="","",IF(N($N386)&lt;=0,"未开票",IF(ROUND(N($N386)-N($K386),2)&gt;=0,"已开票",IFERROR("部分开票 "&amp;TEXT(N($N386)/N($K386),"0%"),"部分开票"))))</f>
        <v/>
      </c>
      <c r="P386" s="40" t="str">
        <f aca="false">IF($C386="","",ROUND($V386+MIN($W386,MAX(0,(SUMIF(收款键,$D386,收款金额)-SUMIFS(收款金额,收款键,$D386,收款关联,"&lt;&gt;"))-($X386-$W386))),2))</f>
        <v/>
      </c>
      <c r="Q386" s="41" t="str">
        <f aca="false">IF($C386="","",ROUND(N($K386)-N($P386),2))</f>
        <v/>
      </c>
      <c r="R386" s="29" t="str">
        <f aca="false">IF($C386="","",YEAR($C386))</f>
        <v/>
      </c>
      <c r="S386" s="24"/>
      <c r="T386" s="35" t="str">
        <f aca="false">IF($C386="","",IF($D386="","★没选客户项目",IF(COUNTIF(合同键,$D386)=0,"★《维保合同》里没这个项目",IF(N($K386)&lt;=0,"★应收金额要填",IF(ROUND(N($N386)-N($K386),2)&gt;0.001,"★开票金额大于应收",IF(AND($L386&lt;&gt;"",N($N386)&lt;=0),"★填了开票日期没填开票金额",IF(AND($I386&lt;&gt;"",$J386&lt;&gt;"",$J386&lt;$I386),"★计费期间起止反了","OK")))))))</f>
        <v/>
      </c>
      <c r="U386" s="29" t="str">
        <f aca="false">IF($L386="","",YEAR($L386))</f>
        <v/>
      </c>
      <c r="V386" s="40" t="str">
        <f aca="false">IF($C386="","",ROUND(SUMIF(收款关联,$B386,收款金额),2))</f>
        <v/>
      </c>
      <c r="W386" s="40" t="str">
        <f aca="false">IF($C386="","",MAX(0,ROUND(N($K386)-N($V386),2)))</f>
        <v/>
      </c>
      <c r="X386" s="40" t="str">
        <f aca="false">IF($C386="","",ROUND(SUMIFS(应收净额,应收键,$D386,应收行号,"&lt;="&amp;ROW()),2))</f>
        <v/>
      </c>
      <c r="Y386" s="29" t="str">
        <f aca="false">IF($C386="","",ROW())</f>
        <v/>
      </c>
    </row>
    <row r="387" customFormat="false" ht="15" hidden="false" customHeight="false" outlineLevel="0" collapsed="false">
      <c r="A387" s="29" t="str">
        <f aca="false">IF($C387="","",ROW()-4)</f>
        <v/>
      </c>
      <c r="B387" s="35" t="str">
        <f aca="false">IF($C387="","","YS"&amp;TEXT($C387,"yyyymm")&amp;"-"&amp;TEXT(ROW()-4,"0000"))</f>
        <v/>
      </c>
      <c r="C387" s="33"/>
      <c r="D387" s="24"/>
      <c r="E387" s="30" t="str">
        <f aca="false">IF($D387="","",IFERROR(INDEX(合同单位,MATCH($D387,合同键,0)),IFERROR(TRIM(LEFT($D387,FIND("｜",$D387)-1)),$D387)))</f>
        <v/>
      </c>
      <c r="F387" s="30" t="str">
        <f aca="false">IF($D387="","",IFERROR(INDEX(合同项目,MATCH($D387,合同键,0)),IFERROR(TRIM(MID($D387,FIND("｜",$D387)+1,99)),"")))</f>
        <v/>
      </c>
      <c r="G387" s="24"/>
      <c r="H387" s="35" t="str">
        <f aca="false">IF($G387="","",IFERROR(INDEX(费用款别,MATCH($G387,费用类别表,0)),"合同外款"))</f>
        <v/>
      </c>
      <c r="I387" s="33"/>
      <c r="J387" s="33"/>
      <c r="K387" s="39"/>
      <c r="L387" s="33"/>
      <c r="M387" s="25"/>
      <c r="N387" s="39"/>
      <c r="O387" s="35" t="str">
        <f aca="false">IF($C387="","",IF(N($N387)&lt;=0,"未开票",IF(ROUND(N($N387)-N($K387),2)&gt;=0,"已开票",IFERROR("部分开票 "&amp;TEXT(N($N387)/N($K387),"0%"),"部分开票"))))</f>
        <v/>
      </c>
      <c r="P387" s="40" t="str">
        <f aca="false">IF($C387="","",ROUND($V387+MIN($W387,MAX(0,(SUMIF(收款键,$D387,收款金额)-SUMIFS(收款金额,收款键,$D387,收款关联,"&lt;&gt;"))-($X387-$W387))),2))</f>
        <v/>
      </c>
      <c r="Q387" s="41" t="str">
        <f aca="false">IF($C387="","",ROUND(N($K387)-N($P387),2))</f>
        <v/>
      </c>
      <c r="R387" s="29" t="str">
        <f aca="false">IF($C387="","",YEAR($C387))</f>
        <v/>
      </c>
      <c r="S387" s="24"/>
      <c r="T387" s="35" t="str">
        <f aca="false">IF($C387="","",IF($D387="","★没选客户项目",IF(COUNTIF(合同键,$D387)=0,"★《维保合同》里没这个项目",IF(N($K387)&lt;=0,"★应收金额要填",IF(ROUND(N($N387)-N($K387),2)&gt;0.001,"★开票金额大于应收",IF(AND($L387&lt;&gt;"",N($N387)&lt;=0),"★填了开票日期没填开票金额",IF(AND($I387&lt;&gt;"",$J387&lt;&gt;"",$J387&lt;$I387),"★计费期间起止反了","OK")))))))</f>
        <v/>
      </c>
      <c r="U387" s="29" t="str">
        <f aca="false">IF($L387="","",YEAR($L387))</f>
        <v/>
      </c>
      <c r="V387" s="40" t="str">
        <f aca="false">IF($C387="","",ROUND(SUMIF(收款关联,$B387,收款金额),2))</f>
        <v/>
      </c>
      <c r="W387" s="40" t="str">
        <f aca="false">IF($C387="","",MAX(0,ROUND(N($K387)-N($V387),2)))</f>
        <v/>
      </c>
      <c r="X387" s="40" t="str">
        <f aca="false">IF($C387="","",ROUND(SUMIFS(应收净额,应收键,$D387,应收行号,"&lt;="&amp;ROW()),2))</f>
        <v/>
      </c>
      <c r="Y387" s="29" t="str">
        <f aca="false">IF($C387="","",ROW())</f>
        <v/>
      </c>
    </row>
    <row r="388" customFormat="false" ht="15" hidden="false" customHeight="false" outlineLevel="0" collapsed="false">
      <c r="A388" s="29" t="str">
        <f aca="false">IF($C388="","",ROW()-4)</f>
        <v/>
      </c>
      <c r="B388" s="35" t="str">
        <f aca="false">IF($C388="","","YS"&amp;TEXT($C388,"yyyymm")&amp;"-"&amp;TEXT(ROW()-4,"0000"))</f>
        <v/>
      </c>
      <c r="C388" s="33"/>
      <c r="D388" s="24"/>
      <c r="E388" s="30" t="str">
        <f aca="false">IF($D388="","",IFERROR(INDEX(合同单位,MATCH($D388,合同键,0)),IFERROR(TRIM(LEFT($D388,FIND("｜",$D388)-1)),$D388)))</f>
        <v/>
      </c>
      <c r="F388" s="30" t="str">
        <f aca="false">IF($D388="","",IFERROR(INDEX(合同项目,MATCH($D388,合同键,0)),IFERROR(TRIM(MID($D388,FIND("｜",$D388)+1,99)),"")))</f>
        <v/>
      </c>
      <c r="G388" s="24"/>
      <c r="H388" s="35" t="str">
        <f aca="false">IF($G388="","",IFERROR(INDEX(费用款别,MATCH($G388,费用类别表,0)),"合同外款"))</f>
        <v/>
      </c>
      <c r="I388" s="33"/>
      <c r="J388" s="33"/>
      <c r="K388" s="39"/>
      <c r="L388" s="33"/>
      <c r="M388" s="25"/>
      <c r="N388" s="39"/>
      <c r="O388" s="35" t="str">
        <f aca="false">IF($C388="","",IF(N($N388)&lt;=0,"未开票",IF(ROUND(N($N388)-N($K388),2)&gt;=0,"已开票",IFERROR("部分开票 "&amp;TEXT(N($N388)/N($K388),"0%"),"部分开票"))))</f>
        <v/>
      </c>
      <c r="P388" s="40" t="str">
        <f aca="false">IF($C388="","",ROUND($V388+MIN($W388,MAX(0,(SUMIF(收款键,$D388,收款金额)-SUMIFS(收款金额,收款键,$D388,收款关联,"&lt;&gt;"))-($X388-$W388))),2))</f>
        <v/>
      </c>
      <c r="Q388" s="41" t="str">
        <f aca="false">IF($C388="","",ROUND(N($K388)-N($P388),2))</f>
        <v/>
      </c>
      <c r="R388" s="29" t="str">
        <f aca="false">IF($C388="","",YEAR($C388))</f>
        <v/>
      </c>
      <c r="S388" s="24"/>
      <c r="T388" s="35" t="str">
        <f aca="false">IF($C388="","",IF($D388="","★没选客户项目",IF(COUNTIF(合同键,$D388)=0,"★《维保合同》里没这个项目",IF(N($K388)&lt;=0,"★应收金额要填",IF(ROUND(N($N388)-N($K388),2)&gt;0.001,"★开票金额大于应收",IF(AND($L388&lt;&gt;"",N($N388)&lt;=0),"★填了开票日期没填开票金额",IF(AND($I388&lt;&gt;"",$J388&lt;&gt;"",$J388&lt;$I388),"★计费期间起止反了","OK")))))))</f>
        <v/>
      </c>
      <c r="U388" s="29" t="str">
        <f aca="false">IF($L388="","",YEAR($L388))</f>
        <v/>
      </c>
      <c r="V388" s="40" t="str">
        <f aca="false">IF($C388="","",ROUND(SUMIF(收款关联,$B388,收款金额),2))</f>
        <v/>
      </c>
      <c r="W388" s="40" t="str">
        <f aca="false">IF($C388="","",MAX(0,ROUND(N($K388)-N($V388),2)))</f>
        <v/>
      </c>
      <c r="X388" s="40" t="str">
        <f aca="false">IF($C388="","",ROUND(SUMIFS(应收净额,应收键,$D388,应收行号,"&lt;="&amp;ROW()),2))</f>
        <v/>
      </c>
      <c r="Y388" s="29" t="str">
        <f aca="false">IF($C388="","",ROW())</f>
        <v/>
      </c>
    </row>
    <row r="389" customFormat="false" ht="15" hidden="false" customHeight="false" outlineLevel="0" collapsed="false">
      <c r="A389" s="29" t="str">
        <f aca="false">IF($C389="","",ROW()-4)</f>
        <v/>
      </c>
      <c r="B389" s="35" t="str">
        <f aca="false">IF($C389="","","YS"&amp;TEXT($C389,"yyyymm")&amp;"-"&amp;TEXT(ROW()-4,"0000"))</f>
        <v/>
      </c>
      <c r="C389" s="33"/>
      <c r="D389" s="24"/>
      <c r="E389" s="30" t="str">
        <f aca="false">IF($D389="","",IFERROR(INDEX(合同单位,MATCH($D389,合同键,0)),IFERROR(TRIM(LEFT($D389,FIND("｜",$D389)-1)),$D389)))</f>
        <v/>
      </c>
      <c r="F389" s="30" t="str">
        <f aca="false">IF($D389="","",IFERROR(INDEX(合同项目,MATCH($D389,合同键,0)),IFERROR(TRIM(MID($D389,FIND("｜",$D389)+1,99)),"")))</f>
        <v/>
      </c>
      <c r="G389" s="24"/>
      <c r="H389" s="35" t="str">
        <f aca="false">IF($G389="","",IFERROR(INDEX(费用款别,MATCH($G389,费用类别表,0)),"合同外款"))</f>
        <v/>
      </c>
      <c r="I389" s="33"/>
      <c r="J389" s="33"/>
      <c r="K389" s="39"/>
      <c r="L389" s="33"/>
      <c r="M389" s="25"/>
      <c r="N389" s="39"/>
      <c r="O389" s="35" t="str">
        <f aca="false">IF($C389="","",IF(N($N389)&lt;=0,"未开票",IF(ROUND(N($N389)-N($K389),2)&gt;=0,"已开票",IFERROR("部分开票 "&amp;TEXT(N($N389)/N($K389),"0%"),"部分开票"))))</f>
        <v/>
      </c>
      <c r="P389" s="40" t="str">
        <f aca="false">IF($C389="","",ROUND($V389+MIN($W389,MAX(0,(SUMIF(收款键,$D389,收款金额)-SUMIFS(收款金额,收款键,$D389,收款关联,"&lt;&gt;"))-($X389-$W389))),2))</f>
        <v/>
      </c>
      <c r="Q389" s="41" t="str">
        <f aca="false">IF($C389="","",ROUND(N($K389)-N($P389),2))</f>
        <v/>
      </c>
      <c r="R389" s="29" t="str">
        <f aca="false">IF($C389="","",YEAR($C389))</f>
        <v/>
      </c>
      <c r="S389" s="24"/>
      <c r="T389" s="35" t="str">
        <f aca="false">IF($C389="","",IF($D389="","★没选客户项目",IF(COUNTIF(合同键,$D389)=0,"★《维保合同》里没这个项目",IF(N($K389)&lt;=0,"★应收金额要填",IF(ROUND(N($N389)-N($K389),2)&gt;0.001,"★开票金额大于应收",IF(AND($L389&lt;&gt;"",N($N389)&lt;=0),"★填了开票日期没填开票金额",IF(AND($I389&lt;&gt;"",$J389&lt;&gt;"",$J389&lt;$I389),"★计费期间起止反了","OK")))))))</f>
        <v/>
      </c>
      <c r="U389" s="29" t="str">
        <f aca="false">IF($L389="","",YEAR($L389))</f>
        <v/>
      </c>
      <c r="V389" s="40" t="str">
        <f aca="false">IF($C389="","",ROUND(SUMIF(收款关联,$B389,收款金额),2))</f>
        <v/>
      </c>
      <c r="W389" s="40" t="str">
        <f aca="false">IF($C389="","",MAX(0,ROUND(N($K389)-N($V389),2)))</f>
        <v/>
      </c>
      <c r="X389" s="40" t="str">
        <f aca="false">IF($C389="","",ROUND(SUMIFS(应收净额,应收键,$D389,应收行号,"&lt;="&amp;ROW()),2))</f>
        <v/>
      </c>
      <c r="Y389" s="29" t="str">
        <f aca="false">IF($C389="","",ROW())</f>
        <v/>
      </c>
    </row>
    <row r="390" customFormat="false" ht="15" hidden="false" customHeight="false" outlineLevel="0" collapsed="false">
      <c r="A390" s="29" t="str">
        <f aca="false">IF($C390="","",ROW()-4)</f>
        <v/>
      </c>
      <c r="B390" s="35" t="str">
        <f aca="false">IF($C390="","","YS"&amp;TEXT($C390,"yyyymm")&amp;"-"&amp;TEXT(ROW()-4,"0000"))</f>
        <v/>
      </c>
      <c r="C390" s="33"/>
      <c r="D390" s="24"/>
      <c r="E390" s="30" t="str">
        <f aca="false">IF($D390="","",IFERROR(INDEX(合同单位,MATCH($D390,合同键,0)),IFERROR(TRIM(LEFT($D390,FIND("｜",$D390)-1)),$D390)))</f>
        <v/>
      </c>
      <c r="F390" s="30" t="str">
        <f aca="false">IF($D390="","",IFERROR(INDEX(合同项目,MATCH($D390,合同键,0)),IFERROR(TRIM(MID($D390,FIND("｜",$D390)+1,99)),"")))</f>
        <v/>
      </c>
      <c r="G390" s="24"/>
      <c r="H390" s="35" t="str">
        <f aca="false">IF($G390="","",IFERROR(INDEX(费用款别,MATCH($G390,费用类别表,0)),"合同外款"))</f>
        <v/>
      </c>
      <c r="I390" s="33"/>
      <c r="J390" s="33"/>
      <c r="K390" s="39"/>
      <c r="L390" s="33"/>
      <c r="M390" s="25"/>
      <c r="N390" s="39"/>
      <c r="O390" s="35" t="str">
        <f aca="false">IF($C390="","",IF(N($N390)&lt;=0,"未开票",IF(ROUND(N($N390)-N($K390),2)&gt;=0,"已开票",IFERROR("部分开票 "&amp;TEXT(N($N390)/N($K390),"0%"),"部分开票"))))</f>
        <v/>
      </c>
      <c r="P390" s="40" t="str">
        <f aca="false">IF($C390="","",ROUND($V390+MIN($W390,MAX(0,(SUMIF(收款键,$D390,收款金额)-SUMIFS(收款金额,收款键,$D390,收款关联,"&lt;&gt;"))-($X390-$W390))),2))</f>
        <v/>
      </c>
      <c r="Q390" s="41" t="str">
        <f aca="false">IF($C390="","",ROUND(N($K390)-N($P390),2))</f>
        <v/>
      </c>
      <c r="R390" s="29" t="str">
        <f aca="false">IF($C390="","",YEAR($C390))</f>
        <v/>
      </c>
      <c r="S390" s="24"/>
      <c r="T390" s="35" t="str">
        <f aca="false">IF($C390="","",IF($D390="","★没选客户项目",IF(COUNTIF(合同键,$D390)=0,"★《维保合同》里没这个项目",IF(N($K390)&lt;=0,"★应收金额要填",IF(ROUND(N($N390)-N($K390),2)&gt;0.001,"★开票金额大于应收",IF(AND($L390&lt;&gt;"",N($N390)&lt;=0),"★填了开票日期没填开票金额",IF(AND($I390&lt;&gt;"",$J390&lt;&gt;"",$J390&lt;$I390),"★计费期间起止反了","OK")))))))</f>
        <v/>
      </c>
      <c r="U390" s="29" t="str">
        <f aca="false">IF($L390="","",YEAR($L390))</f>
        <v/>
      </c>
      <c r="V390" s="40" t="str">
        <f aca="false">IF($C390="","",ROUND(SUMIF(收款关联,$B390,收款金额),2))</f>
        <v/>
      </c>
      <c r="W390" s="40" t="str">
        <f aca="false">IF($C390="","",MAX(0,ROUND(N($K390)-N($V390),2)))</f>
        <v/>
      </c>
      <c r="X390" s="40" t="str">
        <f aca="false">IF($C390="","",ROUND(SUMIFS(应收净额,应收键,$D390,应收行号,"&lt;="&amp;ROW()),2))</f>
        <v/>
      </c>
      <c r="Y390" s="29" t="str">
        <f aca="false">IF($C390="","",ROW())</f>
        <v/>
      </c>
    </row>
    <row r="391" customFormat="false" ht="15" hidden="false" customHeight="false" outlineLevel="0" collapsed="false">
      <c r="A391" s="29" t="str">
        <f aca="false">IF($C391="","",ROW()-4)</f>
        <v/>
      </c>
      <c r="B391" s="35" t="str">
        <f aca="false">IF($C391="","","YS"&amp;TEXT($C391,"yyyymm")&amp;"-"&amp;TEXT(ROW()-4,"0000"))</f>
        <v/>
      </c>
      <c r="C391" s="33"/>
      <c r="D391" s="24"/>
      <c r="E391" s="30" t="str">
        <f aca="false">IF($D391="","",IFERROR(INDEX(合同单位,MATCH($D391,合同键,0)),IFERROR(TRIM(LEFT($D391,FIND("｜",$D391)-1)),$D391)))</f>
        <v/>
      </c>
      <c r="F391" s="30" t="str">
        <f aca="false">IF($D391="","",IFERROR(INDEX(合同项目,MATCH($D391,合同键,0)),IFERROR(TRIM(MID($D391,FIND("｜",$D391)+1,99)),"")))</f>
        <v/>
      </c>
      <c r="G391" s="24"/>
      <c r="H391" s="35" t="str">
        <f aca="false">IF($G391="","",IFERROR(INDEX(费用款别,MATCH($G391,费用类别表,0)),"合同外款"))</f>
        <v/>
      </c>
      <c r="I391" s="33"/>
      <c r="J391" s="33"/>
      <c r="K391" s="39"/>
      <c r="L391" s="33"/>
      <c r="M391" s="25"/>
      <c r="N391" s="39"/>
      <c r="O391" s="35" t="str">
        <f aca="false">IF($C391="","",IF(N($N391)&lt;=0,"未开票",IF(ROUND(N($N391)-N($K391),2)&gt;=0,"已开票",IFERROR("部分开票 "&amp;TEXT(N($N391)/N($K391),"0%"),"部分开票"))))</f>
        <v/>
      </c>
      <c r="P391" s="40" t="str">
        <f aca="false">IF($C391="","",ROUND($V391+MIN($W391,MAX(0,(SUMIF(收款键,$D391,收款金额)-SUMIFS(收款金额,收款键,$D391,收款关联,"&lt;&gt;"))-($X391-$W391))),2))</f>
        <v/>
      </c>
      <c r="Q391" s="41" t="str">
        <f aca="false">IF($C391="","",ROUND(N($K391)-N($P391),2))</f>
        <v/>
      </c>
      <c r="R391" s="29" t="str">
        <f aca="false">IF($C391="","",YEAR($C391))</f>
        <v/>
      </c>
      <c r="S391" s="24"/>
      <c r="T391" s="35" t="str">
        <f aca="false">IF($C391="","",IF($D391="","★没选客户项目",IF(COUNTIF(合同键,$D391)=0,"★《维保合同》里没这个项目",IF(N($K391)&lt;=0,"★应收金额要填",IF(ROUND(N($N391)-N($K391),2)&gt;0.001,"★开票金额大于应收",IF(AND($L391&lt;&gt;"",N($N391)&lt;=0),"★填了开票日期没填开票金额",IF(AND($I391&lt;&gt;"",$J391&lt;&gt;"",$J391&lt;$I391),"★计费期间起止反了","OK")))))))</f>
        <v/>
      </c>
      <c r="U391" s="29" t="str">
        <f aca="false">IF($L391="","",YEAR($L391))</f>
        <v/>
      </c>
      <c r="V391" s="40" t="str">
        <f aca="false">IF($C391="","",ROUND(SUMIF(收款关联,$B391,收款金额),2))</f>
        <v/>
      </c>
      <c r="W391" s="40" t="str">
        <f aca="false">IF($C391="","",MAX(0,ROUND(N($K391)-N($V391),2)))</f>
        <v/>
      </c>
      <c r="X391" s="40" t="str">
        <f aca="false">IF($C391="","",ROUND(SUMIFS(应收净额,应收键,$D391,应收行号,"&lt;="&amp;ROW()),2))</f>
        <v/>
      </c>
      <c r="Y391" s="29" t="str">
        <f aca="false">IF($C391="","",ROW())</f>
        <v/>
      </c>
    </row>
    <row r="392" customFormat="false" ht="15" hidden="false" customHeight="false" outlineLevel="0" collapsed="false">
      <c r="A392" s="29" t="str">
        <f aca="false">IF($C392="","",ROW()-4)</f>
        <v/>
      </c>
      <c r="B392" s="35" t="str">
        <f aca="false">IF($C392="","","YS"&amp;TEXT($C392,"yyyymm")&amp;"-"&amp;TEXT(ROW()-4,"0000"))</f>
        <v/>
      </c>
      <c r="C392" s="33"/>
      <c r="D392" s="24"/>
      <c r="E392" s="30" t="str">
        <f aca="false">IF($D392="","",IFERROR(INDEX(合同单位,MATCH($D392,合同键,0)),IFERROR(TRIM(LEFT($D392,FIND("｜",$D392)-1)),$D392)))</f>
        <v/>
      </c>
      <c r="F392" s="30" t="str">
        <f aca="false">IF($D392="","",IFERROR(INDEX(合同项目,MATCH($D392,合同键,0)),IFERROR(TRIM(MID($D392,FIND("｜",$D392)+1,99)),"")))</f>
        <v/>
      </c>
      <c r="G392" s="24"/>
      <c r="H392" s="35" t="str">
        <f aca="false">IF($G392="","",IFERROR(INDEX(费用款别,MATCH($G392,费用类别表,0)),"合同外款"))</f>
        <v/>
      </c>
      <c r="I392" s="33"/>
      <c r="J392" s="33"/>
      <c r="K392" s="39"/>
      <c r="L392" s="33"/>
      <c r="M392" s="25"/>
      <c r="N392" s="39"/>
      <c r="O392" s="35" t="str">
        <f aca="false">IF($C392="","",IF(N($N392)&lt;=0,"未开票",IF(ROUND(N($N392)-N($K392),2)&gt;=0,"已开票",IFERROR("部分开票 "&amp;TEXT(N($N392)/N($K392),"0%"),"部分开票"))))</f>
        <v/>
      </c>
      <c r="P392" s="40" t="str">
        <f aca="false">IF($C392="","",ROUND($V392+MIN($W392,MAX(0,(SUMIF(收款键,$D392,收款金额)-SUMIFS(收款金额,收款键,$D392,收款关联,"&lt;&gt;"))-($X392-$W392))),2))</f>
        <v/>
      </c>
      <c r="Q392" s="41" t="str">
        <f aca="false">IF($C392="","",ROUND(N($K392)-N($P392),2))</f>
        <v/>
      </c>
      <c r="R392" s="29" t="str">
        <f aca="false">IF($C392="","",YEAR($C392))</f>
        <v/>
      </c>
      <c r="S392" s="24"/>
      <c r="T392" s="35" t="str">
        <f aca="false">IF($C392="","",IF($D392="","★没选客户项目",IF(COUNTIF(合同键,$D392)=0,"★《维保合同》里没这个项目",IF(N($K392)&lt;=0,"★应收金额要填",IF(ROUND(N($N392)-N($K392),2)&gt;0.001,"★开票金额大于应收",IF(AND($L392&lt;&gt;"",N($N392)&lt;=0),"★填了开票日期没填开票金额",IF(AND($I392&lt;&gt;"",$J392&lt;&gt;"",$J392&lt;$I392),"★计费期间起止反了","OK")))))))</f>
        <v/>
      </c>
      <c r="U392" s="29" t="str">
        <f aca="false">IF($L392="","",YEAR($L392))</f>
        <v/>
      </c>
      <c r="V392" s="40" t="str">
        <f aca="false">IF($C392="","",ROUND(SUMIF(收款关联,$B392,收款金额),2))</f>
        <v/>
      </c>
      <c r="W392" s="40" t="str">
        <f aca="false">IF($C392="","",MAX(0,ROUND(N($K392)-N($V392),2)))</f>
        <v/>
      </c>
      <c r="X392" s="40" t="str">
        <f aca="false">IF($C392="","",ROUND(SUMIFS(应收净额,应收键,$D392,应收行号,"&lt;="&amp;ROW()),2))</f>
        <v/>
      </c>
      <c r="Y392" s="29" t="str">
        <f aca="false">IF($C392="","",ROW())</f>
        <v/>
      </c>
    </row>
    <row r="393" customFormat="false" ht="15" hidden="false" customHeight="false" outlineLevel="0" collapsed="false">
      <c r="A393" s="29" t="str">
        <f aca="false">IF($C393="","",ROW()-4)</f>
        <v/>
      </c>
      <c r="B393" s="35" t="str">
        <f aca="false">IF($C393="","","YS"&amp;TEXT($C393,"yyyymm")&amp;"-"&amp;TEXT(ROW()-4,"0000"))</f>
        <v/>
      </c>
      <c r="C393" s="33"/>
      <c r="D393" s="24"/>
      <c r="E393" s="30" t="str">
        <f aca="false">IF($D393="","",IFERROR(INDEX(合同单位,MATCH($D393,合同键,0)),IFERROR(TRIM(LEFT($D393,FIND("｜",$D393)-1)),$D393)))</f>
        <v/>
      </c>
      <c r="F393" s="30" t="str">
        <f aca="false">IF($D393="","",IFERROR(INDEX(合同项目,MATCH($D393,合同键,0)),IFERROR(TRIM(MID($D393,FIND("｜",$D393)+1,99)),"")))</f>
        <v/>
      </c>
      <c r="G393" s="24"/>
      <c r="H393" s="35" t="str">
        <f aca="false">IF($G393="","",IFERROR(INDEX(费用款别,MATCH($G393,费用类别表,0)),"合同外款"))</f>
        <v/>
      </c>
      <c r="I393" s="33"/>
      <c r="J393" s="33"/>
      <c r="K393" s="39"/>
      <c r="L393" s="33"/>
      <c r="M393" s="25"/>
      <c r="N393" s="39"/>
      <c r="O393" s="35" t="str">
        <f aca="false">IF($C393="","",IF(N($N393)&lt;=0,"未开票",IF(ROUND(N($N393)-N($K393),2)&gt;=0,"已开票",IFERROR("部分开票 "&amp;TEXT(N($N393)/N($K393),"0%"),"部分开票"))))</f>
        <v/>
      </c>
      <c r="P393" s="40" t="str">
        <f aca="false">IF($C393="","",ROUND($V393+MIN($W393,MAX(0,(SUMIF(收款键,$D393,收款金额)-SUMIFS(收款金额,收款键,$D393,收款关联,"&lt;&gt;"))-($X393-$W393))),2))</f>
        <v/>
      </c>
      <c r="Q393" s="41" t="str">
        <f aca="false">IF($C393="","",ROUND(N($K393)-N($P393),2))</f>
        <v/>
      </c>
      <c r="R393" s="29" t="str">
        <f aca="false">IF($C393="","",YEAR($C393))</f>
        <v/>
      </c>
      <c r="S393" s="24"/>
      <c r="T393" s="35" t="str">
        <f aca="false">IF($C393="","",IF($D393="","★没选客户项目",IF(COUNTIF(合同键,$D393)=0,"★《维保合同》里没这个项目",IF(N($K393)&lt;=0,"★应收金额要填",IF(ROUND(N($N393)-N($K393),2)&gt;0.001,"★开票金额大于应收",IF(AND($L393&lt;&gt;"",N($N393)&lt;=0),"★填了开票日期没填开票金额",IF(AND($I393&lt;&gt;"",$J393&lt;&gt;"",$J393&lt;$I393),"★计费期间起止反了","OK")))))))</f>
        <v/>
      </c>
      <c r="U393" s="29" t="str">
        <f aca="false">IF($L393="","",YEAR($L393))</f>
        <v/>
      </c>
      <c r="V393" s="40" t="str">
        <f aca="false">IF($C393="","",ROUND(SUMIF(收款关联,$B393,收款金额),2))</f>
        <v/>
      </c>
      <c r="W393" s="40" t="str">
        <f aca="false">IF($C393="","",MAX(0,ROUND(N($K393)-N($V393),2)))</f>
        <v/>
      </c>
      <c r="X393" s="40" t="str">
        <f aca="false">IF($C393="","",ROUND(SUMIFS(应收净额,应收键,$D393,应收行号,"&lt;="&amp;ROW()),2))</f>
        <v/>
      </c>
      <c r="Y393" s="29" t="str">
        <f aca="false">IF($C393="","",ROW())</f>
        <v/>
      </c>
    </row>
    <row r="394" customFormat="false" ht="15" hidden="false" customHeight="false" outlineLevel="0" collapsed="false">
      <c r="A394" s="29" t="str">
        <f aca="false">IF($C394="","",ROW()-4)</f>
        <v/>
      </c>
      <c r="B394" s="35" t="str">
        <f aca="false">IF($C394="","","YS"&amp;TEXT($C394,"yyyymm")&amp;"-"&amp;TEXT(ROW()-4,"0000"))</f>
        <v/>
      </c>
      <c r="C394" s="33"/>
      <c r="D394" s="24"/>
      <c r="E394" s="30" t="str">
        <f aca="false">IF($D394="","",IFERROR(INDEX(合同单位,MATCH($D394,合同键,0)),IFERROR(TRIM(LEFT($D394,FIND("｜",$D394)-1)),$D394)))</f>
        <v/>
      </c>
      <c r="F394" s="30" t="str">
        <f aca="false">IF($D394="","",IFERROR(INDEX(合同项目,MATCH($D394,合同键,0)),IFERROR(TRIM(MID($D394,FIND("｜",$D394)+1,99)),"")))</f>
        <v/>
      </c>
      <c r="G394" s="24"/>
      <c r="H394" s="35" t="str">
        <f aca="false">IF($G394="","",IFERROR(INDEX(费用款别,MATCH($G394,费用类别表,0)),"合同外款"))</f>
        <v/>
      </c>
      <c r="I394" s="33"/>
      <c r="J394" s="33"/>
      <c r="K394" s="39"/>
      <c r="L394" s="33"/>
      <c r="M394" s="25"/>
      <c r="N394" s="39"/>
      <c r="O394" s="35" t="str">
        <f aca="false">IF($C394="","",IF(N($N394)&lt;=0,"未开票",IF(ROUND(N($N394)-N($K394),2)&gt;=0,"已开票",IFERROR("部分开票 "&amp;TEXT(N($N394)/N($K394),"0%"),"部分开票"))))</f>
        <v/>
      </c>
      <c r="P394" s="40" t="str">
        <f aca="false">IF($C394="","",ROUND($V394+MIN($W394,MAX(0,(SUMIF(收款键,$D394,收款金额)-SUMIFS(收款金额,收款键,$D394,收款关联,"&lt;&gt;"))-($X394-$W394))),2))</f>
        <v/>
      </c>
      <c r="Q394" s="41" t="str">
        <f aca="false">IF($C394="","",ROUND(N($K394)-N($P394),2))</f>
        <v/>
      </c>
      <c r="R394" s="29" t="str">
        <f aca="false">IF($C394="","",YEAR($C394))</f>
        <v/>
      </c>
      <c r="S394" s="24"/>
      <c r="T394" s="35" t="str">
        <f aca="false">IF($C394="","",IF($D394="","★没选客户项目",IF(COUNTIF(合同键,$D394)=0,"★《维保合同》里没这个项目",IF(N($K394)&lt;=0,"★应收金额要填",IF(ROUND(N($N394)-N($K394),2)&gt;0.001,"★开票金额大于应收",IF(AND($L394&lt;&gt;"",N($N394)&lt;=0),"★填了开票日期没填开票金额",IF(AND($I394&lt;&gt;"",$J394&lt;&gt;"",$J394&lt;$I394),"★计费期间起止反了","OK")))))))</f>
        <v/>
      </c>
      <c r="U394" s="29" t="str">
        <f aca="false">IF($L394="","",YEAR($L394))</f>
        <v/>
      </c>
      <c r="V394" s="40" t="str">
        <f aca="false">IF($C394="","",ROUND(SUMIF(收款关联,$B394,收款金额),2))</f>
        <v/>
      </c>
      <c r="W394" s="40" t="str">
        <f aca="false">IF($C394="","",MAX(0,ROUND(N($K394)-N($V394),2)))</f>
        <v/>
      </c>
      <c r="X394" s="40" t="str">
        <f aca="false">IF($C394="","",ROUND(SUMIFS(应收净额,应收键,$D394,应收行号,"&lt;="&amp;ROW()),2))</f>
        <v/>
      </c>
      <c r="Y394" s="29" t="str">
        <f aca="false">IF($C394="","",ROW())</f>
        <v/>
      </c>
    </row>
    <row r="395" customFormat="false" ht="15" hidden="false" customHeight="false" outlineLevel="0" collapsed="false">
      <c r="A395" s="29" t="str">
        <f aca="false">IF($C395="","",ROW()-4)</f>
        <v/>
      </c>
      <c r="B395" s="35" t="str">
        <f aca="false">IF($C395="","","YS"&amp;TEXT($C395,"yyyymm")&amp;"-"&amp;TEXT(ROW()-4,"0000"))</f>
        <v/>
      </c>
      <c r="C395" s="33"/>
      <c r="D395" s="24"/>
      <c r="E395" s="30" t="str">
        <f aca="false">IF($D395="","",IFERROR(INDEX(合同单位,MATCH($D395,合同键,0)),IFERROR(TRIM(LEFT($D395,FIND("｜",$D395)-1)),$D395)))</f>
        <v/>
      </c>
      <c r="F395" s="30" t="str">
        <f aca="false">IF($D395="","",IFERROR(INDEX(合同项目,MATCH($D395,合同键,0)),IFERROR(TRIM(MID($D395,FIND("｜",$D395)+1,99)),"")))</f>
        <v/>
      </c>
      <c r="G395" s="24"/>
      <c r="H395" s="35" t="str">
        <f aca="false">IF($G395="","",IFERROR(INDEX(费用款别,MATCH($G395,费用类别表,0)),"合同外款"))</f>
        <v/>
      </c>
      <c r="I395" s="33"/>
      <c r="J395" s="33"/>
      <c r="K395" s="39"/>
      <c r="L395" s="33"/>
      <c r="M395" s="25"/>
      <c r="N395" s="39"/>
      <c r="O395" s="35" t="str">
        <f aca="false">IF($C395="","",IF(N($N395)&lt;=0,"未开票",IF(ROUND(N($N395)-N($K395),2)&gt;=0,"已开票",IFERROR("部分开票 "&amp;TEXT(N($N395)/N($K395),"0%"),"部分开票"))))</f>
        <v/>
      </c>
      <c r="P395" s="40" t="str">
        <f aca="false">IF($C395="","",ROUND($V395+MIN($W395,MAX(0,(SUMIF(收款键,$D395,收款金额)-SUMIFS(收款金额,收款键,$D395,收款关联,"&lt;&gt;"))-($X395-$W395))),2))</f>
        <v/>
      </c>
      <c r="Q395" s="41" t="str">
        <f aca="false">IF($C395="","",ROUND(N($K395)-N($P395),2))</f>
        <v/>
      </c>
      <c r="R395" s="29" t="str">
        <f aca="false">IF($C395="","",YEAR($C395))</f>
        <v/>
      </c>
      <c r="S395" s="24"/>
      <c r="T395" s="35" t="str">
        <f aca="false">IF($C395="","",IF($D395="","★没选客户项目",IF(COUNTIF(合同键,$D395)=0,"★《维保合同》里没这个项目",IF(N($K395)&lt;=0,"★应收金额要填",IF(ROUND(N($N395)-N($K395),2)&gt;0.001,"★开票金额大于应收",IF(AND($L395&lt;&gt;"",N($N395)&lt;=0),"★填了开票日期没填开票金额",IF(AND($I395&lt;&gt;"",$J395&lt;&gt;"",$J395&lt;$I395),"★计费期间起止反了","OK")))))))</f>
        <v/>
      </c>
      <c r="U395" s="29" t="str">
        <f aca="false">IF($L395="","",YEAR($L395))</f>
        <v/>
      </c>
      <c r="V395" s="40" t="str">
        <f aca="false">IF($C395="","",ROUND(SUMIF(收款关联,$B395,收款金额),2))</f>
        <v/>
      </c>
      <c r="W395" s="40" t="str">
        <f aca="false">IF($C395="","",MAX(0,ROUND(N($K395)-N($V395),2)))</f>
        <v/>
      </c>
      <c r="X395" s="40" t="str">
        <f aca="false">IF($C395="","",ROUND(SUMIFS(应收净额,应收键,$D395,应收行号,"&lt;="&amp;ROW()),2))</f>
        <v/>
      </c>
      <c r="Y395" s="29" t="str">
        <f aca="false">IF($C395="","",ROW())</f>
        <v/>
      </c>
    </row>
    <row r="396" customFormat="false" ht="15" hidden="false" customHeight="false" outlineLevel="0" collapsed="false">
      <c r="A396" s="29" t="str">
        <f aca="false">IF($C396="","",ROW()-4)</f>
        <v/>
      </c>
      <c r="B396" s="35" t="str">
        <f aca="false">IF($C396="","","YS"&amp;TEXT($C396,"yyyymm")&amp;"-"&amp;TEXT(ROW()-4,"0000"))</f>
        <v/>
      </c>
      <c r="C396" s="33"/>
      <c r="D396" s="24"/>
      <c r="E396" s="30" t="str">
        <f aca="false">IF($D396="","",IFERROR(INDEX(合同单位,MATCH($D396,合同键,0)),IFERROR(TRIM(LEFT($D396,FIND("｜",$D396)-1)),$D396)))</f>
        <v/>
      </c>
      <c r="F396" s="30" t="str">
        <f aca="false">IF($D396="","",IFERROR(INDEX(合同项目,MATCH($D396,合同键,0)),IFERROR(TRIM(MID($D396,FIND("｜",$D396)+1,99)),"")))</f>
        <v/>
      </c>
      <c r="G396" s="24"/>
      <c r="H396" s="35" t="str">
        <f aca="false">IF($G396="","",IFERROR(INDEX(费用款别,MATCH($G396,费用类别表,0)),"合同外款"))</f>
        <v/>
      </c>
      <c r="I396" s="33"/>
      <c r="J396" s="33"/>
      <c r="K396" s="39"/>
      <c r="L396" s="33"/>
      <c r="M396" s="25"/>
      <c r="N396" s="39"/>
      <c r="O396" s="35" t="str">
        <f aca="false">IF($C396="","",IF(N($N396)&lt;=0,"未开票",IF(ROUND(N($N396)-N($K396),2)&gt;=0,"已开票",IFERROR("部分开票 "&amp;TEXT(N($N396)/N($K396),"0%"),"部分开票"))))</f>
        <v/>
      </c>
      <c r="P396" s="40" t="str">
        <f aca="false">IF($C396="","",ROUND($V396+MIN($W396,MAX(0,(SUMIF(收款键,$D396,收款金额)-SUMIFS(收款金额,收款键,$D396,收款关联,"&lt;&gt;"))-($X396-$W396))),2))</f>
        <v/>
      </c>
      <c r="Q396" s="41" t="str">
        <f aca="false">IF($C396="","",ROUND(N($K396)-N($P396),2))</f>
        <v/>
      </c>
      <c r="R396" s="29" t="str">
        <f aca="false">IF($C396="","",YEAR($C396))</f>
        <v/>
      </c>
      <c r="S396" s="24"/>
      <c r="T396" s="35" t="str">
        <f aca="false">IF($C396="","",IF($D396="","★没选客户项目",IF(COUNTIF(合同键,$D396)=0,"★《维保合同》里没这个项目",IF(N($K396)&lt;=0,"★应收金额要填",IF(ROUND(N($N396)-N($K396),2)&gt;0.001,"★开票金额大于应收",IF(AND($L396&lt;&gt;"",N($N396)&lt;=0),"★填了开票日期没填开票金额",IF(AND($I396&lt;&gt;"",$J396&lt;&gt;"",$J396&lt;$I396),"★计费期间起止反了","OK")))))))</f>
        <v/>
      </c>
      <c r="U396" s="29" t="str">
        <f aca="false">IF($L396="","",YEAR($L396))</f>
        <v/>
      </c>
      <c r="V396" s="40" t="str">
        <f aca="false">IF($C396="","",ROUND(SUMIF(收款关联,$B396,收款金额),2))</f>
        <v/>
      </c>
      <c r="W396" s="40" t="str">
        <f aca="false">IF($C396="","",MAX(0,ROUND(N($K396)-N($V396),2)))</f>
        <v/>
      </c>
      <c r="X396" s="40" t="str">
        <f aca="false">IF($C396="","",ROUND(SUMIFS(应收净额,应收键,$D396,应收行号,"&lt;="&amp;ROW()),2))</f>
        <v/>
      </c>
      <c r="Y396" s="29" t="str">
        <f aca="false">IF($C396="","",ROW())</f>
        <v/>
      </c>
    </row>
    <row r="397" customFormat="false" ht="15" hidden="false" customHeight="false" outlineLevel="0" collapsed="false">
      <c r="A397" s="29" t="str">
        <f aca="false">IF($C397="","",ROW()-4)</f>
        <v/>
      </c>
      <c r="B397" s="35" t="str">
        <f aca="false">IF($C397="","","YS"&amp;TEXT($C397,"yyyymm")&amp;"-"&amp;TEXT(ROW()-4,"0000"))</f>
        <v/>
      </c>
      <c r="C397" s="33"/>
      <c r="D397" s="24"/>
      <c r="E397" s="30" t="str">
        <f aca="false">IF($D397="","",IFERROR(INDEX(合同单位,MATCH($D397,合同键,0)),IFERROR(TRIM(LEFT($D397,FIND("｜",$D397)-1)),$D397)))</f>
        <v/>
      </c>
      <c r="F397" s="30" t="str">
        <f aca="false">IF($D397="","",IFERROR(INDEX(合同项目,MATCH($D397,合同键,0)),IFERROR(TRIM(MID($D397,FIND("｜",$D397)+1,99)),"")))</f>
        <v/>
      </c>
      <c r="G397" s="24"/>
      <c r="H397" s="35" t="str">
        <f aca="false">IF($G397="","",IFERROR(INDEX(费用款别,MATCH($G397,费用类别表,0)),"合同外款"))</f>
        <v/>
      </c>
      <c r="I397" s="33"/>
      <c r="J397" s="33"/>
      <c r="K397" s="39"/>
      <c r="L397" s="33"/>
      <c r="M397" s="25"/>
      <c r="N397" s="39"/>
      <c r="O397" s="35" t="str">
        <f aca="false">IF($C397="","",IF(N($N397)&lt;=0,"未开票",IF(ROUND(N($N397)-N($K397),2)&gt;=0,"已开票",IFERROR("部分开票 "&amp;TEXT(N($N397)/N($K397),"0%"),"部分开票"))))</f>
        <v/>
      </c>
      <c r="P397" s="40" t="str">
        <f aca="false">IF($C397="","",ROUND($V397+MIN($W397,MAX(0,(SUMIF(收款键,$D397,收款金额)-SUMIFS(收款金额,收款键,$D397,收款关联,"&lt;&gt;"))-($X397-$W397))),2))</f>
        <v/>
      </c>
      <c r="Q397" s="41" t="str">
        <f aca="false">IF($C397="","",ROUND(N($K397)-N($P397),2))</f>
        <v/>
      </c>
      <c r="R397" s="29" t="str">
        <f aca="false">IF($C397="","",YEAR($C397))</f>
        <v/>
      </c>
      <c r="S397" s="24"/>
      <c r="T397" s="35" t="str">
        <f aca="false">IF($C397="","",IF($D397="","★没选客户项目",IF(COUNTIF(合同键,$D397)=0,"★《维保合同》里没这个项目",IF(N($K397)&lt;=0,"★应收金额要填",IF(ROUND(N($N397)-N($K397),2)&gt;0.001,"★开票金额大于应收",IF(AND($L397&lt;&gt;"",N($N397)&lt;=0),"★填了开票日期没填开票金额",IF(AND($I397&lt;&gt;"",$J397&lt;&gt;"",$J397&lt;$I397),"★计费期间起止反了","OK")))))))</f>
        <v/>
      </c>
      <c r="U397" s="29" t="str">
        <f aca="false">IF($L397="","",YEAR($L397))</f>
        <v/>
      </c>
      <c r="V397" s="40" t="str">
        <f aca="false">IF($C397="","",ROUND(SUMIF(收款关联,$B397,收款金额),2))</f>
        <v/>
      </c>
      <c r="W397" s="40" t="str">
        <f aca="false">IF($C397="","",MAX(0,ROUND(N($K397)-N($V397),2)))</f>
        <v/>
      </c>
      <c r="X397" s="40" t="str">
        <f aca="false">IF($C397="","",ROUND(SUMIFS(应收净额,应收键,$D397,应收行号,"&lt;="&amp;ROW()),2))</f>
        <v/>
      </c>
      <c r="Y397" s="29" t="str">
        <f aca="false">IF($C397="","",ROW())</f>
        <v/>
      </c>
    </row>
    <row r="398" customFormat="false" ht="15" hidden="false" customHeight="false" outlineLevel="0" collapsed="false">
      <c r="A398" s="29" t="str">
        <f aca="false">IF($C398="","",ROW()-4)</f>
        <v/>
      </c>
      <c r="B398" s="35" t="str">
        <f aca="false">IF($C398="","","YS"&amp;TEXT($C398,"yyyymm")&amp;"-"&amp;TEXT(ROW()-4,"0000"))</f>
        <v/>
      </c>
      <c r="C398" s="33"/>
      <c r="D398" s="24"/>
      <c r="E398" s="30" t="str">
        <f aca="false">IF($D398="","",IFERROR(INDEX(合同单位,MATCH($D398,合同键,0)),IFERROR(TRIM(LEFT($D398,FIND("｜",$D398)-1)),$D398)))</f>
        <v/>
      </c>
      <c r="F398" s="30" t="str">
        <f aca="false">IF($D398="","",IFERROR(INDEX(合同项目,MATCH($D398,合同键,0)),IFERROR(TRIM(MID($D398,FIND("｜",$D398)+1,99)),"")))</f>
        <v/>
      </c>
      <c r="G398" s="24"/>
      <c r="H398" s="35" t="str">
        <f aca="false">IF($G398="","",IFERROR(INDEX(费用款别,MATCH($G398,费用类别表,0)),"合同外款"))</f>
        <v/>
      </c>
      <c r="I398" s="33"/>
      <c r="J398" s="33"/>
      <c r="K398" s="39"/>
      <c r="L398" s="33"/>
      <c r="M398" s="25"/>
      <c r="N398" s="39"/>
      <c r="O398" s="35" t="str">
        <f aca="false">IF($C398="","",IF(N($N398)&lt;=0,"未开票",IF(ROUND(N($N398)-N($K398),2)&gt;=0,"已开票",IFERROR("部分开票 "&amp;TEXT(N($N398)/N($K398),"0%"),"部分开票"))))</f>
        <v/>
      </c>
      <c r="P398" s="40" t="str">
        <f aca="false">IF($C398="","",ROUND($V398+MIN($W398,MAX(0,(SUMIF(收款键,$D398,收款金额)-SUMIFS(收款金额,收款键,$D398,收款关联,"&lt;&gt;"))-($X398-$W398))),2))</f>
        <v/>
      </c>
      <c r="Q398" s="41" t="str">
        <f aca="false">IF($C398="","",ROUND(N($K398)-N($P398),2))</f>
        <v/>
      </c>
      <c r="R398" s="29" t="str">
        <f aca="false">IF($C398="","",YEAR($C398))</f>
        <v/>
      </c>
      <c r="S398" s="24"/>
      <c r="T398" s="35" t="str">
        <f aca="false">IF($C398="","",IF($D398="","★没选客户项目",IF(COUNTIF(合同键,$D398)=0,"★《维保合同》里没这个项目",IF(N($K398)&lt;=0,"★应收金额要填",IF(ROUND(N($N398)-N($K398),2)&gt;0.001,"★开票金额大于应收",IF(AND($L398&lt;&gt;"",N($N398)&lt;=0),"★填了开票日期没填开票金额",IF(AND($I398&lt;&gt;"",$J398&lt;&gt;"",$J398&lt;$I398),"★计费期间起止反了","OK")))))))</f>
        <v/>
      </c>
      <c r="U398" s="29" t="str">
        <f aca="false">IF($L398="","",YEAR($L398))</f>
        <v/>
      </c>
      <c r="V398" s="40" t="str">
        <f aca="false">IF($C398="","",ROUND(SUMIF(收款关联,$B398,收款金额),2))</f>
        <v/>
      </c>
      <c r="W398" s="40" t="str">
        <f aca="false">IF($C398="","",MAX(0,ROUND(N($K398)-N($V398),2)))</f>
        <v/>
      </c>
      <c r="X398" s="40" t="str">
        <f aca="false">IF($C398="","",ROUND(SUMIFS(应收净额,应收键,$D398,应收行号,"&lt;="&amp;ROW()),2))</f>
        <v/>
      </c>
      <c r="Y398" s="29" t="str">
        <f aca="false">IF($C398="","",ROW())</f>
        <v/>
      </c>
    </row>
    <row r="399" customFormat="false" ht="15" hidden="false" customHeight="false" outlineLevel="0" collapsed="false">
      <c r="A399" s="29" t="str">
        <f aca="false">IF($C399="","",ROW()-4)</f>
        <v/>
      </c>
      <c r="B399" s="35" t="str">
        <f aca="false">IF($C399="","","YS"&amp;TEXT($C399,"yyyymm")&amp;"-"&amp;TEXT(ROW()-4,"0000"))</f>
        <v/>
      </c>
      <c r="C399" s="33"/>
      <c r="D399" s="24"/>
      <c r="E399" s="30" t="str">
        <f aca="false">IF($D399="","",IFERROR(INDEX(合同单位,MATCH($D399,合同键,0)),IFERROR(TRIM(LEFT($D399,FIND("｜",$D399)-1)),$D399)))</f>
        <v/>
      </c>
      <c r="F399" s="30" t="str">
        <f aca="false">IF($D399="","",IFERROR(INDEX(合同项目,MATCH($D399,合同键,0)),IFERROR(TRIM(MID($D399,FIND("｜",$D399)+1,99)),"")))</f>
        <v/>
      </c>
      <c r="G399" s="24"/>
      <c r="H399" s="35" t="str">
        <f aca="false">IF($G399="","",IFERROR(INDEX(费用款别,MATCH($G399,费用类别表,0)),"合同外款"))</f>
        <v/>
      </c>
      <c r="I399" s="33"/>
      <c r="J399" s="33"/>
      <c r="K399" s="39"/>
      <c r="L399" s="33"/>
      <c r="M399" s="25"/>
      <c r="N399" s="39"/>
      <c r="O399" s="35" t="str">
        <f aca="false">IF($C399="","",IF(N($N399)&lt;=0,"未开票",IF(ROUND(N($N399)-N($K399),2)&gt;=0,"已开票",IFERROR("部分开票 "&amp;TEXT(N($N399)/N($K399),"0%"),"部分开票"))))</f>
        <v/>
      </c>
      <c r="P399" s="40" t="str">
        <f aca="false">IF($C399="","",ROUND($V399+MIN($W399,MAX(0,(SUMIF(收款键,$D399,收款金额)-SUMIFS(收款金额,收款键,$D399,收款关联,"&lt;&gt;"))-($X399-$W399))),2))</f>
        <v/>
      </c>
      <c r="Q399" s="41" t="str">
        <f aca="false">IF($C399="","",ROUND(N($K399)-N($P399),2))</f>
        <v/>
      </c>
      <c r="R399" s="29" t="str">
        <f aca="false">IF($C399="","",YEAR($C399))</f>
        <v/>
      </c>
      <c r="S399" s="24"/>
      <c r="T399" s="35" t="str">
        <f aca="false">IF($C399="","",IF($D399="","★没选客户项目",IF(COUNTIF(合同键,$D399)=0,"★《维保合同》里没这个项目",IF(N($K399)&lt;=0,"★应收金额要填",IF(ROUND(N($N399)-N($K399),2)&gt;0.001,"★开票金额大于应收",IF(AND($L399&lt;&gt;"",N($N399)&lt;=0),"★填了开票日期没填开票金额",IF(AND($I399&lt;&gt;"",$J399&lt;&gt;"",$J399&lt;$I399),"★计费期间起止反了","OK")))))))</f>
        <v/>
      </c>
      <c r="U399" s="29" t="str">
        <f aca="false">IF($L399="","",YEAR($L399))</f>
        <v/>
      </c>
      <c r="V399" s="40" t="str">
        <f aca="false">IF($C399="","",ROUND(SUMIF(收款关联,$B399,收款金额),2))</f>
        <v/>
      </c>
      <c r="W399" s="40" t="str">
        <f aca="false">IF($C399="","",MAX(0,ROUND(N($K399)-N($V399),2)))</f>
        <v/>
      </c>
      <c r="X399" s="40" t="str">
        <f aca="false">IF($C399="","",ROUND(SUMIFS(应收净额,应收键,$D399,应收行号,"&lt;="&amp;ROW()),2))</f>
        <v/>
      </c>
      <c r="Y399" s="29" t="str">
        <f aca="false">IF($C399="","",ROW())</f>
        <v/>
      </c>
    </row>
    <row r="400" customFormat="false" ht="15" hidden="false" customHeight="false" outlineLevel="0" collapsed="false">
      <c r="A400" s="29" t="str">
        <f aca="false">IF($C400="","",ROW()-4)</f>
        <v/>
      </c>
      <c r="B400" s="35" t="str">
        <f aca="false">IF($C400="","","YS"&amp;TEXT($C400,"yyyymm")&amp;"-"&amp;TEXT(ROW()-4,"0000"))</f>
        <v/>
      </c>
      <c r="C400" s="33"/>
      <c r="D400" s="24"/>
      <c r="E400" s="30" t="str">
        <f aca="false">IF($D400="","",IFERROR(INDEX(合同单位,MATCH($D400,合同键,0)),IFERROR(TRIM(LEFT($D400,FIND("｜",$D400)-1)),$D400)))</f>
        <v/>
      </c>
      <c r="F400" s="30" t="str">
        <f aca="false">IF($D400="","",IFERROR(INDEX(合同项目,MATCH($D400,合同键,0)),IFERROR(TRIM(MID($D400,FIND("｜",$D400)+1,99)),"")))</f>
        <v/>
      </c>
      <c r="G400" s="24"/>
      <c r="H400" s="35" t="str">
        <f aca="false">IF($G400="","",IFERROR(INDEX(费用款别,MATCH($G400,费用类别表,0)),"合同外款"))</f>
        <v/>
      </c>
      <c r="I400" s="33"/>
      <c r="J400" s="33"/>
      <c r="K400" s="39"/>
      <c r="L400" s="33"/>
      <c r="M400" s="25"/>
      <c r="N400" s="39"/>
      <c r="O400" s="35" t="str">
        <f aca="false">IF($C400="","",IF(N($N400)&lt;=0,"未开票",IF(ROUND(N($N400)-N($K400),2)&gt;=0,"已开票",IFERROR("部分开票 "&amp;TEXT(N($N400)/N($K400),"0%"),"部分开票"))))</f>
        <v/>
      </c>
      <c r="P400" s="40" t="str">
        <f aca="false">IF($C400="","",ROUND($V400+MIN($W400,MAX(0,(SUMIF(收款键,$D400,收款金额)-SUMIFS(收款金额,收款键,$D400,收款关联,"&lt;&gt;"))-($X400-$W400))),2))</f>
        <v/>
      </c>
      <c r="Q400" s="41" t="str">
        <f aca="false">IF($C400="","",ROUND(N($K400)-N($P400),2))</f>
        <v/>
      </c>
      <c r="R400" s="29" t="str">
        <f aca="false">IF($C400="","",YEAR($C400))</f>
        <v/>
      </c>
      <c r="S400" s="24"/>
      <c r="T400" s="35" t="str">
        <f aca="false">IF($C400="","",IF($D400="","★没选客户项目",IF(COUNTIF(合同键,$D400)=0,"★《维保合同》里没这个项目",IF(N($K400)&lt;=0,"★应收金额要填",IF(ROUND(N($N400)-N($K400),2)&gt;0.001,"★开票金额大于应收",IF(AND($L400&lt;&gt;"",N($N400)&lt;=0),"★填了开票日期没填开票金额",IF(AND($I400&lt;&gt;"",$J400&lt;&gt;"",$J400&lt;$I400),"★计费期间起止反了","OK")))))))</f>
        <v/>
      </c>
      <c r="U400" s="29" t="str">
        <f aca="false">IF($L400="","",YEAR($L400))</f>
        <v/>
      </c>
      <c r="V400" s="40" t="str">
        <f aca="false">IF($C400="","",ROUND(SUMIF(收款关联,$B400,收款金额),2))</f>
        <v/>
      </c>
      <c r="W400" s="40" t="str">
        <f aca="false">IF($C400="","",MAX(0,ROUND(N($K400)-N($V400),2)))</f>
        <v/>
      </c>
      <c r="X400" s="40" t="str">
        <f aca="false">IF($C400="","",ROUND(SUMIFS(应收净额,应收键,$D400,应收行号,"&lt;="&amp;ROW()),2))</f>
        <v/>
      </c>
      <c r="Y400" s="29" t="str">
        <f aca="false">IF($C400="","",ROW())</f>
        <v/>
      </c>
    </row>
    <row r="401" customFormat="false" ht="15" hidden="false" customHeight="false" outlineLevel="0" collapsed="false">
      <c r="A401" s="29" t="str">
        <f aca="false">IF($C401="","",ROW()-4)</f>
        <v/>
      </c>
      <c r="B401" s="35" t="str">
        <f aca="false">IF($C401="","","YS"&amp;TEXT($C401,"yyyymm")&amp;"-"&amp;TEXT(ROW()-4,"0000"))</f>
        <v/>
      </c>
      <c r="C401" s="33"/>
      <c r="D401" s="24"/>
      <c r="E401" s="30" t="str">
        <f aca="false">IF($D401="","",IFERROR(INDEX(合同单位,MATCH($D401,合同键,0)),IFERROR(TRIM(LEFT($D401,FIND("｜",$D401)-1)),$D401)))</f>
        <v/>
      </c>
      <c r="F401" s="30" t="str">
        <f aca="false">IF($D401="","",IFERROR(INDEX(合同项目,MATCH($D401,合同键,0)),IFERROR(TRIM(MID($D401,FIND("｜",$D401)+1,99)),"")))</f>
        <v/>
      </c>
      <c r="G401" s="24"/>
      <c r="H401" s="35" t="str">
        <f aca="false">IF($G401="","",IFERROR(INDEX(费用款别,MATCH($G401,费用类别表,0)),"合同外款"))</f>
        <v/>
      </c>
      <c r="I401" s="33"/>
      <c r="J401" s="33"/>
      <c r="K401" s="39"/>
      <c r="L401" s="33"/>
      <c r="M401" s="25"/>
      <c r="N401" s="39"/>
      <c r="O401" s="35" t="str">
        <f aca="false">IF($C401="","",IF(N($N401)&lt;=0,"未开票",IF(ROUND(N($N401)-N($K401),2)&gt;=0,"已开票",IFERROR("部分开票 "&amp;TEXT(N($N401)/N($K401),"0%"),"部分开票"))))</f>
        <v/>
      </c>
      <c r="P401" s="40" t="str">
        <f aca="false">IF($C401="","",ROUND($V401+MIN($W401,MAX(0,(SUMIF(收款键,$D401,收款金额)-SUMIFS(收款金额,收款键,$D401,收款关联,"&lt;&gt;"))-($X401-$W401))),2))</f>
        <v/>
      </c>
      <c r="Q401" s="41" t="str">
        <f aca="false">IF($C401="","",ROUND(N($K401)-N($P401),2))</f>
        <v/>
      </c>
      <c r="R401" s="29" t="str">
        <f aca="false">IF($C401="","",YEAR($C401))</f>
        <v/>
      </c>
      <c r="S401" s="24"/>
      <c r="T401" s="35" t="str">
        <f aca="false">IF($C401="","",IF($D401="","★没选客户项目",IF(COUNTIF(合同键,$D401)=0,"★《维保合同》里没这个项目",IF(N($K401)&lt;=0,"★应收金额要填",IF(ROUND(N($N401)-N($K401),2)&gt;0.001,"★开票金额大于应收",IF(AND($L401&lt;&gt;"",N($N401)&lt;=0),"★填了开票日期没填开票金额",IF(AND($I401&lt;&gt;"",$J401&lt;&gt;"",$J401&lt;$I401),"★计费期间起止反了","OK")))))))</f>
        <v/>
      </c>
      <c r="U401" s="29" t="str">
        <f aca="false">IF($L401="","",YEAR($L401))</f>
        <v/>
      </c>
      <c r="V401" s="40" t="str">
        <f aca="false">IF($C401="","",ROUND(SUMIF(收款关联,$B401,收款金额),2))</f>
        <v/>
      </c>
      <c r="W401" s="40" t="str">
        <f aca="false">IF($C401="","",MAX(0,ROUND(N($K401)-N($V401),2)))</f>
        <v/>
      </c>
      <c r="X401" s="40" t="str">
        <f aca="false">IF($C401="","",ROUND(SUMIFS(应收净额,应收键,$D401,应收行号,"&lt;="&amp;ROW()),2))</f>
        <v/>
      </c>
      <c r="Y401" s="29" t="str">
        <f aca="false">IF($C401="","",ROW())</f>
        <v/>
      </c>
    </row>
    <row r="402" customFormat="false" ht="15" hidden="false" customHeight="false" outlineLevel="0" collapsed="false">
      <c r="A402" s="29" t="str">
        <f aca="false">IF($C402="","",ROW()-4)</f>
        <v/>
      </c>
      <c r="B402" s="35" t="str">
        <f aca="false">IF($C402="","","YS"&amp;TEXT($C402,"yyyymm")&amp;"-"&amp;TEXT(ROW()-4,"0000"))</f>
        <v/>
      </c>
      <c r="C402" s="33"/>
      <c r="D402" s="24"/>
      <c r="E402" s="30" t="str">
        <f aca="false">IF($D402="","",IFERROR(INDEX(合同单位,MATCH($D402,合同键,0)),IFERROR(TRIM(LEFT($D402,FIND("｜",$D402)-1)),$D402)))</f>
        <v/>
      </c>
      <c r="F402" s="30" t="str">
        <f aca="false">IF($D402="","",IFERROR(INDEX(合同项目,MATCH($D402,合同键,0)),IFERROR(TRIM(MID($D402,FIND("｜",$D402)+1,99)),"")))</f>
        <v/>
      </c>
      <c r="G402" s="24"/>
      <c r="H402" s="35" t="str">
        <f aca="false">IF($G402="","",IFERROR(INDEX(费用款别,MATCH($G402,费用类别表,0)),"合同外款"))</f>
        <v/>
      </c>
      <c r="I402" s="33"/>
      <c r="J402" s="33"/>
      <c r="K402" s="39"/>
      <c r="L402" s="33"/>
      <c r="M402" s="25"/>
      <c r="N402" s="39"/>
      <c r="O402" s="35" t="str">
        <f aca="false">IF($C402="","",IF(N($N402)&lt;=0,"未开票",IF(ROUND(N($N402)-N($K402),2)&gt;=0,"已开票",IFERROR("部分开票 "&amp;TEXT(N($N402)/N($K402),"0%"),"部分开票"))))</f>
        <v/>
      </c>
      <c r="P402" s="40" t="str">
        <f aca="false">IF($C402="","",ROUND($V402+MIN($W402,MAX(0,(SUMIF(收款键,$D402,收款金额)-SUMIFS(收款金额,收款键,$D402,收款关联,"&lt;&gt;"))-($X402-$W402))),2))</f>
        <v/>
      </c>
      <c r="Q402" s="41" t="str">
        <f aca="false">IF($C402="","",ROUND(N($K402)-N($P402),2))</f>
        <v/>
      </c>
      <c r="R402" s="29" t="str">
        <f aca="false">IF($C402="","",YEAR($C402))</f>
        <v/>
      </c>
      <c r="S402" s="24"/>
      <c r="T402" s="35" t="str">
        <f aca="false">IF($C402="","",IF($D402="","★没选客户项目",IF(COUNTIF(合同键,$D402)=0,"★《维保合同》里没这个项目",IF(N($K402)&lt;=0,"★应收金额要填",IF(ROUND(N($N402)-N($K402),2)&gt;0.001,"★开票金额大于应收",IF(AND($L402&lt;&gt;"",N($N402)&lt;=0),"★填了开票日期没填开票金额",IF(AND($I402&lt;&gt;"",$J402&lt;&gt;"",$J402&lt;$I402),"★计费期间起止反了","OK")))))))</f>
        <v/>
      </c>
      <c r="U402" s="29" t="str">
        <f aca="false">IF($L402="","",YEAR($L402))</f>
        <v/>
      </c>
      <c r="V402" s="40" t="str">
        <f aca="false">IF($C402="","",ROUND(SUMIF(收款关联,$B402,收款金额),2))</f>
        <v/>
      </c>
      <c r="W402" s="40" t="str">
        <f aca="false">IF($C402="","",MAX(0,ROUND(N($K402)-N($V402),2)))</f>
        <v/>
      </c>
      <c r="X402" s="40" t="str">
        <f aca="false">IF($C402="","",ROUND(SUMIFS(应收净额,应收键,$D402,应收行号,"&lt;="&amp;ROW()),2))</f>
        <v/>
      </c>
      <c r="Y402" s="29" t="str">
        <f aca="false">IF($C402="","",ROW())</f>
        <v/>
      </c>
    </row>
    <row r="403" customFormat="false" ht="15" hidden="false" customHeight="false" outlineLevel="0" collapsed="false">
      <c r="A403" s="29" t="str">
        <f aca="false">IF($C403="","",ROW()-4)</f>
        <v/>
      </c>
      <c r="B403" s="35" t="str">
        <f aca="false">IF($C403="","","YS"&amp;TEXT($C403,"yyyymm")&amp;"-"&amp;TEXT(ROW()-4,"0000"))</f>
        <v/>
      </c>
      <c r="C403" s="33"/>
      <c r="D403" s="24"/>
      <c r="E403" s="30" t="str">
        <f aca="false">IF($D403="","",IFERROR(INDEX(合同单位,MATCH($D403,合同键,0)),IFERROR(TRIM(LEFT($D403,FIND("｜",$D403)-1)),$D403)))</f>
        <v/>
      </c>
      <c r="F403" s="30" t="str">
        <f aca="false">IF($D403="","",IFERROR(INDEX(合同项目,MATCH($D403,合同键,0)),IFERROR(TRIM(MID($D403,FIND("｜",$D403)+1,99)),"")))</f>
        <v/>
      </c>
      <c r="G403" s="24"/>
      <c r="H403" s="35" t="str">
        <f aca="false">IF($G403="","",IFERROR(INDEX(费用款别,MATCH($G403,费用类别表,0)),"合同外款"))</f>
        <v/>
      </c>
      <c r="I403" s="33"/>
      <c r="J403" s="33"/>
      <c r="K403" s="39"/>
      <c r="L403" s="33"/>
      <c r="M403" s="25"/>
      <c r="N403" s="39"/>
      <c r="O403" s="35" t="str">
        <f aca="false">IF($C403="","",IF(N($N403)&lt;=0,"未开票",IF(ROUND(N($N403)-N($K403),2)&gt;=0,"已开票",IFERROR("部分开票 "&amp;TEXT(N($N403)/N($K403),"0%"),"部分开票"))))</f>
        <v/>
      </c>
      <c r="P403" s="40" t="str">
        <f aca="false">IF($C403="","",ROUND($V403+MIN($W403,MAX(0,(SUMIF(收款键,$D403,收款金额)-SUMIFS(收款金额,收款键,$D403,收款关联,"&lt;&gt;"))-($X403-$W403))),2))</f>
        <v/>
      </c>
      <c r="Q403" s="41" t="str">
        <f aca="false">IF($C403="","",ROUND(N($K403)-N($P403),2))</f>
        <v/>
      </c>
      <c r="R403" s="29" t="str">
        <f aca="false">IF($C403="","",YEAR($C403))</f>
        <v/>
      </c>
      <c r="S403" s="24"/>
      <c r="T403" s="35" t="str">
        <f aca="false">IF($C403="","",IF($D403="","★没选客户项目",IF(COUNTIF(合同键,$D403)=0,"★《维保合同》里没这个项目",IF(N($K403)&lt;=0,"★应收金额要填",IF(ROUND(N($N403)-N($K403),2)&gt;0.001,"★开票金额大于应收",IF(AND($L403&lt;&gt;"",N($N403)&lt;=0),"★填了开票日期没填开票金额",IF(AND($I403&lt;&gt;"",$J403&lt;&gt;"",$J403&lt;$I403),"★计费期间起止反了","OK")))))))</f>
        <v/>
      </c>
      <c r="U403" s="29" t="str">
        <f aca="false">IF($L403="","",YEAR($L403))</f>
        <v/>
      </c>
      <c r="V403" s="40" t="str">
        <f aca="false">IF($C403="","",ROUND(SUMIF(收款关联,$B403,收款金额),2))</f>
        <v/>
      </c>
      <c r="W403" s="40" t="str">
        <f aca="false">IF($C403="","",MAX(0,ROUND(N($K403)-N($V403),2)))</f>
        <v/>
      </c>
      <c r="X403" s="40" t="str">
        <f aca="false">IF($C403="","",ROUND(SUMIFS(应收净额,应收键,$D403,应收行号,"&lt;="&amp;ROW()),2))</f>
        <v/>
      </c>
      <c r="Y403" s="29" t="str">
        <f aca="false">IF($C403="","",ROW())</f>
        <v/>
      </c>
    </row>
    <row r="404" customFormat="false" ht="15" hidden="false" customHeight="false" outlineLevel="0" collapsed="false">
      <c r="A404" s="29" t="str">
        <f aca="false">IF($C404="","",ROW()-4)</f>
        <v/>
      </c>
      <c r="B404" s="35" t="str">
        <f aca="false">IF($C404="","","YS"&amp;TEXT($C404,"yyyymm")&amp;"-"&amp;TEXT(ROW()-4,"0000"))</f>
        <v/>
      </c>
      <c r="C404" s="33"/>
      <c r="D404" s="24"/>
      <c r="E404" s="30" t="str">
        <f aca="false">IF($D404="","",IFERROR(INDEX(合同单位,MATCH($D404,合同键,0)),IFERROR(TRIM(LEFT($D404,FIND("｜",$D404)-1)),$D404)))</f>
        <v/>
      </c>
      <c r="F404" s="30" t="str">
        <f aca="false">IF($D404="","",IFERROR(INDEX(合同项目,MATCH($D404,合同键,0)),IFERROR(TRIM(MID($D404,FIND("｜",$D404)+1,99)),"")))</f>
        <v/>
      </c>
      <c r="G404" s="24"/>
      <c r="H404" s="35" t="str">
        <f aca="false">IF($G404="","",IFERROR(INDEX(费用款别,MATCH($G404,费用类别表,0)),"合同外款"))</f>
        <v/>
      </c>
      <c r="I404" s="33"/>
      <c r="J404" s="33"/>
      <c r="K404" s="39"/>
      <c r="L404" s="33"/>
      <c r="M404" s="25"/>
      <c r="N404" s="39"/>
      <c r="O404" s="35" t="str">
        <f aca="false">IF($C404="","",IF(N($N404)&lt;=0,"未开票",IF(ROUND(N($N404)-N($K404),2)&gt;=0,"已开票",IFERROR("部分开票 "&amp;TEXT(N($N404)/N($K404),"0%"),"部分开票"))))</f>
        <v/>
      </c>
      <c r="P404" s="40" t="str">
        <f aca="false">IF($C404="","",ROUND($V404+MIN($W404,MAX(0,(SUMIF(收款键,$D404,收款金额)-SUMIFS(收款金额,收款键,$D404,收款关联,"&lt;&gt;"))-($X404-$W404))),2))</f>
        <v/>
      </c>
      <c r="Q404" s="41" t="str">
        <f aca="false">IF($C404="","",ROUND(N($K404)-N($P404),2))</f>
        <v/>
      </c>
      <c r="R404" s="29" t="str">
        <f aca="false">IF($C404="","",YEAR($C404))</f>
        <v/>
      </c>
      <c r="S404" s="24"/>
      <c r="T404" s="35" t="str">
        <f aca="false">IF($C404="","",IF($D404="","★没选客户项目",IF(COUNTIF(合同键,$D404)=0,"★《维保合同》里没这个项目",IF(N($K404)&lt;=0,"★应收金额要填",IF(ROUND(N($N404)-N($K404),2)&gt;0.001,"★开票金额大于应收",IF(AND($L404&lt;&gt;"",N($N404)&lt;=0),"★填了开票日期没填开票金额",IF(AND($I404&lt;&gt;"",$J404&lt;&gt;"",$J404&lt;$I404),"★计费期间起止反了","OK")))))))</f>
        <v/>
      </c>
      <c r="U404" s="29" t="str">
        <f aca="false">IF($L404="","",YEAR($L404))</f>
        <v/>
      </c>
      <c r="V404" s="40" t="str">
        <f aca="false">IF($C404="","",ROUND(SUMIF(收款关联,$B404,收款金额),2))</f>
        <v/>
      </c>
      <c r="W404" s="40" t="str">
        <f aca="false">IF($C404="","",MAX(0,ROUND(N($K404)-N($V404),2)))</f>
        <v/>
      </c>
      <c r="X404" s="40" t="str">
        <f aca="false">IF($C404="","",ROUND(SUMIFS(应收净额,应收键,$D404,应收行号,"&lt;="&amp;ROW()),2))</f>
        <v/>
      </c>
      <c r="Y404" s="29" t="str">
        <f aca="false">IF($C404="","",ROW())</f>
        <v/>
      </c>
    </row>
    <row r="405" customFormat="false" ht="15" hidden="false" customHeight="false" outlineLevel="0" collapsed="false">
      <c r="A405" s="29" t="str">
        <f aca="false">IF($C405="","",ROW()-4)</f>
        <v/>
      </c>
      <c r="B405" s="35" t="str">
        <f aca="false">IF($C405="","","YS"&amp;TEXT($C405,"yyyymm")&amp;"-"&amp;TEXT(ROW()-4,"0000"))</f>
        <v/>
      </c>
      <c r="C405" s="33"/>
      <c r="D405" s="24"/>
      <c r="E405" s="30" t="str">
        <f aca="false">IF($D405="","",IFERROR(INDEX(合同单位,MATCH($D405,合同键,0)),IFERROR(TRIM(LEFT($D405,FIND("｜",$D405)-1)),$D405)))</f>
        <v/>
      </c>
      <c r="F405" s="30" t="str">
        <f aca="false">IF($D405="","",IFERROR(INDEX(合同项目,MATCH($D405,合同键,0)),IFERROR(TRIM(MID($D405,FIND("｜",$D405)+1,99)),"")))</f>
        <v/>
      </c>
      <c r="G405" s="24"/>
      <c r="H405" s="35" t="str">
        <f aca="false">IF($G405="","",IFERROR(INDEX(费用款别,MATCH($G405,费用类别表,0)),"合同外款"))</f>
        <v/>
      </c>
      <c r="I405" s="33"/>
      <c r="J405" s="33"/>
      <c r="K405" s="39"/>
      <c r="L405" s="33"/>
      <c r="M405" s="25"/>
      <c r="N405" s="39"/>
      <c r="O405" s="35" t="str">
        <f aca="false">IF($C405="","",IF(N($N405)&lt;=0,"未开票",IF(ROUND(N($N405)-N($K405),2)&gt;=0,"已开票",IFERROR("部分开票 "&amp;TEXT(N($N405)/N($K405),"0%"),"部分开票"))))</f>
        <v/>
      </c>
      <c r="P405" s="40" t="str">
        <f aca="false">IF($C405="","",ROUND($V405+MIN($W405,MAX(0,(SUMIF(收款键,$D405,收款金额)-SUMIFS(收款金额,收款键,$D405,收款关联,"&lt;&gt;"))-($X405-$W405))),2))</f>
        <v/>
      </c>
      <c r="Q405" s="41" t="str">
        <f aca="false">IF($C405="","",ROUND(N($K405)-N($P405),2))</f>
        <v/>
      </c>
      <c r="R405" s="29" t="str">
        <f aca="false">IF($C405="","",YEAR($C405))</f>
        <v/>
      </c>
      <c r="S405" s="24"/>
      <c r="T405" s="35" t="str">
        <f aca="false">IF($C405="","",IF($D405="","★没选客户项目",IF(COUNTIF(合同键,$D405)=0,"★《维保合同》里没这个项目",IF(N($K405)&lt;=0,"★应收金额要填",IF(ROUND(N($N405)-N($K405),2)&gt;0.001,"★开票金额大于应收",IF(AND($L405&lt;&gt;"",N($N405)&lt;=0),"★填了开票日期没填开票金额",IF(AND($I405&lt;&gt;"",$J405&lt;&gt;"",$J405&lt;$I405),"★计费期间起止反了","OK")))))))</f>
        <v/>
      </c>
      <c r="U405" s="29" t="str">
        <f aca="false">IF($L405="","",YEAR($L405))</f>
        <v/>
      </c>
      <c r="V405" s="40" t="str">
        <f aca="false">IF($C405="","",ROUND(SUMIF(收款关联,$B405,收款金额),2))</f>
        <v/>
      </c>
      <c r="W405" s="40" t="str">
        <f aca="false">IF($C405="","",MAX(0,ROUND(N($K405)-N($V405),2)))</f>
        <v/>
      </c>
      <c r="X405" s="40" t="str">
        <f aca="false">IF($C405="","",ROUND(SUMIFS(应收净额,应收键,$D405,应收行号,"&lt;="&amp;ROW()),2))</f>
        <v/>
      </c>
      <c r="Y405" s="29" t="str">
        <f aca="false">IF($C405="","",ROW())</f>
        <v/>
      </c>
    </row>
    <row r="406" customFormat="false" ht="15" hidden="false" customHeight="false" outlineLevel="0" collapsed="false">
      <c r="A406" s="29" t="str">
        <f aca="false">IF($C406="","",ROW()-4)</f>
        <v/>
      </c>
      <c r="B406" s="35" t="str">
        <f aca="false">IF($C406="","","YS"&amp;TEXT($C406,"yyyymm")&amp;"-"&amp;TEXT(ROW()-4,"0000"))</f>
        <v/>
      </c>
      <c r="C406" s="33"/>
      <c r="D406" s="24"/>
      <c r="E406" s="30" t="str">
        <f aca="false">IF($D406="","",IFERROR(INDEX(合同单位,MATCH($D406,合同键,0)),IFERROR(TRIM(LEFT($D406,FIND("｜",$D406)-1)),$D406)))</f>
        <v/>
      </c>
      <c r="F406" s="30" t="str">
        <f aca="false">IF($D406="","",IFERROR(INDEX(合同项目,MATCH($D406,合同键,0)),IFERROR(TRIM(MID($D406,FIND("｜",$D406)+1,99)),"")))</f>
        <v/>
      </c>
      <c r="G406" s="24"/>
      <c r="H406" s="35" t="str">
        <f aca="false">IF($G406="","",IFERROR(INDEX(费用款别,MATCH($G406,费用类别表,0)),"合同外款"))</f>
        <v/>
      </c>
      <c r="I406" s="33"/>
      <c r="J406" s="33"/>
      <c r="K406" s="39"/>
      <c r="L406" s="33"/>
      <c r="M406" s="25"/>
      <c r="N406" s="39"/>
      <c r="O406" s="35" t="str">
        <f aca="false">IF($C406="","",IF(N($N406)&lt;=0,"未开票",IF(ROUND(N($N406)-N($K406),2)&gt;=0,"已开票",IFERROR("部分开票 "&amp;TEXT(N($N406)/N($K406),"0%"),"部分开票"))))</f>
        <v/>
      </c>
      <c r="P406" s="40" t="str">
        <f aca="false">IF($C406="","",ROUND($V406+MIN($W406,MAX(0,(SUMIF(收款键,$D406,收款金额)-SUMIFS(收款金额,收款键,$D406,收款关联,"&lt;&gt;"))-($X406-$W406))),2))</f>
        <v/>
      </c>
      <c r="Q406" s="41" t="str">
        <f aca="false">IF($C406="","",ROUND(N($K406)-N($P406),2))</f>
        <v/>
      </c>
      <c r="R406" s="29" t="str">
        <f aca="false">IF($C406="","",YEAR($C406))</f>
        <v/>
      </c>
      <c r="S406" s="24"/>
      <c r="T406" s="35" t="str">
        <f aca="false">IF($C406="","",IF($D406="","★没选客户项目",IF(COUNTIF(合同键,$D406)=0,"★《维保合同》里没这个项目",IF(N($K406)&lt;=0,"★应收金额要填",IF(ROUND(N($N406)-N($K406),2)&gt;0.001,"★开票金额大于应收",IF(AND($L406&lt;&gt;"",N($N406)&lt;=0),"★填了开票日期没填开票金额",IF(AND($I406&lt;&gt;"",$J406&lt;&gt;"",$J406&lt;$I406),"★计费期间起止反了","OK")))))))</f>
        <v/>
      </c>
      <c r="U406" s="29" t="str">
        <f aca="false">IF($L406="","",YEAR($L406))</f>
        <v/>
      </c>
      <c r="V406" s="40" t="str">
        <f aca="false">IF($C406="","",ROUND(SUMIF(收款关联,$B406,收款金额),2))</f>
        <v/>
      </c>
      <c r="W406" s="40" t="str">
        <f aca="false">IF($C406="","",MAX(0,ROUND(N($K406)-N($V406),2)))</f>
        <v/>
      </c>
      <c r="X406" s="40" t="str">
        <f aca="false">IF($C406="","",ROUND(SUMIFS(应收净额,应收键,$D406,应收行号,"&lt;="&amp;ROW()),2))</f>
        <v/>
      </c>
      <c r="Y406" s="29" t="str">
        <f aca="false">IF($C406="","",ROW())</f>
        <v/>
      </c>
    </row>
    <row r="407" customFormat="false" ht="15" hidden="false" customHeight="false" outlineLevel="0" collapsed="false">
      <c r="A407" s="29" t="str">
        <f aca="false">IF($C407="","",ROW()-4)</f>
        <v/>
      </c>
      <c r="B407" s="35" t="str">
        <f aca="false">IF($C407="","","YS"&amp;TEXT($C407,"yyyymm")&amp;"-"&amp;TEXT(ROW()-4,"0000"))</f>
        <v/>
      </c>
      <c r="C407" s="33"/>
      <c r="D407" s="24"/>
      <c r="E407" s="30" t="str">
        <f aca="false">IF($D407="","",IFERROR(INDEX(合同单位,MATCH($D407,合同键,0)),IFERROR(TRIM(LEFT($D407,FIND("｜",$D407)-1)),$D407)))</f>
        <v/>
      </c>
      <c r="F407" s="30" t="str">
        <f aca="false">IF($D407="","",IFERROR(INDEX(合同项目,MATCH($D407,合同键,0)),IFERROR(TRIM(MID($D407,FIND("｜",$D407)+1,99)),"")))</f>
        <v/>
      </c>
      <c r="G407" s="24"/>
      <c r="H407" s="35" t="str">
        <f aca="false">IF($G407="","",IFERROR(INDEX(费用款别,MATCH($G407,费用类别表,0)),"合同外款"))</f>
        <v/>
      </c>
      <c r="I407" s="33"/>
      <c r="J407" s="33"/>
      <c r="K407" s="39"/>
      <c r="L407" s="33"/>
      <c r="M407" s="25"/>
      <c r="N407" s="39"/>
      <c r="O407" s="35" t="str">
        <f aca="false">IF($C407="","",IF(N($N407)&lt;=0,"未开票",IF(ROUND(N($N407)-N($K407),2)&gt;=0,"已开票",IFERROR("部分开票 "&amp;TEXT(N($N407)/N($K407),"0%"),"部分开票"))))</f>
        <v/>
      </c>
      <c r="P407" s="40" t="str">
        <f aca="false">IF($C407="","",ROUND($V407+MIN($W407,MAX(0,(SUMIF(收款键,$D407,收款金额)-SUMIFS(收款金额,收款键,$D407,收款关联,"&lt;&gt;"))-($X407-$W407))),2))</f>
        <v/>
      </c>
      <c r="Q407" s="41" t="str">
        <f aca="false">IF($C407="","",ROUND(N($K407)-N($P407),2))</f>
        <v/>
      </c>
      <c r="R407" s="29" t="str">
        <f aca="false">IF($C407="","",YEAR($C407))</f>
        <v/>
      </c>
      <c r="S407" s="24"/>
      <c r="T407" s="35" t="str">
        <f aca="false">IF($C407="","",IF($D407="","★没选客户项目",IF(COUNTIF(合同键,$D407)=0,"★《维保合同》里没这个项目",IF(N($K407)&lt;=0,"★应收金额要填",IF(ROUND(N($N407)-N($K407),2)&gt;0.001,"★开票金额大于应收",IF(AND($L407&lt;&gt;"",N($N407)&lt;=0),"★填了开票日期没填开票金额",IF(AND($I407&lt;&gt;"",$J407&lt;&gt;"",$J407&lt;$I407),"★计费期间起止反了","OK")))))))</f>
        <v/>
      </c>
      <c r="U407" s="29" t="str">
        <f aca="false">IF($L407="","",YEAR($L407))</f>
        <v/>
      </c>
      <c r="V407" s="40" t="str">
        <f aca="false">IF($C407="","",ROUND(SUMIF(收款关联,$B407,收款金额),2))</f>
        <v/>
      </c>
      <c r="W407" s="40" t="str">
        <f aca="false">IF($C407="","",MAX(0,ROUND(N($K407)-N($V407),2)))</f>
        <v/>
      </c>
      <c r="X407" s="40" t="str">
        <f aca="false">IF($C407="","",ROUND(SUMIFS(应收净额,应收键,$D407,应收行号,"&lt;="&amp;ROW()),2))</f>
        <v/>
      </c>
      <c r="Y407" s="29" t="str">
        <f aca="false">IF($C407="","",ROW())</f>
        <v/>
      </c>
    </row>
    <row r="408" customFormat="false" ht="15" hidden="false" customHeight="false" outlineLevel="0" collapsed="false">
      <c r="A408" s="29" t="str">
        <f aca="false">IF($C408="","",ROW()-4)</f>
        <v/>
      </c>
      <c r="B408" s="35" t="str">
        <f aca="false">IF($C408="","","YS"&amp;TEXT($C408,"yyyymm")&amp;"-"&amp;TEXT(ROW()-4,"0000"))</f>
        <v/>
      </c>
      <c r="C408" s="33"/>
      <c r="D408" s="24"/>
      <c r="E408" s="30" t="str">
        <f aca="false">IF($D408="","",IFERROR(INDEX(合同单位,MATCH($D408,合同键,0)),IFERROR(TRIM(LEFT($D408,FIND("｜",$D408)-1)),$D408)))</f>
        <v/>
      </c>
      <c r="F408" s="30" t="str">
        <f aca="false">IF($D408="","",IFERROR(INDEX(合同项目,MATCH($D408,合同键,0)),IFERROR(TRIM(MID($D408,FIND("｜",$D408)+1,99)),"")))</f>
        <v/>
      </c>
      <c r="G408" s="24"/>
      <c r="H408" s="35" t="str">
        <f aca="false">IF($G408="","",IFERROR(INDEX(费用款别,MATCH($G408,费用类别表,0)),"合同外款"))</f>
        <v/>
      </c>
      <c r="I408" s="33"/>
      <c r="J408" s="33"/>
      <c r="K408" s="39"/>
      <c r="L408" s="33"/>
      <c r="M408" s="25"/>
      <c r="N408" s="39"/>
      <c r="O408" s="35" t="str">
        <f aca="false">IF($C408="","",IF(N($N408)&lt;=0,"未开票",IF(ROUND(N($N408)-N($K408),2)&gt;=0,"已开票",IFERROR("部分开票 "&amp;TEXT(N($N408)/N($K408),"0%"),"部分开票"))))</f>
        <v/>
      </c>
      <c r="P408" s="40" t="str">
        <f aca="false">IF($C408="","",ROUND($V408+MIN($W408,MAX(0,(SUMIF(收款键,$D408,收款金额)-SUMIFS(收款金额,收款键,$D408,收款关联,"&lt;&gt;"))-($X408-$W408))),2))</f>
        <v/>
      </c>
      <c r="Q408" s="41" t="str">
        <f aca="false">IF($C408="","",ROUND(N($K408)-N($P408),2))</f>
        <v/>
      </c>
      <c r="R408" s="29" t="str">
        <f aca="false">IF($C408="","",YEAR($C408))</f>
        <v/>
      </c>
      <c r="S408" s="24"/>
      <c r="T408" s="35" t="str">
        <f aca="false">IF($C408="","",IF($D408="","★没选客户项目",IF(COUNTIF(合同键,$D408)=0,"★《维保合同》里没这个项目",IF(N($K408)&lt;=0,"★应收金额要填",IF(ROUND(N($N408)-N($K408),2)&gt;0.001,"★开票金额大于应收",IF(AND($L408&lt;&gt;"",N($N408)&lt;=0),"★填了开票日期没填开票金额",IF(AND($I408&lt;&gt;"",$J408&lt;&gt;"",$J408&lt;$I408),"★计费期间起止反了","OK")))))))</f>
        <v/>
      </c>
      <c r="U408" s="29" t="str">
        <f aca="false">IF($L408="","",YEAR($L408))</f>
        <v/>
      </c>
      <c r="V408" s="40" t="str">
        <f aca="false">IF($C408="","",ROUND(SUMIF(收款关联,$B408,收款金额),2))</f>
        <v/>
      </c>
      <c r="W408" s="40" t="str">
        <f aca="false">IF($C408="","",MAX(0,ROUND(N($K408)-N($V408),2)))</f>
        <v/>
      </c>
      <c r="X408" s="40" t="str">
        <f aca="false">IF($C408="","",ROUND(SUMIFS(应收净额,应收键,$D408,应收行号,"&lt;="&amp;ROW()),2))</f>
        <v/>
      </c>
      <c r="Y408" s="29" t="str">
        <f aca="false">IF($C408="","",ROW())</f>
        <v/>
      </c>
    </row>
    <row r="409" customFormat="false" ht="15" hidden="false" customHeight="false" outlineLevel="0" collapsed="false">
      <c r="A409" s="29" t="str">
        <f aca="false">IF($C409="","",ROW()-4)</f>
        <v/>
      </c>
      <c r="B409" s="35" t="str">
        <f aca="false">IF($C409="","","YS"&amp;TEXT($C409,"yyyymm")&amp;"-"&amp;TEXT(ROW()-4,"0000"))</f>
        <v/>
      </c>
      <c r="C409" s="33"/>
      <c r="D409" s="24"/>
      <c r="E409" s="30" t="str">
        <f aca="false">IF($D409="","",IFERROR(INDEX(合同单位,MATCH($D409,合同键,0)),IFERROR(TRIM(LEFT($D409,FIND("｜",$D409)-1)),$D409)))</f>
        <v/>
      </c>
      <c r="F409" s="30" t="str">
        <f aca="false">IF($D409="","",IFERROR(INDEX(合同项目,MATCH($D409,合同键,0)),IFERROR(TRIM(MID($D409,FIND("｜",$D409)+1,99)),"")))</f>
        <v/>
      </c>
      <c r="G409" s="24"/>
      <c r="H409" s="35" t="str">
        <f aca="false">IF($G409="","",IFERROR(INDEX(费用款别,MATCH($G409,费用类别表,0)),"合同外款"))</f>
        <v/>
      </c>
      <c r="I409" s="33"/>
      <c r="J409" s="33"/>
      <c r="K409" s="39"/>
      <c r="L409" s="33"/>
      <c r="M409" s="25"/>
      <c r="N409" s="39"/>
      <c r="O409" s="35" t="str">
        <f aca="false">IF($C409="","",IF(N($N409)&lt;=0,"未开票",IF(ROUND(N($N409)-N($K409),2)&gt;=0,"已开票",IFERROR("部分开票 "&amp;TEXT(N($N409)/N($K409),"0%"),"部分开票"))))</f>
        <v/>
      </c>
      <c r="P409" s="40" t="str">
        <f aca="false">IF($C409="","",ROUND($V409+MIN($W409,MAX(0,(SUMIF(收款键,$D409,收款金额)-SUMIFS(收款金额,收款键,$D409,收款关联,"&lt;&gt;"))-($X409-$W409))),2))</f>
        <v/>
      </c>
      <c r="Q409" s="41" t="str">
        <f aca="false">IF($C409="","",ROUND(N($K409)-N($P409),2))</f>
        <v/>
      </c>
      <c r="R409" s="29" t="str">
        <f aca="false">IF($C409="","",YEAR($C409))</f>
        <v/>
      </c>
      <c r="S409" s="24"/>
      <c r="T409" s="35" t="str">
        <f aca="false">IF($C409="","",IF($D409="","★没选客户项目",IF(COUNTIF(合同键,$D409)=0,"★《维保合同》里没这个项目",IF(N($K409)&lt;=0,"★应收金额要填",IF(ROUND(N($N409)-N($K409),2)&gt;0.001,"★开票金额大于应收",IF(AND($L409&lt;&gt;"",N($N409)&lt;=0),"★填了开票日期没填开票金额",IF(AND($I409&lt;&gt;"",$J409&lt;&gt;"",$J409&lt;$I409),"★计费期间起止反了","OK")))))))</f>
        <v/>
      </c>
      <c r="U409" s="29" t="str">
        <f aca="false">IF($L409="","",YEAR($L409))</f>
        <v/>
      </c>
      <c r="V409" s="40" t="str">
        <f aca="false">IF($C409="","",ROUND(SUMIF(收款关联,$B409,收款金额),2))</f>
        <v/>
      </c>
      <c r="W409" s="40" t="str">
        <f aca="false">IF($C409="","",MAX(0,ROUND(N($K409)-N($V409),2)))</f>
        <v/>
      </c>
      <c r="X409" s="40" t="str">
        <f aca="false">IF($C409="","",ROUND(SUMIFS(应收净额,应收键,$D409,应收行号,"&lt;="&amp;ROW()),2))</f>
        <v/>
      </c>
      <c r="Y409" s="29" t="str">
        <f aca="false">IF($C409="","",ROW())</f>
        <v/>
      </c>
    </row>
    <row r="410" customFormat="false" ht="15" hidden="false" customHeight="false" outlineLevel="0" collapsed="false">
      <c r="A410" s="29" t="str">
        <f aca="false">IF($C410="","",ROW()-4)</f>
        <v/>
      </c>
      <c r="B410" s="35" t="str">
        <f aca="false">IF($C410="","","YS"&amp;TEXT($C410,"yyyymm")&amp;"-"&amp;TEXT(ROW()-4,"0000"))</f>
        <v/>
      </c>
      <c r="C410" s="33"/>
      <c r="D410" s="24"/>
      <c r="E410" s="30" t="str">
        <f aca="false">IF($D410="","",IFERROR(INDEX(合同单位,MATCH($D410,合同键,0)),IFERROR(TRIM(LEFT($D410,FIND("｜",$D410)-1)),$D410)))</f>
        <v/>
      </c>
      <c r="F410" s="30" t="str">
        <f aca="false">IF($D410="","",IFERROR(INDEX(合同项目,MATCH($D410,合同键,0)),IFERROR(TRIM(MID($D410,FIND("｜",$D410)+1,99)),"")))</f>
        <v/>
      </c>
      <c r="G410" s="24"/>
      <c r="H410" s="35" t="str">
        <f aca="false">IF($G410="","",IFERROR(INDEX(费用款别,MATCH($G410,费用类别表,0)),"合同外款"))</f>
        <v/>
      </c>
      <c r="I410" s="33"/>
      <c r="J410" s="33"/>
      <c r="K410" s="39"/>
      <c r="L410" s="33"/>
      <c r="M410" s="25"/>
      <c r="N410" s="39"/>
      <c r="O410" s="35" t="str">
        <f aca="false">IF($C410="","",IF(N($N410)&lt;=0,"未开票",IF(ROUND(N($N410)-N($K410),2)&gt;=0,"已开票",IFERROR("部分开票 "&amp;TEXT(N($N410)/N($K410),"0%"),"部分开票"))))</f>
        <v/>
      </c>
      <c r="P410" s="40" t="str">
        <f aca="false">IF($C410="","",ROUND($V410+MIN($W410,MAX(0,(SUMIF(收款键,$D410,收款金额)-SUMIFS(收款金额,收款键,$D410,收款关联,"&lt;&gt;"))-($X410-$W410))),2))</f>
        <v/>
      </c>
      <c r="Q410" s="41" t="str">
        <f aca="false">IF($C410="","",ROUND(N($K410)-N($P410),2))</f>
        <v/>
      </c>
      <c r="R410" s="29" t="str">
        <f aca="false">IF($C410="","",YEAR($C410))</f>
        <v/>
      </c>
      <c r="S410" s="24"/>
      <c r="T410" s="35" t="str">
        <f aca="false">IF($C410="","",IF($D410="","★没选客户项目",IF(COUNTIF(合同键,$D410)=0,"★《维保合同》里没这个项目",IF(N($K410)&lt;=0,"★应收金额要填",IF(ROUND(N($N410)-N($K410),2)&gt;0.001,"★开票金额大于应收",IF(AND($L410&lt;&gt;"",N($N410)&lt;=0),"★填了开票日期没填开票金额",IF(AND($I410&lt;&gt;"",$J410&lt;&gt;"",$J410&lt;$I410),"★计费期间起止反了","OK")))))))</f>
        <v/>
      </c>
      <c r="U410" s="29" t="str">
        <f aca="false">IF($L410="","",YEAR($L410))</f>
        <v/>
      </c>
      <c r="V410" s="40" t="str">
        <f aca="false">IF($C410="","",ROUND(SUMIF(收款关联,$B410,收款金额),2))</f>
        <v/>
      </c>
      <c r="W410" s="40" t="str">
        <f aca="false">IF($C410="","",MAX(0,ROUND(N($K410)-N($V410),2)))</f>
        <v/>
      </c>
      <c r="X410" s="40" t="str">
        <f aca="false">IF($C410="","",ROUND(SUMIFS(应收净额,应收键,$D410,应收行号,"&lt;="&amp;ROW()),2))</f>
        <v/>
      </c>
      <c r="Y410" s="29" t="str">
        <f aca="false">IF($C410="","",ROW())</f>
        <v/>
      </c>
    </row>
    <row r="411" customFormat="false" ht="15" hidden="false" customHeight="false" outlineLevel="0" collapsed="false">
      <c r="A411" s="29" t="str">
        <f aca="false">IF($C411="","",ROW()-4)</f>
        <v/>
      </c>
      <c r="B411" s="35" t="str">
        <f aca="false">IF($C411="","","YS"&amp;TEXT($C411,"yyyymm")&amp;"-"&amp;TEXT(ROW()-4,"0000"))</f>
        <v/>
      </c>
      <c r="C411" s="33"/>
      <c r="D411" s="24"/>
      <c r="E411" s="30" t="str">
        <f aca="false">IF($D411="","",IFERROR(INDEX(合同单位,MATCH($D411,合同键,0)),IFERROR(TRIM(LEFT($D411,FIND("｜",$D411)-1)),$D411)))</f>
        <v/>
      </c>
      <c r="F411" s="30" t="str">
        <f aca="false">IF($D411="","",IFERROR(INDEX(合同项目,MATCH($D411,合同键,0)),IFERROR(TRIM(MID($D411,FIND("｜",$D411)+1,99)),"")))</f>
        <v/>
      </c>
      <c r="G411" s="24"/>
      <c r="H411" s="35" t="str">
        <f aca="false">IF($G411="","",IFERROR(INDEX(费用款别,MATCH($G411,费用类别表,0)),"合同外款"))</f>
        <v/>
      </c>
      <c r="I411" s="33"/>
      <c r="J411" s="33"/>
      <c r="K411" s="39"/>
      <c r="L411" s="33"/>
      <c r="M411" s="25"/>
      <c r="N411" s="39"/>
      <c r="O411" s="35" t="str">
        <f aca="false">IF($C411="","",IF(N($N411)&lt;=0,"未开票",IF(ROUND(N($N411)-N($K411),2)&gt;=0,"已开票",IFERROR("部分开票 "&amp;TEXT(N($N411)/N($K411),"0%"),"部分开票"))))</f>
        <v/>
      </c>
      <c r="P411" s="40" t="str">
        <f aca="false">IF($C411="","",ROUND($V411+MIN($W411,MAX(0,(SUMIF(收款键,$D411,收款金额)-SUMIFS(收款金额,收款键,$D411,收款关联,"&lt;&gt;"))-($X411-$W411))),2))</f>
        <v/>
      </c>
      <c r="Q411" s="41" t="str">
        <f aca="false">IF($C411="","",ROUND(N($K411)-N($P411),2))</f>
        <v/>
      </c>
      <c r="R411" s="29" t="str">
        <f aca="false">IF($C411="","",YEAR($C411))</f>
        <v/>
      </c>
      <c r="S411" s="24"/>
      <c r="T411" s="35" t="str">
        <f aca="false">IF($C411="","",IF($D411="","★没选客户项目",IF(COUNTIF(合同键,$D411)=0,"★《维保合同》里没这个项目",IF(N($K411)&lt;=0,"★应收金额要填",IF(ROUND(N($N411)-N($K411),2)&gt;0.001,"★开票金额大于应收",IF(AND($L411&lt;&gt;"",N($N411)&lt;=0),"★填了开票日期没填开票金额",IF(AND($I411&lt;&gt;"",$J411&lt;&gt;"",$J411&lt;$I411),"★计费期间起止反了","OK")))))))</f>
        <v/>
      </c>
      <c r="U411" s="29" t="str">
        <f aca="false">IF($L411="","",YEAR($L411))</f>
        <v/>
      </c>
      <c r="V411" s="40" t="str">
        <f aca="false">IF($C411="","",ROUND(SUMIF(收款关联,$B411,收款金额),2))</f>
        <v/>
      </c>
      <c r="W411" s="40" t="str">
        <f aca="false">IF($C411="","",MAX(0,ROUND(N($K411)-N($V411),2)))</f>
        <v/>
      </c>
      <c r="X411" s="40" t="str">
        <f aca="false">IF($C411="","",ROUND(SUMIFS(应收净额,应收键,$D411,应收行号,"&lt;="&amp;ROW()),2))</f>
        <v/>
      </c>
      <c r="Y411" s="29" t="str">
        <f aca="false">IF($C411="","",ROW())</f>
        <v/>
      </c>
    </row>
    <row r="412" customFormat="false" ht="15" hidden="false" customHeight="false" outlineLevel="0" collapsed="false">
      <c r="A412" s="29" t="str">
        <f aca="false">IF($C412="","",ROW()-4)</f>
        <v/>
      </c>
      <c r="B412" s="35" t="str">
        <f aca="false">IF($C412="","","YS"&amp;TEXT($C412,"yyyymm")&amp;"-"&amp;TEXT(ROW()-4,"0000"))</f>
        <v/>
      </c>
      <c r="C412" s="33"/>
      <c r="D412" s="24"/>
      <c r="E412" s="30" t="str">
        <f aca="false">IF($D412="","",IFERROR(INDEX(合同单位,MATCH($D412,合同键,0)),IFERROR(TRIM(LEFT($D412,FIND("｜",$D412)-1)),$D412)))</f>
        <v/>
      </c>
      <c r="F412" s="30" t="str">
        <f aca="false">IF($D412="","",IFERROR(INDEX(合同项目,MATCH($D412,合同键,0)),IFERROR(TRIM(MID($D412,FIND("｜",$D412)+1,99)),"")))</f>
        <v/>
      </c>
      <c r="G412" s="24"/>
      <c r="H412" s="35" t="str">
        <f aca="false">IF($G412="","",IFERROR(INDEX(费用款别,MATCH($G412,费用类别表,0)),"合同外款"))</f>
        <v/>
      </c>
      <c r="I412" s="33"/>
      <c r="J412" s="33"/>
      <c r="K412" s="39"/>
      <c r="L412" s="33"/>
      <c r="M412" s="25"/>
      <c r="N412" s="39"/>
      <c r="O412" s="35" t="str">
        <f aca="false">IF($C412="","",IF(N($N412)&lt;=0,"未开票",IF(ROUND(N($N412)-N($K412),2)&gt;=0,"已开票",IFERROR("部分开票 "&amp;TEXT(N($N412)/N($K412),"0%"),"部分开票"))))</f>
        <v/>
      </c>
      <c r="P412" s="40" t="str">
        <f aca="false">IF($C412="","",ROUND($V412+MIN($W412,MAX(0,(SUMIF(收款键,$D412,收款金额)-SUMIFS(收款金额,收款键,$D412,收款关联,"&lt;&gt;"))-($X412-$W412))),2))</f>
        <v/>
      </c>
      <c r="Q412" s="41" t="str">
        <f aca="false">IF($C412="","",ROUND(N($K412)-N($P412),2))</f>
        <v/>
      </c>
      <c r="R412" s="29" t="str">
        <f aca="false">IF($C412="","",YEAR($C412))</f>
        <v/>
      </c>
      <c r="S412" s="24"/>
      <c r="T412" s="35" t="str">
        <f aca="false">IF($C412="","",IF($D412="","★没选客户项目",IF(COUNTIF(合同键,$D412)=0,"★《维保合同》里没这个项目",IF(N($K412)&lt;=0,"★应收金额要填",IF(ROUND(N($N412)-N($K412),2)&gt;0.001,"★开票金额大于应收",IF(AND($L412&lt;&gt;"",N($N412)&lt;=0),"★填了开票日期没填开票金额",IF(AND($I412&lt;&gt;"",$J412&lt;&gt;"",$J412&lt;$I412),"★计费期间起止反了","OK")))))))</f>
        <v/>
      </c>
      <c r="U412" s="29" t="str">
        <f aca="false">IF($L412="","",YEAR($L412))</f>
        <v/>
      </c>
      <c r="V412" s="40" t="str">
        <f aca="false">IF($C412="","",ROUND(SUMIF(收款关联,$B412,收款金额),2))</f>
        <v/>
      </c>
      <c r="W412" s="40" t="str">
        <f aca="false">IF($C412="","",MAX(0,ROUND(N($K412)-N($V412),2)))</f>
        <v/>
      </c>
      <c r="X412" s="40" t="str">
        <f aca="false">IF($C412="","",ROUND(SUMIFS(应收净额,应收键,$D412,应收行号,"&lt;="&amp;ROW()),2))</f>
        <v/>
      </c>
      <c r="Y412" s="29" t="str">
        <f aca="false">IF($C412="","",ROW())</f>
        <v/>
      </c>
    </row>
    <row r="413" customFormat="false" ht="15" hidden="false" customHeight="false" outlineLevel="0" collapsed="false">
      <c r="A413" s="29" t="str">
        <f aca="false">IF($C413="","",ROW()-4)</f>
        <v/>
      </c>
      <c r="B413" s="35" t="str">
        <f aca="false">IF($C413="","","YS"&amp;TEXT($C413,"yyyymm")&amp;"-"&amp;TEXT(ROW()-4,"0000"))</f>
        <v/>
      </c>
      <c r="C413" s="33"/>
      <c r="D413" s="24"/>
      <c r="E413" s="30" t="str">
        <f aca="false">IF($D413="","",IFERROR(INDEX(合同单位,MATCH($D413,合同键,0)),IFERROR(TRIM(LEFT($D413,FIND("｜",$D413)-1)),$D413)))</f>
        <v/>
      </c>
      <c r="F413" s="30" t="str">
        <f aca="false">IF($D413="","",IFERROR(INDEX(合同项目,MATCH($D413,合同键,0)),IFERROR(TRIM(MID($D413,FIND("｜",$D413)+1,99)),"")))</f>
        <v/>
      </c>
      <c r="G413" s="24"/>
      <c r="H413" s="35" t="str">
        <f aca="false">IF($G413="","",IFERROR(INDEX(费用款别,MATCH($G413,费用类别表,0)),"合同外款"))</f>
        <v/>
      </c>
      <c r="I413" s="33"/>
      <c r="J413" s="33"/>
      <c r="K413" s="39"/>
      <c r="L413" s="33"/>
      <c r="M413" s="25"/>
      <c r="N413" s="39"/>
      <c r="O413" s="35" t="str">
        <f aca="false">IF($C413="","",IF(N($N413)&lt;=0,"未开票",IF(ROUND(N($N413)-N($K413),2)&gt;=0,"已开票",IFERROR("部分开票 "&amp;TEXT(N($N413)/N($K413),"0%"),"部分开票"))))</f>
        <v/>
      </c>
      <c r="P413" s="40" t="str">
        <f aca="false">IF($C413="","",ROUND($V413+MIN($W413,MAX(0,(SUMIF(收款键,$D413,收款金额)-SUMIFS(收款金额,收款键,$D413,收款关联,"&lt;&gt;"))-($X413-$W413))),2))</f>
        <v/>
      </c>
      <c r="Q413" s="41" t="str">
        <f aca="false">IF($C413="","",ROUND(N($K413)-N($P413),2))</f>
        <v/>
      </c>
      <c r="R413" s="29" t="str">
        <f aca="false">IF($C413="","",YEAR($C413))</f>
        <v/>
      </c>
      <c r="S413" s="24"/>
      <c r="T413" s="35" t="str">
        <f aca="false">IF($C413="","",IF($D413="","★没选客户项目",IF(COUNTIF(合同键,$D413)=0,"★《维保合同》里没这个项目",IF(N($K413)&lt;=0,"★应收金额要填",IF(ROUND(N($N413)-N($K413),2)&gt;0.001,"★开票金额大于应收",IF(AND($L413&lt;&gt;"",N($N413)&lt;=0),"★填了开票日期没填开票金额",IF(AND($I413&lt;&gt;"",$J413&lt;&gt;"",$J413&lt;$I413),"★计费期间起止反了","OK")))))))</f>
        <v/>
      </c>
      <c r="U413" s="29" t="str">
        <f aca="false">IF($L413="","",YEAR($L413))</f>
        <v/>
      </c>
      <c r="V413" s="40" t="str">
        <f aca="false">IF($C413="","",ROUND(SUMIF(收款关联,$B413,收款金额),2))</f>
        <v/>
      </c>
      <c r="W413" s="40" t="str">
        <f aca="false">IF($C413="","",MAX(0,ROUND(N($K413)-N($V413),2)))</f>
        <v/>
      </c>
      <c r="X413" s="40" t="str">
        <f aca="false">IF($C413="","",ROUND(SUMIFS(应收净额,应收键,$D413,应收行号,"&lt;="&amp;ROW()),2))</f>
        <v/>
      </c>
      <c r="Y413" s="29" t="str">
        <f aca="false">IF($C413="","",ROW())</f>
        <v/>
      </c>
    </row>
    <row r="414" customFormat="false" ht="15" hidden="false" customHeight="false" outlineLevel="0" collapsed="false">
      <c r="A414" s="29" t="str">
        <f aca="false">IF($C414="","",ROW()-4)</f>
        <v/>
      </c>
      <c r="B414" s="35" t="str">
        <f aca="false">IF($C414="","","YS"&amp;TEXT($C414,"yyyymm")&amp;"-"&amp;TEXT(ROW()-4,"0000"))</f>
        <v/>
      </c>
      <c r="C414" s="33"/>
      <c r="D414" s="24"/>
      <c r="E414" s="30" t="str">
        <f aca="false">IF($D414="","",IFERROR(INDEX(合同单位,MATCH($D414,合同键,0)),IFERROR(TRIM(LEFT($D414,FIND("｜",$D414)-1)),$D414)))</f>
        <v/>
      </c>
      <c r="F414" s="30" t="str">
        <f aca="false">IF($D414="","",IFERROR(INDEX(合同项目,MATCH($D414,合同键,0)),IFERROR(TRIM(MID($D414,FIND("｜",$D414)+1,99)),"")))</f>
        <v/>
      </c>
      <c r="G414" s="24"/>
      <c r="H414" s="35" t="str">
        <f aca="false">IF($G414="","",IFERROR(INDEX(费用款别,MATCH($G414,费用类别表,0)),"合同外款"))</f>
        <v/>
      </c>
      <c r="I414" s="33"/>
      <c r="J414" s="33"/>
      <c r="K414" s="39"/>
      <c r="L414" s="33"/>
      <c r="M414" s="25"/>
      <c r="N414" s="39"/>
      <c r="O414" s="35" t="str">
        <f aca="false">IF($C414="","",IF(N($N414)&lt;=0,"未开票",IF(ROUND(N($N414)-N($K414),2)&gt;=0,"已开票",IFERROR("部分开票 "&amp;TEXT(N($N414)/N($K414),"0%"),"部分开票"))))</f>
        <v/>
      </c>
      <c r="P414" s="40" t="str">
        <f aca="false">IF($C414="","",ROUND($V414+MIN($W414,MAX(0,(SUMIF(收款键,$D414,收款金额)-SUMIFS(收款金额,收款键,$D414,收款关联,"&lt;&gt;"))-($X414-$W414))),2))</f>
        <v/>
      </c>
      <c r="Q414" s="41" t="str">
        <f aca="false">IF($C414="","",ROUND(N($K414)-N($P414),2))</f>
        <v/>
      </c>
      <c r="R414" s="29" t="str">
        <f aca="false">IF($C414="","",YEAR($C414))</f>
        <v/>
      </c>
      <c r="S414" s="24"/>
      <c r="T414" s="35" t="str">
        <f aca="false">IF($C414="","",IF($D414="","★没选客户项目",IF(COUNTIF(合同键,$D414)=0,"★《维保合同》里没这个项目",IF(N($K414)&lt;=0,"★应收金额要填",IF(ROUND(N($N414)-N($K414),2)&gt;0.001,"★开票金额大于应收",IF(AND($L414&lt;&gt;"",N($N414)&lt;=0),"★填了开票日期没填开票金额",IF(AND($I414&lt;&gt;"",$J414&lt;&gt;"",$J414&lt;$I414),"★计费期间起止反了","OK")))))))</f>
        <v/>
      </c>
      <c r="U414" s="29" t="str">
        <f aca="false">IF($L414="","",YEAR($L414))</f>
        <v/>
      </c>
      <c r="V414" s="40" t="str">
        <f aca="false">IF($C414="","",ROUND(SUMIF(收款关联,$B414,收款金额),2))</f>
        <v/>
      </c>
      <c r="W414" s="40" t="str">
        <f aca="false">IF($C414="","",MAX(0,ROUND(N($K414)-N($V414),2)))</f>
        <v/>
      </c>
      <c r="X414" s="40" t="str">
        <f aca="false">IF($C414="","",ROUND(SUMIFS(应收净额,应收键,$D414,应收行号,"&lt;="&amp;ROW()),2))</f>
        <v/>
      </c>
      <c r="Y414" s="29" t="str">
        <f aca="false">IF($C414="","",ROW())</f>
        <v/>
      </c>
    </row>
    <row r="415" customFormat="false" ht="15" hidden="false" customHeight="false" outlineLevel="0" collapsed="false">
      <c r="A415" s="29" t="str">
        <f aca="false">IF($C415="","",ROW()-4)</f>
        <v/>
      </c>
      <c r="B415" s="35" t="str">
        <f aca="false">IF($C415="","","YS"&amp;TEXT($C415,"yyyymm")&amp;"-"&amp;TEXT(ROW()-4,"0000"))</f>
        <v/>
      </c>
      <c r="C415" s="33"/>
      <c r="D415" s="24"/>
      <c r="E415" s="30" t="str">
        <f aca="false">IF($D415="","",IFERROR(INDEX(合同单位,MATCH($D415,合同键,0)),IFERROR(TRIM(LEFT($D415,FIND("｜",$D415)-1)),$D415)))</f>
        <v/>
      </c>
      <c r="F415" s="30" t="str">
        <f aca="false">IF($D415="","",IFERROR(INDEX(合同项目,MATCH($D415,合同键,0)),IFERROR(TRIM(MID($D415,FIND("｜",$D415)+1,99)),"")))</f>
        <v/>
      </c>
      <c r="G415" s="24"/>
      <c r="H415" s="35" t="str">
        <f aca="false">IF($G415="","",IFERROR(INDEX(费用款别,MATCH($G415,费用类别表,0)),"合同外款"))</f>
        <v/>
      </c>
      <c r="I415" s="33"/>
      <c r="J415" s="33"/>
      <c r="K415" s="39"/>
      <c r="L415" s="33"/>
      <c r="M415" s="25"/>
      <c r="N415" s="39"/>
      <c r="O415" s="35" t="str">
        <f aca="false">IF($C415="","",IF(N($N415)&lt;=0,"未开票",IF(ROUND(N($N415)-N($K415),2)&gt;=0,"已开票",IFERROR("部分开票 "&amp;TEXT(N($N415)/N($K415),"0%"),"部分开票"))))</f>
        <v/>
      </c>
      <c r="P415" s="40" t="str">
        <f aca="false">IF($C415="","",ROUND($V415+MIN($W415,MAX(0,(SUMIF(收款键,$D415,收款金额)-SUMIFS(收款金额,收款键,$D415,收款关联,"&lt;&gt;"))-($X415-$W415))),2))</f>
        <v/>
      </c>
      <c r="Q415" s="41" t="str">
        <f aca="false">IF($C415="","",ROUND(N($K415)-N($P415),2))</f>
        <v/>
      </c>
      <c r="R415" s="29" t="str">
        <f aca="false">IF($C415="","",YEAR($C415))</f>
        <v/>
      </c>
      <c r="S415" s="24"/>
      <c r="T415" s="35" t="str">
        <f aca="false">IF($C415="","",IF($D415="","★没选客户项目",IF(COUNTIF(合同键,$D415)=0,"★《维保合同》里没这个项目",IF(N($K415)&lt;=0,"★应收金额要填",IF(ROUND(N($N415)-N($K415),2)&gt;0.001,"★开票金额大于应收",IF(AND($L415&lt;&gt;"",N($N415)&lt;=0),"★填了开票日期没填开票金额",IF(AND($I415&lt;&gt;"",$J415&lt;&gt;"",$J415&lt;$I415),"★计费期间起止反了","OK")))))))</f>
        <v/>
      </c>
      <c r="U415" s="29" t="str">
        <f aca="false">IF($L415="","",YEAR($L415))</f>
        <v/>
      </c>
      <c r="V415" s="40" t="str">
        <f aca="false">IF($C415="","",ROUND(SUMIF(收款关联,$B415,收款金额),2))</f>
        <v/>
      </c>
      <c r="W415" s="40" t="str">
        <f aca="false">IF($C415="","",MAX(0,ROUND(N($K415)-N($V415),2)))</f>
        <v/>
      </c>
      <c r="X415" s="40" t="str">
        <f aca="false">IF($C415="","",ROUND(SUMIFS(应收净额,应收键,$D415,应收行号,"&lt;="&amp;ROW()),2))</f>
        <v/>
      </c>
      <c r="Y415" s="29" t="str">
        <f aca="false">IF($C415="","",ROW())</f>
        <v/>
      </c>
    </row>
    <row r="416" customFormat="false" ht="15" hidden="false" customHeight="false" outlineLevel="0" collapsed="false">
      <c r="A416" s="29" t="str">
        <f aca="false">IF($C416="","",ROW()-4)</f>
        <v/>
      </c>
      <c r="B416" s="35" t="str">
        <f aca="false">IF($C416="","","YS"&amp;TEXT($C416,"yyyymm")&amp;"-"&amp;TEXT(ROW()-4,"0000"))</f>
        <v/>
      </c>
      <c r="C416" s="33"/>
      <c r="D416" s="24"/>
      <c r="E416" s="30" t="str">
        <f aca="false">IF($D416="","",IFERROR(INDEX(合同单位,MATCH($D416,合同键,0)),IFERROR(TRIM(LEFT($D416,FIND("｜",$D416)-1)),$D416)))</f>
        <v/>
      </c>
      <c r="F416" s="30" t="str">
        <f aca="false">IF($D416="","",IFERROR(INDEX(合同项目,MATCH($D416,合同键,0)),IFERROR(TRIM(MID($D416,FIND("｜",$D416)+1,99)),"")))</f>
        <v/>
      </c>
      <c r="G416" s="24"/>
      <c r="H416" s="35" t="str">
        <f aca="false">IF($G416="","",IFERROR(INDEX(费用款别,MATCH($G416,费用类别表,0)),"合同外款"))</f>
        <v/>
      </c>
      <c r="I416" s="33"/>
      <c r="J416" s="33"/>
      <c r="K416" s="39"/>
      <c r="L416" s="33"/>
      <c r="M416" s="25"/>
      <c r="N416" s="39"/>
      <c r="O416" s="35" t="str">
        <f aca="false">IF($C416="","",IF(N($N416)&lt;=0,"未开票",IF(ROUND(N($N416)-N($K416),2)&gt;=0,"已开票",IFERROR("部分开票 "&amp;TEXT(N($N416)/N($K416),"0%"),"部分开票"))))</f>
        <v/>
      </c>
      <c r="P416" s="40" t="str">
        <f aca="false">IF($C416="","",ROUND($V416+MIN($W416,MAX(0,(SUMIF(收款键,$D416,收款金额)-SUMIFS(收款金额,收款键,$D416,收款关联,"&lt;&gt;"))-($X416-$W416))),2))</f>
        <v/>
      </c>
      <c r="Q416" s="41" t="str">
        <f aca="false">IF($C416="","",ROUND(N($K416)-N($P416),2))</f>
        <v/>
      </c>
      <c r="R416" s="29" t="str">
        <f aca="false">IF($C416="","",YEAR($C416))</f>
        <v/>
      </c>
      <c r="S416" s="24"/>
      <c r="T416" s="35" t="str">
        <f aca="false">IF($C416="","",IF($D416="","★没选客户项目",IF(COUNTIF(合同键,$D416)=0,"★《维保合同》里没这个项目",IF(N($K416)&lt;=0,"★应收金额要填",IF(ROUND(N($N416)-N($K416),2)&gt;0.001,"★开票金额大于应收",IF(AND($L416&lt;&gt;"",N($N416)&lt;=0),"★填了开票日期没填开票金额",IF(AND($I416&lt;&gt;"",$J416&lt;&gt;"",$J416&lt;$I416),"★计费期间起止反了","OK")))))))</f>
        <v/>
      </c>
      <c r="U416" s="29" t="str">
        <f aca="false">IF($L416="","",YEAR($L416))</f>
        <v/>
      </c>
      <c r="V416" s="40" t="str">
        <f aca="false">IF($C416="","",ROUND(SUMIF(收款关联,$B416,收款金额),2))</f>
        <v/>
      </c>
      <c r="W416" s="40" t="str">
        <f aca="false">IF($C416="","",MAX(0,ROUND(N($K416)-N($V416),2)))</f>
        <v/>
      </c>
      <c r="X416" s="40" t="str">
        <f aca="false">IF($C416="","",ROUND(SUMIFS(应收净额,应收键,$D416,应收行号,"&lt;="&amp;ROW()),2))</f>
        <v/>
      </c>
      <c r="Y416" s="29" t="str">
        <f aca="false">IF($C416="","",ROW())</f>
        <v/>
      </c>
    </row>
    <row r="417" customFormat="false" ht="15" hidden="false" customHeight="false" outlineLevel="0" collapsed="false">
      <c r="A417" s="29" t="str">
        <f aca="false">IF($C417="","",ROW()-4)</f>
        <v/>
      </c>
      <c r="B417" s="35" t="str">
        <f aca="false">IF($C417="","","YS"&amp;TEXT($C417,"yyyymm")&amp;"-"&amp;TEXT(ROW()-4,"0000"))</f>
        <v/>
      </c>
      <c r="C417" s="33"/>
      <c r="D417" s="24"/>
      <c r="E417" s="30" t="str">
        <f aca="false">IF($D417="","",IFERROR(INDEX(合同单位,MATCH($D417,合同键,0)),IFERROR(TRIM(LEFT($D417,FIND("｜",$D417)-1)),$D417)))</f>
        <v/>
      </c>
      <c r="F417" s="30" t="str">
        <f aca="false">IF($D417="","",IFERROR(INDEX(合同项目,MATCH($D417,合同键,0)),IFERROR(TRIM(MID($D417,FIND("｜",$D417)+1,99)),"")))</f>
        <v/>
      </c>
      <c r="G417" s="24"/>
      <c r="H417" s="35" t="str">
        <f aca="false">IF($G417="","",IFERROR(INDEX(费用款别,MATCH($G417,费用类别表,0)),"合同外款"))</f>
        <v/>
      </c>
      <c r="I417" s="33"/>
      <c r="J417" s="33"/>
      <c r="K417" s="39"/>
      <c r="L417" s="33"/>
      <c r="M417" s="25"/>
      <c r="N417" s="39"/>
      <c r="O417" s="35" t="str">
        <f aca="false">IF($C417="","",IF(N($N417)&lt;=0,"未开票",IF(ROUND(N($N417)-N($K417),2)&gt;=0,"已开票",IFERROR("部分开票 "&amp;TEXT(N($N417)/N($K417),"0%"),"部分开票"))))</f>
        <v/>
      </c>
      <c r="P417" s="40" t="str">
        <f aca="false">IF($C417="","",ROUND($V417+MIN($W417,MAX(0,(SUMIF(收款键,$D417,收款金额)-SUMIFS(收款金额,收款键,$D417,收款关联,"&lt;&gt;"))-($X417-$W417))),2))</f>
        <v/>
      </c>
      <c r="Q417" s="41" t="str">
        <f aca="false">IF($C417="","",ROUND(N($K417)-N($P417),2))</f>
        <v/>
      </c>
      <c r="R417" s="29" t="str">
        <f aca="false">IF($C417="","",YEAR($C417))</f>
        <v/>
      </c>
      <c r="S417" s="24"/>
      <c r="T417" s="35" t="str">
        <f aca="false">IF($C417="","",IF($D417="","★没选客户项目",IF(COUNTIF(合同键,$D417)=0,"★《维保合同》里没这个项目",IF(N($K417)&lt;=0,"★应收金额要填",IF(ROUND(N($N417)-N($K417),2)&gt;0.001,"★开票金额大于应收",IF(AND($L417&lt;&gt;"",N($N417)&lt;=0),"★填了开票日期没填开票金额",IF(AND($I417&lt;&gt;"",$J417&lt;&gt;"",$J417&lt;$I417),"★计费期间起止反了","OK")))))))</f>
        <v/>
      </c>
      <c r="U417" s="29" t="str">
        <f aca="false">IF($L417="","",YEAR($L417))</f>
        <v/>
      </c>
      <c r="V417" s="40" t="str">
        <f aca="false">IF($C417="","",ROUND(SUMIF(收款关联,$B417,收款金额),2))</f>
        <v/>
      </c>
      <c r="W417" s="40" t="str">
        <f aca="false">IF($C417="","",MAX(0,ROUND(N($K417)-N($V417),2)))</f>
        <v/>
      </c>
      <c r="X417" s="40" t="str">
        <f aca="false">IF($C417="","",ROUND(SUMIFS(应收净额,应收键,$D417,应收行号,"&lt;="&amp;ROW()),2))</f>
        <v/>
      </c>
      <c r="Y417" s="29" t="str">
        <f aca="false">IF($C417="","",ROW())</f>
        <v/>
      </c>
    </row>
    <row r="418" customFormat="false" ht="15" hidden="false" customHeight="false" outlineLevel="0" collapsed="false">
      <c r="A418" s="29" t="str">
        <f aca="false">IF($C418="","",ROW()-4)</f>
        <v/>
      </c>
      <c r="B418" s="35" t="str">
        <f aca="false">IF($C418="","","YS"&amp;TEXT($C418,"yyyymm")&amp;"-"&amp;TEXT(ROW()-4,"0000"))</f>
        <v/>
      </c>
      <c r="C418" s="33"/>
      <c r="D418" s="24"/>
      <c r="E418" s="30" t="str">
        <f aca="false">IF($D418="","",IFERROR(INDEX(合同单位,MATCH($D418,合同键,0)),IFERROR(TRIM(LEFT($D418,FIND("｜",$D418)-1)),$D418)))</f>
        <v/>
      </c>
      <c r="F418" s="30" t="str">
        <f aca="false">IF($D418="","",IFERROR(INDEX(合同项目,MATCH($D418,合同键,0)),IFERROR(TRIM(MID($D418,FIND("｜",$D418)+1,99)),"")))</f>
        <v/>
      </c>
      <c r="G418" s="24"/>
      <c r="H418" s="35" t="str">
        <f aca="false">IF($G418="","",IFERROR(INDEX(费用款别,MATCH($G418,费用类别表,0)),"合同外款"))</f>
        <v/>
      </c>
      <c r="I418" s="33"/>
      <c r="J418" s="33"/>
      <c r="K418" s="39"/>
      <c r="L418" s="33"/>
      <c r="M418" s="25"/>
      <c r="N418" s="39"/>
      <c r="O418" s="35" t="str">
        <f aca="false">IF($C418="","",IF(N($N418)&lt;=0,"未开票",IF(ROUND(N($N418)-N($K418),2)&gt;=0,"已开票",IFERROR("部分开票 "&amp;TEXT(N($N418)/N($K418),"0%"),"部分开票"))))</f>
        <v/>
      </c>
      <c r="P418" s="40" t="str">
        <f aca="false">IF($C418="","",ROUND($V418+MIN($W418,MAX(0,(SUMIF(收款键,$D418,收款金额)-SUMIFS(收款金额,收款键,$D418,收款关联,"&lt;&gt;"))-($X418-$W418))),2))</f>
        <v/>
      </c>
      <c r="Q418" s="41" t="str">
        <f aca="false">IF($C418="","",ROUND(N($K418)-N($P418),2))</f>
        <v/>
      </c>
      <c r="R418" s="29" t="str">
        <f aca="false">IF($C418="","",YEAR($C418))</f>
        <v/>
      </c>
      <c r="S418" s="24"/>
      <c r="T418" s="35" t="str">
        <f aca="false">IF($C418="","",IF($D418="","★没选客户项目",IF(COUNTIF(合同键,$D418)=0,"★《维保合同》里没这个项目",IF(N($K418)&lt;=0,"★应收金额要填",IF(ROUND(N($N418)-N($K418),2)&gt;0.001,"★开票金额大于应收",IF(AND($L418&lt;&gt;"",N($N418)&lt;=0),"★填了开票日期没填开票金额",IF(AND($I418&lt;&gt;"",$J418&lt;&gt;"",$J418&lt;$I418),"★计费期间起止反了","OK")))))))</f>
        <v/>
      </c>
      <c r="U418" s="29" t="str">
        <f aca="false">IF($L418="","",YEAR($L418))</f>
        <v/>
      </c>
      <c r="V418" s="40" t="str">
        <f aca="false">IF($C418="","",ROUND(SUMIF(收款关联,$B418,收款金额),2))</f>
        <v/>
      </c>
      <c r="W418" s="40" t="str">
        <f aca="false">IF($C418="","",MAX(0,ROUND(N($K418)-N($V418),2)))</f>
        <v/>
      </c>
      <c r="X418" s="40" t="str">
        <f aca="false">IF($C418="","",ROUND(SUMIFS(应收净额,应收键,$D418,应收行号,"&lt;="&amp;ROW()),2))</f>
        <v/>
      </c>
      <c r="Y418" s="29" t="str">
        <f aca="false">IF($C418="","",ROW())</f>
        <v/>
      </c>
    </row>
    <row r="419" customFormat="false" ht="15" hidden="false" customHeight="false" outlineLevel="0" collapsed="false">
      <c r="A419" s="29" t="str">
        <f aca="false">IF($C419="","",ROW()-4)</f>
        <v/>
      </c>
      <c r="B419" s="35" t="str">
        <f aca="false">IF($C419="","","YS"&amp;TEXT($C419,"yyyymm")&amp;"-"&amp;TEXT(ROW()-4,"0000"))</f>
        <v/>
      </c>
      <c r="C419" s="33"/>
      <c r="D419" s="24"/>
      <c r="E419" s="30" t="str">
        <f aca="false">IF($D419="","",IFERROR(INDEX(合同单位,MATCH($D419,合同键,0)),IFERROR(TRIM(LEFT($D419,FIND("｜",$D419)-1)),$D419)))</f>
        <v/>
      </c>
      <c r="F419" s="30" t="str">
        <f aca="false">IF($D419="","",IFERROR(INDEX(合同项目,MATCH($D419,合同键,0)),IFERROR(TRIM(MID($D419,FIND("｜",$D419)+1,99)),"")))</f>
        <v/>
      </c>
      <c r="G419" s="24"/>
      <c r="H419" s="35" t="str">
        <f aca="false">IF($G419="","",IFERROR(INDEX(费用款别,MATCH($G419,费用类别表,0)),"合同外款"))</f>
        <v/>
      </c>
      <c r="I419" s="33"/>
      <c r="J419" s="33"/>
      <c r="K419" s="39"/>
      <c r="L419" s="33"/>
      <c r="M419" s="25"/>
      <c r="N419" s="39"/>
      <c r="O419" s="35" t="str">
        <f aca="false">IF($C419="","",IF(N($N419)&lt;=0,"未开票",IF(ROUND(N($N419)-N($K419),2)&gt;=0,"已开票",IFERROR("部分开票 "&amp;TEXT(N($N419)/N($K419),"0%"),"部分开票"))))</f>
        <v/>
      </c>
      <c r="P419" s="40" t="str">
        <f aca="false">IF($C419="","",ROUND($V419+MIN($W419,MAX(0,(SUMIF(收款键,$D419,收款金额)-SUMIFS(收款金额,收款键,$D419,收款关联,"&lt;&gt;"))-($X419-$W419))),2))</f>
        <v/>
      </c>
      <c r="Q419" s="41" t="str">
        <f aca="false">IF($C419="","",ROUND(N($K419)-N($P419),2))</f>
        <v/>
      </c>
      <c r="R419" s="29" t="str">
        <f aca="false">IF($C419="","",YEAR($C419))</f>
        <v/>
      </c>
      <c r="S419" s="24"/>
      <c r="T419" s="35" t="str">
        <f aca="false">IF($C419="","",IF($D419="","★没选客户项目",IF(COUNTIF(合同键,$D419)=0,"★《维保合同》里没这个项目",IF(N($K419)&lt;=0,"★应收金额要填",IF(ROUND(N($N419)-N($K419),2)&gt;0.001,"★开票金额大于应收",IF(AND($L419&lt;&gt;"",N($N419)&lt;=0),"★填了开票日期没填开票金额",IF(AND($I419&lt;&gt;"",$J419&lt;&gt;"",$J419&lt;$I419),"★计费期间起止反了","OK")))))))</f>
        <v/>
      </c>
      <c r="U419" s="29" t="str">
        <f aca="false">IF($L419="","",YEAR($L419))</f>
        <v/>
      </c>
      <c r="V419" s="40" t="str">
        <f aca="false">IF($C419="","",ROUND(SUMIF(收款关联,$B419,收款金额),2))</f>
        <v/>
      </c>
      <c r="W419" s="40" t="str">
        <f aca="false">IF($C419="","",MAX(0,ROUND(N($K419)-N($V419),2)))</f>
        <v/>
      </c>
      <c r="X419" s="40" t="str">
        <f aca="false">IF($C419="","",ROUND(SUMIFS(应收净额,应收键,$D419,应收行号,"&lt;="&amp;ROW()),2))</f>
        <v/>
      </c>
      <c r="Y419" s="29" t="str">
        <f aca="false">IF($C419="","",ROW())</f>
        <v/>
      </c>
    </row>
    <row r="420" customFormat="false" ht="15" hidden="false" customHeight="false" outlineLevel="0" collapsed="false">
      <c r="A420" s="29" t="str">
        <f aca="false">IF($C420="","",ROW()-4)</f>
        <v/>
      </c>
      <c r="B420" s="35" t="str">
        <f aca="false">IF($C420="","","YS"&amp;TEXT($C420,"yyyymm")&amp;"-"&amp;TEXT(ROW()-4,"0000"))</f>
        <v/>
      </c>
      <c r="C420" s="33"/>
      <c r="D420" s="24"/>
      <c r="E420" s="30" t="str">
        <f aca="false">IF($D420="","",IFERROR(INDEX(合同单位,MATCH($D420,合同键,0)),IFERROR(TRIM(LEFT($D420,FIND("｜",$D420)-1)),$D420)))</f>
        <v/>
      </c>
      <c r="F420" s="30" t="str">
        <f aca="false">IF($D420="","",IFERROR(INDEX(合同项目,MATCH($D420,合同键,0)),IFERROR(TRIM(MID($D420,FIND("｜",$D420)+1,99)),"")))</f>
        <v/>
      </c>
      <c r="G420" s="24"/>
      <c r="H420" s="35" t="str">
        <f aca="false">IF($G420="","",IFERROR(INDEX(费用款别,MATCH($G420,费用类别表,0)),"合同外款"))</f>
        <v/>
      </c>
      <c r="I420" s="33"/>
      <c r="J420" s="33"/>
      <c r="K420" s="39"/>
      <c r="L420" s="33"/>
      <c r="M420" s="25"/>
      <c r="N420" s="39"/>
      <c r="O420" s="35" t="str">
        <f aca="false">IF($C420="","",IF(N($N420)&lt;=0,"未开票",IF(ROUND(N($N420)-N($K420),2)&gt;=0,"已开票",IFERROR("部分开票 "&amp;TEXT(N($N420)/N($K420),"0%"),"部分开票"))))</f>
        <v/>
      </c>
      <c r="P420" s="40" t="str">
        <f aca="false">IF($C420="","",ROUND($V420+MIN($W420,MAX(0,(SUMIF(收款键,$D420,收款金额)-SUMIFS(收款金额,收款键,$D420,收款关联,"&lt;&gt;"))-($X420-$W420))),2))</f>
        <v/>
      </c>
      <c r="Q420" s="41" t="str">
        <f aca="false">IF($C420="","",ROUND(N($K420)-N($P420),2))</f>
        <v/>
      </c>
      <c r="R420" s="29" t="str">
        <f aca="false">IF($C420="","",YEAR($C420))</f>
        <v/>
      </c>
      <c r="S420" s="24"/>
      <c r="T420" s="35" t="str">
        <f aca="false">IF($C420="","",IF($D420="","★没选客户项目",IF(COUNTIF(合同键,$D420)=0,"★《维保合同》里没这个项目",IF(N($K420)&lt;=0,"★应收金额要填",IF(ROUND(N($N420)-N($K420),2)&gt;0.001,"★开票金额大于应收",IF(AND($L420&lt;&gt;"",N($N420)&lt;=0),"★填了开票日期没填开票金额",IF(AND($I420&lt;&gt;"",$J420&lt;&gt;"",$J420&lt;$I420),"★计费期间起止反了","OK")))))))</f>
        <v/>
      </c>
      <c r="U420" s="29" t="str">
        <f aca="false">IF($L420="","",YEAR($L420))</f>
        <v/>
      </c>
      <c r="V420" s="40" t="str">
        <f aca="false">IF($C420="","",ROUND(SUMIF(收款关联,$B420,收款金额),2))</f>
        <v/>
      </c>
      <c r="W420" s="40" t="str">
        <f aca="false">IF($C420="","",MAX(0,ROUND(N($K420)-N($V420),2)))</f>
        <v/>
      </c>
      <c r="X420" s="40" t="str">
        <f aca="false">IF($C420="","",ROUND(SUMIFS(应收净额,应收键,$D420,应收行号,"&lt;="&amp;ROW()),2))</f>
        <v/>
      </c>
      <c r="Y420" s="29" t="str">
        <f aca="false">IF($C420="","",ROW())</f>
        <v/>
      </c>
    </row>
    <row r="421" customFormat="false" ht="15" hidden="false" customHeight="false" outlineLevel="0" collapsed="false">
      <c r="A421" s="29" t="str">
        <f aca="false">IF($C421="","",ROW()-4)</f>
        <v/>
      </c>
      <c r="B421" s="35" t="str">
        <f aca="false">IF($C421="","","YS"&amp;TEXT($C421,"yyyymm")&amp;"-"&amp;TEXT(ROW()-4,"0000"))</f>
        <v/>
      </c>
      <c r="C421" s="33"/>
      <c r="D421" s="24"/>
      <c r="E421" s="30" t="str">
        <f aca="false">IF($D421="","",IFERROR(INDEX(合同单位,MATCH($D421,合同键,0)),IFERROR(TRIM(LEFT($D421,FIND("｜",$D421)-1)),$D421)))</f>
        <v/>
      </c>
      <c r="F421" s="30" t="str">
        <f aca="false">IF($D421="","",IFERROR(INDEX(合同项目,MATCH($D421,合同键,0)),IFERROR(TRIM(MID($D421,FIND("｜",$D421)+1,99)),"")))</f>
        <v/>
      </c>
      <c r="G421" s="24"/>
      <c r="H421" s="35" t="str">
        <f aca="false">IF($G421="","",IFERROR(INDEX(费用款别,MATCH($G421,费用类别表,0)),"合同外款"))</f>
        <v/>
      </c>
      <c r="I421" s="33"/>
      <c r="J421" s="33"/>
      <c r="K421" s="39"/>
      <c r="L421" s="33"/>
      <c r="M421" s="25"/>
      <c r="N421" s="39"/>
      <c r="O421" s="35" t="str">
        <f aca="false">IF($C421="","",IF(N($N421)&lt;=0,"未开票",IF(ROUND(N($N421)-N($K421),2)&gt;=0,"已开票",IFERROR("部分开票 "&amp;TEXT(N($N421)/N($K421),"0%"),"部分开票"))))</f>
        <v/>
      </c>
      <c r="P421" s="40" t="str">
        <f aca="false">IF($C421="","",ROUND($V421+MIN($W421,MAX(0,(SUMIF(收款键,$D421,收款金额)-SUMIFS(收款金额,收款键,$D421,收款关联,"&lt;&gt;"))-($X421-$W421))),2))</f>
        <v/>
      </c>
      <c r="Q421" s="41" t="str">
        <f aca="false">IF($C421="","",ROUND(N($K421)-N($P421),2))</f>
        <v/>
      </c>
      <c r="R421" s="29" t="str">
        <f aca="false">IF($C421="","",YEAR($C421))</f>
        <v/>
      </c>
      <c r="S421" s="24"/>
      <c r="T421" s="35" t="str">
        <f aca="false">IF($C421="","",IF($D421="","★没选客户项目",IF(COUNTIF(合同键,$D421)=0,"★《维保合同》里没这个项目",IF(N($K421)&lt;=0,"★应收金额要填",IF(ROUND(N($N421)-N($K421),2)&gt;0.001,"★开票金额大于应收",IF(AND($L421&lt;&gt;"",N($N421)&lt;=0),"★填了开票日期没填开票金额",IF(AND($I421&lt;&gt;"",$J421&lt;&gt;"",$J421&lt;$I421),"★计费期间起止反了","OK")))))))</f>
        <v/>
      </c>
      <c r="U421" s="29" t="str">
        <f aca="false">IF($L421="","",YEAR($L421))</f>
        <v/>
      </c>
      <c r="V421" s="40" t="str">
        <f aca="false">IF($C421="","",ROUND(SUMIF(收款关联,$B421,收款金额),2))</f>
        <v/>
      </c>
      <c r="W421" s="40" t="str">
        <f aca="false">IF($C421="","",MAX(0,ROUND(N($K421)-N($V421),2)))</f>
        <v/>
      </c>
      <c r="X421" s="40" t="str">
        <f aca="false">IF($C421="","",ROUND(SUMIFS(应收净额,应收键,$D421,应收行号,"&lt;="&amp;ROW()),2))</f>
        <v/>
      </c>
      <c r="Y421" s="29" t="str">
        <f aca="false">IF($C421="","",ROW())</f>
        <v/>
      </c>
    </row>
    <row r="422" customFormat="false" ht="15" hidden="false" customHeight="false" outlineLevel="0" collapsed="false">
      <c r="A422" s="29" t="str">
        <f aca="false">IF($C422="","",ROW()-4)</f>
        <v/>
      </c>
      <c r="B422" s="35" t="str">
        <f aca="false">IF($C422="","","YS"&amp;TEXT($C422,"yyyymm")&amp;"-"&amp;TEXT(ROW()-4,"0000"))</f>
        <v/>
      </c>
      <c r="C422" s="33"/>
      <c r="D422" s="24"/>
      <c r="E422" s="30" t="str">
        <f aca="false">IF($D422="","",IFERROR(INDEX(合同单位,MATCH($D422,合同键,0)),IFERROR(TRIM(LEFT($D422,FIND("｜",$D422)-1)),$D422)))</f>
        <v/>
      </c>
      <c r="F422" s="30" t="str">
        <f aca="false">IF($D422="","",IFERROR(INDEX(合同项目,MATCH($D422,合同键,0)),IFERROR(TRIM(MID($D422,FIND("｜",$D422)+1,99)),"")))</f>
        <v/>
      </c>
      <c r="G422" s="24"/>
      <c r="H422" s="35" t="str">
        <f aca="false">IF($G422="","",IFERROR(INDEX(费用款别,MATCH($G422,费用类别表,0)),"合同外款"))</f>
        <v/>
      </c>
      <c r="I422" s="33"/>
      <c r="J422" s="33"/>
      <c r="K422" s="39"/>
      <c r="L422" s="33"/>
      <c r="M422" s="25"/>
      <c r="N422" s="39"/>
      <c r="O422" s="35" t="str">
        <f aca="false">IF($C422="","",IF(N($N422)&lt;=0,"未开票",IF(ROUND(N($N422)-N($K422),2)&gt;=0,"已开票",IFERROR("部分开票 "&amp;TEXT(N($N422)/N($K422),"0%"),"部分开票"))))</f>
        <v/>
      </c>
      <c r="P422" s="40" t="str">
        <f aca="false">IF($C422="","",ROUND($V422+MIN($W422,MAX(0,(SUMIF(收款键,$D422,收款金额)-SUMIFS(收款金额,收款键,$D422,收款关联,"&lt;&gt;"))-($X422-$W422))),2))</f>
        <v/>
      </c>
      <c r="Q422" s="41" t="str">
        <f aca="false">IF($C422="","",ROUND(N($K422)-N($P422),2))</f>
        <v/>
      </c>
      <c r="R422" s="29" t="str">
        <f aca="false">IF($C422="","",YEAR($C422))</f>
        <v/>
      </c>
      <c r="S422" s="24"/>
      <c r="T422" s="35" t="str">
        <f aca="false">IF($C422="","",IF($D422="","★没选客户项目",IF(COUNTIF(合同键,$D422)=0,"★《维保合同》里没这个项目",IF(N($K422)&lt;=0,"★应收金额要填",IF(ROUND(N($N422)-N($K422),2)&gt;0.001,"★开票金额大于应收",IF(AND($L422&lt;&gt;"",N($N422)&lt;=0),"★填了开票日期没填开票金额",IF(AND($I422&lt;&gt;"",$J422&lt;&gt;"",$J422&lt;$I422),"★计费期间起止反了","OK")))))))</f>
        <v/>
      </c>
      <c r="U422" s="29" t="str">
        <f aca="false">IF($L422="","",YEAR($L422))</f>
        <v/>
      </c>
      <c r="V422" s="40" t="str">
        <f aca="false">IF($C422="","",ROUND(SUMIF(收款关联,$B422,收款金额),2))</f>
        <v/>
      </c>
      <c r="W422" s="40" t="str">
        <f aca="false">IF($C422="","",MAX(0,ROUND(N($K422)-N($V422),2)))</f>
        <v/>
      </c>
      <c r="X422" s="40" t="str">
        <f aca="false">IF($C422="","",ROUND(SUMIFS(应收净额,应收键,$D422,应收行号,"&lt;="&amp;ROW()),2))</f>
        <v/>
      </c>
      <c r="Y422" s="29" t="str">
        <f aca="false">IF($C422="","",ROW())</f>
        <v/>
      </c>
    </row>
    <row r="423" customFormat="false" ht="15" hidden="false" customHeight="false" outlineLevel="0" collapsed="false">
      <c r="A423" s="29" t="str">
        <f aca="false">IF($C423="","",ROW()-4)</f>
        <v/>
      </c>
      <c r="B423" s="35" t="str">
        <f aca="false">IF($C423="","","YS"&amp;TEXT($C423,"yyyymm")&amp;"-"&amp;TEXT(ROW()-4,"0000"))</f>
        <v/>
      </c>
      <c r="C423" s="33"/>
      <c r="D423" s="24"/>
      <c r="E423" s="30" t="str">
        <f aca="false">IF($D423="","",IFERROR(INDEX(合同单位,MATCH($D423,合同键,0)),IFERROR(TRIM(LEFT($D423,FIND("｜",$D423)-1)),$D423)))</f>
        <v/>
      </c>
      <c r="F423" s="30" t="str">
        <f aca="false">IF($D423="","",IFERROR(INDEX(合同项目,MATCH($D423,合同键,0)),IFERROR(TRIM(MID($D423,FIND("｜",$D423)+1,99)),"")))</f>
        <v/>
      </c>
      <c r="G423" s="24"/>
      <c r="H423" s="35" t="str">
        <f aca="false">IF($G423="","",IFERROR(INDEX(费用款别,MATCH($G423,费用类别表,0)),"合同外款"))</f>
        <v/>
      </c>
      <c r="I423" s="33"/>
      <c r="J423" s="33"/>
      <c r="K423" s="39"/>
      <c r="L423" s="33"/>
      <c r="M423" s="25"/>
      <c r="N423" s="39"/>
      <c r="O423" s="35" t="str">
        <f aca="false">IF($C423="","",IF(N($N423)&lt;=0,"未开票",IF(ROUND(N($N423)-N($K423),2)&gt;=0,"已开票",IFERROR("部分开票 "&amp;TEXT(N($N423)/N($K423),"0%"),"部分开票"))))</f>
        <v/>
      </c>
      <c r="P423" s="40" t="str">
        <f aca="false">IF($C423="","",ROUND($V423+MIN($W423,MAX(0,(SUMIF(收款键,$D423,收款金额)-SUMIFS(收款金额,收款键,$D423,收款关联,"&lt;&gt;"))-($X423-$W423))),2))</f>
        <v/>
      </c>
      <c r="Q423" s="41" t="str">
        <f aca="false">IF($C423="","",ROUND(N($K423)-N($P423),2))</f>
        <v/>
      </c>
      <c r="R423" s="29" t="str">
        <f aca="false">IF($C423="","",YEAR($C423))</f>
        <v/>
      </c>
      <c r="S423" s="24"/>
      <c r="T423" s="35" t="str">
        <f aca="false">IF($C423="","",IF($D423="","★没选客户项目",IF(COUNTIF(合同键,$D423)=0,"★《维保合同》里没这个项目",IF(N($K423)&lt;=0,"★应收金额要填",IF(ROUND(N($N423)-N($K423),2)&gt;0.001,"★开票金额大于应收",IF(AND($L423&lt;&gt;"",N($N423)&lt;=0),"★填了开票日期没填开票金额",IF(AND($I423&lt;&gt;"",$J423&lt;&gt;"",$J423&lt;$I423),"★计费期间起止反了","OK")))))))</f>
        <v/>
      </c>
      <c r="U423" s="29" t="str">
        <f aca="false">IF($L423="","",YEAR($L423))</f>
        <v/>
      </c>
      <c r="V423" s="40" t="str">
        <f aca="false">IF($C423="","",ROUND(SUMIF(收款关联,$B423,收款金额),2))</f>
        <v/>
      </c>
      <c r="W423" s="40" t="str">
        <f aca="false">IF($C423="","",MAX(0,ROUND(N($K423)-N($V423),2)))</f>
        <v/>
      </c>
      <c r="X423" s="40" t="str">
        <f aca="false">IF($C423="","",ROUND(SUMIFS(应收净额,应收键,$D423,应收行号,"&lt;="&amp;ROW()),2))</f>
        <v/>
      </c>
      <c r="Y423" s="29" t="str">
        <f aca="false">IF($C423="","",ROW())</f>
        <v/>
      </c>
    </row>
    <row r="424" customFormat="false" ht="15" hidden="false" customHeight="false" outlineLevel="0" collapsed="false">
      <c r="A424" s="29" t="str">
        <f aca="false">IF($C424="","",ROW()-4)</f>
        <v/>
      </c>
      <c r="B424" s="35" t="str">
        <f aca="false">IF($C424="","","YS"&amp;TEXT($C424,"yyyymm")&amp;"-"&amp;TEXT(ROW()-4,"0000"))</f>
        <v/>
      </c>
      <c r="C424" s="33"/>
      <c r="D424" s="24"/>
      <c r="E424" s="30" t="str">
        <f aca="false">IF($D424="","",IFERROR(INDEX(合同单位,MATCH($D424,合同键,0)),IFERROR(TRIM(LEFT($D424,FIND("｜",$D424)-1)),$D424)))</f>
        <v/>
      </c>
      <c r="F424" s="30" t="str">
        <f aca="false">IF($D424="","",IFERROR(INDEX(合同项目,MATCH($D424,合同键,0)),IFERROR(TRIM(MID($D424,FIND("｜",$D424)+1,99)),"")))</f>
        <v/>
      </c>
      <c r="G424" s="24"/>
      <c r="H424" s="35" t="str">
        <f aca="false">IF($G424="","",IFERROR(INDEX(费用款别,MATCH($G424,费用类别表,0)),"合同外款"))</f>
        <v/>
      </c>
      <c r="I424" s="33"/>
      <c r="J424" s="33"/>
      <c r="K424" s="39"/>
      <c r="L424" s="33"/>
      <c r="M424" s="25"/>
      <c r="N424" s="39"/>
      <c r="O424" s="35" t="str">
        <f aca="false">IF($C424="","",IF(N($N424)&lt;=0,"未开票",IF(ROUND(N($N424)-N($K424),2)&gt;=0,"已开票",IFERROR("部分开票 "&amp;TEXT(N($N424)/N($K424),"0%"),"部分开票"))))</f>
        <v/>
      </c>
      <c r="P424" s="40" t="str">
        <f aca="false">IF($C424="","",ROUND($V424+MIN($W424,MAX(0,(SUMIF(收款键,$D424,收款金额)-SUMIFS(收款金额,收款键,$D424,收款关联,"&lt;&gt;"))-($X424-$W424))),2))</f>
        <v/>
      </c>
      <c r="Q424" s="41" t="str">
        <f aca="false">IF($C424="","",ROUND(N($K424)-N($P424),2))</f>
        <v/>
      </c>
      <c r="R424" s="29" t="str">
        <f aca="false">IF($C424="","",YEAR($C424))</f>
        <v/>
      </c>
      <c r="S424" s="24"/>
      <c r="T424" s="35" t="str">
        <f aca="false">IF($C424="","",IF($D424="","★没选客户项目",IF(COUNTIF(合同键,$D424)=0,"★《维保合同》里没这个项目",IF(N($K424)&lt;=0,"★应收金额要填",IF(ROUND(N($N424)-N($K424),2)&gt;0.001,"★开票金额大于应收",IF(AND($L424&lt;&gt;"",N($N424)&lt;=0),"★填了开票日期没填开票金额",IF(AND($I424&lt;&gt;"",$J424&lt;&gt;"",$J424&lt;$I424),"★计费期间起止反了","OK")))))))</f>
        <v/>
      </c>
      <c r="U424" s="29" t="str">
        <f aca="false">IF($L424="","",YEAR($L424))</f>
        <v/>
      </c>
      <c r="V424" s="40" t="str">
        <f aca="false">IF($C424="","",ROUND(SUMIF(收款关联,$B424,收款金额),2))</f>
        <v/>
      </c>
      <c r="W424" s="40" t="str">
        <f aca="false">IF($C424="","",MAX(0,ROUND(N($K424)-N($V424),2)))</f>
        <v/>
      </c>
      <c r="X424" s="40" t="str">
        <f aca="false">IF($C424="","",ROUND(SUMIFS(应收净额,应收键,$D424,应收行号,"&lt;="&amp;ROW()),2))</f>
        <v/>
      </c>
      <c r="Y424" s="29" t="str">
        <f aca="false">IF($C424="","",ROW())</f>
        <v/>
      </c>
    </row>
    <row r="425" customFormat="false" ht="15" hidden="false" customHeight="false" outlineLevel="0" collapsed="false">
      <c r="A425" s="29" t="str">
        <f aca="false">IF($C425="","",ROW()-4)</f>
        <v/>
      </c>
      <c r="B425" s="35" t="str">
        <f aca="false">IF($C425="","","YS"&amp;TEXT($C425,"yyyymm")&amp;"-"&amp;TEXT(ROW()-4,"0000"))</f>
        <v/>
      </c>
      <c r="C425" s="33"/>
      <c r="D425" s="24"/>
      <c r="E425" s="30" t="str">
        <f aca="false">IF($D425="","",IFERROR(INDEX(合同单位,MATCH($D425,合同键,0)),IFERROR(TRIM(LEFT($D425,FIND("｜",$D425)-1)),$D425)))</f>
        <v/>
      </c>
      <c r="F425" s="30" t="str">
        <f aca="false">IF($D425="","",IFERROR(INDEX(合同项目,MATCH($D425,合同键,0)),IFERROR(TRIM(MID($D425,FIND("｜",$D425)+1,99)),"")))</f>
        <v/>
      </c>
      <c r="G425" s="24"/>
      <c r="H425" s="35" t="str">
        <f aca="false">IF($G425="","",IFERROR(INDEX(费用款别,MATCH($G425,费用类别表,0)),"合同外款"))</f>
        <v/>
      </c>
      <c r="I425" s="33"/>
      <c r="J425" s="33"/>
      <c r="K425" s="39"/>
      <c r="L425" s="33"/>
      <c r="M425" s="25"/>
      <c r="N425" s="39"/>
      <c r="O425" s="35" t="str">
        <f aca="false">IF($C425="","",IF(N($N425)&lt;=0,"未开票",IF(ROUND(N($N425)-N($K425),2)&gt;=0,"已开票",IFERROR("部分开票 "&amp;TEXT(N($N425)/N($K425),"0%"),"部分开票"))))</f>
        <v/>
      </c>
      <c r="P425" s="40" t="str">
        <f aca="false">IF($C425="","",ROUND($V425+MIN($W425,MAX(0,(SUMIF(收款键,$D425,收款金额)-SUMIFS(收款金额,收款键,$D425,收款关联,"&lt;&gt;"))-($X425-$W425))),2))</f>
        <v/>
      </c>
      <c r="Q425" s="41" t="str">
        <f aca="false">IF($C425="","",ROUND(N($K425)-N($P425),2))</f>
        <v/>
      </c>
      <c r="R425" s="29" t="str">
        <f aca="false">IF($C425="","",YEAR($C425))</f>
        <v/>
      </c>
      <c r="S425" s="24"/>
      <c r="T425" s="35" t="str">
        <f aca="false">IF($C425="","",IF($D425="","★没选客户项目",IF(COUNTIF(合同键,$D425)=0,"★《维保合同》里没这个项目",IF(N($K425)&lt;=0,"★应收金额要填",IF(ROUND(N($N425)-N($K425),2)&gt;0.001,"★开票金额大于应收",IF(AND($L425&lt;&gt;"",N($N425)&lt;=0),"★填了开票日期没填开票金额",IF(AND($I425&lt;&gt;"",$J425&lt;&gt;"",$J425&lt;$I425),"★计费期间起止反了","OK")))))))</f>
        <v/>
      </c>
      <c r="U425" s="29" t="str">
        <f aca="false">IF($L425="","",YEAR($L425))</f>
        <v/>
      </c>
      <c r="V425" s="40" t="str">
        <f aca="false">IF($C425="","",ROUND(SUMIF(收款关联,$B425,收款金额),2))</f>
        <v/>
      </c>
      <c r="W425" s="40" t="str">
        <f aca="false">IF($C425="","",MAX(0,ROUND(N($K425)-N($V425),2)))</f>
        <v/>
      </c>
      <c r="X425" s="40" t="str">
        <f aca="false">IF($C425="","",ROUND(SUMIFS(应收净额,应收键,$D425,应收行号,"&lt;="&amp;ROW()),2))</f>
        <v/>
      </c>
      <c r="Y425" s="29" t="str">
        <f aca="false">IF($C425="","",ROW())</f>
        <v/>
      </c>
    </row>
    <row r="426" customFormat="false" ht="15" hidden="false" customHeight="false" outlineLevel="0" collapsed="false">
      <c r="A426" s="29" t="str">
        <f aca="false">IF($C426="","",ROW()-4)</f>
        <v/>
      </c>
      <c r="B426" s="35" t="str">
        <f aca="false">IF($C426="","","YS"&amp;TEXT($C426,"yyyymm")&amp;"-"&amp;TEXT(ROW()-4,"0000"))</f>
        <v/>
      </c>
      <c r="C426" s="33"/>
      <c r="D426" s="24"/>
      <c r="E426" s="30" t="str">
        <f aca="false">IF($D426="","",IFERROR(INDEX(合同单位,MATCH($D426,合同键,0)),IFERROR(TRIM(LEFT($D426,FIND("｜",$D426)-1)),$D426)))</f>
        <v/>
      </c>
      <c r="F426" s="30" t="str">
        <f aca="false">IF($D426="","",IFERROR(INDEX(合同项目,MATCH($D426,合同键,0)),IFERROR(TRIM(MID($D426,FIND("｜",$D426)+1,99)),"")))</f>
        <v/>
      </c>
      <c r="G426" s="24"/>
      <c r="H426" s="35" t="str">
        <f aca="false">IF($G426="","",IFERROR(INDEX(费用款别,MATCH($G426,费用类别表,0)),"合同外款"))</f>
        <v/>
      </c>
      <c r="I426" s="33"/>
      <c r="J426" s="33"/>
      <c r="K426" s="39"/>
      <c r="L426" s="33"/>
      <c r="M426" s="25"/>
      <c r="N426" s="39"/>
      <c r="O426" s="35" t="str">
        <f aca="false">IF($C426="","",IF(N($N426)&lt;=0,"未开票",IF(ROUND(N($N426)-N($K426),2)&gt;=0,"已开票",IFERROR("部分开票 "&amp;TEXT(N($N426)/N($K426),"0%"),"部分开票"))))</f>
        <v/>
      </c>
      <c r="P426" s="40" t="str">
        <f aca="false">IF($C426="","",ROUND($V426+MIN($W426,MAX(0,(SUMIF(收款键,$D426,收款金额)-SUMIFS(收款金额,收款键,$D426,收款关联,"&lt;&gt;"))-($X426-$W426))),2))</f>
        <v/>
      </c>
      <c r="Q426" s="41" t="str">
        <f aca="false">IF($C426="","",ROUND(N($K426)-N($P426),2))</f>
        <v/>
      </c>
      <c r="R426" s="29" t="str">
        <f aca="false">IF($C426="","",YEAR($C426))</f>
        <v/>
      </c>
      <c r="S426" s="24"/>
      <c r="T426" s="35" t="str">
        <f aca="false">IF($C426="","",IF($D426="","★没选客户项目",IF(COUNTIF(合同键,$D426)=0,"★《维保合同》里没这个项目",IF(N($K426)&lt;=0,"★应收金额要填",IF(ROUND(N($N426)-N($K426),2)&gt;0.001,"★开票金额大于应收",IF(AND($L426&lt;&gt;"",N($N426)&lt;=0),"★填了开票日期没填开票金额",IF(AND($I426&lt;&gt;"",$J426&lt;&gt;"",$J426&lt;$I426),"★计费期间起止反了","OK")))))))</f>
        <v/>
      </c>
      <c r="U426" s="29" t="str">
        <f aca="false">IF($L426="","",YEAR($L426))</f>
        <v/>
      </c>
      <c r="V426" s="40" t="str">
        <f aca="false">IF($C426="","",ROUND(SUMIF(收款关联,$B426,收款金额),2))</f>
        <v/>
      </c>
      <c r="W426" s="40" t="str">
        <f aca="false">IF($C426="","",MAX(0,ROUND(N($K426)-N($V426),2)))</f>
        <v/>
      </c>
      <c r="X426" s="40" t="str">
        <f aca="false">IF($C426="","",ROUND(SUMIFS(应收净额,应收键,$D426,应收行号,"&lt;="&amp;ROW()),2))</f>
        <v/>
      </c>
      <c r="Y426" s="29" t="str">
        <f aca="false">IF($C426="","",ROW())</f>
        <v/>
      </c>
    </row>
    <row r="427" customFormat="false" ht="15" hidden="false" customHeight="false" outlineLevel="0" collapsed="false">
      <c r="A427" s="29" t="str">
        <f aca="false">IF($C427="","",ROW()-4)</f>
        <v/>
      </c>
      <c r="B427" s="35" t="str">
        <f aca="false">IF($C427="","","YS"&amp;TEXT($C427,"yyyymm")&amp;"-"&amp;TEXT(ROW()-4,"0000"))</f>
        <v/>
      </c>
      <c r="C427" s="33"/>
      <c r="D427" s="24"/>
      <c r="E427" s="30" t="str">
        <f aca="false">IF($D427="","",IFERROR(INDEX(合同单位,MATCH($D427,合同键,0)),IFERROR(TRIM(LEFT($D427,FIND("｜",$D427)-1)),$D427)))</f>
        <v/>
      </c>
      <c r="F427" s="30" t="str">
        <f aca="false">IF($D427="","",IFERROR(INDEX(合同项目,MATCH($D427,合同键,0)),IFERROR(TRIM(MID($D427,FIND("｜",$D427)+1,99)),"")))</f>
        <v/>
      </c>
      <c r="G427" s="24"/>
      <c r="H427" s="35" t="str">
        <f aca="false">IF($G427="","",IFERROR(INDEX(费用款别,MATCH($G427,费用类别表,0)),"合同外款"))</f>
        <v/>
      </c>
      <c r="I427" s="33"/>
      <c r="J427" s="33"/>
      <c r="K427" s="39"/>
      <c r="L427" s="33"/>
      <c r="M427" s="25"/>
      <c r="N427" s="39"/>
      <c r="O427" s="35" t="str">
        <f aca="false">IF($C427="","",IF(N($N427)&lt;=0,"未开票",IF(ROUND(N($N427)-N($K427),2)&gt;=0,"已开票",IFERROR("部分开票 "&amp;TEXT(N($N427)/N($K427),"0%"),"部分开票"))))</f>
        <v/>
      </c>
      <c r="P427" s="40" t="str">
        <f aca="false">IF($C427="","",ROUND($V427+MIN($W427,MAX(0,(SUMIF(收款键,$D427,收款金额)-SUMIFS(收款金额,收款键,$D427,收款关联,"&lt;&gt;"))-($X427-$W427))),2))</f>
        <v/>
      </c>
      <c r="Q427" s="41" t="str">
        <f aca="false">IF($C427="","",ROUND(N($K427)-N($P427),2))</f>
        <v/>
      </c>
      <c r="R427" s="29" t="str">
        <f aca="false">IF($C427="","",YEAR($C427))</f>
        <v/>
      </c>
      <c r="S427" s="24"/>
      <c r="T427" s="35" t="str">
        <f aca="false">IF($C427="","",IF($D427="","★没选客户项目",IF(COUNTIF(合同键,$D427)=0,"★《维保合同》里没这个项目",IF(N($K427)&lt;=0,"★应收金额要填",IF(ROUND(N($N427)-N($K427),2)&gt;0.001,"★开票金额大于应收",IF(AND($L427&lt;&gt;"",N($N427)&lt;=0),"★填了开票日期没填开票金额",IF(AND($I427&lt;&gt;"",$J427&lt;&gt;"",$J427&lt;$I427),"★计费期间起止反了","OK")))))))</f>
        <v/>
      </c>
      <c r="U427" s="29" t="str">
        <f aca="false">IF($L427="","",YEAR($L427))</f>
        <v/>
      </c>
      <c r="V427" s="40" t="str">
        <f aca="false">IF($C427="","",ROUND(SUMIF(收款关联,$B427,收款金额),2))</f>
        <v/>
      </c>
      <c r="W427" s="40" t="str">
        <f aca="false">IF($C427="","",MAX(0,ROUND(N($K427)-N($V427),2)))</f>
        <v/>
      </c>
      <c r="X427" s="40" t="str">
        <f aca="false">IF($C427="","",ROUND(SUMIFS(应收净额,应收键,$D427,应收行号,"&lt;="&amp;ROW()),2))</f>
        <v/>
      </c>
      <c r="Y427" s="29" t="str">
        <f aca="false">IF($C427="","",ROW())</f>
        <v/>
      </c>
    </row>
    <row r="428" customFormat="false" ht="15" hidden="false" customHeight="false" outlineLevel="0" collapsed="false">
      <c r="A428" s="29" t="str">
        <f aca="false">IF($C428="","",ROW()-4)</f>
        <v/>
      </c>
      <c r="B428" s="35" t="str">
        <f aca="false">IF($C428="","","YS"&amp;TEXT($C428,"yyyymm")&amp;"-"&amp;TEXT(ROW()-4,"0000"))</f>
        <v/>
      </c>
      <c r="C428" s="33"/>
      <c r="D428" s="24"/>
      <c r="E428" s="30" t="str">
        <f aca="false">IF($D428="","",IFERROR(INDEX(合同单位,MATCH($D428,合同键,0)),IFERROR(TRIM(LEFT($D428,FIND("｜",$D428)-1)),$D428)))</f>
        <v/>
      </c>
      <c r="F428" s="30" t="str">
        <f aca="false">IF($D428="","",IFERROR(INDEX(合同项目,MATCH($D428,合同键,0)),IFERROR(TRIM(MID($D428,FIND("｜",$D428)+1,99)),"")))</f>
        <v/>
      </c>
      <c r="G428" s="24"/>
      <c r="H428" s="35" t="str">
        <f aca="false">IF($G428="","",IFERROR(INDEX(费用款别,MATCH($G428,费用类别表,0)),"合同外款"))</f>
        <v/>
      </c>
      <c r="I428" s="33"/>
      <c r="J428" s="33"/>
      <c r="K428" s="39"/>
      <c r="L428" s="33"/>
      <c r="M428" s="25"/>
      <c r="N428" s="39"/>
      <c r="O428" s="35" t="str">
        <f aca="false">IF($C428="","",IF(N($N428)&lt;=0,"未开票",IF(ROUND(N($N428)-N($K428),2)&gt;=0,"已开票",IFERROR("部分开票 "&amp;TEXT(N($N428)/N($K428),"0%"),"部分开票"))))</f>
        <v/>
      </c>
      <c r="P428" s="40" t="str">
        <f aca="false">IF($C428="","",ROUND($V428+MIN($W428,MAX(0,(SUMIF(收款键,$D428,收款金额)-SUMIFS(收款金额,收款键,$D428,收款关联,"&lt;&gt;"))-($X428-$W428))),2))</f>
        <v/>
      </c>
      <c r="Q428" s="41" t="str">
        <f aca="false">IF($C428="","",ROUND(N($K428)-N($P428),2))</f>
        <v/>
      </c>
      <c r="R428" s="29" t="str">
        <f aca="false">IF($C428="","",YEAR($C428))</f>
        <v/>
      </c>
      <c r="S428" s="24"/>
      <c r="T428" s="35" t="str">
        <f aca="false">IF($C428="","",IF($D428="","★没选客户项目",IF(COUNTIF(合同键,$D428)=0,"★《维保合同》里没这个项目",IF(N($K428)&lt;=0,"★应收金额要填",IF(ROUND(N($N428)-N($K428),2)&gt;0.001,"★开票金额大于应收",IF(AND($L428&lt;&gt;"",N($N428)&lt;=0),"★填了开票日期没填开票金额",IF(AND($I428&lt;&gt;"",$J428&lt;&gt;"",$J428&lt;$I428),"★计费期间起止反了","OK")))))))</f>
        <v/>
      </c>
      <c r="U428" s="29" t="str">
        <f aca="false">IF($L428="","",YEAR($L428))</f>
        <v/>
      </c>
      <c r="V428" s="40" t="str">
        <f aca="false">IF($C428="","",ROUND(SUMIF(收款关联,$B428,收款金额),2))</f>
        <v/>
      </c>
      <c r="W428" s="40" t="str">
        <f aca="false">IF($C428="","",MAX(0,ROUND(N($K428)-N($V428),2)))</f>
        <v/>
      </c>
      <c r="X428" s="40" t="str">
        <f aca="false">IF($C428="","",ROUND(SUMIFS(应收净额,应收键,$D428,应收行号,"&lt;="&amp;ROW()),2))</f>
        <v/>
      </c>
      <c r="Y428" s="29" t="str">
        <f aca="false">IF($C428="","",ROW())</f>
        <v/>
      </c>
    </row>
    <row r="429" customFormat="false" ht="15" hidden="false" customHeight="false" outlineLevel="0" collapsed="false">
      <c r="A429" s="29" t="str">
        <f aca="false">IF($C429="","",ROW()-4)</f>
        <v/>
      </c>
      <c r="B429" s="35" t="str">
        <f aca="false">IF($C429="","","YS"&amp;TEXT($C429,"yyyymm")&amp;"-"&amp;TEXT(ROW()-4,"0000"))</f>
        <v/>
      </c>
      <c r="C429" s="33"/>
      <c r="D429" s="24"/>
      <c r="E429" s="30" t="str">
        <f aca="false">IF($D429="","",IFERROR(INDEX(合同单位,MATCH($D429,合同键,0)),IFERROR(TRIM(LEFT($D429,FIND("｜",$D429)-1)),$D429)))</f>
        <v/>
      </c>
      <c r="F429" s="30" t="str">
        <f aca="false">IF($D429="","",IFERROR(INDEX(合同项目,MATCH($D429,合同键,0)),IFERROR(TRIM(MID($D429,FIND("｜",$D429)+1,99)),"")))</f>
        <v/>
      </c>
      <c r="G429" s="24"/>
      <c r="H429" s="35" t="str">
        <f aca="false">IF($G429="","",IFERROR(INDEX(费用款别,MATCH($G429,费用类别表,0)),"合同外款"))</f>
        <v/>
      </c>
      <c r="I429" s="33"/>
      <c r="J429" s="33"/>
      <c r="K429" s="39"/>
      <c r="L429" s="33"/>
      <c r="M429" s="25"/>
      <c r="N429" s="39"/>
      <c r="O429" s="35" t="str">
        <f aca="false">IF($C429="","",IF(N($N429)&lt;=0,"未开票",IF(ROUND(N($N429)-N($K429),2)&gt;=0,"已开票",IFERROR("部分开票 "&amp;TEXT(N($N429)/N($K429),"0%"),"部分开票"))))</f>
        <v/>
      </c>
      <c r="P429" s="40" t="str">
        <f aca="false">IF($C429="","",ROUND($V429+MIN($W429,MAX(0,(SUMIF(收款键,$D429,收款金额)-SUMIFS(收款金额,收款键,$D429,收款关联,"&lt;&gt;"))-($X429-$W429))),2))</f>
        <v/>
      </c>
      <c r="Q429" s="41" t="str">
        <f aca="false">IF($C429="","",ROUND(N($K429)-N($P429),2))</f>
        <v/>
      </c>
      <c r="R429" s="29" t="str">
        <f aca="false">IF($C429="","",YEAR($C429))</f>
        <v/>
      </c>
      <c r="S429" s="24"/>
      <c r="T429" s="35" t="str">
        <f aca="false">IF($C429="","",IF($D429="","★没选客户项目",IF(COUNTIF(合同键,$D429)=0,"★《维保合同》里没这个项目",IF(N($K429)&lt;=0,"★应收金额要填",IF(ROUND(N($N429)-N($K429),2)&gt;0.001,"★开票金额大于应收",IF(AND($L429&lt;&gt;"",N($N429)&lt;=0),"★填了开票日期没填开票金额",IF(AND($I429&lt;&gt;"",$J429&lt;&gt;"",$J429&lt;$I429),"★计费期间起止反了","OK")))))))</f>
        <v/>
      </c>
      <c r="U429" s="29" t="str">
        <f aca="false">IF($L429="","",YEAR($L429))</f>
        <v/>
      </c>
      <c r="V429" s="40" t="str">
        <f aca="false">IF($C429="","",ROUND(SUMIF(收款关联,$B429,收款金额),2))</f>
        <v/>
      </c>
      <c r="W429" s="40" t="str">
        <f aca="false">IF($C429="","",MAX(0,ROUND(N($K429)-N($V429),2)))</f>
        <v/>
      </c>
      <c r="X429" s="40" t="str">
        <f aca="false">IF($C429="","",ROUND(SUMIFS(应收净额,应收键,$D429,应收行号,"&lt;="&amp;ROW()),2))</f>
        <v/>
      </c>
      <c r="Y429" s="29" t="str">
        <f aca="false">IF($C429="","",ROW())</f>
        <v/>
      </c>
    </row>
    <row r="430" customFormat="false" ht="15" hidden="false" customHeight="false" outlineLevel="0" collapsed="false">
      <c r="A430" s="29" t="str">
        <f aca="false">IF($C430="","",ROW()-4)</f>
        <v/>
      </c>
      <c r="B430" s="35" t="str">
        <f aca="false">IF($C430="","","YS"&amp;TEXT($C430,"yyyymm")&amp;"-"&amp;TEXT(ROW()-4,"0000"))</f>
        <v/>
      </c>
      <c r="C430" s="33"/>
      <c r="D430" s="24"/>
      <c r="E430" s="30" t="str">
        <f aca="false">IF($D430="","",IFERROR(INDEX(合同单位,MATCH($D430,合同键,0)),IFERROR(TRIM(LEFT($D430,FIND("｜",$D430)-1)),$D430)))</f>
        <v/>
      </c>
      <c r="F430" s="30" t="str">
        <f aca="false">IF($D430="","",IFERROR(INDEX(合同项目,MATCH($D430,合同键,0)),IFERROR(TRIM(MID($D430,FIND("｜",$D430)+1,99)),"")))</f>
        <v/>
      </c>
      <c r="G430" s="24"/>
      <c r="H430" s="35" t="str">
        <f aca="false">IF($G430="","",IFERROR(INDEX(费用款别,MATCH($G430,费用类别表,0)),"合同外款"))</f>
        <v/>
      </c>
      <c r="I430" s="33"/>
      <c r="J430" s="33"/>
      <c r="K430" s="39"/>
      <c r="L430" s="33"/>
      <c r="M430" s="25"/>
      <c r="N430" s="39"/>
      <c r="O430" s="35" t="str">
        <f aca="false">IF($C430="","",IF(N($N430)&lt;=0,"未开票",IF(ROUND(N($N430)-N($K430),2)&gt;=0,"已开票",IFERROR("部分开票 "&amp;TEXT(N($N430)/N($K430),"0%"),"部分开票"))))</f>
        <v/>
      </c>
      <c r="P430" s="40" t="str">
        <f aca="false">IF($C430="","",ROUND($V430+MIN($W430,MAX(0,(SUMIF(收款键,$D430,收款金额)-SUMIFS(收款金额,收款键,$D430,收款关联,"&lt;&gt;"))-($X430-$W430))),2))</f>
        <v/>
      </c>
      <c r="Q430" s="41" t="str">
        <f aca="false">IF($C430="","",ROUND(N($K430)-N($P430),2))</f>
        <v/>
      </c>
      <c r="R430" s="29" t="str">
        <f aca="false">IF($C430="","",YEAR($C430))</f>
        <v/>
      </c>
      <c r="S430" s="24"/>
      <c r="T430" s="35" t="str">
        <f aca="false">IF($C430="","",IF($D430="","★没选客户项目",IF(COUNTIF(合同键,$D430)=0,"★《维保合同》里没这个项目",IF(N($K430)&lt;=0,"★应收金额要填",IF(ROUND(N($N430)-N($K430),2)&gt;0.001,"★开票金额大于应收",IF(AND($L430&lt;&gt;"",N($N430)&lt;=0),"★填了开票日期没填开票金额",IF(AND($I430&lt;&gt;"",$J430&lt;&gt;"",$J430&lt;$I430),"★计费期间起止反了","OK")))))))</f>
        <v/>
      </c>
      <c r="U430" s="29" t="str">
        <f aca="false">IF($L430="","",YEAR($L430))</f>
        <v/>
      </c>
      <c r="V430" s="40" t="str">
        <f aca="false">IF($C430="","",ROUND(SUMIF(收款关联,$B430,收款金额),2))</f>
        <v/>
      </c>
      <c r="W430" s="40" t="str">
        <f aca="false">IF($C430="","",MAX(0,ROUND(N($K430)-N($V430),2)))</f>
        <v/>
      </c>
      <c r="X430" s="40" t="str">
        <f aca="false">IF($C430="","",ROUND(SUMIFS(应收净额,应收键,$D430,应收行号,"&lt;="&amp;ROW()),2))</f>
        <v/>
      </c>
      <c r="Y430" s="29" t="str">
        <f aca="false">IF($C430="","",ROW())</f>
        <v/>
      </c>
    </row>
    <row r="431" customFormat="false" ht="15" hidden="false" customHeight="false" outlineLevel="0" collapsed="false">
      <c r="A431" s="29" t="str">
        <f aca="false">IF($C431="","",ROW()-4)</f>
        <v/>
      </c>
      <c r="B431" s="35" t="str">
        <f aca="false">IF($C431="","","YS"&amp;TEXT($C431,"yyyymm")&amp;"-"&amp;TEXT(ROW()-4,"0000"))</f>
        <v/>
      </c>
      <c r="C431" s="33"/>
      <c r="D431" s="24"/>
      <c r="E431" s="30" t="str">
        <f aca="false">IF($D431="","",IFERROR(INDEX(合同单位,MATCH($D431,合同键,0)),IFERROR(TRIM(LEFT($D431,FIND("｜",$D431)-1)),$D431)))</f>
        <v/>
      </c>
      <c r="F431" s="30" t="str">
        <f aca="false">IF($D431="","",IFERROR(INDEX(合同项目,MATCH($D431,合同键,0)),IFERROR(TRIM(MID($D431,FIND("｜",$D431)+1,99)),"")))</f>
        <v/>
      </c>
      <c r="G431" s="24"/>
      <c r="H431" s="35" t="str">
        <f aca="false">IF($G431="","",IFERROR(INDEX(费用款别,MATCH($G431,费用类别表,0)),"合同外款"))</f>
        <v/>
      </c>
      <c r="I431" s="33"/>
      <c r="J431" s="33"/>
      <c r="K431" s="39"/>
      <c r="L431" s="33"/>
      <c r="M431" s="25"/>
      <c r="N431" s="39"/>
      <c r="O431" s="35" t="str">
        <f aca="false">IF($C431="","",IF(N($N431)&lt;=0,"未开票",IF(ROUND(N($N431)-N($K431),2)&gt;=0,"已开票",IFERROR("部分开票 "&amp;TEXT(N($N431)/N($K431),"0%"),"部分开票"))))</f>
        <v/>
      </c>
      <c r="P431" s="40" t="str">
        <f aca="false">IF($C431="","",ROUND($V431+MIN($W431,MAX(0,(SUMIF(收款键,$D431,收款金额)-SUMIFS(收款金额,收款键,$D431,收款关联,"&lt;&gt;"))-($X431-$W431))),2))</f>
        <v/>
      </c>
      <c r="Q431" s="41" t="str">
        <f aca="false">IF($C431="","",ROUND(N($K431)-N($P431),2))</f>
        <v/>
      </c>
      <c r="R431" s="29" t="str">
        <f aca="false">IF($C431="","",YEAR($C431))</f>
        <v/>
      </c>
      <c r="S431" s="24"/>
      <c r="T431" s="35" t="str">
        <f aca="false">IF($C431="","",IF($D431="","★没选客户项目",IF(COUNTIF(合同键,$D431)=0,"★《维保合同》里没这个项目",IF(N($K431)&lt;=0,"★应收金额要填",IF(ROUND(N($N431)-N($K431),2)&gt;0.001,"★开票金额大于应收",IF(AND($L431&lt;&gt;"",N($N431)&lt;=0),"★填了开票日期没填开票金额",IF(AND($I431&lt;&gt;"",$J431&lt;&gt;"",$J431&lt;$I431),"★计费期间起止反了","OK")))))))</f>
        <v/>
      </c>
      <c r="U431" s="29" t="str">
        <f aca="false">IF($L431="","",YEAR($L431))</f>
        <v/>
      </c>
      <c r="V431" s="40" t="str">
        <f aca="false">IF($C431="","",ROUND(SUMIF(收款关联,$B431,收款金额),2))</f>
        <v/>
      </c>
      <c r="W431" s="40" t="str">
        <f aca="false">IF($C431="","",MAX(0,ROUND(N($K431)-N($V431),2)))</f>
        <v/>
      </c>
      <c r="X431" s="40" t="str">
        <f aca="false">IF($C431="","",ROUND(SUMIFS(应收净额,应收键,$D431,应收行号,"&lt;="&amp;ROW()),2))</f>
        <v/>
      </c>
      <c r="Y431" s="29" t="str">
        <f aca="false">IF($C431="","",ROW())</f>
        <v/>
      </c>
    </row>
    <row r="432" customFormat="false" ht="15" hidden="false" customHeight="false" outlineLevel="0" collapsed="false">
      <c r="A432" s="29" t="str">
        <f aca="false">IF($C432="","",ROW()-4)</f>
        <v/>
      </c>
      <c r="B432" s="35" t="str">
        <f aca="false">IF($C432="","","YS"&amp;TEXT($C432,"yyyymm")&amp;"-"&amp;TEXT(ROW()-4,"0000"))</f>
        <v/>
      </c>
      <c r="C432" s="33"/>
      <c r="D432" s="24"/>
      <c r="E432" s="30" t="str">
        <f aca="false">IF($D432="","",IFERROR(INDEX(合同单位,MATCH($D432,合同键,0)),IFERROR(TRIM(LEFT($D432,FIND("｜",$D432)-1)),$D432)))</f>
        <v/>
      </c>
      <c r="F432" s="30" t="str">
        <f aca="false">IF($D432="","",IFERROR(INDEX(合同项目,MATCH($D432,合同键,0)),IFERROR(TRIM(MID($D432,FIND("｜",$D432)+1,99)),"")))</f>
        <v/>
      </c>
      <c r="G432" s="24"/>
      <c r="H432" s="35" t="str">
        <f aca="false">IF($G432="","",IFERROR(INDEX(费用款别,MATCH($G432,费用类别表,0)),"合同外款"))</f>
        <v/>
      </c>
      <c r="I432" s="33"/>
      <c r="J432" s="33"/>
      <c r="K432" s="39"/>
      <c r="L432" s="33"/>
      <c r="M432" s="25"/>
      <c r="N432" s="39"/>
      <c r="O432" s="35" t="str">
        <f aca="false">IF($C432="","",IF(N($N432)&lt;=0,"未开票",IF(ROUND(N($N432)-N($K432),2)&gt;=0,"已开票",IFERROR("部分开票 "&amp;TEXT(N($N432)/N($K432),"0%"),"部分开票"))))</f>
        <v/>
      </c>
      <c r="P432" s="40" t="str">
        <f aca="false">IF($C432="","",ROUND($V432+MIN($W432,MAX(0,(SUMIF(收款键,$D432,收款金额)-SUMIFS(收款金额,收款键,$D432,收款关联,"&lt;&gt;"))-($X432-$W432))),2))</f>
        <v/>
      </c>
      <c r="Q432" s="41" t="str">
        <f aca="false">IF($C432="","",ROUND(N($K432)-N($P432),2))</f>
        <v/>
      </c>
      <c r="R432" s="29" t="str">
        <f aca="false">IF($C432="","",YEAR($C432))</f>
        <v/>
      </c>
      <c r="S432" s="24"/>
      <c r="T432" s="35" t="str">
        <f aca="false">IF($C432="","",IF($D432="","★没选客户项目",IF(COUNTIF(合同键,$D432)=0,"★《维保合同》里没这个项目",IF(N($K432)&lt;=0,"★应收金额要填",IF(ROUND(N($N432)-N($K432),2)&gt;0.001,"★开票金额大于应收",IF(AND($L432&lt;&gt;"",N($N432)&lt;=0),"★填了开票日期没填开票金额",IF(AND($I432&lt;&gt;"",$J432&lt;&gt;"",$J432&lt;$I432),"★计费期间起止反了","OK")))))))</f>
        <v/>
      </c>
      <c r="U432" s="29" t="str">
        <f aca="false">IF($L432="","",YEAR($L432))</f>
        <v/>
      </c>
      <c r="V432" s="40" t="str">
        <f aca="false">IF($C432="","",ROUND(SUMIF(收款关联,$B432,收款金额),2))</f>
        <v/>
      </c>
      <c r="W432" s="40" t="str">
        <f aca="false">IF($C432="","",MAX(0,ROUND(N($K432)-N($V432),2)))</f>
        <v/>
      </c>
      <c r="X432" s="40" t="str">
        <f aca="false">IF($C432="","",ROUND(SUMIFS(应收净额,应收键,$D432,应收行号,"&lt;="&amp;ROW()),2))</f>
        <v/>
      </c>
      <c r="Y432" s="29" t="str">
        <f aca="false">IF($C432="","",ROW())</f>
        <v/>
      </c>
    </row>
    <row r="433" customFormat="false" ht="15" hidden="false" customHeight="false" outlineLevel="0" collapsed="false">
      <c r="A433" s="29" t="str">
        <f aca="false">IF($C433="","",ROW()-4)</f>
        <v/>
      </c>
      <c r="B433" s="35" t="str">
        <f aca="false">IF($C433="","","YS"&amp;TEXT($C433,"yyyymm")&amp;"-"&amp;TEXT(ROW()-4,"0000"))</f>
        <v/>
      </c>
      <c r="C433" s="33"/>
      <c r="D433" s="24"/>
      <c r="E433" s="30" t="str">
        <f aca="false">IF($D433="","",IFERROR(INDEX(合同单位,MATCH($D433,合同键,0)),IFERROR(TRIM(LEFT($D433,FIND("｜",$D433)-1)),$D433)))</f>
        <v/>
      </c>
      <c r="F433" s="30" t="str">
        <f aca="false">IF($D433="","",IFERROR(INDEX(合同项目,MATCH($D433,合同键,0)),IFERROR(TRIM(MID($D433,FIND("｜",$D433)+1,99)),"")))</f>
        <v/>
      </c>
      <c r="G433" s="24"/>
      <c r="H433" s="35" t="str">
        <f aca="false">IF($G433="","",IFERROR(INDEX(费用款别,MATCH($G433,费用类别表,0)),"合同外款"))</f>
        <v/>
      </c>
      <c r="I433" s="33"/>
      <c r="J433" s="33"/>
      <c r="K433" s="39"/>
      <c r="L433" s="33"/>
      <c r="M433" s="25"/>
      <c r="N433" s="39"/>
      <c r="O433" s="35" t="str">
        <f aca="false">IF($C433="","",IF(N($N433)&lt;=0,"未开票",IF(ROUND(N($N433)-N($K433),2)&gt;=0,"已开票",IFERROR("部分开票 "&amp;TEXT(N($N433)/N($K433),"0%"),"部分开票"))))</f>
        <v/>
      </c>
      <c r="P433" s="40" t="str">
        <f aca="false">IF($C433="","",ROUND($V433+MIN($W433,MAX(0,(SUMIF(收款键,$D433,收款金额)-SUMIFS(收款金额,收款键,$D433,收款关联,"&lt;&gt;"))-($X433-$W433))),2))</f>
        <v/>
      </c>
      <c r="Q433" s="41" t="str">
        <f aca="false">IF($C433="","",ROUND(N($K433)-N($P433),2))</f>
        <v/>
      </c>
      <c r="R433" s="29" t="str">
        <f aca="false">IF($C433="","",YEAR($C433))</f>
        <v/>
      </c>
      <c r="S433" s="24"/>
      <c r="T433" s="35" t="str">
        <f aca="false">IF($C433="","",IF($D433="","★没选客户项目",IF(COUNTIF(合同键,$D433)=0,"★《维保合同》里没这个项目",IF(N($K433)&lt;=0,"★应收金额要填",IF(ROUND(N($N433)-N($K433),2)&gt;0.001,"★开票金额大于应收",IF(AND($L433&lt;&gt;"",N($N433)&lt;=0),"★填了开票日期没填开票金额",IF(AND($I433&lt;&gt;"",$J433&lt;&gt;"",$J433&lt;$I433),"★计费期间起止反了","OK")))))))</f>
        <v/>
      </c>
      <c r="U433" s="29" t="str">
        <f aca="false">IF($L433="","",YEAR($L433))</f>
        <v/>
      </c>
      <c r="V433" s="40" t="str">
        <f aca="false">IF($C433="","",ROUND(SUMIF(收款关联,$B433,收款金额),2))</f>
        <v/>
      </c>
      <c r="W433" s="40" t="str">
        <f aca="false">IF($C433="","",MAX(0,ROUND(N($K433)-N($V433),2)))</f>
        <v/>
      </c>
      <c r="X433" s="40" t="str">
        <f aca="false">IF($C433="","",ROUND(SUMIFS(应收净额,应收键,$D433,应收行号,"&lt;="&amp;ROW()),2))</f>
        <v/>
      </c>
      <c r="Y433" s="29" t="str">
        <f aca="false">IF($C433="","",ROW())</f>
        <v/>
      </c>
    </row>
    <row r="434" customFormat="false" ht="15" hidden="false" customHeight="false" outlineLevel="0" collapsed="false">
      <c r="A434" s="29" t="str">
        <f aca="false">IF($C434="","",ROW()-4)</f>
        <v/>
      </c>
      <c r="B434" s="35" t="str">
        <f aca="false">IF($C434="","","YS"&amp;TEXT($C434,"yyyymm")&amp;"-"&amp;TEXT(ROW()-4,"0000"))</f>
        <v/>
      </c>
      <c r="C434" s="33"/>
      <c r="D434" s="24"/>
      <c r="E434" s="30" t="str">
        <f aca="false">IF($D434="","",IFERROR(INDEX(合同单位,MATCH($D434,合同键,0)),IFERROR(TRIM(LEFT($D434,FIND("｜",$D434)-1)),$D434)))</f>
        <v/>
      </c>
      <c r="F434" s="30" t="str">
        <f aca="false">IF($D434="","",IFERROR(INDEX(合同项目,MATCH($D434,合同键,0)),IFERROR(TRIM(MID($D434,FIND("｜",$D434)+1,99)),"")))</f>
        <v/>
      </c>
      <c r="G434" s="24"/>
      <c r="H434" s="35" t="str">
        <f aca="false">IF($G434="","",IFERROR(INDEX(费用款别,MATCH($G434,费用类别表,0)),"合同外款"))</f>
        <v/>
      </c>
      <c r="I434" s="33"/>
      <c r="J434" s="33"/>
      <c r="K434" s="39"/>
      <c r="L434" s="33"/>
      <c r="M434" s="25"/>
      <c r="N434" s="39"/>
      <c r="O434" s="35" t="str">
        <f aca="false">IF($C434="","",IF(N($N434)&lt;=0,"未开票",IF(ROUND(N($N434)-N($K434),2)&gt;=0,"已开票",IFERROR("部分开票 "&amp;TEXT(N($N434)/N($K434),"0%"),"部分开票"))))</f>
        <v/>
      </c>
      <c r="P434" s="40" t="str">
        <f aca="false">IF($C434="","",ROUND($V434+MIN($W434,MAX(0,(SUMIF(收款键,$D434,收款金额)-SUMIFS(收款金额,收款键,$D434,收款关联,"&lt;&gt;"))-($X434-$W434))),2))</f>
        <v/>
      </c>
      <c r="Q434" s="41" t="str">
        <f aca="false">IF($C434="","",ROUND(N($K434)-N($P434),2))</f>
        <v/>
      </c>
      <c r="R434" s="29" t="str">
        <f aca="false">IF($C434="","",YEAR($C434))</f>
        <v/>
      </c>
      <c r="S434" s="24"/>
      <c r="T434" s="35" t="str">
        <f aca="false">IF($C434="","",IF($D434="","★没选客户项目",IF(COUNTIF(合同键,$D434)=0,"★《维保合同》里没这个项目",IF(N($K434)&lt;=0,"★应收金额要填",IF(ROUND(N($N434)-N($K434),2)&gt;0.001,"★开票金额大于应收",IF(AND($L434&lt;&gt;"",N($N434)&lt;=0),"★填了开票日期没填开票金额",IF(AND($I434&lt;&gt;"",$J434&lt;&gt;"",$J434&lt;$I434),"★计费期间起止反了","OK")))))))</f>
        <v/>
      </c>
      <c r="U434" s="29" t="str">
        <f aca="false">IF($L434="","",YEAR($L434))</f>
        <v/>
      </c>
      <c r="V434" s="40" t="str">
        <f aca="false">IF($C434="","",ROUND(SUMIF(收款关联,$B434,收款金额),2))</f>
        <v/>
      </c>
      <c r="W434" s="40" t="str">
        <f aca="false">IF($C434="","",MAX(0,ROUND(N($K434)-N($V434),2)))</f>
        <v/>
      </c>
      <c r="X434" s="40" t="str">
        <f aca="false">IF($C434="","",ROUND(SUMIFS(应收净额,应收键,$D434,应收行号,"&lt;="&amp;ROW()),2))</f>
        <v/>
      </c>
      <c r="Y434" s="29" t="str">
        <f aca="false">IF($C434="","",ROW())</f>
        <v/>
      </c>
    </row>
    <row r="435" customFormat="false" ht="15" hidden="false" customHeight="false" outlineLevel="0" collapsed="false">
      <c r="A435" s="29" t="str">
        <f aca="false">IF($C435="","",ROW()-4)</f>
        <v/>
      </c>
      <c r="B435" s="35" t="str">
        <f aca="false">IF($C435="","","YS"&amp;TEXT($C435,"yyyymm")&amp;"-"&amp;TEXT(ROW()-4,"0000"))</f>
        <v/>
      </c>
      <c r="C435" s="33"/>
      <c r="D435" s="24"/>
      <c r="E435" s="30" t="str">
        <f aca="false">IF($D435="","",IFERROR(INDEX(合同单位,MATCH($D435,合同键,0)),IFERROR(TRIM(LEFT($D435,FIND("｜",$D435)-1)),$D435)))</f>
        <v/>
      </c>
      <c r="F435" s="30" t="str">
        <f aca="false">IF($D435="","",IFERROR(INDEX(合同项目,MATCH($D435,合同键,0)),IFERROR(TRIM(MID($D435,FIND("｜",$D435)+1,99)),"")))</f>
        <v/>
      </c>
      <c r="G435" s="24"/>
      <c r="H435" s="35" t="str">
        <f aca="false">IF($G435="","",IFERROR(INDEX(费用款别,MATCH($G435,费用类别表,0)),"合同外款"))</f>
        <v/>
      </c>
      <c r="I435" s="33"/>
      <c r="J435" s="33"/>
      <c r="K435" s="39"/>
      <c r="L435" s="33"/>
      <c r="M435" s="25"/>
      <c r="N435" s="39"/>
      <c r="O435" s="35" t="str">
        <f aca="false">IF($C435="","",IF(N($N435)&lt;=0,"未开票",IF(ROUND(N($N435)-N($K435),2)&gt;=0,"已开票",IFERROR("部分开票 "&amp;TEXT(N($N435)/N($K435),"0%"),"部分开票"))))</f>
        <v/>
      </c>
      <c r="P435" s="40" t="str">
        <f aca="false">IF($C435="","",ROUND($V435+MIN($W435,MAX(0,(SUMIF(收款键,$D435,收款金额)-SUMIFS(收款金额,收款键,$D435,收款关联,"&lt;&gt;"))-($X435-$W435))),2))</f>
        <v/>
      </c>
      <c r="Q435" s="41" t="str">
        <f aca="false">IF($C435="","",ROUND(N($K435)-N($P435),2))</f>
        <v/>
      </c>
      <c r="R435" s="29" t="str">
        <f aca="false">IF($C435="","",YEAR($C435))</f>
        <v/>
      </c>
      <c r="S435" s="24"/>
      <c r="T435" s="35" t="str">
        <f aca="false">IF($C435="","",IF($D435="","★没选客户项目",IF(COUNTIF(合同键,$D435)=0,"★《维保合同》里没这个项目",IF(N($K435)&lt;=0,"★应收金额要填",IF(ROUND(N($N435)-N($K435),2)&gt;0.001,"★开票金额大于应收",IF(AND($L435&lt;&gt;"",N($N435)&lt;=0),"★填了开票日期没填开票金额",IF(AND($I435&lt;&gt;"",$J435&lt;&gt;"",$J435&lt;$I435),"★计费期间起止反了","OK")))))))</f>
        <v/>
      </c>
      <c r="U435" s="29" t="str">
        <f aca="false">IF($L435="","",YEAR($L435))</f>
        <v/>
      </c>
      <c r="V435" s="40" t="str">
        <f aca="false">IF($C435="","",ROUND(SUMIF(收款关联,$B435,收款金额),2))</f>
        <v/>
      </c>
      <c r="W435" s="40" t="str">
        <f aca="false">IF($C435="","",MAX(0,ROUND(N($K435)-N($V435),2)))</f>
        <v/>
      </c>
      <c r="X435" s="40" t="str">
        <f aca="false">IF($C435="","",ROUND(SUMIFS(应收净额,应收键,$D435,应收行号,"&lt;="&amp;ROW()),2))</f>
        <v/>
      </c>
      <c r="Y435" s="29" t="str">
        <f aca="false">IF($C435="","",ROW())</f>
        <v/>
      </c>
    </row>
    <row r="436" customFormat="false" ht="15" hidden="false" customHeight="false" outlineLevel="0" collapsed="false">
      <c r="A436" s="29" t="str">
        <f aca="false">IF($C436="","",ROW()-4)</f>
        <v/>
      </c>
      <c r="B436" s="35" t="str">
        <f aca="false">IF($C436="","","YS"&amp;TEXT($C436,"yyyymm")&amp;"-"&amp;TEXT(ROW()-4,"0000"))</f>
        <v/>
      </c>
      <c r="C436" s="33"/>
      <c r="D436" s="24"/>
      <c r="E436" s="30" t="str">
        <f aca="false">IF($D436="","",IFERROR(INDEX(合同单位,MATCH($D436,合同键,0)),IFERROR(TRIM(LEFT($D436,FIND("｜",$D436)-1)),$D436)))</f>
        <v/>
      </c>
      <c r="F436" s="30" t="str">
        <f aca="false">IF($D436="","",IFERROR(INDEX(合同项目,MATCH($D436,合同键,0)),IFERROR(TRIM(MID($D436,FIND("｜",$D436)+1,99)),"")))</f>
        <v/>
      </c>
      <c r="G436" s="24"/>
      <c r="H436" s="35" t="str">
        <f aca="false">IF($G436="","",IFERROR(INDEX(费用款别,MATCH($G436,费用类别表,0)),"合同外款"))</f>
        <v/>
      </c>
      <c r="I436" s="33"/>
      <c r="J436" s="33"/>
      <c r="K436" s="39"/>
      <c r="L436" s="33"/>
      <c r="M436" s="25"/>
      <c r="N436" s="39"/>
      <c r="O436" s="35" t="str">
        <f aca="false">IF($C436="","",IF(N($N436)&lt;=0,"未开票",IF(ROUND(N($N436)-N($K436),2)&gt;=0,"已开票",IFERROR("部分开票 "&amp;TEXT(N($N436)/N($K436),"0%"),"部分开票"))))</f>
        <v/>
      </c>
      <c r="P436" s="40" t="str">
        <f aca="false">IF($C436="","",ROUND($V436+MIN($W436,MAX(0,(SUMIF(收款键,$D436,收款金额)-SUMIFS(收款金额,收款键,$D436,收款关联,"&lt;&gt;"))-($X436-$W436))),2))</f>
        <v/>
      </c>
      <c r="Q436" s="41" t="str">
        <f aca="false">IF($C436="","",ROUND(N($K436)-N($P436),2))</f>
        <v/>
      </c>
      <c r="R436" s="29" t="str">
        <f aca="false">IF($C436="","",YEAR($C436))</f>
        <v/>
      </c>
      <c r="S436" s="24"/>
      <c r="T436" s="35" t="str">
        <f aca="false">IF($C436="","",IF($D436="","★没选客户项目",IF(COUNTIF(合同键,$D436)=0,"★《维保合同》里没这个项目",IF(N($K436)&lt;=0,"★应收金额要填",IF(ROUND(N($N436)-N($K436),2)&gt;0.001,"★开票金额大于应收",IF(AND($L436&lt;&gt;"",N($N436)&lt;=0),"★填了开票日期没填开票金额",IF(AND($I436&lt;&gt;"",$J436&lt;&gt;"",$J436&lt;$I436),"★计费期间起止反了","OK")))))))</f>
        <v/>
      </c>
      <c r="U436" s="29" t="str">
        <f aca="false">IF($L436="","",YEAR($L436))</f>
        <v/>
      </c>
      <c r="V436" s="40" t="str">
        <f aca="false">IF($C436="","",ROUND(SUMIF(收款关联,$B436,收款金额),2))</f>
        <v/>
      </c>
      <c r="W436" s="40" t="str">
        <f aca="false">IF($C436="","",MAX(0,ROUND(N($K436)-N($V436),2)))</f>
        <v/>
      </c>
      <c r="X436" s="40" t="str">
        <f aca="false">IF($C436="","",ROUND(SUMIFS(应收净额,应收键,$D436,应收行号,"&lt;="&amp;ROW()),2))</f>
        <v/>
      </c>
      <c r="Y436" s="29" t="str">
        <f aca="false">IF($C436="","",ROW())</f>
        <v/>
      </c>
    </row>
    <row r="437" customFormat="false" ht="15" hidden="false" customHeight="false" outlineLevel="0" collapsed="false">
      <c r="A437" s="29" t="str">
        <f aca="false">IF($C437="","",ROW()-4)</f>
        <v/>
      </c>
      <c r="B437" s="35" t="str">
        <f aca="false">IF($C437="","","YS"&amp;TEXT($C437,"yyyymm")&amp;"-"&amp;TEXT(ROW()-4,"0000"))</f>
        <v/>
      </c>
      <c r="C437" s="33"/>
      <c r="D437" s="24"/>
      <c r="E437" s="30" t="str">
        <f aca="false">IF($D437="","",IFERROR(INDEX(合同单位,MATCH($D437,合同键,0)),IFERROR(TRIM(LEFT($D437,FIND("｜",$D437)-1)),$D437)))</f>
        <v/>
      </c>
      <c r="F437" s="30" t="str">
        <f aca="false">IF($D437="","",IFERROR(INDEX(合同项目,MATCH($D437,合同键,0)),IFERROR(TRIM(MID($D437,FIND("｜",$D437)+1,99)),"")))</f>
        <v/>
      </c>
      <c r="G437" s="24"/>
      <c r="H437" s="35" t="str">
        <f aca="false">IF($G437="","",IFERROR(INDEX(费用款别,MATCH($G437,费用类别表,0)),"合同外款"))</f>
        <v/>
      </c>
      <c r="I437" s="33"/>
      <c r="J437" s="33"/>
      <c r="K437" s="39"/>
      <c r="L437" s="33"/>
      <c r="M437" s="25"/>
      <c r="N437" s="39"/>
      <c r="O437" s="35" t="str">
        <f aca="false">IF($C437="","",IF(N($N437)&lt;=0,"未开票",IF(ROUND(N($N437)-N($K437),2)&gt;=0,"已开票",IFERROR("部分开票 "&amp;TEXT(N($N437)/N($K437),"0%"),"部分开票"))))</f>
        <v/>
      </c>
      <c r="P437" s="40" t="str">
        <f aca="false">IF($C437="","",ROUND($V437+MIN($W437,MAX(0,(SUMIF(收款键,$D437,收款金额)-SUMIFS(收款金额,收款键,$D437,收款关联,"&lt;&gt;"))-($X437-$W437))),2))</f>
        <v/>
      </c>
      <c r="Q437" s="41" t="str">
        <f aca="false">IF($C437="","",ROUND(N($K437)-N($P437),2))</f>
        <v/>
      </c>
      <c r="R437" s="29" t="str">
        <f aca="false">IF($C437="","",YEAR($C437))</f>
        <v/>
      </c>
      <c r="S437" s="24"/>
      <c r="T437" s="35" t="str">
        <f aca="false">IF($C437="","",IF($D437="","★没选客户项目",IF(COUNTIF(合同键,$D437)=0,"★《维保合同》里没这个项目",IF(N($K437)&lt;=0,"★应收金额要填",IF(ROUND(N($N437)-N($K437),2)&gt;0.001,"★开票金额大于应收",IF(AND($L437&lt;&gt;"",N($N437)&lt;=0),"★填了开票日期没填开票金额",IF(AND($I437&lt;&gt;"",$J437&lt;&gt;"",$J437&lt;$I437),"★计费期间起止反了","OK")))))))</f>
        <v/>
      </c>
      <c r="U437" s="29" t="str">
        <f aca="false">IF($L437="","",YEAR($L437))</f>
        <v/>
      </c>
      <c r="V437" s="40" t="str">
        <f aca="false">IF($C437="","",ROUND(SUMIF(收款关联,$B437,收款金额),2))</f>
        <v/>
      </c>
      <c r="W437" s="40" t="str">
        <f aca="false">IF($C437="","",MAX(0,ROUND(N($K437)-N($V437),2)))</f>
        <v/>
      </c>
      <c r="X437" s="40" t="str">
        <f aca="false">IF($C437="","",ROUND(SUMIFS(应收净额,应收键,$D437,应收行号,"&lt;="&amp;ROW()),2))</f>
        <v/>
      </c>
      <c r="Y437" s="29" t="str">
        <f aca="false">IF($C437="","",ROW())</f>
        <v/>
      </c>
    </row>
    <row r="438" customFormat="false" ht="15" hidden="false" customHeight="false" outlineLevel="0" collapsed="false">
      <c r="A438" s="29" t="str">
        <f aca="false">IF($C438="","",ROW()-4)</f>
        <v/>
      </c>
      <c r="B438" s="35" t="str">
        <f aca="false">IF($C438="","","YS"&amp;TEXT($C438,"yyyymm")&amp;"-"&amp;TEXT(ROW()-4,"0000"))</f>
        <v/>
      </c>
      <c r="C438" s="33"/>
      <c r="D438" s="24"/>
      <c r="E438" s="30" t="str">
        <f aca="false">IF($D438="","",IFERROR(INDEX(合同单位,MATCH($D438,合同键,0)),IFERROR(TRIM(LEFT($D438,FIND("｜",$D438)-1)),$D438)))</f>
        <v/>
      </c>
      <c r="F438" s="30" t="str">
        <f aca="false">IF($D438="","",IFERROR(INDEX(合同项目,MATCH($D438,合同键,0)),IFERROR(TRIM(MID($D438,FIND("｜",$D438)+1,99)),"")))</f>
        <v/>
      </c>
      <c r="G438" s="24"/>
      <c r="H438" s="35" t="str">
        <f aca="false">IF($G438="","",IFERROR(INDEX(费用款别,MATCH($G438,费用类别表,0)),"合同外款"))</f>
        <v/>
      </c>
      <c r="I438" s="33"/>
      <c r="J438" s="33"/>
      <c r="K438" s="39"/>
      <c r="L438" s="33"/>
      <c r="M438" s="25"/>
      <c r="N438" s="39"/>
      <c r="O438" s="35" t="str">
        <f aca="false">IF($C438="","",IF(N($N438)&lt;=0,"未开票",IF(ROUND(N($N438)-N($K438),2)&gt;=0,"已开票",IFERROR("部分开票 "&amp;TEXT(N($N438)/N($K438),"0%"),"部分开票"))))</f>
        <v/>
      </c>
      <c r="P438" s="40" t="str">
        <f aca="false">IF($C438="","",ROUND($V438+MIN($W438,MAX(0,(SUMIF(收款键,$D438,收款金额)-SUMIFS(收款金额,收款键,$D438,收款关联,"&lt;&gt;"))-($X438-$W438))),2))</f>
        <v/>
      </c>
      <c r="Q438" s="41" t="str">
        <f aca="false">IF($C438="","",ROUND(N($K438)-N($P438),2))</f>
        <v/>
      </c>
      <c r="R438" s="29" t="str">
        <f aca="false">IF($C438="","",YEAR($C438))</f>
        <v/>
      </c>
      <c r="S438" s="24"/>
      <c r="T438" s="35" t="str">
        <f aca="false">IF($C438="","",IF($D438="","★没选客户项目",IF(COUNTIF(合同键,$D438)=0,"★《维保合同》里没这个项目",IF(N($K438)&lt;=0,"★应收金额要填",IF(ROUND(N($N438)-N($K438),2)&gt;0.001,"★开票金额大于应收",IF(AND($L438&lt;&gt;"",N($N438)&lt;=0),"★填了开票日期没填开票金额",IF(AND($I438&lt;&gt;"",$J438&lt;&gt;"",$J438&lt;$I438),"★计费期间起止反了","OK")))))))</f>
        <v/>
      </c>
      <c r="U438" s="29" t="str">
        <f aca="false">IF($L438="","",YEAR($L438))</f>
        <v/>
      </c>
      <c r="V438" s="40" t="str">
        <f aca="false">IF($C438="","",ROUND(SUMIF(收款关联,$B438,收款金额),2))</f>
        <v/>
      </c>
      <c r="W438" s="40" t="str">
        <f aca="false">IF($C438="","",MAX(0,ROUND(N($K438)-N($V438),2)))</f>
        <v/>
      </c>
      <c r="X438" s="40" t="str">
        <f aca="false">IF($C438="","",ROUND(SUMIFS(应收净额,应收键,$D438,应收行号,"&lt;="&amp;ROW()),2))</f>
        <v/>
      </c>
      <c r="Y438" s="29" t="str">
        <f aca="false">IF($C438="","",ROW())</f>
        <v/>
      </c>
    </row>
    <row r="439" customFormat="false" ht="15" hidden="false" customHeight="false" outlineLevel="0" collapsed="false">
      <c r="A439" s="29" t="str">
        <f aca="false">IF($C439="","",ROW()-4)</f>
        <v/>
      </c>
      <c r="B439" s="35" t="str">
        <f aca="false">IF($C439="","","YS"&amp;TEXT($C439,"yyyymm")&amp;"-"&amp;TEXT(ROW()-4,"0000"))</f>
        <v/>
      </c>
      <c r="C439" s="33"/>
      <c r="D439" s="24"/>
      <c r="E439" s="30" t="str">
        <f aca="false">IF($D439="","",IFERROR(INDEX(合同单位,MATCH($D439,合同键,0)),IFERROR(TRIM(LEFT($D439,FIND("｜",$D439)-1)),$D439)))</f>
        <v/>
      </c>
      <c r="F439" s="30" t="str">
        <f aca="false">IF($D439="","",IFERROR(INDEX(合同项目,MATCH($D439,合同键,0)),IFERROR(TRIM(MID($D439,FIND("｜",$D439)+1,99)),"")))</f>
        <v/>
      </c>
      <c r="G439" s="24"/>
      <c r="H439" s="35" t="str">
        <f aca="false">IF($G439="","",IFERROR(INDEX(费用款别,MATCH($G439,费用类别表,0)),"合同外款"))</f>
        <v/>
      </c>
      <c r="I439" s="33"/>
      <c r="J439" s="33"/>
      <c r="K439" s="39"/>
      <c r="L439" s="33"/>
      <c r="M439" s="25"/>
      <c r="N439" s="39"/>
      <c r="O439" s="35" t="str">
        <f aca="false">IF($C439="","",IF(N($N439)&lt;=0,"未开票",IF(ROUND(N($N439)-N($K439),2)&gt;=0,"已开票",IFERROR("部分开票 "&amp;TEXT(N($N439)/N($K439),"0%"),"部分开票"))))</f>
        <v/>
      </c>
      <c r="P439" s="40" t="str">
        <f aca="false">IF($C439="","",ROUND($V439+MIN($W439,MAX(0,(SUMIF(收款键,$D439,收款金额)-SUMIFS(收款金额,收款键,$D439,收款关联,"&lt;&gt;"))-($X439-$W439))),2))</f>
        <v/>
      </c>
      <c r="Q439" s="41" t="str">
        <f aca="false">IF($C439="","",ROUND(N($K439)-N($P439),2))</f>
        <v/>
      </c>
      <c r="R439" s="29" t="str">
        <f aca="false">IF($C439="","",YEAR($C439))</f>
        <v/>
      </c>
      <c r="S439" s="24"/>
      <c r="T439" s="35" t="str">
        <f aca="false">IF($C439="","",IF($D439="","★没选客户项目",IF(COUNTIF(合同键,$D439)=0,"★《维保合同》里没这个项目",IF(N($K439)&lt;=0,"★应收金额要填",IF(ROUND(N($N439)-N($K439),2)&gt;0.001,"★开票金额大于应收",IF(AND($L439&lt;&gt;"",N($N439)&lt;=0),"★填了开票日期没填开票金额",IF(AND($I439&lt;&gt;"",$J439&lt;&gt;"",$J439&lt;$I439),"★计费期间起止反了","OK")))))))</f>
        <v/>
      </c>
      <c r="U439" s="29" t="str">
        <f aca="false">IF($L439="","",YEAR($L439))</f>
        <v/>
      </c>
      <c r="V439" s="40" t="str">
        <f aca="false">IF($C439="","",ROUND(SUMIF(收款关联,$B439,收款金额),2))</f>
        <v/>
      </c>
      <c r="W439" s="40" t="str">
        <f aca="false">IF($C439="","",MAX(0,ROUND(N($K439)-N($V439),2)))</f>
        <v/>
      </c>
      <c r="X439" s="40" t="str">
        <f aca="false">IF($C439="","",ROUND(SUMIFS(应收净额,应收键,$D439,应收行号,"&lt;="&amp;ROW()),2))</f>
        <v/>
      </c>
      <c r="Y439" s="29" t="str">
        <f aca="false">IF($C439="","",ROW())</f>
        <v/>
      </c>
    </row>
    <row r="440" customFormat="false" ht="15" hidden="false" customHeight="false" outlineLevel="0" collapsed="false">
      <c r="A440" s="29" t="str">
        <f aca="false">IF($C440="","",ROW()-4)</f>
        <v/>
      </c>
      <c r="B440" s="35" t="str">
        <f aca="false">IF($C440="","","YS"&amp;TEXT($C440,"yyyymm")&amp;"-"&amp;TEXT(ROW()-4,"0000"))</f>
        <v/>
      </c>
      <c r="C440" s="33"/>
      <c r="D440" s="24"/>
      <c r="E440" s="30" t="str">
        <f aca="false">IF($D440="","",IFERROR(INDEX(合同单位,MATCH($D440,合同键,0)),IFERROR(TRIM(LEFT($D440,FIND("｜",$D440)-1)),$D440)))</f>
        <v/>
      </c>
      <c r="F440" s="30" t="str">
        <f aca="false">IF($D440="","",IFERROR(INDEX(合同项目,MATCH($D440,合同键,0)),IFERROR(TRIM(MID($D440,FIND("｜",$D440)+1,99)),"")))</f>
        <v/>
      </c>
      <c r="G440" s="24"/>
      <c r="H440" s="35" t="str">
        <f aca="false">IF($G440="","",IFERROR(INDEX(费用款别,MATCH($G440,费用类别表,0)),"合同外款"))</f>
        <v/>
      </c>
      <c r="I440" s="33"/>
      <c r="J440" s="33"/>
      <c r="K440" s="39"/>
      <c r="L440" s="33"/>
      <c r="M440" s="25"/>
      <c r="N440" s="39"/>
      <c r="O440" s="35" t="str">
        <f aca="false">IF($C440="","",IF(N($N440)&lt;=0,"未开票",IF(ROUND(N($N440)-N($K440),2)&gt;=0,"已开票",IFERROR("部分开票 "&amp;TEXT(N($N440)/N($K440),"0%"),"部分开票"))))</f>
        <v/>
      </c>
      <c r="P440" s="40" t="str">
        <f aca="false">IF($C440="","",ROUND($V440+MIN($W440,MAX(0,(SUMIF(收款键,$D440,收款金额)-SUMIFS(收款金额,收款键,$D440,收款关联,"&lt;&gt;"))-($X440-$W440))),2))</f>
        <v/>
      </c>
      <c r="Q440" s="41" t="str">
        <f aca="false">IF($C440="","",ROUND(N($K440)-N($P440),2))</f>
        <v/>
      </c>
      <c r="R440" s="29" t="str">
        <f aca="false">IF($C440="","",YEAR($C440))</f>
        <v/>
      </c>
      <c r="S440" s="24"/>
      <c r="T440" s="35" t="str">
        <f aca="false">IF($C440="","",IF($D440="","★没选客户项目",IF(COUNTIF(合同键,$D440)=0,"★《维保合同》里没这个项目",IF(N($K440)&lt;=0,"★应收金额要填",IF(ROUND(N($N440)-N($K440),2)&gt;0.001,"★开票金额大于应收",IF(AND($L440&lt;&gt;"",N($N440)&lt;=0),"★填了开票日期没填开票金额",IF(AND($I440&lt;&gt;"",$J440&lt;&gt;"",$J440&lt;$I440),"★计费期间起止反了","OK")))))))</f>
        <v/>
      </c>
      <c r="U440" s="29" t="str">
        <f aca="false">IF($L440="","",YEAR($L440))</f>
        <v/>
      </c>
      <c r="V440" s="40" t="str">
        <f aca="false">IF($C440="","",ROUND(SUMIF(收款关联,$B440,收款金额),2))</f>
        <v/>
      </c>
      <c r="W440" s="40" t="str">
        <f aca="false">IF($C440="","",MAX(0,ROUND(N($K440)-N($V440),2)))</f>
        <v/>
      </c>
      <c r="X440" s="40" t="str">
        <f aca="false">IF($C440="","",ROUND(SUMIFS(应收净额,应收键,$D440,应收行号,"&lt;="&amp;ROW()),2))</f>
        <v/>
      </c>
      <c r="Y440" s="29" t="str">
        <f aca="false">IF($C440="","",ROW())</f>
        <v/>
      </c>
    </row>
    <row r="441" customFormat="false" ht="15" hidden="false" customHeight="false" outlineLevel="0" collapsed="false">
      <c r="A441" s="29" t="str">
        <f aca="false">IF($C441="","",ROW()-4)</f>
        <v/>
      </c>
      <c r="B441" s="35" t="str">
        <f aca="false">IF($C441="","","YS"&amp;TEXT($C441,"yyyymm")&amp;"-"&amp;TEXT(ROW()-4,"0000"))</f>
        <v/>
      </c>
      <c r="C441" s="33"/>
      <c r="D441" s="24"/>
      <c r="E441" s="30" t="str">
        <f aca="false">IF($D441="","",IFERROR(INDEX(合同单位,MATCH($D441,合同键,0)),IFERROR(TRIM(LEFT($D441,FIND("｜",$D441)-1)),$D441)))</f>
        <v/>
      </c>
      <c r="F441" s="30" t="str">
        <f aca="false">IF($D441="","",IFERROR(INDEX(合同项目,MATCH($D441,合同键,0)),IFERROR(TRIM(MID($D441,FIND("｜",$D441)+1,99)),"")))</f>
        <v/>
      </c>
      <c r="G441" s="24"/>
      <c r="H441" s="35" t="str">
        <f aca="false">IF($G441="","",IFERROR(INDEX(费用款别,MATCH($G441,费用类别表,0)),"合同外款"))</f>
        <v/>
      </c>
      <c r="I441" s="33"/>
      <c r="J441" s="33"/>
      <c r="K441" s="39"/>
      <c r="L441" s="33"/>
      <c r="M441" s="25"/>
      <c r="N441" s="39"/>
      <c r="O441" s="35" t="str">
        <f aca="false">IF($C441="","",IF(N($N441)&lt;=0,"未开票",IF(ROUND(N($N441)-N($K441),2)&gt;=0,"已开票",IFERROR("部分开票 "&amp;TEXT(N($N441)/N($K441),"0%"),"部分开票"))))</f>
        <v/>
      </c>
      <c r="P441" s="40" t="str">
        <f aca="false">IF($C441="","",ROUND($V441+MIN($W441,MAX(0,(SUMIF(收款键,$D441,收款金额)-SUMIFS(收款金额,收款键,$D441,收款关联,"&lt;&gt;"))-($X441-$W441))),2))</f>
        <v/>
      </c>
      <c r="Q441" s="41" t="str">
        <f aca="false">IF($C441="","",ROUND(N($K441)-N($P441),2))</f>
        <v/>
      </c>
      <c r="R441" s="29" t="str">
        <f aca="false">IF($C441="","",YEAR($C441))</f>
        <v/>
      </c>
      <c r="S441" s="24"/>
      <c r="T441" s="35" t="str">
        <f aca="false">IF($C441="","",IF($D441="","★没选客户项目",IF(COUNTIF(合同键,$D441)=0,"★《维保合同》里没这个项目",IF(N($K441)&lt;=0,"★应收金额要填",IF(ROUND(N($N441)-N($K441),2)&gt;0.001,"★开票金额大于应收",IF(AND($L441&lt;&gt;"",N($N441)&lt;=0),"★填了开票日期没填开票金额",IF(AND($I441&lt;&gt;"",$J441&lt;&gt;"",$J441&lt;$I441),"★计费期间起止反了","OK")))))))</f>
        <v/>
      </c>
      <c r="U441" s="29" t="str">
        <f aca="false">IF($L441="","",YEAR($L441))</f>
        <v/>
      </c>
      <c r="V441" s="40" t="str">
        <f aca="false">IF($C441="","",ROUND(SUMIF(收款关联,$B441,收款金额),2))</f>
        <v/>
      </c>
      <c r="W441" s="40" t="str">
        <f aca="false">IF($C441="","",MAX(0,ROUND(N($K441)-N($V441),2)))</f>
        <v/>
      </c>
      <c r="X441" s="40" t="str">
        <f aca="false">IF($C441="","",ROUND(SUMIFS(应收净额,应收键,$D441,应收行号,"&lt;="&amp;ROW()),2))</f>
        <v/>
      </c>
      <c r="Y441" s="29" t="str">
        <f aca="false">IF($C441="","",ROW())</f>
        <v/>
      </c>
    </row>
    <row r="442" customFormat="false" ht="15" hidden="false" customHeight="false" outlineLevel="0" collapsed="false">
      <c r="A442" s="29" t="str">
        <f aca="false">IF($C442="","",ROW()-4)</f>
        <v/>
      </c>
      <c r="B442" s="35" t="str">
        <f aca="false">IF($C442="","","YS"&amp;TEXT($C442,"yyyymm")&amp;"-"&amp;TEXT(ROW()-4,"0000"))</f>
        <v/>
      </c>
      <c r="C442" s="33"/>
      <c r="D442" s="24"/>
      <c r="E442" s="30" t="str">
        <f aca="false">IF($D442="","",IFERROR(INDEX(合同单位,MATCH($D442,合同键,0)),IFERROR(TRIM(LEFT($D442,FIND("｜",$D442)-1)),$D442)))</f>
        <v/>
      </c>
      <c r="F442" s="30" t="str">
        <f aca="false">IF($D442="","",IFERROR(INDEX(合同项目,MATCH($D442,合同键,0)),IFERROR(TRIM(MID($D442,FIND("｜",$D442)+1,99)),"")))</f>
        <v/>
      </c>
      <c r="G442" s="24"/>
      <c r="H442" s="35" t="str">
        <f aca="false">IF($G442="","",IFERROR(INDEX(费用款别,MATCH($G442,费用类别表,0)),"合同外款"))</f>
        <v/>
      </c>
      <c r="I442" s="33"/>
      <c r="J442" s="33"/>
      <c r="K442" s="39"/>
      <c r="L442" s="33"/>
      <c r="M442" s="25"/>
      <c r="N442" s="39"/>
      <c r="O442" s="35" t="str">
        <f aca="false">IF($C442="","",IF(N($N442)&lt;=0,"未开票",IF(ROUND(N($N442)-N($K442),2)&gt;=0,"已开票",IFERROR("部分开票 "&amp;TEXT(N($N442)/N($K442),"0%"),"部分开票"))))</f>
        <v/>
      </c>
      <c r="P442" s="40" t="str">
        <f aca="false">IF($C442="","",ROUND($V442+MIN($W442,MAX(0,(SUMIF(收款键,$D442,收款金额)-SUMIFS(收款金额,收款键,$D442,收款关联,"&lt;&gt;"))-($X442-$W442))),2))</f>
        <v/>
      </c>
      <c r="Q442" s="41" t="str">
        <f aca="false">IF($C442="","",ROUND(N($K442)-N($P442),2))</f>
        <v/>
      </c>
      <c r="R442" s="29" t="str">
        <f aca="false">IF($C442="","",YEAR($C442))</f>
        <v/>
      </c>
      <c r="S442" s="24"/>
      <c r="T442" s="35" t="str">
        <f aca="false">IF($C442="","",IF($D442="","★没选客户项目",IF(COUNTIF(合同键,$D442)=0,"★《维保合同》里没这个项目",IF(N($K442)&lt;=0,"★应收金额要填",IF(ROUND(N($N442)-N($K442),2)&gt;0.001,"★开票金额大于应收",IF(AND($L442&lt;&gt;"",N($N442)&lt;=0),"★填了开票日期没填开票金额",IF(AND($I442&lt;&gt;"",$J442&lt;&gt;"",$J442&lt;$I442),"★计费期间起止反了","OK")))))))</f>
        <v/>
      </c>
      <c r="U442" s="29" t="str">
        <f aca="false">IF($L442="","",YEAR($L442))</f>
        <v/>
      </c>
      <c r="V442" s="40" t="str">
        <f aca="false">IF($C442="","",ROUND(SUMIF(收款关联,$B442,收款金额),2))</f>
        <v/>
      </c>
      <c r="W442" s="40" t="str">
        <f aca="false">IF($C442="","",MAX(0,ROUND(N($K442)-N($V442),2)))</f>
        <v/>
      </c>
      <c r="X442" s="40" t="str">
        <f aca="false">IF($C442="","",ROUND(SUMIFS(应收净额,应收键,$D442,应收行号,"&lt;="&amp;ROW()),2))</f>
        <v/>
      </c>
      <c r="Y442" s="29" t="str">
        <f aca="false">IF($C442="","",ROW())</f>
        <v/>
      </c>
    </row>
    <row r="443" customFormat="false" ht="15" hidden="false" customHeight="false" outlineLevel="0" collapsed="false">
      <c r="A443" s="29" t="str">
        <f aca="false">IF($C443="","",ROW()-4)</f>
        <v/>
      </c>
      <c r="B443" s="35" t="str">
        <f aca="false">IF($C443="","","YS"&amp;TEXT($C443,"yyyymm")&amp;"-"&amp;TEXT(ROW()-4,"0000"))</f>
        <v/>
      </c>
      <c r="C443" s="33"/>
      <c r="D443" s="24"/>
      <c r="E443" s="30" t="str">
        <f aca="false">IF($D443="","",IFERROR(INDEX(合同单位,MATCH($D443,合同键,0)),IFERROR(TRIM(LEFT($D443,FIND("｜",$D443)-1)),$D443)))</f>
        <v/>
      </c>
      <c r="F443" s="30" t="str">
        <f aca="false">IF($D443="","",IFERROR(INDEX(合同项目,MATCH($D443,合同键,0)),IFERROR(TRIM(MID($D443,FIND("｜",$D443)+1,99)),"")))</f>
        <v/>
      </c>
      <c r="G443" s="24"/>
      <c r="H443" s="35" t="str">
        <f aca="false">IF($G443="","",IFERROR(INDEX(费用款别,MATCH($G443,费用类别表,0)),"合同外款"))</f>
        <v/>
      </c>
      <c r="I443" s="33"/>
      <c r="J443" s="33"/>
      <c r="K443" s="39"/>
      <c r="L443" s="33"/>
      <c r="M443" s="25"/>
      <c r="N443" s="39"/>
      <c r="O443" s="35" t="str">
        <f aca="false">IF($C443="","",IF(N($N443)&lt;=0,"未开票",IF(ROUND(N($N443)-N($K443),2)&gt;=0,"已开票",IFERROR("部分开票 "&amp;TEXT(N($N443)/N($K443),"0%"),"部分开票"))))</f>
        <v/>
      </c>
      <c r="P443" s="40" t="str">
        <f aca="false">IF($C443="","",ROUND($V443+MIN($W443,MAX(0,(SUMIF(收款键,$D443,收款金额)-SUMIFS(收款金额,收款键,$D443,收款关联,"&lt;&gt;"))-($X443-$W443))),2))</f>
        <v/>
      </c>
      <c r="Q443" s="41" t="str">
        <f aca="false">IF($C443="","",ROUND(N($K443)-N($P443),2))</f>
        <v/>
      </c>
      <c r="R443" s="29" t="str">
        <f aca="false">IF($C443="","",YEAR($C443))</f>
        <v/>
      </c>
      <c r="S443" s="24"/>
      <c r="T443" s="35" t="str">
        <f aca="false">IF($C443="","",IF($D443="","★没选客户项目",IF(COUNTIF(合同键,$D443)=0,"★《维保合同》里没这个项目",IF(N($K443)&lt;=0,"★应收金额要填",IF(ROUND(N($N443)-N($K443),2)&gt;0.001,"★开票金额大于应收",IF(AND($L443&lt;&gt;"",N($N443)&lt;=0),"★填了开票日期没填开票金额",IF(AND($I443&lt;&gt;"",$J443&lt;&gt;"",$J443&lt;$I443),"★计费期间起止反了","OK")))))))</f>
        <v/>
      </c>
      <c r="U443" s="29" t="str">
        <f aca="false">IF($L443="","",YEAR($L443))</f>
        <v/>
      </c>
      <c r="V443" s="40" t="str">
        <f aca="false">IF($C443="","",ROUND(SUMIF(收款关联,$B443,收款金额),2))</f>
        <v/>
      </c>
      <c r="W443" s="40" t="str">
        <f aca="false">IF($C443="","",MAX(0,ROUND(N($K443)-N($V443),2)))</f>
        <v/>
      </c>
      <c r="X443" s="40" t="str">
        <f aca="false">IF($C443="","",ROUND(SUMIFS(应收净额,应收键,$D443,应收行号,"&lt;="&amp;ROW()),2))</f>
        <v/>
      </c>
      <c r="Y443" s="29" t="str">
        <f aca="false">IF($C443="","",ROW())</f>
        <v/>
      </c>
    </row>
    <row r="444" customFormat="false" ht="15" hidden="false" customHeight="false" outlineLevel="0" collapsed="false">
      <c r="A444" s="29" t="str">
        <f aca="false">IF($C444="","",ROW()-4)</f>
        <v/>
      </c>
      <c r="B444" s="35" t="str">
        <f aca="false">IF($C444="","","YS"&amp;TEXT($C444,"yyyymm")&amp;"-"&amp;TEXT(ROW()-4,"0000"))</f>
        <v/>
      </c>
      <c r="C444" s="33"/>
      <c r="D444" s="24"/>
      <c r="E444" s="30" t="str">
        <f aca="false">IF($D444="","",IFERROR(INDEX(合同单位,MATCH($D444,合同键,0)),IFERROR(TRIM(LEFT($D444,FIND("｜",$D444)-1)),$D444)))</f>
        <v/>
      </c>
      <c r="F444" s="30" t="str">
        <f aca="false">IF($D444="","",IFERROR(INDEX(合同项目,MATCH($D444,合同键,0)),IFERROR(TRIM(MID($D444,FIND("｜",$D444)+1,99)),"")))</f>
        <v/>
      </c>
      <c r="G444" s="24"/>
      <c r="H444" s="35" t="str">
        <f aca="false">IF($G444="","",IFERROR(INDEX(费用款别,MATCH($G444,费用类别表,0)),"合同外款"))</f>
        <v/>
      </c>
      <c r="I444" s="33"/>
      <c r="J444" s="33"/>
      <c r="K444" s="39"/>
      <c r="L444" s="33"/>
      <c r="M444" s="25"/>
      <c r="N444" s="39"/>
      <c r="O444" s="35" t="str">
        <f aca="false">IF($C444="","",IF(N($N444)&lt;=0,"未开票",IF(ROUND(N($N444)-N($K444),2)&gt;=0,"已开票",IFERROR("部分开票 "&amp;TEXT(N($N444)/N($K444),"0%"),"部分开票"))))</f>
        <v/>
      </c>
      <c r="P444" s="40" t="str">
        <f aca="false">IF($C444="","",ROUND($V444+MIN($W444,MAX(0,(SUMIF(收款键,$D444,收款金额)-SUMIFS(收款金额,收款键,$D444,收款关联,"&lt;&gt;"))-($X444-$W444))),2))</f>
        <v/>
      </c>
      <c r="Q444" s="41" t="str">
        <f aca="false">IF($C444="","",ROUND(N($K444)-N($P444),2))</f>
        <v/>
      </c>
      <c r="R444" s="29" t="str">
        <f aca="false">IF($C444="","",YEAR($C444))</f>
        <v/>
      </c>
      <c r="S444" s="24"/>
      <c r="T444" s="35" t="str">
        <f aca="false">IF($C444="","",IF($D444="","★没选客户项目",IF(COUNTIF(合同键,$D444)=0,"★《维保合同》里没这个项目",IF(N($K444)&lt;=0,"★应收金额要填",IF(ROUND(N($N444)-N($K444),2)&gt;0.001,"★开票金额大于应收",IF(AND($L444&lt;&gt;"",N($N444)&lt;=0),"★填了开票日期没填开票金额",IF(AND($I444&lt;&gt;"",$J444&lt;&gt;"",$J444&lt;$I444),"★计费期间起止反了","OK")))))))</f>
        <v/>
      </c>
      <c r="U444" s="29" t="str">
        <f aca="false">IF($L444="","",YEAR($L444))</f>
        <v/>
      </c>
      <c r="V444" s="40" t="str">
        <f aca="false">IF($C444="","",ROUND(SUMIF(收款关联,$B444,收款金额),2))</f>
        <v/>
      </c>
      <c r="W444" s="40" t="str">
        <f aca="false">IF($C444="","",MAX(0,ROUND(N($K444)-N($V444),2)))</f>
        <v/>
      </c>
      <c r="X444" s="40" t="str">
        <f aca="false">IF($C444="","",ROUND(SUMIFS(应收净额,应收键,$D444,应收行号,"&lt;="&amp;ROW()),2))</f>
        <v/>
      </c>
      <c r="Y444" s="29" t="str">
        <f aca="false">IF($C444="","",ROW())</f>
        <v/>
      </c>
    </row>
    <row r="445" customFormat="false" ht="15" hidden="false" customHeight="false" outlineLevel="0" collapsed="false">
      <c r="A445" s="29" t="str">
        <f aca="false">IF($C445="","",ROW()-4)</f>
        <v/>
      </c>
      <c r="B445" s="35" t="str">
        <f aca="false">IF($C445="","","YS"&amp;TEXT($C445,"yyyymm")&amp;"-"&amp;TEXT(ROW()-4,"0000"))</f>
        <v/>
      </c>
      <c r="C445" s="33"/>
      <c r="D445" s="24"/>
      <c r="E445" s="30" t="str">
        <f aca="false">IF($D445="","",IFERROR(INDEX(合同单位,MATCH($D445,合同键,0)),IFERROR(TRIM(LEFT($D445,FIND("｜",$D445)-1)),$D445)))</f>
        <v/>
      </c>
      <c r="F445" s="30" t="str">
        <f aca="false">IF($D445="","",IFERROR(INDEX(合同项目,MATCH($D445,合同键,0)),IFERROR(TRIM(MID($D445,FIND("｜",$D445)+1,99)),"")))</f>
        <v/>
      </c>
      <c r="G445" s="24"/>
      <c r="H445" s="35" t="str">
        <f aca="false">IF($G445="","",IFERROR(INDEX(费用款别,MATCH($G445,费用类别表,0)),"合同外款"))</f>
        <v/>
      </c>
      <c r="I445" s="33"/>
      <c r="J445" s="33"/>
      <c r="K445" s="39"/>
      <c r="L445" s="33"/>
      <c r="M445" s="25"/>
      <c r="N445" s="39"/>
      <c r="O445" s="35" t="str">
        <f aca="false">IF($C445="","",IF(N($N445)&lt;=0,"未开票",IF(ROUND(N($N445)-N($K445),2)&gt;=0,"已开票",IFERROR("部分开票 "&amp;TEXT(N($N445)/N($K445),"0%"),"部分开票"))))</f>
        <v/>
      </c>
      <c r="P445" s="40" t="str">
        <f aca="false">IF($C445="","",ROUND($V445+MIN($W445,MAX(0,(SUMIF(收款键,$D445,收款金额)-SUMIFS(收款金额,收款键,$D445,收款关联,"&lt;&gt;"))-($X445-$W445))),2))</f>
        <v/>
      </c>
      <c r="Q445" s="41" t="str">
        <f aca="false">IF($C445="","",ROUND(N($K445)-N($P445),2))</f>
        <v/>
      </c>
      <c r="R445" s="29" t="str">
        <f aca="false">IF($C445="","",YEAR($C445))</f>
        <v/>
      </c>
      <c r="S445" s="24"/>
      <c r="T445" s="35" t="str">
        <f aca="false">IF($C445="","",IF($D445="","★没选客户项目",IF(COUNTIF(合同键,$D445)=0,"★《维保合同》里没这个项目",IF(N($K445)&lt;=0,"★应收金额要填",IF(ROUND(N($N445)-N($K445),2)&gt;0.001,"★开票金额大于应收",IF(AND($L445&lt;&gt;"",N($N445)&lt;=0),"★填了开票日期没填开票金额",IF(AND($I445&lt;&gt;"",$J445&lt;&gt;"",$J445&lt;$I445),"★计费期间起止反了","OK")))))))</f>
        <v/>
      </c>
      <c r="U445" s="29" t="str">
        <f aca="false">IF($L445="","",YEAR($L445))</f>
        <v/>
      </c>
      <c r="V445" s="40" t="str">
        <f aca="false">IF($C445="","",ROUND(SUMIF(收款关联,$B445,收款金额),2))</f>
        <v/>
      </c>
      <c r="W445" s="40" t="str">
        <f aca="false">IF($C445="","",MAX(0,ROUND(N($K445)-N($V445),2)))</f>
        <v/>
      </c>
      <c r="X445" s="40" t="str">
        <f aca="false">IF($C445="","",ROUND(SUMIFS(应收净额,应收键,$D445,应收行号,"&lt;="&amp;ROW()),2))</f>
        <v/>
      </c>
      <c r="Y445" s="29" t="str">
        <f aca="false">IF($C445="","",ROW())</f>
        <v/>
      </c>
    </row>
    <row r="446" customFormat="false" ht="15" hidden="false" customHeight="false" outlineLevel="0" collapsed="false">
      <c r="A446" s="29" t="str">
        <f aca="false">IF($C446="","",ROW()-4)</f>
        <v/>
      </c>
      <c r="B446" s="35" t="str">
        <f aca="false">IF($C446="","","YS"&amp;TEXT($C446,"yyyymm")&amp;"-"&amp;TEXT(ROW()-4,"0000"))</f>
        <v/>
      </c>
      <c r="C446" s="33"/>
      <c r="D446" s="24"/>
      <c r="E446" s="30" t="str">
        <f aca="false">IF($D446="","",IFERROR(INDEX(合同单位,MATCH($D446,合同键,0)),IFERROR(TRIM(LEFT($D446,FIND("｜",$D446)-1)),$D446)))</f>
        <v/>
      </c>
      <c r="F446" s="30" t="str">
        <f aca="false">IF($D446="","",IFERROR(INDEX(合同项目,MATCH($D446,合同键,0)),IFERROR(TRIM(MID($D446,FIND("｜",$D446)+1,99)),"")))</f>
        <v/>
      </c>
      <c r="G446" s="24"/>
      <c r="H446" s="35" t="str">
        <f aca="false">IF($G446="","",IFERROR(INDEX(费用款别,MATCH($G446,费用类别表,0)),"合同外款"))</f>
        <v/>
      </c>
      <c r="I446" s="33"/>
      <c r="J446" s="33"/>
      <c r="K446" s="39"/>
      <c r="L446" s="33"/>
      <c r="M446" s="25"/>
      <c r="N446" s="39"/>
      <c r="O446" s="35" t="str">
        <f aca="false">IF($C446="","",IF(N($N446)&lt;=0,"未开票",IF(ROUND(N($N446)-N($K446),2)&gt;=0,"已开票",IFERROR("部分开票 "&amp;TEXT(N($N446)/N($K446),"0%"),"部分开票"))))</f>
        <v/>
      </c>
      <c r="P446" s="40" t="str">
        <f aca="false">IF($C446="","",ROUND($V446+MIN($W446,MAX(0,(SUMIF(收款键,$D446,收款金额)-SUMIFS(收款金额,收款键,$D446,收款关联,"&lt;&gt;"))-($X446-$W446))),2))</f>
        <v/>
      </c>
      <c r="Q446" s="41" t="str">
        <f aca="false">IF($C446="","",ROUND(N($K446)-N($P446),2))</f>
        <v/>
      </c>
      <c r="R446" s="29" t="str">
        <f aca="false">IF($C446="","",YEAR($C446))</f>
        <v/>
      </c>
      <c r="S446" s="24"/>
      <c r="T446" s="35" t="str">
        <f aca="false">IF($C446="","",IF($D446="","★没选客户项目",IF(COUNTIF(合同键,$D446)=0,"★《维保合同》里没这个项目",IF(N($K446)&lt;=0,"★应收金额要填",IF(ROUND(N($N446)-N($K446),2)&gt;0.001,"★开票金额大于应收",IF(AND($L446&lt;&gt;"",N($N446)&lt;=0),"★填了开票日期没填开票金额",IF(AND($I446&lt;&gt;"",$J446&lt;&gt;"",$J446&lt;$I446),"★计费期间起止反了","OK")))))))</f>
        <v/>
      </c>
      <c r="U446" s="29" t="str">
        <f aca="false">IF($L446="","",YEAR($L446))</f>
        <v/>
      </c>
      <c r="V446" s="40" t="str">
        <f aca="false">IF($C446="","",ROUND(SUMIF(收款关联,$B446,收款金额),2))</f>
        <v/>
      </c>
      <c r="W446" s="40" t="str">
        <f aca="false">IF($C446="","",MAX(0,ROUND(N($K446)-N($V446),2)))</f>
        <v/>
      </c>
      <c r="X446" s="40" t="str">
        <f aca="false">IF($C446="","",ROUND(SUMIFS(应收净额,应收键,$D446,应收行号,"&lt;="&amp;ROW()),2))</f>
        <v/>
      </c>
      <c r="Y446" s="29" t="str">
        <f aca="false">IF($C446="","",ROW())</f>
        <v/>
      </c>
    </row>
    <row r="447" customFormat="false" ht="15" hidden="false" customHeight="false" outlineLevel="0" collapsed="false">
      <c r="A447" s="29" t="str">
        <f aca="false">IF($C447="","",ROW()-4)</f>
        <v/>
      </c>
      <c r="B447" s="35" t="str">
        <f aca="false">IF($C447="","","YS"&amp;TEXT($C447,"yyyymm")&amp;"-"&amp;TEXT(ROW()-4,"0000"))</f>
        <v/>
      </c>
      <c r="C447" s="33"/>
      <c r="D447" s="24"/>
      <c r="E447" s="30" t="str">
        <f aca="false">IF($D447="","",IFERROR(INDEX(合同单位,MATCH($D447,合同键,0)),IFERROR(TRIM(LEFT($D447,FIND("｜",$D447)-1)),$D447)))</f>
        <v/>
      </c>
      <c r="F447" s="30" t="str">
        <f aca="false">IF($D447="","",IFERROR(INDEX(合同项目,MATCH($D447,合同键,0)),IFERROR(TRIM(MID($D447,FIND("｜",$D447)+1,99)),"")))</f>
        <v/>
      </c>
      <c r="G447" s="24"/>
      <c r="H447" s="35" t="str">
        <f aca="false">IF($G447="","",IFERROR(INDEX(费用款别,MATCH($G447,费用类别表,0)),"合同外款"))</f>
        <v/>
      </c>
      <c r="I447" s="33"/>
      <c r="J447" s="33"/>
      <c r="K447" s="39"/>
      <c r="L447" s="33"/>
      <c r="M447" s="25"/>
      <c r="N447" s="39"/>
      <c r="O447" s="35" t="str">
        <f aca="false">IF($C447="","",IF(N($N447)&lt;=0,"未开票",IF(ROUND(N($N447)-N($K447),2)&gt;=0,"已开票",IFERROR("部分开票 "&amp;TEXT(N($N447)/N($K447),"0%"),"部分开票"))))</f>
        <v/>
      </c>
      <c r="P447" s="40" t="str">
        <f aca="false">IF($C447="","",ROUND($V447+MIN($W447,MAX(0,(SUMIF(收款键,$D447,收款金额)-SUMIFS(收款金额,收款键,$D447,收款关联,"&lt;&gt;"))-($X447-$W447))),2))</f>
        <v/>
      </c>
      <c r="Q447" s="41" t="str">
        <f aca="false">IF($C447="","",ROUND(N($K447)-N($P447),2))</f>
        <v/>
      </c>
      <c r="R447" s="29" t="str">
        <f aca="false">IF($C447="","",YEAR($C447))</f>
        <v/>
      </c>
      <c r="S447" s="24"/>
      <c r="T447" s="35" t="str">
        <f aca="false">IF($C447="","",IF($D447="","★没选客户项目",IF(COUNTIF(合同键,$D447)=0,"★《维保合同》里没这个项目",IF(N($K447)&lt;=0,"★应收金额要填",IF(ROUND(N($N447)-N($K447),2)&gt;0.001,"★开票金额大于应收",IF(AND($L447&lt;&gt;"",N($N447)&lt;=0),"★填了开票日期没填开票金额",IF(AND($I447&lt;&gt;"",$J447&lt;&gt;"",$J447&lt;$I447),"★计费期间起止反了","OK")))))))</f>
        <v/>
      </c>
      <c r="U447" s="29" t="str">
        <f aca="false">IF($L447="","",YEAR($L447))</f>
        <v/>
      </c>
      <c r="V447" s="40" t="str">
        <f aca="false">IF($C447="","",ROUND(SUMIF(收款关联,$B447,收款金额),2))</f>
        <v/>
      </c>
      <c r="W447" s="40" t="str">
        <f aca="false">IF($C447="","",MAX(0,ROUND(N($K447)-N($V447),2)))</f>
        <v/>
      </c>
      <c r="X447" s="40" t="str">
        <f aca="false">IF($C447="","",ROUND(SUMIFS(应收净额,应收键,$D447,应收行号,"&lt;="&amp;ROW()),2))</f>
        <v/>
      </c>
      <c r="Y447" s="29" t="str">
        <f aca="false">IF($C447="","",ROW())</f>
        <v/>
      </c>
    </row>
    <row r="448" customFormat="false" ht="15" hidden="false" customHeight="false" outlineLevel="0" collapsed="false">
      <c r="A448" s="29" t="str">
        <f aca="false">IF($C448="","",ROW()-4)</f>
        <v/>
      </c>
      <c r="B448" s="35" t="str">
        <f aca="false">IF($C448="","","YS"&amp;TEXT($C448,"yyyymm")&amp;"-"&amp;TEXT(ROW()-4,"0000"))</f>
        <v/>
      </c>
      <c r="C448" s="33"/>
      <c r="D448" s="24"/>
      <c r="E448" s="30" t="str">
        <f aca="false">IF($D448="","",IFERROR(INDEX(合同单位,MATCH($D448,合同键,0)),IFERROR(TRIM(LEFT($D448,FIND("｜",$D448)-1)),$D448)))</f>
        <v/>
      </c>
      <c r="F448" s="30" t="str">
        <f aca="false">IF($D448="","",IFERROR(INDEX(合同项目,MATCH($D448,合同键,0)),IFERROR(TRIM(MID($D448,FIND("｜",$D448)+1,99)),"")))</f>
        <v/>
      </c>
      <c r="G448" s="24"/>
      <c r="H448" s="35" t="str">
        <f aca="false">IF($G448="","",IFERROR(INDEX(费用款别,MATCH($G448,费用类别表,0)),"合同外款"))</f>
        <v/>
      </c>
      <c r="I448" s="33"/>
      <c r="J448" s="33"/>
      <c r="K448" s="39"/>
      <c r="L448" s="33"/>
      <c r="M448" s="25"/>
      <c r="N448" s="39"/>
      <c r="O448" s="35" t="str">
        <f aca="false">IF($C448="","",IF(N($N448)&lt;=0,"未开票",IF(ROUND(N($N448)-N($K448),2)&gt;=0,"已开票",IFERROR("部分开票 "&amp;TEXT(N($N448)/N($K448),"0%"),"部分开票"))))</f>
        <v/>
      </c>
      <c r="P448" s="40" t="str">
        <f aca="false">IF($C448="","",ROUND($V448+MIN($W448,MAX(0,(SUMIF(收款键,$D448,收款金额)-SUMIFS(收款金额,收款键,$D448,收款关联,"&lt;&gt;"))-($X448-$W448))),2))</f>
        <v/>
      </c>
      <c r="Q448" s="41" t="str">
        <f aca="false">IF($C448="","",ROUND(N($K448)-N($P448),2))</f>
        <v/>
      </c>
      <c r="R448" s="29" t="str">
        <f aca="false">IF($C448="","",YEAR($C448))</f>
        <v/>
      </c>
      <c r="S448" s="24"/>
      <c r="T448" s="35" t="str">
        <f aca="false">IF($C448="","",IF($D448="","★没选客户项目",IF(COUNTIF(合同键,$D448)=0,"★《维保合同》里没这个项目",IF(N($K448)&lt;=0,"★应收金额要填",IF(ROUND(N($N448)-N($K448),2)&gt;0.001,"★开票金额大于应收",IF(AND($L448&lt;&gt;"",N($N448)&lt;=0),"★填了开票日期没填开票金额",IF(AND($I448&lt;&gt;"",$J448&lt;&gt;"",$J448&lt;$I448),"★计费期间起止反了","OK")))))))</f>
        <v/>
      </c>
      <c r="U448" s="29" t="str">
        <f aca="false">IF($L448="","",YEAR($L448))</f>
        <v/>
      </c>
      <c r="V448" s="40" t="str">
        <f aca="false">IF($C448="","",ROUND(SUMIF(收款关联,$B448,收款金额),2))</f>
        <v/>
      </c>
      <c r="W448" s="40" t="str">
        <f aca="false">IF($C448="","",MAX(0,ROUND(N($K448)-N($V448),2)))</f>
        <v/>
      </c>
      <c r="X448" s="40" t="str">
        <f aca="false">IF($C448="","",ROUND(SUMIFS(应收净额,应收键,$D448,应收行号,"&lt;="&amp;ROW()),2))</f>
        <v/>
      </c>
      <c r="Y448" s="29" t="str">
        <f aca="false">IF($C448="","",ROW())</f>
        <v/>
      </c>
    </row>
    <row r="449" customFormat="false" ht="15" hidden="false" customHeight="false" outlineLevel="0" collapsed="false">
      <c r="A449" s="29" t="str">
        <f aca="false">IF($C449="","",ROW()-4)</f>
        <v/>
      </c>
      <c r="B449" s="35" t="str">
        <f aca="false">IF($C449="","","YS"&amp;TEXT($C449,"yyyymm")&amp;"-"&amp;TEXT(ROW()-4,"0000"))</f>
        <v/>
      </c>
      <c r="C449" s="33"/>
      <c r="D449" s="24"/>
      <c r="E449" s="30" t="str">
        <f aca="false">IF($D449="","",IFERROR(INDEX(合同单位,MATCH($D449,合同键,0)),IFERROR(TRIM(LEFT($D449,FIND("｜",$D449)-1)),$D449)))</f>
        <v/>
      </c>
      <c r="F449" s="30" t="str">
        <f aca="false">IF($D449="","",IFERROR(INDEX(合同项目,MATCH($D449,合同键,0)),IFERROR(TRIM(MID($D449,FIND("｜",$D449)+1,99)),"")))</f>
        <v/>
      </c>
      <c r="G449" s="24"/>
      <c r="H449" s="35" t="str">
        <f aca="false">IF($G449="","",IFERROR(INDEX(费用款别,MATCH($G449,费用类别表,0)),"合同外款"))</f>
        <v/>
      </c>
      <c r="I449" s="33"/>
      <c r="J449" s="33"/>
      <c r="K449" s="39"/>
      <c r="L449" s="33"/>
      <c r="M449" s="25"/>
      <c r="N449" s="39"/>
      <c r="O449" s="35" t="str">
        <f aca="false">IF($C449="","",IF(N($N449)&lt;=0,"未开票",IF(ROUND(N($N449)-N($K449),2)&gt;=0,"已开票",IFERROR("部分开票 "&amp;TEXT(N($N449)/N($K449),"0%"),"部分开票"))))</f>
        <v/>
      </c>
      <c r="P449" s="40" t="str">
        <f aca="false">IF($C449="","",ROUND($V449+MIN($W449,MAX(0,(SUMIF(收款键,$D449,收款金额)-SUMIFS(收款金额,收款键,$D449,收款关联,"&lt;&gt;"))-($X449-$W449))),2))</f>
        <v/>
      </c>
      <c r="Q449" s="41" t="str">
        <f aca="false">IF($C449="","",ROUND(N($K449)-N($P449),2))</f>
        <v/>
      </c>
      <c r="R449" s="29" t="str">
        <f aca="false">IF($C449="","",YEAR($C449))</f>
        <v/>
      </c>
      <c r="S449" s="24"/>
      <c r="T449" s="35" t="str">
        <f aca="false">IF($C449="","",IF($D449="","★没选客户项目",IF(COUNTIF(合同键,$D449)=0,"★《维保合同》里没这个项目",IF(N($K449)&lt;=0,"★应收金额要填",IF(ROUND(N($N449)-N($K449),2)&gt;0.001,"★开票金额大于应收",IF(AND($L449&lt;&gt;"",N($N449)&lt;=0),"★填了开票日期没填开票金额",IF(AND($I449&lt;&gt;"",$J449&lt;&gt;"",$J449&lt;$I449),"★计费期间起止反了","OK")))))))</f>
        <v/>
      </c>
      <c r="U449" s="29" t="str">
        <f aca="false">IF($L449="","",YEAR($L449))</f>
        <v/>
      </c>
      <c r="V449" s="40" t="str">
        <f aca="false">IF($C449="","",ROUND(SUMIF(收款关联,$B449,收款金额),2))</f>
        <v/>
      </c>
      <c r="W449" s="40" t="str">
        <f aca="false">IF($C449="","",MAX(0,ROUND(N($K449)-N($V449),2)))</f>
        <v/>
      </c>
      <c r="X449" s="40" t="str">
        <f aca="false">IF($C449="","",ROUND(SUMIFS(应收净额,应收键,$D449,应收行号,"&lt;="&amp;ROW()),2))</f>
        <v/>
      </c>
      <c r="Y449" s="29" t="str">
        <f aca="false">IF($C449="","",ROW())</f>
        <v/>
      </c>
    </row>
    <row r="450" customFormat="false" ht="15" hidden="false" customHeight="false" outlineLevel="0" collapsed="false">
      <c r="A450" s="29" t="str">
        <f aca="false">IF($C450="","",ROW()-4)</f>
        <v/>
      </c>
      <c r="B450" s="35" t="str">
        <f aca="false">IF($C450="","","YS"&amp;TEXT($C450,"yyyymm")&amp;"-"&amp;TEXT(ROW()-4,"0000"))</f>
        <v/>
      </c>
      <c r="C450" s="33"/>
      <c r="D450" s="24"/>
      <c r="E450" s="30" t="str">
        <f aca="false">IF($D450="","",IFERROR(INDEX(合同单位,MATCH($D450,合同键,0)),IFERROR(TRIM(LEFT($D450,FIND("｜",$D450)-1)),$D450)))</f>
        <v/>
      </c>
      <c r="F450" s="30" t="str">
        <f aca="false">IF($D450="","",IFERROR(INDEX(合同项目,MATCH($D450,合同键,0)),IFERROR(TRIM(MID($D450,FIND("｜",$D450)+1,99)),"")))</f>
        <v/>
      </c>
      <c r="G450" s="24"/>
      <c r="H450" s="35" t="str">
        <f aca="false">IF($G450="","",IFERROR(INDEX(费用款别,MATCH($G450,费用类别表,0)),"合同外款"))</f>
        <v/>
      </c>
      <c r="I450" s="33"/>
      <c r="J450" s="33"/>
      <c r="K450" s="39"/>
      <c r="L450" s="33"/>
      <c r="M450" s="25"/>
      <c r="N450" s="39"/>
      <c r="O450" s="35" t="str">
        <f aca="false">IF($C450="","",IF(N($N450)&lt;=0,"未开票",IF(ROUND(N($N450)-N($K450),2)&gt;=0,"已开票",IFERROR("部分开票 "&amp;TEXT(N($N450)/N($K450),"0%"),"部分开票"))))</f>
        <v/>
      </c>
      <c r="P450" s="40" t="str">
        <f aca="false">IF($C450="","",ROUND($V450+MIN($W450,MAX(0,(SUMIF(收款键,$D450,收款金额)-SUMIFS(收款金额,收款键,$D450,收款关联,"&lt;&gt;"))-($X450-$W450))),2))</f>
        <v/>
      </c>
      <c r="Q450" s="41" t="str">
        <f aca="false">IF($C450="","",ROUND(N($K450)-N($P450),2))</f>
        <v/>
      </c>
      <c r="R450" s="29" t="str">
        <f aca="false">IF($C450="","",YEAR($C450))</f>
        <v/>
      </c>
      <c r="S450" s="24"/>
      <c r="T450" s="35" t="str">
        <f aca="false">IF($C450="","",IF($D450="","★没选客户项目",IF(COUNTIF(合同键,$D450)=0,"★《维保合同》里没这个项目",IF(N($K450)&lt;=0,"★应收金额要填",IF(ROUND(N($N450)-N($K450),2)&gt;0.001,"★开票金额大于应收",IF(AND($L450&lt;&gt;"",N($N450)&lt;=0),"★填了开票日期没填开票金额",IF(AND($I450&lt;&gt;"",$J450&lt;&gt;"",$J450&lt;$I450),"★计费期间起止反了","OK")))))))</f>
        <v/>
      </c>
      <c r="U450" s="29" t="str">
        <f aca="false">IF($L450="","",YEAR($L450))</f>
        <v/>
      </c>
      <c r="V450" s="40" t="str">
        <f aca="false">IF($C450="","",ROUND(SUMIF(收款关联,$B450,收款金额),2))</f>
        <v/>
      </c>
      <c r="W450" s="40" t="str">
        <f aca="false">IF($C450="","",MAX(0,ROUND(N($K450)-N($V450),2)))</f>
        <v/>
      </c>
      <c r="X450" s="40" t="str">
        <f aca="false">IF($C450="","",ROUND(SUMIFS(应收净额,应收键,$D450,应收行号,"&lt;="&amp;ROW()),2))</f>
        <v/>
      </c>
      <c r="Y450" s="29" t="str">
        <f aca="false">IF($C450="","",ROW())</f>
        <v/>
      </c>
    </row>
    <row r="451" customFormat="false" ht="15" hidden="false" customHeight="false" outlineLevel="0" collapsed="false">
      <c r="A451" s="29" t="str">
        <f aca="false">IF($C451="","",ROW()-4)</f>
        <v/>
      </c>
      <c r="B451" s="35" t="str">
        <f aca="false">IF($C451="","","YS"&amp;TEXT($C451,"yyyymm")&amp;"-"&amp;TEXT(ROW()-4,"0000"))</f>
        <v/>
      </c>
      <c r="C451" s="33"/>
      <c r="D451" s="24"/>
      <c r="E451" s="30" t="str">
        <f aca="false">IF($D451="","",IFERROR(INDEX(合同单位,MATCH($D451,合同键,0)),IFERROR(TRIM(LEFT($D451,FIND("｜",$D451)-1)),$D451)))</f>
        <v/>
      </c>
      <c r="F451" s="30" t="str">
        <f aca="false">IF($D451="","",IFERROR(INDEX(合同项目,MATCH($D451,合同键,0)),IFERROR(TRIM(MID($D451,FIND("｜",$D451)+1,99)),"")))</f>
        <v/>
      </c>
      <c r="G451" s="24"/>
      <c r="H451" s="35" t="str">
        <f aca="false">IF($G451="","",IFERROR(INDEX(费用款别,MATCH($G451,费用类别表,0)),"合同外款"))</f>
        <v/>
      </c>
      <c r="I451" s="33"/>
      <c r="J451" s="33"/>
      <c r="K451" s="39"/>
      <c r="L451" s="33"/>
      <c r="M451" s="25"/>
      <c r="N451" s="39"/>
      <c r="O451" s="35" t="str">
        <f aca="false">IF($C451="","",IF(N($N451)&lt;=0,"未开票",IF(ROUND(N($N451)-N($K451),2)&gt;=0,"已开票",IFERROR("部分开票 "&amp;TEXT(N($N451)/N($K451),"0%"),"部分开票"))))</f>
        <v/>
      </c>
      <c r="P451" s="40" t="str">
        <f aca="false">IF($C451="","",ROUND($V451+MIN($W451,MAX(0,(SUMIF(收款键,$D451,收款金额)-SUMIFS(收款金额,收款键,$D451,收款关联,"&lt;&gt;"))-($X451-$W451))),2))</f>
        <v/>
      </c>
      <c r="Q451" s="41" t="str">
        <f aca="false">IF($C451="","",ROUND(N($K451)-N($P451),2))</f>
        <v/>
      </c>
      <c r="R451" s="29" t="str">
        <f aca="false">IF($C451="","",YEAR($C451))</f>
        <v/>
      </c>
      <c r="S451" s="24"/>
      <c r="T451" s="35" t="str">
        <f aca="false">IF($C451="","",IF($D451="","★没选客户项目",IF(COUNTIF(合同键,$D451)=0,"★《维保合同》里没这个项目",IF(N($K451)&lt;=0,"★应收金额要填",IF(ROUND(N($N451)-N($K451),2)&gt;0.001,"★开票金额大于应收",IF(AND($L451&lt;&gt;"",N($N451)&lt;=0),"★填了开票日期没填开票金额",IF(AND($I451&lt;&gt;"",$J451&lt;&gt;"",$J451&lt;$I451),"★计费期间起止反了","OK")))))))</f>
        <v/>
      </c>
      <c r="U451" s="29" t="str">
        <f aca="false">IF($L451="","",YEAR($L451))</f>
        <v/>
      </c>
      <c r="V451" s="40" t="str">
        <f aca="false">IF($C451="","",ROUND(SUMIF(收款关联,$B451,收款金额),2))</f>
        <v/>
      </c>
      <c r="W451" s="40" t="str">
        <f aca="false">IF($C451="","",MAX(0,ROUND(N($K451)-N($V451),2)))</f>
        <v/>
      </c>
      <c r="X451" s="40" t="str">
        <f aca="false">IF($C451="","",ROUND(SUMIFS(应收净额,应收键,$D451,应收行号,"&lt;="&amp;ROW()),2))</f>
        <v/>
      </c>
      <c r="Y451" s="29" t="str">
        <f aca="false">IF($C451="","",ROW())</f>
        <v/>
      </c>
    </row>
    <row r="452" customFormat="false" ht="15" hidden="false" customHeight="false" outlineLevel="0" collapsed="false">
      <c r="A452" s="29" t="str">
        <f aca="false">IF($C452="","",ROW()-4)</f>
        <v/>
      </c>
      <c r="B452" s="35" t="str">
        <f aca="false">IF($C452="","","YS"&amp;TEXT($C452,"yyyymm")&amp;"-"&amp;TEXT(ROW()-4,"0000"))</f>
        <v/>
      </c>
      <c r="C452" s="33"/>
      <c r="D452" s="24"/>
      <c r="E452" s="30" t="str">
        <f aca="false">IF($D452="","",IFERROR(INDEX(合同单位,MATCH($D452,合同键,0)),IFERROR(TRIM(LEFT($D452,FIND("｜",$D452)-1)),$D452)))</f>
        <v/>
      </c>
      <c r="F452" s="30" t="str">
        <f aca="false">IF($D452="","",IFERROR(INDEX(合同项目,MATCH($D452,合同键,0)),IFERROR(TRIM(MID($D452,FIND("｜",$D452)+1,99)),"")))</f>
        <v/>
      </c>
      <c r="G452" s="24"/>
      <c r="H452" s="35" t="str">
        <f aca="false">IF($G452="","",IFERROR(INDEX(费用款别,MATCH($G452,费用类别表,0)),"合同外款"))</f>
        <v/>
      </c>
      <c r="I452" s="33"/>
      <c r="J452" s="33"/>
      <c r="K452" s="39"/>
      <c r="L452" s="33"/>
      <c r="M452" s="25"/>
      <c r="N452" s="39"/>
      <c r="O452" s="35" t="str">
        <f aca="false">IF($C452="","",IF(N($N452)&lt;=0,"未开票",IF(ROUND(N($N452)-N($K452),2)&gt;=0,"已开票",IFERROR("部分开票 "&amp;TEXT(N($N452)/N($K452),"0%"),"部分开票"))))</f>
        <v/>
      </c>
      <c r="P452" s="40" t="str">
        <f aca="false">IF($C452="","",ROUND($V452+MIN($W452,MAX(0,(SUMIF(收款键,$D452,收款金额)-SUMIFS(收款金额,收款键,$D452,收款关联,"&lt;&gt;"))-($X452-$W452))),2))</f>
        <v/>
      </c>
      <c r="Q452" s="41" t="str">
        <f aca="false">IF($C452="","",ROUND(N($K452)-N($P452),2))</f>
        <v/>
      </c>
      <c r="R452" s="29" t="str">
        <f aca="false">IF($C452="","",YEAR($C452))</f>
        <v/>
      </c>
      <c r="S452" s="24"/>
      <c r="T452" s="35" t="str">
        <f aca="false">IF($C452="","",IF($D452="","★没选客户项目",IF(COUNTIF(合同键,$D452)=0,"★《维保合同》里没这个项目",IF(N($K452)&lt;=0,"★应收金额要填",IF(ROUND(N($N452)-N($K452),2)&gt;0.001,"★开票金额大于应收",IF(AND($L452&lt;&gt;"",N($N452)&lt;=0),"★填了开票日期没填开票金额",IF(AND($I452&lt;&gt;"",$J452&lt;&gt;"",$J452&lt;$I452),"★计费期间起止反了","OK")))))))</f>
        <v/>
      </c>
      <c r="U452" s="29" t="str">
        <f aca="false">IF($L452="","",YEAR($L452))</f>
        <v/>
      </c>
      <c r="V452" s="40" t="str">
        <f aca="false">IF($C452="","",ROUND(SUMIF(收款关联,$B452,收款金额),2))</f>
        <v/>
      </c>
      <c r="W452" s="40" t="str">
        <f aca="false">IF($C452="","",MAX(0,ROUND(N($K452)-N($V452),2)))</f>
        <v/>
      </c>
      <c r="X452" s="40" t="str">
        <f aca="false">IF($C452="","",ROUND(SUMIFS(应收净额,应收键,$D452,应收行号,"&lt;="&amp;ROW()),2))</f>
        <v/>
      </c>
      <c r="Y452" s="29" t="str">
        <f aca="false">IF($C452="","",ROW())</f>
        <v/>
      </c>
    </row>
    <row r="453" customFormat="false" ht="15" hidden="false" customHeight="false" outlineLevel="0" collapsed="false">
      <c r="A453" s="29" t="str">
        <f aca="false">IF($C453="","",ROW()-4)</f>
        <v/>
      </c>
      <c r="B453" s="35" t="str">
        <f aca="false">IF($C453="","","YS"&amp;TEXT($C453,"yyyymm")&amp;"-"&amp;TEXT(ROW()-4,"0000"))</f>
        <v/>
      </c>
      <c r="C453" s="33"/>
      <c r="D453" s="24"/>
      <c r="E453" s="30" t="str">
        <f aca="false">IF($D453="","",IFERROR(INDEX(合同单位,MATCH($D453,合同键,0)),IFERROR(TRIM(LEFT($D453,FIND("｜",$D453)-1)),$D453)))</f>
        <v/>
      </c>
      <c r="F453" s="30" t="str">
        <f aca="false">IF($D453="","",IFERROR(INDEX(合同项目,MATCH($D453,合同键,0)),IFERROR(TRIM(MID($D453,FIND("｜",$D453)+1,99)),"")))</f>
        <v/>
      </c>
      <c r="G453" s="24"/>
      <c r="H453" s="35" t="str">
        <f aca="false">IF($G453="","",IFERROR(INDEX(费用款别,MATCH($G453,费用类别表,0)),"合同外款"))</f>
        <v/>
      </c>
      <c r="I453" s="33"/>
      <c r="J453" s="33"/>
      <c r="K453" s="39"/>
      <c r="L453" s="33"/>
      <c r="M453" s="25"/>
      <c r="N453" s="39"/>
      <c r="O453" s="35" t="str">
        <f aca="false">IF($C453="","",IF(N($N453)&lt;=0,"未开票",IF(ROUND(N($N453)-N($K453),2)&gt;=0,"已开票",IFERROR("部分开票 "&amp;TEXT(N($N453)/N($K453),"0%"),"部分开票"))))</f>
        <v/>
      </c>
      <c r="P453" s="40" t="str">
        <f aca="false">IF($C453="","",ROUND($V453+MIN($W453,MAX(0,(SUMIF(收款键,$D453,收款金额)-SUMIFS(收款金额,收款键,$D453,收款关联,"&lt;&gt;"))-($X453-$W453))),2))</f>
        <v/>
      </c>
      <c r="Q453" s="41" t="str">
        <f aca="false">IF($C453="","",ROUND(N($K453)-N($P453),2))</f>
        <v/>
      </c>
      <c r="R453" s="29" t="str">
        <f aca="false">IF($C453="","",YEAR($C453))</f>
        <v/>
      </c>
      <c r="S453" s="24"/>
      <c r="T453" s="35" t="str">
        <f aca="false">IF($C453="","",IF($D453="","★没选客户项目",IF(COUNTIF(合同键,$D453)=0,"★《维保合同》里没这个项目",IF(N($K453)&lt;=0,"★应收金额要填",IF(ROUND(N($N453)-N($K453),2)&gt;0.001,"★开票金额大于应收",IF(AND($L453&lt;&gt;"",N($N453)&lt;=0),"★填了开票日期没填开票金额",IF(AND($I453&lt;&gt;"",$J453&lt;&gt;"",$J453&lt;$I453),"★计费期间起止反了","OK")))))))</f>
        <v/>
      </c>
      <c r="U453" s="29" t="str">
        <f aca="false">IF($L453="","",YEAR($L453))</f>
        <v/>
      </c>
      <c r="V453" s="40" t="str">
        <f aca="false">IF($C453="","",ROUND(SUMIF(收款关联,$B453,收款金额),2))</f>
        <v/>
      </c>
      <c r="W453" s="40" t="str">
        <f aca="false">IF($C453="","",MAX(0,ROUND(N($K453)-N($V453),2)))</f>
        <v/>
      </c>
      <c r="X453" s="40" t="str">
        <f aca="false">IF($C453="","",ROUND(SUMIFS(应收净额,应收键,$D453,应收行号,"&lt;="&amp;ROW()),2))</f>
        <v/>
      </c>
      <c r="Y453" s="29" t="str">
        <f aca="false">IF($C453="","",ROW())</f>
        <v/>
      </c>
    </row>
    <row r="454" customFormat="false" ht="15" hidden="false" customHeight="false" outlineLevel="0" collapsed="false">
      <c r="A454" s="29" t="str">
        <f aca="false">IF($C454="","",ROW()-4)</f>
        <v/>
      </c>
      <c r="B454" s="35" t="str">
        <f aca="false">IF($C454="","","YS"&amp;TEXT($C454,"yyyymm")&amp;"-"&amp;TEXT(ROW()-4,"0000"))</f>
        <v/>
      </c>
      <c r="C454" s="33"/>
      <c r="D454" s="24"/>
      <c r="E454" s="30" t="str">
        <f aca="false">IF($D454="","",IFERROR(INDEX(合同单位,MATCH($D454,合同键,0)),IFERROR(TRIM(LEFT($D454,FIND("｜",$D454)-1)),$D454)))</f>
        <v/>
      </c>
      <c r="F454" s="30" t="str">
        <f aca="false">IF($D454="","",IFERROR(INDEX(合同项目,MATCH($D454,合同键,0)),IFERROR(TRIM(MID($D454,FIND("｜",$D454)+1,99)),"")))</f>
        <v/>
      </c>
      <c r="G454" s="24"/>
      <c r="H454" s="35" t="str">
        <f aca="false">IF($G454="","",IFERROR(INDEX(费用款别,MATCH($G454,费用类别表,0)),"合同外款"))</f>
        <v/>
      </c>
      <c r="I454" s="33"/>
      <c r="J454" s="33"/>
      <c r="K454" s="39"/>
      <c r="L454" s="33"/>
      <c r="M454" s="25"/>
      <c r="N454" s="39"/>
      <c r="O454" s="35" t="str">
        <f aca="false">IF($C454="","",IF(N($N454)&lt;=0,"未开票",IF(ROUND(N($N454)-N($K454),2)&gt;=0,"已开票",IFERROR("部分开票 "&amp;TEXT(N($N454)/N($K454),"0%"),"部分开票"))))</f>
        <v/>
      </c>
      <c r="P454" s="40" t="str">
        <f aca="false">IF($C454="","",ROUND($V454+MIN($W454,MAX(0,(SUMIF(收款键,$D454,收款金额)-SUMIFS(收款金额,收款键,$D454,收款关联,"&lt;&gt;"))-($X454-$W454))),2))</f>
        <v/>
      </c>
      <c r="Q454" s="41" t="str">
        <f aca="false">IF($C454="","",ROUND(N($K454)-N($P454),2))</f>
        <v/>
      </c>
      <c r="R454" s="29" t="str">
        <f aca="false">IF($C454="","",YEAR($C454))</f>
        <v/>
      </c>
      <c r="S454" s="24"/>
      <c r="T454" s="35" t="str">
        <f aca="false">IF($C454="","",IF($D454="","★没选客户项目",IF(COUNTIF(合同键,$D454)=0,"★《维保合同》里没这个项目",IF(N($K454)&lt;=0,"★应收金额要填",IF(ROUND(N($N454)-N($K454),2)&gt;0.001,"★开票金额大于应收",IF(AND($L454&lt;&gt;"",N($N454)&lt;=0),"★填了开票日期没填开票金额",IF(AND($I454&lt;&gt;"",$J454&lt;&gt;"",$J454&lt;$I454),"★计费期间起止反了","OK")))))))</f>
        <v/>
      </c>
      <c r="U454" s="29" t="str">
        <f aca="false">IF($L454="","",YEAR($L454))</f>
        <v/>
      </c>
      <c r="V454" s="40" t="str">
        <f aca="false">IF($C454="","",ROUND(SUMIF(收款关联,$B454,收款金额),2))</f>
        <v/>
      </c>
      <c r="W454" s="40" t="str">
        <f aca="false">IF($C454="","",MAX(0,ROUND(N($K454)-N($V454),2)))</f>
        <v/>
      </c>
      <c r="X454" s="40" t="str">
        <f aca="false">IF($C454="","",ROUND(SUMIFS(应收净额,应收键,$D454,应收行号,"&lt;="&amp;ROW()),2))</f>
        <v/>
      </c>
      <c r="Y454" s="29" t="str">
        <f aca="false">IF($C454="","",ROW())</f>
        <v/>
      </c>
    </row>
    <row r="455" customFormat="false" ht="15" hidden="false" customHeight="false" outlineLevel="0" collapsed="false">
      <c r="A455" s="29" t="str">
        <f aca="false">IF($C455="","",ROW()-4)</f>
        <v/>
      </c>
      <c r="B455" s="35" t="str">
        <f aca="false">IF($C455="","","YS"&amp;TEXT($C455,"yyyymm")&amp;"-"&amp;TEXT(ROW()-4,"0000"))</f>
        <v/>
      </c>
      <c r="C455" s="33"/>
      <c r="D455" s="24"/>
      <c r="E455" s="30" t="str">
        <f aca="false">IF($D455="","",IFERROR(INDEX(合同单位,MATCH($D455,合同键,0)),IFERROR(TRIM(LEFT($D455,FIND("｜",$D455)-1)),$D455)))</f>
        <v/>
      </c>
      <c r="F455" s="30" t="str">
        <f aca="false">IF($D455="","",IFERROR(INDEX(合同项目,MATCH($D455,合同键,0)),IFERROR(TRIM(MID($D455,FIND("｜",$D455)+1,99)),"")))</f>
        <v/>
      </c>
      <c r="G455" s="24"/>
      <c r="H455" s="35" t="str">
        <f aca="false">IF($G455="","",IFERROR(INDEX(费用款别,MATCH($G455,费用类别表,0)),"合同外款"))</f>
        <v/>
      </c>
      <c r="I455" s="33"/>
      <c r="J455" s="33"/>
      <c r="K455" s="39"/>
      <c r="L455" s="33"/>
      <c r="M455" s="25"/>
      <c r="N455" s="39"/>
      <c r="O455" s="35" t="str">
        <f aca="false">IF($C455="","",IF(N($N455)&lt;=0,"未开票",IF(ROUND(N($N455)-N($K455),2)&gt;=0,"已开票",IFERROR("部分开票 "&amp;TEXT(N($N455)/N($K455),"0%"),"部分开票"))))</f>
        <v/>
      </c>
      <c r="P455" s="40" t="str">
        <f aca="false">IF($C455="","",ROUND($V455+MIN($W455,MAX(0,(SUMIF(收款键,$D455,收款金额)-SUMIFS(收款金额,收款键,$D455,收款关联,"&lt;&gt;"))-($X455-$W455))),2))</f>
        <v/>
      </c>
      <c r="Q455" s="41" t="str">
        <f aca="false">IF($C455="","",ROUND(N($K455)-N($P455),2))</f>
        <v/>
      </c>
      <c r="R455" s="29" t="str">
        <f aca="false">IF($C455="","",YEAR($C455))</f>
        <v/>
      </c>
      <c r="S455" s="24"/>
      <c r="T455" s="35" t="str">
        <f aca="false">IF($C455="","",IF($D455="","★没选客户项目",IF(COUNTIF(合同键,$D455)=0,"★《维保合同》里没这个项目",IF(N($K455)&lt;=0,"★应收金额要填",IF(ROUND(N($N455)-N($K455),2)&gt;0.001,"★开票金额大于应收",IF(AND($L455&lt;&gt;"",N($N455)&lt;=0),"★填了开票日期没填开票金额",IF(AND($I455&lt;&gt;"",$J455&lt;&gt;"",$J455&lt;$I455),"★计费期间起止反了","OK")))))))</f>
        <v/>
      </c>
      <c r="U455" s="29" t="str">
        <f aca="false">IF($L455="","",YEAR($L455))</f>
        <v/>
      </c>
      <c r="V455" s="40" t="str">
        <f aca="false">IF($C455="","",ROUND(SUMIF(收款关联,$B455,收款金额),2))</f>
        <v/>
      </c>
      <c r="W455" s="40" t="str">
        <f aca="false">IF($C455="","",MAX(0,ROUND(N($K455)-N($V455),2)))</f>
        <v/>
      </c>
      <c r="X455" s="40" t="str">
        <f aca="false">IF($C455="","",ROUND(SUMIFS(应收净额,应收键,$D455,应收行号,"&lt;="&amp;ROW()),2))</f>
        <v/>
      </c>
      <c r="Y455" s="29" t="str">
        <f aca="false">IF($C455="","",ROW())</f>
        <v/>
      </c>
    </row>
    <row r="456" customFormat="false" ht="15" hidden="false" customHeight="false" outlineLevel="0" collapsed="false">
      <c r="A456" s="29" t="str">
        <f aca="false">IF($C456="","",ROW()-4)</f>
        <v/>
      </c>
      <c r="B456" s="35" t="str">
        <f aca="false">IF($C456="","","YS"&amp;TEXT($C456,"yyyymm")&amp;"-"&amp;TEXT(ROW()-4,"0000"))</f>
        <v/>
      </c>
      <c r="C456" s="33"/>
      <c r="D456" s="24"/>
      <c r="E456" s="30" t="str">
        <f aca="false">IF($D456="","",IFERROR(INDEX(合同单位,MATCH($D456,合同键,0)),IFERROR(TRIM(LEFT($D456,FIND("｜",$D456)-1)),$D456)))</f>
        <v/>
      </c>
      <c r="F456" s="30" t="str">
        <f aca="false">IF($D456="","",IFERROR(INDEX(合同项目,MATCH($D456,合同键,0)),IFERROR(TRIM(MID($D456,FIND("｜",$D456)+1,99)),"")))</f>
        <v/>
      </c>
      <c r="G456" s="24"/>
      <c r="H456" s="35" t="str">
        <f aca="false">IF($G456="","",IFERROR(INDEX(费用款别,MATCH($G456,费用类别表,0)),"合同外款"))</f>
        <v/>
      </c>
      <c r="I456" s="33"/>
      <c r="J456" s="33"/>
      <c r="K456" s="39"/>
      <c r="L456" s="33"/>
      <c r="M456" s="25"/>
      <c r="N456" s="39"/>
      <c r="O456" s="35" t="str">
        <f aca="false">IF($C456="","",IF(N($N456)&lt;=0,"未开票",IF(ROUND(N($N456)-N($K456),2)&gt;=0,"已开票",IFERROR("部分开票 "&amp;TEXT(N($N456)/N($K456),"0%"),"部分开票"))))</f>
        <v/>
      </c>
      <c r="P456" s="40" t="str">
        <f aca="false">IF($C456="","",ROUND($V456+MIN($W456,MAX(0,(SUMIF(收款键,$D456,收款金额)-SUMIFS(收款金额,收款键,$D456,收款关联,"&lt;&gt;"))-($X456-$W456))),2))</f>
        <v/>
      </c>
      <c r="Q456" s="41" t="str">
        <f aca="false">IF($C456="","",ROUND(N($K456)-N($P456),2))</f>
        <v/>
      </c>
      <c r="R456" s="29" t="str">
        <f aca="false">IF($C456="","",YEAR($C456))</f>
        <v/>
      </c>
      <c r="S456" s="24"/>
      <c r="T456" s="35" t="str">
        <f aca="false">IF($C456="","",IF($D456="","★没选客户项目",IF(COUNTIF(合同键,$D456)=0,"★《维保合同》里没这个项目",IF(N($K456)&lt;=0,"★应收金额要填",IF(ROUND(N($N456)-N($K456),2)&gt;0.001,"★开票金额大于应收",IF(AND($L456&lt;&gt;"",N($N456)&lt;=0),"★填了开票日期没填开票金额",IF(AND($I456&lt;&gt;"",$J456&lt;&gt;"",$J456&lt;$I456),"★计费期间起止反了","OK")))))))</f>
        <v/>
      </c>
      <c r="U456" s="29" t="str">
        <f aca="false">IF($L456="","",YEAR($L456))</f>
        <v/>
      </c>
      <c r="V456" s="40" t="str">
        <f aca="false">IF($C456="","",ROUND(SUMIF(收款关联,$B456,收款金额),2))</f>
        <v/>
      </c>
      <c r="W456" s="40" t="str">
        <f aca="false">IF($C456="","",MAX(0,ROUND(N($K456)-N($V456),2)))</f>
        <v/>
      </c>
      <c r="X456" s="40" t="str">
        <f aca="false">IF($C456="","",ROUND(SUMIFS(应收净额,应收键,$D456,应收行号,"&lt;="&amp;ROW()),2))</f>
        <v/>
      </c>
      <c r="Y456" s="29" t="str">
        <f aca="false">IF($C456="","",ROW())</f>
        <v/>
      </c>
    </row>
    <row r="457" customFormat="false" ht="15" hidden="false" customHeight="false" outlineLevel="0" collapsed="false">
      <c r="A457" s="29" t="str">
        <f aca="false">IF($C457="","",ROW()-4)</f>
        <v/>
      </c>
      <c r="B457" s="35" t="str">
        <f aca="false">IF($C457="","","YS"&amp;TEXT($C457,"yyyymm")&amp;"-"&amp;TEXT(ROW()-4,"0000"))</f>
        <v/>
      </c>
      <c r="C457" s="33"/>
      <c r="D457" s="24"/>
      <c r="E457" s="30" t="str">
        <f aca="false">IF($D457="","",IFERROR(INDEX(合同单位,MATCH($D457,合同键,0)),IFERROR(TRIM(LEFT($D457,FIND("｜",$D457)-1)),$D457)))</f>
        <v/>
      </c>
      <c r="F457" s="30" t="str">
        <f aca="false">IF($D457="","",IFERROR(INDEX(合同项目,MATCH($D457,合同键,0)),IFERROR(TRIM(MID($D457,FIND("｜",$D457)+1,99)),"")))</f>
        <v/>
      </c>
      <c r="G457" s="24"/>
      <c r="H457" s="35" t="str">
        <f aca="false">IF($G457="","",IFERROR(INDEX(费用款别,MATCH($G457,费用类别表,0)),"合同外款"))</f>
        <v/>
      </c>
      <c r="I457" s="33"/>
      <c r="J457" s="33"/>
      <c r="K457" s="39"/>
      <c r="L457" s="33"/>
      <c r="M457" s="25"/>
      <c r="N457" s="39"/>
      <c r="O457" s="35" t="str">
        <f aca="false">IF($C457="","",IF(N($N457)&lt;=0,"未开票",IF(ROUND(N($N457)-N($K457),2)&gt;=0,"已开票",IFERROR("部分开票 "&amp;TEXT(N($N457)/N($K457),"0%"),"部分开票"))))</f>
        <v/>
      </c>
      <c r="P457" s="40" t="str">
        <f aca="false">IF($C457="","",ROUND($V457+MIN($W457,MAX(0,(SUMIF(收款键,$D457,收款金额)-SUMIFS(收款金额,收款键,$D457,收款关联,"&lt;&gt;"))-($X457-$W457))),2))</f>
        <v/>
      </c>
      <c r="Q457" s="41" t="str">
        <f aca="false">IF($C457="","",ROUND(N($K457)-N($P457),2))</f>
        <v/>
      </c>
      <c r="R457" s="29" t="str">
        <f aca="false">IF($C457="","",YEAR($C457))</f>
        <v/>
      </c>
      <c r="S457" s="24"/>
      <c r="T457" s="35" t="str">
        <f aca="false">IF($C457="","",IF($D457="","★没选客户项目",IF(COUNTIF(合同键,$D457)=0,"★《维保合同》里没这个项目",IF(N($K457)&lt;=0,"★应收金额要填",IF(ROUND(N($N457)-N($K457),2)&gt;0.001,"★开票金额大于应收",IF(AND($L457&lt;&gt;"",N($N457)&lt;=0),"★填了开票日期没填开票金额",IF(AND($I457&lt;&gt;"",$J457&lt;&gt;"",$J457&lt;$I457),"★计费期间起止反了","OK")))))))</f>
        <v/>
      </c>
      <c r="U457" s="29" t="str">
        <f aca="false">IF($L457="","",YEAR($L457))</f>
        <v/>
      </c>
      <c r="V457" s="40" t="str">
        <f aca="false">IF($C457="","",ROUND(SUMIF(收款关联,$B457,收款金额),2))</f>
        <v/>
      </c>
      <c r="W457" s="40" t="str">
        <f aca="false">IF($C457="","",MAX(0,ROUND(N($K457)-N($V457),2)))</f>
        <v/>
      </c>
      <c r="X457" s="40" t="str">
        <f aca="false">IF($C457="","",ROUND(SUMIFS(应收净额,应收键,$D457,应收行号,"&lt;="&amp;ROW()),2))</f>
        <v/>
      </c>
      <c r="Y457" s="29" t="str">
        <f aca="false">IF($C457="","",ROW())</f>
        <v/>
      </c>
    </row>
    <row r="458" customFormat="false" ht="15" hidden="false" customHeight="false" outlineLevel="0" collapsed="false">
      <c r="A458" s="29" t="str">
        <f aca="false">IF($C458="","",ROW()-4)</f>
        <v/>
      </c>
      <c r="B458" s="35" t="str">
        <f aca="false">IF($C458="","","YS"&amp;TEXT($C458,"yyyymm")&amp;"-"&amp;TEXT(ROW()-4,"0000"))</f>
        <v/>
      </c>
      <c r="C458" s="33"/>
      <c r="D458" s="24"/>
      <c r="E458" s="30" t="str">
        <f aca="false">IF($D458="","",IFERROR(INDEX(合同单位,MATCH($D458,合同键,0)),IFERROR(TRIM(LEFT($D458,FIND("｜",$D458)-1)),$D458)))</f>
        <v/>
      </c>
      <c r="F458" s="30" t="str">
        <f aca="false">IF($D458="","",IFERROR(INDEX(合同项目,MATCH($D458,合同键,0)),IFERROR(TRIM(MID($D458,FIND("｜",$D458)+1,99)),"")))</f>
        <v/>
      </c>
      <c r="G458" s="24"/>
      <c r="H458" s="35" t="str">
        <f aca="false">IF($G458="","",IFERROR(INDEX(费用款别,MATCH($G458,费用类别表,0)),"合同外款"))</f>
        <v/>
      </c>
      <c r="I458" s="33"/>
      <c r="J458" s="33"/>
      <c r="K458" s="39"/>
      <c r="L458" s="33"/>
      <c r="M458" s="25"/>
      <c r="N458" s="39"/>
      <c r="O458" s="35" t="str">
        <f aca="false">IF($C458="","",IF(N($N458)&lt;=0,"未开票",IF(ROUND(N($N458)-N($K458),2)&gt;=0,"已开票",IFERROR("部分开票 "&amp;TEXT(N($N458)/N($K458),"0%"),"部分开票"))))</f>
        <v/>
      </c>
      <c r="P458" s="40" t="str">
        <f aca="false">IF($C458="","",ROUND($V458+MIN($W458,MAX(0,(SUMIF(收款键,$D458,收款金额)-SUMIFS(收款金额,收款键,$D458,收款关联,"&lt;&gt;"))-($X458-$W458))),2))</f>
        <v/>
      </c>
      <c r="Q458" s="41" t="str">
        <f aca="false">IF($C458="","",ROUND(N($K458)-N($P458),2))</f>
        <v/>
      </c>
      <c r="R458" s="29" t="str">
        <f aca="false">IF($C458="","",YEAR($C458))</f>
        <v/>
      </c>
      <c r="S458" s="24"/>
      <c r="T458" s="35" t="str">
        <f aca="false">IF($C458="","",IF($D458="","★没选客户项目",IF(COUNTIF(合同键,$D458)=0,"★《维保合同》里没这个项目",IF(N($K458)&lt;=0,"★应收金额要填",IF(ROUND(N($N458)-N($K458),2)&gt;0.001,"★开票金额大于应收",IF(AND($L458&lt;&gt;"",N($N458)&lt;=0),"★填了开票日期没填开票金额",IF(AND($I458&lt;&gt;"",$J458&lt;&gt;"",$J458&lt;$I458),"★计费期间起止反了","OK")))))))</f>
        <v/>
      </c>
      <c r="U458" s="29" t="str">
        <f aca="false">IF($L458="","",YEAR($L458))</f>
        <v/>
      </c>
      <c r="V458" s="40" t="str">
        <f aca="false">IF($C458="","",ROUND(SUMIF(收款关联,$B458,收款金额),2))</f>
        <v/>
      </c>
      <c r="W458" s="40" t="str">
        <f aca="false">IF($C458="","",MAX(0,ROUND(N($K458)-N($V458),2)))</f>
        <v/>
      </c>
      <c r="X458" s="40" t="str">
        <f aca="false">IF($C458="","",ROUND(SUMIFS(应收净额,应收键,$D458,应收行号,"&lt;="&amp;ROW()),2))</f>
        <v/>
      </c>
      <c r="Y458" s="29" t="str">
        <f aca="false">IF($C458="","",ROW())</f>
        <v/>
      </c>
    </row>
    <row r="459" customFormat="false" ht="15" hidden="false" customHeight="false" outlineLevel="0" collapsed="false">
      <c r="A459" s="29" t="str">
        <f aca="false">IF($C459="","",ROW()-4)</f>
        <v/>
      </c>
      <c r="B459" s="35" t="str">
        <f aca="false">IF($C459="","","YS"&amp;TEXT($C459,"yyyymm")&amp;"-"&amp;TEXT(ROW()-4,"0000"))</f>
        <v/>
      </c>
      <c r="C459" s="33"/>
      <c r="D459" s="24"/>
      <c r="E459" s="30" t="str">
        <f aca="false">IF($D459="","",IFERROR(INDEX(合同单位,MATCH($D459,合同键,0)),IFERROR(TRIM(LEFT($D459,FIND("｜",$D459)-1)),$D459)))</f>
        <v/>
      </c>
      <c r="F459" s="30" t="str">
        <f aca="false">IF($D459="","",IFERROR(INDEX(合同项目,MATCH($D459,合同键,0)),IFERROR(TRIM(MID($D459,FIND("｜",$D459)+1,99)),"")))</f>
        <v/>
      </c>
      <c r="G459" s="24"/>
      <c r="H459" s="35" t="str">
        <f aca="false">IF($G459="","",IFERROR(INDEX(费用款别,MATCH($G459,费用类别表,0)),"合同外款"))</f>
        <v/>
      </c>
      <c r="I459" s="33"/>
      <c r="J459" s="33"/>
      <c r="K459" s="39"/>
      <c r="L459" s="33"/>
      <c r="M459" s="25"/>
      <c r="N459" s="39"/>
      <c r="O459" s="35" t="str">
        <f aca="false">IF($C459="","",IF(N($N459)&lt;=0,"未开票",IF(ROUND(N($N459)-N($K459),2)&gt;=0,"已开票",IFERROR("部分开票 "&amp;TEXT(N($N459)/N($K459),"0%"),"部分开票"))))</f>
        <v/>
      </c>
      <c r="P459" s="40" t="str">
        <f aca="false">IF($C459="","",ROUND($V459+MIN($W459,MAX(0,(SUMIF(收款键,$D459,收款金额)-SUMIFS(收款金额,收款键,$D459,收款关联,"&lt;&gt;"))-($X459-$W459))),2))</f>
        <v/>
      </c>
      <c r="Q459" s="41" t="str">
        <f aca="false">IF($C459="","",ROUND(N($K459)-N($P459),2))</f>
        <v/>
      </c>
      <c r="R459" s="29" t="str">
        <f aca="false">IF($C459="","",YEAR($C459))</f>
        <v/>
      </c>
      <c r="S459" s="24"/>
      <c r="T459" s="35" t="str">
        <f aca="false">IF($C459="","",IF($D459="","★没选客户项目",IF(COUNTIF(合同键,$D459)=0,"★《维保合同》里没这个项目",IF(N($K459)&lt;=0,"★应收金额要填",IF(ROUND(N($N459)-N($K459),2)&gt;0.001,"★开票金额大于应收",IF(AND($L459&lt;&gt;"",N($N459)&lt;=0),"★填了开票日期没填开票金额",IF(AND($I459&lt;&gt;"",$J459&lt;&gt;"",$J459&lt;$I459),"★计费期间起止反了","OK")))))))</f>
        <v/>
      </c>
      <c r="U459" s="29" t="str">
        <f aca="false">IF($L459="","",YEAR($L459))</f>
        <v/>
      </c>
      <c r="V459" s="40" t="str">
        <f aca="false">IF($C459="","",ROUND(SUMIF(收款关联,$B459,收款金额),2))</f>
        <v/>
      </c>
      <c r="W459" s="40" t="str">
        <f aca="false">IF($C459="","",MAX(0,ROUND(N($K459)-N($V459),2)))</f>
        <v/>
      </c>
      <c r="X459" s="40" t="str">
        <f aca="false">IF($C459="","",ROUND(SUMIFS(应收净额,应收键,$D459,应收行号,"&lt;="&amp;ROW()),2))</f>
        <v/>
      </c>
      <c r="Y459" s="29" t="str">
        <f aca="false">IF($C459="","",ROW())</f>
        <v/>
      </c>
    </row>
    <row r="460" customFormat="false" ht="15" hidden="false" customHeight="false" outlineLevel="0" collapsed="false">
      <c r="A460" s="29" t="str">
        <f aca="false">IF($C460="","",ROW()-4)</f>
        <v/>
      </c>
      <c r="B460" s="35" t="str">
        <f aca="false">IF($C460="","","YS"&amp;TEXT($C460,"yyyymm")&amp;"-"&amp;TEXT(ROW()-4,"0000"))</f>
        <v/>
      </c>
      <c r="C460" s="33"/>
      <c r="D460" s="24"/>
      <c r="E460" s="30" t="str">
        <f aca="false">IF($D460="","",IFERROR(INDEX(合同单位,MATCH($D460,合同键,0)),IFERROR(TRIM(LEFT($D460,FIND("｜",$D460)-1)),$D460)))</f>
        <v/>
      </c>
      <c r="F460" s="30" t="str">
        <f aca="false">IF($D460="","",IFERROR(INDEX(合同项目,MATCH($D460,合同键,0)),IFERROR(TRIM(MID($D460,FIND("｜",$D460)+1,99)),"")))</f>
        <v/>
      </c>
      <c r="G460" s="24"/>
      <c r="H460" s="35" t="str">
        <f aca="false">IF($G460="","",IFERROR(INDEX(费用款别,MATCH($G460,费用类别表,0)),"合同外款"))</f>
        <v/>
      </c>
      <c r="I460" s="33"/>
      <c r="J460" s="33"/>
      <c r="K460" s="39"/>
      <c r="L460" s="33"/>
      <c r="M460" s="25"/>
      <c r="N460" s="39"/>
      <c r="O460" s="35" t="str">
        <f aca="false">IF($C460="","",IF(N($N460)&lt;=0,"未开票",IF(ROUND(N($N460)-N($K460),2)&gt;=0,"已开票",IFERROR("部分开票 "&amp;TEXT(N($N460)/N($K460),"0%"),"部分开票"))))</f>
        <v/>
      </c>
      <c r="P460" s="40" t="str">
        <f aca="false">IF($C460="","",ROUND($V460+MIN($W460,MAX(0,(SUMIF(收款键,$D460,收款金额)-SUMIFS(收款金额,收款键,$D460,收款关联,"&lt;&gt;"))-($X460-$W460))),2))</f>
        <v/>
      </c>
      <c r="Q460" s="41" t="str">
        <f aca="false">IF($C460="","",ROUND(N($K460)-N($P460),2))</f>
        <v/>
      </c>
      <c r="R460" s="29" t="str">
        <f aca="false">IF($C460="","",YEAR($C460))</f>
        <v/>
      </c>
      <c r="S460" s="24"/>
      <c r="T460" s="35" t="str">
        <f aca="false">IF($C460="","",IF($D460="","★没选客户项目",IF(COUNTIF(合同键,$D460)=0,"★《维保合同》里没这个项目",IF(N($K460)&lt;=0,"★应收金额要填",IF(ROUND(N($N460)-N($K460),2)&gt;0.001,"★开票金额大于应收",IF(AND($L460&lt;&gt;"",N($N460)&lt;=0),"★填了开票日期没填开票金额",IF(AND($I460&lt;&gt;"",$J460&lt;&gt;"",$J460&lt;$I460),"★计费期间起止反了","OK")))))))</f>
        <v/>
      </c>
      <c r="U460" s="29" t="str">
        <f aca="false">IF($L460="","",YEAR($L460))</f>
        <v/>
      </c>
      <c r="V460" s="40" t="str">
        <f aca="false">IF($C460="","",ROUND(SUMIF(收款关联,$B460,收款金额),2))</f>
        <v/>
      </c>
      <c r="W460" s="40" t="str">
        <f aca="false">IF($C460="","",MAX(0,ROUND(N($K460)-N($V460),2)))</f>
        <v/>
      </c>
      <c r="X460" s="40" t="str">
        <f aca="false">IF($C460="","",ROUND(SUMIFS(应收净额,应收键,$D460,应收行号,"&lt;="&amp;ROW()),2))</f>
        <v/>
      </c>
      <c r="Y460" s="29" t="str">
        <f aca="false">IF($C460="","",ROW())</f>
        <v/>
      </c>
    </row>
    <row r="461" customFormat="false" ht="15" hidden="false" customHeight="false" outlineLevel="0" collapsed="false">
      <c r="A461" s="29" t="str">
        <f aca="false">IF($C461="","",ROW()-4)</f>
        <v/>
      </c>
      <c r="B461" s="35" t="str">
        <f aca="false">IF($C461="","","YS"&amp;TEXT($C461,"yyyymm")&amp;"-"&amp;TEXT(ROW()-4,"0000"))</f>
        <v/>
      </c>
      <c r="C461" s="33"/>
      <c r="D461" s="24"/>
      <c r="E461" s="30" t="str">
        <f aca="false">IF($D461="","",IFERROR(INDEX(合同单位,MATCH($D461,合同键,0)),IFERROR(TRIM(LEFT($D461,FIND("｜",$D461)-1)),$D461)))</f>
        <v/>
      </c>
      <c r="F461" s="30" t="str">
        <f aca="false">IF($D461="","",IFERROR(INDEX(合同项目,MATCH($D461,合同键,0)),IFERROR(TRIM(MID($D461,FIND("｜",$D461)+1,99)),"")))</f>
        <v/>
      </c>
      <c r="G461" s="24"/>
      <c r="H461" s="35" t="str">
        <f aca="false">IF($G461="","",IFERROR(INDEX(费用款别,MATCH($G461,费用类别表,0)),"合同外款"))</f>
        <v/>
      </c>
      <c r="I461" s="33"/>
      <c r="J461" s="33"/>
      <c r="K461" s="39"/>
      <c r="L461" s="33"/>
      <c r="M461" s="25"/>
      <c r="N461" s="39"/>
      <c r="O461" s="35" t="str">
        <f aca="false">IF($C461="","",IF(N($N461)&lt;=0,"未开票",IF(ROUND(N($N461)-N($K461),2)&gt;=0,"已开票",IFERROR("部分开票 "&amp;TEXT(N($N461)/N($K461),"0%"),"部分开票"))))</f>
        <v/>
      </c>
      <c r="P461" s="40" t="str">
        <f aca="false">IF($C461="","",ROUND($V461+MIN($W461,MAX(0,(SUMIF(收款键,$D461,收款金额)-SUMIFS(收款金额,收款键,$D461,收款关联,"&lt;&gt;"))-($X461-$W461))),2))</f>
        <v/>
      </c>
      <c r="Q461" s="41" t="str">
        <f aca="false">IF($C461="","",ROUND(N($K461)-N($P461),2))</f>
        <v/>
      </c>
      <c r="R461" s="29" t="str">
        <f aca="false">IF($C461="","",YEAR($C461))</f>
        <v/>
      </c>
      <c r="S461" s="24"/>
      <c r="T461" s="35" t="str">
        <f aca="false">IF($C461="","",IF($D461="","★没选客户项目",IF(COUNTIF(合同键,$D461)=0,"★《维保合同》里没这个项目",IF(N($K461)&lt;=0,"★应收金额要填",IF(ROUND(N($N461)-N($K461),2)&gt;0.001,"★开票金额大于应收",IF(AND($L461&lt;&gt;"",N($N461)&lt;=0),"★填了开票日期没填开票金额",IF(AND($I461&lt;&gt;"",$J461&lt;&gt;"",$J461&lt;$I461),"★计费期间起止反了","OK")))))))</f>
        <v/>
      </c>
      <c r="U461" s="29" t="str">
        <f aca="false">IF($L461="","",YEAR($L461))</f>
        <v/>
      </c>
      <c r="V461" s="40" t="str">
        <f aca="false">IF($C461="","",ROUND(SUMIF(收款关联,$B461,收款金额),2))</f>
        <v/>
      </c>
      <c r="W461" s="40" t="str">
        <f aca="false">IF($C461="","",MAX(0,ROUND(N($K461)-N($V461),2)))</f>
        <v/>
      </c>
      <c r="X461" s="40" t="str">
        <f aca="false">IF($C461="","",ROUND(SUMIFS(应收净额,应收键,$D461,应收行号,"&lt;="&amp;ROW()),2))</f>
        <v/>
      </c>
      <c r="Y461" s="29" t="str">
        <f aca="false">IF($C461="","",ROW())</f>
        <v/>
      </c>
    </row>
    <row r="462" customFormat="false" ht="15" hidden="false" customHeight="false" outlineLevel="0" collapsed="false">
      <c r="A462" s="29" t="str">
        <f aca="false">IF($C462="","",ROW()-4)</f>
        <v/>
      </c>
      <c r="B462" s="35" t="str">
        <f aca="false">IF($C462="","","YS"&amp;TEXT($C462,"yyyymm")&amp;"-"&amp;TEXT(ROW()-4,"0000"))</f>
        <v/>
      </c>
      <c r="C462" s="33"/>
      <c r="D462" s="24"/>
      <c r="E462" s="30" t="str">
        <f aca="false">IF($D462="","",IFERROR(INDEX(合同单位,MATCH($D462,合同键,0)),IFERROR(TRIM(LEFT($D462,FIND("｜",$D462)-1)),$D462)))</f>
        <v/>
      </c>
      <c r="F462" s="30" t="str">
        <f aca="false">IF($D462="","",IFERROR(INDEX(合同项目,MATCH($D462,合同键,0)),IFERROR(TRIM(MID($D462,FIND("｜",$D462)+1,99)),"")))</f>
        <v/>
      </c>
      <c r="G462" s="24"/>
      <c r="H462" s="35" t="str">
        <f aca="false">IF($G462="","",IFERROR(INDEX(费用款别,MATCH($G462,费用类别表,0)),"合同外款"))</f>
        <v/>
      </c>
      <c r="I462" s="33"/>
      <c r="J462" s="33"/>
      <c r="K462" s="39"/>
      <c r="L462" s="33"/>
      <c r="M462" s="25"/>
      <c r="N462" s="39"/>
      <c r="O462" s="35" t="str">
        <f aca="false">IF($C462="","",IF(N($N462)&lt;=0,"未开票",IF(ROUND(N($N462)-N($K462),2)&gt;=0,"已开票",IFERROR("部分开票 "&amp;TEXT(N($N462)/N($K462),"0%"),"部分开票"))))</f>
        <v/>
      </c>
      <c r="P462" s="40" t="str">
        <f aca="false">IF($C462="","",ROUND($V462+MIN($W462,MAX(0,(SUMIF(收款键,$D462,收款金额)-SUMIFS(收款金额,收款键,$D462,收款关联,"&lt;&gt;"))-($X462-$W462))),2))</f>
        <v/>
      </c>
      <c r="Q462" s="41" t="str">
        <f aca="false">IF($C462="","",ROUND(N($K462)-N($P462),2))</f>
        <v/>
      </c>
      <c r="R462" s="29" t="str">
        <f aca="false">IF($C462="","",YEAR($C462))</f>
        <v/>
      </c>
      <c r="S462" s="24"/>
      <c r="T462" s="35" t="str">
        <f aca="false">IF($C462="","",IF($D462="","★没选客户项目",IF(COUNTIF(合同键,$D462)=0,"★《维保合同》里没这个项目",IF(N($K462)&lt;=0,"★应收金额要填",IF(ROUND(N($N462)-N($K462),2)&gt;0.001,"★开票金额大于应收",IF(AND($L462&lt;&gt;"",N($N462)&lt;=0),"★填了开票日期没填开票金额",IF(AND($I462&lt;&gt;"",$J462&lt;&gt;"",$J462&lt;$I462),"★计费期间起止反了","OK")))))))</f>
        <v/>
      </c>
      <c r="U462" s="29" t="str">
        <f aca="false">IF($L462="","",YEAR($L462))</f>
        <v/>
      </c>
      <c r="V462" s="40" t="str">
        <f aca="false">IF($C462="","",ROUND(SUMIF(收款关联,$B462,收款金额),2))</f>
        <v/>
      </c>
      <c r="W462" s="40" t="str">
        <f aca="false">IF($C462="","",MAX(0,ROUND(N($K462)-N($V462),2)))</f>
        <v/>
      </c>
      <c r="X462" s="40" t="str">
        <f aca="false">IF($C462="","",ROUND(SUMIFS(应收净额,应收键,$D462,应收行号,"&lt;="&amp;ROW()),2))</f>
        <v/>
      </c>
      <c r="Y462" s="29" t="str">
        <f aca="false">IF($C462="","",ROW())</f>
        <v/>
      </c>
    </row>
    <row r="463" customFormat="false" ht="15" hidden="false" customHeight="false" outlineLevel="0" collapsed="false">
      <c r="A463" s="29" t="str">
        <f aca="false">IF($C463="","",ROW()-4)</f>
        <v/>
      </c>
      <c r="B463" s="35" t="str">
        <f aca="false">IF($C463="","","YS"&amp;TEXT($C463,"yyyymm")&amp;"-"&amp;TEXT(ROW()-4,"0000"))</f>
        <v/>
      </c>
      <c r="C463" s="33"/>
      <c r="D463" s="24"/>
      <c r="E463" s="30" t="str">
        <f aca="false">IF($D463="","",IFERROR(INDEX(合同单位,MATCH($D463,合同键,0)),IFERROR(TRIM(LEFT($D463,FIND("｜",$D463)-1)),$D463)))</f>
        <v/>
      </c>
      <c r="F463" s="30" t="str">
        <f aca="false">IF($D463="","",IFERROR(INDEX(合同项目,MATCH($D463,合同键,0)),IFERROR(TRIM(MID($D463,FIND("｜",$D463)+1,99)),"")))</f>
        <v/>
      </c>
      <c r="G463" s="24"/>
      <c r="H463" s="35" t="str">
        <f aca="false">IF($G463="","",IFERROR(INDEX(费用款别,MATCH($G463,费用类别表,0)),"合同外款"))</f>
        <v/>
      </c>
      <c r="I463" s="33"/>
      <c r="J463" s="33"/>
      <c r="K463" s="39"/>
      <c r="L463" s="33"/>
      <c r="M463" s="25"/>
      <c r="N463" s="39"/>
      <c r="O463" s="35" t="str">
        <f aca="false">IF($C463="","",IF(N($N463)&lt;=0,"未开票",IF(ROUND(N($N463)-N($K463),2)&gt;=0,"已开票",IFERROR("部分开票 "&amp;TEXT(N($N463)/N($K463),"0%"),"部分开票"))))</f>
        <v/>
      </c>
      <c r="P463" s="40" t="str">
        <f aca="false">IF($C463="","",ROUND($V463+MIN($W463,MAX(0,(SUMIF(收款键,$D463,收款金额)-SUMIFS(收款金额,收款键,$D463,收款关联,"&lt;&gt;"))-($X463-$W463))),2))</f>
        <v/>
      </c>
      <c r="Q463" s="41" t="str">
        <f aca="false">IF($C463="","",ROUND(N($K463)-N($P463),2))</f>
        <v/>
      </c>
      <c r="R463" s="29" t="str">
        <f aca="false">IF($C463="","",YEAR($C463))</f>
        <v/>
      </c>
      <c r="S463" s="24"/>
      <c r="T463" s="35" t="str">
        <f aca="false">IF($C463="","",IF($D463="","★没选客户项目",IF(COUNTIF(合同键,$D463)=0,"★《维保合同》里没这个项目",IF(N($K463)&lt;=0,"★应收金额要填",IF(ROUND(N($N463)-N($K463),2)&gt;0.001,"★开票金额大于应收",IF(AND($L463&lt;&gt;"",N($N463)&lt;=0),"★填了开票日期没填开票金额",IF(AND($I463&lt;&gt;"",$J463&lt;&gt;"",$J463&lt;$I463),"★计费期间起止反了","OK")))))))</f>
        <v/>
      </c>
      <c r="U463" s="29" t="str">
        <f aca="false">IF($L463="","",YEAR($L463))</f>
        <v/>
      </c>
      <c r="V463" s="40" t="str">
        <f aca="false">IF($C463="","",ROUND(SUMIF(收款关联,$B463,收款金额),2))</f>
        <v/>
      </c>
      <c r="W463" s="40" t="str">
        <f aca="false">IF($C463="","",MAX(0,ROUND(N($K463)-N($V463),2)))</f>
        <v/>
      </c>
      <c r="X463" s="40" t="str">
        <f aca="false">IF($C463="","",ROUND(SUMIFS(应收净额,应收键,$D463,应收行号,"&lt;="&amp;ROW()),2))</f>
        <v/>
      </c>
      <c r="Y463" s="29" t="str">
        <f aca="false">IF($C463="","",ROW())</f>
        <v/>
      </c>
    </row>
    <row r="464" customFormat="false" ht="15" hidden="false" customHeight="false" outlineLevel="0" collapsed="false">
      <c r="A464" s="29" t="str">
        <f aca="false">IF($C464="","",ROW()-4)</f>
        <v/>
      </c>
      <c r="B464" s="35" t="str">
        <f aca="false">IF($C464="","","YS"&amp;TEXT($C464,"yyyymm")&amp;"-"&amp;TEXT(ROW()-4,"0000"))</f>
        <v/>
      </c>
      <c r="C464" s="33"/>
      <c r="D464" s="24"/>
      <c r="E464" s="30" t="str">
        <f aca="false">IF($D464="","",IFERROR(INDEX(合同单位,MATCH($D464,合同键,0)),IFERROR(TRIM(LEFT($D464,FIND("｜",$D464)-1)),$D464)))</f>
        <v/>
      </c>
      <c r="F464" s="30" t="str">
        <f aca="false">IF($D464="","",IFERROR(INDEX(合同项目,MATCH($D464,合同键,0)),IFERROR(TRIM(MID($D464,FIND("｜",$D464)+1,99)),"")))</f>
        <v/>
      </c>
      <c r="G464" s="24"/>
      <c r="H464" s="35" t="str">
        <f aca="false">IF($G464="","",IFERROR(INDEX(费用款别,MATCH($G464,费用类别表,0)),"合同外款"))</f>
        <v/>
      </c>
      <c r="I464" s="33"/>
      <c r="J464" s="33"/>
      <c r="K464" s="39"/>
      <c r="L464" s="33"/>
      <c r="M464" s="25"/>
      <c r="N464" s="39"/>
      <c r="O464" s="35" t="str">
        <f aca="false">IF($C464="","",IF(N($N464)&lt;=0,"未开票",IF(ROUND(N($N464)-N($K464),2)&gt;=0,"已开票",IFERROR("部分开票 "&amp;TEXT(N($N464)/N($K464),"0%"),"部分开票"))))</f>
        <v/>
      </c>
      <c r="P464" s="40" t="str">
        <f aca="false">IF($C464="","",ROUND($V464+MIN($W464,MAX(0,(SUMIF(收款键,$D464,收款金额)-SUMIFS(收款金额,收款键,$D464,收款关联,"&lt;&gt;"))-($X464-$W464))),2))</f>
        <v/>
      </c>
      <c r="Q464" s="41" t="str">
        <f aca="false">IF($C464="","",ROUND(N($K464)-N($P464),2))</f>
        <v/>
      </c>
      <c r="R464" s="29" t="str">
        <f aca="false">IF($C464="","",YEAR($C464))</f>
        <v/>
      </c>
      <c r="S464" s="24"/>
      <c r="T464" s="35" t="str">
        <f aca="false">IF($C464="","",IF($D464="","★没选客户项目",IF(COUNTIF(合同键,$D464)=0,"★《维保合同》里没这个项目",IF(N($K464)&lt;=0,"★应收金额要填",IF(ROUND(N($N464)-N($K464),2)&gt;0.001,"★开票金额大于应收",IF(AND($L464&lt;&gt;"",N($N464)&lt;=0),"★填了开票日期没填开票金额",IF(AND($I464&lt;&gt;"",$J464&lt;&gt;"",$J464&lt;$I464),"★计费期间起止反了","OK")))))))</f>
        <v/>
      </c>
      <c r="U464" s="29" t="str">
        <f aca="false">IF($L464="","",YEAR($L464))</f>
        <v/>
      </c>
      <c r="V464" s="40" t="str">
        <f aca="false">IF($C464="","",ROUND(SUMIF(收款关联,$B464,收款金额),2))</f>
        <v/>
      </c>
      <c r="W464" s="40" t="str">
        <f aca="false">IF($C464="","",MAX(0,ROUND(N($K464)-N($V464),2)))</f>
        <v/>
      </c>
      <c r="X464" s="40" t="str">
        <f aca="false">IF($C464="","",ROUND(SUMIFS(应收净额,应收键,$D464,应收行号,"&lt;="&amp;ROW()),2))</f>
        <v/>
      </c>
      <c r="Y464" s="29" t="str">
        <f aca="false">IF($C464="","",ROW())</f>
        <v/>
      </c>
    </row>
    <row r="465" customFormat="false" ht="15" hidden="false" customHeight="false" outlineLevel="0" collapsed="false">
      <c r="A465" s="29" t="str">
        <f aca="false">IF($C465="","",ROW()-4)</f>
        <v/>
      </c>
      <c r="B465" s="35" t="str">
        <f aca="false">IF($C465="","","YS"&amp;TEXT($C465,"yyyymm")&amp;"-"&amp;TEXT(ROW()-4,"0000"))</f>
        <v/>
      </c>
      <c r="C465" s="33"/>
      <c r="D465" s="24"/>
      <c r="E465" s="30" t="str">
        <f aca="false">IF($D465="","",IFERROR(INDEX(合同单位,MATCH($D465,合同键,0)),IFERROR(TRIM(LEFT($D465,FIND("｜",$D465)-1)),$D465)))</f>
        <v/>
      </c>
      <c r="F465" s="30" t="str">
        <f aca="false">IF($D465="","",IFERROR(INDEX(合同项目,MATCH($D465,合同键,0)),IFERROR(TRIM(MID($D465,FIND("｜",$D465)+1,99)),"")))</f>
        <v/>
      </c>
      <c r="G465" s="24"/>
      <c r="H465" s="35" t="str">
        <f aca="false">IF($G465="","",IFERROR(INDEX(费用款别,MATCH($G465,费用类别表,0)),"合同外款"))</f>
        <v/>
      </c>
      <c r="I465" s="33"/>
      <c r="J465" s="33"/>
      <c r="K465" s="39"/>
      <c r="L465" s="33"/>
      <c r="M465" s="25"/>
      <c r="N465" s="39"/>
      <c r="O465" s="35" t="str">
        <f aca="false">IF($C465="","",IF(N($N465)&lt;=0,"未开票",IF(ROUND(N($N465)-N($K465),2)&gt;=0,"已开票",IFERROR("部分开票 "&amp;TEXT(N($N465)/N($K465),"0%"),"部分开票"))))</f>
        <v/>
      </c>
      <c r="P465" s="40" t="str">
        <f aca="false">IF($C465="","",ROUND($V465+MIN($W465,MAX(0,(SUMIF(收款键,$D465,收款金额)-SUMIFS(收款金额,收款键,$D465,收款关联,"&lt;&gt;"))-($X465-$W465))),2))</f>
        <v/>
      </c>
      <c r="Q465" s="41" t="str">
        <f aca="false">IF($C465="","",ROUND(N($K465)-N($P465),2))</f>
        <v/>
      </c>
      <c r="R465" s="29" t="str">
        <f aca="false">IF($C465="","",YEAR($C465))</f>
        <v/>
      </c>
      <c r="S465" s="24"/>
      <c r="T465" s="35" t="str">
        <f aca="false">IF($C465="","",IF($D465="","★没选客户项目",IF(COUNTIF(合同键,$D465)=0,"★《维保合同》里没这个项目",IF(N($K465)&lt;=0,"★应收金额要填",IF(ROUND(N($N465)-N($K465),2)&gt;0.001,"★开票金额大于应收",IF(AND($L465&lt;&gt;"",N($N465)&lt;=0),"★填了开票日期没填开票金额",IF(AND($I465&lt;&gt;"",$J465&lt;&gt;"",$J465&lt;$I465),"★计费期间起止反了","OK")))))))</f>
        <v/>
      </c>
      <c r="U465" s="29" t="str">
        <f aca="false">IF($L465="","",YEAR($L465))</f>
        <v/>
      </c>
      <c r="V465" s="40" t="str">
        <f aca="false">IF($C465="","",ROUND(SUMIF(收款关联,$B465,收款金额),2))</f>
        <v/>
      </c>
      <c r="W465" s="40" t="str">
        <f aca="false">IF($C465="","",MAX(0,ROUND(N($K465)-N($V465),2)))</f>
        <v/>
      </c>
      <c r="X465" s="40" t="str">
        <f aca="false">IF($C465="","",ROUND(SUMIFS(应收净额,应收键,$D465,应收行号,"&lt;="&amp;ROW()),2))</f>
        <v/>
      </c>
      <c r="Y465" s="29" t="str">
        <f aca="false">IF($C465="","",ROW())</f>
        <v/>
      </c>
    </row>
    <row r="466" customFormat="false" ht="15" hidden="false" customHeight="false" outlineLevel="0" collapsed="false">
      <c r="A466" s="29" t="str">
        <f aca="false">IF($C466="","",ROW()-4)</f>
        <v/>
      </c>
      <c r="B466" s="35" t="str">
        <f aca="false">IF($C466="","","YS"&amp;TEXT($C466,"yyyymm")&amp;"-"&amp;TEXT(ROW()-4,"0000"))</f>
        <v/>
      </c>
      <c r="C466" s="33"/>
      <c r="D466" s="24"/>
      <c r="E466" s="30" t="str">
        <f aca="false">IF($D466="","",IFERROR(INDEX(合同单位,MATCH($D466,合同键,0)),IFERROR(TRIM(LEFT($D466,FIND("｜",$D466)-1)),$D466)))</f>
        <v/>
      </c>
      <c r="F466" s="30" t="str">
        <f aca="false">IF($D466="","",IFERROR(INDEX(合同项目,MATCH($D466,合同键,0)),IFERROR(TRIM(MID($D466,FIND("｜",$D466)+1,99)),"")))</f>
        <v/>
      </c>
      <c r="G466" s="24"/>
      <c r="H466" s="35" t="str">
        <f aca="false">IF($G466="","",IFERROR(INDEX(费用款别,MATCH($G466,费用类别表,0)),"合同外款"))</f>
        <v/>
      </c>
      <c r="I466" s="33"/>
      <c r="J466" s="33"/>
      <c r="K466" s="39"/>
      <c r="L466" s="33"/>
      <c r="M466" s="25"/>
      <c r="N466" s="39"/>
      <c r="O466" s="35" t="str">
        <f aca="false">IF($C466="","",IF(N($N466)&lt;=0,"未开票",IF(ROUND(N($N466)-N($K466),2)&gt;=0,"已开票",IFERROR("部分开票 "&amp;TEXT(N($N466)/N($K466),"0%"),"部分开票"))))</f>
        <v/>
      </c>
      <c r="P466" s="40" t="str">
        <f aca="false">IF($C466="","",ROUND($V466+MIN($W466,MAX(0,(SUMIF(收款键,$D466,收款金额)-SUMIFS(收款金额,收款键,$D466,收款关联,"&lt;&gt;"))-($X466-$W466))),2))</f>
        <v/>
      </c>
      <c r="Q466" s="41" t="str">
        <f aca="false">IF($C466="","",ROUND(N($K466)-N($P466),2))</f>
        <v/>
      </c>
      <c r="R466" s="29" t="str">
        <f aca="false">IF($C466="","",YEAR($C466))</f>
        <v/>
      </c>
      <c r="S466" s="24"/>
      <c r="T466" s="35" t="str">
        <f aca="false">IF($C466="","",IF($D466="","★没选客户项目",IF(COUNTIF(合同键,$D466)=0,"★《维保合同》里没这个项目",IF(N($K466)&lt;=0,"★应收金额要填",IF(ROUND(N($N466)-N($K466),2)&gt;0.001,"★开票金额大于应收",IF(AND($L466&lt;&gt;"",N($N466)&lt;=0),"★填了开票日期没填开票金额",IF(AND($I466&lt;&gt;"",$J466&lt;&gt;"",$J466&lt;$I466),"★计费期间起止反了","OK")))))))</f>
        <v/>
      </c>
      <c r="U466" s="29" t="str">
        <f aca="false">IF($L466="","",YEAR($L466))</f>
        <v/>
      </c>
      <c r="V466" s="40" t="str">
        <f aca="false">IF($C466="","",ROUND(SUMIF(收款关联,$B466,收款金额),2))</f>
        <v/>
      </c>
      <c r="W466" s="40" t="str">
        <f aca="false">IF($C466="","",MAX(0,ROUND(N($K466)-N($V466),2)))</f>
        <v/>
      </c>
      <c r="X466" s="40" t="str">
        <f aca="false">IF($C466="","",ROUND(SUMIFS(应收净额,应收键,$D466,应收行号,"&lt;="&amp;ROW()),2))</f>
        <v/>
      </c>
      <c r="Y466" s="29" t="str">
        <f aca="false">IF($C466="","",ROW())</f>
        <v/>
      </c>
    </row>
    <row r="467" customFormat="false" ht="15" hidden="false" customHeight="false" outlineLevel="0" collapsed="false">
      <c r="A467" s="29" t="str">
        <f aca="false">IF($C467="","",ROW()-4)</f>
        <v/>
      </c>
      <c r="B467" s="35" t="str">
        <f aca="false">IF($C467="","","YS"&amp;TEXT($C467,"yyyymm")&amp;"-"&amp;TEXT(ROW()-4,"0000"))</f>
        <v/>
      </c>
      <c r="C467" s="33"/>
      <c r="D467" s="24"/>
      <c r="E467" s="30" t="str">
        <f aca="false">IF($D467="","",IFERROR(INDEX(合同单位,MATCH($D467,合同键,0)),IFERROR(TRIM(LEFT($D467,FIND("｜",$D467)-1)),$D467)))</f>
        <v/>
      </c>
      <c r="F467" s="30" t="str">
        <f aca="false">IF($D467="","",IFERROR(INDEX(合同项目,MATCH($D467,合同键,0)),IFERROR(TRIM(MID($D467,FIND("｜",$D467)+1,99)),"")))</f>
        <v/>
      </c>
      <c r="G467" s="24"/>
      <c r="H467" s="35" t="str">
        <f aca="false">IF($G467="","",IFERROR(INDEX(费用款别,MATCH($G467,费用类别表,0)),"合同外款"))</f>
        <v/>
      </c>
      <c r="I467" s="33"/>
      <c r="J467" s="33"/>
      <c r="K467" s="39"/>
      <c r="L467" s="33"/>
      <c r="M467" s="25"/>
      <c r="N467" s="39"/>
      <c r="O467" s="35" t="str">
        <f aca="false">IF($C467="","",IF(N($N467)&lt;=0,"未开票",IF(ROUND(N($N467)-N($K467),2)&gt;=0,"已开票",IFERROR("部分开票 "&amp;TEXT(N($N467)/N($K467),"0%"),"部分开票"))))</f>
        <v/>
      </c>
      <c r="P467" s="40" t="str">
        <f aca="false">IF($C467="","",ROUND($V467+MIN($W467,MAX(0,(SUMIF(收款键,$D467,收款金额)-SUMIFS(收款金额,收款键,$D467,收款关联,"&lt;&gt;"))-($X467-$W467))),2))</f>
        <v/>
      </c>
      <c r="Q467" s="41" t="str">
        <f aca="false">IF($C467="","",ROUND(N($K467)-N($P467),2))</f>
        <v/>
      </c>
      <c r="R467" s="29" t="str">
        <f aca="false">IF($C467="","",YEAR($C467))</f>
        <v/>
      </c>
      <c r="S467" s="24"/>
      <c r="T467" s="35" t="str">
        <f aca="false">IF($C467="","",IF($D467="","★没选客户项目",IF(COUNTIF(合同键,$D467)=0,"★《维保合同》里没这个项目",IF(N($K467)&lt;=0,"★应收金额要填",IF(ROUND(N($N467)-N($K467),2)&gt;0.001,"★开票金额大于应收",IF(AND($L467&lt;&gt;"",N($N467)&lt;=0),"★填了开票日期没填开票金额",IF(AND($I467&lt;&gt;"",$J467&lt;&gt;"",$J467&lt;$I467),"★计费期间起止反了","OK")))))))</f>
        <v/>
      </c>
      <c r="U467" s="29" t="str">
        <f aca="false">IF($L467="","",YEAR($L467))</f>
        <v/>
      </c>
      <c r="V467" s="40" t="str">
        <f aca="false">IF($C467="","",ROUND(SUMIF(收款关联,$B467,收款金额),2))</f>
        <v/>
      </c>
      <c r="W467" s="40" t="str">
        <f aca="false">IF($C467="","",MAX(0,ROUND(N($K467)-N($V467),2)))</f>
        <v/>
      </c>
      <c r="X467" s="40" t="str">
        <f aca="false">IF($C467="","",ROUND(SUMIFS(应收净额,应收键,$D467,应收行号,"&lt;="&amp;ROW()),2))</f>
        <v/>
      </c>
      <c r="Y467" s="29" t="str">
        <f aca="false">IF($C467="","",ROW())</f>
        <v/>
      </c>
    </row>
    <row r="468" customFormat="false" ht="15" hidden="false" customHeight="false" outlineLevel="0" collapsed="false">
      <c r="A468" s="29" t="str">
        <f aca="false">IF($C468="","",ROW()-4)</f>
        <v/>
      </c>
      <c r="B468" s="35" t="str">
        <f aca="false">IF($C468="","","YS"&amp;TEXT($C468,"yyyymm")&amp;"-"&amp;TEXT(ROW()-4,"0000"))</f>
        <v/>
      </c>
      <c r="C468" s="33"/>
      <c r="D468" s="24"/>
      <c r="E468" s="30" t="str">
        <f aca="false">IF($D468="","",IFERROR(INDEX(合同单位,MATCH($D468,合同键,0)),IFERROR(TRIM(LEFT($D468,FIND("｜",$D468)-1)),$D468)))</f>
        <v/>
      </c>
      <c r="F468" s="30" t="str">
        <f aca="false">IF($D468="","",IFERROR(INDEX(合同项目,MATCH($D468,合同键,0)),IFERROR(TRIM(MID($D468,FIND("｜",$D468)+1,99)),"")))</f>
        <v/>
      </c>
      <c r="G468" s="24"/>
      <c r="H468" s="35" t="str">
        <f aca="false">IF($G468="","",IFERROR(INDEX(费用款别,MATCH($G468,费用类别表,0)),"合同外款"))</f>
        <v/>
      </c>
      <c r="I468" s="33"/>
      <c r="J468" s="33"/>
      <c r="K468" s="39"/>
      <c r="L468" s="33"/>
      <c r="M468" s="25"/>
      <c r="N468" s="39"/>
      <c r="O468" s="35" t="str">
        <f aca="false">IF($C468="","",IF(N($N468)&lt;=0,"未开票",IF(ROUND(N($N468)-N($K468),2)&gt;=0,"已开票",IFERROR("部分开票 "&amp;TEXT(N($N468)/N($K468),"0%"),"部分开票"))))</f>
        <v/>
      </c>
      <c r="P468" s="40" t="str">
        <f aca="false">IF($C468="","",ROUND($V468+MIN($W468,MAX(0,(SUMIF(收款键,$D468,收款金额)-SUMIFS(收款金额,收款键,$D468,收款关联,"&lt;&gt;"))-($X468-$W468))),2))</f>
        <v/>
      </c>
      <c r="Q468" s="41" t="str">
        <f aca="false">IF($C468="","",ROUND(N($K468)-N($P468),2))</f>
        <v/>
      </c>
      <c r="R468" s="29" t="str">
        <f aca="false">IF($C468="","",YEAR($C468))</f>
        <v/>
      </c>
      <c r="S468" s="24"/>
      <c r="T468" s="35" t="str">
        <f aca="false">IF($C468="","",IF($D468="","★没选客户项目",IF(COUNTIF(合同键,$D468)=0,"★《维保合同》里没这个项目",IF(N($K468)&lt;=0,"★应收金额要填",IF(ROUND(N($N468)-N($K468),2)&gt;0.001,"★开票金额大于应收",IF(AND($L468&lt;&gt;"",N($N468)&lt;=0),"★填了开票日期没填开票金额",IF(AND($I468&lt;&gt;"",$J468&lt;&gt;"",$J468&lt;$I468),"★计费期间起止反了","OK")))))))</f>
        <v/>
      </c>
      <c r="U468" s="29" t="str">
        <f aca="false">IF($L468="","",YEAR($L468))</f>
        <v/>
      </c>
      <c r="V468" s="40" t="str">
        <f aca="false">IF($C468="","",ROUND(SUMIF(收款关联,$B468,收款金额),2))</f>
        <v/>
      </c>
      <c r="W468" s="40" t="str">
        <f aca="false">IF($C468="","",MAX(0,ROUND(N($K468)-N($V468),2)))</f>
        <v/>
      </c>
      <c r="X468" s="40" t="str">
        <f aca="false">IF($C468="","",ROUND(SUMIFS(应收净额,应收键,$D468,应收行号,"&lt;="&amp;ROW()),2))</f>
        <v/>
      </c>
      <c r="Y468" s="29" t="str">
        <f aca="false">IF($C468="","",ROW())</f>
        <v/>
      </c>
    </row>
    <row r="469" customFormat="false" ht="15" hidden="false" customHeight="false" outlineLevel="0" collapsed="false">
      <c r="A469" s="29" t="str">
        <f aca="false">IF($C469="","",ROW()-4)</f>
        <v/>
      </c>
      <c r="B469" s="35" t="str">
        <f aca="false">IF($C469="","","YS"&amp;TEXT($C469,"yyyymm")&amp;"-"&amp;TEXT(ROW()-4,"0000"))</f>
        <v/>
      </c>
      <c r="C469" s="33"/>
      <c r="D469" s="24"/>
      <c r="E469" s="30" t="str">
        <f aca="false">IF($D469="","",IFERROR(INDEX(合同单位,MATCH($D469,合同键,0)),IFERROR(TRIM(LEFT($D469,FIND("｜",$D469)-1)),$D469)))</f>
        <v/>
      </c>
      <c r="F469" s="30" t="str">
        <f aca="false">IF($D469="","",IFERROR(INDEX(合同项目,MATCH($D469,合同键,0)),IFERROR(TRIM(MID($D469,FIND("｜",$D469)+1,99)),"")))</f>
        <v/>
      </c>
      <c r="G469" s="24"/>
      <c r="H469" s="35" t="str">
        <f aca="false">IF($G469="","",IFERROR(INDEX(费用款别,MATCH($G469,费用类别表,0)),"合同外款"))</f>
        <v/>
      </c>
      <c r="I469" s="33"/>
      <c r="J469" s="33"/>
      <c r="K469" s="39"/>
      <c r="L469" s="33"/>
      <c r="M469" s="25"/>
      <c r="N469" s="39"/>
      <c r="O469" s="35" t="str">
        <f aca="false">IF($C469="","",IF(N($N469)&lt;=0,"未开票",IF(ROUND(N($N469)-N($K469),2)&gt;=0,"已开票",IFERROR("部分开票 "&amp;TEXT(N($N469)/N($K469),"0%"),"部分开票"))))</f>
        <v/>
      </c>
      <c r="P469" s="40" t="str">
        <f aca="false">IF($C469="","",ROUND($V469+MIN($W469,MAX(0,(SUMIF(收款键,$D469,收款金额)-SUMIFS(收款金额,收款键,$D469,收款关联,"&lt;&gt;"))-($X469-$W469))),2))</f>
        <v/>
      </c>
      <c r="Q469" s="41" t="str">
        <f aca="false">IF($C469="","",ROUND(N($K469)-N($P469),2))</f>
        <v/>
      </c>
      <c r="R469" s="29" t="str">
        <f aca="false">IF($C469="","",YEAR($C469))</f>
        <v/>
      </c>
      <c r="S469" s="24"/>
      <c r="T469" s="35" t="str">
        <f aca="false">IF($C469="","",IF($D469="","★没选客户项目",IF(COUNTIF(合同键,$D469)=0,"★《维保合同》里没这个项目",IF(N($K469)&lt;=0,"★应收金额要填",IF(ROUND(N($N469)-N($K469),2)&gt;0.001,"★开票金额大于应收",IF(AND($L469&lt;&gt;"",N($N469)&lt;=0),"★填了开票日期没填开票金额",IF(AND($I469&lt;&gt;"",$J469&lt;&gt;"",$J469&lt;$I469),"★计费期间起止反了","OK")))))))</f>
        <v/>
      </c>
      <c r="U469" s="29" t="str">
        <f aca="false">IF($L469="","",YEAR($L469))</f>
        <v/>
      </c>
      <c r="V469" s="40" t="str">
        <f aca="false">IF($C469="","",ROUND(SUMIF(收款关联,$B469,收款金额),2))</f>
        <v/>
      </c>
      <c r="W469" s="40" t="str">
        <f aca="false">IF($C469="","",MAX(0,ROUND(N($K469)-N($V469),2)))</f>
        <v/>
      </c>
      <c r="X469" s="40" t="str">
        <f aca="false">IF($C469="","",ROUND(SUMIFS(应收净额,应收键,$D469,应收行号,"&lt;="&amp;ROW()),2))</f>
        <v/>
      </c>
      <c r="Y469" s="29" t="str">
        <f aca="false">IF($C469="","",ROW())</f>
        <v/>
      </c>
    </row>
    <row r="470" customFormat="false" ht="15" hidden="false" customHeight="false" outlineLevel="0" collapsed="false">
      <c r="A470" s="29" t="str">
        <f aca="false">IF($C470="","",ROW()-4)</f>
        <v/>
      </c>
      <c r="B470" s="35" t="str">
        <f aca="false">IF($C470="","","YS"&amp;TEXT($C470,"yyyymm")&amp;"-"&amp;TEXT(ROW()-4,"0000"))</f>
        <v/>
      </c>
      <c r="C470" s="33"/>
      <c r="D470" s="24"/>
      <c r="E470" s="30" t="str">
        <f aca="false">IF($D470="","",IFERROR(INDEX(合同单位,MATCH($D470,合同键,0)),IFERROR(TRIM(LEFT($D470,FIND("｜",$D470)-1)),$D470)))</f>
        <v/>
      </c>
      <c r="F470" s="30" t="str">
        <f aca="false">IF($D470="","",IFERROR(INDEX(合同项目,MATCH($D470,合同键,0)),IFERROR(TRIM(MID($D470,FIND("｜",$D470)+1,99)),"")))</f>
        <v/>
      </c>
      <c r="G470" s="24"/>
      <c r="H470" s="35" t="str">
        <f aca="false">IF($G470="","",IFERROR(INDEX(费用款别,MATCH($G470,费用类别表,0)),"合同外款"))</f>
        <v/>
      </c>
      <c r="I470" s="33"/>
      <c r="J470" s="33"/>
      <c r="K470" s="39"/>
      <c r="L470" s="33"/>
      <c r="M470" s="25"/>
      <c r="N470" s="39"/>
      <c r="O470" s="35" t="str">
        <f aca="false">IF($C470="","",IF(N($N470)&lt;=0,"未开票",IF(ROUND(N($N470)-N($K470),2)&gt;=0,"已开票",IFERROR("部分开票 "&amp;TEXT(N($N470)/N($K470),"0%"),"部分开票"))))</f>
        <v/>
      </c>
      <c r="P470" s="40" t="str">
        <f aca="false">IF($C470="","",ROUND($V470+MIN($W470,MAX(0,(SUMIF(收款键,$D470,收款金额)-SUMIFS(收款金额,收款键,$D470,收款关联,"&lt;&gt;"))-($X470-$W470))),2))</f>
        <v/>
      </c>
      <c r="Q470" s="41" t="str">
        <f aca="false">IF($C470="","",ROUND(N($K470)-N($P470),2))</f>
        <v/>
      </c>
      <c r="R470" s="29" t="str">
        <f aca="false">IF($C470="","",YEAR($C470))</f>
        <v/>
      </c>
      <c r="S470" s="24"/>
      <c r="T470" s="35" t="str">
        <f aca="false">IF($C470="","",IF($D470="","★没选客户项目",IF(COUNTIF(合同键,$D470)=0,"★《维保合同》里没这个项目",IF(N($K470)&lt;=0,"★应收金额要填",IF(ROUND(N($N470)-N($K470),2)&gt;0.001,"★开票金额大于应收",IF(AND($L470&lt;&gt;"",N($N470)&lt;=0),"★填了开票日期没填开票金额",IF(AND($I470&lt;&gt;"",$J470&lt;&gt;"",$J470&lt;$I470),"★计费期间起止反了","OK")))))))</f>
        <v/>
      </c>
      <c r="U470" s="29" t="str">
        <f aca="false">IF($L470="","",YEAR($L470))</f>
        <v/>
      </c>
      <c r="V470" s="40" t="str">
        <f aca="false">IF($C470="","",ROUND(SUMIF(收款关联,$B470,收款金额),2))</f>
        <v/>
      </c>
      <c r="W470" s="40" t="str">
        <f aca="false">IF($C470="","",MAX(0,ROUND(N($K470)-N($V470),2)))</f>
        <v/>
      </c>
      <c r="X470" s="40" t="str">
        <f aca="false">IF($C470="","",ROUND(SUMIFS(应收净额,应收键,$D470,应收行号,"&lt;="&amp;ROW()),2))</f>
        <v/>
      </c>
      <c r="Y470" s="29" t="str">
        <f aca="false">IF($C470="","",ROW())</f>
        <v/>
      </c>
    </row>
    <row r="471" customFormat="false" ht="15" hidden="false" customHeight="false" outlineLevel="0" collapsed="false">
      <c r="A471" s="29" t="str">
        <f aca="false">IF($C471="","",ROW()-4)</f>
        <v/>
      </c>
      <c r="B471" s="35" t="str">
        <f aca="false">IF($C471="","","YS"&amp;TEXT($C471,"yyyymm")&amp;"-"&amp;TEXT(ROW()-4,"0000"))</f>
        <v/>
      </c>
      <c r="C471" s="33"/>
      <c r="D471" s="24"/>
      <c r="E471" s="30" t="str">
        <f aca="false">IF($D471="","",IFERROR(INDEX(合同单位,MATCH($D471,合同键,0)),IFERROR(TRIM(LEFT($D471,FIND("｜",$D471)-1)),$D471)))</f>
        <v/>
      </c>
      <c r="F471" s="30" t="str">
        <f aca="false">IF($D471="","",IFERROR(INDEX(合同项目,MATCH($D471,合同键,0)),IFERROR(TRIM(MID($D471,FIND("｜",$D471)+1,99)),"")))</f>
        <v/>
      </c>
      <c r="G471" s="24"/>
      <c r="H471" s="35" t="str">
        <f aca="false">IF($G471="","",IFERROR(INDEX(费用款别,MATCH($G471,费用类别表,0)),"合同外款"))</f>
        <v/>
      </c>
      <c r="I471" s="33"/>
      <c r="J471" s="33"/>
      <c r="K471" s="39"/>
      <c r="L471" s="33"/>
      <c r="M471" s="25"/>
      <c r="N471" s="39"/>
      <c r="O471" s="35" t="str">
        <f aca="false">IF($C471="","",IF(N($N471)&lt;=0,"未开票",IF(ROUND(N($N471)-N($K471),2)&gt;=0,"已开票",IFERROR("部分开票 "&amp;TEXT(N($N471)/N($K471),"0%"),"部分开票"))))</f>
        <v/>
      </c>
      <c r="P471" s="40" t="str">
        <f aca="false">IF($C471="","",ROUND($V471+MIN($W471,MAX(0,(SUMIF(收款键,$D471,收款金额)-SUMIFS(收款金额,收款键,$D471,收款关联,"&lt;&gt;"))-($X471-$W471))),2))</f>
        <v/>
      </c>
      <c r="Q471" s="41" t="str">
        <f aca="false">IF($C471="","",ROUND(N($K471)-N($P471),2))</f>
        <v/>
      </c>
      <c r="R471" s="29" t="str">
        <f aca="false">IF($C471="","",YEAR($C471))</f>
        <v/>
      </c>
      <c r="S471" s="24"/>
      <c r="T471" s="35" t="str">
        <f aca="false">IF($C471="","",IF($D471="","★没选客户项目",IF(COUNTIF(合同键,$D471)=0,"★《维保合同》里没这个项目",IF(N($K471)&lt;=0,"★应收金额要填",IF(ROUND(N($N471)-N($K471),2)&gt;0.001,"★开票金额大于应收",IF(AND($L471&lt;&gt;"",N($N471)&lt;=0),"★填了开票日期没填开票金额",IF(AND($I471&lt;&gt;"",$J471&lt;&gt;"",$J471&lt;$I471),"★计费期间起止反了","OK")))))))</f>
        <v/>
      </c>
      <c r="U471" s="29" t="str">
        <f aca="false">IF($L471="","",YEAR($L471))</f>
        <v/>
      </c>
      <c r="V471" s="40" t="str">
        <f aca="false">IF($C471="","",ROUND(SUMIF(收款关联,$B471,收款金额),2))</f>
        <v/>
      </c>
      <c r="W471" s="40" t="str">
        <f aca="false">IF($C471="","",MAX(0,ROUND(N($K471)-N($V471),2)))</f>
        <v/>
      </c>
      <c r="X471" s="40" t="str">
        <f aca="false">IF($C471="","",ROUND(SUMIFS(应收净额,应收键,$D471,应收行号,"&lt;="&amp;ROW()),2))</f>
        <v/>
      </c>
      <c r="Y471" s="29" t="str">
        <f aca="false">IF($C471="","",ROW())</f>
        <v/>
      </c>
    </row>
    <row r="472" customFormat="false" ht="15" hidden="false" customHeight="false" outlineLevel="0" collapsed="false">
      <c r="A472" s="29" t="str">
        <f aca="false">IF($C472="","",ROW()-4)</f>
        <v/>
      </c>
      <c r="B472" s="35" t="str">
        <f aca="false">IF($C472="","","YS"&amp;TEXT($C472,"yyyymm")&amp;"-"&amp;TEXT(ROW()-4,"0000"))</f>
        <v/>
      </c>
      <c r="C472" s="33"/>
      <c r="D472" s="24"/>
      <c r="E472" s="30" t="str">
        <f aca="false">IF($D472="","",IFERROR(INDEX(合同单位,MATCH($D472,合同键,0)),IFERROR(TRIM(LEFT($D472,FIND("｜",$D472)-1)),$D472)))</f>
        <v/>
      </c>
      <c r="F472" s="30" t="str">
        <f aca="false">IF($D472="","",IFERROR(INDEX(合同项目,MATCH($D472,合同键,0)),IFERROR(TRIM(MID($D472,FIND("｜",$D472)+1,99)),"")))</f>
        <v/>
      </c>
      <c r="G472" s="24"/>
      <c r="H472" s="35" t="str">
        <f aca="false">IF($G472="","",IFERROR(INDEX(费用款别,MATCH($G472,费用类别表,0)),"合同外款"))</f>
        <v/>
      </c>
      <c r="I472" s="33"/>
      <c r="J472" s="33"/>
      <c r="K472" s="39"/>
      <c r="L472" s="33"/>
      <c r="M472" s="25"/>
      <c r="N472" s="39"/>
      <c r="O472" s="35" t="str">
        <f aca="false">IF($C472="","",IF(N($N472)&lt;=0,"未开票",IF(ROUND(N($N472)-N($K472),2)&gt;=0,"已开票",IFERROR("部分开票 "&amp;TEXT(N($N472)/N($K472),"0%"),"部分开票"))))</f>
        <v/>
      </c>
      <c r="P472" s="40" t="str">
        <f aca="false">IF($C472="","",ROUND($V472+MIN($W472,MAX(0,(SUMIF(收款键,$D472,收款金额)-SUMIFS(收款金额,收款键,$D472,收款关联,"&lt;&gt;"))-($X472-$W472))),2))</f>
        <v/>
      </c>
      <c r="Q472" s="41" t="str">
        <f aca="false">IF($C472="","",ROUND(N($K472)-N($P472),2))</f>
        <v/>
      </c>
      <c r="R472" s="29" t="str">
        <f aca="false">IF($C472="","",YEAR($C472))</f>
        <v/>
      </c>
      <c r="S472" s="24"/>
      <c r="T472" s="35" t="str">
        <f aca="false">IF($C472="","",IF($D472="","★没选客户项目",IF(COUNTIF(合同键,$D472)=0,"★《维保合同》里没这个项目",IF(N($K472)&lt;=0,"★应收金额要填",IF(ROUND(N($N472)-N($K472),2)&gt;0.001,"★开票金额大于应收",IF(AND($L472&lt;&gt;"",N($N472)&lt;=0),"★填了开票日期没填开票金额",IF(AND($I472&lt;&gt;"",$J472&lt;&gt;"",$J472&lt;$I472),"★计费期间起止反了","OK")))))))</f>
        <v/>
      </c>
      <c r="U472" s="29" t="str">
        <f aca="false">IF($L472="","",YEAR($L472))</f>
        <v/>
      </c>
      <c r="V472" s="40" t="str">
        <f aca="false">IF($C472="","",ROUND(SUMIF(收款关联,$B472,收款金额),2))</f>
        <v/>
      </c>
      <c r="W472" s="40" t="str">
        <f aca="false">IF($C472="","",MAX(0,ROUND(N($K472)-N($V472),2)))</f>
        <v/>
      </c>
      <c r="X472" s="40" t="str">
        <f aca="false">IF($C472="","",ROUND(SUMIFS(应收净额,应收键,$D472,应收行号,"&lt;="&amp;ROW()),2))</f>
        <v/>
      </c>
      <c r="Y472" s="29" t="str">
        <f aca="false">IF($C472="","",ROW())</f>
        <v/>
      </c>
    </row>
    <row r="473" customFormat="false" ht="15" hidden="false" customHeight="false" outlineLevel="0" collapsed="false">
      <c r="A473" s="29" t="str">
        <f aca="false">IF($C473="","",ROW()-4)</f>
        <v/>
      </c>
      <c r="B473" s="35" t="str">
        <f aca="false">IF($C473="","","YS"&amp;TEXT($C473,"yyyymm")&amp;"-"&amp;TEXT(ROW()-4,"0000"))</f>
        <v/>
      </c>
      <c r="C473" s="33"/>
      <c r="D473" s="24"/>
      <c r="E473" s="30" t="str">
        <f aca="false">IF($D473="","",IFERROR(INDEX(合同单位,MATCH($D473,合同键,0)),IFERROR(TRIM(LEFT($D473,FIND("｜",$D473)-1)),$D473)))</f>
        <v/>
      </c>
      <c r="F473" s="30" t="str">
        <f aca="false">IF($D473="","",IFERROR(INDEX(合同项目,MATCH($D473,合同键,0)),IFERROR(TRIM(MID($D473,FIND("｜",$D473)+1,99)),"")))</f>
        <v/>
      </c>
      <c r="G473" s="24"/>
      <c r="H473" s="35" t="str">
        <f aca="false">IF($G473="","",IFERROR(INDEX(费用款别,MATCH($G473,费用类别表,0)),"合同外款"))</f>
        <v/>
      </c>
      <c r="I473" s="33"/>
      <c r="J473" s="33"/>
      <c r="K473" s="39"/>
      <c r="L473" s="33"/>
      <c r="M473" s="25"/>
      <c r="N473" s="39"/>
      <c r="O473" s="35" t="str">
        <f aca="false">IF($C473="","",IF(N($N473)&lt;=0,"未开票",IF(ROUND(N($N473)-N($K473),2)&gt;=0,"已开票",IFERROR("部分开票 "&amp;TEXT(N($N473)/N($K473),"0%"),"部分开票"))))</f>
        <v/>
      </c>
      <c r="P473" s="40" t="str">
        <f aca="false">IF($C473="","",ROUND($V473+MIN($W473,MAX(0,(SUMIF(收款键,$D473,收款金额)-SUMIFS(收款金额,收款键,$D473,收款关联,"&lt;&gt;"))-($X473-$W473))),2))</f>
        <v/>
      </c>
      <c r="Q473" s="41" t="str">
        <f aca="false">IF($C473="","",ROUND(N($K473)-N($P473),2))</f>
        <v/>
      </c>
      <c r="R473" s="29" t="str">
        <f aca="false">IF($C473="","",YEAR($C473))</f>
        <v/>
      </c>
      <c r="S473" s="24"/>
      <c r="T473" s="35" t="str">
        <f aca="false">IF($C473="","",IF($D473="","★没选客户项目",IF(COUNTIF(合同键,$D473)=0,"★《维保合同》里没这个项目",IF(N($K473)&lt;=0,"★应收金额要填",IF(ROUND(N($N473)-N($K473),2)&gt;0.001,"★开票金额大于应收",IF(AND($L473&lt;&gt;"",N($N473)&lt;=0),"★填了开票日期没填开票金额",IF(AND($I473&lt;&gt;"",$J473&lt;&gt;"",$J473&lt;$I473),"★计费期间起止反了","OK")))))))</f>
        <v/>
      </c>
      <c r="U473" s="29" t="str">
        <f aca="false">IF($L473="","",YEAR($L473))</f>
        <v/>
      </c>
      <c r="V473" s="40" t="str">
        <f aca="false">IF($C473="","",ROUND(SUMIF(收款关联,$B473,收款金额),2))</f>
        <v/>
      </c>
      <c r="W473" s="40" t="str">
        <f aca="false">IF($C473="","",MAX(0,ROUND(N($K473)-N($V473),2)))</f>
        <v/>
      </c>
      <c r="X473" s="40" t="str">
        <f aca="false">IF($C473="","",ROUND(SUMIFS(应收净额,应收键,$D473,应收行号,"&lt;="&amp;ROW()),2))</f>
        <v/>
      </c>
      <c r="Y473" s="29" t="str">
        <f aca="false">IF($C473="","",ROW())</f>
        <v/>
      </c>
    </row>
    <row r="474" customFormat="false" ht="15" hidden="false" customHeight="false" outlineLevel="0" collapsed="false">
      <c r="A474" s="29" t="str">
        <f aca="false">IF($C474="","",ROW()-4)</f>
        <v/>
      </c>
      <c r="B474" s="35" t="str">
        <f aca="false">IF($C474="","","YS"&amp;TEXT($C474,"yyyymm")&amp;"-"&amp;TEXT(ROW()-4,"0000"))</f>
        <v/>
      </c>
      <c r="C474" s="33"/>
      <c r="D474" s="24"/>
      <c r="E474" s="30" t="str">
        <f aca="false">IF($D474="","",IFERROR(INDEX(合同单位,MATCH($D474,合同键,0)),IFERROR(TRIM(LEFT($D474,FIND("｜",$D474)-1)),$D474)))</f>
        <v/>
      </c>
      <c r="F474" s="30" t="str">
        <f aca="false">IF($D474="","",IFERROR(INDEX(合同项目,MATCH($D474,合同键,0)),IFERROR(TRIM(MID($D474,FIND("｜",$D474)+1,99)),"")))</f>
        <v/>
      </c>
      <c r="G474" s="24"/>
      <c r="H474" s="35" t="str">
        <f aca="false">IF($G474="","",IFERROR(INDEX(费用款别,MATCH($G474,费用类别表,0)),"合同外款"))</f>
        <v/>
      </c>
      <c r="I474" s="33"/>
      <c r="J474" s="33"/>
      <c r="K474" s="39"/>
      <c r="L474" s="33"/>
      <c r="M474" s="25"/>
      <c r="N474" s="39"/>
      <c r="O474" s="35" t="str">
        <f aca="false">IF($C474="","",IF(N($N474)&lt;=0,"未开票",IF(ROUND(N($N474)-N($K474),2)&gt;=0,"已开票",IFERROR("部分开票 "&amp;TEXT(N($N474)/N($K474),"0%"),"部分开票"))))</f>
        <v/>
      </c>
      <c r="P474" s="40" t="str">
        <f aca="false">IF($C474="","",ROUND($V474+MIN($W474,MAX(0,(SUMIF(收款键,$D474,收款金额)-SUMIFS(收款金额,收款键,$D474,收款关联,"&lt;&gt;"))-($X474-$W474))),2))</f>
        <v/>
      </c>
      <c r="Q474" s="41" t="str">
        <f aca="false">IF($C474="","",ROUND(N($K474)-N($P474),2))</f>
        <v/>
      </c>
      <c r="R474" s="29" t="str">
        <f aca="false">IF($C474="","",YEAR($C474))</f>
        <v/>
      </c>
      <c r="S474" s="24"/>
      <c r="T474" s="35" t="str">
        <f aca="false">IF($C474="","",IF($D474="","★没选客户项目",IF(COUNTIF(合同键,$D474)=0,"★《维保合同》里没这个项目",IF(N($K474)&lt;=0,"★应收金额要填",IF(ROUND(N($N474)-N($K474),2)&gt;0.001,"★开票金额大于应收",IF(AND($L474&lt;&gt;"",N($N474)&lt;=0),"★填了开票日期没填开票金额",IF(AND($I474&lt;&gt;"",$J474&lt;&gt;"",$J474&lt;$I474),"★计费期间起止反了","OK")))))))</f>
        <v/>
      </c>
      <c r="U474" s="29" t="str">
        <f aca="false">IF($L474="","",YEAR($L474))</f>
        <v/>
      </c>
      <c r="V474" s="40" t="str">
        <f aca="false">IF($C474="","",ROUND(SUMIF(收款关联,$B474,收款金额),2))</f>
        <v/>
      </c>
      <c r="W474" s="40" t="str">
        <f aca="false">IF($C474="","",MAX(0,ROUND(N($K474)-N($V474),2)))</f>
        <v/>
      </c>
      <c r="X474" s="40" t="str">
        <f aca="false">IF($C474="","",ROUND(SUMIFS(应收净额,应收键,$D474,应收行号,"&lt;="&amp;ROW()),2))</f>
        <v/>
      </c>
      <c r="Y474" s="29" t="str">
        <f aca="false">IF($C474="","",ROW())</f>
        <v/>
      </c>
    </row>
    <row r="475" customFormat="false" ht="15" hidden="false" customHeight="false" outlineLevel="0" collapsed="false">
      <c r="A475" s="29" t="str">
        <f aca="false">IF($C475="","",ROW()-4)</f>
        <v/>
      </c>
      <c r="B475" s="35" t="str">
        <f aca="false">IF($C475="","","YS"&amp;TEXT($C475,"yyyymm")&amp;"-"&amp;TEXT(ROW()-4,"0000"))</f>
        <v/>
      </c>
      <c r="C475" s="33"/>
      <c r="D475" s="24"/>
      <c r="E475" s="30" t="str">
        <f aca="false">IF($D475="","",IFERROR(INDEX(合同单位,MATCH($D475,合同键,0)),IFERROR(TRIM(LEFT($D475,FIND("｜",$D475)-1)),$D475)))</f>
        <v/>
      </c>
      <c r="F475" s="30" t="str">
        <f aca="false">IF($D475="","",IFERROR(INDEX(合同项目,MATCH($D475,合同键,0)),IFERROR(TRIM(MID($D475,FIND("｜",$D475)+1,99)),"")))</f>
        <v/>
      </c>
      <c r="G475" s="24"/>
      <c r="H475" s="35" t="str">
        <f aca="false">IF($G475="","",IFERROR(INDEX(费用款别,MATCH($G475,费用类别表,0)),"合同外款"))</f>
        <v/>
      </c>
      <c r="I475" s="33"/>
      <c r="J475" s="33"/>
      <c r="K475" s="39"/>
      <c r="L475" s="33"/>
      <c r="M475" s="25"/>
      <c r="N475" s="39"/>
      <c r="O475" s="35" t="str">
        <f aca="false">IF($C475="","",IF(N($N475)&lt;=0,"未开票",IF(ROUND(N($N475)-N($K475),2)&gt;=0,"已开票",IFERROR("部分开票 "&amp;TEXT(N($N475)/N($K475),"0%"),"部分开票"))))</f>
        <v/>
      </c>
      <c r="P475" s="40" t="str">
        <f aca="false">IF($C475="","",ROUND($V475+MIN($W475,MAX(0,(SUMIF(收款键,$D475,收款金额)-SUMIFS(收款金额,收款键,$D475,收款关联,"&lt;&gt;"))-($X475-$W475))),2))</f>
        <v/>
      </c>
      <c r="Q475" s="41" t="str">
        <f aca="false">IF($C475="","",ROUND(N($K475)-N($P475),2))</f>
        <v/>
      </c>
      <c r="R475" s="29" t="str">
        <f aca="false">IF($C475="","",YEAR($C475))</f>
        <v/>
      </c>
      <c r="S475" s="24"/>
      <c r="T475" s="35" t="str">
        <f aca="false">IF($C475="","",IF($D475="","★没选客户项目",IF(COUNTIF(合同键,$D475)=0,"★《维保合同》里没这个项目",IF(N($K475)&lt;=0,"★应收金额要填",IF(ROUND(N($N475)-N($K475),2)&gt;0.001,"★开票金额大于应收",IF(AND($L475&lt;&gt;"",N($N475)&lt;=0),"★填了开票日期没填开票金额",IF(AND($I475&lt;&gt;"",$J475&lt;&gt;"",$J475&lt;$I475),"★计费期间起止反了","OK")))))))</f>
        <v/>
      </c>
      <c r="U475" s="29" t="str">
        <f aca="false">IF($L475="","",YEAR($L475))</f>
        <v/>
      </c>
      <c r="V475" s="40" t="str">
        <f aca="false">IF($C475="","",ROUND(SUMIF(收款关联,$B475,收款金额),2))</f>
        <v/>
      </c>
      <c r="W475" s="40" t="str">
        <f aca="false">IF($C475="","",MAX(0,ROUND(N($K475)-N($V475),2)))</f>
        <v/>
      </c>
      <c r="X475" s="40" t="str">
        <f aca="false">IF($C475="","",ROUND(SUMIFS(应收净额,应收键,$D475,应收行号,"&lt;="&amp;ROW()),2))</f>
        <v/>
      </c>
      <c r="Y475" s="29" t="str">
        <f aca="false">IF($C475="","",ROW())</f>
        <v/>
      </c>
    </row>
    <row r="476" customFormat="false" ht="15" hidden="false" customHeight="false" outlineLevel="0" collapsed="false">
      <c r="A476" s="29" t="str">
        <f aca="false">IF($C476="","",ROW()-4)</f>
        <v/>
      </c>
      <c r="B476" s="35" t="str">
        <f aca="false">IF($C476="","","YS"&amp;TEXT($C476,"yyyymm")&amp;"-"&amp;TEXT(ROW()-4,"0000"))</f>
        <v/>
      </c>
      <c r="C476" s="33"/>
      <c r="D476" s="24"/>
      <c r="E476" s="30" t="str">
        <f aca="false">IF($D476="","",IFERROR(INDEX(合同单位,MATCH($D476,合同键,0)),IFERROR(TRIM(LEFT($D476,FIND("｜",$D476)-1)),$D476)))</f>
        <v/>
      </c>
      <c r="F476" s="30" t="str">
        <f aca="false">IF($D476="","",IFERROR(INDEX(合同项目,MATCH($D476,合同键,0)),IFERROR(TRIM(MID($D476,FIND("｜",$D476)+1,99)),"")))</f>
        <v/>
      </c>
      <c r="G476" s="24"/>
      <c r="H476" s="35" t="str">
        <f aca="false">IF($G476="","",IFERROR(INDEX(费用款别,MATCH($G476,费用类别表,0)),"合同外款"))</f>
        <v/>
      </c>
      <c r="I476" s="33"/>
      <c r="J476" s="33"/>
      <c r="K476" s="39"/>
      <c r="L476" s="33"/>
      <c r="M476" s="25"/>
      <c r="N476" s="39"/>
      <c r="O476" s="35" t="str">
        <f aca="false">IF($C476="","",IF(N($N476)&lt;=0,"未开票",IF(ROUND(N($N476)-N($K476),2)&gt;=0,"已开票",IFERROR("部分开票 "&amp;TEXT(N($N476)/N($K476),"0%"),"部分开票"))))</f>
        <v/>
      </c>
      <c r="P476" s="40" t="str">
        <f aca="false">IF($C476="","",ROUND($V476+MIN($W476,MAX(0,(SUMIF(收款键,$D476,收款金额)-SUMIFS(收款金额,收款键,$D476,收款关联,"&lt;&gt;"))-($X476-$W476))),2))</f>
        <v/>
      </c>
      <c r="Q476" s="41" t="str">
        <f aca="false">IF($C476="","",ROUND(N($K476)-N($P476),2))</f>
        <v/>
      </c>
      <c r="R476" s="29" t="str">
        <f aca="false">IF($C476="","",YEAR($C476))</f>
        <v/>
      </c>
      <c r="S476" s="24"/>
      <c r="T476" s="35" t="str">
        <f aca="false">IF($C476="","",IF($D476="","★没选客户项目",IF(COUNTIF(合同键,$D476)=0,"★《维保合同》里没这个项目",IF(N($K476)&lt;=0,"★应收金额要填",IF(ROUND(N($N476)-N($K476),2)&gt;0.001,"★开票金额大于应收",IF(AND($L476&lt;&gt;"",N($N476)&lt;=0),"★填了开票日期没填开票金额",IF(AND($I476&lt;&gt;"",$J476&lt;&gt;"",$J476&lt;$I476),"★计费期间起止反了","OK")))))))</f>
        <v/>
      </c>
      <c r="U476" s="29" t="str">
        <f aca="false">IF($L476="","",YEAR($L476))</f>
        <v/>
      </c>
      <c r="V476" s="40" t="str">
        <f aca="false">IF($C476="","",ROUND(SUMIF(收款关联,$B476,收款金额),2))</f>
        <v/>
      </c>
      <c r="W476" s="40" t="str">
        <f aca="false">IF($C476="","",MAX(0,ROUND(N($K476)-N($V476),2)))</f>
        <v/>
      </c>
      <c r="X476" s="40" t="str">
        <f aca="false">IF($C476="","",ROUND(SUMIFS(应收净额,应收键,$D476,应收行号,"&lt;="&amp;ROW()),2))</f>
        <v/>
      </c>
      <c r="Y476" s="29" t="str">
        <f aca="false">IF($C476="","",ROW())</f>
        <v/>
      </c>
    </row>
    <row r="477" customFormat="false" ht="15" hidden="false" customHeight="false" outlineLevel="0" collapsed="false">
      <c r="A477" s="29" t="str">
        <f aca="false">IF($C477="","",ROW()-4)</f>
        <v/>
      </c>
      <c r="B477" s="35" t="str">
        <f aca="false">IF($C477="","","YS"&amp;TEXT($C477,"yyyymm")&amp;"-"&amp;TEXT(ROW()-4,"0000"))</f>
        <v/>
      </c>
      <c r="C477" s="33"/>
      <c r="D477" s="24"/>
      <c r="E477" s="30" t="str">
        <f aca="false">IF($D477="","",IFERROR(INDEX(合同单位,MATCH($D477,合同键,0)),IFERROR(TRIM(LEFT($D477,FIND("｜",$D477)-1)),$D477)))</f>
        <v/>
      </c>
      <c r="F477" s="30" t="str">
        <f aca="false">IF($D477="","",IFERROR(INDEX(合同项目,MATCH($D477,合同键,0)),IFERROR(TRIM(MID($D477,FIND("｜",$D477)+1,99)),"")))</f>
        <v/>
      </c>
      <c r="G477" s="24"/>
      <c r="H477" s="35" t="str">
        <f aca="false">IF($G477="","",IFERROR(INDEX(费用款别,MATCH($G477,费用类别表,0)),"合同外款"))</f>
        <v/>
      </c>
      <c r="I477" s="33"/>
      <c r="J477" s="33"/>
      <c r="K477" s="39"/>
      <c r="L477" s="33"/>
      <c r="M477" s="25"/>
      <c r="N477" s="39"/>
      <c r="O477" s="35" t="str">
        <f aca="false">IF($C477="","",IF(N($N477)&lt;=0,"未开票",IF(ROUND(N($N477)-N($K477),2)&gt;=0,"已开票",IFERROR("部分开票 "&amp;TEXT(N($N477)/N($K477),"0%"),"部分开票"))))</f>
        <v/>
      </c>
      <c r="P477" s="40" t="str">
        <f aca="false">IF($C477="","",ROUND($V477+MIN($W477,MAX(0,(SUMIF(收款键,$D477,收款金额)-SUMIFS(收款金额,收款键,$D477,收款关联,"&lt;&gt;"))-($X477-$W477))),2))</f>
        <v/>
      </c>
      <c r="Q477" s="41" t="str">
        <f aca="false">IF($C477="","",ROUND(N($K477)-N($P477),2))</f>
        <v/>
      </c>
      <c r="R477" s="29" t="str">
        <f aca="false">IF($C477="","",YEAR($C477))</f>
        <v/>
      </c>
      <c r="S477" s="24"/>
      <c r="T477" s="35" t="str">
        <f aca="false">IF($C477="","",IF($D477="","★没选客户项目",IF(COUNTIF(合同键,$D477)=0,"★《维保合同》里没这个项目",IF(N($K477)&lt;=0,"★应收金额要填",IF(ROUND(N($N477)-N($K477),2)&gt;0.001,"★开票金额大于应收",IF(AND($L477&lt;&gt;"",N($N477)&lt;=0),"★填了开票日期没填开票金额",IF(AND($I477&lt;&gt;"",$J477&lt;&gt;"",$J477&lt;$I477),"★计费期间起止反了","OK")))))))</f>
        <v/>
      </c>
      <c r="U477" s="29" t="str">
        <f aca="false">IF($L477="","",YEAR($L477))</f>
        <v/>
      </c>
      <c r="V477" s="40" t="str">
        <f aca="false">IF($C477="","",ROUND(SUMIF(收款关联,$B477,收款金额),2))</f>
        <v/>
      </c>
      <c r="W477" s="40" t="str">
        <f aca="false">IF($C477="","",MAX(0,ROUND(N($K477)-N($V477),2)))</f>
        <v/>
      </c>
      <c r="X477" s="40" t="str">
        <f aca="false">IF($C477="","",ROUND(SUMIFS(应收净额,应收键,$D477,应收行号,"&lt;="&amp;ROW()),2))</f>
        <v/>
      </c>
      <c r="Y477" s="29" t="str">
        <f aca="false">IF($C477="","",ROW())</f>
        <v/>
      </c>
    </row>
    <row r="478" customFormat="false" ht="15" hidden="false" customHeight="false" outlineLevel="0" collapsed="false">
      <c r="A478" s="29" t="str">
        <f aca="false">IF($C478="","",ROW()-4)</f>
        <v/>
      </c>
      <c r="B478" s="35" t="str">
        <f aca="false">IF($C478="","","YS"&amp;TEXT($C478,"yyyymm")&amp;"-"&amp;TEXT(ROW()-4,"0000"))</f>
        <v/>
      </c>
      <c r="C478" s="33"/>
      <c r="D478" s="24"/>
      <c r="E478" s="30" t="str">
        <f aca="false">IF($D478="","",IFERROR(INDEX(合同单位,MATCH($D478,合同键,0)),IFERROR(TRIM(LEFT($D478,FIND("｜",$D478)-1)),$D478)))</f>
        <v/>
      </c>
      <c r="F478" s="30" t="str">
        <f aca="false">IF($D478="","",IFERROR(INDEX(合同项目,MATCH($D478,合同键,0)),IFERROR(TRIM(MID($D478,FIND("｜",$D478)+1,99)),"")))</f>
        <v/>
      </c>
      <c r="G478" s="24"/>
      <c r="H478" s="35" t="str">
        <f aca="false">IF($G478="","",IFERROR(INDEX(费用款别,MATCH($G478,费用类别表,0)),"合同外款"))</f>
        <v/>
      </c>
      <c r="I478" s="33"/>
      <c r="J478" s="33"/>
      <c r="K478" s="39"/>
      <c r="L478" s="33"/>
      <c r="M478" s="25"/>
      <c r="N478" s="39"/>
      <c r="O478" s="35" t="str">
        <f aca="false">IF($C478="","",IF(N($N478)&lt;=0,"未开票",IF(ROUND(N($N478)-N($K478),2)&gt;=0,"已开票",IFERROR("部分开票 "&amp;TEXT(N($N478)/N($K478),"0%"),"部分开票"))))</f>
        <v/>
      </c>
      <c r="P478" s="40" t="str">
        <f aca="false">IF($C478="","",ROUND($V478+MIN($W478,MAX(0,(SUMIF(收款键,$D478,收款金额)-SUMIFS(收款金额,收款键,$D478,收款关联,"&lt;&gt;"))-($X478-$W478))),2))</f>
        <v/>
      </c>
      <c r="Q478" s="41" t="str">
        <f aca="false">IF($C478="","",ROUND(N($K478)-N($P478),2))</f>
        <v/>
      </c>
      <c r="R478" s="29" t="str">
        <f aca="false">IF($C478="","",YEAR($C478))</f>
        <v/>
      </c>
      <c r="S478" s="24"/>
      <c r="T478" s="35" t="str">
        <f aca="false">IF($C478="","",IF($D478="","★没选客户项目",IF(COUNTIF(合同键,$D478)=0,"★《维保合同》里没这个项目",IF(N($K478)&lt;=0,"★应收金额要填",IF(ROUND(N($N478)-N($K478),2)&gt;0.001,"★开票金额大于应收",IF(AND($L478&lt;&gt;"",N($N478)&lt;=0),"★填了开票日期没填开票金额",IF(AND($I478&lt;&gt;"",$J478&lt;&gt;"",$J478&lt;$I478),"★计费期间起止反了","OK")))))))</f>
        <v/>
      </c>
      <c r="U478" s="29" t="str">
        <f aca="false">IF($L478="","",YEAR($L478))</f>
        <v/>
      </c>
      <c r="V478" s="40" t="str">
        <f aca="false">IF($C478="","",ROUND(SUMIF(收款关联,$B478,收款金额),2))</f>
        <v/>
      </c>
      <c r="W478" s="40" t="str">
        <f aca="false">IF($C478="","",MAX(0,ROUND(N($K478)-N($V478),2)))</f>
        <v/>
      </c>
      <c r="X478" s="40" t="str">
        <f aca="false">IF($C478="","",ROUND(SUMIFS(应收净额,应收键,$D478,应收行号,"&lt;="&amp;ROW()),2))</f>
        <v/>
      </c>
      <c r="Y478" s="29" t="str">
        <f aca="false">IF($C478="","",ROW())</f>
        <v/>
      </c>
    </row>
    <row r="479" customFormat="false" ht="15" hidden="false" customHeight="false" outlineLevel="0" collapsed="false">
      <c r="A479" s="29" t="str">
        <f aca="false">IF($C479="","",ROW()-4)</f>
        <v/>
      </c>
      <c r="B479" s="35" t="str">
        <f aca="false">IF($C479="","","YS"&amp;TEXT($C479,"yyyymm")&amp;"-"&amp;TEXT(ROW()-4,"0000"))</f>
        <v/>
      </c>
      <c r="C479" s="33"/>
      <c r="D479" s="24"/>
      <c r="E479" s="30" t="str">
        <f aca="false">IF($D479="","",IFERROR(INDEX(合同单位,MATCH($D479,合同键,0)),IFERROR(TRIM(LEFT($D479,FIND("｜",$D479)-1)),$D479)))</f>
        <v/>
      </c>
      <c r="F479" s="30" t="str">
        <f aca="false">IF($D479="","",IFERROR(INDEX(合同项目,MATCH($D479,合同键,0)),IFERROR(TRIM(MID($D479,FIND("｜",$D479)+1,99)),"")))</f>
        <v/>
      </c>
      <c r="G479" s="24"/>
      <c r="H479" s="35" t="str">
        <f aca="false">IF($G479="","",IFERROR(INDEX(费用款别,MATCH($G479,费用类别表,0)),"合同外款"))</f>
        <v/>
      </c>
      <c r="I479" s="33"/>
      <c r="J479" s="33"/>
      <c r="K479" s="39"/>
      <c r="L479" s="33"/>
      <c r="M479" s="25"/>
      <c r="N479" s="39"/>
      <c r="O479" s="35" t="str">
        <f aca="false">IF($C479="","",IF(N($N479)&lt;=0,"未开票",IF(ROUND(N($N479)-N($K479),2)&gt;=0,"已开票",IFERROR("部分开票 "&amp;TEXT(N($N479)/N($K479),"0%"),"部分开票"))))</f>
        <v/>
      </c>
      <c r="P479" s="40" t="str">
        <f aca="false">IF($C479="","",ROUND($V479+MIN($W479,MAX(0,(SUMIF(收款键,$D479,收款金额)-SUMIFS(收款金额,收款键,$D479,收款关联,"&lt;&gt;"))-($X479-$W479))),2))</f>
        <v/>
      </c>
      <c r="Q479" s="41" t="str">
        <f aca="false">IF($C479="","",ROUND(N($K479)-N($P479),2))</f>
        <v/>
      </c>
      <c r="R479" s="29" t="str">
        <f aca="false">IF($C479="","",YEAR($C479))</f>
        <v/>
      </c>
      <c r="S479" s="24"/>
      <c r="T479" s="35" t="str">
        <f aca="false">IF($C479="","",IF($D479="","★没选客户项目",IF(COUNTIF(合同键,$D479)=0,"★《维保合同》里没这个项目",IF(N($K479)&lt;=0,"★应收金额要填",IF(ROUND(N($N479)-N($K479),2)&gt;0.001,"★开票金额大于应收",IF(AND($L479&lt;&gt;"",N($N479)&lt;=0),"★填了开票日期没填开票金额",IF(AND($I479&lt;&gt;"",$J479&lt;&gt;"",$J479&lt;$I479),"★计费期间起止反了","OK")))))))</f>
        <v/>
      </c>
      <c r="U479" s="29" t="str">
        <f aca="false">IF($L479="","",YEAR($L479))</f>
        <v/>
      </c>
      <c r="V479" s="40" t="str">
        <f aca="false">IF($C479="","",ROUND(SUMIF(收款关联,$B479,收款金额),2))</f>
        <v/>
      </c>
      <c r="W479" s="40" t="str">
        <f aca="false">IF($C479="","",MAX(0,ROUND(N($K479)-N($V479),2)))</f>
        <v/>
      </c>
      <c r="X479" s="40" t="str">
        <f aca="false">IF($C479="","",ROUND(SUMIFS(应收净额,应收键,$D479,应收行号,"&lt;="&amp;ROW()),2))</f>
        <v/>
      </c>
      <c r="Y479" s="29" t="str">
        <f aca="false">IF($C479="","",ROW())</f>
        <v/>
      </c>
    </row>
    <row r="480" customFormat="false" ht="15" hidden="false" customHeight="false" outlineLevel="0" collapsed="false">
      <c r="A480" s="29" t="str">
        <f aca="false">IF($C480="","",ROW()-4)</f>
        <v/>
      </c>
      <c r="B480" s="35" t="str">
        <f aca="false">IF($C480="","","YS"&amp;TEXT($C480,"yyyymm")&amp;"-"&amp;TEXT(ROW()-4,"0000"))</f>
        <v/>
      </c>
      <c r="C480" s="33"/>
      <c r="D480" s="24"/>
      <c r="E480" s="30" t="str">
        <f aca="false">IF($D480="","",IFERROR(INDEX(合同单位,MATCH($D480,合同键,0)),IFERROR(TRIM(LEFT($D480,FIND("｜",$D480)-1)),$D480)))</f>
        <v/>
      </c>
      <c r="F480" s="30" t="str">
        <f aca="false">IF($D480="","",IFERROR(INDEX(合同项目,MATCH($D480,合同键,0)),IFERROR(TRIM(MID($D480,FIND("｜",$D480)+1,99)),"")))</f>
        <v/>
      </c>
      <c r="G480" s="24"/>
      <c r="H480" s="35" t="str">
        <f aca="false">IF($G480="","",IFERROR(INDEX(费用款别,MATCH($G480,费用类别表,0)),"合同外款"))</f>
        <v/>
      </c>
      <c r="I480" s="33"/>
      <c r="J480" s="33"/>
      <c r="K480" s="39"/>
      <c r="L480" s="33"/>
      <c r="M480" s="25"/>
      <c r="N480" s="39"/>
      <c r="O480" s="35" t="str">
        <f aca="false">IF($C480="","",IF(N($N480)&lt;=0,"未开票",IF(ROUND(N($N480)-N($K480),2)&gt;=0,"已开票",IFERROR("部分开票 "&amp;TEXT(N($N480)/N($K480),"0%"),"部分开票"))))</f>
        <v/>
      </c>
      <c r="P480" s="40" t="str">
        <f aca="false">IF($C480="","",ROUND($V480+MIN($W480,MAX(0,(SUMIF(收款键,$D480,收款金额)-SUMIFS(收款金额,收款键,$D480,收款关联,"&lt;&gt;"))-($X480-$W480))),2))</f>
        <v/>
      </c>
      <c r="Q480" s="41" t="str">
        <f aca="false">IF($C480="","",ROUND(N($K480)-N($P480),2))</f>
        <v/>
      </c>
      <c r="R480" s="29" t="str">
        <f aca="false">IF($C480="","",YEAR($C480))</f>
        <v/>
      </c>
      <c r="S480" s="24"/>
      <c r="T480" s="35" t="str">
        <f aca="false">IF($C480="","",IF($D480="","★没选客户项目",IF(COUNTIF(合同键,$D480)=0,"★《维保合同》里没这个项目",IF(N($K480)&lt;=0,"★应收金额要填",IF(ROUND(N($N480)-N($K480),2)&gt;0.001,"★开票金额大于应收",IF(AND($L480&lt;&gt;"",N($N480)&lt;=0),"★填了开票日期没填开票金额",IF(AND($I480&lt;&gt;"",$J480&lt;&gt;"",$J480&lt;$I480),"★计费期间起止反了","OK")))))))</f>
        <v/>
      </c>
      <c r="U480" s="29" t="str">
        <f aca="false">IF($L480="","",YEAR($L480))</f>
        <v/>
      </c>
      <c r="V480" s="40" t="str">
        <f aca="false">IF($C480="","",ROUND(SUMIF(收款关联,$B480,收款金额),2))</f>
        <v/>
      </c>
      <c r="W480" s="40" t="str">
        <f aca="false">IF($C480="","",MAX(0,ROUND(N($K480)-N($V480),2)))</f>
        <v/>
      </c>
      <c r="X480" s="40" t="str">
        <f aca="false">IF($C480="","",ROUND(SUMIFS(应收净额,应收键,$D480,应收行号,"&lt;="&amp;ROW()),2))</f>
        <v/>
      </c>
      <c r="Y480" s="29" t="str">
        <f aca="false">IF($C480="","",ROW())</f>
        <v/>
      </c>
    </row>
    <row r="481" customFormat="false" ht="15" hidden="false" customHeight="false" outlineLevel="0" collapsed="false">
      <c r="A481" s="29" t="str">
        <f aca="false">IF($C481="","",ROW()-4)</f>
        <v/>
      </c>
      <c r="B481" s="35" t="str">
        <f aca="false">IF($C481="","","YS"&amp;TEXT($C481,"yyyymm")&amp;"-"&amp;TEXT(ROW()-4,"0000"))</f>
        <v/>
      </c>
      <c r="C481" s="33"/>
      <c r="D481" s="24"/>
      <c r="E481" s="30" t="str">
        <f aca="false">IF($D481="","",IFERROR(INDEX(合同单位,MATCH($D481,合同键,0)),IFERROR(TRIM(LEFT($D481,FIND("｜",$D481)-1)),$D481)))</f>
        <v/>
      </c>
      <c r="F481" s="30" t="str">
        <f aca="false">IF($D481="","",IFERROR(INDEX(合同项目,MATCH($D481,合同键,0)),IFERROR(TRIM(MID($D481,FIND("｜",$D481)+1,99)),"")))</f>
        <v/>
      </c>
      <c r="G481" s="24"/>
      <c r="H481" s="35" t="str">
        <f aca="false">IF($G481="","",IFERROR(INDEX(费用款别,MATCH($G481,费用类别表,0)),"合同外款"))</f>
        <v/>
      </c>
      <c r="I481" s="33"/>
      <c r="J481" s="33"/>
      <c r="K481" s="39"/>
      <c r="L481" s="33"/>
      <c r="M481" s="25"/>
      <c r="N481" s="39"/>
      <c r="O481" s="35" t="str">
        <f aca="false">IF($C481="","",IF(N($N481)&lt;=0,"未开票",IF(ROUND(N($N481)-N($K481),2)&gt;=0,"已开票",IFERROR("部分开票 "&amp;TEXT(N($N481)/N($K481),"0%"),"部分开票"))))</f>
        <v/>
      </c>
      <c r="P481" s="40" t="str">
        <f aca="false">IF($C481="","",ROUND($V481+MIN($W481,MAX(0,(SUMIF(收款键,$D481,收款金额)-SUMIFS(收款金额,收款键,$D481,收款关联,"&lt;&gt;"))-($X481-$W481))),2))</f>
        <v/>
      </c>
      <c r="Q481" s="41" t="str">
        <f aca="false">IF($C481="","",ROUND(N($K481)-N($P481),2))</f>
        <v/>
      </c>
      <c r="R481" s="29" t="str">
        <f aca="false">IF($C481="","",YEAR($C481))</f>
        <v/>
      </c>
      <c r="S481" s="24"/>
      <c r="T481" s="35" t="str">
        <f aca="false">IF($C481="","",IF($D481="","★没选客户项目",IF(COUNTIF(合同键,$D481)=0,"★《维保合同》里没这个项目",IF(N($K481)&lt;=0,"★应收金额要填",IF(ROUND(N($N481)-N($K481),2)&gt;0.001,"★开票金额大于应收",IF(AND($L481&lt;&gt;"",N($N481)&lt;=0),"★填了开票日期没填开票金额",IF(AND($I481&lt;&gt;"",$J481&lt;&gt;"",$J481&lt;$I481),"★计费期间起止反了","OK")))))))</f>
        <v/>
      </c>
      <c r="U481" s="29" t="str">
        <f aca="false">IF($L481="","",YEAR($L481))</f>
        <v/>
      </c>
      <c r="V481" s="40" t="str">
        <f aca="false">IF($C481="","",ROUND(SUMIF(收款关联,$B481,收款金额),2))</f>
        <v/>
      </c>
      <c r="W481" s="40" t="str">
        <f aca="false">IF($C481="","",MAX(0,ROUND(N($K481)-N($V481),2)))</f>
        <v/>
      </c>
      <c r="X481" s="40" t="str">
        <f aca="false">IF($C481="","",ROUND(SUMIFS(应收净额,应收键,$D481,应收行号,"&lt;="&amp;ROW()),2))</f>
        <v/>
      </c>
      <c r="Y481" s="29" t="str">
        <f aca="false">IF($C481="","",ROW())</f>
        <v/>
      </c>
    </row>
    <row r="482" customFormat="false" ht="15" hidden="false" customHeight="false" outlineLevel="0" collapsed="false">
      <c r="A482" s="29" t="str">
        <f aca="false">IF($C482="","",ROW()-4)</f>
        <v/>
      </c>
      <c r="B482" s="35" t="str">
        <f aca="false">IF($C482="","","YS"&amp;TEXT($C482,"yyyymm")&amp;"-"&amp;TEXT(ROW()-4,"0000"))</f>
        <v/>
      </c>
      <c r="C482" s="33"/>
      <c r="D482" s="24"/>
      <c r="E482" s="30" t="str">
        <f aca="false">IF($D482="","",IFERROR(INDEX(合同单位,MATCH($D482,合同键,0)),IFERROR(TRIM(LEFT($D482,FIND("｜",$D482)-1)),$D482)))</f>
        <v/>
      </c>
      <c r="F482" s="30" t="str">
        <f aca="false">IF($D482="","",IFERROR(INDEX(合同项目,MATCH($D482,合同键,0)),IFERROR(TRIM(MID($D482,FIND("｜",$D482)+1,99)),"")))</f>
        <v/>
      </c>
      <c r="G482" s="24"/>
      <c r="H482" s="35" t="str">
        <f aca="false">IF($G482="","",IFERROR(INDEX(费用款别,MATCH($G482,费用类别表,0)),"合同外款"))</f>
        <v/>
      </c>
      <c r="I482" s="33"/>
      <c r="J482" s="33"/>
      <c r="K482" s="39"/>
      <c r="L482" s="33"/>
      <c r="M482" s="25"/>
      <c r="N482" s="39"/>
      <c r="O482" s="35" t="str">
        <f aca="false">IF($C482="","",IF(N($N482)&lt;=0,"未开票",IF(ROUND(N($N482)-N($K482),2)&gt;=0,"已开票",IFERROR("部分开票 "&amp;TEXT(N($N482)/N($K482),"0%"),"部分开票"))))</f>
        <v/>
      </c>
      <c r="P482" s="40" t="str">
        <f aca="false">IF($C482="","",ROUND($V482+MIN($W482,MAX(0,(SUMIF(收款键,$D482,收款金额)-SUMIFS(收款金额,收款键,$D482,收款关联,"&lt;&gt;"))-($X482-$W482))),2))</f>
        <v/>
      </c>
      <c r="Q482" s="41" t="str">
        <f aca="false">IF($C482="","",ROUND(N($K482)-N($P482),2))</f>
        <v/>
      </c>
      <c r="R482" s="29" t="str">
        <f aca="false">IF($C482="","",YEAR($C482))</f>
        <v/>
      </c>
      <c r="S482" s="24"/>
      <c r="T482" s="35" t="str">
        <f aca="false">IF($C482="","",IF($D482="","★没选客户项目",IF(COUNTIF(合同键,$D482)=0,"★《维保合同》里没这个项目",IF(N($K482)&lt;=0,"★应收金额要填",IF(ROUND(N($N482)-N($K482),2)&gt;0.001,"★开票金额大于应收",IF(AND($L482&lt;&gt;"",N($N482)&lt;=0),"★填了开票日期没填开票金额",IF(AND($I482&lt;&gt;"",$J482&lt;&gt;"",$J482&lt;$I482),"★计费期间起止反了","OK")))))))</f>
        <v/>
      </c>
      <c r="U482" s="29" t="str">
        <f aca="false">IF($L482="","",YEAR($L482))</f>
        <v/>
      </c>
      <c r="V482" s="40" t="str">
        <f aca="false">IF($C482="","",ROUND(SUMIF(收款关联,$B482,收款金额),2))</f>
        <v/>
      </c>
      <c r="W482" s="40" t="str">
        <f aca="false">IF($C482="","",MAX(0,ROUND(N($K482)-N($V482),2)))</f>
        <v/>
      </c>
      <c r="X482" s="40" t="str">
        <f aca="false">IF($C482="","",ROUND(SUMIFS(应收净额,应收键,$D482,应收行号,"&lt;="&amp;ROW()),2))</f>
        <v/>
      </c>
      <c r="Y482" s="29" t="str">
        <f aca="false">IF($C482="","",ROW())</f>
        <v/>
      </c>
    </row>
    <row r="483" customFormat="false" ht="15" hidden="false" customHeight="false" outlineLevel="0" collapsed="false">
      <c r="A483" s="29" t="str">
        <f aca="false">IF($C483="","",ROW()-4)</f>
        <v/>
      </c>
      <c r="B483" s="35" t="str">
        <f aca="false">IF($C483="","","YS"&amp;TEXT($C483,"yyyymm")&amp;"-"&amp;TEXT(ROW()-4,"0000"))</f>
        <v/>
      </c>
      <c r="C483" s="33"/>
      <c r="D483" s="24"/>
      <c r="E483" s="30" t="str">
        <f aca="false">IF($D483="","",IFERROR(INDEX(合同单位,MATCH($D483,合同键,0)),IFERROR(TRIM(LEFT($D483,FIND("｜",$D483)-1)),$D483)))</f>
        <v/>
      </c>
      <c r="F483" s="30" t="str">
        <f aca="false">IF($D483="","",IFERROR(INDEX(合同项目,MATCH($D483,合同键,0)),IFERROR(TRIM(MID($D483,FIND("｜",$D483)+1,99)),"")))</f>
        <v/>
      </c>
      <c r="G483" s="24"/>
      <c r="H483" s="35" t="str">
        <f aca="false">IF($G483="","",IFERROR(INDEX(费用款别,MATCH($G483,费用类别表,0)),"合同外款"))</f>
        <v/>
      </c>
      <c r="I483" s="33"/>
      <c r="J483" s="33"/>
      <c r="K483" s="39"/>
      <c r="L483" s="33"/>
      <c r="M483" s="25"/>
      <c r="N483" s="39"/>
      <c r="O483" s="35" t="str">
        <f aca="false">IF($C483="","",IF(N($N483)&lt;=0,"未开票",IF(ROUND(N($N483)-N($K483),2)&gt;=0,"已开票",IFERROR("部分开票 "&amp;TEXT(N($N483)/N($K483),"0%"),"部分开票"))))</f>
        <v/>
      </c>
      <c r="P483" s="40" t="str">
        <f aca="false">IF($C483="","",ROUND($V483+MIN($W483,MAX(0,(SUMIF(收款键,$D483,收款金额)-SUMIFS(收款金额,收款键,$D483,收款关联,"&lt;&gt;"))-($X483-$W483))),2))</f>
        <v/>
      </c>
      <c r="Q483" s="41" t="str">
        <f aca="false">IF($C483="","",ROUND(N($K483)-N($P483),2))</f>
        <v/>
      </c>
      <c r="R483" s="29" t="str">
        <f aca="false">IF($C483="","",YEAR($C483))</f>
        <v/>
      </c>
      <c r="S483" s="24"/>
      <c r="T483" s="35" t="str">
        <f aca="false">IF($C483="","",IF($D483="","★没选客户项目",IF(COUNTIF(合同键,$D483)=0,"★《维保合同》里没这个项目",IF(N($K483)&lt;=0,"★应收金额要填",IF(ROUND(N($N483)-N($K483),2)&gt;0.001,"★开票金额大于应收",IF(AND($L483&lt;&gt;"",N($N483)&lt;=0),"★填了开票日期没填开票金额",IF(AND($I483&lt;&gt;"",$J483&lt;&gt;"",$J483&lt;$I483),"★计费期间起止反了","OK")))))))</f>
        <v/>
      </c>
      <c r="U483" s="29" t="str">
        <f aca="false">IF($L483="","",YEAR($L483))</f>
        <v/>
      </c>
      <c r="V483" s="40" t="str">
        <f aca="false">IF($C483="","",ROUND(SUMIF(收款关联,$B483,收款金额),2))</f>
        <v/>
      </c>
      <c r="W483" s="40" t="str">
        <f aca="false">IF($C483="","",MAX(0,ROUND(N($K483)-N($V483),2)))</f>
        <v/>
      </c>
      <c r="X483" s="40" t="str">
        <f aca="false">IF($C483="","",ROUND(SUMIFS(应收净额,应收键,$D483,应收行号,"&lt;="&amp;ROW()),2))</f>
        <v/>
      </c>
      <c r="Y483" s="29" t="str">
        <f aca="false">IF($C483="","",ROW())</f>
        <v/>
      </c>
    </row>
    <row r="484" customFormat="false" ht="15" hidden="false" customHeight="false" outlineLevel="0" collapsed="false">
      <c r="A484" s="29" t="str">
        <f aca="false">IF($C484="","",ROW()-4)</f>
        <v/>
      </c>
      <c r="B484" s="35" t="str">
        <f aca="false">IF($C484="","","YS"&amp;TEXT($C484,"yyyymm")&amp;"-"&amp;TEXT(ROW()-4,"0000"))</f>
        <v/>
      </c>
      <c r="C484" s="33"/>
      <c r="D484" s="24"/>
      <c r="E484" s="30" t="str">
        <f aca="false">IF($D484="","",IFERROR(INDEX(合同单位,MATCH($D484,合同键,0)),IFERROR(TRIM(LEFT($D484,FIND("｜",$D484)-1)),$D484)))</f>
        <v/>
      </c>
      <c r="F484" s="30" t="str">
        <f aca="false">IF($D484="","",IFERROR(INDEX(合同项目,MATCH($D484,合同键,0)),IFERROR(TRIM(MID($D484,FIND("｜",$D484)+1,99)),"")))</f>
        <v/>
      </c>
      <c r="G484" s="24"/>
      <c r="H484" s="35" t="str">
        <f aca="false">IF($G484="","",IFERROR(INDEX(费用款别,MATCH($G484,费用类别表,0)),"合同外款"))</f>
        <v/>
      </c>
      <c r="I484" s="33"/>
      <c r="J484" s="33"/>
      <c r="K484" s="39"/>
      <c r="L484" s="33"/>
      <c r="M484" s="25"/>
      <c r="N484" s="39"/>
      <c r="O484" s="35" t="str">
        <f aca="false">IF($C484="","",IF(N($N484)&lt;=0,"未开票",IF(ROUND(N($N484)-N($K484),2)&gt;=0,"已开票",IFERROR("部分开票 "&amp;TEXT(N($N484)/N($K484),"0%"),"部分开票"))))</f>
        <v/>
      </c>
      <c r="P484" s="40" t="str">
        <f aca="false">IF($C484="","",ROUND($V484+MIN($W484,MAX(0,(SUMIF(收款键,$D484,收款金额)-SUMIFS(收款金额,收款键,$D484,收款关联,"&lt;&gt;"))-($X484-$W484))),2))</f>
        <v/>
      </c>
      <c r="Q484" s="41" t="str">
        <f aca="false">IF($C484="","",ROUND(N($K484)-N($P484),2))</f>
        <v/>
      </c>
      <c r="R484" s="29" t="str">
        <f aca="false">IF($C484="","",YEAR($C484))</f>
        <v/>
      </c>
      <c r="S484" s="24"/>
      <c r="T484" s="35" t="str">
        <f aca="false">IF($C484="","",IF($D484="","★没选客户项目",IF(COUNTIF(合同键,$D484)=0,"★《维保合同》里没这个项目",IF(N($K484)&lt;=0,"★应收金额要填",IF(ROUND(N($N484)-N($K484),2)&gt;0.001,"★开票金额大于应收",IF(AND($L484&lt;&gt;"",N($N484)&lt;=0),"★填了开票日期没填开票金额",IF(AND($I484&lt;&gt;"",$J484&lt;&gt;"",$J484&lt;$I484),"★计费期间起止反了","OK")))))))</f>
        <v/>
      </c>
      <c r="U484" s="29" t="str">
        <f aca="false">IF($L484="","",YEAR($L484))</f>
        <v/>
      </c>
      <c r="V484" s="40" t="str">
        <f aca="false">IF($C484="","",ROUND(SUMIF(收款关联,$B484,收款金额),2))</f>
        <v/>
      </c>
      <c r="W484" s="40" t="str">
        <f aca="false">IF($C484="","",MAX(0,ROUND(N($K484)-N($V484),2)))</f>
        <v/>
      </c>
      <c r="X484" s="40" t="str">
        <f aca="false">IF($C484="","",ROUND(SUMIFS(应收净额,应收键,$D484,应收行号,"&lt;="&amp;ROW()),2))</f>
        <v/>
      </c>
      <c r="Y484" s="29" t="str">
        <f aca="false">IF($C484="","",ROW())</f>
        <v/>
      </c>
    </row>
    <row r="485" customFormat="false" ht="15" hidden="false" customHeight="false" outlineLevel="0" collapsed="false">
      <c r="A485" s="29" t="str">
        <f aca="false">IF($C485="","",ROW()-4)</f>
        <v/>
      </c>
      <c r="B485" s="35" t="str">
        <f aca="false">IF($C485="","","YS"&amp;TEXT($C485,"yyyymm")&amp;"-"&amp;TEXT(ROW()-4,"0000"))</f>
        <v/>
      </c>
      <c r="C485" s="33"/>
      <c r="D485" s="24"/>
      <c r="E485" s="30" t="str">
        <f aca="false">IF($D485="","",IFERROR(INDEX(合同单位,MATCH($D485,合同键,0)),IFERROR(TRIM(LEFT($D485,FIND("｜",$D485)-1)),$D485)))</f>
        <v/>
      </c>
      <c r="F485" s="30" t="str">
        <f aca="false">IF($D485="","",IFERROR(INDEX(合同项目,MATCH($D485,合同键,0)),IFERROR(TRIM(MID($D485,FIND("｜",$D485)+1,99)),"")))</f>
        <v/>
      </c>
      <c r="G485" s="24"/>
      <c r="H485" s="35" t="str">
        <f aca="false">IF($G485="","",IFERROR(INDEX(费用款别,MATCH($G485,费用类别表,0)),"合同外款"))</f>
        <v/>
      </c>
      <c r="I485" s="33"/>
      <c r="J485" s="33"/>
      <c r="K485" s="39"/>
      <c r="L485" s="33"/>
      <c r="M485" s="25"/>
      <c r="N485" s="39"/>
      <c r="O485" s="35" t="str">
        <f aca="false">IF($C485="","",IF(N($N485)&lt;=0,"未开票",IF(ROUND(N($N485)-N($K485),2)&gt;=0,"已开票",IFERROR("部分开票 "&amp;TEXT(N($N485)/N($K485),"0%"),"部分开票"))))</f>
        <v/>
      </c>
      <c r="P485" s="40" t="str">
        <f aca="false">IF($C485="","",ROUND($V485+MIN($W485,MAX(0,(SUMIF(收款键,$D485,收款金额)-SUMIFS(收款金额,收款键,$D485,收款关联,"&lt;&gt;"))-($X485-$W485))),2))</f>
        <v/>
      </c>
      <c r="Q485" s="41" t="str">
        <f aca="false">IF($C485="","",ROUND(N($K485)-N($P485),2))</f>
        <v/>
      </c>
      <c r="R485" s="29" t="str">
        <f aca="false">IF($C485="","",YEAR($C485))</f>
        <v/>
      </c>
      <c r="S485" s="24"/>
      <c r="T485" s="35" t="str">
        <f aca="false">IF($C485="","",IF($D485="","★没选客户项目",IF(COUNTIF(合同键,$D485)=0,"★《维保合同》里没这个项目",IF(N($K485)&lt;=0,"★应收金额要填",IF(ROUND(N($N485)-N($K485),2)&gt;0.001,"★开票金额大于应收",IF(AND($L485&lt;&gt;"",N($N485)&lt;=0),"★填了开票日期没填开票金额",IF(AND($I485&lt;&gt;"",$J485&lt;&gt;"",$J485&lt;$I485),"★计费期间起止反了","OK")))))))</f>
        <v/>
      </c>
      <c r="U485" s="29" t="str">
        <f aca="false">IF($L485="","",YEAR($L485))</f>
        <v/>
      </c>
      <c r="V485" s="40" t="str">
        <f aca="false">IF($C485="","",ROUND(SUMIF(收款关联,$B485,收款金额),2))</f>
        <v/>
      </c>
      <c r="W485" s="40" t="str">
        <f aca="false">IF($C485="","",MAX(0,ROUND(N($K485)-N($V485),2)))</f>
        <v/>
      </c>
      <c r="X485" s="40" t="str">
        <f aca="false">IF($C485="","",ROUND(SUMIFS(应收净额,应收键,$D485,应收行号,"&lt;="&amp;ROW()),2))</f>
        <v/>
      </c>
      <c r="Y485" s="29" t="str">
        <f aca="false">IF($C485="","",ROW())</f>
        <v/>
      </c>
    </row>
    <row r="486" customFormat="false" ht="15" hidden="false" customHeight="false" outlineLevel="0" collapsed="false">
      <c r="A486" s="29" t="str">
        <f aca="false">IF($C486="","",ROW()-4)</f>
        <v/>
      </c>
      <c r="B486" s="35" t="str">
        <f aca="false">IF($C486="","","YS"&amp;TEXT($C486,"yyyymm")&amp;"-"&amp;TEXT(ROW()-4,"0000"))</f>
        <v/>
      </c>
      <c r="C486" s="33"/>
      <c r="D486" s="24"/>
      <c r="E486" s="30" t="str">
        <f aca="false">IF($D486="","",IFERROR(INDEX(合同单位,MATCH($D486,合同键,0)),IFERROR(TRIM(LEFT($D486,FIND("｜",$D486)-1)),$D486)))</f>
        <v/>
      </c>
      <c r="F486" s="30" t="str">
        <f aca="false">IF($D486="","",IFERROR(INDEX(合同项目,MATCH($D486,合同键,0)),IFERROR(TRIM(MID($D486,FIND("｜",$D486)+1,99)),"")))</f>
        <v/>
      </c>
      <c r="G486" s="24"/>
      <c r="H486" s="35" t="str">
        <f aca="false">IF($G486="","",IFERROR(INDEX(费用款别,MATCH($G486,费用类别表,0)),"合同外款"))</f>
        <v/>
      </c>
      <c r="I486" s="33"/>
      <c r="J486" s="33"/>
      <c r="K486" s="39"/>
      <c r="L486" s="33"/>
      <c r="M486" s="25"/>
      <c r="N486" s="39"/>
      <c r="O486" s="35" t="str">
        <f aca="false">IF($C486="","",IF(N($N486)&lt;=0,"未开票",IF(ROUND(N($N486)-N($K486),2)&gt;=0,"已开票",IFERROR("部分开票 "&amp;TEXT(N($N486)/N($K486),"0%"),"部分开票"))))</f>
        <v/>
      </c>
      <c r="P486" s="40" t="str">
        <f aca="false">IF($C486="","",ROUND($V486+MIN($W486,MAX(0,(SUMIF(收款键,$D486,收款金额)-SUMIFS(收款金额,收款键,$D486,收款关联,"&lt;&gt;"))-($X486-$W486))),2))</f>
        <v/>
      </c>
      <c r="Q486" s="41" t="str">
        <f aca="false">IF($C486="","",ROUND(N($K486)-N($P486),2))</f>
        <v/>
      </c>
      <c r="R486" s="29" t="str">
        <f aca="false">IF($C486="","",YEAR($C486))</f>
        <v/>
      </c>
      <c r="S486" s="24"/>
      <c r="T486" s="35" t="str">
        <f aca="false">IF($C486="","",IF($D486="","★没选客户项目",IF(COUNTIF(合同键,$D486)=0,"★《维保合同》里没这个项目",IF(N($K486)&lt;=0,"★应收金额要填",IF(ROUND(N($N486)-N($K486),2)&gt;0.001,"★开票金额大于应收",IF(AND($L486&lt;&gt;"",N($N486)&lt;=0),"★填了开票日期没填开票金额",IF(AND($I486&lt;&gt;"",$J486&lt;&gt;"",$J486&lt;$I486),"★计费期间起止反了","OK")))))))</f>
        <v/>
      </c>
      <c r="U486" s="29" t="str">
        <f aca="false">IF($L486="","",YEAR($L486))</f>
        <v/>
      </c>
      <c r="V486" s="40" t="str">
        <f aca="false">IF($C486="","",ROUND(SUMIF(收款关联,$B486,收款金额),2))</f>
        <v/>
      </c>
      <c r="W486" s="40" t="str">
        <f aca="false">IF($C486="","",MAX(0,ROUND(N($K486)-N($V486),2)))</f>
        <v/>
      </c>
      <c r="X486" s="40" t="str">
        <f aca="false">IF($C486="","",ROUND(SUMIFS(应收净额,应收键,$D486,应收行号,"&lt;="&amp;ROW()),2))</f>
        <v/>
      </c>
      <c r="Y486" s="29" t="str">
        <f aca="false">IF($C486="","",ROW())</f>
        <v/>
      </c>
    </row>
    <row r="487" customFormat="false" ht="15" hidden="false" customHeight="false" outlineLevel="0" collapsed="false">
      <c r="A487" s="29" t="str">
        <f aca="false">IF($C487="","",ROW()-4)</f>
        <v/>
      </c>
      <c r="B487" s="35" t="str">
        <f aca="false">IF($C487="","","YS"&amp;TEXT($C487,"yyyymm")&amp;"-"&amp;TEXT(ROW()-4,"0000"))</f>
        <v/>
      </c>
      <c r="C487" s="33"/>
      <c r="D487" s="24"/>
      <c r="E487" s="30" t="str">
        <f aca="false">IF($D487="","",IFERROR(INDEX(合同单位,MATCH($D487,合同键,0)),IFERROR(TRIM(LEFT($D487,FIND("｜",$D487)-1)),$D487)))</f>
        <v/>
      </c>
      <c r="F487" s="30" t="str">
        <f aca="false">IF($D487="","",IFERROR(INDEX(合同项目,MATCH($D487,合同键,0)),IFERROR(TRIM(MID($D487,FIND("｜",$D487)+1,99)),"")))</f>
        <v/>
      </c>
      <c r="G487" s="24"/>
      <c r="H487" s="35" t="str">
        <f aca="false">IF($G487="","",IFERROR(INDEX(费用款别,MATCH($G487,费用类别表,0)),"合同外款"))</f>
        <v/>
      </c>
      <c r="I487" s="33"/>
      <c r="J487" s="33"/>
      <c r="K487" s="39"/>
      <c r="L487" s="33"/>
      <c r="M487" s="25"/>
      <c r="N487" s="39"/>
      <c r="O487" s="35" t="str">
        <f aca="false">IF($C487="","",IF(N($N487)&lt;=0,"未开票",IF(ROUND(N($N487)-N($K487),2)&gt;=0,"已开票",IFERROR("部分开票 "&amp;TEXT(N($N487)/N($K487),"0%"),"部分开票"))))</f>
        <v/>
      </c>
      <c r="P487" s="40" t="str">
        <f aca="false">IF($C487="","",ROUND($V487+MIN($W487,MAX(0,(SUMIF(收款键,$D487,收款金额)-SUMIFS(收款金额,收款键,$D487,收款关联,"&lt;&gt;"))-($X487-$W487))),2))</f>
        <v/>
      </c>
      <c r="Q487" s="41" t="str">
        <f aca="false">IF($C487="","",ROUND(N($K487)-N($P487),2))</f>
        <v/>
      </c>
      <c r="R487" s="29" t="str">
        <f aca="false">IF($C487="","",YEAR($C487))</f>
        <v/>
      </c>
      <c r="S487" s="24"/>
      <c r="T487" s="35" t="str">
        <f aca="false">IF($C487="","",IF($D487="","★没选客户项目",IF(COUNTIF(合同键,$D487)=0,"★《维保合同》里没这个项目",IF(N($K487)&lt;=0,"★应收金额要填",IF(ROUND(N($N487)-N($K487),2)&gt;0.001,"★开票金额大于应收",IF(AND($L487&lt;&gt;"",N($N487)&lt;=0),"★填了开票日期没填开票金额",IF(AND($I487&lt;&gt;"",$J487&lt;&gt;"",$J487&lt;$I487),"★计费期间起止反了","OK")))))))</f>
        <v/>
      </c>
      <c r="U487" s="29" t="str">
        <f aca="false">IF($L487="","",YEAR($L487))</f>
        <v/>
      </c>
      <c r="V487" s="40" t="str">
        <f aca="false">IF($C487="","",ROUND(SUMIF(收款关联,$B487,收款金额),2))</f>
        <v/>
      </c>
      <c r="W487" s="40" t="str">
        <f aca="false">IF($C487="","",MAX(0,ROUND(N($K487)-N($V487),2)))</f>
        <v/>
      </c>
      <c r="X487" s="40" t="str">
        <f aca="false">IF($C487="","",ROUND(SUMIFS(应收净额,应收键,$D487,应收行号,"&lt;="&amp;ROW()),2))</f>
        <v/>
      </c>
      <c r="Y487" s="29" t="str">
        <f aca="false">IF($C487="","",ROW())</f>
        <v/>
      </c>
    </row>
    <row r="488" customFormat="false" ht="15" hidden="false" customHeight="false" outlineLevel="0" collapsed="false">
      <c r="A488" s="29" t="str">
        <f aca="false">IF($C488="","",ROW()-4)</f>
        <v/>
      </c>
      <c r="B488" s="35" t="str">
        <f aca="false">IF($C488="","","YS"&amp;TEXT($C488,"yyyymm")&amp;"-"&amp;TEXT(ROW()-4,"0000"))</f>
        <v/>
      </c>
      <c r="C488" s="33"/>
      <c r="D488" s="24"/>
      <c r="E488" s="30" t="str">
        <f aca="false">IF($D488="","",IFERROR(INDEX(合同单位,MATCH($D488,合同键,0)),IFERROR(TRIM(LEFT($D488,FIND("｜",$D488)-1)),$D488)))</f>
        <v/>
      </c>
      <c r="F488" s="30" t="str">
        <f aca="false">IF($D488="","",IFERROR(INDEX(合同项目,MATCH($D488,合同键,0)),IFERROR(TRIM(MID($D488,FIND("｜",$D488)+1,99)),"")))</f>
        <v/>
      </c>
      <c r="G488" s="24"/>
      <c r="H488" s="35" t="str">
        <f aca="false">IF($G488="","",IFERROR(INDEX(费用款别,MATCH($G488,费用类别表,0)),"合同外款"))</f>
        <v/>
      </c>
      <c r="I488" s="33"/>
      <c r="J488" s="33"/>
      <c r="K488" s="39"/>
      <c r="L488" s="33"/>
      <c r="M488" s="25"/>
      <c r="N488" s="39"/>
      <c r="O488" s="35" t="str">
        <f aca="false">IF($C488="","",IF(N($N488)&lt;=0,"未开票",IF(ROUND(N($N488)-N($K488),2)&gt;=0,"已开票",IFERROR("部分开票 "&amp;TEXT(N($N488)/N($K488),"0%"),"部分开票"))))</f>
        <v/>
      </c>
      <c r="P488" s="40" t="str">
        <f aca="false">IF($C488="","",ROUND($V488+MIN($W488,MAX(0,(SUMIF(收款键,$D488,收款金额)-SUMIFS(收款金额,收款键,$D488,收款关联,"&lt;&gt;"))-($X488-$W488))),2))</f>
        <v/>
      </c>
      <c r="Q488" s="41" t="str">
        <f aca="false">IF($C488="","",ROUND(N($K488)-N($P488),2))</f>
        <v/>
      </c>
      <c r="R488" s="29" t="str">
        <f aca="false">IF($C488="","",YEAR($C488))</f>
        <v/>
      </c>
      <c r="S488" s="24"/>
      <c r="T488" s="35" t="str">
        <f aca="false">IF($C488="","",IF($D488="","★没选客户项目",IF(COUNTIF(合同键,$D488)=0,"★《维保合同》里没这个项目",IF(N($K488)&lt;=0,"★应收金额要填",IF(ROUND(N($N488)-N($K488),2)&gt;0.001,"★开票金额大于应收",IF(AND($L488&lt;&gt;"",N($N488)&lt;=0),"★填了开票日期没填开票金额",IF(AND($I488&lt;&gt;"",$J488&lt;&gt;"",$J488&lt;$I488),"★计费期间起止反了","OK")))))))</f>
        <v/>
      </c>
      <c r="U488" s="29" t="str">
        <f aca="false">IF($L488="","",YEAR($L488))</f>
        <v/>
      </c>
      <c r="V488" s="40" t="str">
        <f aca="false">IF($C488="","",ROUND(SUMIF(收款关联,$B488,收款金额),2))</f>
        <v/>
      </c>
      <c r="W488" s="40" t="str">
        <f aca="false">IF($C488="","",MAX(0,ROUND(N($K488)-N($V488),2)))</f>
        <v/>
      </c>
      <c r="X488" s="40" t="str">
        <f aca="false">IF($C488="","",ROUND(SUMIFS(应收净额,应收键,$D488,应收行号,"&lt;="&amp;ROW()),2))</f>
        <v/>
      </c>
      <c r="Y488" s="29" t="str">
        <f aca="false">IF($C488="","",ROW())</f>
        <v/>
      </c>
    </row>
    <row r="489" customFormat="false" ht="15" hidden="false" customHeight="false" outlineLevel="0" collapsed="false">
      <c r="A489" s="29" t="str">
        <f aca="false">IF($C489="","",ROW()-4)</f>
        <v/>
      </c>
      <c r="B489" s="35" t="str">
        <f aca="false">IF($C489="","","YS"&amp;TEXT($C489,"yyyymm")&amp;"-"&amp;TEXT(ROW()-4,"0000"))</f>
        <v/>
      </c>
      <c r="C489" s="33"/>
      <c r="D489" s="24"/>
      <c r="E489" s="30" t="str">
        <f aca="false">IF($D489="","",IFERROR(INDEX(合同单位,MATCH($D489,合同键,0)),IFERROR(TRIM(LEFT($D489,FIND("｜",$D489)-1)),$D489)))</f>
        <v/>
      </c>
      <c r="F489" s="30" t="str">
        <f aca="false">IF($D489="","",IFERROR(INDEX(合同项目,MATCH($D489,合同键,0)),IFERROR(TRIM(MID($D489,FIND("｜",$D489)+1,99)),"")))</f>
        <v/>
      </c>
      <c r="G489" s="24"/>
      <c r="H489" s="35" t="str">
        <f aca="false">IF($G489="","",IFERROR(INDEX(费用款别,MATCH($G489,费用类别表,0)),"合同外款"))</f>
        <v/>
      </c>
      <c r="I489" s="33"/>
      <c r="J489" s="33"/>
      <c r="K489" s="39"/>
      <c r="L489" s="33"/>
      <c r="M489" s="25"/>
      <c r="N489" s="39"/>
      <c r="O489" s="35" t="str">
        <f aca="false">IF($C489="","",IF(N($N489)&lt;=0,"未开票",IF(ROUND(N($N489)-N($K489),2)&gt;=0,"已开票",IFERROR("部分开票 "&amp;TEXT(N($N489)/N($K489),"0%"),"部分开票"))))</f>
        <v/>
      </c>
      <c r="P489" s="40" t="str">
        <f aca="false">IF($C489="","",ROUND($V489+MIN($W489,MAX(0,(SUMIF(收款键,$D489,收款金额)-SUMIFS(收款金额,收款键,$D489,收款关联,"&lt;&gt;"))-($X489-$W489))),2))</f>
        <v/>
      </c>
      <c r="Q489" s="41" t="str">
        <f aca="false">IF($C489="","",ROUND(N($K489)-N($P489),2))</f>
        <v/>
      </c>
      <c r="R489" s="29" t="str">
        <f aca="false">IF($C489="","",YEAR($C489))</f>
        <v/>
      </c>
      <c r="S489" s="24"/>
      <c r="T489" s="35" t="str">
        <f aca="false">IF($C489="","",IF($D489="","★没选客户项目",IF(COUNTIF(合同键,$D489)=0,"★《维保合同》里没这个项目",IF(N($K489)&lt;=0,"★应收金额要填",IF(ROUND(N($N489)-N($K489),2)&gt;0.001,"★开票金额大于应收",IF(AND($L489&lt;&gt;"",N($N489)&lt;=0),"★填了开票日期没填开票金额",IF(AND($I489&lt;&gt;"",$J489&lt;&gt;"",$J489&lt;$I489),"★计费期间起止反了","OK")))))))</f>
        <v/>
      </c>
      <c r="U489" s="29" t="str">
        <f aca="false">IF($L489="","",YEAR($L489))</f>
        <v/>
      </c>
      <c r="V489" s="40" t="str">
        <f aca="false">IF($C489="","",ROUND(SUMIF(收款关联,$B489,收款金额),2))</f>
        <v/>
      </c>
      <c r="W489" s="40" t="str">
        <f aca="false">IF($C489="","",MAX(0,ROUND(N($K489)-N($V489),2)))</f>
        <v/>
      </c>
      <c r="X489" s="40" t="str">
        <f aca="false">IF($C489="","",ROUND(SUMIFS(应收净额,应收键,$D489,应收行号,"&lt;="&amp;ROW()),2))</f>
        <v/>
      </c>
      <c r="Y489" s="29" t="str">
        <f aca="false">IF($C489="","",ROW())</f>
        <v/>
      </c>
    </row>
    <row r="490" customFormat="false" ht="15" hidden="false" customHeight="false" outlineLevel="0" collapsed="false">
      <c r="A490" s="29" t="str">
        <f aca="false">IF($C490="","",ROW()-4)</f>
        <v/>
      </c>
      <c r="B490" s="35" t="str">
        <f aca="false">IF($C490="","","YS"&amp;TEXT($C490,"yyyymm")&amp;"-"&amp;TEXT(ROW()-4,"0000"))</f>
        <v/>
      </c>
      <c r="C490" s="33"/>
      <c r="D490" s="24"/>
      <c r="E490" s="30" t="str">
        <f aca="false">IF($D490="","",IFERROR(INDEX(合同单位,MATCH($D490,合同键,0)),IFERROR(TRIM(LEFT($D490,FIND("｜",$D490)-1)),$D490)))</f>
        <v/>
      </c>
      <c r="F490" s="30" t="str">
        <f aca="false">IF($D490="","",IFERROR(INDEX(合同项目,MATCH($D490,合同键,0)),IFERROR(TRIM(MID($D490,FIND("｜",$D490)+1,99)),"")))</f>
        <v/>
      </c>
      <c r="G490" s="24"/>
      <c r="H490" s="35" t="str">
        <f aca="false">IF($G490="","",IFERROR(INDEX(费用款别,MATCH($G490,费用类别表,0)),"合同外款"))</f>
        <v/>
      </c>
      <c r="I490" s="33"/>
      <c r="J490" s="33"/>
      <c r="K490" s="39"/>
      <c r="L490" s="33"/>
      <c r="M490" s="25"/>
      <c r="N490" s="39"/>
      <c r="O490" s="35" t="str">
        <f aca="false">IF($C490="","",IF(N($N490)&lt;=0,"未开票",IF(ROUND(N($N490)-N($K490),2)&gt;=0,"已开票",IFERROR("部分开票 "&amp;TEXT(N($N490)/N($K490),"0%"),"部分开票"))))</f>
        <v/>
      </c>
      <c r="P490" s="40" t="str">
        <f aca="false">IF($C490="","",ROUND($V490+MIN($W490,MAX(0,(SUMIF(收款键,$D490,收款金额)-SUMIFS(收款金额,收款键,$D490,收款关联,"&lt;&gt;"))-($X490-$W490))),2))</f>
        <v/>
      </c>
      <c r="Q490" s="41" t="str">
        <f aca="false">IF($C490="","",ROUND(N($K490)-N($P490),2))</f>
        <v/>
      </c>
      <c r="R490" s="29" t="str">
        <f aca="false">IF($C490="","",YEAR($C490))</f>
        <v/>
      </c>
      <c r="S490" s="24"/>
      <c r="T490" s="35" t="str">
        <f aca="false">IF($C490="","",IF($D490="","★没选客户项目",IF(COUNTIF(合同键,$D490)=0,"★《维保合同》里没这个项目",IF(N($K490)&lt;=0,"★应收金额要填",IF(ROUND(N($N490)-N($K490),2)&gt;0.001,"★开票金额大于应收",IF(AND($L490&lt;&gt;"",N($N490)&lt;=0),"★填了开票日期没填开票金额",IF(AND($I490&lt;&gt;"",$J490&lt;&gt;"",$J490&lt;$I490),"★计费期间起止反了","OK")))))))</f>
        <v/>
      </c>
      <c r="U490" s="29" t="str">
        <f aca="false">IF($L490="","",YEAR($L490))</f>
        <v/>
      </c>
      <c r="V490" s="40" t="str">
        <f aca="false">IF($C490="","",ROUND(SUMIF(收款关联,$B490,收款金额),2))</f>
        <v/>
      </c>
      <c r="W490" s="40" t="str">
        <f aca="false">IF($C490="","",MAX(0,ROUND(N($K490)-N($V490),2)))</f>
        <v/>
      </c>
      <c r="X490" s="40" t="str">
        <f aca="false">IF($C490="","",ROUND(SUMIFS(应收净额,应收键,$D490,应收行号,"&lt;="&amp;ROW()),2))</f>
        <v/>
      </c>
      <c r="Y490" s="29" t="str">
        <f aca="false">IF($C490="","",ROW())</f>
        <v/>
      </c>
    </row>
    <row r="491" customFormat="false" ht="15" hidden="false" customHeight="false" outlineLevel="0" collapsed="false">
      <c r="A491" s="29" t="str">
        <f aca="false">IF($C491="","",ROW()-4)</f>
        <v/>
      </c>
      <c r="B491" s="35" t="str">
        <f aca="false">IF($C491="","","YS"&amp;TEXT($C491,"yyyymm")&amp;"-"&amp;TEXT(ROW()-4,"0000"))</f>
        <v/>
      </c>
      <c r="C491" s="33"/>
      <c r="D491" s="24"/>
      <c r="E491" s="30" t="str">
        <f aca="false">IF($D491="","",IFERROR(INDEX(合同单位,MATCH($D491,合同键,0)),IFERROR(TRIM(LEFT($D491,FIND("｜",$D491)-1)),$D491)))</f>
        <v/>
      </c>
      <c r="F491" s="30" t="str">
        <f aca="false">IF($D491="","",IFERROR(INDEX(合同项目,MATCH($D491,合同键,0)),IFERROR(TRIM(MID($D491,FIND("｜",$D491)+1,99)),"")))</f>
        <v/>
      </c>
      <c r="G491" s="24"/>
      <c r="H491" s="35" t="str">
        <f aca="false">IF($G491="","",IFERROR(INDEX(费用款别,MATCH($G491,费用类别表,0)),"合同外款"))</f>
        <v/>
      </c>
      <c r="I491" s="33"/>
      <c r="J491" s="33"/>
      <c r="K491" s="39"/>
      <c r="L491" s="33"/>
      <c r="M491" s="25"/>
      <c r="N491" s="39"/>
      <c r="O491" s="35" t="str">
        <f aca="false">IF($C491="","",IF(N($N491)&lt;=0,"未开票",IF(ROUND(N($N491)-N($K491),2)&gt;=0,"已开票",IFERROR("部分开票 "&amp;TEXT(N($N491)/N($K491),"0%"),"部分开票"))))</f>
        <v/>
      </c>
      <c r="P491" s="40" t="str">
        <f aca="false">IF($C491="","",ROUND($V491+MIN($W491,MAX(0,(SUMIF(收款键,$D491,收款金额)-SUMIFS(收款金额,收款键,$D491,收款关联,"&lt;&gt;"))-($X491-$W491))),2))</f>
        <v/>
      </c>
      <c r="Q491" s="41" t="str">
        <f aca="false">IF($C491="","",ROUND(N($K491)-N($P491),2))</f>
        <v/>
      </c>
      <c r="R491" s="29" t="str">
        <f aca="false">IF($C491="","",YEAR($C491))</f>
        <v/>
      </c>
      <c r="S491" s="24"/>
      <c r="T491" s="35" t="str">
        <f aca="false">IF($C491="","",IF($D491="","★没选客户项目",IF(COUNTIF(合同键,$D491)=0,"★《维保合同》里没这个项目",IF(N($K491)&lt;=0,"★应收金额要填",IF(ROUND(N($N491)-N($K491),2)&gt;0.001,"★开票金额大于应收",IF(AND($L491&lt;&gt;"",N($N491)&lt;=0),"★填了开票日期没填开票金额",IF(AND($I491&lt;&gt;"",$J491&lt;&gt;"",$J491&lt;$I491),"★计费期间起止反了","OK")))))))</f>
        <v/>
      </c>
      <c r="U491" s="29" t="str">
        <f aca="false">IF($L491="","",YEAR($L491))</f>
        <v/>
      </c>
      <c r="V491" s="40" t="str">
        <f aca="false">IF($C491="","",ROUND(SUMIF(收款关联,$B491,收款金额),2))</f>
        <v/>
      </c>
      <c r="W491" s="40" t="str">
        <f aca="false">IF($C491="","",MAX(0,ROUND(N($K491)-N($V491),2)))</f>
        <v/>
      </c>
      <c r="X491" s="40" t="str">
        <f aca="false">IF($C491="","",ROUND(SUMIFS(应收净额,应收键,$D491,应收行号,"&lt;="&amp;ROW()),2))</f>
        <v/>
      </c>
      <c r="Y491" s="29" t="str">
        <f aca="false">IF($C491="","",ROW())</f>
        <v/>
      </c>
    </row>
    <row r="492" customFormat="false" ht="15" hidden="false" customHeight="false" outlineLevel="0" collapsed="false">
      <c r="A492" s="29" t="str">
        <f aca="false">IF($C492="","",ROW()-4)</f>
        <v/>
      </c>
      <c r="B492" s="35" t="str">
        <f aca="false">IF($C492="","","YS"&amp;TEXT($C492,"yyyymm")&amp;"-"&amp;TEXT(ROW()-4,"0000"))</f>
        <v/>
      </c>
      <c r="C492" s="33"/>
      <c r="D492" s="24"/>
      <c r="E492" s="30" t="str">
        <f aca="false">IF($D492="","",IFERROR(INDEX(合同单位,MATCH($D492,合同键,0)),IFERROR(TRIM(LEFT($D492,FIND("｜",$D492)-1)),$D492)))</f>
        <v/>
      </c>
      <c r="F492" s="30" t="str">
        <f aca="false">IF($D492="","",IFERROR(INDEX(合同项目,MATCH($D492,合同键,0)),IFERROR(TRIM(MID($D492,FIND("｜",$D492)+1,99)),"")))</f>
        <v/>
      </c>
      <c r="G492" s="24"/>
      <c r="H492" s="35" t="str">
        <f aca="false">IF($G492="","",IFERROR(INDEX(费用款别,MATCH($G492,费用类别表,0)),"合同外款"))</f>
        <v/>
      </c>
      <c r="I492" s="33"/>
      <c r="J492" s="33"/>
      <c r="K492" s="39"/>
      <c r="L492" s="33"/>
      <c r="M492" s="25"/>
      <c r="N492" s="39"/>
      <c r="O492" s="35" t="str">
        <f aca="false">IF($C492="","",IF(N($N492)&lt;=0,"未开票",IF(ROUND(N($N492)-N($K492),2)&gt;=0,"已开票",IFERROR("部分开票 "&amp;TEXT(N($N492)/N($K492),"0%"),"部分开票"))))</f>
        <v/>
      </c>
      <c r="P492" s="40" t="str">
        <f aca="false">IF($C492="","",ROUND($V492+MIN($W492,MAX(0,(SUMIF(收款键,$D492,收款金额)-SUMIFS(收款金额,收款键,$D492,收款关联,"&lt;&gt;"))-($X492-$W492))),2))</f>
        <v/>
      </c>
      <c r="Q492" s="41" t="str">
        <f aca="false">IF($C492="","",ROUND(N($K492)-N($P492),2))</f>
        <v/>
      </c>
      <c r="R492" s="29" t="str">
        <f aca="false">IF($C492="","",YEAR($C492))</f>
        <v/>
      </c>
      <c r="S492" s="24"/>
      <c r="T492" s="35" t="str">
        <f aca="false">IF($C492="","",IF($D492="","★没选客户项目",IF(COUNTIF(合同键,$D492)=0,"★《维保合同》里没这个项目",IF(N($K492)&lt;=0,"★应收金额要填",IF(ROUND(N($N492)-N($K492),2)&gt;0.001,"★开票金额大于应收",IF(AND($L492&lt;&gt;"",N($N492)&lt;=0),"★填了开票日期没填开票金额",IF(AND($I492&lt;&gt;"",$J492&lt;&gt;"",$J492&lt;$I492),"★计费期间起止反了","OK")))))))</f>
        <v/>
      </c>
      <c r="U492" s="29" t="str">
        <f aca="false">IF($L492="","",YEAR($L492))</f>
        <v/>
      </c>
      <c r="V492" s="40" t="str">
        <f aca="false">IF($C492="","",ROUND(SUMIF(收款关联,$B492,收款金额),2))</f>
        <v/>
      </c>
      <c r="W492" s="40" t="str">
        <f aca="false">IF($C492="","",MAX(0,ROUND(N($K492)-N($V492),2)))</f>
        <v/>
      </c>
      <c r="X492" s="40" t="str">
        <f aca="false">IF($C492="","",ROUND(SUMIFS(应收净额,应收键,$D492,应收行号,"&lt;="&amp;ROW()),2))</f>
        <v/>
      </c>
      <c r="Y492" s="29" t="str">
        <f aca="false">IF($C492="","",ROW())</f>
        <v/>
      </c>
    </row>
    <row r="493" customFormat="false" ht="15" hidden="false" customHeight="false" outlineLevel="0" collapsed="false">
      <c r="A493" s="29" t="str">
        <f aca="false">IF($C493="","",ROW()-4)</f>
        <v/>
      </c>
      <c r="B493" s="35" t="str">
        <f aca="false">IF($C493="","","YS"&amp;TEXT($C493,"yyyymm")&amp;"-"&amp;TEXT(ROW()-4,"0000"))</f>
        <v/>
      </c>
      <c r="C493" s="33"/>
      <c r="D493" s="24"/>
      <c r="E493" s="30" t="str">
        <f aca="false">IF($D493="","",IFERROR(INDEX(合同单位,MATCH($D493,合同键,0)),IFERROR(TRIM(LEFT($D493,FIND("｜",$D493)-1)),$D493)))</f>
        <v/>
      </c>
      <c r="F493" s="30" t="str">
        <f aca="false">IF($D493="","",IFERROR(INDEX(合同项目,MATCH($D493,合同键,0)),IFERROR(TRIM(MID($D493,FIND("｜",$D493)+1,99)),"")))</f>
        <v/>
      </c>
      <c r="G493" s="24"/>
      <c r="H493" s="35" t="str">
        <f aca="false">IF($G493="","",IFERROR(INDEX(费用款别,MATCH($G493,费用类别表,0)),"合同外款"))</f>
        <v/>
      </c>
      <c r="I493" s="33"/>
      <c r="J493" s="33"/>
      <c r="K493" s="39"/>
      <c r="L493" s="33"/>
      <c r="M493" s="25"/>
      <c r="N493" s="39"/>
      <c r="O493" s="35" t="str">
        <f aca="false">IF($C493="","",IF(N($N493)&lt;=0,"未开票",IF(ROUND(N($N493)-N($K493),2)&gt;=0,"已开票",IFERROR("部分开票 "&amp;TEXT(N($N493)/N($K493),"0%"),"部分开票"))))</f>
        <v/>
      </c>
      <c r="P493" s="40" t="str">
        <f aca="false">IF($C493="","",ROUND($V493+MIN($W493,MAX(0,(SUMIF(收款键,$D493,收款金额)-SUMIFS(收款金额,收款键,$D493,收款关联,"&lt;&gt;"))-($X493-$W493))),2))</f>
        <v/>
      </c>
      <c r="Q493" s="41" t="str">
        <f aca="false">IF($C493="","",ROUND(N($K493)-N($P493),2))</f>
        <v/>
      </c>
      <c r="R493" s="29" t="str">
        <f aca="false">IF($C493="","",YEAR($C493))</f>
        <v/>
      </c>
      <c r="S493" s="24"/>
      <c r="T493" s="35" t="str">
        <f aca="false">IF($C493="","",IF($D493="","★没选客户项目",IF(COUNTIF(合同键,$D493)=0,"★《维保合同》里没这个项目",IF(N($K493)&lt;=0,"★应收金额要填",IF(ROUND(N($N493)-N($K493),2)&gt;0.001,"★开票金额大于应收",IF(AND($L493&lt;&gt;"",N($N493)&lt;=0),"★填了开票日期没填开票金额",IF(AND($I493&lt;&gt;"",$J493&lt;&gt;"",$J493&lt;$I493),"★计费期间起止反了","OK")))))))</f>
        <v/>
      </c>
      <c r="U493" s="29" t="str">
        <f aca="false">IF($L493="","",YEAR($L493))</f>
        <v/>
      </c>
      <c r="V493" s="40" t="str">
        <f aca="false">IF($C493="","",ROUND(SUMIF(收款关联,$B493,收款金额),2))</f>
        <v/>
      </c>
      <c r="W493" s="40" t="str">
        <f aca="false">IF($C493="","",MAX(0,ROUND(N($K493)-N($V493),2)))</f>
        <v/>
      </c>
      <c r="X493" s="40" t="str">
        <f aca="false">IF($C493="","",ROUND(SUMIFS(应收净额,应收键,$D493,应收行号,"&lt;="&amp;ROW()),2))</f>
        <v/>
      </c>
      <c r="Y493" s="29" t="str">
        <f aca="false">IF($C493="","",ROW())</f>
        <v/>
      </c>
    </row>
    <row r="494" customFormat="false" ht="15" hidden="false" customHeight="false" outlineLevel="0" collapsed="false">
      <c r="A494" s="29" t="str">
        <f aca="false">IF($C494="","",ROW()-4)</f>
        <v/>
      </c>
      <c r="B494" s="35" t="str">
        <f aca="false">IF($C494="","","YS"&amp;TEXT($C494,"yyyymm")&amp;"-"&amp;TEXT(ROW()-4,"0000"))</f>
        <v/>
      </c>
      <c r="C494" s="33"/>
      <c r="D494" s="24"/>
      <c r="E494" s="30" t="str">
        <f aca="false">IF($D494="","",IFERROR(INDEX(合同单位,MATCH($D494,合同键,0)),IFERROR(TRIM(LEFT($D494,FIND("｜",$D494)-1)),$D494)))</f>
        <v/>
      </c>
      <c r="F494" s="30" t="str">
        <f aca="false">IF($D494="","",IFERROR(INDEX(合同项目,MATCH($D494,合同键,0)),IFERROR(TRIM(MID($D494,FIND("｜",$D494)+1,99)),"")))</f>
        <v/>
      </c>
      <c r="G494" s="24"/>
      <c r="H494" s="35" t="str">
        <f aca="false">IF($G494="","",IFERROR(INDEX(费用款别,MATCH($G494,费用类别表,0)),"合同外款"))</f>
        <v/>
      </c>
      <c r="I494" s="33"/>
      <c r="J494" s="33"/>
      <c r="K494" s="39"/>
      <c r="L494" s="33"/>
      <c r="M494" s="25"/>
      <c r="N494" s="39"/>
      <c r="O494" s="35" t="str">
        <f aca="false">IF($C494="","",IF(N($N494)&lt;=0,"未开票",IF(ROUND(N($N494)-N($K494),2)&gt;=0,"已开票",IFERROR("部分开票 "&amp;TEXT(N($N494)/N($K494),"0%"),"部分开票"))))</f>
        <v/>
      </c>
      <c r="P494" s="40" t="str">
        <f aca="false">IF($C494="","",ROUND($V494+MIN($W494,MAX(0,(SUMIF(收款键,$D494,收款金额)-SUMIFS(收款金额,收款键,$D494,收款关联,"&lt;&gt;"))-($X494-$W494))),2))</f>
        <v/>
      </c>
      <c r="Q494" s="41" t="str">
        <f aca="false">IF($C494="","",ROUND(N($K494)-N($P494),2))</f>
        <v/>
      </c>
      <c r="R494" s="29" t="str">
        <f aca="false">IF($C494="","",YEAR($C494))</f>
        <v/>
      </c>
      <c r="S494" s="24"/>
      <c r="T494" s="35" t="str">
        <f aca="false">IF($C494="","",IF($D494="","★没选客户项目",IF(COUNTIF(合同键,$D494)=0,"★《维保合同》里没这个项目",IF(N($K494)&lt;=0,"★应收金额要填",IF(ROUND(N($N494)-N($K494),2)&gt;0.001,"★开票金额大于应收",IF(AND($L494&lt;&gt;"",N($N494)&lt;=0),"★填了开票日期没填开票金额",IF(AND($I494&lt;&gt;"",$J494&lt;&gt;"",$J494&lt;$I494),"★计费期间起止反了","OK")))))))</f>
        <v/>
      </c>
      <c r="U494" s="29" t="str">
        <f aca="false">IF($L494="","",YEAR($L494))</f>
        <v/>
      </c>
      <c r="V494" s="40" t="str">
        <f aca="false">IF($C494="","",ROUND(SUMIF(收款关联,$B494,收款金额),2))</f>
        <v/>
      </c>
      <c r="W494" s="40" t="str">
        <f aca="false">IF($C494="","",MAX(0,ROUND(N($K494)-N($V494),2)))</f>
        <v/>
      </c>
      <c r="X494" s="40" t="str">
        <f aca="false">IF($C494="","",ROUND(SUMIFS(应收净额,应收键,$D494,应收行号,"&lt;="&amp;ROW()),2))</f>
        <v/>
      </c>
      <c r="Y494" s="29" t="str">
        <f aca="false">IF($C494="","",ROW())</f>
        <v/>
      </c>
    </row>
    <row r="495" customFormat="false" ht="15" hidden="false" customHeight="false" outlineLevel="0" collapsed="false">
      <c r="A495" s="29" t="str">
        <f aca="false">IF($C495="","",ROW()-4)</f>
        <v/>
      </c>
      <c r="B495" s="35" t="str">
        <f aca="false">IF($C495="","","YS"&amp;TEXT($C495,"yyyymm")&amp;"-"&amp;TEXT(ROW()-4,"0000"))</f>
        <v/>
      </c>
      <c r="C495" s="33"/>
      <c r="D495" s="24"/>
      <c r="E495" s="30" t="str">
        <f aca="false">IF($D495="","",IFERROR(INDEX(合同单位,MATCH($D495,合同键,0)),IFERROR(TRIM(LEFT($D495,FIND("｜",$D495)-1)),$D495)))</f>
        <v/>
      </c>
      <c r="F495" s="30" t="str">
        <f aca="false">IF($D495="","",IFERROR(INDEX(合同项目,MATCH($D495,合同键,0)),IFERROR(TRIM(MID($D495,FIND("｜",$D495)+1,99)),"")))</f>
        <v/>
      </c>
      <c r="G495" s="24"/>
      <c r="H495" s="35" t="str">
        <f aca="false">IF($G495="","",IFERROR(INDEX(费用款别,MATCH($G495,费用类别表,0)),"合同外款"))</f>
        <v/>
      </c>
      <c r="I495" s="33"/>
      <c r="J495" s="33"/>
      <c r="K495" s="39"/>
      <c r="L495" s="33"/>
      <c r="M495" s="25"/>
      <c r="N495" s="39"/>
      <c r="O495" s="35" t="str">
        <f aca="false">IF($C495="","",IF(N($N495)&lt;=0,"未开票",IF(ROUND(N($N495)-N($K495),2)&gt;=0,"已开票",IFERROR("部分开票 "&amp;TEXT(N($N495)/N($K495),"0%"),"部分开票"))))</f>
        <v/>
      </c>
      <c r="P495" s="40" t="str">
        <f aca="false">IF($C495="","",ROUND($V495+MIN($W495,MAX(0,(SUMIF(收款键,$D495,收款金额)-SUMIFS(收款金额,收款键,$D495,收款关联,"&lt;&gt;"))-($X495-$W495))),2))</f>
        <v/>
      </c>
      <c r="Q495" s="41" t="str">
        <f aca="false">IF($C495="","",ROUND(N($K495)-N($P495),2))</f>
        <v/>
      </c>
      <c r="R495" s="29" t="str">
        <f aca="false">IF($C495="","",YEAR($C495))</f>
        <v/>
      </c>
      <c r="S495" s="24"/>
      <c r="T495" s="35" t="str">
        <f aca="false">IF($C495="","",IF($D495="","★没选客户项目",IF(COUNTIF(合同键,$D495)=0,"★《维保合同》里没这个项目",IF(N($K495)&lt;=0,"★应收金额要填",IF(ROUND(N($N495)-N($K495),2)&gt;0.001,"★开票金额大于应收",IF(AND($L495&lt;&gt;"",N($N495)&lt;=0),"★填了开票日期没填开票金额",IF(AND($I495&lt;&gt;"",$J495&lt;&gt;"",$J495&lt;$I495),"★计费期间起止反了","OK")))))))</f>
        <v/>
      </c>
      <c r="U495" s="29" t="str">
        <f aca="false">IF($L495="","",YEAR($L495))</f>
        <v/>
      </c>
      <c r="V495" s="40" t="str">
        <f aca="false">IF($C495="","",ROUND(SUMIF(收款关联,$B495,收款金额),2))</f>
        <v/>
      </c>
      <c r="W495" s="40" t="str">
        <f aca="false">IF($C495="","",MAX(0,ROUND(N($K495)-N($V495),2)))</f>
        <v/>
      </c>
      <c r="X495" s="40" t="str">
        <f aca="false">IF($C495="","",ROUND(SUMIFS(应收净额,应收键,$D495,应收行号,"&lt;="&amp;ROW()),2))</f>
        <v/>
      </c>
      <c r="Y495" s="29" t="str">
        <f aca="false">IF($C495="","",ROW())</f>
        <v/>
      </c>
    </row>
    <row r="496" customFormat="false" ht="15" hidden="false" customHeight="false" outlineLevel="0" collapsed="false">
      <c r="A496" s="29" t="str">
        <f aca="false">IF($C496="","",ROW()-4)</f>
        <v/>
      </c>
      <c r="B496" s="35" t="str">
        <f aca="false">IF($C496="","","YS"&amp;TEXT($C496,"yyyymm")&amp;"-"&amp;TEXT(ROW()-4,"0000"))</f>
        <v/>
      </c>
      <c r="C496" s="33"/>
      <c r="D496" s="24"/>
      <c r="E496" s="30" t="str">
        <f aca="false">IF($D496="","",IFERROR(INDEX(合同单位,MATCH($D496,合同键,0)),IFERROR(TRIM(LEFT($D496,FIND("｜",$D496)-1)),$D496)))</f>
        <v/>
      </c>
      <c r="F496" s="30" t="str">
        <f aca="false">IF($D496="","",IFERROR(INDEX(合同项目,MATCH($D496,合同键,0)),IFERROR(TRIM(MID($D496,FIND("｜",$D496)+1,99)),"")))</f>
        <v/>
      </c>
      <c r="G496" s="24"/>
      <c r="H496" s="35" t="str">
        <f aca="false">IF($G496="","",IFERROR(INDEX(费用款别,MATCH($G496,费用类别表,0)),"合同外款"))</f>
        <v/>
      </c>
      <c r="I496" s="33"/>
      <c r="J496" s="33"/>
      <c r="K496" s="39"/>
      <c r="L496" s="33"/>
      <c r="M496" s="25"/>
      <c r="N496" s="39"/>
      <c r="O496" s="35" t="str">
        <f aca="false">IF($C496="","",IF(N($N496)&lt;=0,"未开票",IF(ROUND(N($N496)-N($K496),2)&gt;=0,"已开票",IFERROR("部分开票 "&amp;TEXT(N($N496)/N($K496),"0%"),"部分开票"))))</f>
        <v/>
      </c>
      <c r="P496" s="40" t="str">
        <f aca="false">IF($C496="","",ROUND($V496+MIN($W496,MAX(0,(SUMIF(收款键,$D496,收款金额)-SUMIFS(收款金额,收款键,$D496,收款关联,"&lt;&gt;"))-($X496-$W496))),2))</f>
        <v/>
      </c>
      <c r="Q496" s="41" t="str">
        <f aca="false">IF($C496="","",ROUND(N($K496)-N($P496),2))</f>
        <v/>
      </c>
      <c r="R496" s="29" t="str">
        <f aca="false">IF($C496="","",YEAR($C496))</f>
        <v/>
      </c>
      <c r="S496" s="24"/>
      <c r="T496" s="35" t="str">
        <f aca="false">IF($C496="","",IF($D496="","★没选客户项目",IF(COUNTIF(合同键,$D496)=0,"★《维保合同》里没这个项目",IF(N($K496)&lt;=0,"★应收金额要填",IF(ROUND(N($N496)-N($K496),2)&gt;0.001,"★开票金额大于应收",IF(AND($L496&lt;&gt;"",N($N496)&lt;=0),"★填了开票日期没填开票金额",IF(AND($I496&lt;&gt;"",$J496&lt;&gt;"",$J496&lt;$I496),"★计费期间起止反了","OK")))))))</f>
        <v/>
      </c>
      <c r="U496" s="29" t="str">
        <f aca="false">IF($L496="","",YEAR($L496))</f>
        <v/>
      </c>
      <c r="V496" s="40" t="str">
        <f aca="false">IF($C496="","",ROUND(SUMIF(收款关联,$B496,收款金额),2))</f>
        <v/>
      </c>
      <c r="W496" s="40" t="str">
        <f aca="false">IF($C496="","",MAX(0,ROUND(N($K496)-N($V496),2)))</f>
        <v/>
      </c>
      <c r="X496" s="40" t="str">
        <f aca="false">IF($C496="","",ROUND(SUMIFS(应收净额,应收键,$D496,应收行号,"&lt;="&amp;ROW()),2))</f>
        <v/>
      </c>
      <c r="Y496" s="29" t="str">
        <f aca="false">IF($C496="","",ROW())</f>
        <v/>
      </c>
    </row>
    <row r="497" customFormat="false" ht="15" hidden="false" customHeight="false" outlineLevel="0" collapsed="false">
      <c r="A497" s="29" t="str">
        <f aca="false">IF($C497="","",ROW()-4)</f>
        <v/>
      </c>
      <c r="B497" s="35" t="str">
        <f aca="false">IF($C497="","","YS"&amp;TEXT($C497,"yyyymm")&amp;"-"&amp;TEXT(ROW()-4,"0000"))</f>
        <v/>
      </c>
      <c r="C497" s="33"/>
      <c r="D497" s="24"/>
      <c r="E497" s="30" t="str">
        <f aca="false">IF($D497="","",IFERROR(INDEX(合同单位,MATCH($D497,合同键,0)),IFERROR(TRIM(LEFT($D497,FIND("｜",$D497)-1)),$D497)))</f>
        <v/>
      </c>
      <c r="F497" s="30" t="str">
        <f aca="false">IF($D497="","",IFERROR(INDEX(合同项目,MATCH($D497,合同键,0)),IFERROR(TRIM(MID($D497,FIND("｜",$D497)+1,99)),"")))</f>
        <v/>
      </c>
      <c r="G497" s="24"/>
      <c r="H497" s="35" t="str">
        <f aca="false">IF($G497="","",IFERROR(INDEX(费用款别,MATCH($G497,费用类别表,0)),"合同外款"))</f>
        <v/>
      </c>
      <c r="I497" s="33"/>
      <c r="J497" s="33"/>
      <c r="K497" s="39"/>
      <c r="L497" s="33"/>
      <c r="M497" s="25"/>
      <c r="N497" s="39"/>
      <c r="O497" s="35" t="str">
        <f aca="false">IF($C497="","",IF(N($N497)&lt;=0,"未开票",IF(ROUND(N($N497)-N($K497),2)&gt;=0,"已开票",IFERROR("部分开票 "&amp;TEXT(N($N497)/N($K497),"0%"),"部分开票"))))</f>
        <v/>
      </c>
      <c r="P497" s="40" t="str">
        <f aca="false">IF($C497="","",ROUND($V497+MIN($W497,MAX(0,(SUMIF(收款键,$D497,收款金额)-SUMIFS(收款金额,收款键,$D497,收款关联,"&lt;&gt;"))-($X497-$W497))),2))</f>
        <v/>
      </c>
      <c r="Q497" s="41" t="str">
        <f aca="false">IF($C497="","",ROUND(N($K497)-N($P497),2))</f>
        <v/>
      </c>
      <c r="R497" s="29" t="str">
        <f aca="false">IF($C497="","",YEAR($C497))</f>
        <v/>
      </c>
      <c r="S497" s="24"/>
      <c r="T497" s="35" t="str">
        <f aca="false">IF($C497="","",IF($D497="","★没选客户项目",IF(COUNTIF(合同键,$D497)=0,"★《维保合同》里没这个项目",IF(N($K497)&lt;=0,"★应收金额要填",IF(ROUND(N($N497)-N($K497),2)&gt;0.001,"★开票金额大于应收",IF(AND($L497&lt;&gt;"",N($N497)&lt;=0),"★填了开票日期没填开票金额",IF(AND($I497&lt;&gt;"",$J497&lt;&gt;"",$J497&lt;$I497),"★计费期间起止反了","OK")))))))</f>
        <v/>
      </c>
      <c r="U497" s="29" t="str">
        <f aca="false">IF($L497="","",YEAR($L497))</f>
        <v/>
      </c>
      <c r="V497" s="40" t="str">
        <f aca="false">IF($C497="","",ROUND(SUMIF(收款关联,$B497,收款金额),2))</f>
        <v/>
      </c>
      <c r="W497" s="40" t="str">
        <f aca="false">IF($C497="","",MAX(0,ROUND(N($K497)-N($V497),2)))</f>
        <v/>
      </c>
      <c r="X497" s="40" t="str">
        <f aca="false">IF($C497="","",ROUND(SUMIFS(应收净额,应收键,$D497,应收行号,"&lt;="&amp;ROW()),2))</f>
        <v/>
      </c>
      <c r="Y497" s="29" t="str">
        <f aca="false">IF($C497="","",ROW())</f>
        <v/>
      </c>
    </row>
    <row r="498" customFormat="false" ht="15" hidden="false" customHeight="false" outlineLevel="0" collapsed="false">
      <c r="A498" s="29" t="str">
        <f aca="false">IF($C498="","",ROW()-4)</f>
        <v/>
      </c>
      <c r="B498" s="35" t="str">
        <f aca="false">IF($C498="","","YS"&amp;TEXT($C498,"yyyymm")&amp;"-"&amp;TEXT(ROW()-4,"0000"))</f>
        <v/>
      </c>
      <c r="C498" s="33"/>
      <c r="D498" s="24"/>
      <c r="E498" s="30" t="str">
        <f aca="false">IF($D498="","",IFERROR(INDEX(合同单位,MATCH($D498,合同键,0)),IFERROR(TRIM(LEFT($D498,FIND("｜",$D498)-1)),$D498)))</f>
        <v/>
      </c>
      <c r="F498" s="30" t="str">
        <f aca="false">IF($D498="","",IFERROR(INDEX(合同项目,MATCH($D498,合同键,0)),IFERROR(TRIM(MID($D498,FIND("｜",$D498)+1,99)),"")))</f>
        <v/>
      </c>
      <c r="G498" s="24"/>
      <c r="H498" s="35" t="str">
        <f aca="false">IF($G498="","",IFERROR(INDEX(费用款别,MATCH($G498,费用类别表,0)),"合同外款"))</f>
        <v/>
      </c>
      <c r="I498" s="33"/>
      <c r="J498" s="33"/>
      <c r="K498" s="39"/>
      <c r="L498" s="33"/>
      <c r="M498" s="25"/>
      <c r="N498" s="39"/>
      <c r="O498" s="35" t="str">
        <f aca="false">IF($C498="","",IF(N($N498)&lt;=0,"未开票",IF(ROUND(N($N498)-N($K498),2)&gt;=0,"已开票",IFERROR("部分开票 "&amp;TEXT(N($N498)/N($K498),"0%"),"部分开票"))))</f>
        <v/>
      </c>
      <c r="P498" s="40" t="str">
        <f aca="false">IF($C498="","",ROUND($V498+MIN($W498,MAX(0,(SUMIF(收款键,$D498,收款金额)-SUMIFS(收款金额,收款键,$D498,收款关联,"&lt;&gt;"))-($X498-$W498))),2))</f>
        <v/>
      </c>
      <c r="Q498" s="41" t="str">
        <f aca="false">IF($C498="","",ROUND(N($K498)-N($P498),2))</f>
        <v/>
      </c>
      <c r="R498" s="29" t="str">
        <f aca="false">IF($C498="","",YEAR($C498))</f>
        <v/>
      </c>
      <c r="S498" s="24"/>
      <c r="T498" s="35" t="str">
        <f aca="false">IF($C498="","",IF($D498="","★没选客户项目",IF(COUNTIF(合同键,$D498)=0,"★《维保合同》里没这个项目",IF(N($K498)&lt;=0,"★应收金额要填",IF(ROUND(N($N498)-N($K498),2)&gt;0.001,"★开票金额大于应收",IF(AND($L498&lt;&gt;"",N($N498)&lt;=0),"★填了开票日期没填开票金额",IF(AND($I498&lt;&gt;"",$J498&lt;&gt;"",$J498&lt;$I498),"★计费期间起止反了","OK")))))))</f>
        <v/>
      </c>
      <c r="U498" s="29" t="str">
        <f aca="false">IF($L498="","",YEAR($L498))</f>
        <v/>
      </c>
      <c r="V498" s="40" t="str">
        <f aca="false">IF($C498="","",ROUND(SUMIF(收款关联,$B498,收款金额),2))</f>
        <v/>
      </c>
      <c r="W498" s="40" t="str">
        <f aca="false">IF($C498="","",MAX(0,ROUND(N($K498)-N($V498),2)))</f>
        <v/>
      </c>
      <c r="X498" s="40" t="str">
        <f aca="false">IF($C498="","",ROUND(SUMIFS(应收净额,应收键,$D498,应收行号,"&lt;="&amp;ROW()),2))</f>
        <v/>
      </c>
      <c r="Y498" s="29" t="str">
        <f aca="false">IF($C498="","",ROW())</f>
        <v/>
      </c>
    </row>
    <row r="499" customFormat="false" ht="15" hidden="false" customHeight="false" outlineLevel="0" collapsed="false">
      <c r="A499" s="29" t="str">
        <f aca="false">IF($C499="","",ROW()-4)</f>
        <v/>
      </c>
      <c r="B499" s="35" t="str">
        <f aca="false">IF($C499="","","YS"&amp;TEXT($C499,"yyyymm")&amp;"-"&amp;TEXT(ROW()-4,"0000"))</f>
        <v/>
      </c>
      <c r="C499" s="33"/>
      <c r="D499" s="24"/>
      <c r="E499" s="30" t="str">
        <f aca="false">IF($D499="","",IFERROR(INDEX(合同单位,MATCH($D499,合同键,0)),IFERROR(TRIM(LEFT($D499,FIND("｜",$D499)-1)),$D499)))</f>
        <v/>
      </c>
      <c r="F499" s="30" t="str">
        <f aca="false">IF($D499="","",IFERROR(INDEX(合同项目,MATCH($D499,合同键,0)),IFERROR(TRIM(MID($D499,FIND("｜",$D499)+1,99)),"")))</f>
        <v/>
      </c>
      <c r="G499" s="24"/>
      <c r="H499" s="35" t="str">
        <f aca="false">IF($G499="","",IFERROR(INDEX(费用款别,MATCH($G499,费用类别表,0)),"合同外款"))</f>
        <v/>
      </c>
      <c r="I499" s="33"/>
      <c r="J499" s="33"/>
      <c r="K499" s="39"/>
      <c r="L499" s="33"/>
      <c r="M499" s="25"/>
      <c r="N499" s="39"/>
      <c r="O499" s="35" t="str">
        <f aca="false">IF($C499="","",IF(N($N499)&lt;=0,"未开票",IF(ROUND(N($N499)-N($K499),2)&gt;=0,"已开票",IFERROR("部分开票 "&amp;TEXT(N($N499)/N($K499),"0%"),"部分开票"))))</f>
        <v/>
      </c>
      <c r="P499" s="40" t="str">
        <f aca="false">IF($C499="","",ROUND($V499+MIN($W499,MAX(0,(SUMIF(收款键,$D499,收款金额)-SUMIFS(收款金额,收款键,$D499,收款关联,"&lt;&gt;"))-($X499-$W499))),2))</f>
        <v/>
      </c>
      <c r="Q499" s="41" t="str">
        <f aca="false">IF($C499="","",ROUND(N($K499)-N($P499),2))</f>
        <v/>
      </c>
      <c r="R499" s="29" t="str">
        <f aca="false">IF($C499="","",YEAR($C499))</f>
        <v/>
      </c>
      <c r="S499" s="24"/>
      <c r="T499" s="35" t="str">
        <f aca="false">IF($C499="","",IF($D499="","★没选客户项目",IF(COUNTIF(合同键,$D499)=0,"★《维保合同》里没这个项目",IF(N($K499)&lt;=0,"★应收金额要填",IF(ROUND(N($N499)-N($K499),2)&gt;0.001,"★开票金额大于应收",IF(AND($L499&lt;&gt;"",N($N499)&lt;=0),"★填了开票日期没填开票金额",IF(AND($I499&lt;&gt;"",$J499&lt;&gt;"",$J499&lt;$I499),"★计费期间起止反了","OK")))))))</f>
        <v/>
      </c>
      <c r="U499" s="29" t="str">
        <f aca="false">IF($L499="","",YEAR($L499))</f>
        <v/>
      </c>
      <c r="V499" s="40" t="str">
        <f aca="false">IF($C499="","",ROUND(SUMIF(收款关联,$B499,收款金额),2))</f>
        <v/>
      </c>
      <c r="W499" s="40" t="str">
        <f aca="false">IF($C499="","",MAX(0,ROUND(N($K499)-N($V499),2)))</f>
        <v/>
      </c>
      <c r="X499" s="40" t="str">
        <f aca="false">IF($C499="","",ROUND(SUMIFS(应收净额,应收键,$D499,应收行号,"&lt;="&amp;ROW()),2))</f>
        <v/>
      </c>
      <c r="Y499" s="29" t="str">
        <f aca="false">IF($C499="","",ROW())</f>
        <v/>
      </c>
    </row>
    <row r="500" customFormat="false" ht="15" hidden="false" customHeight="false" outlineLevel="0" collapsed="false">
      <c r="A500" s="29" t="str">
        <f aca="false">IF($C500="","",ROW()-4)</f>
        <v/>
      </c>
      <c r="B500" s="35" t="str">
        <f aca="false">IF($C500="","","YS"&amp;TEXT($C500,"yyyymm")&amp;"-"&amp;TEXT(ROW()-4,"0000"))</f>
        <v/>
      </c>
      <c r="C500" s="33"/>
      <c r="D500" s="24"/>
      <c r="E500" s="30" t="str">
        <f aca="false">IF($D500="","",IFERROR(INDEX(合同单位,MATCH($D500,合同键,0)),IFERROR(TRIM(LEFT($D500,FIND("｜",$D500)-1)),$D500)))</f>
        <v/>
      </c>
      <c r="F500" s="30" t="str">
        <f aca="false">IF($D500="","",IFERROR(INDEX(合同项目,MATCH($D500,合同键,0)),IFERROR(TRIM(MID($D500,FIND("｜",$D500)+1,99)),"")))</f>
        <v/>
      </c>
      <c r="G500" s="24"/>
      <c r="H500" s="35" t="str">
        <f aca="false">IF($G500="","",IFERROR(INDEX(费用款别,MATCH($G500,费用类别表,0)),"合同外款"))</f>
        <v/>
      </c>
      <c r="I500" s="33"/>
      <c r="J500" s="33"/>
      <c r="K500" s="39"/>
      <c r="L500" s="33"/>
      <c r="M500" s="25"/>
      <c r="N500" s="39"/>
      <c r="O500" s="35" t="str">
        <f aca="false">IF($C500="","",IF(N($N500)&lt;=0,"未开票",IF(ROUND(N($N500)-N($K500),2)&gt;=0,"已开票",IFERROR("部分开票 "&amp;TEXT(N($N500)/N($K500),"0%"),"部分开票"))))</f>
        <v/>
      </c>
      <c r="P500" s="40" t="str">
        <f aca="false">IF($C500="","",ROUND($V500+MIN($W500,MAX(0,(SUMIF(收款键,$D500,收款金额)-SUMIFS(收款金额,收款键,$D500,收款关联,"&lt;&gt;"))-($X500-$W500))),2))</f>
        <v/>
      </c>
      <c r="Q500" s="41" t="str">
        <f aca="false">IF($C500="","",ROUND(N($K500)-N($P500),2))</f>
        <v/>
      </c>
      <c r="R500" s="29" t="str">
        <f aca="false">IF($C500="","",YEAR($C500))</f>
        <v/>
      </c>
      <c r="S500" s="24"/>
      <c r="T500" s="35" t="str">
        <f aca="false">IF($C500="","",IF($D500="","★没选客户项目",IF(COUNTIF(合同键,$D500)=0,"★《维保合同》里没这个项目",IF(N($K500)&lt;=0,"★应收金额要填",IF(ROUND(N($N500)-N($K500),2)&gt;0.001,"★开票金额大于应收",IF(AND($L500&lt;&gt;"",N($N500)&lt;=0),"★填了开票日期没填开票金额",IF(AND($I500&lt;&gt;"",$J500&lt;&gt;"",$J500&lt;$I500),"★计费期间起止反了","OK")))))))</f>
        <v/>
      </c>
      <c r="U500" s="29" t="str">
        <f aca="false">IF($L500="","",YEAR($L500))</f>
        <v/>
      </c>
      <c r="V500" s="40" t="str">
        <f aca="false">IF($C500="","",ROUND(SUMIF(收款关联,$B500,收款金额),2))</f>
        <v/>
      </c>
      <c r="W500" s="40" t="str">
        <f aca="false">IF($C500="","",MAX(0,ROUND(N($K500)-N($V500),2)))</f>
        <v/>
      </c>
      <c r="X500" s="40" t="str">
        <f aca="false">IF($C500="","",ROUND(SUMIFS(应收净额,应收键,$D500,应收行号,"&lt;="&amp;ROW()),2))</f>
        <v/>
      </c>
      <c r="Y500" s="29" t="str">
        <f aca="false">IF($C500="","",ROW())</f>
        <v/>
      </c>
    </row>
    <row r="501" customFormat="false" ht="15" hidden="false" customHeight="false" outlineLevel="0" collapsed="false">
      <c r="A501" s="29" t="str">
        <f aca="false">IF($C501="","",ROW()-4)</f>
        <v/>
      </c>
      <c r="B501" s="35" t="str">
        <f aca="false">IF($C501="","","YS"&amp;TEXT($C501,"yyyymm")&amp;"-"&amp;TEXT(ROW()-4,"0000"))</f>
        <v/>
      </c>
      <c r="C501" s="33"/>
      <c r="D501" s="24"/>
      <c r="E501" s="30" t="str">
        <f aca="false">IF($D501="","",IFERROR(INDEX(合同单位,MATCH($D501,合同键,0)),IFERROR(TRIM(LEFT($D501,FIND("｜",$D501)-1)),$D501)))</f>
        <v/>
      </c>
      <c r="F501" s="30" t="str">
        <f aca="false">IF($D501="","",IFERROR(INDEX(合同项目,MATCH($D501,合同键,0)),IFERROR(TRIM(MID($D501,FIND("｜",$D501)+1,99)),"")))</f>
        <v/>
      </c>
      <c r="G501" s="24"/>
      <c r="H501" s="35" t="str">
        <f aca="false">IF($G501="","",IFERROR(INDEX(费用款别,MATCH($G501,费用类别表,0)),"合同外款"))</f>
        <v/>
      </c>
      <c r="I501" s="33"/>
      <c r="J501" s="33"/>
      <c r="K501" s="39"/>
      <c r="L501" s="33"/>
      <c r="M501" s="25"/>
      <c r="N501" s="39"/>
      <c r="O501" s="35" t="str">
        <f aca="false">IF($C501="","",IF(N($N501)&lt;=0,"未开票",IF(ROUND(N($N501)-N($K501),2)&gt;=0,"已开票",IFERROR("部分开票 "&amp;TEXT(N($N501)/N($K501),"0%"),"部分开票"))))</f>
        <v/>
      </c>
      <c r="P501" s="40" t="str">
        <f aca="false">IF($C501="","",ROUND($V501+MIN($W501,MAX(0,(SUMIF(收款键,$D501,收款金额)-SUMIFS(收款金额,收款键,$D501,收款关联,"&lt;&gt;"))-($X501-$W501))),2))</f>
        <v/>
      </c>
      <c r="Q501" s="41" t="str">
        <f aca="false">IF($C501="","",ROUND(N($K501)-N($P501),2))</f>
        <v/>
      </c>
      <c r="R501" s="29" t="str">
        <f aca="false">IF($C501="","",YEAR($C501))</f>
        <v/>
      </c>
      <c r="S501" s="24"/>
      <c r="T501" s="35" t="str">
        <f aca="false">IF($C501="","",IF($D501="","★没选客户项目",IF(COUNTIF(合同键,$D501)=0,"★《维保合同》里没这个项目",IF(N($K501)&lt;=0,"★应收金额要填",IF(ROUND(N($N501)-N($K501),2)&gt;0.001,"★开票金额大于应收",IF(AND($L501&lt;&gt;"",N($N501)&lt;=0),"★填了开票日期没填开票金额",IF(AND($I501&lt;&gt;"",$J501&lt;&gt;"",$J501&lt;$I501),"★计费期间起止反了","OK")))))))</f>
        <v/>
      </c>
      <c r="U501" s="29" t="str">
        <f aca="false">IF($L501="","",YEAR($L501))</f>
        <v/>
      </c>
      <c r="V501" s="40" t="str">
        <f aca="false">IF($C501="","",ROUND(SUMIF(收款关联,$B501,收款金额),2))</f>
        <v/>
      </c>
      <c r="W501" s="40" t="str">
        <f aca="false">IF($C501="","",MAX(0,ROUND(N($K501)-N($V501),2)))</f>
        <v/>
      </c>
      <c r="X501" s="40" t="str">
        <f aca="false">IF($C501="","",ROUND(SUMIFS(应收净额,应收键,$D501,应收行号,"&lt;="&amp;ROW()),2))</f>
        <v/>
      </c>
      <c r="Y501" s="29" t="str">
        <f aca="false">IF($C501="","",ROW())</f>
        <v/>
      </c>
    </row>
    <row r="502" customFormat="false" ht="15" hidden="false" customHeight="false" outlineLevel="0" collapsed="false">
      <c r="A502" s="29" t="str">
        <f aca="false">IF($C502="","",ROW()-4)</f>
        <v/>
      </c>
      <c r="B502" s="35" t="str">
        <f aca="false">IF($C502="","","YS"&amp;TEXT($C502,"yyyymm")&amp;"-"&amp;TEXT(ROW()-4,"0000"))</f>
        <v/>
      </c>
      <c r="C502" s="33"/>
      <c r="D502" s="24"/>
      <c r="E502" s="30" t="str">
        <f aca="false">IF($D502="","",IFERROR(INDEX(合同单位,MATCH($D502,合同键,0)),IFERROR(TRIM(LEFT($D502,FIND("｜",$D502)-1)),$D502)))</f>
        <v/>
      </c>
      <c r="F502" s="30" t="str">
        <f aca="false">IF($D502="","",IFERROR(INDEX(合同项目,MATCH($D502,合同键,0)),IFERROR(TRIM(MID($D502,FIND("｜",$D502)+1,99)),"")))</f>
        <v/>
      </c>
      <c r="G502" s="24"/>
      <c r="H502" s="35" t="str">
        <f aca="false">IF($G502="","",IFERROR(INDEX(费用款别,MATCH($G502,费用类别表,0)),"合同外款"))</f>
        <v/>
      </c>
      <c r="I502" s="33"/>
      <c r="J502" s="33"/>
      <c r="K502" s="39"/>
      <c r="L502" s="33"/>
      <c r="M502" s="25"/>
      <c r="N502" s="39"/>
      <c r="O502" s="35" t="str">
        <f aca="false">IF($C502="","",IF(N($N502)&lt;=0,"未开票",IF(ROUND(N($N502)-N($K502),2)&gt;=0,"已开票",IFERROR("部分开票 "&amp;TEXT(N($N502)/N($K502),"0%"),"部分开票"))))</f>
        <v/>
      </c>
      <c r="P502" s="40" t="str">
        <f aca="false">IF($C502="","",ROUND($V502+MIN($W502,MAX(0,(SUMIF(收款键,$D502,收款金额)-SUMIFS(收款金额,收款键,$D502,收款关联,"&lt;&gt;"))-($X502-$W502))),2))</f>
        <v/>
      </c>
      <c r="Q502" s="41" t="str">
        <f aca="false">IF($C502="","",ROUND(N($K502)-N($P502),2))</f>
        <v/>
      </c>
      <c r="R502" s="29" t="str">
        <f aca="false">IF($C502="","",YEAR($C502))</f>
        <v/>
      </c>
      <c r="S502" s="24"/>
      <c r="T502" s="35" t="str">
        <f aca="false">IF($C502="","",IF($D502="","★没选客户项目",IF(COUNTIF(合同键,$D502)=0,"★《维保合同》里没这个项目",IF(N($K502)&lt;=0,"★应收金额要填",IF(ROUND(N($N502)-N($K502),2)&gt;0.001,"★开票金额大于应收",IF(AND($L502&lt;&gt;"",N($N502)&lt;=0),"★填了开票日期没填开票金额",IF(AND($I502&lt;&gt;"",$J502&lt;&gt;"",$J502&lt;$I502),"★计费期间起止反了","OK")))))))</f>
        <v/>
      </c>
      <c r="U502" s="29" t="str">
        <f aca="false">IF($L502="","",YEAR($L502))</f>
        <v/>
      </c>
      <c r="V502" s="40" t="str">
        <f aca="false">IF($C502="","",ROUND(SUMIF(收款关联,$B502,收款金额),2))</f>
        <v/>
      </c>
      <c r="W502" s="40" t="str">
        <f aca="false">IF($C502="","",MAX(0,ROUND(N($K502)-N($V502),2)))</f>
        <v/>
      </c>
      <c r="X502" s="40" t="str">
        <f aca="false">IF($C502="","",ROUND(SUMIFS(应收净额,应收键,$D502,应收行号,"&lt;="&amp;ROW()),2))</f>
        <v/>
      </c>
      <c r="Y502" s="29" t="str">
        <f aca="false">IF($C502="","",ROW())</f>
        <v/>
      </c>
    </row>
    <row r="503" customFormat="false" ht="15" hidden="false" customHeight="false" outlineLevel="0" collapsed="false">
      <c r="A503" s="29" t="str">
        <f aca="false">IF($C503="","",ROW()-4)</f>
        <v/>
      </c>
      <c r="B503" s="35" t="str">
        <f aca="false">IF($C503="","","YS"&amp;TEXT($C503,"yyyymm")&amp;"-"&amp;TEXT(ROW()-4,"0000"))</f>
        <v/>
      </c>
      <c r="C503" s="33"/>
      <c r="D503" s="24"/>
      <c r="E503" s="30" t="str">
        <f aca="false">IF($D503="","",IFERROR(INDEX(合同单位,MATCH($D503,合同键,0)),IFERROR(TRIM(LEFT($D503,FIND("｜",$D503)-1)),$D503)))</f>
        <v/>
      </c>
      <c r="F503" s="30" t="str">
        <f aca="false">IF($D503="","",IFERROR(INDEX(合同项目,MATCH($D503,合同键,0)),IFERROR(TRIM(MID($D503,FIND("｜",$D503)+1,99)),"")))</f>
        <v/>
      </c>
      <c r="G503" s="24"/>
      <c r="H503" s="35" t="str">
        <f aca="false">IF($G503="","",IFERROR(INDEX(费用款别,MATCH($G503,费用类别表,0)),"合同外款"))</f>
        <v/>
      </c>
      <c r="I503" s="33"/>
      <c r="J503" s="33"/>
      <c r="K503" s="39"/>
      <c r="L503" s="33"/>
      <c r="M503" s="25"/>
      <c r="N503" s="39"/>
      <c r="O503" s="35" t="str">
        <f aca="false">IF($C503="","",IF(N($N503)&lt;=0,"未开票",IF(ROUND(N($N503)-N($K503),2)&gt;=0,"已开票",IFERROR("部分开票 "&amp;TEXT(N($N503)/N($K503),"0%"),"部分开票"))))</f>
        <v/>
      </c>
      <c r="P503" s="40" t="str">
        <f aca="false">IF($C503="","",ROUND($V503+MIN($W503,MAX(0,(SUMIF(收款键,$D503,收款金额)-SUMIFS(收款金额,收款键,$D503,收款关联,"&lt;&gt;"))-($X503-$W503))),2))</f>
        <v/>
      </c>
      <c r="Q503" s="41" t="str">
        <f aca="false">IF($C503="","",ROUND(N($K503)-N($P503),2))</f>
        <v/>
      </c>
      <c r="R503" s="29" t="str">
        <f aca="false">IF($C503="","",YEAR($C503))</f>
        <v/>
      </c>
      <c r="S503" s="24"/>
      <c r="T503" s="35" t="str">
        <f aca="false">IF($C503="","",IF($D503="","★没选客户项目",IF(COUNTIF(合同键,$D503)=0,"★《维保合同》里没这个项目",IF(N($K503)&lt;=0,"★应收金额要填",IF(ROUND(N($N503)-N($K503),2)&gt;0.001,"★开票金额大于应收",IF(AND($L503&lt;&gt;"",N($N503)&lt;=0),"★填了开票日期没填开票金额",IF(AND($I503&lt;&gt;"",$J503&lt;&gt;"",$J503&lt;$I503),"★计费期间起止反了","OK")))))))</f>
        <v/>
      </c>
      <c r="U503" s="29" t="str">
        <f aca="false">IF($L503="","",YEAR($L503))</f>
        <v/>
      </c>
      <c r="V503" s="40" t="str">
        <f aca="false">IF($C503="","",ROUND(SUMIF(收款关联,$B503,收款金额),2))</f>
        <v/>
      </c>
      <c r="W503" s="40" t="str">
        <f aca="false">IF($C503="","",MAX(0,ROUND(N($K503)-N($V503),2)))</f>
        <v/>
      </c>
      <c r="X503" s="40" t="str">
        <f aca="false">IF($C503="","",ROUND(SUMIFS(应收净额,应收键,$D503,应收行号,"&lt;="&amp;ROW()),2))</f>
        <v/>
      </c>
      <c r="Y503" s="29" t="str">
        <f aca="false">IF($C503="","",ROW())</f>
        <v/>
      </c>
    </row>
    <row r="504" customFormat="false" ht="15" hidden="false" customHeight="false" outlineLevel="0" collapsed="false">
      <c r="A504" s="29" t="str">
        <f aca="false">IF($C504="","",ROW()-4)</f>
        <v/>
      </c>
      <c r="B504" s="35" t="str">
        <f aca="false">IF($C504="","","YS"&amp;TEXT($C504,"yyyymm")&amp;"-"&amp;TEXT(ROW()-4,"0000"))</f>
        <v/>
      </c>
      <c r="C504" s="33"/>
      <c r="D504" s="24"/>
      <c r="E504" s="30" t="str">
        <f aca="false">IF($D504="","",IFERROR(INDEX(合同单位,MATCH($D504,合同键,0)),IFERROR(TRIM(LEFT($D504,FIND("｜",$D504)-1)),$D504)))</f>
        <v/>
      </c>
      <c r="F504" s="30" t="str">
        <f aca="false">IF($D504="","",IFERROR(INDEX(合同项目,MATCH($D504,合同键,0)),IFERROR(TRIM(MID($D504,FIND("｜",$D504)+1,99)),"")))</f>
        <v/>
      </c>
      <c r="G504" s="24"/>
      <c r="H504" s="35" t="str">
        <f aca="false">IF($G504="","",IFERROR(INDEX(费用款别,MATCH($G504,费用类别表,0)),"合同外款"))</f>
        <v/>
      </c>
      <c r="I504" s="33"/>
      <c r="J504" s="33"/>
      <c r="K504" s="39"/>
      <c r="L504" s="33"/>
      <c r="M504" s="25"/>
      <c r="N504" s="39"/>
      <c r="O504" s="35" t="str">
        <f aca="false">IF($C504="","",IF(N($N504)&lt;=0,"未开票",IF(ROUND(N($N504)-N($K504),2)&gt;=0,"已开票",IFERROR("部分开票 "&amp;TEXT(N($N504)/N($K504),"0%"),"部分开票"))))</f>
        <v/>
      </c>
      <c r="P504" s="40" t="str">
        <f aca="false">IF($C504="","",ROUND($V504+MIN($W504,MAX(0,(SUMIF(收款键,$D504,收款金额)-SUMIFS(收款金额,收款键,$D504,收款关联,"&lt;&gt;"))-($X504-$W504))),2))</f>
        <v/>
      </c>
      <c r="Q504" s="41" t="str">
        <f aca="false">IF($C504="","",ROUND(N($K504)-N($P504),2))</f>
        <v/>
      </c>
      <c r="R504" s="29" t="str">
        <f aca="false">IF($C504="","",YEAR($C504))</f>
        <v/>
      </c>
      <c r="S504" s="24"/>
      <c r="T504" s="35" t="str">
        <f aca="false">IF($C504="","",IF($D504="","★没选客户项目",IF(COUNTIF(合同键,$D504)=0,"★《维保合同》里没这个项目",IF(N($K504)&lt;=0,"★应收金额要填",IF(ROUND(N($N504)-N($K504),2)&gt;0.001,"★开票金额大于应收",IF(AND($L504&lt;&gt;"",N($N504)&lt;=0),"★填了开票日期没填开票金额",IF(AND($I504&lt;&gt;"",$J504&lt;&gt;"",$J504&lt;$I504),"★计费期间起止反了","OK")))))))</f>
        <v/>
      </c>
      <c r="U504" s="29" t="str">
        <f aca="false">IF($L504="","",YEAR($L504))</f>
        <v/>
      </c>
      <c r="V504" s="40" t="str">
        <f aca="false">IF($C504="","",ROUND(SUMIF(收款关联,$B504,收款金额),2))</f>
        <v/>
      </c>
      <c r="W504" s="40" t="str">
        <f aca="false">IF($C504="","",MAX(0,ROUND(N($K504)-N($V504),2)))</f>
        <v/>
      </c>
      <c r="X504" s="40" t="str">
        <f aca="false">IF($C504="","",ROUND(SUMIFS(应收净额,应收键,$D504,应收行号,"&lt;="&amp;ROW()),2))</f>
        <v/>
      </c>
      <c r="Y504" s="29" t="str">
        <f aca="false">IF($C504="","",ROW())</f>
        <v/>
      </c>
    </row>
    <row r="505" customFormat="false" ht="15" hidden="false" customHeight="false" outlineLevel="0" collapsed="false">
      <c r="A505" s="29" t="str">
        <f aca="false">IF($C505="","",ROW()-4)</f>
        <v/>
      </c>
      <c r="B505" s="35" t="str">
        <f aca="false">IF($C505="","","YS"&amp;TEXT($C505,"yyyymm")&amp;"-"&amp;TEXT(ROW()-4,"0000"))</f>
        <v/>
      </c>
      <c r="C505" s="33"/>
      <c r="D505" s="24"/>
      <c r="E505" s="30" t="str">
        <f aca="false">IF($D505="","",IFERROR(INDEX(合同单位,MATCH($D505,合同键,0)),IFERROR(TRIM(LEFT($D505,FIND("｜",$D505)-1)),$D505)))</f>
        <v/>
      </c>
      <c r="F505" s="30" t="str">
        <f aca="false">IF($D505="","",IFERROR(INDEX(合同项目,MATCH($D505,合同键,0)),IFERROR(TRIM(MID($D505,FIND("｜",$D505)+1,99)),"")))</f>
        <v/>
      </c>
      <c r="G505" s="24"/>
      <c r="H505" s="35" t="str">
        <f aca="false">IF($G505="","",IFERROR(INDEX(费用款别,MATCH($G505,费用类别表,0)),"合同外款"))</f>
        <v/>
      </c>
      <c r="I505" s="33"/>
      <c r="J505" s="33"/>
      <c r="K505" s="39"/>
      <c r="L505" s="33"/>
      <c r="M505" s="25"/>
      <c r="N505" s="39"/>
      <c r="O505" s="35" t="str">
        <f aca="false">IF($C505="","",IF(N($N505)&lt;=0,"未开票",IF(ROUND(N($N505)-N($K505),2)&gt;=0,"已开票",IFERROR("部分开票 "&amp;TEXT(N($N505)/N($K505),"0%"),"部分开票"))))</f>
        <v/>
      </c>
      <c r="P505" s="40" t="str">
        <f aca="false">IF($C505="","",ROUND($V505+MIN($W505,MAX(0,(SUMIF(收款键,$D505,收款金额)-SUMIFS(收款金额,收款键,$D505,收款关联,"&lt;&gt;"))-($X505-$W505))),2))</f>
        <v/>
      </c>
      <c r="Q505" s="41" t="str">
        <f aca="false">IF($C505="","",ROUND(N($K505)-N($P505),2))</f>
        <v/>
      </c>
      <c r="R505" s="29" t="str">
        <f aca="false">IF($C505="","",YEAR($C505))</f>
        <v/>
      </c>
      <c r="S505" s="24"/>
      <c r="T505" s="35" t="str">
        <f aca="false">IF($C505="","",IF($D505="","★没选客户项目",IF(COUNTIF(合同键,$D505)=0,"★《维保合同》里没这个项目",IF(N($K505)&lt;=0,"★应收金额要填",IF(ROUND(N($N505)-N($K505),2)&gt;0.001,"★开票金额大于应收",IF(AND($L505&lt;&gt;"",N($N505)&lt;=0),"★填了开票日期没填开票金额",IF(AND($I505&lt;&gt;"",$J505&lt;&gt;"",$J505&lt;$I505),"★计费期间起止反了","OK")))))))</f>
        <v/>
      </c>
      <c r="U505" s="29" t="str">
        <f aca="false">IF($L505="","",YEAR($L505))</f>
        <v/>
      </c>
      <c r="V505" s="40" t="str">
        <f aca="false">IF($C505="","",ROUND(SUMIF(收款关联,$B505,收款金额),2))</f>
        <v/>
      </c>
      <c r="W505" s="40" t="str">
        <f aca="false">IF($C505="","",MAX(0,ROUND(N($K505)-N($V505),2)))</f>
        <v/>
      </c>
      <c r="X505" s="40" t="str">
        <f aca="false">IF($C505="","",ROUND(SUMIFS(应收净额,应收键,$D505,应收行号,"&lt;="&amp;ROW()),2))</f>
        <v/>
      </c>
      <c r="Y505" s="29" t="str">
        <f aca="false">IF($C505="","",ROW())</f>
        <v/>
      </c>
    </row>
    <row r="506" customFormat="false" ht="15" hidden="false" customHeight="false" outlineLevel="0" collapsed="false">
      <c r="A506" s="29" t="str">
        <f aca="false">IF($C506="","",ROW()-4)</f>
        <v/>
      </c>
      <c r="B506" s="35" t="str">
        <f aca="false">IF($C506="","","YS"&amp;TEXT($C506,"yyyymm")&amp;"-"&amp;TEXT(ROW()-4,"0000"))</f>
        <v/>
      </c>
      <c r="C506" s="33"/>
      <c r="D506" s="24"/>
      <c r="E506" s="30" t="str">
        <f aca="false">IF($D506="","",IFERROR(INDEX(合同单位,MATCH($D506,合同键,0)),IFERROR(TRIM(LEFT($D506,FIND("｜",$D506)-1)),$D506)))</f>
        <v/>
      </c>
      <c r="F506" s="30" t="str">
        <f aca="false">IF($D506="","",IFERROR(INDEX(合同项目,MATCH($D506,合同键,0)),IFERROR(TRIM(MID($D506,FIND("｜",$D506)+1,99)),"")))</f>
        <v/>
      </c>
      <c r="G506" s="24"/>
      <c r="H506" s="35" t="str">
        <f aca="false">IF($G506="","",IFERROR(INDEX(费用款别,MATCH($G506,费用类别表,0)),"合同外款"))</f>
        <v/>
      </c>
      <c r="I506" s="33"/>
      <c r="J506" s="33"/>
      <c r="K506" s="39"/>
      <c r="L506" s="33"/>
      <c r="M506" s="25"/>
      <c r="N506" s="39"/>
      <c r="O506" s="35" t="str">
        <f aca="false">IF($C506="","",IF(N($N506)&lt;=0,"未开票",IF(ROUND(N($N506)-N($K506),2)&gt;=0,"已开票",IFERROR("部分开票 "&amp;TEXT(N($N506)/N($K506),"0%"),"部分开票"))))</f>
        <v/>
      </c>
      <c r="P506" s="40" t="str">
        <f aca="false">IF($C506="","",ROUND($V506+MIN($W506,MAX(0,(SUMIF(收款键,$D506,收款金额)-SUMIFS(收款金额,收款键,$D506,收款关联,"&lt;&gt;"))-($X506-$W506))),2))</f>
        <v/>
      </c>
      <c r="Q506" s="41" t="str">
        <f aca="false">IF($C506="","",ROUND(N($K506)-N($P506),2))</f>
        <v/>
      </c>
      <c r="R506" s="29" t="str">
        <f aca="false">IF($C506="","",YEAR($C506))</f>
        <v/>
      </c>
      <c r="S506" s="24"/>
      <c r="T506" s="35" t="str">
        <f aca="false">IF($C506="","",IF($D506="","★没选客户项目",IF(COUNTIF(合同键,$D506)=0,"★《维保合同》里没这个项目",IF(N($K506)&lt;=0,"★应收金额要填",IF(ROUND(N($N506)-N($K506),2)&gt;0.001,"★开票金额大于应收",IF(AND($L506&lt;&gt;"",N($N506)&lt;=0),"★填了开票日期没填开票金额",IF(AND($I506&lt;&gt;"",$J506&lt;&gt;"",$J506&lt;$I506),"★计费期间起止反了","OK")))))))</f>
        <v/>
      </c>
      <c r="U506" s="29" t="str">
        <f aca="false">IF($L506="","",YEAR($L506))</f>
        <v/>
      </c>
      <c r="V506" s="40" t="str">
        <f aca="false">IF($C506="","",ROUND(SUMIF(收款关联,$B506,收款金额),2))</f>
        <v/>
      </c>
      <c r="W506" s="40" t="str">
        <f aca="false">IF($C506="","",MAX(0,ROUND(N($K506)-N($V506),2)))</f>
        <v/>
      </c>
      <c r="X506" s="40" t="str">
        <f aca="false">IF($C506="","",ROUND(SUMIFS(应收净额,应收键,$D506,应收行号,"&lt;="&amp;ROW()),2))</f>
        <v/>
      </c>
      <c r="Y506" s="29" t="str">
        <f aca="false">IF($C506="","",ROW())</f>
        <v/>
      </c>
    </row>
    <row r="507" customFormat="false" ht="15" hidden="false" customHeight="false" outlineLevel="0" collapsed="false">
      <c r="A507" s="29" t="str">
        <f aca="false">IF($C507="","",ROW()-4)</f>
        <v/>
      </c>
      <c r="B507" s="35" t="str">
        <f aca="false">IF($C507="","","YS"&amp;TEXT($C507,"yyyymm")&amp;"-"&amp;TEXT(ROW()-4,"0000"))</f>
        <v/>
      </c>
      <c r="C507" s="33"/>
      <c r="D507" s="24"/>
      <c r="E507" s="30" t="str">
        <f aca="false">IF($D507="","",IFERROR(INDEX(合同单位,MATCH($D507,合同键,0)),IFERROR(TRIM(LEFT($D507,FIND("｜",$D507)-1)),$D507)))</f>
        <v/>
      </c>
      <c r="F507" s="30" t="str">
        <f aca="false">IF($D507="","",IFERROR(INDEX(合同项目,MATCH($D507,合同键,0)),IFERROR(TRIM(MID($D507,FIND("｜",$D507)+1,99)),"")))</f>
        <v/>
      </c>
      <c r="G507" s="24"/>
      <c r="H507" s="35" t="str">
        <f aca="false">IF($G507="","",IFERROR(INDEX(费用款别,MATCH($G507,费用类别表,0)),"合同外款"))</f>
        <v/>
      </c>
      <c r="I507" s="33"/>
      <c r="J507" s="33"/>
      <c r="K507" s="39"/>
      <c r="L507" s="33"/>
      <c r="M507" s="25"/>
      <c r="N507" s="39"/>
      <c r="O507" s="35" t="str">
        <f aca="false">IF($C507="","",IF(N($N507)&lt;=0,"未开票",IF(ROUND(N($N507)-N($K507),2)&gt;=0,"已开票",IFERROR("部分开票 "&amp;TEXT(N($N507)/N($K507),"0%"),"部分开票"))))</f>
        <v/>
      </c>
      <c r="P507" s="40" t="str">
        <f aca="false">IF($C507="","",ROUND($V507+MIN($W507,MAX(0,(SUMIF(收款键,$D507,收款金额)-SUMIFS(收款金额,收款键,$D507,收款关联,"&lt;&gt;"))-($X507-$W507))),2))</f>
        <v/>
      </c>
      <c r="Q507" s="41" t="str">
        <f aca="false">IF($C507="","",ROUND(N($K507)-N($P507),2))</f>
        <v/>
      </c>
      <c r="R507" s="29" t="str">
        <f aca="false">IF($C507="","",YEAR($C507))</f>
        <v/>
      </c>
      <c r="S507" s="24"/>
      <c r="T507" s="35" t="str">
        <f aca="false">IF($C507="","",IF($D507="","★没选客户项目",IF(COUNTIF(合同键,$D507)=0,"★《维保合同》里没这个项目",IF(N($K507)&lt;=0,"★应收金额要填",IF(ROUND(N($N507)-N($K507),2)&gt;0.001,"★开票金额大于应收",IF(AND($L507&lt;&gt;"",N($N507)&lt;=0),"★填了开票日期没填开票金额",IF(AND($I507&lt;&gt;"",$J507&lt;&gt;"",$J507&lt;$I507),"★计费期间起止反了","OK")))))))</f>
        <v/>
      </c>
      <c r="U507" s="29" t="str">
        <f aca="false">IF($L507="","",YEAR($L507))</f>
        <v/>
      </c>
      <c r="V507" s="40" t="str">
        <f aca="false">IF($C507="","",ROUND(SUMIF(收款关联,$B507,收款金额),2))</f>
        <v/>
      </c>
      <c r="W507" s="40" t="str">
        <f aca="false">IF($C507="","",MAX(0,ROUND(N($K507)-N($V507),2)))</f>
        <v/>
      </c>
      <c r="X507" s="40" t="str">
        <f aca="false">IF($C507="","",ROUND(SUMIFS(应收净额,应收键,$D507,应收行号,"&lt;="&amp;ROW()),2))</f>
        <v/>
      </c>
      <c r="Y507" s="29" t="str">
        <f aca="false">IF($C507="","",ROW())</f>
        <v/>
      </c>
    </row>
    <row r="508" customFormat="false" ht="15" hidden="false" customHeight="false" outlineLevel="0" collapsed="false">
      <c r="A508" s="29" t="str">
        <f aca="false">IF($C508="","",ROW()-4)</f>
        <v/>
      </c>
      <c r="B508" s="35" t="str">
        <f aca="false">IF($C508="","","YS"&amp;TEXT($C508,"yyyymm")&amp;"-"&amp;TEXT(ROW()-4,"0000"))</f>
        <v/>
      </c>
      <c r="C508" s="33"/>
      <c r="D508" s="24"/>
      <c r="E508" s="30" t="str">
        <f aca="false">IF($D508="","",IFERROR(INDEX(合同单位,MATCH($D508,合同键,0)),IFERROR(TRIM(LEFT($D508,FIND("｜",$D508)-1)),$D508)))</f>
        <v/>
      </c>
      <c r="F508" s="30" t="str">
        <f aca="false">IF($D508="","",IFERROR(INDEX(合同项目,MATCH($D508,合同键,0)),IFERROR(TRIM(MID($D508,FIND("｜",$D508)+1,99)),"")))</f>
        <v/>
      </c>
      <c r="G508" s="24"/>
      <c r="H508" s="35" t="str">
        <f aca="false">IF($G508="","",IFERROR(INDEX(费用款别,MATCH($G508,费用类别表,0)),"合同外款"))</f>
        <v/>
      </c>
      <c r="I508" s="33"/>
      <c r="J508" s="33"/>
      <c r="K508" s="39"/>
      <c r="L508" s="33"/>
      <c r="M508" s="25"/>
      <c r="N508" s="39"/>
      <c r="O508" s="35" t="str">
        <f aca="false">IF($C508="","",IF(N($N508)&lt;=0,"未开票",IF(ROUND(N($N508)-N($K508),2)&gt;=0,"已开票",IFERROR("部分开票 "&amp;TEXT(N($N508)/N($K508),"0%"),"部分开票"))))</f>
        <v/>
      </c>
      <c r="P508" s="40" t="str">
        <f aca="false">IF($C508="","",ROUND($V508+MIN($W508,MAX(0,(SUMIF(收款键,$D508,收款金额)-SUMIFS(收款金额,收款键,$D508,收款关联,"&lt;&gt;"))-($X508-$W508))),2))</f>
        <v/>
      </c>
      <c r="Q508" s="41" t="str">
        <f aca="false">IF($C508="","",ROUND(N($K508)-N($P508),2))</f>
        <v/>
      </c>
      <c r="R508" s="29" t="str">
        <f aca="false">IF($C508="","",YEAR($C508))</f>
        <v/>
      </c>
      <c r="S508" s="24"/>
      <c r="T508" s="35" t="str">
        <f aca="false">IF($C508="","",IF($D508="","★没选客户项目",IF(COUNTIF(合同键,$D508)=0,"★《维保合同》里没这个项目",IF(N($K508)&lt;=0,"★应收金额要填",IF(ROUND(N($N508)-N($K508),2)&gt;0.001,"★开票金额大于应收",IF(AND($L508&lt;&gt;"",N($N508)&lt;=0),"★填了开票日期没填开票金额",IF(AND($I508&lt;&gt;"",$J508&lt;&gt;"",$J508&lt;$I508),"★计费期间起止反了","OK")))))))</f>
        <v/>
      </c>
      <c r="U508" s="29" t="str">
        <f aca="false">IF($L508="","",YEAR($L508))</f>
        <v/>
      </c>
      <c r="V508" s="40" t="str">
        <f aca="false">IF($C508="","",ROUND(SUMIF(收款关联,$B508,收款金额),2))</f>
        <v/>
      </c>
      <c r="W508" s="40" t="str">
        <f aca="false">IF($C508="","",MAX(0,ROUND(N($K508)-N($V508),2)))</f>
        <v/>
      </c>
      <c r="X508" s="40" t="str">
        <f aca="false">IF($C508="","",ROUND(SUMIFS(应收净额,应收键,$D508,应收行号,"&lt;="&amp;ROW()),2))</f>
        <v/>
      </c>
      <c r="Y508" s="29" t="str">
        <f aca="false">IF($C508="","",ROW())</f>
        <v/>
      </c>
    </row>
    <row r="509" customFormat="false" ht="15" hidden="false" customHeight="false" outlineLevel="0" collapsed="false">
      <c r="A509" s="29" t="str">
        <f aca="false">IF($C509="","",ROW()-4)</f>
        <v/>
      </c>
      <c r="B509" s="35" t="str">
        <f aca="false">IF($C509="","","YS"&amp;TEXT($C509,"yyyymm")&amp;"-"&amp;TEXT(ROW()-4,"0000"))</f>
        <v/>
      </c>
      <c r="C509" s="33"/>
      <c r="D509" s="24"/>
      <c r="E509" s="30" t="str">
        <f aca="false">IF($D509="","",IFERROR(INDEX(合同单位,MATCH($D509,合同键,0)),IFERROR(TRIM(LEFT($D509,FIND("｜",$D509)-1)),$D509)))</f>
        <v/>
      </c>
      <c r="F509" s="30" t="str">
        <f aca="false">IF($D509="","",IFERROR(INDEX(合同项目,MATCH($D509,合同键,0)),IFERROR(TRIM(MID($D509,FIND("｜",$D509)+1,99)),"")))</f>
        <v/>
      </c>
      <c r="G509" s="24"/>
      <c r="H509" s="35" t="str">
        <f aca="false">IF($G509="","",IFERROR(INDEX(费用款别,MATCH($G509,费用类别表,0)),"合同外款"))</f>
        <v/>
      </c>
      <c r="I509" s="33"/>
      <c r="J509" s="33"/>
      <c r="K509" s="39"/>
      <c r="L509" s="33"/>
      <c r="M509" s="25"/>
      <c r="N509" s="39"/>
      <c r="O509" s="35" t="str">
        <f aca="false">IF($C509="","",IF(N($N509)&lt;=0,"未开票",IF(ROUND(N($N509)-N($K509),2)&gt;=0,"已开票",IFERROR("部分开票 "&amp;TEXT(N($N509)/N($K509),"0%"),"部分开票"))))</f>
        <v/>
      </c>
      <c r="P509" s="40" t="str">
        <f aca="false">IF($C509="","",ROUND($V509+MIN($W509,MAX(0,(SUMIF(收款键,$D509,收款金额)-SUMIFS(收款金额,收款键,$D509,收款关联,"&lt;&gt;"))-($X509-$W509))),2))</f>
        <v/>
      </c>
      <c r="Q509" s="41" t="str">
        <f aca="false">IF($C509="","",ROUND(N($K509)-N($P509),2))</f>
        <v/>
      </c>
      <c r="R509" s="29" t="str">
        <f aca="false">IF($C509="","",YEAR($C509))</f>
        <v/>
      </c>
      <c r="S509" s="24"/>
      <c r="T509" s="35" t="str">
        <f aca="false">IF($C509="","",IF($D509="","★没选客户项目",IF(COUNTIF(合同键,$D509)=0,"★《维保合同》里没这个项目",IF(N($K509)&lt;=0,"★应收金额要填",IF(ROUND(N($N509)-N($K509),2)&gt;0.001,"★开票金额大于应收",IF(AND($L509&lt;&gt;"",N($N509)&lt;=0),"★填了开票日期没填开票金额",IF(AND($I509&lt;&gt;"",$J509&lt;&gt;"",$J509&lt;$I509),"★计费期间起止反了","OK")))))))</f>
        <v/>
      </c>
      <c r="U509" s="29" t="str">
        <f aca="false">IF($L509="","",YEAR($L509))</f>
        <v/>
      </c>
      <c r="V509" s="40" t="str">
        <f aca="false">IF($C509="","",ROUND(SUMIF(收款关联,$B509,收款金额),2))</f>
        <v/>
      </c>
      <c r="W509" s="40" t="str">
        <f aca="false">IF($C509="","",MAX(0,ROUND(N($K509)-N($V509),2)))</f>
        <v/>
      </c>
      <c r="X509" s="40" t="str">
        <f aca="false">IF($C509="","",ROUND(SUMIFS(应收净额,应收键,$D509,应收行号,"&lt;="&amp;ROW()),2))</f>
        <v/>
      </c>
      <c r="Y509" s="29" t="str">
        <f aca="false">IF($C509="","",ROW())</f>
        <v/>
      </c>
    </row>
    <row r="510" customFormat="false" ht="15" hidden="false" customHeight="false" outlineLevel="0" collapsed="false">
      <c r="A510" s="29" t="str">
        <f aca="false">IF($C510="","",ROW()-4)</f>
        <v/>
      </c>
      <c r="B510" s="35" t="str">
        <f aca="false">IF($C510="","","YS"&amp;TEXT($C510,"yyyymm")&amp;"-"&amp;TEXT(ROW()-4,"0000"))</f>
        <v/>
      </c>
      <c r="C510" s="33"/>
      <c r="D510" s="24"/>
      <c r="E510" s="30" t="str">
        <f aca="false">IF($D510="","",IFERROR(INDEX(合同单位,MATCH($D510,合同键,0)),IFERROR(TRIM(LEFT($D510,FIND("｜",$D510)-1)),$D510)))</f>
        <v/>
      </c>
      <c r="F510" s="30" t="str">
        <f aca="false">IF($D510="","",IFERROR(INDEX(合同项目,MATCH($D510,合同键,0)),IFERROR(TRIM(MID($D510,FIND("｜",$D510)+1,99)),"")))</f>
        <v/>
      </c>
      <c r="G510" s="24"/>
      <c r="H510" s="35" t="str">
        <f aca="false">IF($G510="","",IFERROR(INDEX(费用款别,MATCH($G510,费用类别表,0)),"合同外款"))</f>
        <v/>
      </c>
      <c r="I510" s="33"/>
      <c r="J510" s="33"/>
      <c r="K510" s="39"/>
      <c r="L510" s="33"/>
      <c r="M510" s="25"/>
      <c r="N510" s="39"/>
      <c r="O510" s="35" t="str">
        <f aca="false">IF($C510="","",IF(N($N510)&lt;=0,"未开票",IF(ROUND(N($N510)-N($K510),2)&gt;=0,"已开票",IFERROR("部分开票 "&amp;TEXT(N($N510)/N($K510),"0%"),"部分开票"))))</f>
        <v/>
      </c>
      <c r="P510" s="40" t="str">
        <f aca="false">IF($C510="","",ROUND($V510+MIN($W510,MAX(0,(SUMIF(收款键,$D510,收款金额)-SUMIFS(收款金额,收款键,$D510,收款关联,"&lt;&gt;"))-($X510-$W510))),2))</f>
        <v/>
      </c>
      <c r="Q510" s="41" t="str">
        <f aca="false">IF($C510="","",ROUND(N($K510)-N($P510),2))</f>
        <v/>
      </c>
      <c r="R510" s="29" t="str">
        <f aca="false">IF($C510="","",YEAR($C510))</f>
        <v/>
      </c>
      <c r="S510" s="24"/>
      <c r="T510" s="35" t="str">
        <f aca="false">IF($C510="","",IF($D510="","★没选客户项目",IF(COUNTIF(合同键,$D510)=0,"★《维保合同》里没这个项目",IF(N($K510)&lt;=0,"★应收金额要填",IF(ROUND(N($N510)-N($K510),2)&gt;0.001,"★开票金额大于应收",IF(AND($L510&lt;&gt;"",N($N510)&lt;=0),"★填了开票日期没填开票金额",IF(AND($I510&lt;&gt;"",$J510&lt;&gt;"",$J510&lt;$I510),"★计费期间起止反了","OK")))))))</f>
        <v/>
      </c>
      <c r="U510" s="29" t="str">
        <f aca="false">IF($L510="","",YEAR($L510))</f>
        <v/>
      </c>
      <c r="V510" s="40" t="str">
        <f aca="false">IF($C510="","",ROUND(SUMIF(收款关联,$B510,收款金额),2))</f>
        <v/>
      </c>
      <c r="W510" s="40" t="str">
        <f aca="false">IF($C510="","",MAX(0,ROUND(N($K510)-N($V510),2)))</f>
        <v/>
      </c>
      <c r="X510" s="40" t="str">
        <f aca="false">IF($C510="","",ROUND(SUMIFS(应收净额,应收键,$D510,应收行号,"&lt;="&amp;ROW()),2))</f>
        <v/>
      </c>
      <c r="Y510" s="29" t="str">
        <f aca="false">IF($C510="","",ROW())</f>
        <v/>
      </c>
    </row>
    <row r="511" customFormat="false" ht="15" hidden="false" customHeight="false" outlineLevel="0" collapsed="false">
      <c r="A511" s="29" t="str">
        <f aca="false">IF($C511="","",ROW()-4)</f>
        <v/>
      </c>
      <c r="B511" s="35" t="str">
        <f aca="false">IF($C511="","","YS"&amp;TEXT($C511,"yyyymm")&amp;"-"&amp;TEXT(ROW()-4,"0000"))</f>
        <v/>
      </c>
      <c r="C511" s="33"/>
      <c r="D511" s="24"/>
      <c r="E511" s="30" t="str">
        <f aca="false">IF($D511="","",IFERROR(INDEX(合同单位,MATCH($D511,合同键,0)),IFERROR(TRIM(LEFT($D511,FIND("｜",$D511)-1)),$D511)))</f>
        <v/>
      </c>
      <c r="F511" s="30" t="str">
        <f aca="false">IF($D511="","",IFERROR(INDEX(合同项目,MATCH($D511,合同键,0)),IFERROR(TRIM(MID($D511,FIND("｜",$D511)+1,99)),"")))</f>
        <v/>
      </c>
      <c r="G511" s="24"/>
      <c r="H511" s="35" t="str">
        <f aca="false">IF($G511="","",IFERROR(INDEX(费用款别,MATCH($G511,费用类别表,0)),"合同外款"))</f>
        <v/>
      </c>
      <c r="I511" s="33"/>
      <c r="J511" s="33"/>
      <c r="K511" s="39"/>
      <c r="L511" s="33"/>
      <c r="M511" s="25"/>
      <c r="N511" s="39"/>
      <c r="O511" s="35" t="str">
        <f aca="false">IF($C511="","",IF(N($N511)&lt;=0,"未开票",IF(ROUND(N($N511)-N($K511),2)&gt;=0,"已开票",IFERROR("部分开票 "&amp;TEXT(N($N511)/N($K511),"0%"),"部分开票"))))</f>
        <v/>
      </c>
      <c r="P511" s="40" t="str">
        <f aca="false">IF($C511="","",ROUND($V511+MIN($W511,MAX(0,(SUMIF(收款键,$D511,收款金额)-SUMIFS(收款金额,收款键,$D511,收款关联,"&lt;&gt;"))-($X511-$W511))),2))</f>
        <v/>
      </c>
      <c r="Q511" s="41" t="str">
        <f aca="false">IF($C511="","",ROUND(N($K511)-N($P511),2))</f>
        <v/>
      </c>
      <c r="R511" s="29" t="str">
        <f aca="false">IF($C511="","",YEAR($C511))</f>
        <v/>
      </c>
      <c r="S511" s="24"/>
      <c r="T511" s="35" t="str">
        <f aca="false">IF($C511="","",IF($D511="","★没选客户项目",IF(COUNTIF(合同键,$D511)=0,"★《维保合同》里没这个项目",IF(N($K511)&lt;=0,"★应收金额要填",IF(ROUND(N($N511)-N($K511),2)&gt;0.001,"★开票金额大于应收",IF(AND($L511&lt;&gt;"",N($N511)&lt;=0),"★填了开票日期没填开票金额",IF(AND($I511&lt;&gt;"",$J511&lt;&gt;"",$J511&lt;$I511),"★计费期间起止反了","OK")))))))</f>
        <v/>
      </c>
      <c r="U511" s="29" t="str">
        <f aca="false">IF($L511="","",YEAR($L511))</f>
        <v/>
      </c>
      <c r="V511" s="40" t="str">
        <f aca="false">IF($C511="","",ROUND(SUMIF(收款关联,$B511,收款金额),2))</f>
        <v/>
      </c>
      <c r="W511" s="40" t="str">
        <f aca="false">IF($C511="","",MAX(0,ROUND(N($K511)-N($V511),2)))</f>
        <v/>
      </c>
      <c r="X511" s="40" t="str">
        <f aca="false">IF($C511="","",ROUND(SUMIFS(应收净额,应收键,$D511,应收行号,"&lt;="&amp;ROW()),2))</f>
        <v/>
      </c>
      <c r="Y511" s="29" t="str">
        <f aca="false">IF($C511="","",ROW())</f>
        <v/>
      </c>
    </row>
    <row r="512" customFormat="false" ht="15" hidden="false" customHeight="false" outlineLevel="0" collapsed="false">
      <c r="A512" s="29" t="str">
        <f aca="false">IF($C512="","",ROW()-4)</f>
        <v/>
      </c>
      <c r="B512" s="35" t="str">
        <f aca="false">IF($C512="","","YS"&amp;TEXT($C512,"yyyymm")&amp;"-"&amp;TEXT(ROW()-4,"0000"))</f>
        <v/>
      </c>
      <c r="C512" s="33"/>
      <c r="D512" s="24"/>
      <c r="E512" s="30" t="str">
        <f aca="false">IF($D512="","",IFERROR(INDEX(合同单位,MATCH($D512,合同键,0)),IFERROR(TRIM(LEFT($D512,FIND("｜",$D512)-1)),$D512)))</f>
        <v/>
      </c>
      <c r="F512" s="30" t="str">
        <f aca="false">IF($D512="","",IFERROR(INDEX(合同项目,MATCH($D512,合同键,0)),IFERROR(TRIM(MID($D512,FIND("｜",$D512)+1,99)),"")))</f>
        <v/>
      </c>
      <c r="G512" s="24"/>
      <c r="H512" s="35" t="str">
        <f aca="false">IF($G512="","",IFERROR(INDEX(费用款别,MATCH($G512,费用类别表,0)),"合同外款"))</f>
        <v/>
      </c>
      <c r="I512" s="33"/>
      <c r="J512" s="33"/>
      <c r="K512" s="39"/>
      <c r="L512" s="33"/>
      <c r="M512" s="25"/>
      <c r="N512" s="39"/>
      <c r="O512" s="35" t="str">
        <f aca="false">IF($C512="","",IF(N($N512)&lt;=0,"未开票",IF(ROUND(N($N512)-N($K512),2)&gt;=0,"已开票",IFERROR("部分开票 "&amp;TEXT(N($N512)/N($K512),"0%"),"部分开票"))))</f>
        <v/>
      </c>
      <c r="P512" s="40" t="str">
        <f aca="false">IF($C512="","",ROUND($V512+MIN($W512,MAX(0,(SUMIF(收款键,$D512,收款金额)-SUMIFS(收款金额,收款键,$D512,收款关联,"&lt;&gt;"))-($X512-$W512))),2))</f>
        <v/>
      </c>
      <c r="Q512" s="41" t="str">
        <f aca="false">IF($C512="","",ROUND(N($K512)-N($P512),2))</f>
        <v/>
      </c>
      <c r="R512" s="29" t="str">
        <f aca="false">IF($C512="","",YEAR($C512))</f>
        <v/>
      </c>
      <c r="S512" s="24"/>
      <c r="T512" s="35" t="str">
        <f aca="false">IF($C512="","",IF($D512="","★没选客户项目",IF(COUNTIF(合同键,$D512)=0,"★《维保合同》里没这个项目",IF(N($K512)&lt;=0,"★应收金额要填",IF(ROUND(N($N512)-N($K512),2)&gt;0.001,"★开票金额大于应收",IF(AND($L512&lt;&gt;"",N($N512)&lt;=0),"★填了开票日期没填开票金额",IF(AND($I512&lt;&gt;"",$J512&lt;&gt;"",$J512&lt;$I512),"★计费期间起止反了","OK")))))))</f>
        <v/>
      </c>
      <c r="U512" s="29" t="str">
        <f aca="false">IF($L512="","",YEAR($L512))</f>
        <v/>
      </c>
      <c r="V512" s="40" t="str">
        <f aca="false">IF($C512="","",ROUND(SUMIF(收款关联,$B512,收款金额),2))</f>
        <v/>
      </c>
      <c r="W512" s="40" t="str">
        <f aca="false">IF($C512="","",MAX(0,ROUND(N($K512)-N($V512),2)))</f>
        <v/>
      </c>
      <c r="X512" s="40" t="str">
        <f aca="false">IF($C512="","",ROUND(SUMIFS(应收净额,应收键,$D512,应收行号,"&lt;="&amp;ROW()),2))</f>
        <v/>
      </c>
      <c r="Y512" s="29" t="str">
        <f aca="false">IF($C512="","",ROW())</f>
        <v/>
      </c>
    </row>
    <row r="513" customFormat="false" ht="15" hidden="false" customHeight="false" outlineLevel="0" collapsed="false">
      <c r="A513" s="29" t="str">
        <f aca="false">IF($C513="","",ROW()-4)</f>
        <v/>
      </c>
      <c r="B513" s="35" t="str">
        <f aca="false">IF($C513="","","YS"&amp;TEXT($C513,"yyyymm")&amp;"-"&amp;TEXT(ROW()-4,"0000"))</f>
        <v/>
      </c>
      <c r="C513" s="33"/>
      <c r="D513" s="24"/>
      <c r="E513" s="30" t="str">
        <f aca="false">IF($D513="","",IFERROR(INDEX(合同单位,MATCH($D513,合同键,0)),IFERROR(TRIM(LEFT($D513,FIND("｜",$D513)-1)),$D513)))</f>
        <v/>
      </c>
      <c r="F513" s="30" t="str">
        <f aca="false">IF($D513="","",IFERROR(INDEX(合同项目,MATCH($D513,合同键,0)),IFERROR(TRIM(MID($D513,FIND("｜",$D513)+1,99)),"")))</f>
        <v/>
      </c>
      <c r="G513" s="24"/>
      <c r="H513" s="35" t="str">
        <f aca="false">IF($G513="","",IFERROR(INDEX(费用款别,MATCH($G513,费用类别表,0)),"合同外款"))</f>
        <v/>
      </c>
      <c r="I513" s="33"/>
      <c r="J513" s="33"/>
      <c r="K513" s="39"/>
      <c r="L513" s="33"/>
      <c r="M513" s="25"/>
      <c r="N513" s="39"/>
      <c r="O513" s="35" t="str">
        <f aca="false">IF($C513="","",IF(N($N513)&lt;=0,"未开票",IF(ROUND(N($N513)-N($K513),2)&gt;=0,"已开票",IFERROR("部分开票 "&amp;TEXT(N($N513)/N($K513),"0%"),"部分开票"))))</f>
        <v/>
      </c>
      <c r="P513" s="40" t="str">
        <f aca="false">IF($C513="","",ROUND($V513+MIN($W513,MAX(0,(SUMIF(收款键,$D513,收款金额)-SUMIFS(收款金额,收款键,$D513,收款关联,"&lt;&gt;"))-($X513-$W513))),2))</f>
        <v/>
      </c>
      <c r="Q513" s="41" t="str">
        <f aca="false">IF($C513="","",ROUND(N($K513)-N($P513),2))</f>
        <v/>
      </c>
      <c r="R513" s="29" t="str">
        <f aca="false">IF($C513="","",YEAR($C513))</f>
        <v/>
      </c>
      <c r="S513" s="24"/>
      <c r="T513" s="35" t="str">
        <f aca="false">IF($C513="","",IF($D513="","★没选客户项目",IF(COUNTIF(合同键,$D513)=0,"★《维保合同》里没这个项目",IF(N($K513)&lt;=0,"★应收金额要填",IF(ROUND(N($N513)-N($K513),2)&gt;0.001,"★开票金额大于应收",IF(AND($L513&lt;&gt;"",N($N513)&lt;=0),"★填了开票日期没填开票金额",IF(AND($I513&lt;&gt;"",$J513&lt;&gt;"",$J513&lt;$I513),"★计费期间起止反了","OK")))))))</f>
        <v/>
      </c>
      <c r="U513" s="29" t="str">
        <f aca="false">IF($L513="","",YEAR($L513))</f>
        <v/>
      </c>
      <c r="V513" s="40" t="str">
        <f aca="false">IF($C513="","",ROUND(SUMIF(收款关联,$B513,收款金额),2))</f>
        <v/>
      </c>
      <c r="W513" s="40" t="str">
        <f aca="false">IF($C513="","",MAX(0,ROUND(N($K513)-N($V513),2)))</f>
        <v/>
      </c>
      <c r="X513" s="40" t="str">
        <f aca="false">IF($C513="","",ROUND(SUMIFS(应收净额,应收键,$D513,应收行号,"&lt;="&amp;ROW()),2))</f>
        <v/>
      </c>
      <c r="Y513" s="29" t="str">
        <f aca="false">IF($C513="","",ROW())</f>
        <v/>
      </c>
    </row>
    <row r="514" customFormat="false" ht="15" hidden="false" customHeight="false" outlineLevel="0" collapsed="false">
      <c r="A514" s="29" t="str">
        <f aca="false">IF($C514="","",ROW()-4)</f>
        <v/>
      </c>
      <c r="B514" s="35" t="str">
        <f aca="false">IF($C514="","","YS"&amp;TEXT($C514,"yyyymm")&amp;"-"&amp;TEXT(ROW()-4,"0000"))</f>
        <v/>
      </c>
      <c r="C514" s="33"/>
      <c r="D514" s="24"/>
      <c r="E514" s="30" t="str">
        <f aca="false">IF($D514="","",IFERROR(INDEX(合同单位,MATCH($D514,合同键,0)),IFERROR(TRIM(LEFT($D514,FIND("｜",$D514)-1)),$D514)))</f>
        <v/>
      </c>
      <c r="F514" s="30" t="str">
        <f aca="false">IF($D514="","",IFERROR(INDEX(合同项目,MATCH($D514,合同键,0)),IFERROR(TRIM(MID($D514,FIND("｜",$D514)+1,99)),"")))</f>
        <v/>
      </c>
      <c r="G514" s="24"/>
      <c r="H514" s="35" t="str">
        <f aca="false">IF($G514="","",IFERROR(INDEX(费用款别,MATCH($G514,费用类别表,0)),"合同外款"))</f>
        <v/>
      </c>
      <c r="I514" s="33"/>
      <c r="J514" s="33"/>
      <c r="K514" s="39"/>
      <c r="L514" s="33"/>
      <c r="M514" s="25"/>
      <c r="N514" s="39"/>
      <c r="O514" s="35" t="str">
        <f aca="false">IF($C514="","",IF(N($N514)&lt;=0,"未开票",IF(ROUND(N($N514)-N($K514),2)&gt;=0,"已开票",IFERROR("部分开票 "&amp;TEXT(N($N514)/N($K514),"0%"),"部分开票"))))</f>
        <v/>
      </c>
      <c r="P514" s="40" t="str">
        <f aca="false">IF($C514="","",ROUND($V514+MIN($W514,MAX(0,(SUMIF(收款键,$D514,收款金额)-SUMIFS(收款金额,收款键,$D514,收款关联,"&lt;&gt;"))-($X514-$W514))),2))</f>
        <v/>
      </c>
      <c r="Q514" s="41" t="str">
        <f aca="false">IF($C514="","",ROUND(N($K514)-N($P514),2))</f>
        <v/>
      </c>
      <c r="R514" s="29" t="str">
        <f aca="false">IF($C514="","",YEAR($C514))</f>
        <v/>
      </c>
      <c r="S514" s="24"/>
      <c r="T514" s="35" t="str">
        <f aca="false">IF($C514="","",IF($D514="","★没选客户项目",IF(COUNTIF(合同键,$D514)=0,"★《维保合同》里没这个项目",IF(N($K514)&lt;=0,"★应收金额要填",IF(ROUND(N($N514)-N($K514),2)&gt;0.001,"★开票金额大于应收",IF(AND($L514&lt;&gt;"",N($N514)&lt;=0),"★填了开票日期没填开票金额",IF(AND($I514&lt;&gt;"",$J514&lt;&gt;"",$J514&lt;$I514),"★计费期间起止反了","OK")))))))</f>
        <v/>
      </c>
      <c r="U514" s="29" t="str">
        <f aca="false">IF($L514="","",YEAR($L514))</f>
        <v/>
      </c>
      <c r="V514" s="40" t="str">
        <f aca="false">IF($C514="","",ROUND(SUMIF(收款关联,$B514,收款金额),2))</f>
        <v/>
      </c>
      <c r="W514" s="40" t="str">
        <f aca="false">IF($C514="","",MAX(0,ROUND(N($K514)-N($V514),2)))</f>
        <v/>
      </c>
      <c r="X514" s="40" t="str">
        <f aca="false">IF($C514="","",ROUND(SUMIFS(应收净额,应收键,$D514,应收行号,"&lt;="&amp;ROW()),2))</f>
        <v/>
      </c>
      <c r="Y514" s="29" t="str">
        <f aca="false">IF($C514="","",ROW())</f>
        <v/>
      </c>
    </row>
    <row r="515" customFormat="false" ht="15" hidden="false" customHeight="false" outlineLevel="0" collapsed="false">
      <c r="A515" s="29" t="str">
        <f aca="false">IF($C515="","",ROW()-4)</f>
        <v/>
      </c>
      <c r="B515" s="35" t="str">
        <f aca="false">IF($C515="","","YS"&amp;TEXT($C515,"yyyymm")&amp;"-"&amp;TEXT(ROW()-4,"0000"))</f>
        <v/>
      </c>
      <c r="C515" s="33"/>
      <c r="D515" s="24"/>
      <c r="E515" s="30" t="str">
        <f aca="false">IF($D515="","",IFERROR(INDEX(合同单位,MATCH($D515,合同键,0)),IFERROR(TRIM(LEFT($D515,FIND("｜",$D515)-1)),$D515)))</f>
        <v/>
      </c>
      <c r="F515" s="30" t="str">
        <f aca="false">IF($D515="","",IFERROR(INDEX(合同项目,MATCH($D515,合同键,0)),IFERROR(TRIM(MID($D515,FIND("｜",$D515)+1,99)),"")))</f>
        <v/>
      </c>
      <c r="G515" s="24"/>
      <c r="H515" s="35" t="str">
        <f aca="false">IF($G515="","",IFERROR(INDEX(费用款别,MATCH($G515,费用类别表,0)),"合同外款"))</f>
        <v/>
      </c>
      <c r="I515" s="33"/>
      <c r="J515" s="33"/>
      <c r="K515" s="39"/>
      <c r="L515" s="33"/>
      <c r="M515" s="25"/>
      <c r="N515" s="39"/>
      <c r="O515" s="35" t="str">
        <f aca="false">IF($C515="","",IF(N($N515)&lt;=0,"未开票",IF(ROUND(N($N515)-N($K515),2)&gt;=0,"已开票",IFERROR("部分开票 "&amp;TEXT(N($N515)/N($K515),"0%"),"部分开票"))))</f>
        <v/>
      </c>
      <c r="P515" s="40" t="str">
        <f aca="false">IF($C515="","",ROUND($V515+MIN($W515,MAX(0,(SUMIF(收款键,$D515,收款金额)-SUMIFS(收款金额,收款键,$D515,收款关联,"&lt;&gt;"))-($X515-$W515))),2))</f>
        <v/>
      </c>
      <c r="Q515" s="41" t="str">
        <f aca="false">IF($C515="","",ROUND(N($K515)-N($P515),2))</f>
        <v/>
      </c>
      <c r="R515" s="29" t="str">
        <f aca="false">IF($C515="","",YEAR($C515))</f>
        <v/>
      </c>
      <c r="S515" s="24"/>
      <c r="T515" s="35" t="str">
        <f aca="false">IF($C515="","",IF($D515="","★没选客户项目",IF(COUNTIF(合同键,$D515)=0,"★《维保合同》里没这个项目",IF(N($K515)&lt;=0,"★应收金额要填",IF(ROUND(N($N515)-N($K515),2)&gt;0.001,"★开票金额大于应收",IF(AND($L515&lt;&gt;"",N($N515)&lt;=0),"★填了开票日期没填开票金额",IF(AND($I515&lt;&gt;"",$J515&lt;&gt;"",$J515&lt;$I515),"★计费期间起止反了","OK")))))))</f>
        <v/>
      </c>
      <c r="U515" s="29" t="str">
        <f aca="false">IF($L515="","",YEAR($L515))</f>
        <v/>
      </c>
      <c r="V515" s="40" t="str">
        <f aca="false">IF($C515="","",ROUND(SUMIF(收款关联,$B515,收款金额),2))</f>
        <v/>
      </c>
      <c r="W515" s="40" t="str">
        <f aca="false">IF($C515="","",MAX(0,ROUND(N($K515)-N($V515),2)))</f>
        <v/>
      </c>
      <c r="X515" s="40" t="str">
        <f aca="false">IF($C515="","",ROUND(SUMIFS(应收净额,应收键,$D515,应收行号,"&lt;="&amp;ROW()),2))</f>
        <v/>
      </c>
      <c r="Y515" s="29" t="str">
        <f aca="false">IF($C515="","",ROW())</f>
        <v/>
      </c>
    </row>
    <row r="516" customFormat="false" ht="15" hidden="false" customHeight="false" outlineLevel="0" collapsed="false">
      <c r="A516" s="29" t="str">
        <f aca="false">IF($C516="","",ROW()-4)</f>
        <v/>
      </c>
      <c r="B516" s="35" t="str">
        <f aca="false">IF($C516="","","YS"&amp;TEXT($C516,"yyyymm")&amp;"-"&amp;TEXT(ROW()-4,"0000"))</f>
        <v/>
      </c>
      <c r="C516" s="33"/>
      <c r="D516" s="24"/>
      <c r="E516" s="30" t="str">
        <f aca="false">IF($D516="","",IFERROR(INDEX(合同单位,MATCH($D516,合同键,0)),IFERROR(TRIM(LEFT($D516,FIND("｜",$D516)-1)),$D516)))</f>
        <v/>
      </c>
      <c r="F516" s="30" t="str">
        <f aca="false">IF($D516="","",IFERROR(INDEX(合同项目,MATCH($D516,合同键,0)),IFERROR(TRIM(MID($D516,FIND("｜",$D516)+1,99)),"")))</f>
        <v/>
      </c>
      <c r="G516" s="24"/>
      <c r="H516" s="35" t="str">
        <f aca="false">IF($G516="","",IFERROR(INDEX(费用款别,MATCH($G516,费用类别表,0)),"合同外款"))</f>
        <v/>
      </c>
      <c r="I516" s="33"/>
      <c r="J516" s="33"/>
      <c r="K516" s="39"/>
      <c r="L516" s="33"/>
      <c r="M516" s="25"/>
      <c r="N516" s="39"/>
      <c r="O516" s="35" t="str">
        <f aca="false">IF($C516="","",IF(N($N516)&lt;=0,"未开票",IF(ROUND(N($N516)-N($K516),2)&gt;=0,"已开票",IFERROR("部分开票 "&amp;TEXT(N($N516)/N($K516),"0%"),"部分开票"))))</f>
        <v/>
      </c>
      <c r="P516" s="40" t="str">
        <f aca="false">IF($C516="","",ROUND($V516+MIN($W516,MAX(0,(SUMIF(收款键,$D516,收款金额)-SUMIFS(收款金额,收款键,$D516,收款关联,"&lt;&gt;"))-($X516-$W516))),2))</f>
        <v/>
      </c>
      <c r="Q516" s="41" t="str">
        <f aca="false">IF($C516="","",ROUND(N($K516)-N($P516),2))</f>
        <v/>
      </c>
      <c r="R516" s="29" t="str">
        <f aca="false">IF($C516="","",YEAR($C516))</f>
        <v/>
      </c>
      <c r="S516" s="24"/>
      <c r="T516" s="35" t="str">
        <f aca="false">IF($C516="","",IF($D516="","★没选客户项目",IF(COUNTIF(合同键,$D516)=0,"★《维保合同》里没这个项目",IF(N($K516)&lt;=0,"★应收金额要填",IF(ROUND(N($N516)-N($K516),2)&gt;0.001,"★开票金额大于应收",IF(AND($L516&lt;&gt;"",N($N516)&lt;=0),"★填了开票日期没填开票金额",IF(AND($I516&lt;&gt;"",$J516&lt;&gt;"",$J516&lt;$I516),"★计费期间起止反了","OK")))))))</f>
        <v/>
      </c>
      <c r="U516" s="29" t="str">
        <f aca="false">IF($L516="","",YEAR($L516))</f>
        <v/>
      </c>
      <c r="V516" s="40" t="str">
        <f aca="false">IF($C516="","",ROUND(SUMIF(收款关联,$B516,收款金额),2))</f>
        <v/>
      </c>
      <c r="W516" s="40" t="str">
        <f aca="false">IF($C516="","",MAX(0,ROUND(N($K516)-N($V516),2)))</f>
        <v/>
      </c>
      <c r="X516" s="40" t="str">
        <f aca="false">IF($C516="","",ROUND(SUMIFS(应收净额,应收键,$D516,应收行号,"&lt;="&amp;ROW()),2))</f>
        <v/>
      </c>
      <c r="Y516" s="29" t="str">
        <f aca="false">IF($C516="","",ROW())</f>
        <v/>
      </c>
    </row>
    <row r="517" customFormat="false" ht="15" hidden="false" customHeight="false" outlineLevel="0" collapsed="false">
      <c r="A517" s="29" t="str">
        <f aca="false">IF($C517="","",ROW()-4)</f>
        <v/>
      </c>
      <c r="B517" s="35" t="str">
        <f aca="false">IF($C517="","","YS"&amp;TEXT($C517,"yyyymm")&amp;"-"&amp;TEXT(ROW()-4,"0000"))</f>
        <v/>
      </c>
      <c r="C517" s="33"/>
      <c r="D517" s="24"/>
      <c r="E517" s="30" t="str">
        <f aca="false">IF($D517="","",IFERROR(INDEX(合同单位,MATCH($D517,合同键,0)),IFERROR(TRIM(LEFT($D517,FIND("｜",$D517)-1)),$D517)))</f>
        <v/>
      </c>
      <c r="F517" s="30" t="str">
        <f aca="false">IF($D517="","",IFERROR(INDEX(合同项目,MATCH($D517,合同键,0)),IFERROR(TRIM(MID($D517,FIND("｜",$D517)+1,99)),"")))</f>
        <v/>
      </c>
      <c r="G517" s="24"/>
      <c r="H517" s="35" t="str">
        <f aca="false">IF($G517="","",IFERROR(INDEX(费用款别,MATCH($G517,费用类别表,0)),"合同外款"))</f>
        <v/>
      </c>
      <c r="I517" s="33"/>
      <c r="J517" s="33"/>
      <c r="K517" s="39"/>
      <c r="L517" s="33"/>
      <c r="M517" s="25"/>
      <c r="N517" s="39"/>
      <c r="O517" s="35" t="str">
        <f aca="false">IF($C517="","",IF(N($N517)&lt;=0,"未开票",IF(ROUND(N($N517)-N($K517),2)&gt;=0,"已开票",IFERROR("部分开票 "&amp;TEXT(N($N517)/N($K517),"0%"),"部分开票"))))</f>
        <v/>
      </c>
      <c r="P517" s="40" t="str">
        <f aca="false">IF($C517="","",ROUND($V517+MIN($W517,MAX(0,(SUMIF(收款键,$D517,收款金额)-SUMIFS(收款金额,收款键,$D517,收款关联,"&lt;&gt;"))-($X517-$W517))),2))</f>
        <v/>
      </c>
      <c r="Q517" s="41" t="str">
        <f aca="false">IF($C517="","",ROUND(N($K517)-N($P517),2))</f>
        <v/>
      </c>
      <c r="R517" s="29" t="str">
        <f aca="false">IF($C517="","",YEAR($C517))</f>
        <v/>
      </c>
      <c r="S517" s="24"/>
      <c r="T517" s="35" t="str">
        <f aca="false">IF($C517="","",IF($D517="","★没选客户项目",IF(COUNTIF(合同键,$D517)=0,"★《维保合同》里没这个项目",IF(N($K517)&lt;=0,"★应收金额要填",IF(ROUND(N($N517)-N($K517),2)&gt;0.001,"★开票金额大于应收",IF(AND($L517&lt;&gt;"",N($N517)&lt;=0),"★填了开票日期没填开票金额",IF(AND($I517&lt;&gt;"",$J517&lt;&gt;"",$J517&lt;$I517),"★计费期间起止反了","OK")))))))</f>
        <v/>
      </c>
      <c r="U517" s="29" t="str">
        <f aca="false">IF($L517="","",YEAR($L517))</f>
        <v/>
      </c>
      <c r="V517" s="40" t="str">
        <f aca="false">IF($C517="","",ROUND(SUMIF(收款关联,$B517,收款金额),2))</f>
        <v/>
      </c>
      <c r="W517" s="40" t="str">
        <f aca="false">IF($C517="","",MAX(0,ROUND(N($K517)-N($V517),2)))</f>
        <v/>
      </c>
      <c r="X517" s="40" t="str">
        <f aca="false">IF($C517="","",ROUND(SUMIFS(应收净额,应收键,$D517,应收行号,"&lt;="&amp;ROW()),2))</f>
        <v/>
      </c>
      <c r="Y517" s="29" t="str">
        <f aca="false">IF($C517="","",ROW())</f>
        <v/>
      </c>
    </row>
    <row r="518" customFormat="false" ht="15" hidden="false" customHeight="false" outlineLevel="0" collapsed="false">
      <c r="A518" s="29" t="str">
        <f aca="false">IF($C518="","",ROW()-4)</f>
        <v/>
      </c>
      <c r="B518" s="35" t="str">
        <f aca="false">IF($C518="","","YS"&amp;TEXT($C518,"yyyymm")&amp;"-"&amp;TEXT(ROW()-4,"0000"))</f>
        <v/>
      </c>
      <c r="C518" s="33"/>
      <c r="D518" s="24"/>
      <c r="E518" s="30" t="str">
        <f aca="false">IF($D518="","",IFERROR(INDEX(合同单位,MATCH($D518,合同键,0)),IFERROR(TRIM(LEFT($D518,FIND("｜",$D518)-1)),$D518)))</f>
        <v/>
      </c>
      <c r="F518" s="30" t="str">
        <f aca="false">IF($D518="","",IFERROR(INDEX(合同项目,MATCH($D518,合同键,0)),IFERROR(TRIM(MID($D518,FIND("｜",$D518)+1,99)),"")))</f>
        <v/>
      </c>
      <c r="G518" s="24"/>
      <c r="H518" s="35" t="str">
        <f aca="false">IF($G518="","",IFERROR(INDEX(费用款别,MATCH($G518,费用类别表,0)),"合同外款"))</f>
        <v/>
      </c>
      <c r="I518" s="33"/>
      <c r="J518" s="33"/>
      <c r="K518" s="39"/>
      <c r="L518" s="33"/>
      <c r="M518" s="25"/>
      <c r="N518" s="39"/>
      <c r="O518" s="35" t="str">
        <f aca="false">IF($C518="","",IF(N($N518)&lt;=0,"未开票",IF(ROUND(N($N518)-N($K518),2)&gt;=0,"已开票",IFERROR("部分开票 "&amp;TEXT(N($N518)/N($K518),"0%"),"部分开票"))))</f>
        <v/>
      </c>
      <c r="P518" s="40" t="str">
        <f aca="false">IF($C518="","",ROUND($V518+MIN($W518,MAX(0,(SUMIF(收款键,$D518,收款金额)-SUMIFS(收款金额,收款键,$D518,收款关联,"&lt;&gt;"))-($X518-$W518))),2))</f>
        <v/>
      </c>
      <c r="Q518" s="41" t="str">
        <f aca="false">IF($C518="","",ROUND(N($K518)-N($P518),2))</f>
        <v/>
      </c>
      <c r="R518" s="29" t="str">
        <f aca="false">IF($C518="","",YEAR($C518))</f>
        <v/>
      </c>
      <c r="S518" s="24"/>
      <c r="T518" s="35" t="str">
        <f aca="false">IF($C518="","",IF($D518="","★没选客户项目",IF(COUNTIF(合同键,$D518)=0,"★《维保合同》里没这个项目",IF(N($K518)&lt;=0,"★应收金额要填",IF(ROUND(N($N518)-N($K518),2)&gt;0.001,"★开票金额大于应收",IF(AND($L518&lt;&gt;"",N($N518)&lt;=0),"★填了开票日期没填开票金额",IF(AND($I518&lt;&gt;"",$J518&lt;&gt;"",$J518&lt;$I518),"★计费期间起止反了","OK")))))))</f>
        <v/>
      </c>
      <c r="U518" s="29" t="str">
        <f aca="false">IF($L518="","",YEAR($L518))</f>
        <v/>
      </c>
      <c r="V518" s="40" t="str">
        <f aca="false">IF($C518="","",ROUND(SUMIF(收款关联,$B518,收款金额),2))</f>
        <v/>
      </c>
      <c r="W518" s="40" t="str">
        <f aca="false">IF($C518="","",MAX(0,ROUND(N($K518)-N($V518),2)))</f>
        <v/>
      </c>
      <c r="X518" s="40" t="str">
        <f aca="false">IF($C518="","",ROUND(SUMIFS(应收净额,应收键,$D518,应收行号,"&lt;="&amp;ROW()),2))</f>
        <v/>
      </c>
      <c r="Y518" s="29" t="str">
        <f aca="false">IF($C518="","",ROW())</f>
        <v/>
      </c>
    </row>
    <row r="519" customFormat="false" ht="15" hidden="false" customHeight="false" outlineLevel="0" collapsed="false">
      <c r="A519" s="29" t="str">
        <f aca="false">IF($C519="","",ROW()-4)</f>
        <v/>
      </c>
      <c r="B519" s="35" t="str">
        <f aca="false">IF($C519="","","YS"&amp;TEXT($C519,"yyyymm")&amp;"-"&amp;TEXT(ROW()-4,"0000"))</f>
        <v/>
      </c>
      <c r="C519" s="33"/>
      <c r="D519" s="24"/>
      <c r="E519" s="30" t="str">
        <f aca="false">IF($D519="","",IFERROR(INDEX(合同单位,MATCH($D519,合同键,0)),IFERROR(TRIM(LEFT($D519,FIND("｜",$D519)-1)),$D519)))</f>
        <v/>
      </c>
      <c r="F519" s="30" t="str">
        <f aca="false">IF($D519="","",IFERROR(INDEX(合同项目,MATCH($D519,合同键,0)),IFERROR(TRIM(MID($D519,FIND("｜",$D519)+1,99)),"")))</f>
        <v/>
      </c>
      <c r="G519" s="24"/>
      <c r="H519" s="35" t="str">
        <f aca="false">IF($G519="","",IFERROR(INDEX(费用款别,MATCH($G519,费用类别表,0)),"合同外款"))</f>
        <v/>
      </c>
      <c r="I519" s="33"/>
      <c r="J519" s="33"/>
      <c r="K519" s="39"/>
      <c r="L519" s="33"/>
      <c r="M519" s="25"/>
      <c r="N519" s="39"/>
      <c r="O519" s="35" t="str">
        <f aca="false">IF($C519="","",IF(N($N519)&lt;=0,"未开票",IF(ROUND(N($N519)-N($K519),2)&gt;=0,"已开票",IFERROR("部分开票 "&amp;TEXT(N($N519)/N($K519),"0%"),"部分开票"))))</f>
        <v/>
      </c>
      <c r="P519" s="40" t="str">
        <f aca="false">IF($C519="","",ROUND($V519+MIN($W519,MAX(0,(SUMIF(收款键,$D519,收款金额)-SUMIFS(收款金额,收款键,$D519,收款关联,"&lt;&gt;"))-($X519-$W519))),2))</f>
        <v/>
      </c>
      <c r="Q519" s="41" t="str">
        <f aca="false">IF($C519="","",ROUND(N($K519)-N($P519),2))</f>
        <v/>
      </c>
      <c r="R519" s="29" t="str">
        <f aca="false">IF($C519="","",YEAR($C519))</f>
        <v/>
      </c>
      <c r="S519" s="24"/>
      <c r="T519" s="35" t="str">
        <f aca="false">IF($C519="","",IF($D519="","★没选客户项目",IF(COUNTIF(合同键,$D519)=0,"★《维保合同》里没这个项目",IF(N($K519)&lt;=0,"★应收金额要填",IF(ROUND(N($N519)-N($K519),2)&gt;0.001,"★开票金额大于应收",IF(AND($L519&lt;&gt;"",N($N519)&lt;=0),"★填了开票日期没填开票金额",IF(AND($I519&lt;&gt;"",$J519&lt;&gt;"",$J519&lt;$I519),"★计费期间起止反了","OK")))))))</f>
        <v/>
      </c>
      <c r="U519" s="29" t="str">
        <f aca="false">IF($L519="","",YEAR($L519))</f>
        <v/>
      </c>
      <c r="V519" s="40" t="str">
        <f aca="false">IF($C519="","",ROUND(SUMIF(收款关联,$B519,收款金额),2))</f>
        <v/>
      </c>
      <c r="W519" s="40" t="str">
        <f aca="false">IF($C519="","",MAX(0,ROUND(N($K519)-N($V519),2)))</f>
        <v/>
      </c>
      <c r="X519" s="40" t="str">
        <f aca="false">IF($C519="","",ROUND(SUMIFS(应收净额,应收键,$D519,应收行号,"&lt;="&amp;ROW()),2))</f>
        <v/>
      </c>
      <c r="Y519" s="29" t="str">
        <f aca="false">IF($C519="","",ROW())</f>
        <v/>
      </c>
    </row>
    <row r="520" customFormat="false" ht="15" hidden="false" customHeight="false" outlineLevel="0" collapsed="false">
      <c r="A520" s="29" t="str">
        <f aca="false">IF($C520="","",ROW()-4)</f>
        <v/>
      </c>
      <c r="B520" s="35" t="str">
        <f aca="false">IF($C520="","","YS"&amp;TEXT($C520,"yyyymm")&amp;"-"&amp;TEXT(ROW()-4,"0000"))</f>
        <v/>
      </c>
      <c r="C520" s="33"/>
      <c r="D520" s="24"/>
      <c r="E520" s="30" t="str">
        <f aca="false">IF($D520="","",IFERROR(INDEX(合同单位,MATCH($D520,合同键,0)),IFERROR(TRIM(LEFT($D520,FIND("｜",$D520)-1)),$D520)))</f>
        <v/>
      </c>
      <c r="F520" s="30" t="str">
        <f aca="false">IF($D520="","",IFERROR(INDEX(合同项目,MATCH($D520,合同键,0)),IFERROR(TRIM(MID($D520,FIND("｜",$D520)+1,99)),"")))</f>
        <v/>
      </c>
      <c r="G520" s="24"/>
      <c r="H520" s="35" t="str">
        <f aca="false">IF($G520="","",IFERROR(INDEX(费用款别,MATCH($G520,费用类别表,0)),"合同外款"))</f>
        <v/>
      </c>
      <c r="I520" s="33"/>
      <c r="J520" s="33"/>
      <c r="K520" s="39"/>
      <c r="L520" s="33"/>
      <c r="M520" s="25"/>
      <c r="N520" s="39"/>
      <c r="O520" s="35" t="str">
        <f aca="false">IF($C520="","",IF(N($N520)&lt;=0,"未开票",IF(ROUND(N($N520)-N($K520),2)&gt;=0,"已开票",IFERROR("部分开票 "&amp;TEXT(N($N520)/N($K520),"0%"),"部分开票"))))</f>
        <v/>
      </c>
      <c r="P520" s="40" t="str">
        <f aca="false">IF($C520="","",ROUND($V520+MIN($W520,MAX(0,(SUMIF(收款键,$D520,收款金额)-SUMIFS(收款金额,收款键,$D520,收款关联,"&lt;&gt;"))-($X520-$W520))),2))</f>
        <v/>
      </c>
      <c r="Q520" s="41" t="str">
        <f aca="false">IF($C520="","",ROUND(N($K520)-N($P520),2))</f>
        <v/>
      </c>
      <c r="R520" s="29" t="str">
        <f aca="false">IF($C520="","",YEAR($C520))</f>
        <v/>
      </c>
      <c r="S520" s="24"/>
      <c r="T520" s="35" t="str">
        <f aca="false">IF($C520="","",IF($D520="","★没选客户项目",IF(COUNTIF(合同键,$D520)=0,"★《维保合同》里没这个项目",IF(N($K520)&lt;=0,"★应收金额要填",IF(ROUND(N($N520)-N($K520),2)&gt;0.001,"★开票金额大于应收",IF(AND($L520&lt;&gt;"",N($N520)&lt;=0),"★填了开票日期没填开票金额",IF(AND($I520&lt;&gt;"",$J520&lt;&gt;"",$J520&lt;$I520),"★计费期间起止反了","OK")))))))</f>
        <v/>
      </c>
      <c r="U520" s="29" t="str">
        <f aca="false">IF($L520="","",YEAR($L520))</f>
        <v/>
      </c>
      <c r="V520" s="40" t="str">
        <f aca="false">IF($C520="","",ROUND(SUMIF(收款关联,$B520,收款金额),2))</f>
        <v/>
      </c>
      <c r="W520" s="40" t="str">
        <f aca="false">IF($C520="","",MAX(0,ROUND(N($K520)-N($V520),2)))</f>
        <v/>
      </c>
      <c r="X520" s="40" t="str">
        <f aca="false">IF($C520="","",ROUND(SUMIFS(应收净额,应收键,$D520,应收行号,"&lt;="&amp;ROW()),2))</f>
        <v/>
      </c>
      <c r="Y520" s="29" t="str">
        <f aca="false">IF($C520="","",ROW())</f>
        <v/>
      </c>
    </row>
    <row r="521" customFormat="false" ht="15" hidden="false" customHeight="false" outlineLevel="0" collapsed="false">
      <c r="A521" s="29" t="str">
        <f aca="false">IF($C521="","",ROW()-4)</f>
        <v/>
      </c>
      <c r="B521" s="35" t="str">
        <f aca="false">IF($C521="","","YS"&amp;TEXT($C521,"yyyymm")&amp;"-"&amp;TEXT(ROW()-4,"0000"))</f>
        <v/>
      </c>
      <c r="C521" s="33"/>
      <c r="D521" s="24"/>
      <c r="E521" s="30" t="str">
        <f aca="false">IF($D521="","",IFERROR(INDEX(合同单位,MATCH($D521,合同键,0)),IFERROR(TRIM(LEFT($D521,FIND("｜",$D521)-1)),$D521)))</f>
        <v/>
      </c>
      <c r="F521" s="30" t="str">
        <f aca="false">IF($D521="","",IFERROR(INDEX(合同项目,MATCH($D521,合同键,0)),IFERROR(TRIM(MID($D521,FIND("｜",$D521)+1,99)),"")))</f>
        <v/>
      </c>
      <c r="G521" s="24"/>
      <c r="H521" s="35" t="str">
        <f aca="false">IF($G521="","",IFERROR(INDEX(费用款别,MATCH($G521,费用类别表,0)),"合同外款"))</f>
        <v/>
      </c>
      <c r="I521" s="33"/>
      <c r="J521" s="33"/>
      <c r="K521" s="39"/>
      <c r="L521" s="33"/>
      <c r="M521" s="25"/>
      <c r="N521" s="39"/>
      <c r="O521" s="35" t="str">
        <f aca="false">IF($C521="","",IF(N($N521)&lt;=0,"未开票",IF(ROUND(N($N521)-N($K521),2)&gt;=0,"已开票",IFERROR("部分开票 "&amp;TEXT(N($N521)/N($K521),"0%"),"部分开票"))))</f>
        <v/>
      </c>
      <c r="P521" s="40" t="str">
        <f aca="false">IF($C521="","",ROUND($V521+MIN($W521,MAX(0,(SUMIF(收款键,$D521,收款金额)-SUMIFS(收款金额,收款键,$D521,收款关联,"&lt;&gt;"))-($X521-$W521))),2))</f>
        <v/>
      </c>
      <c r="Q521" s="41" t="str">
        <f aca="false">IF($C521="","",ROUND(N($K521)-N($P521),2))</f>
        <v/>
      </c>
      <c r="R521" s="29" t="str">
        <f aca="false">IF($C521="","",YEAR($C521))</f>
        <v/>
      </c>
      <c r="S521" s="24"/>
      <c r="T521" s="35" t="str">
        <f aca="false">IF($C521="","",IF($D521="","★没选客户项目",IF(COUNTIF(合同键,$D521)=0,"★《维保合同》里没这个项目",IF(N($K521)&lt;=0,"★应收金额要填",IF(ROUND(N($N521)-N($K521),2)&gt;0.001,"★开票金额大于应收",IF(AND($L521&lt;&gt;"",N($N521)&lt;=0),"★填了开票日期没填开票金额",IF(AND($I521&lt;&gt;"",$J521&lt;&gt;"",$J521&lt;$I521),"★计费期间起止反了","OK")))))))</f>
        <v/>
      </c>
      <c r="U521" s="29" t="str">
        <f aca="false">IF($L521="","",YEAR($L521))</f>
        <v/>
      </c>
      <c r="V521" s="40" t="str">
        <f aca="false">IF($C521="","",ROUND(SUMIF(收款关联,$B521,收款金额),2))</f>
        <v/>
      </c>
      <c r="W521" s="40" t="str">
        <f aca="false">IF($C521="","",MAX(0,ROUND(N($K521)-N($V521),2)))</f>
        <v/>
      </c>
      <c r="X521" s="40" t="str">
        <f aca="false">IF($C521="","",ROUND(SUMIFS(应收净额,应收键,$D521,应收行号,"&lt;="&amp;ROW()),2))</f>
        <v/>
      </c>
      <c r="Y521" s="29" t="str">
        <f aca="false">IF($C521="","",ROW())</f>
        <v/>
      </c>
    </row>
    <row r="522" customFormat="false" ht="15" hidden="false" customHeight="false" outlineLevel="0" collapsed="false">
      <c r="A522" s="29" t="str">
        <f aca="false">IF($C522="","",ROW()-4)</f>
        <v/>
      </c>
      <c r="B522" s="35" t="str">
        <f aca="false">IF($C522="","","YS"&amp;TEXT($C522,"yyyymm")&amp;"-"&amp;TEXT(ROW()-4,"0000"))</f>
        <v/>
      </c>
      <c r="C522" s="33"/>
      <c r="D522" s="24"/>
      <c r="E522" s="30" t="str">
        <f aca="false">IF($D522="","",IFERROR(INDEX(合同单位,MATCH($D522,合同键,0)),IFERROR(TRIM(LEFT($D522,FIND("｜",$D522)-1)),$D522)))</f>
        <v/>
      </c>
      <c r="F522" s="30" t="str">
        <f aca="false">IF($D522="","",IFERROR(INDEX(合同项目,MATCH($D522,合同键,0)),IFERROR(TRIM(MID($D522,FIND("｜",$D522)+1,99)),"")))</f>
        <v/>
      </c>
      <c r="G522" s="24"/>
      <c r="H522" s="35" t="str">
        <f aca="false">IF($G522="","",IFERROR(INDEX(费用款别,MATCH($G522,费用类别表,0)),"合同外款"))</f>
        <v/>
      </c>
      <c r="I522" s="33"/>
      <c r="J522" s="33"/>
      <c r="K522" s="39"/>
      <c r="L522" s="33"/>
      <c r="M522" s="25"/>
      <c r="N522" s="39"/>
      <c r="O522" s="35" t="str">
        <f aca="false">IF($C522="","",IF(N($N522)&lt;=0,"未开票",IF(ROUND(N($N522)-N($K522),2)&gt;=0,"已开票",IFERROR("部分开票 "&amp;TEXT(N($N522)/N($K522),"0%"),"部分开票"))))</f>
        <v/>
      </c>
      <c r="P522" s="40" t="str">
        <f aca="false">IF($C522="","",ROUND($V522+MIN($W522,MAX(0,(SUMIF(收款键,$D522,收款金额)-SUMIFS(收款金额,收款键,$D522,收款关联,"&lt;&gt;"))-($X522-$W522))),2))</f>
        <v/>
      </c>
      <c r="Q522" s="41" t="str">
        <f aca="false">IF($C522="","",ROUND(N($K522)-N($P522),2))</f>
        <v/>
      </c>
      <c r="R522" s="29" t="str">
        <f aca="false">IF($C522="","",YEAR($C522))</f>
        <v/>
      </c>
      <c r="S522" s="24"/>
      <c r="T522" s="35" t="str">
        <f aca="false">IF($C522="","",IF($D522="","★没选客户项目",IF(COUNTIF(合同键,$D522)=0,"★《维保合同》里没这个项目",IF(N($K522)&lt;=0,"★应收金额要填",IF(ROUND(N($N522)-N($K522),2)&gt;0.001,"★开票金额大于应收",IF(AND($L522&lt;&gt;"",N($N522)&lt;=0),"★填了开票日期没填开票金额",IF(AND($I522&lt;&gt;"",$J522&lt;&gt;"",$J522&lt;$I522),"★计费期间起止反了","OK")))))))</f>
        <v/>
      </c>
      <c r="U522" s="29" t="str">
        <f aca="false">IF($L522="","",YEAR($L522))</f>
        <v/>
      </c>
      <c r="V522" s="40" t="str">
        <f aca="false">IF($C522="","",ROUND(SUMIF(收款关联,$B522,收款金额),2))</f>
        <v/>
      </c>
      <c r="W522" s="40" t="str">
        <f aca="false">IF($C522="","",MAX(0,ROUND(N($K522)-N($V522),2)))</f>
        <v/>
      </c>
      <c r="X522" s="40" t="str">
        <f aca="false">IF($C522="","",ROUND(SUMIFS(应收净额,应收键,$D522,应收行号,"&lt;="&amp;ROW()),2))</f>
        <v/>
      </c>
      <c r="Y522" s="29" t="str">
        <f aca="false">IF($C522="","",ROW())</f>
        <v/>
      </c>
    </row>
    <row r="523" customFormat="false" ht="15" hidden="false" customHeight="false" outlineLevel="0" collapsed="false">
      <c r="A523" s="29" t="str">
        <f aca="false">IF($C523="","",ROW()-4)</f>
        <v/>
      </c>
      <c r="B523" s="35" t="str">
        <f aca="false">IF($C523="","","YS"&amp;TEXT($C523,"yyyymm")&amp;"-"&amp;TEXT(ROW()-4,"0000"))</f>
        <v/>
      </c>
      <c r="C523" s="33"/>
      <c r="D523" s="24"/>
      <c r="E523" s="30" t="str">
        <f aca="false">IF($D523="","",IFERROR(INDEX(合同单位,MATCH($D523,合同键,0)),IFERROR(TRIM(LEFT($D523,FIND("｜",$D523)-1)),$D523)))</f>
        <v/>
      </c>
      <c r="F523" s="30" t="str">
        <f aca="false">IF($D523="","",IFERROR(INDEX(合同项目,MATCH($D523,合同键,0)),IFERROR(TRIM(MID($D523,FIND("｜",$D523)+1,99)),"")))</f>
        <v/>
      </c>
      <c r="G523" s="24"/>
      <c r="H523" s="35" t="str">
        <f aca="false">IF($G523="","",IFERROR(INDEX(费用款别,MATCH($G523,费用类别表,0)),"合同外款"))</f>
        <v/>
      </c>
      <c r="I523" s="33"/>
      <c r="J523" s="33"/>
      <c r="K523" s="39"/>
      <c r="L523" s="33"/>
      <c r="M523" s="25"/>
      <c r="N523" s="39"/>
      <c r="O523" s="35" t="str">
        <f aca="false">IF($C523="","",IF(N($N523)&lt;=0,"未开票",IF(ROUND(N($N523)-N($K523),2)&gt;=0,"已开票",IFERROR("部分开票 "&amp;TEXT(N($N523)/N($K523),"0%"),"部分开票"))))</f>
        <v/>
      </c>
      <c r="P523" s="40" t="str">
        <f aca="false">IF($C523="","",ROUND($V523+MIN($W523,MAX(0,(SUMIF(收款键,$D523,收款金额)-SUMIFS(收款金额,收款键,$D523,收款关联,"&lt;&gt;"))-($X523-$W523))),2))</f>
        <v/>
      </c>
      <c r="Q523" s="41" t="str">
        <f aca="false">IF($C523="","",ROUND(N($K523)-N($P523),2))</f>
        <v/>
      </c>
      <c r="R523" s="29" t="str">
        <f aca="false">IF($C523="","",YEAR($C523))</f>
        <v/>
      </c>
      <c r="S523" s="24"/>
      <c r="T523" s="35" t="str">
        <f aca="false">IF($C523="","",IF($D523="","★没选客户项目",IF(COUNTIF(合同键,$D523)=0,"★《维保合同》里没这个项目",IF(N($K523)&lt;=0,"★应收金额要填",IF(ROUND(N($N523)-N($K523),2)&gt;0.001,"★开票金额大于应收",IF(AND($L523&lt;&gt;"",N($N523)&lt;=0),"★填了开票日期没填开票金额",IF(AND($I523&lt;&gt;"",$J523&lt;&gt;"",$J523&lt;$I523),"★计费期间起止反了","OK")))))))</f>
        <v/>
      </c>
      <c r="U523" s="29" t="str">
        <f aca="false">IF($L523="","",YEAR($L523))</f>
        <v/>
      </c>
      <c r="V523" s="40" t="str">
        <f aca="false">IF($C523="","",ROUND(SUMIF(收款关联,$B523,收款金额),2))</f>
        <v/>
      </c>
      <c r="W523" s="40" t="str">
        <f aca="false">IF($C523="","",MAX(0,ROUND(N($K523)-N($V523),2)))</f>
        <v/>
      </c>
      <c r="X523" s="40" t="str">
        <f aca="false">IF($C523="","",ROUND(SUMIFS(应收净额,应收键,$D523,应收行号,"&lt;="&amp;ROW()),2))</f>
        <v/>
      </c>
      <c r="Y523" s="29" t="str">
        <f aca="false">IF($C523="","",ROW())</f>
        <v/>
      </c>
    </row>
    <row r="524" customFormat="false" ht="15" hidden="false" customHeight="false" outlineLevel="0" collapsed="false">
      <c r="A524" s="29" t="str">
        <f aca="false">IF($C524="","",ROW()-4)</f>
        <v/>
      </c>
      <c r="B524" s="35" t="str">
        <f aca="false">IF($C524="","","YS"&amp;TEXT($C524,"yyyymm")&amp;"-"&amp;TEXT(ROW()-4,"0000"))</f>
        <v/>
      </c>
      <c r="C524" s="33"/>
      <c r="D524" s="24"/>
      <c r="E524" s="30" t="str">
        <f aca="false">IF($D524="","",IFERROR(INDEX(合同单位,MATCH($D524,合同键,0)),IFERROR(TRIM(LEFT($D524,FIND("｜",$D524)-1)),$D524)))</f>
        <v/>
      </c>
      <c r="F524" s="30" t="str">
        <f aca="false">IF($D524="","",IFERROR(INDEX(合同项目,MATCH($D524,合同键,0)),IFERROR(TRIM(MID($D524,FIND("｜",$D524)+1,99)),"")))</f>
        <v/>
      </c>
      <c r="G524" s="24"/>
      <c r="H524" s="35" t="str">
        <f aca="false">IF($G524="","",IFERROR(INDEX(费用款别,MATCH($G524,费用类别表,0)),"合同外款"))</f>
        <v/>
      </c>
      <c r="I524" s="33"/>
      <c r="J524" s="33"/>
      <c r="K524" s="39"/>
      <c r="L524" s="33"/>
      <c r="M524" s="25"/>
      <c r="N524" s="39"/>
      <c r="O524" s="35" t="str">
        <f aca="false">IF($C524="","",IF(N($N524)&lt;=0,"未开票",IF(ROUND(N($N524)-N($K524),2)&gt;=0,"已开票",IFERROR("部分开票 "&amp;TEXT(N($N524)/N($K524),"0%"),"部分开票"))))</f>
        <v/>
      </c>
      <c r="P524" s="40" t="str">
        <f aca="false">IF($C524="","",ROUND($V524+MIN($W524,MAX(0,(SUMIF(收款键,$D524,收款金额)-SUMIFS(收款金额,收款键,$D524,收款关联,"&lt;&gt;"))-($X524-$W524))),2))</f>
        <v/>
      </c>
      <c r="Q524" s="41" t="str">
        <f aca="false">IF($C524="","",ROUND(N($K524)-N($P524),2))</f>
        <v/>
      </c>
      <c r="R524" s="29" t="str">
        <f aca="false">IF($C524="","",YEAR($C524))</f>
        <v/>
      </c>
      <c r="S524" s="24"/>
      <c r="T524" s="35" t="str">
        <f aca="false">IF($C524="","",IF($D524="","★没选客户项目",IF(COUNTIF(合同键,$D524)=0,"★《维保合同》里没这个项目",IF(N($K524)&lt;=0,"★应收金额要填",IF(ROUND(N($N524)-N($K524),2)&gt;0.001,"★开票金额大于应收",IF(AND($L524&lt;&gt;"",N($N524)&lt;=0),"★填了开票日期没填开票金额",IF(AND($I524&lt;&gt;"",$J524&lt;&gt;"",$J524&lt;$I524),"★计费期间起止反了","OK")))))))</f>
        <v/>
      </c>
      <c r="U524" s="29" t="str">
        <f aca="false">IF($L524="","",YEAR($L524))</f>
        <v/>
      </c>
      <c r="V524" s="40" t="str">
        <f aca="false">IF($C524="","",ROUND(SUMIF(收款关联,$B524,收款金额),2))</f>
        <v/>
      </c>
      <c r="W524" s="40" t="str">
        <f aca="false">IF($C524="","",MAX(0,ROUND(N($K524)-N($V524),2)))</f>
        <v/>
      </c>
      <c r="X524" s="40" t="str">
        <f aca="false">IF($C524="","",ROUND(SUMIFS(应收净额,应收键,$D524,应收行号,"&lt;="&amp;ROW()),2))</f>
        <v/>
      </c>
      <c r="Y524" s="29" t="str">
        <f aca="false">IF($C524="","",ROW())</f>
        <v/>
      </c>
    </row>
    <row r="525" customFormat="false" ht="15" hidden="false" customHeight="false" outlineLevel="0" collapsed="false">
      <c r="A525" s="29" t="str">
        <f aca="false">IF($C525="","",ROW()-4)</f>
        <v/>
      </c>
      <c r="B525" s="35" t="str">
        <f aca="false">IF($C525="","","YS"&amp;TEXT($C525,"yyyymm")&amp;"-"&amp;TEXT(ROW()-4,"0000"))</f>
        <v/>
      </c>
      <c r="C525" s="33"/>
      <c r="D525" s="24"/>
      <c r="E525" s="30" t="str">
        <f aca="false">IF($D525="","",IFERROR(INDEX(合同单位,MATCH($D525,合同键,0)),IFERROR(TRIM(LEFT($D525,FIND("｜",$D525)-1)),$D525)))</f>
        <v/>
      </c>
      <c r="F525" s="30" t="str">
        <f aca="false">IF($D525="","",IFERROR(INDEX(合同项目,MATCH($D525,合同键,0)),IFERROR(TRIM(MID($D525,FIND("｜",$D525)+1,99)),"")))</f>
        <v/>
      </c>
      <c r="G525" s="24"/>
      <c r="H525" s="35" t="str">
        <f aca="false">IF($G525="","",IFERROR(INDEX(费用款别,MATCH($G525,费用类别表,0)),"合同外款"))</f>
        <v/>
      </c>
      <c r="I525" s="33"/>
      <c r="J525" s="33"/>
      <c r="K525" s="39"/>
      <c r="L525" s="33"/>
      <c r="M525" s="25"/>
      <c r="N525" s="39"/>
      <c r="O525" s="35" t="str">
        <f aca="false">IF($C525="","",IF(N($N525)&lt;=0,"未开票",IF(ROUND(N($N525)-N($K525),2)&gt;=0,"已开票",IFERROR("部分开票 "&amp;TEXT(N($N525)/N($K525),"0%"),"部分开票"))))</f>
        <v/>
      </c>
      <c r="P525" s="40" t="str">
        <f aca="false">IF($C525="","",ROUND($V525+MIN($W525,MAX(0,(SUMIF(收款键,$D525,收款金额)-SUMIFS(收款金额,收款键,$D525,收款关联,"&lt;&gt;"))-($X525-$W525))),2))</f>
        <v/>
      </c>
      <c r="Q525" s="41" t="str">
        <f aca="false">IF($C525="","",ROUND(N($K525)-N($P525),2))</f>
        <v/>
      </c>
      <c r="R525" s="29" t="str">
        <f aca="false">IF($C525="","",YEAR($C525))</f>
        <v/>
      </c>
      <c r="S525" s="24"/>
      <c r="T525" s="35" t="str">
        <f aca="false">IF($C525="","",IF($D525="","★没选客户项目",IF(COUNTIF(合同键,$D525)=0,"★《维保合同》里没这个项目",IF(N($K525)&lt;=0,"★应收金额要填",IF(ROUND(N($N525)-N($K525),2)&gt;0.001,"★开票金额大于应收",IF(AND($L525&lt;&gt;"",N($N525)&lt;=0),"★填了开票日期没填开票金额",IF(AND($I525&lt;&gt;"",$J525&lt;&gt;"",$J525&lt;$I525),"★计费期间起止反了","OK")))))))</f>
        <v/>
      </c>
      <c r="U525" s="29" t="str">
        <f aca="false">IF($L525="","",YEAR($L525))</f>
        <v/>
      </c>
      <c r="V525" s="40" t="str">
        <f aca="false">IF($C525="","",ROUND(SUMIF(收款关联,$B525,收款金额),2))</f>
        <v/>
      </c>
      <c r="W525" s="40" t="str">
        <f aca="false">IF($C525="","",MAX(0,ROUND(N($K525)-N($V525),2)))</f>
        <v/>
      </c>
      <c r="X525" s="40" t="str">
        <f aca="false">IF($C525="","",ROUND(SUMIFS(应收净额,应收键,$D525,应收行号,"&lt;="&amp;ROW()),2))</f>
        <v/>
      </c>
      <c r="Y525" s="29" t="str">
        <f aca="false">IF($C525="","",ROW())</f>
        <v/>
      </c>
    </row>
    <row r="526" customFormat="false" ht="15" hidden="false" customHeight="false" outlineLevel="0" collapsed="false">
      <c r="A526" s="29" t="str">
        <f aca="false">IF($C526="","",ROW()-4)</f>
        <v/>
      </c>
      <c r="B526" s="35" t="str">
        <f aca="false">IF($C526="","","YS"&amp;TEXT($C526,"yyyymm")&amp;"-"&amp;TEXT(ROW()-4,"0000"))</f>
        <v/>
      </c>
      <c r="C526" s="33"/>
      <c r="D526" s="24"/>
      <c r="E526" s="30" t="str">
        <f aca="false">IF($D526="","",IFERROR(INDEX(合同单位,MATCH($D526,合同键,0)),IFERROR(TRIM(LEFT($D526,FIND("｜",$D526)-1)),$D526)))</f>
        <v/>
      </c>
      <c r="F526" s="30" t="str">
        <f aca="false">IF($D526="","",IFERROR(INDEX(合同项目,MATCH($D526,合同键,0)),IFERROR(TRIM(MID($D526,FIND("｜",$D526)+1,99)),"")))</f>
        <v/>
      </c>
      <c r="G526" s="24"/>
      <c r="H526" s="35" t="str">
        <f aca="false">IF($G526="","",IFERROR(INDEX(费用款别,MATCH($G526,费用类别表,0)),"合同外款"))</f>
        <v/>
      </c>
      <c r="I526" s="33"/>
      <c r="J526" s="33"/>
      <c r="K526" s="39"/>
      <c r="L526" s="33"/>
      <c r="M526" s="25"/>
      <c r="N526" s="39"/>
      <c r="O526" s="35" t="str">
        <f aca="false">IF($C526="","",IF(N($N526)&lt;=0,"未开票",IF(ROUND(N($N526)-N($K526),2)&gt;=0,"已开票",IFERROR("部分开票 "&amp;TEXT(N($N526)/N($K526),"0%"),"部分开票"))))</f>
        <v/>
      </c>
      <c r="P526" s="40" t="str">
        <f aca="false">IF($C526="","",ROUND($V526+MIN($W526,MAX(0,(SUMIF(收款键,$D526,收款金额)-SUMIFS(收款金额,收款键,$D526,收款关联,"&lt;&gt;"))-($X526-$W526))),2))</f>
        <v/>
      </c>
      <c r="Q526" s="41" t="str">
        <f aca="false">IF($C526="","",ROUND(N($K526)-N($P526),2))</f>
        <v/>
      </c>
      <c r="R526" s="29" t="str">
        <f aca="false">IF($C526="","",YEAR($C526))</f>
        <v/>
      </c>
      <c r="S526" s="24"/>
      <c r="T526" s="35" t="str">
        <f aca="false">IF($C526="","",IF($D526="","★没选客户项目",IF(COUNTIF(合同键,$D526)=0,"★《维保合同》里没这个项目",IF(N($K526)&lt;=0,"★应收金额要填",IF(ROUND(N($N526)-N($K526),2)&gt;0.001,"★开票金额大于应收",IF(AND($L526&lt;&gt;"",N($N526)&lt;=0),"★填了开票日期没填开票金额",IF(AND($I526&lt;&gt;"",$J526&lt;&gt;"",$J526&lt;$I526),"★计费期间起止反了","OK")))))))</f>
        <v/>
      </c>
      <c r="U526" s="29" t="str">
        <f aca="false">IF($L526="","",YEAR($L526))</f>
        <v/>
      </c>
      <c r="V526" s="40" t="str">
        <f aca="false">IF($C526="","",ROUND(SUMIF(收款关联,$B526,收款金额),2))</f>
        <v/>
      </c>
      <c r="W526" s="40" t="str">
        <f aca="false">IF($C526="","",MAX(0,ROUND(N($K526)-N($V526),2)))</f>
        <v/>
      </c>
      <c r="X526" s="40" t="str">
        <f aca="false">IF($C526="","",ROUND(SUMIFS(应收净额,应收键,$D526,应收行号,"&lt;="&amp;ROW()),2))</f>
        <v/>
      </c>
      <c r="Y526" s="29" t="str">
        <f aca="false">IF($C526="","",ROW())</f>
        <v/>
      </c>
    </row>
    <row r="527" customFormat="false" ht="15" hidden="false" customHeight="false" outlineLevel="0" collapsed="false">
      <c r="A527" s="29" t="str">
        <f aca="false">IF($C527="","",ROW()-4)</f>
        <v/>
      </c>
      <c r="B527" s="35" t="str">
        <f aca="false">IF($C527="","","YS"&amp;TEXT($C527,"yyyymm")&amp;"-"&amp;TEXT(ROW()-4,"0000"))</f>
        <v/>
      </c>
      <c r="C527" s="33"/>
      <c r="D527" s="24"/>
      <c r="E527" s="30" t="str">
        <f aca="false">IF($D527="","",IFERROR(INDEX(合同单位,MATCH($D527,合同键,0)),IFERROR(TRIM(LEFT($D527,FIND("｜",$D527)-1)),$D527)))</f>
        <v/>
      </c>
      <c r="F527" s="30" t="str">
        <f aca="false">IF($D527="","",IFERROR(INDEX(合同项目,MATCH($D527,合同键,0)),IFERROR(TRIM(MID($D527,FIND("｜",$D527)+1,99)),"")))</f>
        <v/>
      </c>
      <c r="G527" s="24"/>
      <c r="H527" s="35" t="str">
        <f aca="false">IF($G527="","",IFERROR(INDEX(费用款别,MATCH($G527,费用类别表,0)),"合同外款"))</f>
        <v/>
      </c>
      <c r="I527" s="33"/>
      <c r="J527" s="33"/>
      <c r="K527" s="39"/>
      <c r="L527" s="33"/>
      <c r="M527" s="25"/>
      <c r="N527" s="39"/>
      <c r="O527" s="35" t="str">
        <f aca="false">IF($C527="","",IF(N($N527)&lt;=0,"未开票",IF(ROUND(N($N527)-N($K527),2)&gt;=0,"已开票",IFERROR("部分开票 "&amp;TEXT(N($N527)/N($K527),"0%"),"部分开票"))))</f>
        <v/>
      </c>
      <c r="P527" s="40" t="str">
        <f aca="false">IF($C527="","",ROUND($V527+MIN($W527,MAX(0,(SUMIF(收款键,$D527,收款金额)-SUMIFS(收款金额,收款键,$D527,收款关联,"&lt;&gt;"))-($X527-$W527))),2))</f>
        <v/>
      </c>
      <c r="Q527" s="41" t="str">
        <f aca="false">IF($C527="","",ROUND(N($K527)-N($P527),2))</f>
        <v/>
      </c>
      <c r="R527" s="29" t="str">
        <f aca="false">IF($C527="","",YEAR($C527))</f>
        <v/>
      </c>
      <c r="S527" s="24"/>
      <c r="T527" s="35" t="str">
        <f aca="false">IF($C527="","",IF($D527="","★没选客户项目",IF(COUNTIF(合同键,$D527)=0,"★《维保合同》里没这个项目",IF(N($K527)&lt;=0,"★应收金额要填",IF(ROUND(N($N527)-N($K527),2)&gt;0.001,"★开票金额大于应收",IF(AND($L527&lt;&gt;"",N($N527)&lt;=0),"★填了开票日期没填开票金额",IF(AND($I527&lt;&gt;"",$J527&lt;&gt;"",$J527&lt;$I527),"★计费期间起止反了","OK")))))))</f>
        <v/>
      </c>
      <c r="U527" s="29" t="str">
        <f aca="false">IF($L527="","",YEAR($L527))</f>
        <v/>
      </c>
      <c r="V527" s="40" t="str">
        <f aca="false">IF($C527="","",ROUND(SUMIF(收款关联,$B527,收款金额),2))</f>
        <v/>
      </c>
      <c r="W527" s="40" t="str">
        <f aca="false">IF($C527="","",MAX(0,ROUND(N($K527)-N($V527),2)))</f>
        <v/>
      </c>
      <c r="X527" s="40" t="str">
        <f aca="false">IF($C527="","",ROUND(SUMIFS(应收净额,应收键,$D527,应收行号,"&lt;="&amp;ROW()),2))</f>
        <v/>
      </c>
      <c r="Y527" s="29" t="str">
        <f aca="false">IF($C527="","",ROW())</f>
        <v/>
      </c>
    </row>
    <row r="528" customFormat="false" ht="15" hidden="false" customHeight="false" outlineLevel="0" collapsed="false">
      <c r="A528" s="29" t="str">
        <f aca="false">IF($C528="","",ROW()-4)</f>
        <v/>
      </c>
      <c r="B528" s="35" t="str">
        <f aca="false">IF($C528="","","YS"&amp;TEXT($C528,"yyyymm")&amp;"-"&amp;TEXT(ROW()-4,"0000"))</f>
        <v/>
      </c>
      <c r="C528" s="33"/>
      <c r="D528" s="24"/>
      <c r="E528" s="30" t="str">
        <f aca="false">IF($D528="","",IFERROR(INDEX(合同单位,MATCH($D528,合同键,0)),IFERROR(TRIM(LEFT($D528,FIND("｜",$D528)-1)),$D528)))</f>
        <v/>
      </c>
      <c r="F528" s="30" t="str">
        <f aca="false">IF($D528="","",IFERROR(INDEX(合同项目,MATCH($D528,合同键,0)),IFERROR(TRIM(MID($D528,FIND("｜",$D528)+1,99)),"")))</f>
        <v/>
      </c>
      <c r="G528" s="24"/>
      <c r="H528" s="35" t="str">
        <f aca="false">IF($G528="","",IFERROR(INDEX(费用款别,MATCH($G528,费用类别表,0)),"合同外款"))</f>
        <v/>
      </c>
      <c r="I528" s="33"/>
      <c r="J528" s="33"/>
      <c r="K528" s="39"/>
      <c r="L528" s="33"/>
      <c r="M528" s="25"/>
      <c r="N528" s="39"/>
      <c r="O528" s="35" t="str">
        <f aca="false">IF($C528="","",IF(N($N528)&lt;=0,"未开票",IF(ROUND(N($N528)-N($K528),2)&gt;=0,"已开票",IFERROR("部分开票 "&amp;TEXT(N($N528)/N($K528),"0%"),"部分开票"))))</f>
        <v/>
      </c>
      <c r="P528" s="40" t="str">
        <f aca="false">IF($C528="","",ROUND($V528+MIN($W528,MAX(0,(SUMIF(收款键,$D528,收款金额)-SUMIFS(收款金额,收款键,$D528,收款关联,"&lt;&gt;"))-($X528-$W528))),2))</f>
        <v/>
      </c>
      <c r="Q528" s="41" t="str">
        <f aca="false">IF($C528="","",ROUND(N($K528)-N($P528),2))</f>
        <v/>
      </c>
      <c r="R528" s="29" t="str">
        <f aca="false">IF($C528="","",YEAR($C528))</f>
        <v/>
      </c>
      <c r="S528" s="24"/>
      <c r="T528" s="35" t="str">
        <f aca="false">IF($C528="","",IF($D528="","★没选客户项目",IF(COUNTIF(合同键,$D528)=0,"★《维保合同》里没这个项目",IF(N($K528)&lt;=0,"★应收金额要填",IF(ROUND(N($N528)-N($K528),2)&gt;0.001,"★开票金额大于应收",IF(AND($L528&lt;&gt;"",N($N528)&lt;=0),"★填了开票日期没填开票金额",IF(AND($I528&lt;&gt;"",$J528&lt;&gt;"",$J528&lt;$I528),"★计费期间起止反了","OK")))))))</f>
        <v/>
      </c>
      <c r="U528" s="29" t="str">
        <f aca="false">IF($L528="","",YEAR($L528))</f>
        <v/>
      </c>
      <c r="V528" s="40" t="str">
        <f aca="false">IF($C528="","",ROUND(SUMIF(收款关联,$B528,收款金额),2))</f>
        <v/>
      </c>
      <c r="W528" s="40" t="str">
        <f aca="false">IF($C528="","",MAX(0,ROUND(N($K528)-N($V528),2)))</f>
        <v/>
      </c>
      <c r="X528" s="40" t="str">
        <f aca="false">IF($C528="","",ROUND(SUMIFS(应收净额,应收键,$D528,应收行号,"&lt;="&amp;ROW()),2))</f>
        <v/>
      </c>
      <c r="Y528" s="29" t="str">
        <f aca="false">IF($C528="","",ROW())</f>
        <v/>
      </c>
    </row>
    <row r="529" customFormat="false" ht="15" hidden="false" customHeight="false" outlineLevel="0" collapsed="false">
      <c r="A529" s="29" t="str">
        <f aca="false">IF($C529="","",ROW()-4)</f>
        <v/>
      </c>
      <c r="B529" s="35" t="str">
        <f aca="false">IF($C529="","","YS"&amp;TEXT($C529,"yyyymm")&amp;"-"&amp;TEXT(ROW()-4,"0000"))</f>
        <v/>
      </c>
      <c r="C529" s="33"/>
      <c r="D529" s="24"/>
      <c r="E529" s="30" t="str">
        <f aca="false">IF($D529="","",IFERROR(INDEX(合同单位,MATCH($D529,合同键,0)),IFERROR(TRIM(LEFT($D529,FIND("｜",$D529)-1)),$D529)))</f>
        <v/>
      </c>
      <c r="F529" s="30" t="str">
        <f aca="false">IF($D529="","",IFERROR(INDEX(合同项目,MATCH($D529,合同键,0)),IFERROR(TRIM(MID($D529,FIND("｜",$D529)+1,99)),"")))</f>
        <v/>
      </c>
      <c r="G529" s="24"/>
      <c r="H529" s="35" t="str">
        <f aca="false">IF($G529="","",IFERROR(INDEX(费用款别,MATCH($G529,费用类别表,0)),"合同外款"))</f>
        <v/>
      </c>
      <c r="I529" s="33"/>
      <c r="J529" s="33"/>
      <c r="K529" s="39"/>
      <c r="L529" s="33"/>
      <c r="M529" s="25"/>
      <c r="N529" s="39"/>
      <c r="O529" s="35" t="str">
        <f aca="false">IF($C529="","",IF(N($N529)&lt;=0,"未开票",IF(ROUND(N($N529)-N($K529),2)&gt;=0,"已开票",IFERROR("部分开票 "&amp;TEXT(N($N529)/N($K529),"0%"),"部分开票"))))</f>
        <v/>
      </c>
      <c r="P529" s="40" t="str">
        <f aca="false">IF($C529="","",ROUND($V529+MIN($W529,MAX(0,(SUMIF(收款键,$D529,收款金额)-SUMIFS(收款金额,收款键,$D529,收款关联,"&lt;&gt;"))-($X529-$W529))),2))</f>
        <v/>
      </c>
      <c r="Q529" s="41" t="str">
        <f aca="false">IF($C529="","",ROUND(N($K529)-N($P529),2))</f>
        <v/>
      </c>
      <c r="R529" s="29" t="str">
        <f aca="false">IF($C529="","",YEAR($C529))</f>
        <v/>
      </c>
      <c r="S529" s="24"/>
      <c r="T529" s="35" t="str">
        <f aca="false">IF($C529="","",IF($D529="","★没选客户项目",IF(COUNTIF(合同键,$D529)=0,"★《维保合同》里没这个项目",IF(N($K529)&lt;=0,"★应收金额要填",IF(ROUND(N($N529)-N($K529),2)&gt;0.001,"★开票金额大于应收",IF(AND($L529&lt;&gt;"",N($N529)&lt;=0),"★填了开票日期没填开票金额",IF(AND($I529&lt;&gt;"",$J529&lt;&gt;"",$J529&lt;$I529),"★计费期间起止反了","OK")))))))</f>
        <v/>
      </c>
      <c r="U529" s="29" t="str">
        <f aca="false">IF($L529="","",YEAR($L529))</f>
        <v/>
      </c>
      <c r="V529" s="40" t="str">
        <f aca="false">IF($C529="","",ROUND(SUMIF(收款关联,$B529,收款金额),2))</f>
        <v/>
      </c>
      <c r="W529" s="40" t="str">
        <f aca="false">IF($C529="","",MAX(0,ROUND(N($K529)-N($V529),2)))</f>
        <v/>
      </c>
      <c r="X529" s="40" t="str">
        <f aca="false">IF($C529="","",ROUND(SUMIFS(应收净额,应收键,$D529,应收行号,"&lt;="&amp;ROW()),2))</f>
        <v/>
      </c>
      <c r="Y529" s="29" t="str">
        <f aca="false">IF($C529="","",ROW())</f>
        <v/>
      </c>
    </row>
    <row r="530" customFormat="false" ht="15" hidden="false" customHeight="false" outlineLevel="0" collapsed="false">
      <c r="A530" s="29" t="str">
        <f aca="false">IF($C530="","",ROW()-4)</f>
        <v/>
      </c>
      <c r="B530" s="35" t="str">
        <f aca="false">IF($C530="","","YS"&amp;TEXT($C530,"yyyymm")&amp;"-"&amp;TEXT(ROW()-4,"0000"))</f>
        <v/>
      </c>
      <c r="C530" s="33"/>
      <c r="D530" s="24"/>
      <c r="E530" s="30" t="str">
        <f aca="false">IF($D530="","",IFERROR(INDEX(合同单位,MATCH($D530,合同键,0)),IFERROR(TRIM(LEFT($D530,FIND("｜",$D530)-1)),$D530)))</f>
        <v/>
      </c>
      <c r="F530" s="30" t="str">
        <f aca="false">IF($D530="","",IFERROR(INDEX(合同项目,MATCH($D530,合同键,0)),IFERROR(TRIM(MID($D530,FIND("｜",$D530)+1,99)),"")))</f>
        <v/>
      </c>
      <c r="G530" s="24"/>
      <c r="H530" s="35" t="str">
        <f aca="false">IF($G530="","",IFERROR(INDEX(费用款别,MATCH($G530,费用类别表,0)),"合同外款"))</f>
        <v/>
      </c>
      <c r="I530" s="33"/>
      <c r="J530" s="33"/>
      <c r="K530" s="39"/>
      <c r="L530" s="33"/>
      <c r="M530" s="25"/>
      <c r="N530" s="39"/>
      <c r="O530" s="35" t="str">
        <f aca="false">IF($C530="","",IF(N($N530)&lt;=0,"未开票",IF(ROUND(N($N530)-N($K530),2)&gt;=0,"已开票",IFERROR("部分开票 "&amp;TEXT(N($N530)/N($K530),"0%"),"部分开票"))))</f>
        <v/>
      </c>
      <c r="P530" s="40" t="str">
        <f aca="false">IF($C530="","",ROUND($V530+MIN($W530,MAX(0,(SUMIF(收款键,$D530,收款金额)-SUMIFS(收款金额,收款键,$D530,收款关联,"&lt;&gt;"))-($X530-$W530))),2))</f>
        <v/>
      </c>
      <c r="Q530" s="41" t="str">
        <f aca="false">IF($C530="","",ROUND(N($K530)-N($P530),2))</f>
        <v/>
      </c>
      <c r="R530" s="29" t="str">
        <f aca="false">IF($C530="","",YEAR($C530))</f>
        <v/>
      </c>
      <c r="S530" s="24"/>
      <c r="T530" s="35" t="str">
        <f aca="false">IF($C530="","",IF($D530="","★没选客户项目",IF(COUNTIF(合同键,$D530)=0,"★《维保合同》里没这个项目",IF(N($K530)&lt;=0,"★应收金额要填",IF(ROUND(N($N530)-N($K530),2)&gt;0.001,"★开票金额大于应收",IF(AND($L530&lt;&gt;"",N($N530)&lt;=0),"★填了开票日期没填开票金额",IF(AND($I530&lt;&gt;"",$J530&lt;&gt;"",$J530&lt;$I530),"★计费期间起止反了","OK")))))))</f>
        <v/>
      </c>
      <c r="U530" s="29" t="str">
        <f aca="false">IF($L530="","",YEAR($L530))</f>
        <v/>
      </c>
      <c r="V530" s="40" t="str">
        <f aca="false">IF($C530="","",ROUND(SUMIF(收款关联,$B530,收款金额),2))</f>
        <v/>
      </c>
      <c r="W530" s="40" t="str">
        <f aca="false">IF($C530="","",MAX(0,ROUND(N($K530)-N($V530),2)))</f>
        <v/>
      </c>
      <c r="X530" s="40" t="str">
        <f aca="false">IF($C530="","",ROUND(SUMIFS(应收净额,应收键,$D530,应收行号,"&lt;="&amp;ROW()),2))</f>
        <v/>
      </c>
      <c r="Y530" s="29" t="str">
        <f aca="false">IF($C530="","",ROW())</f>
        <v/>
      </c>
    </row>
    <row r="531" customFormat="false" ht="15" hidden="false" customHeight="false" outlineLevel="0" collapsed="false">
      <c r="A531" s="29" t="str">
        <f aca="false">IF($C531="","",ROW()-4)</f>
        <v/>
      </c>
      <c r="B531" s="35" t="str">
        <f aca="false">IF($C531="","","YS"&amp;TEXT($C531,"yyyymm")&amp;"-"&amp;TEXT(ROW()-4,"0000"))</f>
        <v/>
      </c>
      <c r="C531" s="33"/>
      <c r="D531" s="24"/>
      <c r="E531" s="30" t="str">
        <f aca="false">IF($D531="","",IFERROR(INDEX(合同单位,MATCH($D531,合同键,0)),IFERROR(TRIM(LEFT($D531,FIND("｜",$D531)-1)),$D531)))</f>
        <v/>
      </c>
      <c r="F531" s="30" t="str">
        <f aca="false">IF($D531="","",IFERROR(INDEX(合同项目,MATCH($D531,合同键,0)),IFERROR(TRIM(MID($D531,FIND("｜",$D531)+1,99)),"")))</f>
        <v/>
      </c>
      <c r="G531" s="24"/>
      <c r="H531" s="35" t="str">
        <f aca="false">IF($G531="","",IFERROR(INDEX(费用款别,MATCH($G531,费用类别表,0)),"合同外款"))</f>
        <v/>
      </c>
      <c r="I531" s="33"/>
      <c r="J531" s="33"/>
      <c r="K531" s="39"/>
      <c r="L531" s="33"/>
      <c r="M531" s="25"/>
      <c r="N531" s="39"/>
      <c r="O531" s="35" t="str">
        <f aca="false">IF($C531="","",IF(N($N531)&lt;=0,"未开票",IF(ROUND(N($N531)-N($K531),2)&gt;=0,"已开票",IFERROR("部分开票 "&amp;TEXT(N($N531)/N($K531),"0%"),"部分开票"))))</f>
        <v/>
      </c>
      <c r="P531" s="40" t="str">
        <f aca="false">IF($C531="","",ROUND($V531+MIN($W531,MAX(0,(SUMIF(收款键,$D531,收款金额)-SUMIFS(收款金额,收款键,$D531,收款关联,"&lt;&gt;"))-($X531-$W531))),2))</f>
        <v/>
      </c>
      <c r="Q531" s="41" t="str">
        <f aca="false">IF($C531="","",ROUND(N($K531)-N($P531),2))</f>
        <v/>
      </c>
      <c r="R531" s="29" t="str">
        <f aca="false">IF($C531="","",YEAR($C531))</f>
        <v/>
      </c>
      <c r="S531" s="24"/>
      <c r="T531" s="35" t="str">
        <f aca="false">IF($C531="","",IF($D531="","★没选客户项目",IF(COUNTIF(合同键,$D531)=0,"★《维保合同》里没这个项目",IF(N($K531)&lt;=0,"★应收金额要填",IF(ROUND(N($N531)-N($K531),2)&gt;0.001,"★开票金额大于应收",IF(AND($L531&lt;&gt;"",N($N531)&lt;=0),"★填了开票日期没填开票金额",IF(AND($I531&lt;&gt;"",$J531&lt;&gt;"",$J531&lt;$I531),"★计费期间起止反了","OK")))))))</f>
        <v/>
      </c>
      <c r="U531" s="29" t="str">
        <f aca="false">IF($L531="","",YEAR($L531))</f>
        <v/>
      </c>
      <c r="V531" s="40" t="str">
        <f aca="false">IF($C531="","",ROUND(SUMIF(收款关联,$B531,收款金额),2))</f>
        <v/>
      </c>
      <c r="W531" s="40" t="str">
        <f aca="false">IF($C531="","",MAX(0,ROUND(N($K531)-N($V531),2)))</f>
        <v/>
      </c>
      <c r="X531" s="40" t="str">
        <f aca="false">IF($C531="","",ROUND(SUMIFS(应收净额,应收键,$D531,应收行号,"&lt;="&amp;ROW()),2))</f>
        <v/>
      </c>
      <c r="Y531" s="29" t="str">
        <f aca="false">IF($C531="","",ROW())</f>
        <v/>
      </c>
    </row>
    <row r="532" customFormat="false" ht="15" hidden="false" customHeight="false" outlineLevel="0" collapsed="false">
      <c r="A532" s="29" t="str">
        <f aca="false">IF($C532="","",ROW()-4)</f>
        <v/>
      </c>
      <c r="B532" s="35" t="str">
        <f aca="false">IF($C532="","","YS"&amp;TEXT($C532,"yyyymm")&amp;"-"&amp;TEXT(ROW()-4,"0000"))</f>
        <v/>
      </c>
      <c r="C532" s="33"/>
      <c r="D532" s="24"/>
      <c r="E532" s="30" t="str">
        <f aca="false">IF($D532="","",IFERROR(INDEX(合同单位,MATCH($D532,合同键,0)),IFERROR(TRIM(LEFT($D532,FIND("｜",$D532)-1)),$D532)))</f>
        <v/>
      </c>
      <c r="F532" s="30" t="str">
        <f aca="false">IF($D532="","",IFERROR(INDEX(合同项目,MATCH($D532,合同键,0)),IFERROR(TRIM(MID($D532,FIND("｜",$D532)+1,99)),"")))</f>
        <v/>
      </c>
      <c r="G532" s="24"/>
      <c r="H532" s="35" t="str">
        <f aca="false">IF($G532="","",IFERROR(INDEX(费用款别,MATCH($G532,费用类别表,0)),"合同外款"))</f>
        <v/>
      </c>
      <c r="I532" s="33"/>
      <c r="J532" s="33"/>
      <c r="K532" s="39"/>
      <c r="L532" s="33"/>
      <c r="M532" s="25"/>
      <c r="N532" s="39"/>
      <c r="O532" s="35" t="str">
        <f aca="false">IF($C532="","",IF(N($N532)&lt;=0,"未开票",IF(ROUND(N($N532)-N($K532),2)&gt;=0,"已开票",IFERROR("部分开票 "&amp;TEXT(N($N532)/N($K532),"0%"),"部分开票"))))</f>
        <v/>
      </c>
      <c r="P532" s="40" t="str">
        <f aca="false">IF($C532="","",ROUND($V532+MIN($W532,MAX(0,(SUMIF(收款键,$D532,收款金额)-SUMIFS(收款金额,收款键,$D532,收款关联,"&lt;&gt;"))-($X532-$W532))),2))</f>
        <v/>
      </c>
      <c r="Q532" s="41" t="str">
        <f aca="false">IF($C532="","",ROUND(N($K532)-N($P532),2))</f>
        <v/>
      </c>
      <c r="R532" s="29" t="str">
        <f aca="false">IF($C532="","",YEAR($C532))</f>
        <v/>
      </c>
      <c r="S532" s="24"/>
      <c r="T532" s="35" t="str">
        <f aca="false">IF($C532="","",IF($D532="","★没选客户项目",IF(COUNTIF(合同键,$D532)=0,"★《维保合同》里没这个项目",IF(N($K532)&lt;=0,"★应收金额要填",IF(ROUND(N($N532)-N($K532),2)&gt;0.001,"★开票金额大于应收",IF(AND($L532&lt;&gt;"",N($N532)&lt;=0),"★填了开票日期没填开票金额",IF(AND($I532&lt;&gt;"",$J532&lt;&gt;"",$J532&lt;$I532),"★计费期间起止反了","OK")))))))</f>
        <v/>
      </c>
      <c r="U532" s="29" t="str">
        <f aca="false">IF($L532="","",YEAR($L532))</f>
        <v/>
      </c>
      <c r="V532" s="40" t="str">
        <f aca="false">IF($C532="","",ROUND(SUMIF(收款关联,$B532,收款金额),2))</f>
        <v/>
      </c>
      <c r="W532" s="40" t="str">
        <f aca="false">IF($C532="","",MAX(0,ROUND(N($K532)-N($V532),2)))</f>
        <v/>
      </c>
      <c r="X532" s="40" t="str">
        <f aca="false">IF($C532="","",ROUND(SUMIFS(应收净额,应收键,$D532,应收行号,"&lt;="&amp;ROW()),2))</f>
        <v/>
      </c>
      <c r="Y532" s="29" t="str">
        <f aca="false">IF($C532="","",ROW())</f>
        <v/>
      </c>
    </row>
    <row r="533" customFormat="false" ht="15" hidden="false" customHeight="false" outlineLevel="0" collapsed="false">
      <c r="A533" s="29" t="str">
        <f aca="false">IF($C533="","",ROW()-4)</f>
        <v/>
      </c>
      <c r="B533" s="35" t="str">
        <f aca="false">IF($C533="","","YS"&amp;TEXT($C533,"yyyymm")&amp;"-"&amp;TEXT(ROW()-4,"0000"))</f>
        <v/>
      </c>
      <c r="C533" s="33"/>
      <c r="D533" s="24"/>
      <c r="E533" s="30" t="str">
        <f aca="false">IF($D533="","",IFERROR(INDEX(合同单位,MATCH($D533,合同键,0)),IFERROR(TRIM(LEFT($D533,FIND("｜",$D533)-1)),$D533)))</f>
        <v/>
      </c>
      <c r="F533" s="30" t="str">
        <f aca="false">IF($D533="","",IFERROR(INDEX(合同项目,MATCH($D533,合同键,0)),IFERROR(TRIM(MID($D533,FIND("｜",$D533)+1,99)),"")))</f>
        <v/>
      </c>
      <c r="G533" s="24"/>
      <c r="H533" s="35" t="str">
        <f aca="false">IF($G533="","",IFERROR(INDEX(费用款别,MATCH($G533,费用类别表,0)),"合同外款"))</f>
        <v/>
      </c>
      <c r="I533" s="33"/>
      <c r="J533" s="33"/>
      <c r="K533" s="39"/>
      <c r="L533" s="33"/>
      <c r="M533" s="25"/>
      <c r="N533" s="39"/>
      <c r="O533" s="35" t="str">
        <f aca="false">IF($C533="","",IF(N($N533)&lt;=0,"未开票",IF(ROUND(N($N533)-N($K533),2)&gt;=0,"已开票",IFERROR("部分开票 "&amp;TEXT(N($N533)/N($K533),"0%"),"部分开票"))))</f>
        <v/>
      </c>
      <c r="P533" s="40" t="str">
        <f aca="false">IF($C533="","",ROUND($V533+MIN($W533,MAX(0,(SUMIF(收款键,$D533,收款金额)-SUMIFS(收款金额,收款键,$D533,收款关联,"&lt;&gt;"))-($X533-$W533))),2))</f>
        <v/>
      </c>
      <c r="Q533" s="41" t="str">
        <f aca="false">IF($C533="","",ROUND(N($K533)-N($P533),2))</f>
        <v/>
      </c>
      <c r="R533" s="29" t="str">
        <f aca="false">IF($C533="","",YEAR($C533))</f>
        <v/>
      </c>
      <c r="S533" s="24"/>
      <c r="T533" s="35" t="str">
        <f aca="false">IF($C533="","",IF($D533="","★没选客户项目",IF(COUNTIF(合同键,$D533)=0,"★《维保合同》里没这个项目",IF(N($K533)&lt;=0,"★应收金额要填",IF(ROUND(N($N533)-N($K533),2)&gt;0.001,"★开票金额大于应收",IF(AND($L533&lt;&gt;"",N($N533)&lt;=0),"★填了开票日期没填开票金额",IF(AND($I533&lt;&gt;"",$J533&lt;&gt;"",$J533&lt;$I533),"★计费期间起止反了","OK")))))))</f>
        <v/>
      </c>
      <c r="U533" s="29" t="str">
        <f aca="false">IF($L533="","",YEAR($L533))</f>
        <v/>
      </c>
      <c r="V533" s="40" t="str">
        <f aca="false">IF($C533="","",ROUND(SUMIF(收款关联,$B533,收款金额),2))</f>
        <v/>
      </c>
      <c r="W533" s="40" t="str">
        <f aca="false">IF($C533="","",MAX(0,ROUND(N($K533)-N($V533),2)))</f>
        <v/>
      </c>
      <c r="X533" s="40" t="str">
        <f aca="false">IF($C533="","",ROUND(SUMIFS(应收净额,应收键,$D533,应收行号,"&lt;="&amp;ROW()),2))</f>
        <v/>
      </c>
      <c r="Y533" s="29" t="str">
        <f aca="false">IF($C533="","",ROW())</f>
        <v/>
      </c>
    </row>
    <row r="534" customFormat="false" ht="15" hidden="false" customHeight="false" outlineLevel="0" collapsed="false">
      <c r="A534" s="29" t="str">
        <f aca="false">IF($C534="","",ROW()-4)</f>
        <v/>
      </c>
      <c r="B534" s="35" t="str">
        <f aca="false">IF($C534="","","YS"&amp;TEXT($C534,"yyyymm")&amp;"-"&amp;TEXT(ROW()-4,"0000"))</f>
        <v/>
      </c>
      <c r="C534" s="33"/>
      <c r="D534" s="24"/>
      <c r="E534" s="30" t="str">
        <f aca="false">IF($D534="","",IFERROR(INDEX(合同单位,MATCH($D534,合同键,0)),IFERROR(TRIM(LEFT($D534,FIND("｜",$D534)-1)),$D534)))</f>
        <v/>
      </c>
      <c r="F534" s="30" t="str">
        <f aca="false">IF($D534="","",IFERROR(INDEX(合同项目,MATCH($D534,合同键,0)),IFERROR(TRIM(MID($D534,FIND("｜",$D534)+1,99)),"")))</f>
        <v/>
      </c>
      <c r="G534" s="24"/>
      <c r="H534" s="35" t="str">
        <f aca="false">IF($G534="","",IFERROR(INDEX(费用款别,MATCH($G534,费用类别表,0)),"合同外款"))</f>
        <v/>
      </c>
      <c r="I534" s="33"/>
      <c r="J534" s="33"/>
      <c r="K534" s="39"/>
      <c r="L534" s="33"/>
      <c r="M534" s="25"/>
      <c r="N534" s="39"/>
      <c r="O534" s="35" t="str">
        <f aca="false">IF($C534="","",IF(N($N534)&lt;=0,"未开票",IF(ROUND(N($N534)-N($K534),2)&gt;=0,"已开票",IFERROR("部分开票 "&amp;TEXT(N($N534)/N($K534),"0%"),"部分开票"))))</f>
        <v/>
      </c>
      <c r="P534" s="40" t="str">
        <f aca="false">IF($C534="","",ROUND($V534+MIN($W534,MAX(0,(SUMIF(收款键,$D534,收款金额)-SUMIFS(收款金额,收款键,$D534,收款关联,"&lt;&gt;"))-($X534-$W534))),2))</f>
        <v/>
      </c>
      <c r="Q534" s="41" t="str">
        <f aca="false">IF($C534="","",ROUND(N($K534)-N($P534),2))</f>
        <v/>
      </c>
      <c r="R534" s="29" t="str">
        <f aca="false">IF($C534="","",YEAR($C534))</f>
        <v/>
      </c>
      <c r="S534" s="24"/>
      <c r="T534" s="35" t="str">
        <f aca="false">IF($C534="","",IF($D534="","★没选客户项目",IF(COUNTIF(合同键,$D534)=0,"★《维保合同》里没这个项目",IF(N($K534)&lt;=0,"★应收金额要填",IF(ROUND(N($N534)-N($K534),2)&gt;0.001,"★开票金额大于应收",IF(AND($L534&lt;&gt;"",N($N534)&lt;=0),"★填了开票日期没填开票金额",IF(AND($I534&lt;&gt;"",$J534&lt;&gt;"",$J534&lt;$I534),"★计费期间起止反了","OK")))))))</f>
        <v/>
      </c>
      <c r="U534" s="29" t="str">
        <f aca="false">IF($L534="","",YEAR($L534))</f>
        <v/>
      </c>
      <c r="V534" s="40" t="str">
        <f aca="false">IF($C534="","",ROUND(SUMIF(收款关联,$B534,收款金额),2))</f>
        <v/>
      </c>
      <c r="W534" s="40" t="str">
        <f aca="false">IF($C534="","",MAX(0,ROUND(N($K534)-N($V534),2)))</f>
        <v/>
      </c>
      <c r="X534" s="40" t="str">
        <f aca="false">IF($C534="","",ROUND(SUMIFS(应收净额,应收键,$D534,应收行号,"&lt;="&amp;ROW()),2))</f>
        <v/>
      </c>
      <c r="Y534" s="29" t="str">
        <f aca="false">IF($C534="","",ROW())</f>
        <v/>
      </c>
    </row>
    <row r="535" customFormat="false" ht="15" hidden="false" customHeight="false" outlineLevel="0" collapsed="false">
      <c r="A535" s="29" t="str">
        <f aca="false">IF($C535="","",ROW()-4)</f>
        <v/>
      </c>
      <c r="B535" s="35" t="str">
        <f aca="false">IF($C535="","","YS"&amp;TEXT($C535,"yyyymm")&amp;"-"&amp;TEXT(ROW()-4,"0000"))</f>
        <v/>
      </c>
      <c r="C535" s="33"/>
      <c r="D535" s="24"/>
      <c r="E535" s="30" t="str">
        <f aca="false">IF($D535="","",IFERROR(INDEX(合同单位,MATCH($D535,合同键,0)),IFERROR(TRIM(LEFT($D535,FIND("｜",$D535)-1)),$D535)))</f>
        <v/>
      </c>
      <c r="F535" s="30" t="str">
        <f aca="false">IF($D535="","",IFERROR(INDEX(合同项目,MATCH($D535,合同键,0)),IFERROR(TRIM(MID($D535,FIND("｜",$D535)+1,99)),"")))</f>
        <v/>
      </c>
      <c r="G535" s="24"/>
      <c r="H535" s="35" t="str">
        <f aca="false">IF($G535="","",IFERROR(INDEX(费用款别,MATCH($G535,费用类别表,0)),"合同外款"))</f>
        <v/>
      </c>
      <c r="I535" s="33"/>
      <c r="J535" s="33"/>
      <c r="K535" s="39"/>
      <c r="L535" s="33"/>
      <c r="M535" s="25"/>
      <c r="N535" s="39"/>
      <c r="O535" s="35" t="str">
        <f aca="false">IF($C535="","",IF(N($N535)&lt;=0,"未开票",IF(ROUND(N($N535)-N($K535),2)&gt;=0,"已开票",IFERROR("部分开票 "&amp;TEXT(N($N535)/N($K535),"0%"),"部分开票"))))</f>
        <v/>
      </c>
      <c r="P535" s="40" t="str">
        <f aca="false">IF($C535="","",ROUND($V535+MIN($W535,MAX(0,(SUMIF(收款键,$D535,收款金额)-SUMIFS(收款金额,收款键,$D535,收款关联,"&lt;&gt;"))-($X535-$W535))),2))</f>
        <v/>
      </c>
      <c r="Q535" s="41" t="str">
        <f aca="false">IF($C535="","",ROUND(N($K535)-N($P535),2))</f>
        <v/>
      </c>
      <c r="R535" s="29" t="str">
        <f aca="false">IF($C535="","",YEAR($C535))</f>
        <v/>
      </c>
      <c r="S535" s="24"/>
      <c r="T535" s="35" t="str">
        <f aca="false">IF($C535="","",IF($D535="","★没选客户项目",IF(COUNTIF(合同键,$D535)=0,"★《维保合同》里没这个项目",IF(N($K535)&lt;=0,"★应收金额要填",IF(ROUND(N($N535)-N($K535),2)&gt;0.001,"★开票金额大于应收",IF(AND($L535&lt;&gt;"",N($N535)&lt;=0),"★填了开票日期没填开票金额",IF(AND($I535&lt;&gt;"",$J535&lt;&gt;"",$J535&lt;$I535),"★计费期间起止反了","OK")))))))</f>
        <v/>
      </c>
      <c r="U535" s="29" t="str">
        <f aca="false">IF($L535="","",YEAR($L535))</f>
        <v/>
      </c>
      <c r="V535" s="40" t="str">
        <f aca="false">IF($C535="","",ROUND(SUMIF(收款关联,$B535,收款金额),2))</f>
        <v/>
      </c>
      <c r="W535" s="40" t="str">
        <f aca="false">IF($C535="","",MAX(0,ROUND(N($K535)-N($V535),2)))</f>
        <v/>
      </c>
      <c r="X535" s="40" t="str">
        <f aca="false">IF($C535="","",ROUND(SUMIFS(应收净额,应收键,$D535,应收行号,"&lt;="&amp;ROW()),2))</f>
        <v/>
      </c>
      <c r="Y535" s="29" t="str">
        <f aca="false">IF($C535="","",ROW())</f>
        <v/>
      </c>
    </row>
    <row r="536" customFormat="false" ht="15" hidden="false" customHeight="false" outlineLevel="0" collapsed="false">
      <c r="A536" s="29" t="str">
        <f aca="false">IF($C536="","",ROW()-4)</f>
        <v/>
      </c>
      <c r="B536" s="35" t="str">
        <f aca="false">IF($C536="","","YS"&amp;TEXT($C536,"yyyymm")&amp;"-"&amp;TEXT(ROW()-4,"0000"))</f>
        <v/>
      </c>
      <c r="C536" s="33"/>
      <c r="D536" s="24"/>
      <c r="E536" s="30" t="str">
        <f aca="false">IF($D536="","",IFERROR(INDEX(合同单位,MATCH($D536,合同键,0)),IFERROR(TRIM(LEFT($D536,FIND("｜",$D536)-1)),$D536)))</f>
        <v/>
      </c>
      <c r="F536" s="30" t="str">
        <f aca="false">IF($D536="","",IFERROR(INDEX(合同项目,MATCH($D536,合同键,0)),IFERROR(TRIM(MID($D536,FIND("｜",$D536)+1,99)),"")))</f>
        <v/>
      </c>
      <c r="G536" s="24"/>
      <c r="H536" s="35" t="str">
        <f aca="false">IF($G536="","",IFERROR(INDEX(费用款别,MATCH($G536,费用类别表,0)),"合同外款"))</f>
        <v/>
      </c>
      <c r="I536" s="33"/>
      <c r="J536" s="33"/>
      <c r="K536" s="39"/>
      <c r="L536" s="33"/>
      <c r="M536" s="25"/>
      <c r="N536" s="39"/>
      <c r="O536" s="35" t="str">
        <f aca="false">IF($C536="","",IF(N($N536)&lt;=0,"未开票",IF(ROUND(N($N536)-N($K536),2)&gt;=0,"已开票",IFERROR("部分开票 "&amp;TEXT(N($N536)/N($K536),"0%"),"部分开票"))))</f>
        <v/>
      </c>
      <c r="P536" s="40" t="str">
        <f aca="false">IF($C536="","",ROUND($V536+MIN($W536,MAX(0,(SUMIF(收款键,$D536,收款金额)-SUMIFS(收款金额,收款键,$D536,收款关联,"&lt;&gt;"))-($X536-$W536))),2))</f>
        <v/>
      </c>
      <c r="Q536" s="41" t="str">
        <f aca="false">IF($C536="","",ROUND(N($K536)-N($P536),2))</f>
        <v/>
      </c>
      <c r="R536" s="29" t="str">
        <f aca="false">IF($C536="","",YEAR($C536))</f>
        <v/>
      </c>
      <c r="S536" s="24"/>
      <c r="T536" s="35" t="str">
        <f aca="false">IF($C536="","",IF($D536="","★没选客户项目",IF(COUNTIF(合同键,$D536)=0,"★《维保合同》里没这个项目",IF(N($K536)&lt;=0,"★应收金额要填",IF(ROUND(N($N536)-N($K536),2)&gt;0.001,"★开票金额大于应收",IF(AND($L536&lt;&gt;"",N($N536)&lt;=0),"★填了开票日期没填开票金额",IF(AND($I536&lt;&gt;"",$J536&lt;&gt;"",$J536&lt;$I536),"★计费期间起止反了","OK")))))))</f>
        <v/>
      </c>
      <c r="U536" s="29" t="str">
        <f aca="false">IF($L536="","",YEAR($L536))</f>
        <v/>
      </c>
      <c r="V536" s="40" t="str">
        <f aca="false">IF($C536="","",ROUND(SUMIF(收款关联,$B536,收款金额),2))</f>
        <v/>
      </c>
      <c r="W536" s="40" t="str">
        <f aca="false">IF($C536="","",MAX(0,ROUND(N($K536)-N($V536),2)))</f>
        <v/>
      </c>
      <c r="X536" s="40" t="str">
        <f aca="false">IF($C536="","",ROUND(SUMIFS(应收净额,应收键,$D536,应收行号,"&lt;="&amp;ROW()),2))</f>
        <v/>
      </c>
      <c r="Y536" s="29" t="str">
        <f aca="false">IF($C536="","",ROW())</f>
        <v/>
      </c>
    </row>
    <row r="537" customFormat="false" ht="15" hidden="false" customHeight="false" outlineLevel="0" collapsed="false">
      <c r="A537" s="29" t="str">
        <f aca="false">IF($C537="","",ROW()-4)</f>
        <v/>
      </c>
      <c r="B537" s="35" t="str">
        <f aca="false">IF($C537="","","YS"&amp;TEXT($C537,"yyyymm")&amp;"-"&amp;TEXT(ROW()-4,"0000"))</f>
        <v/>
      </c>
      <c r="C537" s="33"/>
      <c r="D537" s="24"/>
      <c r="E537" s="30" t="str">
        <f aca="false">IF($D537="","",IFERROR(INDEX(合同单位,MATCH($D537,合同键,0)),IFERROR(TRIM(LEFT($D537,FIND("｜",$D537)-1)),$D537)))</f>
        <v/>
      </c>
      <c r="F537" s="30" t="str">
        <f aca="false">IF($D537="","",IFERROR(INDEX(合同项目,MATCH($D537,合同键,0)),IFERROR(TRIM(MID($D537,FIND("｜",$D537)+1,99)),"")))</f>
        <v/>
      </c>
      <c r="G537" s="24"/>
      <c r="H537" s="35" t="str">
        <f aca="false">IF($G537="","",IFERROR(INDEX(费用款别,MATCH($G537,费用类别表,0)),"合同外款"))</f>
        <v/>
      </c>
      <c r="I537" s="33"/>
      <c r="J537" s="33"/>
      <c r="K537" s="39"/>
      <c r="L537" s="33"/>
      <c r="M537" s="25"/>
      <c r="N537" s="39"/>
      <c r="O537" s="35" t="str">
        <f aca="false">IF($C537="","",IF(N($N537)&lt;=0,"未开票",IF(ROUND(N($N537)-N($K537),2)&gt;=0,"已开票",IFERROR("部分开票 "&amp;TEXT(N($N537)/N($K537),"0%"),"部分开票"))))</f>
        <v/>
      </c>
      <c r="P537" s="40" t="str">
        <f aca="false">IF($C537="","",ROUND($V537+MIN($W537,MAX(0,(SUMIF(收款键,$D537,收款金额)-SUMIFS(收款金额,收款键,$D537,收款关联,"&lt;&gt;"))-($X537-$W537))),2))</f>
        <v/>
      </c>
      <c r="Q537" s="41" t="str">
        <f aca="false">IF($C537="","",ROUND(N($K537)-N($P537),2))</f>
        <v/>
      </c>
      <c r="R537" s="29" t="str">
        <f aca="false">IF($C537="","",YEAR($C537))</f>
        <v/>
      </c>
      <c r="S537" s="24"/>
      <c r="T537" s="35" t="str">
        <f aca="false">IF($C537="","",IF($D537="","★没选客户项目",IF(COUNTIF(合同键,$D537)=0,"★《维保合同》里没这个项目",IF(N($K537)&lt;=0,"★应收金额要填",IF(ROUND(N($N537)-N($K537),2)&gt;0.001,"★开票金额大于应收",IF(AND($L537&lt;&gt;"",N($N537)&lt;=0),"★填了开票日期没填开票金额",IF(AND($I537&lt;&gt;"",$J537&lt;&gt;"",$J537&lt;$I537),"★计费期间起止反了","OK")))))))</f>
        <v/>
      </c>
      <c r="U537" s="29" t="str">
        <f aca="false">IF($L537="","",YEAR($L537))</f>
        <v/>
      </c>
      <c r="V537" s="40" t="str">
        <f aca="false">IF($C537="","",ROUND(SUMIF(收款关联,$B537,收款金额),2))</f>
        <v/>
      </c>
      <c r="W537" s="40" t="str">
        <f aca="false">IF($C537="","",MAX(0,ROUND(N($K537)-N($V537),2)))</f>
        <v/>
      </c>
      <c r="X537" s="40" t="str">
        <f aca="false">IF($C537="","",ROUND(SUMIFS(应收净额,应收键,$D537,应收行号,"&lt;="&amp;ROW()),2))</f>
        <v/>
      </c>
      <c r="Y537" s="29" t="str">
        <f aca="false">IF($C537="","",ROW())</f>
        <v/>
      </c>
    </row>
    <row r="538" customFormat="false" ht="15" hidden="false" customHeight="false" outlineLevel="0" collapsed="false">
      <c r="A538" s="29" t="str">
        <f aca="false">IF($C538="","",ROW()-4)</f>
        <v/>
      </c>
      <c r="B538" s="35" t="str">
        <f aca="false">IF($C538="","","YS"&amp;TEXT($C538,"yyyymm")&amp;"-"&amp;TEXT(ROW()-4,"0000"))</f>
        <v/>
      </c>
      <c r="C538" s="33"/>
      <c r="D538" s="24"/>
      <c r="E538" s="30" t="str">
        <f aca="false">IF($D538="","",IFERROR(INDEX(合同单位,MATCH($D538,合同键,0)),IFERROR(TRIM(LEFT($D538,FIND("｜",$D538)-1)),$D538)))</f>
        <v/>
      </c>
      <c r="F538" s="30" t="str">
        <f aca="false">IF($D538="","",IFERROR(INDEX(合同项目,MATCH($D538,合同键,0)),IFERROR(TRIM(MID($D538,FIND("｜",$D538)+1,99)),"")))</f>
        <v/>
      </c>
      <c r="G538" s="24"/>
      <c r="H538" s="35" t="str">
        <f aca="false">IF($G538="","",IFERROR(INDEX(费用款别,MATCH($G538,费用类别表,0)),"合同外款"))</f>
        <v/>
      </c>
      <c r="I538" s="33"/>
      <c r="J538" s="33"/>
      <c r="K538" s="39"/>
      <c r="L538" s="33"/>
      <c r="M538" s="25"/>
      <c r="N538" s="39"/>
      <c r="O538" s="35" t="str">
        <f aca="false">IF($C538="","",IF(N($N538)&lt;=0,"未开票",IF(ROUND(N($N538)-N($K538),2)&gt;=0,"已开票",IFERROR("部分开票 "&amp;TEXT(N($N538)/N($K538),"0%"),"部分开票"))))</f>
        <v/>
      </c>
      <c r="P538" s="40" t="str">
        <f aca="false">IF($C538="","",ROUND($V538+MIN($W538,MAX(0,(SUMIF(收款键,$D538,收款金额)-SUMIFS(收款金额,收款键,$D538,收款关联,"&lt;&gt;"))-($X538-$W538))),2))</f>
        <v/>
      </c>
      <c r="Q538" s="41" t="str">
        <f aca="false">IF($C538="","",ROUND(N($K538)-N($P538),2))</f>
        <v/>
      </c>
      <c r="R538" s="29" t="str">
        <f aca="false">IF($C538="","",YEAR($C538))</f>
        <v/>
      </c>
      <c r="S538" s="24"/>
      <c r="T538" s="35" t="str">
        <f aca="false">IF($C538="","",IF($D538="","★没选客户项目",IF(COUNTIF(合同键,$D538)=0,"★《维保合同》里没这个项目",IF(N($K538)&lt;=0,"★应收金额要填",IF(ROUND(N($N538)-N($K538),2)&gt;0.001,"★开票金额大于应收",IF(AND($L538&lt;&gt;"",N($N538)&lt;=0),"★填了开票日期没填开票金额",IF(AND($I538&lt;&gt;"",$J538&lt;&gt;"",$J538&lt;$I538),"★计费期间起止反了","OK")))))))</f>
        <v/>
      </c>
      <c r="U538" s="29" t="str">
        <f aca="false">IF($L538="","",YEAR($L538))</f>
        <v/>
      </c>
      <c r="V538" s="40" t="str">
        <f aca="false">IF($C538="","",ROUND(SUMIF(收款关联,$B538,收款金额),2))</f>
        <v/>
      </c>
      <c r="W538" s="40" t="str">
        <f aca="false">IF($C538="","",MAX(0,ROUND(N($K538)-N($V538),2)))</f>
        <v/>
      </c>
      <c r="X538" s="40" t="str">
        <f aca="false">IF($C538="","",ROUND(SUMIFS(应收净额,应收键,$D538,应收行号,"&lt;="&amp;ROW()),2))</f>
        <v/>
      </c>
      <c r="Y538" s="29" t="str">
        <f aca="false">IF($C538="","",ROW())</f>
        <v/>
      </c>
    </row>
    <row r="539" customFormat="false" ht="15" hidden="false" customHeight="false" outlineLevel="0" collapsed="false">
      <c r="A539" s="29" t="str">
        <f aca="false">IF($C539="","",ROW()-4)</f>
        <v/>
      </c>
      <c r="B539" s="35" t="str">
        <f aca="false">IF($C539="","","YS"&amp;TEXT($C539,"yyyymm")&amp;"-"&amp;TEXT(ROW()-4,"0000"))</f>
        <v/>
      </c>
      <c r="C539" s="33"/>
      <c r="D539" s="24"/>
      <c r="E539" s="30" t="str">
        <f aca="false">IF($D539="","",IFERROR(INDEX(合同单位,MATCH($D539,合同键,0)),IFERROR(TRIM(LEFT($D539,FIND("｜",$D539)-1)),$D539)))</f>
        <v/>
      </c>
      <c r="F539" s="30" t="str">
        <f aca="false">IF($D539="","",IFERROR(INDEX(合同项目,MATCH($D539,合同键,0)),IFERROR(TRIM(MID($D539,FIND("｜",$D539)+1,99)),"")))</f>
        <v/>
      </c>
      <c r="G539" s="24"/>
      <c r="H539" s="35" t="str">
        <f aca="false">IF($G539="","",IFERROR(INDEX(费用款别,MATCH($G539,费用类别表,0)),"合同外款"))</f>
        <v/>
      </c>
      <c r="I539" s="33"/>
      <c r="J539" s="33"/>
      <c r="K539" s="39"/>
      <c r="L539" s="33"/>
      <c r="M539" s="25"/>
      <c r="N539" s="39"/>
      <c r="O539" s="35" t="str">
        <f aca="false">IF($C539="","",IF(N($N539)&lt;=0,"未开票",IF(ROUND(N($N539)-N($K539),2)&gt;=0,"已开票",IFERROR("部分开票 "&amp;TEXT(N($N539)/N($K539),"0%"),"部分开票"))))</f>
        <v/>
      </c>
      <c r="P539" s="40" t="str">
        <f aca="false">IF($C539="","",ROUND($V539+MIN($W539,MAX(0,(SUMIF(收款键,$D539,收款金额)-SUMIFS(收款金额,收款键,$D539,收款关联,"&lt;&gt;"))-($X539-$W539))),2))</f>
        <v/>
      </c>
      <c r="Q539" s="41" t="str">
        <f aca="false">IF($C539="","",ROUND(N($K539)-N($P539),2))</f>
        <v/>
      </c>
      <c r="R539" s="29" t="str">
        <f aca="false">IF($C539="","",YEAR($C539))</f>
        <v/>
      </c>
      <c r="S539" s="24"/>
      <c r="T539" s="35" t="str">
        <f aca="false">IF($C539="","",IF($D539="","★没选客户项目",IF(COUNTIF(合同键,$D539)=0,"★《维保合同》里没这个项目",IF(N($K539)&lt;=0,"★应收金额要填",IF(ROUND(N($N539)-N($K539),2)&gt;0.001,"★开票金额大于应收",IF(AND($L539&lt;&gt;"",N($N539)&lt;=0),"★填了开票日期没填开票金额",IF(AND($I539&lt;&gt;"",$J539&lt;&gt;"",$J539&lt;$I539),"★计费期间起止反了","OK")))))))</f>
        <v/>
      </c>
      <c r="U539" s="29" t="str">
        <f aca="false">IF($L539="","",YEAR($L539))</f>
        <v/>
      </c>
      <c r="V539" s="40" t="str">
        <f aca="false">IF($C539="","",ROUND(SUMIF(收款关联,$B539,收款金额),2))</f>
        <v/>
      </c>
      <c r="W539" s="40" t="str">
        <f aca="false">IF($C539="","",MAX(0,ROUND(N($K539)-N($V539),2)))</f>
        <v/>
      </c>
      <c r="X539" s="40" t="str">
        <f aca="false">IF($C539="","",ROUND(SUMIFS(应收净额,应收键,$D539,应收行号,"&lt;="&amp;ROW()),2))</f>
        <v/>
      </c>
      <c r="Y539" s="29" t="str">
        <f aca="false">IF($C539="","",ROW())</f>
        <v/>
      </c>
    </row>
    <row r="540" customFormat="false" ht="15" hidden="false" customHeight="false" outlineLevel="0" collapsed="false">
      <c r="A540" s="29" t="str">
        <f aca="false">IF($C540="","",ROW()-4)</f>
        <v/>
      </c>
      <c r="B540" s="35" t="str">
        <f aca="false">IF($C540="","","YS"&amp;TEXT($C540,"yyyymm")&amp;"-"&amp;TEXT(ROW()-4,"0000"))</f>
        <v/>
      </c>
      <c r="C540" s="33"/>
      <c r="D540" s="24"/>
      <c r="E540" s="30" t="str">
        <f aca="false">IF($D540="","",IFERROR(INDEX(合同单位,MATCH($D540,合同键,0)),IFERROR(TRIM(LEFT($D540,FIND("｜",$D540)-1)),$D540)))</f>
        <v/>
      </c>
      <c r="F540" s="30" t="str">
        <f aca="false">IF($D540="","",IFERROR(INDEX(合同项目,MATCH($D540,合同键,0)),IFERROR(TRIM(MID($D540,FIND("｜",$D540)+1,99)),"")))</f>
        <v/>
      </c>
      <c r="G540" s="24"/>
      <c r="H540" s="35" t="str">
        <f aca="false">IF($G540="","",IFERROR(INDEX(费用款别,MATCH($G540,费用类别表,0)),"合同外款"))</f>
        <v/>
      </c>
      <c r="I540" s="33"/>
      <c r="J540" s="33"/>
      <c r="K540" s="39"/>
      <c r="L540" s="33"/>
      <c r="M540" s="25"/>
      <c r="N540" s="39"/>
      <c r="O540" s="35" t="str">
        <f aca="false">IF($C540="","",IF(N($N540)&lt;=0,"未开票",IF(ROUND(N($N540)-N($K540),2)&gt;=0,"已开票",IFERROR("部分开票 "&amp;TEXT(N($N540)/N($K540),"0%"),"部分开票"))))</f>
        <v/>
      </c>
      <c r="P540" s="40" t="str">
        <f aca="false">IF($C540="","",ROUND($V540+MIN($W540,MAX(0,(SUMIF(收款键,$D540,收款金额)-SUMIFS(收款金额,收款键,$D540,收款关联,"&lt;&gt;"))-($X540-$W540))),2))</f>
        <v/>
      </c>
      <c r="Q540" s="41" t="str">
        <f aca="false">IF($C540="","",ROUND(N($K540)-N($P540),2))</f>
        <v/>
      </c>
      <c r="R540" s="29" t="str">
        <f aca="false">IF($C540="","",YEAR($C540))</f>
        <v/>
      </c>
      <c r="S540" s="24"/>
      <c r="T540" s="35" t="str">
        <f aca="false">IF($C540="","",IF($D540="","★没选客户项目",IF(COUNTIF(合同键,$D540)=0,"★《维保合同》里没这个项目",IF(N($K540)&lt;=0,"★应收金额要填",IF(ROUND(N($N540)-N($K540),2)&gt;0.001,"★开票金额大于应收",IF(AND($L540&lt;&gt;"",N($N540)&lt;=0),"★填了开票日期没填开票金额",IF(AND($I540&lt;&gt;"",$J540&lt;&gt;"",$J540&lt;$I540),"★计费期间起止反了","OK")))))))</f>
        <v/>
      </c>
      <c r="U540" s="29" t="str">
        <f aca="false">IF($L540="","",YEAR($L540))</f>
        <v/>
      </c>
      <c r="V540" s="40" t="str">
        <f aca="false">IF($C540="","",ROUND(SUMIF(收款关联,$B540,收款金额),2))</f>
        <v/>
      </c>
      <c r="W540" s="40" t="str">
        <f aca="false">IF($C540="","",MAX(0,ROUND(N($K540)-N($V540),2)))</f>
        <v/>
      </c>
      <c r="X540" s="40" t="str">
        <f aca="false">IF($C540="","",ROUND(SUMIFS(应收净额,应收键,$D540,应收行号,"&lt;="&amp;ROW()),2))</f>
        <v/>
      </c>
      <c r="Y540" s="29" t="str">
        <f aca="false">IF($C540="","",ROW())</f>
        <v/>
      </c>
    </row>
    <row r="541" customFormat="false" ht="15" hidden="false" customHeight="false" outlineLevel="0" collapsed="false">
      <c r="A541" s="29" t="str">
        <f aca="false">IF($C541="","",ROW()-4)</f>
        <v/>
      </c>
      <c r="B541" s="35" t="str">
        <f aca="false">IF($C541="","","YS"&amp;TEXT($C541,"yyyymm")&amp;"-"&amp;TEXT(ROW()-4,"0000"))</f>
        <v/>
      </c>
      <c r="C541" s="33"/>
      <c r="D541" s="24"/>
      <c r="E541" s="30" t="str">
        <f aca="false">IF($D541="","",IFERROR(INDEX(合同单位,MATCH($D541,合同键,0)),IFERROR(TRIM(LEFT($D541,FIND("｜",$D541)-1)),$D541)))</f>
        <v/>
      </c>
      <c r="F541" s="30" t="str">
        <f aca="false">IF($D541="","",IFERROR(INDEX(合同项目,MATCH($D541,合同键,0)),IFERROR(TRIM(MID($D541,FIND("｜",$D541)+1,99)),"")))</f>
        <v/>
      </c>
      <c r="G541" s="24"/>
      <c r="H541" s="35" t="str">
        <f aca="false">IF($G541="","",IFERROR(INDEX(费用款别,MATCH($G541,费用类别表,0)),"合同外款"))</f>
        <v/>
      </c>
      <c r="I541" s="33"/>
      <c r="J541" s="33"/>
      <c r="K541" s="39"/>
      <c r="L541" s="33"/>
      <c r="M541" s="25"/>
      <c r="N541" s="39"/>
      <c r="O541" s="35" t="str">
        <f aca="false">IF($C541="","",IF(N($N541)&lt;=0,"未开票",IF(ROUND(N($N541)-N($K541),2)&gt;=0,"已开票",IFERROR("部分开票 "&amp;TEXT(N($N541)/N($K541),"0%"),"部分开票"))))</f>
        <v/>
      </c>
      <c r="P541" s="40" t="str">
        <f aca="false">IF($C541="","",ROUND($V541+MIN($W541,MAX(0,(SUMIF(收款键,$D541,收款金额)-SUMIFS(收款金额,收款键,$D541,收款关联,"&lt;&gt;"))-($X541-$W541))),2))</f>
        <v/>
      </c>
      <c r="Q541" s="41" t="str">
        <f aca="false">IF($C541="","",ROUND(N($K541)-N($P541),2))</f>
        <v/>
      </c>
      <c r="R541" s="29" t="str">
        <f aca="false">IF($C541="","",YEAR($C541))</f>
        <v/>
      </c>
      <c r="S541" s="24"/>
      <c r="T541" s="35" t="str">
        <f aca="false">IF($C541="","",IF($D541="","★没选客户项目",IF(COUNTIF(合同键,$D541)=0,"★《维保合同》里没这个项目",IF(N($K541)&lt;=0,"★应收金额要填",IF(ROUND(N($N541)-N($K541),2)&gt;0.001,"★开票金额大于应收",IF(AND($L541&lt;&gt;"",N($N541)&lt;=0),"★填了开票日期没填开票金额",IF(AND($I541&lt;&gt;"",$J541&lt;&gt;"",$J541&lt;$I541),"★计费期间起止反了","OK")))))))</f>
        <v/>
      </c>
      <c r="U541" s="29" t="str">
        <f aca="false">IF($L541="","",YEAR($L541))</f>
        <v/>
      </c>
      <c r="V541" s="40" t="str">
        <f aca="false">IF($C541="","",ROUND(SUMIF(收款关联,$B541,收款金额),2))</f>
        <v/>
      </c>
      <c r="W541" s="40" t="str">
        <f aca="false">IF($C541="","",MAX(0,ROUND(N($K541)-N($V541),2)))</f>
        <v/>
      </c>
      <c r="X541" s="40" t="str">
        <f aca="false">IF($C541="","",ROUND(SUMIFS(应收净额,应收键,$D541,应收行号,"&lt;="&amp;ROW()),2))</f>
        <v/>
      </c>
      <c r="Y541" s="29" t="str">
        <f aca="false">IF($C541="","",ROW())</f>
        <v/>
      </c>
    </row>
    <row r="542" customFormat="false" ht="15" hidden="false" customHeight="false" outlineLevel="0" collapsed="false">
      <c r="A542" s="29" t="str">
        <f aca="false">IF($C542="","",ROW()-4)</f>
        <v/>
      </c>
      <c r="B542" s="35" t="str">
        <f aca="false">IF($C542="","","YS"&amp;TEXT($C542,"yyyymm")&amp;"-"&amp;TEXT(ROW()-4,"0000"))</f>
        <v/>
      </c>
      <c r="C542" s="33"/>
      <c r="D542" s="24"/>
      <c r="E542" s="30" t="str">
        <f aca="false">IF($D542="","",IFERROR(INDEX(合同单位,MATCH($D542,合同键,0)),IFERROR(TRIM(LEFT($D542,FIND("｜",$D542)-1)),$D542)))</f>
        <v/>
      </c>
      <c r="F542" s="30" t="str">
        <f aca="false">IF($D542="","",IFERROR(INDEX(合同项目,MATCH($D542,合同键,0)),IFERROR(TRIM(MID($D542,FIND("｜",$D542)+1,99)),"")))</f>
        <v/>
      </c>
      <c r="G542" s="24"/>
      <c r="H542" s="35" t="str">
        <f aca="false">IF($G542="","",IFERROR(INDEX(费用款别,MATCH($G542,费用类别表,0)),"合同外款"))</f>
        <v/>
      </c>
      <c r="I542" s="33"/>
      <c r="J542" s="33"/>
      <c r="K542" s="39"/>
      <c r="L542" s="33"/>
      <c r="M542" s="25"/>
      <c r="N542" s="39"/>
      <c r="O542" s="35" t="str">
        <f aca="false">IF($C542="","",IF(N($N542)&lt;=0,"未开票",IF(ROUND(N($N542)-N($K542),2)&gt;=0,"已开票",IFERROR("部分开票 "&amp;TEXT(N($N542)/N($K542),"0%"),"部分开票"))))</f>
        <v/>
      </c>
      <c r="P542" s="40" t="str">
        <f aca="false">IF($C542="","",ROUND($V542+MIN($W542,MAX(0,(SUMIF(收款键,$D542,收款金额)-SUMIFS(收款金额,收款键,$D542,收款关联,"&lt;&gt;"))-($X542-$W542))),2))</f>
        <v/>
      </c>
      <c r="Q542" s="41" t="str">
        <f aca="false">IF($C542="","",ROUND(N($K542)-N($P542),2))</f>
        <v/>
      </c>
      <c r="R542" s="29" t="str">
        <f aca="false">IF($C542="","",YEAR($C542))</f>
        <v/>
      </c>
      <c r="S542" s="24"/>
      <c r="T542" s="35" t="str">
        <f aca="false">IF($C542="","",IF($D542="","★没选客户项目",IF(COUNTIF(合同键,$D542)=0,"★《维保合同》里没这个项目",IF(N($K542)&lt;=0,"★应收金额要填",IF(ROUND(N($N542)-N($K542),2)&gt;0.001,"★开票金额大于应收",IF(AND($L542&lt;&gt;"",N($N542)&lt;=0),"★填了开票日期没填开票金额",IF(AND($I542&lt;&gt;"",$J542&lt;&gt;"",$J542&lt;$I542),"★计费期间起止反了","OK")))))))</f>
        <v/>
      </c>
      <c r="U542" s="29" t="str">
        <f aca="false">IF($L542="","",YEAR($L542))</f>
        <v/>
      </c>
      <c r="V542" s="40" t="str">
        <f aca="false">IF($C542="","",ROUND(SUMIF(收款关联,$B542,收款金额),2))</f>
        <v/>
      </c>
      <c r="W542" s="40" t="str">
        <f aca="false">IF($C542="","",MAX(0,ROUND(N($K542)-N($V542),2)))</f>
        <v/>
      </c>
      <c r="X542" s="40" t="str">
        <f aca="false">IF($C542="","",ROUND(SUMIFS(应收净额,应收键,$D542,应收行号,"&lt;="&amp;ROW()),2))</f>
        <v/>
      </c>
      <c r="Y542" s="29" t="str">
        <f aca="false">IF($C542="","",ROW())</f>
        <v/>
      </c>
    </row>
    <row r="543" customFormat="false" ht="15" hidden="false" customHeight="false" outlineLevel="0" collapsed="false">
      <c r="A543" s="29" t="str">
        <f aca="false">IF($C543="","",ROW()-4)</f>
        <v/>
      </c>
      <c r="B543" s="35" t="str">
        <f aca="false">IF($C543="","","YS"&amp;TEXT($C543,"yyyymm")&amp;"-"&amp;TEXT(ROW()-4,"0000"))</f>
        <v/>
      </c>
      <c r="C543" s="33"/>
      <c r="D543" s="24"/>
      <c r="E543" s="30" t="str">
        <f aca="false">IF($D543="","",IFERROR(INDEX(合同单位,MATCH($D543,合同键,0)),IFERROR(TRIM(LEFT($D543,FIND("｜",$D543)-1)),$D543)))</f>
        <v/>
      </c>
      <c r="F543" s="30" t="str">
        <f aca="false">IF($D543="","",IFERROR(INDEX(合同项目,MATCH($D543,合同键,0)),IFERROR(TRIM(MID($D543,FIND("｜",$D543)+1,99)),"")))</f>
        <v/>
      </c>
      <c r="G543" s="24"/>
      <c r="H543" s="35" t="str">
        <f aca="false">IF($G543="","",IFERROR(INDEX(费用款别,MATCH($G543,费用类别表,0)),"合同外款"))</f>
        <v/>
      </c>
      <c r="I543" s="33"/>
      <c r="J543" s="33"/>
      <c r="K543" s="39"/>
      <c r="L543" s="33"/>
      <c r="M543" s="25"/>
      <c r="N543" s="39"/>
      <c r="O543" s="35" t="str">
        <f aca="false">IF($C543="","",IF(N($N543)&lt;=0,"未开票",IF(ROUND(N($N543)-N($K543),2)&gt;=0,"已开票",IFERROR("部分开票 "&amp;TEXT(N($N543)/N($K543),"0%"),"部分开票"))))</f>
        <v/>
      </c>
      <c r="P543" s="40" t="str">
        <f aca="false">IF($C543="","",ROUND($V543+MIN($W543,MAX(0,(SUMIF(收款键,$D543,收款金额)-SUMIFS(收款金额,收款键,$D543,收款关联,"&lt;&gt;"))-($X543-$W543))),2))</f>
        <v/>
      </c>
      <c r="Q543" s="41" t="str">
        <f aca="false">IF($C543="","",ROUND(N($K543)-N($P543),2))</f>
        <v/>
      </c>
      <c r="R543" s="29" t="str">
        <f aca="false">IF($C543="","",YEAR($C543))</f>
        <v/>
      </c>
      <c r="S543" s="24"/>
      <c r="T543" s="35" t="str">
        <f aca="false">IF($C543="","",IF($D543="","★没选客户项目",IF(COUNTIF(合同键,$D543)=0,"★《维保合同》里没这个项目",IF(N($K543)&lt;=0,"★应收金额要填",IF(ROUND(N($N543)-N($K543),2)&gt;0.001,"★开票金额大于应收",IF(AND($L543&lt;&gt;"",N($N543)&lt;=0),"★填了开票日期没填开票金额",IF(AND($I543&lt;&gt;"",$J543&lt;&gt;"",$J543&lt;$I543),"★计费期间起止反了","OK")))))))</f>
        <v/>
      </c>
      <c r="U543" s="29" t="str">
        <f aca="false">IF($L543="","",YEAR($L543))</f>
        <v/>
      </c>
      <c r="V543" s="40" t="str">
        <f aca="false">IF($C543="","",ROUND(SUMIF(收款关联,$B543,收款金额),2))</f>
        <v/>
      </c>
      <c r="W543" s="40" t="str">
        <f aca="false">IF($C543="","",MAX(0,ROUND(N($K543)-N($V543),2)))</f>
        <v/>
      </c>
      <c r="X543" s="40" t="str">
        <f aca="false">IF($C543="","",ROUND(SUMIFS(应收净额,应收键,$D543,应收行号,"&lt;="&amp;ROW()),2))</f>
        <v/>
      </c>
      <c r="Y543" s="29" t="str">
        <f aca="false">IF($C543="","",ROW())</f>
        <v/>
      </c>
    </row>
    <row r="544" customFormat="false" ht="15" hidden="false" customHeight="false" outlineLevel="0" collapsed="false">
      <c r="A544" s="29" t="str">
        <f aca="false">IF($C544="","",ROW()-4)</f>
        <v/>
      </c>
      <c r="B544" s="35" t="str">
        <f aca="false">IF($C544="","","YS"&amp;TEXT($C544,"yyyymm")&amp;"-"&amp;TEXT(ROW()-4,"0000"))</f>
        <v/>
      </c>
      <c r="C544" s="33"/>
      <c r="D544" s="24"/>
      <c r="E544" s="30" t="str">
        <f aca="false">IF($D544="","",IFERROR(INDEX(合同单位,MATCH($D544,合同键,0)),IFERROR(TRIM(LEFT($D544,FIND("｜",$D544)-1)),$D544)))</f>
        <v/>
      </c>
      <c r="F544" s="30" t="str">
        <f aca="false">IF($D544="","",IFERROR(INDEX(合同项目,MATCH($D544,合同键,0)),IFERROR(TRIM(MID($D544,FIND("｜",$D544)+1,99)),"")))</f>
        <v/>
      </c>
      <c r="G544" s="24"/>
      <c r="H544" s="35" t="str">
        <f aca="false">IF($G544="","",IFERROR(INDEX(费用款别,MATCH($G544,费用类别表,0)),"合同外款"))</f>
        <v/>
      </c>
      <c r="I544" s="33"/>
      <c r="J544" s="33"/>
      <c r="K544" s="39"/>
      <c r="L544" s="33"/>
      <c r="M544" s="25"/>
      <c r="N544" s="39"/>
      <c r="O544" s="35" t="str">
        <f aca="false">IF($C544="","",IF(N($N544)&lt;=0,"未开票",IF(ROUND(N($N544)-N($K544),2)&gt;=0,"已开票",IFERROR("部分开票 "&amp;TEXT(N($N544)/N($K544),"0%"),"部分开票"))))</f>
        <v/>
      </c>
      <c r="P544" s="40" t="str">
        <f aca="false">IF($C544="","",ROUND($V544+MIN($W544,MAX(0,(SUMIF(收款键,$D544,收款金额)-SUMIFS(收款金额,收款键,$D544,收款关联,"&lt;&gt;"))-($X544-$W544))),2))</f>
        <v/>
      </c>
      <c r="Q544" s="41" t="str">
        <f aca="false">IF($C544="","",ROUND(N($K544)-N($P544),2))</f>
        <v/>
      </c>
      <c r="R544" s="29" t="str">
        <f aca="false">IF($C544="","",YEAR($C544))</f>
        <v/>
      </c>
      <c r="S544" s="24"/>
      <c r="T544" s="35" t="str">
        <f aca="false">IF($C544="","",IF($D544="","★没选客户项目",IF(COUNTIF(合同键,$D544)=0,"★《维保合同》里没这个项目",IF(N($K544)&lt;=0,"★应收金额要填",IF(ROUND(N($N544)-N($K544),2)&gt;0.001,"★开票金额大于应收",IF(AND($L544&lt;&gt;"",N($N544)&lt;=0),"★填了开票日期没填开票金额",IF(AND($I544&lt;&gt;"",$J544&lt;&gt;"",$J544&lt;$I544),"★计费期间起止反了","OK")))))))</f>
        <v/>
      </c>
      <c r="U544" s="29" t="str">
        <f aca="false">IF($L544="","",YEAR($L544))</f>
        <v/>
      </c>
      <c r="V544" s="40" t="str">
        <f aca="false">IF($C544="","",ROUND(SUMIF(收款关联,$B544,收款金额),2))</f>
        <v/>
      </c>
      <c r="W544" s="40" t="str">
        <f aca="false">IF($C544="","",MAX(0,ROUND(N($K544)-N($V544),2)))</f>
        <v/>
      </c>
      <c r="X544" s="40" t="str">
        <f aca="false">IF($C544="","",ROUND(SUMIFS(应收净额,应收键,$D544,应收行号,"&lt;="&amp;ROW()),2))</f>
        <v/>
      </c>
      <c r="Y544" s="29" t="str">
        <f aca="false">IF($C544="","",ROW())</f>
        <v/>
      </c>
    </row>
    <row r="545" customFormat="false" ht="15" hidden="false" customHeight="false" outlineLevel="0" collapsed="false">
      <c r="A545" s="29" t="str">
        <f aca="false">IF($C545="","",ROW()-4)</f>
        <v/>
      </c>
      <c r="B545" s="35" t="str">
        <f aca="false">IF($C545="","","YS"&amp;TEXT($C545,"yyyymm")&amp;"-"&amp;TEXT(ROW()-4,"0000"))</f>
        <v/>
      </c>
      <c r="C545" s="33"/>
      <c r="D545" s="24"/>
      <c r="E545" s="30" t="str">
        <f aca="false">IF($D545="","",IFERROR(INDEX(合同单位,MATCH($D545,合同键,0)),IFERROR(TRIM(LEFT($D545,FIND("｜",$D545)-1)),$D545)))</f>
        <v/>
      </c>
      <c r="F545" s="30" t="str">
        <f aca="false">IF($D545="","",IFERROR(INDEX(合同项目,MATCH($D545,合同键,0)),IFERROR(TRIM(MID($D545,FIND("｜",$D545)+1,99)),"")))</f>
        <v/>
      </c>
      <c r="G545" s="24"/>
      <c r="H545" s="35" t="str">
        <f aca="false">IF($G545="","",IFERROR(INDEX(费用款别,MATCH($G545,费用类别表,0)),"合同外款"))</f>
        <v/>
      </c>
      <c r="I545" s="33"/>
      <c r="J545" s="33"/>
      <c r="K545" s="39"/>
      <c r="L545" s="33"/>
      <c r="M545" s="25"/>
      <c r="N545" s="39"/>
      <c r="O545" s="35" t="str">
        <f aca="false">IF($C545="","",IF(N($N545)&lt;=0,"未开票",IF(ROUND(N($N545)-N($K545),2)&gt;=0,"已开票",IFERROR("部分开票 "&amp;TEXT(N($N545)/N($K545),"0%"),"部分开票"))))</f>
        <v/>
      </c>
      <c r="P545" s="40" t="str">
        <f aca="false">IF($C545="","",ROUND($V545+MIN($W545,MAX(0,(SUMIF(收款键,$D545,收款金额)-SUMIFS(收款金额,收款键,$D545,收款关联,"&lt;&gt;"))-($X545-$W545))),2))</f>
        <v/>
      </c>
      <c r="Q545" s="41" t="str">
        <f aca="false">IF($C545="","",ROUND(N($K545)-N($P545),2))</f>
        <v/>
      </c>
      <c r="R545" s="29" t="str">
        <f aca="false">IF($C545="","",YEAR($C545))</f>
        <v/>
      </c>
      <c r="S545" s="24"/>
      <c r="T545" s="35" t="str">
        <f aca="false">IF($C545="","",IF($D545="","★没选客户项目",IF(COUNTIF(合同键,$D545)=0,"★《维保合同》里没这个项目",IF(N($K545)&lt;=0,"★应收金额要填",IF(ROUND(N($N545)-N($K545),2)&gt;0.001,"★开票金额大于应收",IF(AND($L545&lt;&gt;"",N($N545)&lt;=0),"★填了开票日期没填开票金额",IF(AND($I545&lt;&gt;"",$J545&lt;&gt;"",$J545&lt;$I545),"★计费期间起止反了","OK")))))))</f>
        <v/>
      </c>
      <c r="U545" s="29" t="str">
        <f aca="false">IF($L545="","",YEAR($L545))</f>
        <v/>
      </c>
      <c r="V545" s="40" t="str">
        <f aca="false">IF($C545="","",ROUND(SUMIF(收款关联,$B545,收款金额),2))</f>
        <v/>
      </c>
      <c r="W545" s="40" t="str">
        <f aca="false">IF($C545="","",MAX(0,ROUND(N($K545)-N($V545),2)))</f>
        <v/>
      </c>
      <c r="X545" s="40" t="str">
        <f aca="false">IF($C545="","",ROUND(SUMIFS(应收净额,应收键,$D545,应收行号,"&lt;="&amp;ROW()),2))</f>
        <v/>
      </c>
      <c r="Y545" s="29" t="str">
        <f aca="false">IF($C545="","",ROW())</f>
        <v/>
      </c>
    </row>
    <row r="546" customFormat="false" ht="15" hidden="false" customHeight="false" outlineLevel="0" collapsed="false">
      <c r="A546" s="29" t="str">
        <f aca="false">IF($C546="","",ROW()-4)</f>
        <v/>
      </c>
      <c r="B546" s="35" t="str">
        <f aca="false">IF($C546="","","YS"&amp;TEXT($C546,"yyyymm")&amp;"-"&amp;TEXT(ROW()-4,"0000"))</f>
        <v/>
      </c>
      <c r="C546" s="33"/>
      <c r="D546" s="24"/>
      <c r="E546" s="30" t="str">
        <f aca="false">IF($D546="","",IFERROR(INDEX(合同单位,MATCH($D546,合同键,0)),IFERROR(TRIM(LEFT($D546,FIND("｜",$D546)-1)),$D546)))</f>
        <v/>
      </c>
      <c r="F546" s="30" t="str">
        <f aca="false">IF($D546="","",IFERROR(INDEX(合同项目,MATCH($D546,合同键,0)),IFERROR(TRIM(MID($D546,FIND("｜",$D546)+1,99)),"")))</f>
        <v/>
      </c>
      <c r="G546" s="24"/>
      <c r="H546" s="35" t="str">
        <f aca="false">IF($G546="","",IFERROR(INDEX(费用款别,MATCH($G546,费用类别表,0)),"合同外款"))</f>
        <v/>
      </c>
      <c r="I546" s="33"/>
      <c r="J546" s="33"/>
      <c r="K546" s="39"/>
      <c r="L546" s="33"/>
      <c r="M546" s="25"/>
      <c r="N546" s="39"/>
      <c r="O546" s="35" t="str">
        <f aca="false">IF($C546="","",IF(N($N546)&lt;=0,"未开票",IF(ROUND(N($N546)-N($K546),2)&gt;=0,"已开票",IFERROR("部分开票 "&amp;TEXT(N($N546)/N($K546),"0%"),"部分开票"))))</f>
        <v/>
      </c>
      <c r="P546" s="40" t="str">
        <f aca="false">IF($C546="","",ROUND($V546+MIN($W546,MAX(0,(SUMIF(收款键,$D546,收款金额)-SUMIFS(收款金额,收款键,$D546,收款关联,"&lt;&gt;"))-($X546-$W546))),2))</f>
        <v/>
      </c>
      <c r="Q546" s="41" t="str">
        <f aca="false">IF($C546="","",ROUND(N($K546)-N($P546),2))</f>
        <v/>
      </c>
      <c r="R546" s="29" t="str">
        <f aca="false">IF($C546="","",YEAR($C546))</f>
        <v/>
      </c>
      <c r="S546" s="24"/>
      <c r="T546" s="35" t="str">
        <f aca="false">IF($C546="","",IF($D546="","★没选客户项目",IF(COUNTIF(合同键,$D546)=0,"★《维保合同》里没这个项目",IF(N($K546)&lt;=0,"★应收金额要填",IF(ROUND(N($N546)-N($K546),2)&gt;0.001,"★开票金额大于应收",IF(AND($L546&lt;&gt;"",N($N546)&lt;=0),"★填了开票日期没填开票金额",IF(AND($I546&lt;&gt;"",$J546&lt;&gt;"",$J546&lt;$I546),"★计费期间起止反了","OK")))))))</f>
        <v/>
      </c>
      <c r="U546" s="29" t="str">
        <f aca="false">IF($L546="","",YEAR($L546))</f>
        <v/>
      </c>
      <c r="V546" s="40" t="str">
        <f aca="false">IF($C546="","",ROUND(SUMIF(收款关联,$B546,收款金额),2))</f>
        <v/>
      </c>
      <c r="W546" s="40" t="str">
        <f aca="false">IF($C546="","",MAX(0,ROUND(N($K546)-N($V546),2)))</f>
        <v/>
      </c>
      <c r="X546" s="40" t="str">
        <f aca="false">IF($C546="","",ROUND(SUMIFS(应收净额,应收键,$D546,应收行号,"&lt;="&amp;ROW()),2))</f>
        <v/>
      </c>
      <c r="Y546" s="29" t="str">
        <f aca="false">IF($C546="","",ROW())</f>
        <v/>
      </c>
    </row>
    <row r="547" customFormat="false" ht="15" hidden="false" customHeight="false" outlineLevel="0" collapsed="false">
      <c r="A547" s="29" t="str">
        <f aca="false">IF($C547="","",ROW()-4)</f>
        <v/>
      </c>
      <c r="B547" s="35" t="str">
        <f aca="false">IF($C547="","","YS"&amp;TEXT($C547,"yyyymm")&amp;"-"&amp;TEXT(ROW()-4,"0000"))</f>
        <v/>
      </c>
      <c r="C547" s="33"/>
      <c r="D547" s="24"/>
      <c r="E547" s="30" t="str">
        <f aca="false">IF($D547="","",IFERROR(INDEX(合同单位,MATCH($D547,合同键,0)),IFERROR(TRIM(LEFT($D547,FIND("｜",$D547)-1)),$D547)))</f>
        <v/>
      </c>
      <c r="F547" s="30" t="str">
        <f aca="false">IF($D547="","",IFERROR(INDEX(合同项目,MATCH($D547,合同键,0)),IFERROR(TRIM(MID($D547,FIND("｜",$D547)+1,99)),"")))</f>
        <v/>
      </c>
      <c r="G547" s="24"/>
      <c r="H547" s="35" t="str">
        <f aca="false">IF($G547="","",IFERROR(INDEX(费用款别,MATCH($G547,费用类别表,0)),"合同外款"))</f>
        <v/>
      </c>
      <c r="I547" s="33"/>
      <c r="J547" s="33"/>
      <c r="K547" s="39"/>
      <c r="L547" s="33"/>
      <c r="M547" s="25"/>
      <c r="N547" s="39"/>
      <c r="O547" s="35" t="str">
        <f aca="false">IF($C547="","",IF(N($N547)&lt;=0,"未开票",IF(ROUND(N($N547)-N($K547),2)&gt;=0,"已开票",IFERROR("部分开票 "&amp;TEXT(N($N547)/N($K547),"0%"),"部分开票"))))</f>
        <v/>
      </c>
      <c r="P547" s="40" t="str">
        <f aca="false">IF($C547="","",ROUND($V547+MIN($W547,MAX(0,(SUMIF(收款键,$D547,收款金额)-SUMIFS(收款金额,收款键,$D547,收款关联,"&lt;&gt;"))-($X547-$W547))),2))</f>
        <v/>
      </c>
      <c r="Q547" s="41" t="str">
        <f aca="false">IF($C547="","",ROUND(N($K547)-N($P547),2))</f>
        <v/>
      </c>
      <c r="R547" s="29" t="str">
        <f aca="false">IF($C547="","",YEAR($C547))</f>
        <v/>
      </c>
      <c r="S547" s="24"/>
      <c r="T547" s="35" t="str">
        <f aca="false">IF($C547="","",IF($D547="","★没选客户项目",IF(COUNTIF(合同键,$D547)=0,"★《维保合同》里没这个项目",IF(N($K547)&lt;=0,"★应收金额要填",IF(ROUND(N($N547)-N($K547),2)&gt;0.001,"★开票金额大于应收",IF(AND($L547&lt;&gt;"",N($N547)&lt;=0),"★填了开票日期没填开票金额",IF(AND($I547&lt;&gt;"",$J547&lt;&gt;"",$J547&lt;$I547),"★计费期间起止反了","OK")))))))</f>
        <v/>
      </c>
      <c r="U547" s="29" t="str">
        <f aca="false">IF($L547="","",YEAR($L547))</f>
        <v/>
      </c>
      <c r="V547" s="40" t="str">
        <f aca="false">IF($C547="","",ROUND(SUMIF(收款关联,$B547,收款金额),2))</f>
        <v/>
      </c>
      <c r="W547" s="40" t="str">
        <f aca="false">IF($C547="","",MAX(0,ROUND(N($K547)-N($V547),2)))</f>
        <v/>
      </c>
      <c r="X547" s="40" t="str">
        <f aca="false">IF($C547="","",ROUND(SUMIFS(应收净额,应收键,$D547,应收行号,"&lt;="&amp;ROW()),2))</f>
        <v/>
      </c>
      <c r="Y547" s="29" t="str">
        <f aca="false">IF($C547="","",ROW())</f>
        <v/>
      </c>
    </row>
    <row r="548" customFormat="false" ht="15" hidden="false" customHeight="false" outlineLevel="0" collapsed="false">
      <c r="A548" s="29" t="str">
        <f aca="false">IF($C548="","",ROW()-4)</f>
        <v/>
      </c>
      <c r="B548" s="35" t="str">
        <f aca="false">IF($C548="","","YS"&amp;TEXT($C548,"yyyymm")&amp;"-"&amp;TEXT(ROW()-4,"0000"))</f>
        <v/>
      </c>
      <c r="C548" s="33"/>
      <c r="D548" s="24"/>
      <c r="E548" s="30" t="str">
        <f aca="false">IF($D548="","",IFERROR(INDEX(合同单位,MATCH($D548,合同键,0)),IFERROR(TRIM(LEFT($D548,FIND("｜",$D548)-1)),$D548)))</f>
        <v/>
      </c>
      <c r="F548" s="30" t="str">
        <f aca="false">IF($D548="","",IFERROR(INDEX(合同项目,MATCH($D548,合同键,0)),IFERROR(TRIM(MID($D548,FIND("｜",$D548)+1,99)),"")))</f>
        <v/>
      </c>
      <c r="G548" s="24"/>
      <c r="H548" s="35" t="str">
        <f aca="false">IF($G548="","",IFERROR(INDEX(费用款别,MATCH($G548,费用类别表,0)),"合同外款"))</f>
        <v/>
      </c>
      <c r="I548" s="33"/>
      <c r="J548" s="33"/>
      <c r="K548" s="39"/>
      <c r="L548" s="33"/>
      <c r="M548" s="25"/>
      <c r="N548" s="39"/>
      <c r="O548" s="35" t="str">
        <f aca="false">IF($C548="","",IF(N($N548)&lt;=0,"未开票",IF(ROUND(N($N548)-N($K548),2)&gt;=0,"已开票",IFERROR("部分开票 "&amp;TEXT(N($N548)/N($K548),"0%"),"部分开票"))))</f>
        <v/>
      </c>
      <c r="P548" s="40" t="str">
        <f aca="false">IF($C548="","",ROUND($V548+MIN($W548,MAX(0,(SUMIF(收款键,$D548,收款金额)-SUMIFS(收款金额,收款键,$D548,收款关联,"&lt;&gt;"))-($X548-$W548))),2))</f>
        <v/>
      </c>
      <c r="Q548" s="41" t="str">
        <f aca="false">IF($C548="","",ROUND(N($K548)-N($P548),2))</f>
        <v/>
      </c>
      <c r="R548" s="29" t="str">
        <f aca="false">IF($C548="","",YEAR($C548))</f>
        <v/>
      </c>
      <c r="S548" s="24"/>
      <c r="T548" s="35" t="str">
        <f aca="false">IF($C548="","",IF($D548="","★没选客户项目",IF(COUNTIF(合同键,$D548)=0,"★《维保合同》里没这个项目",IF(N($K548)&lt;=0,"★应收金额要填",IF(ROUND(N($N548)-N($K548),2)&gt;0.001,"★开票金额大于应收",IF(AND($L548&lt;&gt;"",N($N548)&lt;=0),"★填了开票日期没填开票金额",IF(AND($I548&lt;&gt;"",$J548&lt;&gt;"",$J548&lt;$I548),"★计费期间起止反了","OK")))))))</f>
        <v/>
      </c>
      <c r="U548" s="29" t="str">
        <f aca="false">IF($L548="","",YEAR($L548))</f>
        <v/>
      </c>
      <c r="V548" s="40" t="str">
        <f aca="false">IF($C548="","",ROUND(SUMIF(收款关联,$B548,收款金额),2))</f>
        <v/>
      </c>
      <c r="W548" s="40" t="str">
        <f aca="false">IF($C548="","",MAX(0,ROUND(N($K548)-N($V548),2)))</f>
        <v/>
      </c>
      <c r="X548" s="40" t="str">
        <f aca="false">IF($C548="","",ROUND(SUMIFS(应收净额,应收键,$D548,应收行号,"&lt;="&amp;ROW()),2))</f>
        <v/>
      </c>
      <c r="Y548" s="29" t="str">
        <f aca="false">IF($C548="","",ROW())</f>
        <v/>
      </c>
    </row>
    <row r="549" customFormat="false" ht="15" hidden="false" customHeight="false" outlineLevel="0" collapsed="false">
      <c r="A549" s="29" t="str">
        <f aca="false">IF($C549="","",ROW()-4)</f>
        <v/>
      </c>
      <c r="B549" s="35" t="str">
        <f aca="false">IF($C549="","","YS"&amp;TEXT($C549,"yyyymm")&amp;"-"&amp;TEXT(ROW()-4,"0000"))</f>
        <v/>
      </c>
      <c r="C549" s="33"/>
      <c r="D549" s="24"/>
      <c r="E549" s="30" t="str">
        <f aca="false">IF($D549="","",IFERROR(INDEX(合同单位,MATCH($D549,合同键,0)),IFERROR(TRIM(LEFT($D549,FIND("｜",$D549)-1)),$D549)))</f>
        <v/>
      </c>
      <c r="F549" s="30" t="str">
        <f aca="false">IF($D549="","",IFERROR(INDEX(合同项目,MATCH($D549,合同键,0)),IFERROR(TRIM(MID($D549,FIND("｜",$D549)+1,99)),"")))</f>
        <v/>
      </c>
      <c r="G549" s="24"/>
      <c r="H549" s="35" t="str">
        <f aca="false">IF($G549="","",IFERROR(INDEX(费用款别,MATCH($G549,费用类别表,0)),"合同外款"))</f>
        <v/>
      </c>
      <c r="I549" s="33"/>
      <c r="J549" s="33"/>
      <c r="K549" s="39"/>
      <c r="L549" s="33"/>
      <c r="M549" s="25"/>
      <c r="N549" s="39"/>
      <c r="O549" s="35" t="str">
        <f aca="false">IF($C549="","",IF(N($N549)&lt;=0,"未开票",IF(ROUND(N($N549)-N($K549),2)&gt;=0,"已开票",IFERROR("部分开票 "&amp;TEXT(N($N549)/N($K549),"0%"),"部分开票"))))</f>
        <v/>
      </c>
      <c r="P549" s="40" t="str">
        <f aca="false">IF($C549="","",ROUND($V549+MIN($W549,MAX(0,(SUMIF(收款键,$D549,收款金额)-SUMIFS(收款金额,收款键,$D549,收款关联,"&lt;&gt;"))-($X549-$W549))),2))</f>
        <v/>
      </c>
      <c r="Q549" s="41" t="str">
        <f aca="false">IF($C549="","",ROUND(N($K549)-N($P549),2))</f>
        <v/>
      </c>
      <c r="R549" s="29" t="str">
        <f aca="false">IF($C549="","",YEAR($C549))</f>
        <v/>
      </c>
      <c r="S549" s="24"/>
      <c r="T549" s="35" t="str">
        <f aca="false">IF($C549="","",IF($D549="","★没选客户项目",IF(COUNTIF(合同键,$D549)=0,"★《维保合同》里没这个项目",IF(N($K549)&lt;=0,"★应收金额要填",IF(ROUND(N($N549)-N($K549),2)&gt;0.001,"★开票金额大于应收",IF(AND($L549&lt;&gt;"",N($N549)&lt;=0),"★填了开票日期没填开票金额",IF(AND($I549&lt;&gt;"",$J549&lt;&gt;"",$J549&lt;$I549),"★计费期间起止反了","OK")))))))</f>
        <v/>
      </c>
      <c r="U549" s="29" t="str">
        <f aca="false">IF($L549="","",YEAR($L549))</f>
        <v/>
      </c>
      <c r="V549" s="40" t="str">
        <f aca="false">IF($C549="","",ROUND(SUMIF(收款关联,$B549,收款金额),2))</f>
        <v/>
      </c>
      <c r="W549" s="40" t="str">
        <f aca="false">IF($C549="","",MAX(0,ROUND(N($K549)-N($V549),2)))</f>
        <v/>
      </c>
      <c r="X549" s="40" t="str">
        <f aca="false">IF($C549="","",ROUND(SUMIFS(应收净额,应收键,$D549,应收行号,"&lt;="&amp;ROW()),2))</f>
        <v/>
      </c>
      <c r="Y549" s="29" t="str">
        <f aca="false">IF($C549="","",ROW())</f>
        <v/>
      </c>
    </row>
    <row r="550" customFormat="false" ht="15" hidden="false" customHeight="false" outlineLevel="0" collapsed="false">
      <c r="A550" s="29" t="str">
        <f aca="false">IF($C550="","",ROW()-4)</f>
        <v/>
      </c>
      <c r="B550" s="35" t="str">
        <f aca="false">IF($C550="","","YS"&amp;TEXT($C550,"yyyymm")&amp;"-"&amp;TEXT(ROW()-4,"0000"))</f>
        <v/>
      </c>
      <c r="C550" s="33"/>
      <c r="D550" s="24"/>
      <c r="E550" s="30" t="str">
        <f aca="false">IF($D550="","",IFERROR(INDEX(合同单位,MATCH($D550,合同键,0)),IFERROR(TRIM(LEFT($D550,FIND("｜",$D550)-1)),$D550)))</f>
        <v/>
      </c>
      <c r="F550" s="30" t="str">
        <f aca="false">IF($D550="","",IFERROR(INDEX(合同项目,MATCH($D550,合同键,0)),IFERROR(TRIM(MID($D550,FIND("｜",$D550)+1,99)),"")))</f>
        <v/>
      </c>
      <c r="G550" s="24"/>
      <c r="H550" s="35" t="str">
        <f aca="false">IF($G550="","",IFERROR(INDEX(费用款别,MATCH($G550,费用类别表,0)),"合同外款"))</f>
        <v/>
      </c>
      <c r="I550" s="33"/>
      <c r="J550" s="33"/>
      <c r="K550" s="39"/>
      <c r="L550" s="33"/>
      <c r="M550" s="25"/>
      <c r="N550" s="39"/>
      <c r="O550" s="35" t="str">
        <f aca="false">IF($C550="","",IF(N($N550)&lt;=0,"未开票",IF(ROUND(N($N550)-N($K550),2)&gt;=0,"已开票",IFERROR("部分开票 "&amp;TEXT(N($N550)/N($K550),"0%"),"部分开票"))))</f>
        <v/>
      </c>
      <c r="P550" s="40" t="str">
        <f aca="false">IF($C550="","",ROUND($V550+MIN($W550,MAX(0,(SUMIF(收款键,$D550,收款金额)-SUMIFS(收款金额,收款键,$D550,收款关联,"&lt;&gt;"))-($X550-$W550))),2))</f>
        <v/>
      </c>
      <c r="Q550" s="41" t="str">
        <f aca="false">IF($C550="","",ROUND(N($K550)-N($P550),2))</f>
        <v/>
      </c>
      <c r="R550" s="29" t="str">
        <f aca="false">IF($C550="","",YEAR($C550))</f>
        <v/>
      </c>
      <c r="S550" s="24"/>
      <c r="T550" s="35" t="str">
        <f aca="false">IF($C550="","",IF($D550="","★没选客户项目",IF(COUNTIF(合同键,$D550)=0,"★《维保合同》里没这个项目",IF(N($K550)&lt;=0,"★应收金额要填",IF(ROUND(N($N550)-N($K550),2)&gt;0.001,"★开票金额大于应收",IF(AND($L550&lt;&gt;"",N($N550)&lt;=0),"★填了开票日期没填开票金额",IF(AND($I550&lt;&gt;"",$J550&lt;&gt;"",$J550&lt;$I550),"★计费期间起止反了","OK")))))))</f>
        <v/>
      </c>
      <c r="U550" s="29" t="str">
        <f aca="false">IF($L550="","",YEAR($L550))</f>
        <v/>
      </c>
      <c r="V550" s="40" t="str">
        <f aca="false">IF($C550="","",ROUND(SUMIF(收款关联,$B550,收款金额),2))</f>
        <v/>
      </c>
      <c r="W550" s="40" t="str">
        <f aca="false">IF($C550="","",MAX(0,ROUND(N($K550)-N($V550),2)))</f>
        <v/>
      </c>
      <c r="X550" s="40" t="str">
        <f aca="false">IF($C550="","",ROUND(SUMIFS(应收净额,应收键,$D550,应收行号,"&lt;="&amp;ROW()),2))</f>
        <v/>
      </c>
      <c r="Y550" s="29" t="str">
        <f aca="false">IF($C550="","",ROW())</f>
        <v/>
      </c>
    </row>
    <row r="551" customFormat="false" ht="15" hidden="false" customHeight="false" outlineLevel="0" collapsed="false">
      <c r="A551" s="29" t="str">
        <f aca="false">IF($C551="","",ROW()-4)</f>
        <v/>
      </c>
      <c r="B551" s="35" t="str">
        <f aca="false">IF($C551="","","YS"&amp;TEXT($C551,"yyyymm")&amp;"-"&amp;TEXT(ROW()-4,"0000"))</f>
        <v/>
      </c>
      <c r="C551" s="33"/>
      <c r="D551" s="24"/>
      <c r="E551" s="30" t="str">
        <f aca="false">IF($D551="","",IFERROR(INDEX(合同单位,MATCH($D551,合同键,0)),IFERROR(TRIM(LEFT($D551,FIND("｜",$D551)-1)),$D551)))</f>
        <v/>
      </c>
      <c r="F551" s="30" t="str">
        <f aca="false">IF($D551="","",IFERROR(INDEX(合同项目,MATCH($D551,合同键,0)),IFERROR(TRIM(MID($D551,FIND("｜",$D551)+1,99)),"")))</f>
        <v/>
      </c>
      <c r="G551" s="24"/>
      <c r="H551" s="35" t="str">
        <f aca="false">IF($G551="","",IFERROR(INDEX(费用款别,MATCH($G551,费用类别表,0)),"合同外款"))</f>
        <v/>
      </c>
      <c r="I551" s="33"/>
      <c r="J551" s="33"/>
      <c r="K551" s="39"/>
      <c r="L551" s="33"/>
      <c r="M551" s="25"/>
      <c r="N551" s="39"/>
      <c r="O551" s="35" t="str">
        <f aca="false">IF($C551="","",IF(N($N551)&lt;=0,"未开票",IF(ROUND(N($N551)-N($K551),2)&gt;=0,"已开票",IFERROR("部分开票 "&amp;TEXT(N($N551)/N($K551),"0%"),"部分开票"))))</f>
        <v/>
      </c>
      <c r="P551" s="40" t="str">
        <f aca="false">IF($C551="","",ROUND($V551+MIN($W551,MAX(0,(SUMIF(收款键,$D551,收款金额)-SUMIFS(收款金额,收款键,$D551,收款关联,"&lt;&gt;"))-($X551-$W551))),2))</f>
        <v/>
      </c>
      <c r="Q551" s="41" t="str">
        <f aca="false">IF($C551="","",ROUND(N($K551)-N($P551),2))</f>
        <v/>
      </c>
      <c r="R551" s="29" t="str">
        <f aca="false">IF($C551="","",YEAR($C551))</f>
        <v/>
      </c>
      <c r="S551" s="24"/>
      <c r="T551" s="35" t="str">
        <f aca="false">IF($C551="","",IF($D551="","★没选客户项目",IF(COUNTIF(合同键,$D551)=0,"★《维保合同》里没这个项目",IF(N($K551)&lt;=0,"★应收金额要填",IF(ROUND(N($N551)-N($K551),2)&gt;0.001,"★开票金额大于应收",IF(AND($L551&lt;&gt;"",N($N551)&lt;=0),"★填了开票日期没填开票金额",IF(AND($I551&lt;&gt;"",$J551&lt;&gt;"",$J551&lt;$I551),"★计费期间起止反了","OK")))))))</f>
        <v/>
      </c>
      <c r="U551" s="29" t="str">
        <f aca="false">IF($L551="","",YEAR($L551))</f>
        <v/>
      </c>
      <c r="V551" s="40" t="str">
        <f aca="false">IF($C551="","",ROUND(SUMIF(收款关联,$B551,收款金额),2))</f>
        <v/>
      </c>
      <c r="W551" s="40" t="str">
        <f aca="false">IF($C551="","",MAX(0,ROUND(N($K551)-N($V551),2)))</f>
        <v/>
      </c>
      <c r="X551" s="40" t="str">
        <f aca="false">IF($C551="","",ROUND(SUMIFS(应收净额,应收键,$D551,应收行号,"&lt;="&amp;ROW()),2))</f>
        <v/>
      </c>
      <c r="Y551" s="29" t="str">
        <f aca="false">IF($C551="","",ROW())</f>
        <v/>
      </c>
    </row>
    <row r="552" customFormat="false" ht="15" hidden="false" customHeight="false" outlineLevel="0" collapsed="false">
      <c r="A552" s="29" t="str">
        <f aca="false">IF($C552="","",ROW()-4)</f>
        <v/>
      </c>
      <c r="B552" s="35" t="str">
        <f aca="false">IF($C552="","","YS"&amp;TEXT($C552,"yyyymm")&amp;"-"&amp;TEXT(ROW()-4,"0000"))</f>
        <v/>
      </c>
      <c r="C552" s="33"/>
      <c r="D552" s="24"/>
      <c r="E552" s="30" t="str">
        <f aca="false">IF($D552="","",IFERROR(INDEX(合同单位,MATCH($D552,合同键,0)),IFERROR(TRIM(LEFT($D552,FIND("｜",$D552)-1)),$D552)))</f>
        <v/>
      </c>
      <c r="F552" s="30" t="str">
        <f aca="false">IF($D552="","",IFERROR(INDEX(合同项目,MATCH($D552,合同键,0)),IFERROR(TRIM(MID($D552,FIND("｜",$D552)+1,99)),"")))</f>
        <v/>
      </c>
      <c r="G552" s="24"/>
      <c r="H552" s="35" t="str">
        <f aca="false">IF($G552="","",IFERROR(INDEX(费用款别,MATCH($G552,费用类别表,0)),"合同外款"))</f>
        <v/>
      </c>
      <c r="I552" s="33"/>
      <c r="J552" s="33"/>
      <c r="K552" s="39"/>
      <c r="L552" s="33"/>
      <c r="M552" s="25"/>
      <c r="N552" s="39"/>
      <c r="O552" s="35" t="str">
        <f aca="false">IF($C552="","",IF(N($N552)&lt;=0,"未开票",IF(ROUND(N($N552)-N($K552),2)&gt;=0,"已开票",IFERROR("部分开票 "&amp;TEXT(N($N552)/N($K552),"0%"),"部分开票"))))</f>
        <v/>
      </c>
      <c r="P552" s="40" t="str">
        <f aca="false">IF($C552="","",ROUND($V552+MIN($W552,MAX(0,(SUMIF(收款键,$D552,收款金额)-SUMIFS(收款金额,收款键,$D552,收款关联,"&lt;&gt;"))-($X552-$W552))),2))</f>
        <v/>
      </c>
      <c r="Q552" s="41" t="str">
        <f aca="false">IF($C552="","",ROUND(N($K552)-N($P552),2))</f>
        <v/>
      </c>
      <c r="R552" s="29" t="str">
        <f aca="false">IF($C552="","",YEAR($C552))</f>
        <v/>
      </c>
      <c r="S552" s="24"/>
      <c r="T552" s="35" t="str">
        <f aca="false">IF($C552="","",IF($D552="","★没选客户项目",IF(COUNTIF(合同键,$D552)=0,"★《维保合同》里没这个项目",IF(N($K552)&lt;=0,"★应收金额要填",IF(ROUND(N($N552)-N($K552),2)&gt;0.001,"★开票金额大于应收",IF(AND($L552&lt;&gt;"",N($N552)&lt;=0),"★填了开票日期没填开票金额",IF(AND($I552&lt;&gt;"",$J552&lt;&gt;"",$J552&lt;$I552),"★计费期间起止反了","OK")))))))</f>
        <v/>
      </c>
      <c r="U552" s="29" t="str">
        <f aca="false">IF($L552="","",YEAR($L552))</f>
        <v/>
      </c>
      <c r="V552" s="40" t="str">
        <f aca="false">IF($C552="","",ROUND(SUMIF(收款关联,$B552,收款金额),2))</f>
        <v/>
      </c>
      <c r="W552" s="40" t="str">
        <f aca="false">IF($C552="","",MAX(0,ROUND(N($K552)-N($V552),2)))</f>
        <v/>
      </c>
      <c r="X552" s="40" t="str">
        <f aca="false">IF($C552="","",ROUND(SUMIFS(应收净额,应收键,$D552,应收行号,"&lt;="&amp;ROW()),2))</f>
        <v/>
      </c>
      <c r="Y552" s="29" t="str">
        <f aca="false">IF($C552="","",ROW())</f>
        <v/>
      </c>
    </row>
    <row r="553" customFormat="false" ht="15" hidden="false" customHeight="false" outlineLevel="0" collapsed="false">
      <c r="A553" s="29" t="str">
        <f aca="false">IF($C553="","",ROW()-4)</f>
        <v/>
      </c>
      <c r="B553" s="35" t="str">
        <f aca="false">IF($C553="","","YS"&amp;TEXT($C553,"yyyymm")&amp;"-"&amp;TEXT(ROW()-4,"0000"))</f>
        <v/>
      </c>
      <c r="C553" s="33"/>
      <c r="D553" s="24"/>
      <c r="E553" s="30" t="str">
        <f aca="false">IF($D553="","",IFERROR(INDEX(合同单位,MATCH($D553,合同键,0)),IFERROR(TRIM(LEFT($D553,FIND("｜",$D553)-1)),$D553)))</f>
        <v/>
      </c>
      <c r="F553" s="30" t="str">
        <f aca="false">IF($D553="","",IFERROR(INDEX(合同项目,MATCH($D553,合同键,0)),IFERROR(TRIM(MID($D553,FIND("｜",$D553)+1,99)),"")))</f>
        <v/>
      </c>
      <c r="G553" s="24"/>
      <c r="H553" s="35" t="str">
        <f aca="false">IF($G553="","",IFERROR(INDEX(费用款别,MATCH($G553,费用类别表,0)),"合同外款"))</f>
        <v/>
      </c>
      <c r="I553" s="33"/>
      <c r="J553" s="33"/>
      <c r="K553" s="39"/>
      <c r="L553" s="33"/>
      <c r="M553" s="25"/>
      <c r="N553" s="39"/>
      <c r="O553" s="35" t="str">
        <f aca="false">IF($C553="","",IF(N($N553)&lt;=0,"未开票",IF(ROUND(N($N553)-N($K553),2)&gt;=0,"已开票",IFERROR("部分开票 "&amp;TEXT(N($N553)/N($K553),"0%"),"部分开票"))))</f>
        <v/>
      </c>
      <c r="P553" s="40" t="str">
        <f aca="false">IF($C553="","",ROUND($V553+MIN($W553,MAX(0,(SUMIF(收款键,$D553,收款金额)-SUMIFS(收款金额,收款键,$D553,收款关联,"&lt;&gt;"))-($X553-$W553))),2))</f>
        <v/>
      </c>
      <c r="Q553" s="41" t="str">
        <f aca="false">IF($C553="","",ROUND(N($K553)-N($P553),2))</f>
        <v/>
      </c>
      <c r="R553" s="29" t="str">
        <f aca="false">IF($C553="","",YEAR($C553))</f>
        <v/>
      </c>
      <c r="S553" s="24"/>
      <c r="T553" s="35" t="str">
        <f aca="false">IF($C553="","",IF($D553="","★没选客户项目",IF(COUNTIF(合同键,$D553)=0,"★《维保合同》里没这个项目",IF(N($K553)&lt;=0,"★应收金额要填",IF(ROUND(N($N553)-N($K553),2)&gt;0.001,"★开票金额大于应收",IF(AND($L553&lt;&gt;"",N($N553)&lt;=0),"★填了开票日期没填开票金额",IF(AND($I553&lt;&gt;"",$J553&lt;&gt;"",$J553&lt;$I553),"★计费期间起止反了","OK")))))))</f>
        <v/>
      </c>
      <c r="U553" s="29" t="str">
        <f aca="false">IF($L553="","",YEAR($L553))</f>
        <v/>
      </c>
      <c r="V553" s="40" t="str">
        <f aca="false">IF($C553="","",ROUND(SUMIF(收款关联,$B553,收款金额),2))</f>
        <v/>
      </c>
      <c r="W553" s="40" t="str">
        <f aca="false">IF($C553="","",MAX(0,ROUND(N($K553)-N($V553),2)))</f>
        <v/>
      </c>
      <c r="X553" s="40" t="str">
        <f aca="false">IF($C553="","",ROUND(SUMIFS(应收净额,应收键,$D553,应收行号,"&lt;="&amp;ROW()),2))</f>
        <v/>
      </c>
      <c r="Y553" s="29" t="str">
        <f aca="false">IF($C553="","",ROW())</f>
        <v/>
      </c>
    </row>
    <row r="554" customFormat="false" ht="15" hidden="false" customHeight="false" outlineLevel="0" collapsed="false">
      <c r="A554" s="29" t="str">
        <f aca="false">IF($C554="","",ROW()-4)</f>
        <v/>
      </c>
      <c r="B554" s="35" t="str">
        <f aca="false">IF($C554="","","YS"&amp;TEXT($C554,"yyyymm")&amp;"-"&amp;TEXT(ROW()-4,"0000"))</f>
        <v/>
      </c>
      <c r="C554" s="33"/>
      <c r="D554" s="24"/>
      <c r="E554" s="30" t="str">
        <f aca="false">IF($D554="","",IFERROR(INDEX(合同单位,MATCH($D554,合同键,0)),IFERROR(TRIM(LEFT($D554,FIND("｜",$D554)-1)),$D554)))</f>
        <v/>
      </c>
      <c r="F554" s="30" t="str">
        <f aca="false">IF($D554="","",IFERROR(INDEX(合同项目,MATCH($D554,合同键,0)),IFERROR(TRIM(MID($D554,FIND("｜",$D554)+1,99)),"")))</f>
        <v/>
      </c>
      <c r="G554" s="24"/>
      <c r="H554" s="35" t="str">
        <f aca="false">IF($G554="","",IFERROR(INDEX(费用款别,MATCH($G554,费用类别表,0)),"合同外款"))</f>
        <v/>
      </c>
      <c r="I554" s="33"/>
      <c r="J554" s="33"/>
      <c r="K554" s="39"/>
      <c r="L554" s="33"/>
      <c r="M554" s="25"/>
      <c r="N554" s="39"/>
      <c r="O554" s="35" t="str">
        <f aca="false">IF($C554="","",IF(N($N554)&lt;=0,"未开票",IF(ROUND(N($N554)-N($K554),2)&gt;=0,"已开票",IFERROR("部分开票 "&amp;TEXT(N($N554)/N($K554),"0%"),"部分开票"))))</f>
        <v/>
      </c>
      <c r="P554" s="40" t="str">
        <f aca="false">IF($C554="","",ROUND($V554+MIN($W554,MAX(0,(SUMIF(收款键,$D554,收款金额)-SUMIFS(收款金额,收款键,$D554,收款关联,"&lt;&gt;"))-($X554-$W554))),2))</f>
        <v/>
      </c>
      <c r="Q554" s="41" t="str">
        <f aca="false">IF($C554="","",ROUND(N($K554)-N($P554),2))</f>
        <v/>
      </c>
      <c r="R554" s="29" t="str">
        <f aca="false">IF($C554="","",YEAR($C554))</f>
        <v/>
      </c>
      <c r="S554" s="24"/>
      <c r="T554" s="35" t="str">
        <f aca="false">IF($C554="","",IF($D554="","★没选客户项目",IF(COUNTIF(合同键,$D554)=0,"★《维保合同》里没这个项目",IF(N($K554)&lt;=0,"★应收金额要填",IF(ROUND(N($N554)-N($K554),2)&gt;0.001,"★开票金额大于应收",IF(AND($L554&lt;&gt;"",N($N554)&lt;=0),"★填了开票日期没填开票金额",IF(AND($I554&lt;&gt;"",$J554&lt;&gt;"",$J554&lt;$I554),"★计费期间起止反了","OK")))))))</f>
        <v/>
      </c>
      <c r="U554" s="29" t="str">
        <f aca="false">IF($L554="","",YEAR($L554))</f>
        <v/>
      </c>
      <c r="V554" s="40" t="str">
        <f aca="false">IF($C554="","",ROUND(SUMIF(收款关联,$B554,收款金额),2))</f>
        <v/>
      </c>
      <c r="W554" s="40" t="str">
        <f aca="false">IF($C554="","",MAX(0,ROUND(N($K554)-N($V554),2)))</f>
        <v/>
      </c>
      <c r="X554" s="40" t="str">
        <f aca="false">IF($C554="","",ROUND(SUMIFS(应收净额,应收键,$D554,应收行号,"&lt;="&amp;ROW()),2))</f>
        <v/>
      </c>
      <c r="Y554" s="29" t="str">
        <f aca="false">IF($C554="","",ROW())</f>
        <v/>
      </c>
    </row>
    <row r="555" customFormat="false" ht="15" hidden="false" customHeight="false" outlineLevel="0" collapsed="false">
      <c r="A555" s="29" t="str">
        <f aca="false">IF($C555="","",ROW()-4)</f>
        <v/>
      </c>
      <c r="B555" s="35" t="str">
        <f aca="false">IF($C555="","","YS"&amp;TEXT($C555,"yyyymm")&amp;"-"&amp;TEXT(ROW()-4,"0000"))</f>
        <v/>
      </c>
      <c r="C555" s="33"/>
      <c r="D555" s="24"/>
      <c r="E555" s="30" t="str">
        <f aca="false">IF($D555="","",IFERROR(INDEX(合同单位,MATCH($D555,合同键,0)),IFERROR(TRIM(LEFT($D555,FIND("｜",$D555)-1)),$D555)))</f>
        <v/>
      </c>
      <c r="F555" s="30" t="str">
        <f aca="false">IF($D555="","",IFERROR(INDEX(合同项目,MATCH($D555,合同键,0)),IFERROR(TRIM(MID($D555,FIND("｜",$D555)+1,99)),"")))</f>
        <v/>
      </c>
      <c r="G555" s="24"/>
      <c r="H555" s="35" t="str">
        <f aca="false">IF($G555="","",IFERROR(INDEX(费用款别,MATCH($G555,费用类别表,0)),"合同外款"))</f>
        <v/>
      </c>
      <c r="I555" s="33"/>
      <c r="J555" s="33"/>
      <c r="K555" s="39"/>
      <c r="L555" s="33"/>
      <c r="M555" s="25"/>
      <c r="N555" s="39"/>
      <c r="O555" s="35" t="str">
        <f aca="false">IF($C555="","",IF(N($N555)&lt;=0,"未开票",IF(ROUND(N($N555)-N($K555),2)&gt;=0,"已开票",IFERROR("部分开票 "&amp;TEXT(N($N555)/N($K555),"0%"),"部分开票"))))</f>
        <v/>
      </c>
      <c r="P555" s="40" t="str">
        <f aca="false">IF($C555="","",ROUND($V555+MIN($W555,MAX(0,(SUMIF(收款键,$D555,收款金额)-SUMIFS(收款金额,收款键,$D555,收款关联,"&lt;&gt;"))-($X555-$W555))),2))</f>
        <v/>
      </c>
      <c r="Q555" s="41" t="str">
        <f aca="false">IF($C555="","",ROUND(N($K555)-N($P555),2))</f>
        <v/>
      </c>
      <c r="R555" s="29" t="str">
        <f aca="false">IF($C555="","",YEAR($C555))</f>
        <v/>
      </c>
      <c r="S555" s="24"/>
      <c r="T555" s="35" t="str">
        <f aca="false">IF($C555="","",IF($D555="","★没选客户项目",IF(COUNTIF(合同键,$D555)=0,"★《维保合同》里没这个项目",IF(N($K555)&lt;=0,"★应收金额要填",IF(ROUND(N($N555)-N($K555),2)&gt;0.001,"★开票金额大于应收",IF(AND($L555&lt;&gt;"",N($N555)&lt;=0),"★填了开票日期没填开票金额",IF(AND($I555&lt;&gt;"",$J555&lt;&gt;"",$J555&lt;$I555),"★计费期间起止反了","OK")))))))</f>
        <v/>
      </c>
      <c r="U555" s="29" t="str">
        <f aca="false">IF($L555="","",YEAR($L555))</f>
        <v/>
      </c>
      <c r="V555" s="40" t="str">
        <f aca="false">IF($C555="","",ROUND(SUMIF(收款关联,$B555,收款金额),2))</f>
        <v/>
      </c>
      <c r="W555" s="40" t="str">
        <f aca="false">IF($C555="","",MAX(0,ROUND(N($K555)-N($V555),2)))</f>
        <v/>
      </c>
      <c r="X555" s="40" t="str">
        <f aca="false">IF($C555="","",ROUND(SUMIFS(应收净额,应收键,$D555,应收行号,"&lt;="&amp;ROW()),2))</f>
        <v/>
      </c>
      <c r="Y555" s="29" t="str">
        <f aca="false">IF($C555="","",ROW())</f>
        <v/>
      </c>
    </row>
    <row r="556" customFormat="false" ht="15" hidden="false" customHeight="false" outlineLevel="0" collapsed="false">
      <c r="A556" s="29" t="str">
        <f aca="false">IF($C556="","",ROW()-4)</f>
        <v/>
      </c>
      <c r="B556" s="35" t="str">
        <f aca="false">IF($C556="","","YS"&amp;TEXT($C556,"yyyymm")&amp;"-"&amp;TEXT(ROW()-4,"0000"))</f>
        <v/>
      </c>
      <c r="C556" s="33"/>
      <c r="D556" s="24"/>
      <c r="E556" s="30" t="str">
        <f aca="false">IF($D556="","",IFERROR(INDEX(合同单位,MATCH($D556,合同键,0)),IFERROR(TRIM(LEFT($D556,FIND("｜",$D556)-1)),$D556)))</f>
        <v/>
      </c>
      <c r="F556" s="30" t="str">
        <f aca="false">IF($D556="","",IFERROR(INDEX(合同项目,MATCH($D556,合同键,0)),IFERROR(TRIM(MID($D556,FIND("｜",$D556)+1,99)),"")))</f>
        <v/>
      </c>
      <c r="G556" s="24"/>
      <c r="H556" s="35" t="str">
        <f aca="false">IF($G556="","",IFERROR(INDEX(费用款别,MATCH($G556,费用类别表,0)),"合同外款"))</f>
        <v/>
      </c>
      <c r="I556" s="33"/>
      <c r="J556" s="33"/>
      <c r="K556" s="39"/>
      <c r="L556" s="33"/>
      <c r="M556" s="25"/>
      <c r="N556" s="39"/>
      <c r="O556" s="35" t="str">
        <f aca="false">IF($C556="","",IF(N($N556)&lt;=0,"未开票",IF(ROUND(N($N556)-N($K556),2)&gt;=0,"已开票",IFERROR("部分开票 "&amp;TEXT(N($N556)/N($K556),"0%"),"部分开票"))))</f>
        <v/>
      </c>
      <c r="P556" s="40" t="str">
        <f aca="false">IF($C556="","",ROUND($V556+MIN($W556,MAX(0,(SUMIF(收款键,$D556,收款金额)-SUMIFS(收款金额,收款键,$D556,收款关联,"&lt;&gt;"))-($X556-$W556))),2))</f>
        <v/>
      </c>
      <c r="Q556" s="41" t="str">
        <f aca="false">IF($C556="","",ROUND(N($K556)-N($P556),2))</f>
        <v/>
      </c>
      <c r="R556" s="29" t="str">
        <f aca="false">IF($C556="","",YEAR($C556))</f>
        <v/>
      </c>
      <c r="S556" s="24"/>
      <c r="T556" s="35" t="str">
        <f aca="false">IF($C556="","",IF($D556="","★没选客户项目",IF(COUNTIF(合同键,$D556)=0,"★《维保合同》里没这个项目",IF(N($K556)&lt;=0,"★应收金额要填",IF(ROUND(N($N556)-N($K556),2)&gt;0.001,"★开票金额大于应收",IF(AND($L556&lt;&gt;"",N($N556)&lt;=0),"★填了开票日期没填开票金额",IF(AND($I556&lt;&gt;"",$J556&lt;&gt;"",$J556&lt;$I556),"★计费期间起止反了","OK")))))))</f>
        <v/>
      </c>
      <c r="U556" s="29" t="str">
        <f aca="false">IF($L556="","",YEAR($L556))</f>
        <v/>
      </c>
      <c r="V556" s="40" t="str">
        <f aca="false">IF($C556="","",ROUND(SUMIF(收款关联,$B556,收款金额),2))</f>
        <v/>
      </c>
      <c r="W556" s="40" t="str">
        <f aca="false">IF($C556="","",MAX(0,ROUND(N($K556)-N($V556),2)))</f>
        <v/>
      </c>
      <c r="X556" s="40" t="str">
        <f aca="false">IF($C556="","",ROUND(SUMIFS(应收净额,应收键,$D556,应收行号,"&lt;="&amp;ROW()),2))</f>
        <v/>
      </c>
      <c r="Y556" s="29" t="str">
        <f aca="false">IF($C556="","",ROW())</f>
        <v/>
      </c>
    </row>
    <row r="557" customFormat="false" ht="15" hidden="false" customHeight="false" outlineLevel="0" collapsed="false">
      <c r="A557" s="29" t="str">
        <f aca="false">IF($C557="","",ROW()-4)</f>
        <v/>
      </c>
      <c r="B557" s="35" t="str">
        <f aca="false">IF($C557="","","YS"&amp;TEXT($C557,"yyyymm")&amp;"-"&amp;TEXT(ROW()-4,"0000"))</f>
        <v/>
      </c>
      <c r="C557" s="33"/>
      <c r="D557" s="24"/>
      <c r="E557" s="30" t="str">
        <f aca="false">IF($D557="","",IFERROR(INDEX(合同单位,MATCH($D557,合同键,0)),IFERROR(TRIM(LEFT($D557,FIND("｜",$D557)-1)),$D557)))</f>
        <v/>
      </c>
      <c r="F557" s="30" t="str">
        <f aca="false">IF($D557="","",IFERROR(INDEX(合同项目,MATCH($D557,合同键,0)),IFERROR(TRIM(MID($D557,FIND("｜",$D557)+1,99)),"")))</f>
        <v/>
      </c>
      <c r="G557" s="24"/>
      <c r="H557" s="35" t="str">
        <f aca="false">IF($G557="","",IFERROR(INDEX(费用款别,MATCH($G557,费用类别表,0)),"合同外款"))</f>
        <v/>
      </c>
      <c r="I557" s="33"/>
      <c r="J557" s="33"/>
      <c r="K557" s="39"/>
      <c r="L557" s="33"/>
      <c r="M557" s="25"/>
      <c r="N557" s="39"/>
      <c r="O557" s="35" t="str">
        <f aca="false">IF($C557="","",IF(N($N557)&lt;=0,"未开票",IF(ROUND(N($N557)-N($K557),2)&gt;=0,"已开票",IFERROR("部分开票 "&amp;TEXT(N($N557)/N($K557),"0%"),"部分开票"))))</f>
        <v/>
      </c>
      <c r="P557" s="40" t="str">
        <f aca="false">IF($C557="","",ROUND($V557+MIN($W557,MAX(0,(SUMIF(收款键,$D557,收款金额)-SUMIFS(收款金额,收款键,$D557,收款关联,"&lt;&gt;"))-($X557-$W557))),2))</f>
        <v/>
      </c>
      <c r="Q557" s="41" t="str">
        <f aca="false">IF($C557="","",ROUND(N($K557)-N($P557),2))</f>
        <v/>
      </c>
      <c r="R557" s="29" t="str">
        <f aca="false">IF($C557="","",YEAR($C557))</f>
        <v/>
      </c>
      <c r="S557" s="24"/>
      <c r="T557" s="35" t="str">
        <f aca="false">IF($C557="","",IF($D557="","★没选客户项目",IF(COUNTIF(合同键,$D557)=0,"★《维保合同》里没这个项目",IF(N($K557)&lt;=0,"★应收金额要填",IF(ROUND(N($N557)-N($K557),2)&gt;0.001,"★开票金额大于应收",IF(AND($L557&lt;&gt;"",N($N557)&lt;=0),"★填了开票日期没填开票金额",IF(AND($I557&lt;&gt;"",$J557&lt;&gt;"",$J557&lt;$I557),"★计费期间起止反了","OK")))))))</f>
        <v/>
      </c>
      <c r="U557" s="29" t="str">
        <f aca="false">IF($L557="","",YEAR($L557))</f>
        <v/>
      </c>
      <c r="V557" s="40" t="str">
        <f aca="false">IF($C557="","",ROUND(SUMIF(收款关联,$B557,收款金额),2))</f>
        <v/>
      </c>
      <c r="W557" s="40" t="str">
        <f aca="false">IF($C557="","",MAX(0,ROUND(N($K557)-N($V557),2)))</f>
        <v/>
      </c>
      <c r="X557" s="40" t="str">
        <f aca="false">IF($C557="","",ROUND(SUMIFS(应收净额,应收键,$D557,应收行号,"&lt;="&amp;ROW()),2))</f>
        <v/>
      </c>
      <c r="Y557" s="29" t="str">
        <f aca="false">IF($C557="","",ROW())</f>
        <v/>
      </c>
    </row>
    <row r="558" customFormat="false" ht="15" hidden="false" customHeight="false" outlineLevel="0" collapsed="false">
      <c r="A558" s="29" t="str">
        <f aca="false">IF($C558="","",ROW()-4)</f>
        <v/>
      </c>
      <c r="B558" s="35" t="str">
        <f aca="false">IF($C558="","","YS"&amp;TEXT($C558,"yyyymm")&amp;"-"&amp;TEXT(ROW()-4,"0000"))</f>
        <v/>
      </c>
      <c r="C558" s="33"/>
      <c r="D558" s="24"/>
      <c r="E558" s="30" t="str">
        <f aca="false">IF($D558="","",IFERROR(INDEX(合同单位,MATCH($D558,合同键,0)),IFERROR(TRIM(LEFT($D558,FIND("｜",$D558)-1)),$D558)))</f>
        <v/>
      </c>
      <c r="F558" s="30" t="str">
        <f aca="false">IF($D558="","",IFERROR(INDEX(合同项目,MATCH($D558,合同键,0)),IFERROR(TRIM(MID($D558,FIND("｜",$D558)+1,99)),"")))</f>
        <v/>
      </c>
      <c r="G558" s="24"/>
      <c r="H558" s="35" t="str">
        <f aca="false">IF($G558="","",IFERROR(INDEX(费用款别,MATCH($G558,费用类别表,0)),"合同外款"))</f>
        <v/>
      </c>
      <c r="I558" s="33"/>
      <c r="J558" s="33"/>
      <c r="K558" s="39"/>
      <c r="L558" s="33"/>
      <c r="M558" s="25"/>
      <c r="N558" s="39"/>
      <c r="O558" s="35" t="str">
        <f aca="false">IF($C558="","",IF(N($N558)&lt;=0,"未开票",IF(ROUND(N($N558)-N($K558),2)&gt;=0,"已开票",IFERROR("部分开票 "&amp;TEXT(N($N558)/N($K558),"0%"),"部分开票"))))</f>
        <v/>
      </c>
      <c r="P558" s="40" t="str">
        <f aca="false">IF($C558="","",ROUND($V558+MIN($W558,MAX(0,(SUMIF(收款键,$D558,收款金额)-SUMIFS(收款金额,收款键,$D558,收款关联,"&lt;&gt;"))-($X558-$W558))),2))</f>
        <v/>
      </c>
      <c r="Q558" s="41" t="str">
        <f aca="false">IF($C558="","",ROUND(N($K558)-N($P558),2))</f>
        <v/>
      </c>
      <c r="R558" s="29" t="str">
        <f aca="false">IF($C558="","",YEAR($C558))</f>
        <v/>
      </c>
      <c r="S558" s="24"/>
      <c r="T558" s="35" t="str">
        <f aca="false">IF($C558="","",IF($D558="","★没选客户项目",IF(COUNTIF(合同键,$D558)=0,"★《维保合同》里没这个项目",IF(N($K558)&lt;=0,"★应收金额要填",IF(ROUND(N($N558)-N($K558),2)&gt;0.001,"★开票金额大于应收",IF(AND($L558&lt;&gt;"",N($N558)&lt;=0),"★填了开票日期没填开票金额",IF(AND($I558&lt;&gt;"",$J558&lt;&gt;"",$J558&lt;$I558),"★计费期间起止反了","OK")))))))</f>
        <v/>
      </c>
      <c r="U558" s="29" t="str">
        <f aca="false">IF($L558="","",YEAR($L558))</f>
        <v/>
      </c>
      <c r="V558" s="40" t="str">
        <f aca="false">IF($C558="","",ROUND(SUMIF(收款关联,$B558,收款金额),2))</f>
        <v/>
      </c>
      <c r="W558" s="40" t="str">
        <f aca="false">IF($C558="","",MAX(0,ROUND(N($K558)-N($V558),2)))</f>
        <v/>
      </c>
      <c r="X558" s="40" t="str">
        <f aca="false">IF($C558="","",ROUND(SUMIFS(应收净额,应收键,$D558,应收行号,"&lt;="&amp;ROW()),2))</f>
        <v/>
      </c>
      <c r="Y558" s="29" t="str">
        <f aca="false">IF($C558="","",ROW())</f>
        <v/>
      </c>
    </row>
    <row r="559" customFormat="false" ht="15" hidden="false" customHeight="false" outlineLevel="0" collapsed="false">
      <c r="A559" s="29" t="str">
        <f aca="false">IF($C559="","",ROW()-4)</f>
        <v/>
      </c>
      <c r="B559" s="35" t="str">
        <f aca="false">IF($C559="","","YS"&amp;TEXT($C559,"yyyymm")&amp;"-"&amp;TEXT(ROW()-4,"0000"))</f>
        <v/>
      </c>
      <c r="C559" s="33"/>
      <c r="D559" s="24"/>
      <c r="E559" s="30" t="str">
        <f aca="false">IF($D559="","",IFERROR(INDEX(合同单位,MATCH($D559,合同键,0)),IFERROR(TRIM(LEFT($D559,FIND("｜",$D559)-1)),$D559)))</f>
        <v/>
      </c>
      <c r="F559" s="30" t="str">
        <f aca="false">IF($D559="","",IFERROR(INDEX(合同项目,MATCH($D559,合同键,0)),IFERROR(TRIM(MID($D559,FIND("｜",$D559)+1,99)),"")))</f>
        <v/>
      </c>
      <c r="G559" s="24"/>
      <c r="H559" s="35" t="str">
        <f aca="false">IF($G559="","",IFERROR(INDEX(费用款别,MATCH($G559,费用类别表,0)),"合同外款"))</f>
        <v/>
      </c>
      <c r="I559" s="33"/>
      <c r="J559" s="33"/>
      <c r="K559" s="39"/>
      <c r="L559" s="33"/>
      <c r="M559" s="25"/>
      <c r="N559" s="39"/>
      <c r="O559" s="35" t="str">
        <f aca="false">IF($C559="","",IF(N($N559)&lt;=0,"未开票",IF(ROUND(N($N559)-N($K559),2)&gt;=0,"已开票",IFERROR("部分开票 "&amp;TEXT(N($N559)/N($K559),"0%"),"部分开票"))))</f>
        <v/>
      </c>
      <c r="P559" s="40" t="str">
        <f aca="false">IF($C559="","",ROUND($V559+MIN($W559,MAX(0,(SUMIF(收款键,$D559,收款金额)-SUMIFS(收款金额,收款键,$D559,收款关联,"&lt;&gt;"))-($X559-$W559))),2))</f>
        <v/>
      </c>
      <c r="Q559" s="41" t="str">
        <f aca="false">IF($C559="","",ROUND(N($K559)-N($P559),2))</f>
        <v/>
      </c>
      <c r="R559" s="29" t="str">
        <f aca="false">IF($C559="","",YEAR($C559))</f>
        <v/>
      </c>
      <c r="S559" s="24"/>
      <c r="T559" s="35" t="str">
        <f aca="false">IF($C559="","",IF($D559="","★没选客户项目",IF(COUNTIF(合同键,$D559)=0,"★《维保合同》里没这个项目",IF(N($K559)&lt;=0,"★应收金额要填",IF(ROUND(N($N559)-N($K559),2)&gt;0.001,"★开票金额大于应收",IF(AND($L559&lt;&gt;"",N($N559)&lt;=0),"★填了开票日期没填开票金额",IF(AND($I559&lt;&gt;"",$J559&lt;&gt;"",$J559&lt;$I559),"★计费期间起止反了","OK")))))))</f>
        <v/>
      </c>
      <c r="U559" s="29" t="str">
        <f aca="false">IF($L559="","",YEAR($L559))</f>
        <v/>
      </c>
      <c r="V559" s="40" t="str">
        <f aca="false">IF($C559="","",ROUND(SUMIF(收款关联,$B559,收款金额),2))</f>
        <v/>
      </c>
      <c r="W559" s="40" t="str">
        <f aca="false">IF($C559="","",MAX(0,ROUND(N($K559)-N($V559),2)))</f>
        <v/>
      </c>
      <c r="X559" s="40" t="str">
        <f aca="false">IF($C559="","",ROUND(SUMIFS(应收净额,应收键,$D559,应收行号,"&lt;="&amp;ROW()),2))</f>
        <v/>
      </c>
      <c r="Y559" s="29" t="str">
        <f aca="false">IF($C559="","",ROW())</f>
        <v/>
      </c>
    </row>
    <row r="560" customFormat="false" ht="15" hidden="false" customHeight="false" outlineLevel="0" collapsed="false">
      <c r="A560" s="29" t="str">
        <f aca="false">IF($C560="","",ROW()-4)</f>
        <v/>
      </c>
      <c r="B560" s="35" t="str">
        <f aca="false">IF($C560="","","YS"&amp;TEXT($C560,"yyyymm")&amp;"-"&amp;TEXT(ROW()-4,"0000"))</f>
        <v/>
      </c>
      <c r="C560" s="33"/>
      <c r="D560" s="24"/>
      <c r="E560" s="30" t="str">
        <f aca="false">IF($D560="","",IFERROR(INDEX(合同单位,MATCH($D560,合同键,0)),IFERROR(TRIM(LEFT($D560,FIND("｜",$D560)-1)),$D560)))</f>
        <v/>
      </c>
      <c r="F560" s="30" t="str">
        <f aca="false">IF($D560="","",IFERROR(INDEX(合同项目,MATCH($D560,合同键,0)),IFERROR(TRIM(MID($D560,FIND("｜",$D560)+1,99)),"")))</f>
        <v/>
      </c>
      <c r="G560" s="24"/>
      <c r="H560" s="35" t="str">
        <f aca="false">IF($G560="","",IFERROR(INDEX(费用款别,MATCH($G560,费用类别表,0)),"合同外款"))</f>
        <v/>
      </c>
      <c r="I560" s="33"/>
      <c r="J560" s="33"/>
      <c r="K560" s="39"/>
      <c r="L560" s="33"/>
      <c r="M560" s="25"/>
      <c r="N560" s="39"/>
      <c r="O560" s="35" t="str">
        <f aca="false">IF($C560="","",IF(N($N560)&lt;=0,"未开票",IF(ROUND(N($N560)-N($K560),2)&gt;=0,"已开票",IFERROR("部分开票 "&amp;TEXT(N($N560)/N($K560),"0%"),"部分开票"))))</f>
        <v/>
      </c>
      <c r="P560" s="40" t="str">
        <f aca="false">IF($C560="","",ROUND($V560+MIN($W560,MAX(0,(SUMIF(收款键,$D560,收款金额)-SUMIFS(收款金额,收款键,$D560,收款关联,"&lt;&gt;"))-($X560-$W560))),2))</f>
        <v/>
      </c>
      <c r="Q560" s="41" t="str">
        <f aca="false">IF($C560="","",ROUND(N($K560)-N($P560),2))</f>
        <v/>
      </c>
      <c r="R560" s="29" t="str">
        <f aca="false">IF($C560="","",YEAR($C560))</f>
        <v/>
      </c>
      <c r="S560" s="24"/>
      <c r="T560" s="35" t="str">
        <f aca="false">IF($C560="","",IF($D560="","★没选客户项目",IF(COUNTIF(合同键,$D560)=0,"★《维保合同》里没这个项目",IF(N($K560)&lt;=0,"★应收金额要填",IF(ROUND(N($N560)-N($K560),2)&gt;0.001,"★开票金额大于应收",IF(AND($L560&lt;&gt;"",N($N560)&lt;=0),"★填了开票日期没填开票金额",IF(AND($I560&lt;&gt;"",$J560&lt;&gt;"",$J560&lt;$I560),"★计费期间起止反了","OK")))))))</f>
        <v/>
      </c>
      <c r="U560" s="29" t="str">
        <f aca="false">IF($L560="","",YEAR($L560))</f>
        <v/>
      </c>
      <c r="V560" s="40" t="str">
        <f aca="false">IF($C560="","",ROUND(SUMIF(收款关联,$B560,收款金额),2))</f>
        <v/>
      </c>
      <c r="W560" s="40" t="str">
        <f aca="false">IF($C560="","",MAX(0,ROUND(N($K560)-N($V560),2)))</f>
        <v/>
      </c>
      <c r="X560" s="40" t="str">
        <f aca="false">IF($C560="","",ROUND(SUMIFS(应收净额,应收键,$D560,应收行号,"&lt;="&amp;ROW()),2))</f>
        <v/>
      </c>
      <c r="Y560" s="29" t="str">
        <f aca="false">IF($C560="","",ROW())</f>
        <v/>
      </c>
    </row>
    <row r="561" customFormat="false" ht="15" hidden="false" customHeight="false" outlineLevel="0" collapsed="false">
      <c r="A561" s="29" t="str">
        <f aca="false">IF($C561="","",ROW()-4)</f>
        <v/>
      </c>
      <c r="B561" s="35" t="str">
        <f aca="false">IF($C561="","","YS"&amp;TEXT($C561,"yyyymm")&amp;"-"&amp;TEXT(ROW()-4,"0000"))</f>
        <v/>
      </c>
      <c r="C561" s="33"/>
      <c r="D561" s="24"/>
      <c r="E561" s="30" t="str">
        <f aca="false">IF($D561="","",IFERROR(INDEX(合同单位,MATCH($D561,合同键,0)),IFERROR(TRIM(LEFT($D561,FIND("｜",$D561)-1)),$D561)))</f>
        <v/>
      </c>
      <c r="F561" s="30" t="str">
        <f aca="false">IF($D561="","",IFERROR(INDEX(合同项目,MATCH($D561,合同键,0)),IFERROR(TRIM(MID($D561,FIND("｜",$D561)+1,99)),"")))</f>
        <v/>
      </c>
      <c r="G561" s="24"/>
      <c r="H561" s="35" t="str">
        <f aca="false">IF($G561="","",IFERROR(INDEX(费用款别,MATCH($G561,费用类别表,0)),"合同外款"))</f>
        <v/>
      </c>
      <c r="I561" s="33"/>
      <c r="J561" s="33"/>
      <c r="K561" s="39"/>
      <c r="L561" s="33"/>
      <c r="M561" s="25"/>
      <c r="N561" s="39"/>
      <c r="O561" s="35" t="str">
        <f aca="false">IF($C561="","",IF(N($N561)&lt;=0,"未开票",IF(ROUND(N($N561)-N($K561),2)&gt;=0,"已开票",IFERROR("部分开票 "&amp;TEXT(N($N561)/N($K561),"0%"),"部分开票"))))</f>
        <v/>
      </c>
      <c r="P561" s="40" t="str">
        <f aca="false">IF($C561="","",ROUND($V561+MIN($W561,MAX(0,(SUMIF(收款键,$D561,收款金额)-SUMIFS(收款金额,收款键,$D561,收款关联,"&lt;&gt;"))-($X561-$W561))),2))</f>
        <v/>
      </c>
      <c r="Q561" s="41" t="str">
        <f aca="false">IF($C561="","",ROUND(N($K561)-N($P561),2))</f>
        <v/>
      </c>
      <c r="R561" s="29" t="str">
        <f aca="false">IF($C561="","",YEAR($C561))</f>
        <v/>
      </c>
      <c r="S561" s="24"/>
      <c r="T561" s="35" t="str">
        <f aca="false">IF($C561="","",IF($D561="","★没选客户项目",IF(COUNTIF(合同键,$D561)=0,"★《维保合同》里没这个项目",IF(N($K561)&lt;=0,"★应收金额要填",IF(ROUND(N($N561)-N($K561),2)&gt;0.001,"★开票金额大于应收",IF(AND($L561&lt;&gt;"",N($N561)&lt;=0),"★填了开票日期没填开票金额",IF(AND($I561&lt;&gt;"",$J561&lt;&gt;"",$J561&lt;$I561),"★计费期间起止反了","OK")))))))</f>
        <v/>
      </c>
      <c r="U561" s="29" t="str">
        <f aca="false">IF($L561="","",YEAR($L561))</f>
        <v/>
      </c>
      <c r="V561" s="40" t="str">
        <f aca="false">IF($C561="","",ROUND(SUMIF(收款关联,$B561,收款金额),2))</f>
        <v/>
      </c>
      <c r="W561" s="40" t="str">
        <f aca="false">IF($C561="","",MAX(0,ROUND(N($K561)-N($V561),2)))</f>
        <v/>
      </c>
      <c r="X561" s="40" t="str">
        <f aca="false">IF($C561="","",ROUND(SUMIFS(应收净额,应收键,$D561,应收行号,"&lt;="&amp;ROW()),2))</f>
        <v/>
      </c>
      <c r="Y561" s="29" t="str">
        <f aca="false">IF($C561="","",ROW())</f>
        <v/>
      </c>
    </row>
    <row r="562" customFormat="false" ht="15" hidden="false" customHeight="false" outlineLevel="0" collapsed="false">
      <c r="A562" s="29" t="str">
        <f aca="false">IF($C562="","",ROW()-4)</f>
        <v/>
      </c>
      <c r="B562" s="35" t="str">
        <f aca="false">IF($C562="","","YS"&amp;TEXT($C562,"yyyymm")&amp;"-"&amp;TEXT(ROW()-4,"0000"))</f>
        <v/>
      </c>
      <c r="C562" s="33"/>
      <c r="D562" s="24"/>
      <c r="E562" s="30" t="str">
        <f aca="false">IF($D562="","",IFERROR(INDEX(合同单位,MATCH($D562,合同键,0)),IFERROR(TRIM(LEFT($D562,FIND("｜",$D562)-1)),$D562)))</f>
        <v/>
      </c>
      <c r="F562" s="30" t="str">
        <f aca="false">IF($D562="","",IFERROR(INDEX(合同项目,MATCH($D562,合同键,0)),IFERROR(TRIM(MID($D562,FIND("｜",$D562)+1,99)),"")))</f>
        <v/>
      </c>
      <c r="G562" s="24"/>
      <c r="H562" s="35" t="str">
        <f aca="false">IF($G562="","",IFERROR(INDEX(费用款别,MATCH($G562,费用类别表,0)),"合同外款"))</f>
        <v/>
      </c>
      <c r="I562" s="33"/>
      <c r="J562" s="33"/>
      <c r="K562" s="39"/>
      <c r="L562" s="33"/>
      <c r="M562" s="25"/>
      <c r="N562" s="39"/>
      <c r="O562" s="35" t="str">
        <f aca="false">IF($C562="","",IF(N($N562)&lt;=0,"未开票",IF(ROUND(N($N562)-N($K562),2)&gt;=0,"已开票",IFERROR("部分开票 "&amp;TEXT(N($N562)/N($K562),"0%"),"部分开票"))))</f>
        <v/>
      </c>
      <c r="P562" s="40" t="str">
        <f aca="false">IF($C562="","",ROUND($V562+MIN($W562,MAX(0,(SUMIF(收款键,$D562,收款金额)-SUMIFS(收款金额,收款键,$D562,收款关联,"&lt;&gt;"))-($X562-$W562))),2))</f>
        <v/>
      </c>
      <c r="Q562" s="41" t="str">
        <f aca="false">IF($C562="","",ROUND(N($K562)-N($P562),2))</f>
        <v/>
      </c>
      <c r="R562" s="29" t="str">
        <f aca="false">IF($C562="","",YEAR($C562))</f>
        <v/>
      </c>
      <c r="S562" s="24"/>
      <c r="T562" s="35" t="str">
        <f aca="false">IF($C562="","",IF($D562="","★没选客户项目",IF(COUNTIF(合同键,$D562)=0,"★《维保合同》里没这个项目",IF(N($K562)&lt;=0,"★应收金额要填",IF(ROUND(N($N562)-N($K562),2)&gt;0.001,"★开票金额大于应收",IF(AND($L562&lt;&gt;"",N($N562)&lt;=0),"★填了开票日期没填开票金额",IF(AND($I562&lt;&gt;"",$J562&lt;&gt;"",$J562&lt;$I562),"★计费期间起止反了","OK")))))))</f>
        <v/>
      </c>
      <c r="U562" s="29" t="str">
        <f aca="false">IF($L562="","",YEAR($L562))</f>
        <v/>
      </c>
      <c r="V562" s="40" t="str">
        <f aca="false">IF($C562="","",ROUND(SUMIF(收款关联,$B562,收款金额),2))</f>
        <v/>
      </c>
      <c r="W562" s="40" t="str">
        <f aca="false">IF($C562="","",MAX(0,ROUND(N($K562)-N($V562),2)))</f>
        <v/>
      </c>
      <c r="X562" s="40" t="str">
        <f aca="false">IF($C562="","",ROUND(SUMIFS(应收净额,应收键,$D562,应收行号,"&lt;="&amp;ROW()),2))</f>
        <v/>
      </c>
      <c r="Y562" s="29" t="str">
        <f aca="false">IF($C562="","",ROW())</f>
        <v/>
      </c>
    </row>
    <row r="563" customFormat="false" ht="15" hidden="false" customHeight="false" outlineLevel="0" collapsed="false">
      <c r="A563" s="29" t="str">
        <f aca="false">IF($C563="","",ROW()-4)</f>
        <v/>
      </c>
      <c r="B563" s="35" t="str">
        <f aca="false">IF($C563="","","YS"&amp;TEXT($C563,"yyyymm")&amp;"-"&amp;TEXT(ROW()-4,"0000"))</f>
        <v/>
      </c>
      <c r="C563" s="33"/>
      <c r="D563" s="24"/>
      <c r="E563" s="30" t="str">
        <f aca="false">IF($D563="","",IFERROR(INDEX(合同单位,MATCH($D563,合同键,0)),IFERROR(TRIM(LEFT($D563,FIND("｜",$D563)-1)),$D563)))</f>
        <v/>
      </c>
      <c r="F563" s="30" t="str">
        <f aca="false">IF($D563="","",IFERROR(INDEX(合同项目,MATCH($D563,合同键,0)),IFERROR(TRIM(MID($D563,FIND("｜",$D563)+1,99)),"")))</f>
        <v/>
      </c>
      <c r="G563" s="24"/>
      <c r="H563" s="35" t="str">
        <f aca="false">IF($G563="","",IFERROR(INDEX(费用款别,MATCH($G563,费用类别表,0)),"合同外款"))</f>
        <v/>
      </c>
      <c r="I563" s="33"/>
      <c r="J563" s="33"/>
      <c r="K563" s="39"/>
      <c r="L563" s="33"/>
      <c r="M563" s="25"/>
      <c r="N563" s="39"/>
      <c r="O563" s="35" t="str">
        <f aca="false">IF($C563="","",IF(N($N563)&lt;=0,"未开票",IF(ROUND(N($N563)-N($K563),2)&gt;=0,"已开票",IFERROR("部分开票 "&amp;TEXT(N($N563)/N($K563),"0%"),"部分开票"))))</f>
        <v/>
      </c>
      <c r="P563" s="40" t="str">
        <f aca="false">IF($C563="","",ROUND($V563+MIN($W563,MAX(0,(SUMIF(收款键,$D563,收款金额)-SUMIFS(收款金额,收款键,$D563,收款关联,"&lt;&gt;"))-($X563-$W563))),2))</f>
        <v/>
      </c>
      <c r="Q563" s="41" t="str">
        <f aca="false">IF($C563="","",ROUND(N($K563)-N($P563),2))</f>
        <v/>
      </c>
      <c r="R563" s="29" t="str">
        <f aca="false">IF($C563="","",YEAR($C563))</f>
        <v/>
      </c>
      <c r="S563" s="24"/>
      <c r="T563" s="35" t="str">
        <f aca="false">IF($C563="","",IF($D563="","★没选客户项目",IF(COUNTIF(合同键,$D563)=0,"★《维保合同》里没这个项目",IF(N($K563)&lt;=0,"★应收金额要填",IF(ROUND(N($N563)-N($K563),2)&gt;0.001,"★开票金额大于应收",IF(AND($L563&lt;&gt;"",N($N563)&lt;=0),"★填了开票日期没填开票金额",IF(AND($I563&lt;&gt;"",$J563&lt;&gt;"",$J563&lt;$I563),"★计费期间起止反了","OK")))))))</f>
        <v/>
      </c>
      <c r="U563" s="29" t="str">
        <f aca="false">IF($L563="","",YEAR($L563))</f>
        <v/>
      </c>
      <c r="V563" s="40" t="str">
        <f aca="false">IF($C563="","",ROUND(SUMIF(收款关联,$B563,收款金额),2))</f>
        <v/>
      </c>
      <c r="W563" s="40" t="str">
        <f aca="false">IF($C563="","",MAX(0,ROUND(N($K563)-N($V563),2)))</f>
        <v/>
      </c>
      <c r="X563" s="40" t="str">
        <f aca="false">IF($C563="","",ROUND(SUMIFS(应收净额,应收键,$D563,应收行号,"&lt;="&amp;ROW()),2))</f>
        <v/>
      </c>
      <c r="Y563" s="29" t="str">
        <f aca="false">IF($C563="","",ROW())</f>
        <v/>
      </c>
    </row>
    <row r="564" customFormat="false" ht="15" hidden="false" customHeight="false" outlineLevel="0" collapsed="false">
      <c r="A564" s="29" t="str">
        <f aca="false">IF($C564="","",ROW()-4)</f>
        <v/>
      </c>
      <c r="B564" s="35" t="str">
        <f aca="false">IF($C564="","","YS"&amp;TEXT($C564,"yyyymm")&amp;"-"&amp;TEXT(ROW()-4,"0000"))</f>
        <v/>
      </c>
      <c r="C564" s="33"/>
      <c r="D564" s="24"/>
      <c r="E564" s="30" t="str">
        <f aca="false">IF($D564="","",IFERROR(INDEX(合同单位,MATCH($D564,合同键,0)),IFERROR(TRIM(LEFT($D564,FIND("｜",$D564)-1)),$D564)))</f>
        <v/>
      </c>
      <c r="F564" s="30" t="str">
        <f aca="false">IF($D564="","",IFERROR(INDEX(合同项目,MATCH($D564,合同键,0)),IFERROR(TRIM(MID($D564,FIND("｜",$D564)+1,99)),"")))</f>
        <v/>
      </c>
      <c r="G564" s="24"/>
      <c r="H564" s="35" t="str">
        <f aca="false">IF($G564="","",IFERROR(INDEX(费用款别,MATCH($G564,费用类别表,0)),"合同外款"))</f>
        <v/>
      </c>
      <c r="I564" s="33"/>
      <c r="J564" s="33"/>
      <c r="K564" s="39"/>
      <c r="L564" s="33"/>
      <c r="M564" s="25"/>
      <c r="N564" s="39"/>
      <c r="O564" s="35" t="str">
        <f aca="false">IF($C564="","",IF(N($N564)&lt;=0,"未开票",IF(ROUND(N($N564)-N($K564),2)&gt;=0,"已开票",IFERROR("部分开票 "&amp;TEXT(N($N564)/N($K564),"0%"),"部分开票"))))</f>
        <v/>
      </c>
      <c r="P564" s="40" t="str">
        <f aca="false">IF($C564="","",ROUND($V564+MIN($W564,MAX(0,(SUMIF(收款键,$D564,收款金额)-SUMIFS(收款金额,收款键,$D564,收款关联,"&lt;&gt;"))-($X564-$W564))),2))</f>
        <v/>
      </c>
      <c r="Q564" s="41" t="str">
        <f aca="false">IF($C564="","",ROUND(N($K564)-N($P564),2))</f>
        <v/>
      </c>
      <c r="R564" s="29" t="str">
        <f aca="false">IF($C564="","",YEAR($C564))</f>
        <v/>
      </c>
      <c r="S564" s="24"/>
      <c r="T564" s="35" t="str">
        <f aca="false">IF($C564="","",IF($D564="","★没选客户项目",IF(COUNTIF(合同键,$D564)=0,"★《维保合同》里没这个项目",IF(N($K564)&lt;=0,"★应收金额要填",IF(ROUND(N($N564)-N($K564),2)&gt;0.001,"★开票金额大于应收",IF(AND($L564&lt;&gt;"",N($N564)&lt;=0),"★填了开票日期没填开票金额",IF(AND($I564&lt;&gt;"",$J564&lt;&gt;"",$J564&lt;$I564),"★计费期间起止反了","OK")))))))</f>
        <v/>
      </c>
      <c r="U564" s="29" t="str">
        <f aca="false">IF($L564="","",YEAR($L564))</f>
        <v/>
      </c>
      <c r="V564" s="40" t="str">
        <f aca="false">IF($C564="","",ROUND(SUMIF(收款关联,$B564,收款金额),2))</f>
        <v/>
      </c>
      <c r="W564" s="40" t="str">
        <f aca="false">IF($C564="","",MAX(0,ROUND(N($K564)-N($V564),2)))</f>
        <v/>
      </c>
      <c r="X564" s="40" t="str">
        <f aca="false">IF($C564="","",ROUND(SUMIFS(应收净额,应收键,$D564,应收行号,"&lt;="&amp;ROW()),2))</f>
        <v/>
      </c>
      <c r="Y564" s="29" t="str">
        <f aca="false">IF($C564="","",ROW())</f>
        <v/>
      </c>
    </row>
    <row r="565" customFormat="false" ht="15" hidden="false" customHeight="false" outlineLevel="0" collapsed="false">
      <c r="A565" s="29" t="str">
        <f aca="false">IF($C565="","",ROW()-4)</f>
        <v/>
      </c>
      <c r="B565" s="35" t="str">
        <f aca="false">IF($C565="","","YS"&amp;TEXT($C565,"yyyymm")&amp;"-"&amp;TEXT(ROW()-4,"0000"))</f>
        <v/>
      </c>
      <c r="C565" s="33"/>
      <c r="D565" s="24"/>
      <c r="E565" s="30" t="str">
        <f aca="false">IF($D565="","",IFERROR(INDEX(合同单位,MATCH($D565,合同键,0)),IFERROR(TRIM(LEFT($D565,FIND("｜",$D565)-1)),$D565)))</f>
        <v/>
      </c>
      <c r="F565" s="30" t="str">
        <f aca="false">IF($D565="","",IFERROR(INDEX(合同项目,MATCH($D565,合同键,0)),IFERROR(TRIM(MID($D565,FIND("｜",$D565)+1,99)),"")))</f>
        <v/>
      </c>
      <c r="G565" s="24"/>
      <c r="H565" s="35" t="str">
        <f aca="false">IF($G565="","",IFERROR(INDEX(费用款别,MATCH($G565,费用类别表,0)),"合同外款"))</f>
        <v/>
      </c>
      <c r="I565" s="33"/>
      <c r="J565" s="33"/>
      <c r="K565" s="39"/>
      <c r="L565" s="33"/>
      <c r="M565" s="25"/>
      <c r="N565" s="39"/>
      <c r="O565" s="35" t="str">
        <f aca="false">IF($C565="","",IF(N($N565)&lt;=0,"未开票",IF(ROUND(N($N565)-N($K565),2)&gt;=0,"已开票",IFERROR("部分开票 "&amp;TEXT(N($N565)/N($K565),"0%"),"部分开票"))))</f>
        <v/>
      </c>
      <c r="P565" s="40" t="str">
        <f aca="false">IF($C565="","",ROUND($V565+MIN($W565,MAX(0,(SUMIF(收款键,$D565,收款金额)-SUMIFS(收款金额,收款键,$D565,收款关联,"&lt;&gt;"))-($X565-$W565))),2))</f>
        <v/>
      </c>
      <c r="Q565" s="41" t="str">
        <f aca="false">IF($C565="","",ROUND(N($K565)-N($P565),2))</f>
        <v/>
      </c>
      <c r="R565" s="29" t="str">
        <f aca="false">IF($C565="","",YEAR($C565))</f>
        <v/>
      </c>
      <c r="S565" s="24"/>
      <c r="T565" s="35" t="str">
        <f aca="false">IF($C565="","",IF($D565="","★没选客户项目",IF(COUNTIF(合同键,$D565)=0,"★《维保合同》里没这个项目",IF(N($K565)&lt;=0,"★应收金额要填",IF(ROUND(N($N565)-N($K565),2)&gt;0.001,"★开票金额大于应收",IF(AND($L565&lt;&gt;"",N($N565)&lt;=0),"★填了开票日期没填开票金额",IF(AND($I565&lt;&gt;"",$J565&lt;&gt;"",$J565&lt;$I565),"★计费期间起止反了","OK")))))))</f>
        <v/>
      </c>
      <c r="U565" s="29" t="str">
        <f aca="false">IF($L565="","",YEAR($L565))</f>
        <v/>
      </c>
      <c r="V565" s="40" t="str">
        <f aca="false">IF($C565="","",ROUND(SUMIF(收款关联,$B565,收款金额),2))</f>
        <v/>
      </c>
      <c r="W565" s="40" t="str">
        <f aca="false">IF($C565="","",MAX(0,ROUND(N($K565)-N($V565),2)))</f>
        <v/>
      </c>
      <c r="X565" s="40" t="str">
        <f aca="false">IF($C565="","",ROUND(SUMIFS(应收净额,应收键,$D565,应收行号,"&lt;="&amp;ROW()),2))</f>
        <v/>
      </c>
      <c r="Y565" s="29" t="str">
        <f aca="false">IF($C565="","",ROW())</f>
        <v/>
      </c>
    </row>
    <row r="566" customFormat="false" ht="15" hidden="false" customHeight="false" outlineLevel="0" collapsed="false">
      <c r="A566" s="29" t="str">
        <f aca="false">IF($C566="","",ROW()-4)</f>
        <v/>
      </c>
      <c r="B566" s="35" t="str">
        <f aca="false">IF($C566="","","YS"&amp;TEXT($C566,"yyyymm")&amp;"-"&amp;TEXT(ROW()-4,"0000"))</f>
        <v/>
      </c>
      <c r="C566" s="33"/>
      <c r="D566" s="24"/>
      <c r="E566" s="30" t="str">
        <f aca="false">IF($D566="","",IFERROR(INDEX(合同单位,MATCH($D566,合同键,0)),IFERROR(TRIM(LEFT($D566,FIND("｜",$D566)-1)),$D566)))</f>
        <v/>
      </c>
      <c r="F566" s="30" t="str">
        <f aca="false">IF($D566="","",IFERROR(INDEX(合同项目,MATCH($D566,合同键,0)),IFERROR(TRIM(MID($D566,FIND("｜",$D566)+1,99)),"")))</f>
        <v/>
      </c>
      <c r="G566" s="24"/>
      <c r="H566" s="35" t="str">
        <f aca="false">IF($G566="","",IFERROR(INDEX(费用款别,MATCH($G566,费用类别表,0)),"合同外款"))</f>
        <v/>
      </c>
      <c r="I566" s="33"/>
      <c r="J566" s="33"/>
      <c r="K566" s="39"/>
      <c r="L566" s="33"/>
      <c r="M566" s="25"/>
      <c r="N566" s="39"/>
      <c r="O566" s="35" t="str">
        <f aca="false">IF($C566="","",IF(N($N566)&lt;=0,"未开票",IF(ROUND(N($N566)-N($K566),2)&gt;=0,"已开票",IFERROR("部分开票 "&amp;TEXT(N($N566)/N($K566),"0%"),"部分开票"))))</f>
        <v/>
      </c>
      <c r="P566" s="40" t="str">
        <f aca="false">IF($C566="","",ROUND($V566+MIN($W566,MAX(0,(SUMIF(收款键,$D566,收款金额)-SUMIFS(收款金额,收款键,$D566,收款关联,"&lt;&gt;"))-($X566-$W566))),2))</f>
        <v/>
      </c>
      <c r="Q566" s="41" t="str">
        <f aca="false">IF($C566="","",ROUND(N($K566)-N($P566),2))</f>
        <v/>
      </c>
      <c r="R566" s="29" t="str">
        <f aca="false">IF($C566="","",YEAR($C566))</f>
        <v/>
      </c>
      <c r="S566" s="24"/>
      <c r="T566" s="35" t="str">
        <f aca="false">IF($C566="","",IF($D566="","★没选客户项目",IF(COUNTIF(合同键,$D566)=0,"★《维保合同》里没这个项目",IF(N($K566)&lt;=0,"★应收金额要填",IF(ROUND(N($N566)-N($K566),2)&gt;0.001,"★开票金额大于应收",IF(AND($L566&lt;&gt;"",N($N566)&lt;=0),"★填了开票日期没填开票金额",IF(AND($I566&lt;&gt;"",$J566&lt;&gt;"",$J566&lt;$I566),"★计费期间起止反了","OK")))))))</f>
        <v/>
      </c>
      <c r="U566" s="29" t="str">
        <f aca="false">IF($L566="","",YEAR($L566))</f>
        <v/>
      </c>
      <c r="V566" s="40" t="str">
        <f aca="false">IF($C566="","",ROUND(SUMIF(收款关联,$B566,收款金额),2))</f>
        <v/>
      </c>
      <c r="W566" s="40" t="str">
        <f aca="false">IF($C566="","",MAX(0,ROUND(N($K566)-N($V566),2)))</f>
        <v/>
      </c>
      <c r="X566" s="40" t="str">
        <f aca="false">IF($C566="","",ROUND(SUMIFS(应收净额,应收键,$D566,应收行号,"&lt;="&amp;ROW()),2))</f>
        <v/>
      </c>
      <c r="Y566" s="29" t="str">
        <f aca="false">IF($C566="","",ROW())</f>
        <v/>
      </c>
    </row>
    <row r="567" customFormat="false" ht="15" hidden="false" customHeight="false" outlineLevel="0" collapsed="false">
      <c r="A567" s="29" t="str">
        <f aca="false">IF($C567="","",ROW()-4)</f>
        <v/>
      </c>
      <c r="B567" s="35" t="str">
        <f aca="false">IF($C567="","","YS"&amp;TEXT($C567,"yyyymm")&amp;"-"&amp;TEXT(ROW()-4,"0000"))</f>
        <v/>
      </c>
      <c r="C567" s="33"/>
      <c r="D567" s="24"/>
      <c r="E567" s="30" t="str">
        <f aca="false">IF($D567="","",IFERROR(INDEX(合同单位,MATCH($D567,合同键,0)),IFERROR(TRIM(LEFT($D567,FIND("｜",$D567)-1)),$D567)))</f>
        <v/>
      </c>
      <c r="F567" s="30" t="str">
        <f aca="false">IF($D567="","",IFERROR(INDEX(合同项目,MATCH($D567,合同键,0)),IFERROR(TRIM(MID($D567,FIND("｜",$D567)+1,99)),"")))</f>
        <v/>
      </c>
      <c r="G567" s="24"/>
      <c r="H567" s="35" t="str">
        <f aca="false">IF($G567="","",IFERROR(INDEX(费用款别,MATCH($G567,费用类别表,0)),"合同外款"))</f>
        <v/>
      </c>
      <c r="I567" s="33"/>
      <c r="J567" s="33"/>
      <c r="K567" s="39"/>
      <c r="L567" s="33"/>
      <c r="M567" s="25"/>
      <c r="N567" s="39"/>
      <c r="O567" s="35" t="str">
        <f aca="false">IF($C567="","",IF(N($N567)&lt;=0,"未开票",IF(ROUND(N($N567)-N($K567),2)&gt;=0,"已开票",IFERROR("部分开票 "&amp;TEXT(N($N567)/N($K567),"0%"),"部分开票"))))</f>
        <v/>
      </c>
      <c r="P567" s="40" t="str">
        <f aca="false">IF($C567="","",ROUND($V567+MIN($W567,MAX(0,(SUMIF(收款键,$D567,收款金额)-SUMIFS(收款金额,收款键,$D567,收款关联,"&lt;&gt;"))-($X567-$W567))),2))</f>
        <v/>
      </c>
      <c r="Q567" s="41" t="str">
        <f aca="false">IF($C567="","",ROUND(N($K567)-N($P567),2))</f>
        <v/>
      </c>
      <c r="R567" s="29" t="str">
        <f aca="false">IF($C567="","",YEAR($C567))</f>
        <v/>
      </c>
      <c r="S567" s="24"/>
      <c r="T567" s="35" t="str">
        <f aca="false">IF($C567="","",IF($D567="","★没选客户项目",IF(COUNTIF(合同键,$D567)=0,"★《维保合同》里没这个项目",IF(N($K567)&lt;=0,"★应收金额要填",IF(ROUND(N($N567)-N($K567),2)&gt;0.001,"★开票金额大于应收",IF(AND($L567&lt;&gt;"",N($N567)&lt;=0),"★填了开票日期没填开票金额",IF(AND($I567&lt;&gt;"",$J567&lt;&gt;"",$J567&lt;$I567),"★计费期间起止反了","OK")))))))</f>
        <v/>
      </c>
      <c r="U567" s="29" t="str">
        <f aca="false">IF($L567="","",YEAR($L567))</f>
        <v/>
      </c>
      <c r="V567" s="40" t="str">
        <f aca="false">IF($C567="","",ROUND(SUMIF(收款关联,$B567,收款金额),2))</f>
        <v/>
      </c>
      <c r="W567" s="40" t="str">
        <f aca="false">IF($C567="","",MAX(0,ROUND(N($K567)-N($V567),2)))</f>
        <v/>
      </c>
      <c r="X567" s="40" t="str">
        <f aca="false">IF($C567="","",ROUND(SUMIFS(应收净额,应收键,$D567,应收行号,"&lt;="&amp;ROW()),2))</f>
        <v/>
      </c>
      <c r="Y567" s="29" t="str">
        <f aca="false">IF($C567="","",ROW())</f>
        <v/>
      </c>
    </row>
    <row r="568" customFormat="false" ht="15" hidden="false" customHeight="false" outlineLevel="0" collapsed="false">
      <c r="A568" s="29" t="str">
        <f aca="false">IF($C568="","",ROW()-4)</f>
        <v/>
      </c>
      <c r="B568" s="35" t="str">
        <f aca="false">IF($C568="","","YS"&amp;TEXT($C568,"yyyymm")&amp;"-"&amp;TEXT(ROW()-4,"0000"))</f>
        <v/>
      </c>
      <c r="C568" s="33"/>
      <c r="D568" s="24"/>
      <c r="E568" s="30" t="str">
        <f aca="false">IF($D568="","",IFERROR(INDEX(合同单位,MATCH($D568,合同键,0)),IFERROR(TRIM(LEFT($D568,FIND("｜",$D568)-1)),$D568)))</f>
        <v/>
      </c>
      <c r="F568" s="30" t="str">
        <f aca="false">IF($D568="","",IFERROR(INDEX(合同项目,MATCH($D568,合同键,0)),IFERROR(TRIM(MID($D568,FIND("｜",$D568)+1,99)),"")))</f>
        <v/>
      </c>
      <c r="G568" s="24"/>
      <c r="H568" s="35" t="str">
        <f aca="false">IF($G568="","",IFERROR(INDEX(费用款别,MATCH($G568,费用类别表,0)),"合同外款"))</f>
        <v/>
      </c>
      <c r="I568" s="33"/>
      <c r="J568" s="33"/>
      <c r="K568" s="39"/>
      <c r="L568" s="33"/>
      <c r="M568" s="25"/>
      <c r="N568" s="39"/>
      <c r="O568" s="35" t="str">
        <f aca="false">IF($C568="","",IF(N($N568)&lt;=0,"未开票",IF(ROUND(N($N568)-N($K568),2)&gt;=0,"已开票",IFERROR("部分开票 "&amp;TEXT(N($N568)/N($K568),"0%"),"部分开票"))))</f>
        <v/>
      </c>
      <c r="P568" s="40" t="str">
        <f aca="false">IF($C568="","",ROUND($V568+MIN($W568,MAX(0,(SUMIF(收款键,$D568,收款金额)-SUMIFS(收款金额,收款键,$D568,收款关联,"&lt;&gt;"))-($X568-$W568))),2))</f>
        <v/>
      </c>
      <c r="Q568" s="41" t="str">
        <f aca="false">IF($C568="","",ROUND(N($K568)-N($P568),2))</f>
        <v/>
      </c>
      <c r="R568" s="29" t="str">
        <f aca="false">IF($C568="","",YEAR($C568))</f>
        <v/>
      </c>
      <c r="S568" s="24"/>
      <c r="T568" s="35" t="str">
        <f aca="false">IF($C568="","",IF($D568="","★没选客户项目",IF(COUNTIF(合同键,$D568)=0,"★《维保合同》里没这个项目",IF(N($K568)&lt;=0,"★应收金额要填",IF(ROUND(N($N568)-N($K568),2)&gt;0.001,"★开票金额大于应收",IF(AND($L568&lt;&gt;"",N($N568)&lt;=0),"★填了开票日期没填开票金额",IF(AND($I568&lt;&gt;"",$J568&lt;&gt;"",$J568&lt;$I568),"★计费期间起止反了","OK")))))))</f>
        <v/>
      </c>
      <c r="U568" s="29" t="str">
        <f aca="false">IF($L568="","",YEAR($L568))</f>
        <v/>
      </c>
      <c r="V568" s="40" t="str">
        <f aca="false">IF($C568="","",ROUND(SUMIF(收款关联,$B568,收款金额),2))</f>
        <v/>
      </c>
      <c r="W568" s="40" t="str">
        <f aca="false">IF($C568="","",MAX(0,ROUND(N($K568)-N($V568),2)))</f>
        <v/>
      </c>
      <c r="X568" s="40" t="str">
        <f aca="false">IF($C568="","",ROUND(SUMIFS(应收净额,应收键,$D568,应收行号,"&lt;="&amp;ROW()),2))</f>
        <v/>
      </c>
      <c r="Y568" s="29" t="str">
        <f aca="false">IF($C568="","",ROW())</f>
        <v/>
      </c>
    </row>
    <row r="569" customFormat="false" ht="15" hidden="false" customHeight="false" outlineLevel="0" collapsed="false">
      <c r="A569" s="29" t="str">
        <f aca="false">IF($C569="","",ROW()-4)</f>
        <v/>
      </c>
      <c r="B569" s="35" t="str">
        <f aca="false">IF($C569="","","YS"&amp;TEXT($C569,"yyyymm")&amp;"-"&amp;TEXT(ROW()-4,"0000"))</f>
        <v/>
      </c>
      <c r="C569" s="33"/>
      <c r="D569" s="24"/>
      <c r="E569" s="30" t="str">
        <f aca="false">IF($D569="","",IFERROR(INDEX(合同单位,MATCH($D569,合同键,0)),IFERROR(TRIM(LEFT($D569,FIND("｜",$D569)-1)),$D569)))</f>
        <v/>
      </c>
      <c r="F569" s="30" t="str">
        <f aca="false">IF($D569="","",IFERROR(INDEX(合同项目,MATCH($D569,合同键,0)),IFERROR(TRIM(MID($D569,FIND("｜",$D569)+1,99)),"")))</f>
        <v/>
      </c>
      <c r="G569" s="24"/>
      <c r="H569" s="35" t="str">
        <f aca="false">IF($G569="","",IFERROR(INDEX(费用款别,MATCH($G569,费用类别表,0)),"合同外款"))</f>
        <v/>
      </c>
      <c r="I569" s="33"/>
      <c r="J569" s="33"/>
      <c r="K569" s="39"/>
      <c r="L569" s="33"/>
      <c r="M569" s="25"/>
      <c r="N569" s="39"/>
      <c r="O569" s="35" t="str">
        <f aca="false">IF($C569="","",IF(N($N569)&lt;=0,"未开票",IF(ROUND(N($N569)-N($K569),2)&gt;=0,"已开票",IFERROR("部分开票 "&amp;TEXT(N($N569)/N($K569),"0%"),"部分开票"))))</f>
        <v/>
      </c>
      <c r="P569" s="40" t="str">
        <f aca="false">IF($C569="","",ROUND($V569+MIN($W569,MAX(0,(SUMIF(收款键,$D569,收款金额)-SUMIFS(收款金额,收款键,$D569,收款关联,"&lt;&gt;"))-($X569-$W569))),2))</f>
        <v/>
      </c>
      <c r="Q569" s="41" t="str">
        <f aca="false">IF($C569="","",ROUND(N($K569)-N($P569),2))</f>
        <v/>
      </c>
      <c r="R569" s="29" t="str">
        <f aca="false">IF($C569="","",YEAR($C569))</f>
        <v/>
      </c>
      <c r="S569" s="24"/>
      <c r="T569" s="35" t="str">
        <f aca="false">IF($C569="","",IF($D569="","★没选客户项目",IF(COUNTIF(合同键,$D569)=0,"★《维保合同》里没这个项目",IF(N($K569)&lt;=0,"★应收金额要填",IF(ROUND(N($N569)-N($K569),2)&gt;0.001,"★开票金额大于应收",IF(AND($L569&lt;&gt;"",N($N569)&lt;=0),"★填了开票日期没填开票金额",IF(AND($I569&lt;&gt;"",$J569&lt;&gt;"",$J569&lt;$I569),"★计费期间起止反了","OK")))))))</f>
        <v/>
      </c>
      <c r="U569" s="29" t="str">
        <f aca="false">IF($L569="","",YEAR($L569))</f>
        <v/>
      </c>
      <c r="V569" s="40" t="str">
        <f aca="false">IF($C569="","",ROUND(SUMIF(收款关联,$B569,收款金额),2))</f>
        <v/>
      </c>
      <c r="W569" s="40" t="str">
        <f aca="false">IF($C569="","",MAX(0,ROUND(N($K569)-N($V569),2)))</f>
        <v/>
      </c>
      <c r="X569" s="40" t="str">
        <f aca="false">IF($C569="","",ROUND(SUMIFS(应收净额,应收键,$D569,应收行号,"&lt;="&amp;ROW()),2))</f>
        <v/>
      </c>
      <c r="Y569" s="29" t="str">
        <f aca="false">IF($C569="","",ROW())</f>
        <v/>
      </c>
    </row>
    <row r="570" customFormat="false" ht="15" hidden="false" customHeight="false" outlineLevel="0" collapsed="false">
      <c r="A570" s="29" t="str">
        <f aca="false">IF($C570="","",ROW()-4)</f>
        <v/>
      </c>
      <c r="B570" s="35" t="str">
        <f aca="false">IF($C570="","","YS"&amp;TEXT($C570,"yyyymm")&amp;"-"&amp;TEXT(ROW()-4,"0000"))</f>
        <v/>
      </c>
      <c r="C570" s="33"/>
      <c r="D570" s="24"/>
      <c r="E570" s="30" t="str">
        <f aca="false">IF($D570="","",IFERROR(INDEX(合同单位,MATCH($D570,合同键,0)),IFERROR(TRIM(LEFT($D570,FIND("｜",$D570)-1)),$D570)))</f>
        <v/>
      </c>
      <c r="F570" s="30" t="str">
        <f aca="false">IF($D570="","",IFERROR(INDEX(合同项目,MATCH($D570,合同键,0)),IFERROR(TRIM(MID($D570,FIND("｜",$D570)+1,99)),"")))</f>
        <v/>
      </c>
      <c r="G570" s="24"/>
      <c r="H570" s="35" t="str">
        <f aca="false">IF($G570="","",IFERROR(INDEX(费用款别,MATCH($G570,费用类别表,0)),"合同外款"))</f>
        <v/>
      </c>
      <c r="I570" s="33"/>
      <c r="J570" s="33"/>
      <c r="K570" s="39"/>
      <c r="L570" s="33"/>
      <c r="M570" s="25"/>
      <c r="N570" s="39"/>
      <c r="O570" s="35" t="str">
        <f aca="false">IF($C570="","",IF(N($N570)&lt;=0,"未开票",IF(ROUND(N($N570)-N($K570),2)&gt;=0,"已开票",IFERROR("部分开票 "&amp;TEXT(N($N570)/N($K570),"0%"),"部分开票"))))</f>
        <v/>
      </c>
      <c r="P570" s="40" t="str">
        <f aca="false">IF($C570="","",ROUND($V570+MIN($W570,MAX(0,(SUMIF(收款键,$D570,收款金额)-SUMIFS(收款金额,收款键,$D570,收款关联,"&lt;&gt;"))-($X570-$W570))),2))</f>
        <v/>
      </c>
      <c r="Q570" s="41" t="str">
        <f aca="false">IF($C570="","",ROUND(N($K570)-N($P570),2))</f>
        <v/>
      </c>
      <c r="R570" s="29" t="str">
        <f aca="false">IF($C570="","",YEAR($C570))</f>
        <v/>
      </c>
      <c r="S570" s="24"/>
      <c r="T570" s="35" t="str">
        <f aca="false">IF($C570="","",IF($D570="","★没选客户项目",IF(COUNTIF(合同键,$D570)=0,"★《维保合同》里没这个项目",IF(N($K570)&lt;=0,"★应收金额要填",IF(ROUND(N($N570)-N($K570),2)&gt;0.001,"★开票金额大于应收",IF(AND($L570&lt;&gt;"",N($N570)&lt;=0),"★填了开票日期没填开票金额",IF(AND($I570&lt;&gt;"",$J570&lt;&gt;"",$J570&lt;$I570),"★计费期间起止反了","OK")))))))</f>
        <v/>
      </c>
      <c r="U570" s="29" t="str">
        <f aca="false">IF($L570="","",YEAR($L570))</f>
        <v/>
      </c>
      <c r="V570" s="40" t="str">
        <f aca="false">IF($C570="","",ROUND(SUMIF(收款关联,$B570,收款金额),2))</f>
        <v/>
      </c>
      <c r="W570" s="40" t="str">
        <f aca="false">IF($C570="","",MAX(0,ROUND(N($K570)-N($V570),2)))</f>
        <v/>
      </c>
      <c r="X570" s="40" t="str">
        <f aca="false">IF($C570="","",ROUND(SUMIFS(应收净额,应收键,$D570,应收行号,"&lt;="&amp;ROW()),2))</f>
        <v/>
      </c>
      <c r="Y570" s="29" t="str">
        <f aca="false">IF($C570="","",ROW())</f>
        <v/>
      </c>
    </row>
    <row r="571" customFormat="false" ht="15" hidden="false" customHeight="false" outlineLevel="0" collapsed="false">
      <c r="A571" s="29" t="str">
        <f aca="false">IF($C571="","",ROW()-4)</f>
        <v/>
      </c>
      <c r="B571" s="35" t="str">
        <f aca="false">IF($C571="","","YS"&amp;TEXT($C571,"yyyymm")&amp;"-"&amp;TEXT(ROW()-4,"0000"))</f>
        <v/>
      </c>
      <c r="C571" s="33"/>
      <c r="D571" s="24"/>
      <c r="E571" s="30" t="str">
        <f aca="false">IF($D571="","",IFERROR(INDEX(合同单位,MATCH($D571,合同键,0)),IFERROR(TRIM(LEFT($D571,FIND("｜",$D571)-1)),$D571)))</f>
        <v/>
      </c>
      <c r="F571" s="30" t="str">
        <f aca="false">IF($D571="","",IFERROR(INDEX(合同项目,MATCH($D571,合同键,0)),IFERROR(TRIM(MID($D571,FIND("｜",$D571)+1,99)),"")))</f>
        <v/>
      </c>
      <c r="G571" s="24"/>
      <c r="H571" s="35" t="str">
        <f aca="false">IF($G571="","",IFERROR(INDEX(费用款别,MATCH($G571,费用类别表,0)),"合同外款"))</f>
        <v/>
      </c>
      <c r="I571" s="33"/>
      <c r="J571" s="33"/>
      <c r="K571" s="39"/>
      <c r="L571" s="33"/>
      <c r="M571" s="25"/>
      <c r="N571" s="39"/>
      <c r="O571" s="35" t="str">
        <f aca="false">IF($C571="","",IF(N($N571)&lt;=0,"未开票",IF(ROUND(N($N571)-N($K571),2)&gt;=0,"已开票",IFERROR("部分开票 "&amp;TEXT(N($N571)/N($K571),"0%"),"部分开票"))))</f>
        <v/>
      </c>
      <c r="P571" s="40" t="str">
        <f aca="false">IF($C571="","",ROUND($V571+MIN($W571,MAX(0,(SUMIF(收款键,$D571,收款金额)-SUMIFS(收款金额,收款键,$D571,收款关联,"&lt;&gt;"))-($X571-$W571))),2))</f>
        <v/>
      </c>
      <c r="Q571" s="41" t="str">
        <f aca="false">IF($C571="","",ROUND(N($K571)-N($P571),2))</f>
        <v/>
      </c>
      <c r="R571" s="29" t="str">
        <f aca="false">IF($C571="","",YEAR($C571))</f>
        <v/>
      </c>
      <c r="S571" s="24"/>
      <c r="T571" s="35" t="str">
        <f aca="false">IF($C571="","",IF($D571="","★没选客户项目",IF(COUNTIF(合同键,$D571)=0,"★《维保合同》里没这个项目",IF(N($K571)&lt;=0,"★应收金额要填",IF(ROUND(N($N571)-N($K571),2)&gt;0.001,"★开票金额大于应收",IF(AND($L571&lt;&gt;"",N($N571)&lt;=0),"★填了开票日期没填开票金额",IF(AND($I571&lt;&gt;"",$J571&lt;&gt;"",$J571&lt;$I571),"★计费期间起止反了","OK")))))))</f>
        <v/>
      </c>
      <c r="U571" s="29" t="str">
        <f aca="false">IF($L571="","",YEAR($L571))</f>
        <v/>
      </c>
      <c r="V571" s="40" t="str">
        <f aca="false">IF($C571="","",ROUND(SUMIF(收款关联,$B571,收款金额),2))</f>
        <v/>
      </c>
      <c r="W571" s="40" t="str">
        <f aca="false">IF($C571="","",MAX(0,ROUND(N($K571)-N($V571),2)))</f>
        <v/>
      </c>
      <c r="X571" s="40" t="str">
        <f aca="false">IF($C571="","",ROUND(SUMIFS(应收净额,应收键,$D571,应收行号,"&lt;="&amp;ROW()),2))</f>
        <v/>
      </c>
      <c r="Y571" s="29" t="str">
        <f aca="false">IF($C571="","",ROW())</f>
        <v/>
      </c>
    </row>
    <row r="572" customFormat="false" ht="15" hidden="false" customHeight="false" outlineLevel="0" collapsed="false">
      <c r="A572" s="29" t="str">
        <f aca="false">IF($C572="","",ROW()-4)</f>
        <v/>
      </c>
      <c r="B572" s="35" t="str">
        <f aca="false">IF($C572="","","YS"&amp;TEXT($C572,"yyyymm")&amp;"-"&amp;TEXT(ROW()-4,"0000"))</f>
        <v/>
      </c>
      <c r="C572" s="33"/>
      <c r="D572" s="24"/>
      <c r="E572" s="30" t="str">
        <f aca="false">IF($D572="","",IFERROR(INDEX(合同单位,MATCH($D572,合同键,0)),IFERROR(TRIM(LEFT($D572,FIND("｜",$D572)-1)),$D572)))</f>
        <v/>
      </c>
      <c r="F572" s="30" t="str">
        <f aca="false">IF($D572="","",IFERROR(INDEX(合同项目,MATCH($D572,合同键,0)),IFERROR(TRIM(MID($D572,FIND("｜",$D572)+1,99)),"")))</f>
        <v/>
      </c>
      <c r="G572" s="24"/>
      <c r="H572" s="35" t="str">
        <f aca="false">IF($G572="","",IFERROR(INDEX(费用款别,MATCH($G572,费用类别表,0)),"合同外款"))</f>
        <v/>
      </c>
      <c r="I572" s="33"/>
      <c r="J572" s="33"/>
      <c r="K572" s="39"/>
      <c r="L572" s="33"/>
      <c r="M572" s="25"/>
      <c r="N572" s="39"/>
      <c r="O572" s="35" t="str">
        <f aca="false">IF($C572="","",IF(N($N572)&lt;=0,"未开票",IF(ROUND(N($N572)-N($K572),2)&gt;=0,"已开票",IFERROR("部分开票 "&amp;TEXT(N($N572)/N($K572),"0%"),"部分开票"))))</f>
        <v/>
      </c>
      <c r="P572" s="40" t="str">
        <f aca="false">IF($C572="","",ROUND($V572+MIN($W572,MAX(0,(SUMIF(收款键,$D572,收款金额)-SUMIFS(收款金额,收款键,$D572,收款关联,"&lt;&gt;"))-($X572-$W572))),2))</f>
        <v/>
      </c>
      <c r="Q572" s="41" t="str">
        <f aca="false">IF($C572="","",ROUND(N($K572)-N($P572),2))</f>
        <v/>
      </c>
      <c r="R572" s="29" t="str">
        <f aca="false">IF($C572="","",YEAR($C572))</f>
        <v/>
      </c>
      <c r="S572" s="24"/>
      <c r="T572" s="35" t="str">
        <f aca="false">IF($C572="","",IF($D572="","★没选客户项目",IF(COUNTIF(合同键,$D572)=0,"★《维保合同》里没这个项目",IF(N($K572)&lt;=0,"★应收金额要填",IF(ROUND(N($N572)-N($K572),2)&gt;0.001,"★开票金额大于应收",IF(AND($L572&lt;&gt;"",N($N572)&lt;=0),"★填了开票日期没填开票金额",IF(AND($I572&lt;&gt;"",$J572&lt;&gt;"",$J572&lt;$I572),"★计费期间起止反了","OK")))))))</f>
        <v/>
      </c>
      <c r="U572" s="29" t="str">
        <f aca="false">IF($L572="","",YEAR($L572))</f>
        <v/>
      </c>
      <c r="V572" s="40" t="str">
        <f aca="false">IF($C572="","",ROUND(SUMIF(收款关联,$B572,收款金额),2))</f>
        <v/>
      </c>
      <c r="W572" s="40" t="str">
        <f aca="false">IF($C572="","",MAX(0,ROUND(N($K572)-N($V572),2)))</f>
        <v/>
      </c>
      <c r="X572" s="40" t="str">
        <f aca="false">IF($C572="","",ROUND(SUMIFS(应收净额,应收键,$D572,应收行号,"&lt;="&amp;ROW()),2))</f>
        <v/>
      </c>
      <c r="Y572" s="29" t="str">
        <f aca="false">IF($C572="","",ROW())</f>
        <v/>
      </c>
    </row>
    <row r="573" customFormat="false" ht="15" hidden="false" customHeight="false" outlineLevel="0" collapsed="false">
      <c r="A573" s="29" t="str">
        <f aca="false">IF($C573="","",ROW()-4)</f>
        <v/>
      </c>
      <c r="B573" s="35" t="str">
        <f aca="false">IF($C573="","","YS"&amp;TEXT($C573,"yyyymm")&amp;"-"&amp;TEXT(ROW()-4,"0000"))</f>
        <v/>
      </c>
      <c r="C573" s="33"/>
      <c r="D573" s="24"/>
      <c r="E573" s="30" t="str">
        <f aca="false">IF($D573="","",IFERROR(INDEX(合同单位,MATCH($D573,合同键,0)),IFERROR(TRIM(LEFT($D573,FIND("｜",$D573)-1)),$D573)))</f>
        <v/>
      </c>
      <c r="F573" s="30" t="str">
        <f aca="false">IF($D573="","",IFERROR(INDEX(合同项目,MATCH($D573,合同键,0)),IFERROR(TRIM(MID($D573,FIND("｜",$D573)+1,99)),"")))</f>
        <v/>
      </c>
      <c r="G573" s="24"/>
      <c r="H573" s="35" t="str">
        <f aca="false">IF($G573="","",IFERROR(INDEX(费用款别,MATCH($G573,费用类别表,0)),"合同外款"))</f>
        <v/>
      </c>
      <c r="I573" s="33"/>
      <c r="J573" s="33"/>
      <c r="K573" s="39"/>
      <c r="L573" s="33"/>
      <c r="M573" s="25"/>
      <c r="N573" s="39"/>
      <c r="O573" s="35" t="str">
        <f aca="false">IF($C573="","",IF(N($N573)&lt;=0,"未开票",IF(ROUND(N($N573)-N($K573),2)&gt;=0,"已开票",IFERROR("部分开票 "&amp;TEXT(N($N573)/N($K573),"0%"),"部分开票"))))</f>
        <v/>
      </c>
      <c r="P573" s="40" t="str">
        <f aca="false">IF($C573="","",ROUND($V573+MIN($W573,MAX(0,(SUMIF(收款键,$D573,收款金额)-SUMIFS(收款金额,收款键,$D573,收款关联,"&lt;&gt;"))-($X573-$W573))),2))</f>
        <v/>
      </c>
      <c r="Q573" s="41" t="str">
        <f aca="false">IF($C573="","",ROUND(N($K573)-N($P573),2))</f>
        <v/>
      </c>
      <c r="R573" s="29" t="str">
        <f aca="false">IF($C573="","",YEAR($C573))</f>
        <v/>
      </c>
      <c r="S573" s="24"/>
      <c r="T573" s="35" t="str">
        <f aca="false">IF($C573="","",IF($D573="","★没选客户项目",IF(COUNTIF(合同键,$D573)=0,"★《维保合同》里没这个项目",IF(N($K573)&lt;=0,"★应收金额要填",IF(ROUND(N($N573)-N($K573),2)&gt;0.001,"★开票金额大于应收",IF(AND($L573&lt;&gt;"",N($N573)&lt;=0),"★填了开票日期没填开票金额",IF(AND($I573&lt;&gt;"",$J573&lt;&gt;"",$J573&lt;$I573),"★计费期间起止反了","OK")))))))</f>
        <v/>
      </c>
      <c r="U573" s="29" t="str">
        <f aca="false">IF($L573="","",YEAR($L573))</f>
        <v/>
      </c>
      <c r="V573" s="40" t="str">
        <f aca="false">IF($C573="","",ROUND(SUMIF(收款关联,$B573,收款金额),2))</f>
        <v/>
      </c>
      <c r="W573" s="40" t="str">
        <f aca="false">IF($C573="","",MAX(0,ROUND(N($K573)-N($V573),2)))</f>
        <v/>
      </c>
      <c r="X573" s="40" t="str">
        <f aca="false">IF($C573="","",ROUND(SUMIFS(应收净额,应收键,$D573,应收行号,"&lt;="&amp;ROW()),2))</f>
        <v/>
      </c>
      <c r="Y573" s="29" t="str">
        <f aca="false">IF($C573="","",ROW())</f>
        <v/>
      </c>
    </row>
    <row r="574" customFormat="false" ht="15" hidden="false" customHeight="false" outlineLevel="0" collapsed="false">
      <c r="A574" s="29" t="str">
        <f aca="false">IF($C574="","",ROW()-4)</f>
        <v/>
      </c>
      <c r="B574" s="35" t="str">
        <f aca="false">IF($C574="","","YS"&amp;TEXT($C574,"yyyymm")&amp;"-"&amp;TEXT(ROW()-4,"0000"))</f>
        <v/>
      </c>
      <c r="C574" s="33"/>
      <c r="D574" s="24"/>
      <c r="E574" s="30" t="str">
        <f aca="false">IF($D574="","",IFERROR(INDEX(合同单位,MATCH($D574,合同键,0)),IFERROR(TRIM(LEFT($D574,FIND("｜",$D574)-1)),$D574)))</f>
        <v/>
      </c>
      <c r="F574" s="30" t="str">
        <f aca="false">IF($D574="","",IFERROR(INDEX(合同项目,MATCH($D574,合同键,0)),IFERROR(TRIM(MID($D574,FIND("｜",$D574)+1,99)),"")))</f>
        <v/>
      </c>
      <c r="G574" s="24"/>
      <c r="H574" s="35" t="str">
        <f aca="false">IF($G574="","",IFERROR(INDEX(费用款别,MATCH($G574,费用类别表,0)),"合同外款"))</f>
        <v/>
      </c>
      <c r="I574" s="33"/>
      <c r="J574" s="33"/>
      <c r="K574" s="39"/>
      <c r="L574" s="33"/>
      <c r="M574" s="25"/>
      <c r="N574" s="39"/>
      <c r="O574" s="35" t="str">
        <f aca="false">IF($C574="","",IF(N($N574)&lt;=0,"未开票",IF(ROUND(N($N574)-N($K574),2)&gt;=0,"已开票",IFERROR("部分开票 "&amp;TEXT(N($N574)/N($K574),"0%"),"部分开票"))))</f>
        <v/>
      </c>
      <c r="P574" s="40" t="str">
        <f aca="false">IF($C574="","",ROUND($V574+MIN($W574,MAX(0,(SUMIF(收款键,$D574,收款金额)-SUMIFS(收款金额,收款键,$D574,收款关联,"&lt;&gt;"))-($X574-$W574))),2))</f>
        <v/>
      </c>
      <c r="Q574" s="41" t="str">
        <f aca="false">IF($C574="","",ROUND(N($K574)-N($P574),2))</f>
        <v/>
      </c>
      <c r="R574" s="29" t="str">
        <f aca="false">IF($C574="","",YEAR($C574))</f>
        <v/>
      </c>
      <c r="S574" s="24"/>
      <c r="T574" s="35" t="str">
        <f aca="false">IF($C574="","",IF($D574="","★没选客户项目",IF(COUNTIF(合同键,$D574)=0,"★《维保合同》里没这个项目",IF(N($K574)&lt;=0,"★应收金额要填",IF(ROUND(N($N574)-N($K574),2)&gt;0.001,"★开票金额大于应收",IF(AND($L574&lt;&gt;"",N($N574)&lt;=0),"★填了开票日期没填开票金额",IF(AND($I574&lt;&gt;"",$J574&lt;&gt;"",$J574&lt;$I574),"★计费期间起止反了","OK")))))))</f>
        <v/>
      </c>
      <c r="U574" s="29" t="str">
        <f aca="false">IF($L574="","",YEAR($L574))</f>
        <v/>
      </c>
      <c r="V574" s="40" t="str">
        <f aca="false">IF($C574="","",ROUND(SUMIF(收款关联,$B574,收款金额),2))</f>
        <v/>
      </c>
      <c r="W574" s="40" t="str">
        <f aca="false">IF($C574="","",MAX(0,ROUND(N($K574)-N($V574),2)))</f>
        <v/>
      </c>
      <c r="X574" s="40" t="str">
        <f aca="false">IF($C574="","",ROUND(SUMIFS(应收净额,应收键,$D574,应收行号,"&lt;="&amp;ROW()),2))</f>
        <v/>
      </c>
      <c r="Y574" s="29" t="str">
        <f aca="false">IF($C574="","",ROW())</f>
        <v/>
      </c>
    </row>
    <row r="575" customFormat="false" ht="15" hidden="false" customHeight="false" outlineLevel="0" collapsed="false">
      <c r="A575" s="29" t="str">
        <f aca="false">IF($C575="","",ROW()-4)</f>
        <v/>
      </c>
      <c r="B575" s="35" t="str">
        <f aca="false">IF($C575="","","YS"&amp;TEXT($C575,"yyyymm")&amp;"-"&amp;TEXT(ROW()-4,"0000"))</f>
        <v/>
      </c>
      <c r="C575" s="33"/>
      <c r="D575" s="24"/>
      <c r="E575" s="30" t="str">
        <f aca="false">IF($D575="","",IFERROR(INDEX(合同单位,MATCH($D575,合同键,0)),IFERROR(TRIM(LEFT($D575,FIND("｜",$D575)-1)),$D575)))</f>
        <v/>
      </c>
      <c r="F575" s="30" t="str">
        <f aca="false">IF($D575="","",IFERROR(INDEX(合同项目,MATCH($D575,合同键,0)),IFERROR(TRIM(MID($D575,FIND("｜",$D575)+1,99)),"")))</f>
        <v/>
      </c>
      <c r="G575" s="24"/>
      <c r="H575" s="35" t="str">
        <f aca="false">IF($G575="","",IFERROR(INDEX(费用款别,MATCH($G575,费用类别表,0)),"合同外款"))</f>
        <v/>
      </c>
      <c r="I575" s="33"/>
      <c r="J575" s="33"/>
      <c r="K575" s="39"/>
      <c r="L575" s="33"/>
      <c r="M575" s="25"/>
      <c r="N575" s="39"/>
      <c r="O575" s="35" t="str">
        <f aca="false">IF($C575="","",IF(N($N575)&lt;=0,"未开票",IF(ROUND(N($N575)-N($K575),2)&gt;=0,"已开票",IFERROR("部分开票 "&amp;TEXT(N($N575)/N($K575),"0%"),"部分开票"))))</f>
        <v/>
      </c>
      <c r="P575" s="40" t="str">
        <f aca="false">IF($C575="","",ROUND($V575+MIN($W575,MAX(0,(SUMIF(收款键,$D575,收款金额)-SUMIFS(收款金额,收款键,$D575,收款关联,"&lt;&gt;"))-($X575-$W575))),2))</f>
        <v/>
      </c>
      <c r="Q575" s="41" t="str">
        <f aca="false">IF($C575="","",ROUND(N($K575)-N($P575),2))</f>
        <v/>
      </c>
      <c r="R575" s="29" t="str">
        <f aca="false">IF($C575="","",YEAR($C575))</f>
        <v/>
      </c>
      <c r="S575" s="24"/>
      <c r="T575" s="35" t="str">
        <f aca="false">IF($C575="","",IF($D575="","★没选客户项目",IF(COUNTIF(合同键,$D575)=0,"★《维保合同》里没这个项目",IF(N($K575)&lt;=0,"★应收金额要填",IF(ROUND(N($N575)-N($K575),2)&gt;0.001,"★开票金额大于应收",IF(AND($L575&lt;&gt;"",N($N575)&lt;=0),"★填了开票日期没填开票金额",IF(AND($I575&lt;&gt;"",$J575&lt;&gt;"",$J575&lt;$I575),"★计费期间起止反了","OK")))))))</f>
        <v/>
      </c>
      <c r="U575" s="29" t="str">
        <f aca="false">IF($L575="","",YEAR($L575))</f>
        <v/>
      </c>
      <c r="V575" s="40" t="str">
        <f aca="false">IF($C575="","",ROUND(SUMIF(收款关联,$B575,收款金额),2))</f>
        <v/>
      </c>
      <c r="W575" s="40" t="str">
        <f aca="false">IF($C575="","",MAX(0,ROUND(N($K575)-N($V575),2)))</f>
        <v/>
      </c>
      <c r="X575" s="40" t="str">
        <f aca="false">IF($C575="","",ROUND(SUMIFS(应收净额,应收键,$D575,应收行号,"&lt;="&amp;ROW()),2))</f>
        <v/>
      </c>
      <c r="Y575" s="29" t="str">
        <f aca="false">IF($C575="","",ROW())</f>
        <v/>
      </c>
    </row>
    <row r="576" customFormat="false" ht="15" hidden="false" customHeight="false" outlineLevel="0" collapsed="false">
      <c r="A576" s="29" t="str">
        <f aca="false">IF($C576="","",ROW()-4)</f>
        <v/>
      </c>
      <c r="B576" s="35" t="str">
        <f aca="false">IF($C576="","","YS"&amp;TEXT($C576,"yyyymm")&amp;"-"&amp;TEXT(ROW()-4,"0000"))</f>
        <v/>
      </c>
      <c r="C576" s="33"/>
      <c r="D576" s="24"/>
      <c r="E576" s="30" t="str">
        <f aca="false">IF($D576="","",IFERROR(INDEX(合同单位,MATCH($D576,合同键,0)),IFERROR(TRIM(LEFT($D576,FIND("｜",$D576)-1)),$D576)))</f>
        <v/>
      </c>
      <c r="F576" s="30" t="str">
        <f aca="false">IF($D576="","",IFERROR(INDEX(合同项目,MATCH($D576,合同键,0)),IFERROR(TRIM(MID($D576,FIND("｜",$D576)+1,99)),"")))</f>
        <v/>
      </c>
      <c r="G576" s="24"/>
      <c r="H576" s="35" t="str">
        <f aca="false">IF($G576="","",IFERROR(INDEX(费用款别,MATCH($G576,费用类别表,0)),"合同外款"))</f>
        <v/>
      </c>
      <c r="I576" s="33"/>
      <c r="J576" s="33"/>
      <c r="K576" s="39"/>
      <c r="L576" s="33"/>
      <c r="M576" s="25"/>
      <c r="N576" s="39"/>
      <c r="O576" s="35" t="str">
        <f aca="false">IF($C576="","",IF(N($N576)&lt;=0,"未开票",IF(ROUND(N($N576)-N($K576),2)&gt;=0,"已开票",IFERROR("部分开票 "&amp;TEXT(N($N576)/N($K576),"0%"),"部分开票"))))</f>
        <v/>
      </c>
      <c r="P576" s="40" t="str">
        <f aca="false">IF($C576="","",ROUND($V576+MIN($W576,MAX(0,(SUMIF(收款键,$D576,收款金额)-SUMIFS(收款金额,收款键,$D576,收款关联,"&lt;&gt;"))-($X576-$W576))),2))</f>
        <v/>
      </c>
      <c r="Q576" s="41" t="str">
        <f aca="false">IF($C576="","",ROUND(N($K576)-N($P576),2))</f>
        <v/>
      </c>
      <c r="R576" s="29" t="str">
        <f aca="false">IF($C576="","",YEAR($C576))</f>
        <v/>
      </c>
      <c r="S576" s="24"/>
      <c r="T576" s="35" t="str">
        <f aca="false">IF($C576="","",IF($D576="","★没选客户项目",IF(COUNTIF(合同键,$D576)=0,"★《维保合同》里没这个项目",IF(N($K576)&lt;=0,"★应收金额要填",IF(ROUND(N($N576)-N($K576),2)&gt;0.001,"★开票金额大于应收",IF(AND($L576&lt;&gt;"",N($N576)&lt;=0),"★填了开票日期没填开票金额",IF(AND($I576&lt;&gt;"",$J576&lt;&gt;"",$J576&lt;$I576),"★计费期间起止反了","OK")))))))</f>
        <v/>
      </c>
      <c r="U576" s="29" t="str">
        <f aca="false">IF($L576="","",YEAR($L576))</f>
        <v/>
      </c>
      <c r="V576" s="40" t="str">
        <f aca="false">IF($C576="","",ROUND(SUMIF(收款关联,$B576,收款金额),2))</f>
        <v/>
      </c>
      <c r="W576" s="40" t="str">
        <f aca="false">IF($C576="","",MAX(0,ROUND(N($K576)-N($V576),2)))</f>
        <v/>
      </c>
      <c r="X576" s="40" t="str">
        <f aca="false">IF($C576="","",ROUND(SUMIFS(应收净额,应收键,$D576,应收行号,"&lt;="&amp;ROW()),2))</f>
        <v/>
      </c>
      <c r="Y576" s="29" t="str">
        <f aca="false">IF($C576="","",ROW())</f>
        <v/>
      </c>
    </row>
    <row r="577" customFormat="false" ht="15" hidden="false" customHeight="false" outlineLevel="0" collapsed="false">
      <c r="A577" s="29" t="str">
        <f aca="false">IF($C577="","",ROW()-4)</f>
        <v/>
      </c>
      <c r="B577" s="35" t="str">
        <f aca="false">IF($C577="","","YS"&amp;TEXT($C577,"yyyymm")&amp;"-"&amp;TEXT(ROW()-4,"0000"))</f>
        <v/>
      </c>
      <c r="C577" s="33"/>
      <c r="D577" s="24"/>
      <c r="E577" s="30" t="str">
        <f aca="false">IF($D577="","",IFERROR(INDEX(合同单位,MATCH($D577,合同键,0)),IFERROR(TRIM(LEFT($D577,FIND("｜",$D577)-1)),$D577)))</f>
        <v/>
      </c>
      <c r="F577" s="30" t="str">
        <f aca="false">IF($D577="","",IFERROR(INDEX(合同项目,MATCH($D577,合同键,0)),IFERROR(TRIM(MID($D577,FIND("｜",$D577)+1,99)),"")))</f>
        <v/>
      </c>
      <c r="G577" s="24"/>
      <c r="H577" s="35" t="str">
        <f aca="false">IF($G577="","",IFERROR(INDEX(费用款别,MATCH($G577,费用类别表,0)),"合同外款"))</f>
        <v/>
      </c>
      <c r="I577" s="33"/>
      <c r="J577" s="33"/>
      <c r="K577" s="39"/>
      <c r="L577" s="33"/>
      <c r="M577" s="25"/>
      <c r="N577" s="39"/>
      <c r="O577" s="35" t="str">
        <f aca="false">IF($C577="","",IF(N($N577)&lt;=0,"未开票",IF(ROUND(N($N577)-N($K577),2)&gt;=0,"已开票",IFERROR("部分开票 "&amp;TEXT(N($N577)/N($K577),"0%"),"部分开票"))))</f>
        <v/>
      </c>
      <c r="P577" s="40" t="str">
        <f aca="false">IF($C577="","",ROUND($V577+MIN($W577,MAX(0,(SUMIF(收款键,$D577,收款金额)-SUMIFS(收款金额,收款键,$D577,收款关联,"&lt;&gt;"))-($X577-$W577))),2))</f>
        <v/>
      </c>
      <c r="Q577" s="41" t="str">
        <f aca="false">IF($C577="","",ROUND(N($K577)-N($P577),2))</f>
        <v/>
      </c>
      <c r="R577" s="29" t="str">
        <f aca="false">IF($C577="","",YEAR($C577))</f>
        <v/>
      </c>
      <c r="S577" s="24"/>
      <c r="T577" s="35" t="str">
        <f aca="false">IF($C577="","",IF($D577="","★没选客户项目",IF(COUNTIF(合同键,$D577)=0,"★《维保合同》里没这个项目",IF(N($K577)&lt;=0,"★应收金额要填",IF(ROUND(N($N577)-N($K577),2)&gt;0.001,"★开票金额大于应收",IF(AND($L577&lt;&gt;"",N($N577)&lt;=0),"★填了开票日期没填开票金额",IF(AND($I577&lt;&gt;"",$J577&lt;&gt;"",$J577&lt;$I577),"★计费期间起止反了","OK")))))))</f>
        <v/>
      </c>
      <c r="U577" s="29" t="str">
        <f aca="false">IF($L577="","",YEAR($L577))</f>
        <v/>
      </c>
      <c r="V577" s="40" t="str">
        <f aca="false">IF($C577="","",ROUND(SUMIF(收款关联,$B577,收款金额),2))</f>
        <v/>
      </c>
      <c r="W577" s="40" t="str">
        <f aca="false">IF($C577="","",MAX(0,ROUND(N($K577)-N($V577),2)))</f>
        <v/>
      </c>
      <c r="X577" s="40" t="str">
        <f aca="false">IF($C577="","",ROUND(SUMIFS(应收净额,应收键,$D577,应收行号,"&lt;="&amp;ROW()),2))</f>
        <v/>
      </c>
      <c r="Y577" s="29" t="str">
        <f aca="false">IF($C577="","",ROW())</f>
        <v/>
      </c>
    </row>
    <row r="578" customFormat="false" ht="15" hidden="false" customHeight="false" outlineLevel="0" collapsed="false">
      <c r="A578" s="29" t="str">
        <f aca="false">IF($C578="","",ROW()-4)</f>
        <v/>
      </c>
      <c r="B578" s="35" t="str">
        <f aca="false">IF($C578="","","YS"&amp;TEXT($C578,"yyyymm")&amp;"-"&amp;TEXT(ROW()-4,"0000"))</f>
        <v/>
      </c>
      <c r="C578" s="33"/>
      <c r="D578" s="24"/>
      <c r="E578" s="30" t="str">
        <f aca="false">IF($D578="","",IFERROR(INDEX(合同单位,MATCH($D578,合同键,0)),IFERROR(TRIM(LEFT($D578,FIND("｜",$D578)-1)),$D578)))</f>
        <v/>
      </c>
      <c r="F578" s="30" t="str">
        <f aca="false">IF($D578="","",IFERROR(INDEX(合同项目,MATCH($D578,合同键,0)),IFERROR(TRIM(MID($D578,FIND("｜",$D578)+1,99)),"")))</f>
        <v/>
      </c>
      <c r="G578" s="24"/>
      <c r="H578" s="35" t="str">
        <f aca="false">IF($G578="","",IFERROR(INDEX(费用款别,MATCH($G578,费用类别表,0)),"合同外款"))</f>
        <v/>
      </c>
      <c r="I578" s="33"/>
      <c r="J578" s="33"/>
      <c r="K578" s="39"/>
      <c r="L578" s="33"/>
      <c r="M578" s="25"/>
      <c r="N578" s="39"/>
      <c r="O578" s="35" t="str">
        <f aca="false">IF($C578="","",IF(N($N578)&lt;=0,"未开票",IF(ROUND(N($N578)-N($K578),2)&gt;=0,"已开票",IFERROR("部分开票 "&amp;TEXT(N($N578)/N($K578),"0%"),"部分开票"))))</f>
        <v/>
      </c>
      <c r="P578" s="40" t="str">
        <f aca="false">IF($C578="","",ROUND($V578+MIN($W578,MAX(0,(SUMIF(收款键,$D578,收款金额)-SUMIFS(收款金额,收款键,$D578,收款关联,"&lt;&gt;"))-($X578-$W578))),2))</f>
        <v/>
      </c>
      <c r="Q578" s="41" t="str">
        <f aca="false">IF($C578="","",ROUND(N($K578)-N($P578),2))</f>
        <v/>
      </c>
      <c r="R578" s="29" t="str">
        <f aca="false">IF($C578="","",YEAR($C578))</f>
        <v/>
      </c>
      <c r="S578" s="24"/>
      <c r="T578" s="35" t="str">
        <f aca="false">IF($C578="","",IF($D578="","★没选客户项目",IF(COUNTIF(合同键,$D578)=0,"★《维保合同》里没这个项目",IF(N($K578)&lt;=0,"★应收金额要填",IF(ROUND(N($N578)-N($K578),2)&gt;0.001,"★开票金额大于应收",IF(AND($L578&lt;&gt;"",N($N578)&lt;=0),"★填了开票日期没填开票金额",IF(AND($I578&lt;&gt;"",$J578&lt;&gt;"",$J578&lt;$I578),"★计费期间起止反了","OK")))))))</f>
        <v/>
      </c>
      <c r="U578" s="29" t="str">
        <f aca="false">IF($L578="","",YEAR($L578))</f>
        <v/>
      </c>
      <c r="V578" s="40" t="str">
        <f aca="false">IF($C578="","",ROUND(SUMIF(收款关联,$B578,收款金额),2))</f>
        <v/>
      </c>
      <c r="W578" s="40" t="str">
        <f aca="false">IF($C578="","",MAX(0,ROUND(N($K578)-N($V578),2)))</f>
        <v/>
      </c>
      <c r="X578" s="40" t="str">
        <f aca="false">IF($C578="","",ROUND(SUMIFS(应收净额,应收键,$D578,应收行号,"&lt;="&amp;ROW()),2))</f>
        <v/>
      </c>
      <c r="Y578" s="29" t="str">
        <f aca="false">IF($C578="","",ROW())</f>
        <v/>
      </c>
    </row>
    <row r="579" customFormat="false" ht="15" hidden="false" customHeight="false" outlineLevel="0" collapsed="false">
      <c r="A579" s="29" t="str">
        <f aca="false">IF($C579="","",ROW()-4)</f>
        <v/>
      </c>
      <c r="B579" s="35" t="str">
        <f aca="false">IF($C579="","","YS"&amp;TEXT($C579,"yyyymm")&amp;"-"&amp;TEXT(ROW()-4,"0000"))</f>
        <v/>
      </c>
      <c r="C579" s="33"/>
      <c r="D579" s="24"/>
      <c r="E579" s="30" t="str">
        <f aca="false">IF($D579="","",IFERROR(INDEX(合同单位,MATCH($D579,合同键,0)),IFERROR(TRIM(LEFT($D579,FIND("｜",$D579)-1)),$D579)))</f>
        <v/>
      </c>
      <c r="F579" s="30" t="str">
        <f aca="false">IF($D579="","",IFERROR(INDEX(合同项目,MATCH($D579,合同键,0)),IFERROR(TRIM(MID($D579,FIND("｜",$D579)+1,99)),"")))</f>
        <v/>
      </c>
      <c r="G579" s="24"/>
      <c r="H579" s="35" t="str">
        <f aca="false">IF($G579="","",IFERROR(INDEX(费用款别,MATCH($G579,费用类别表,0)),"合同外款"))</f>
        <v/>
      </c>
      <c r="I579" s="33"/>
      <c r="J579" s="33"/>
      <c r="K579" s="39"/>
      <c r="L579" s="33"/>
      <c r="M579" s="25"/>
      <c r="N579" s="39"/>
      <c r="O579" s="35" t="str">
        <f aca="false">IF($C579="","",IF(N($N579)&lt;=0,"未开票",IF(ROUND(N($N579)-N($K579),2)&gt;=0,"已开票",IFERROR("部分开票 "&amp;TEXT(N($N579)/N($K579),"0%"),"部分开票"))))</f>
        <v/>
      </c>
      <c r="P579" s="40" t="str">
        <f aca="false">IF($C579="","",ROUND($V579+MIN($W579,MAX(0,(SUMIF(收款键,$D579,收款金额)-SUMIFS(收款金额,收款键,$D579,收款关联,"&lt;&gt;"))-($X579-$W579))),2))</f>
        <v/>
      </c>
      <c r="Q579" s="41" t="str">
        <f aca="false">IF($C579="","",ROUND(N($K579)-N($P579),2))</f>
        <v/>
      </c>
      <c r="R579" s="29" t="str">
        <f aca="false">IF($C579="","",YEAR($C579))</f>
        <v/>
      </c>
      <c r="S579" s="24"/>
      <c r="T579" s="35" t="str">
        <f aca="false">IF($C579="","",IF($D579="","★没选客户项目",IF(COUNTIF(合同键,$D579)=0,"★《维保合同》里没这个项目",IF(N($K579)&lt;=0,"★应收金额要填",IF(ROUND(N($N579)-N($K579),2)&gt;0.001,"★开票金额大于应收",IF(AND($L579&lt;&gt;"",N($N579)&lt;=0),"★填了开票日期没填开票金额",IF(AND($I579&lt;&gt;"",$J579&lt;&gt;"",$J579&lt;$I579),"★计费期间起止反了","OK")))))))</f>
        <v/>
      </c>
      <c r="U579" s="29" t="str">
        <f aca="false">IF($L579="","",YEAR($L579))</f>
        <v/>
      </c>
      <c r="V579" s="40" t="str">
        <f aca="false">IF($C579="","",ROUND(SUMIF(收款关联,$B579,收款金额),2))</f>
        <v/>
      </c>
      <c r="W579" s="40" t="str">
        <f aca="false">IF($C579="","",MAX(0,ROUND(N($K579)-N($V579),2)))</f>
        <v/>
      </c>
      <c r="X579" s="40" t="str">
        <f aca="false">IF($C579="","",ROUND(SUMIFS(应收净额,应收键,$D579,应收行号,"&lt;="&amp;ROW()),2))</f>
        <v/>
      </c>
      <c r="Y579" s="29" t="str">
        <f aca="false">IF($C579="","",ROW())</f>
        <v/>
      </c>
    </row>
    <row r="580" customFormat="false" ht="15" hidden="false" customHeight="false" outlineLevel="0" collapsed="false">
      <c r="A580" s="29" t="str">
        <f aca="false">IF($C580="","",ROW()-4)</f>
        <v/>
      </c>
      <c r="B580" s="35" t="str">
        <f aca="false">IF($C580="","","YS"&amp;TEXT($C580,"yyyymm")&amp;"-"&amp;TEXT(ROW()-4,"0000"))</f>
        <v/>
      </c>
      <c r="C580" s="33"/>
      <c r="D580" s="24"/>
      <c r="E580" s="30" t="str">
        <f aca="false">IF($D580="","",IFERROR(INDEX(合同单位,MATCH($D580,合同键,0)),IFERROR(TRIM(LEFT($D580,FIND("｜",$D580)-1)),$D580)))</f>
        <v/>
      </c>
      <c r="F580" s="30" t="str">
        <f aca="false">IF($D580="","",IFERROR(INDEX(合同项目,MATCH($D580,合同键,0)),IFERROR(TRIM(MID($D580,FIND("｜",$D580)+1,99)),"")))</f>
        <v/>
      </c>
      <c r="G580" s="24"/>
      <c r="H580" s="35" t="str">
        <f aca="false">IF($G580="","",IFERROR(INDEX(费用款别,MATCH($G580,费用类别表,0)),"合同外款"))</f>
        <v/>
      </c>
      <c r="I580" s="33"/>
      <c r="J580" s="33"/>
      <c r="K580" s="39"/>
      <c r="L580" s="33"/>
      <c r="M580" s="25"/>
      <c r="N580" s="39"/>
      <c r="O580" s="35" t="str">
        <f aca="false">IF($C580="","",IF(N($N580)&lt;=0,"未开票",IF(ROUND(N($N580)-N($K580),2)&gt;=0,"已开票",IFERROR("部分开票 "&amp;TEXT(N($N580)/N($K580),"0%"),"部分开票"))))</f>
        <v/>
      </c>
      <c r="P580" s="40" t="str">
        <f aca="false">IF($C580="","",ROUND($V580+MIN($W580,MAX(0,(SUMIF(收款键,$D580,收款金额)-SUMIFS(收款金额,收款键,$D580,收款关联,"&lt;&gt;"))-($X580-$W580))),2))</f>
        <v/>
      </c>
      <c r="Q580" s="41" t="str">
        <f aca="false">IF($C580="","",ROUND(N($K580)-N($P580),2))</f>
        <v/>
      </c>
      <c r="R580" s="29" t="str">
        <f aca="false">IF($C580="","",YEAR($C580))</f>
        <v/>
      </c>
      <c r="S580" s="24"/>
      <c r="T580" s="35" t="str">
        <f aca="false">IF($C580="","",IF($D580="","★没选客户项目",IF(COUNTIF(合同键,$D580)=0,"★《维保合同》里没这个项目",IF(N($K580)&lt;=0,"★应收金额要填",IF(ROUND(N($N580)-N($K580),2)&gt;0.001,"★开票金额大于应收",IF(AND($L580&lt;&gt;"",N($N580)&lt;=0),"★填了开票日期没填开票金额",IF(AND($I580&lt;&gt;"",$J580&lt;&gt;"",$J580&lt;$I580),"★计费期间起止反了","OK")))))))</f>
        <v/>
      </c>
      <c r="U580" s="29" t="str">
        <f aca="false">IF($L580="","",YEAR($L580))</f>
        <v/>
      </c>
      <c r="V580" s="40" t="str">
        <f aca="false">IF($C580="","",ROUND(SUMIF(收款关联,$B580,收款金额),2))</f>
        <v/>
      </c>
      <c r="W580" s="40" t="str">
        <f aca="false">IF($C580="","",MAX(0,ROUND(N($K580)-N($V580),2)))</f>
        <v/>
      </c>
      <c r="X580" s="40" t="str">
        <f aca="false">IF($C580="","",ROUND(SUMIFS(应收净额,应收键,$D580,应收行号,"&lt;="&amp;ROW()),2))</f>
        <v/>
      </c>
      <c r="Y580" s="29" t="str">
        <f aca="false">IF($C580="","",ROW())</f>
        <v/>
      </c>
    </row>
    <row r="581" customFormat="false" ht="15" hidden="false" customHeight="false" outlineLevel="0" collapsed="false">
      <c r="A581" s="29" t="str">
        <f aca="false">IF($C581="","",ROW()-4)</f>
        <v/>
      </c>
      <c r="B581" s="35" t="str">
        <f aca="false">IF($C581="","","YS"&amp;TEXT($C581,"yyyymm")&amp;"-"&amp;TEXT(ROW()-4,"0000"))</f>
        <v/>
      </c>
      <c r="C581" s="33"/>
      <c r="D581" s="24"/>
      <c r="E581" s="30" t="str">
        <f aca="false">IF($D581="","",IFERROR(INDEX(合同单位,MATCH($D581,合同键,0)),IFERROR(TRIM(LEFT($D581,FIND("｜",$D581)-1)),$D581)))</f>
        <v/>
      </c>
      <c r="F581" s="30" t="str">
        <f aca="false">IF($D581="","",IFERROR(INDEX(合同项目,MATCH($D581,合同键,0)),IFERROR(TRIM(MID($D581,FIND("｜",$D581)+1,99)),"")))</f>
        <v/>
      </c>
      <c r="G581" s="24"/>
      <c r="H581" s="35" t="str">
        <f aca="false">IF($G581="","",IFERROR(INDEX(费用款别,MATCH($G581,费用类别表,0)),"合同外款"))</f>
        <v/>
      </c>
      <c r="I581" s="33"/>
      <c r="J581" s="33"/>
      <c r="K581" s="39"/>
      <c r="L581" s="33"/>
      <c r="M581" s="25"/>
      <c r="N581" s="39"/>
      <c r="O581" s="35" t="str">
        <f aca="false">IF($C581="","",IF(N($N581)&lt;=0,"未开票",IF(ROUND(N($N581)-N($K581),2)&gt;=0,"已开票",IFERROR("部分开票 "&amp;TEXT(N($N581)/N($K581),"0%"),"部分开票"))))</f>
        <v/>
      </c>
      <c r="P581" s="40" t="str">
        <f aca="false">IF($C581="","",ROUND($V581+MIN($W581,MAX(0,(SUMIF(收款键,$D581,收款金额)-SUMIFS(收款金额,收款键,$D581,收款关联,"&lt;&gt;"))-($X581-$W581))),2))</f>
        <v/>
      </c>
      <c r="Q581" s="41" t="str">
        <f aca="false">IF($C581="","",ROUND(N($K581)-N($P581),2))</f>
        <v/>
      </c>
      <c r="R581" s="29" t="str">
        <f aca="false">IF($C581="","",YEAR($C581))</f>
        <v/>
      </c>
      <c r="S581" s="24"/>
      <c r="T581" s="35" t="str">
        <f aca="false">IF($C581="","",IF($D581="","★没选客户项目",IF(COUNTIF(合同键,$D581)=0,"★《维保合同》里没这个项目",IF(N($K581)&lt;=0,"★应收金额要填",IF(ROUND(N($N581)-N($K581),2)&gt;0.001,"★开票金额大于应收",IF(AND($L581&lt;&gt;"",N($N581)&lt;=0),"★填了开票日期没填开票金额",IF(AND($I581&lt;&gt;"",$J581&lt;&gt;"",$J581&lt;$I581),"★计费期间起止反了","OK")))))))</f>
        <v/>
      </c>
      <c r="U581" s="29" t="str">
        <f aca="false">IF($L581="","",YEAR($L581))</f>
        <v/>
      </c>
      <c r="V581" s="40" t="str">
        <f aca="false">IF($C581="","",ROUND(SUMIF(收款关联,$B581,收款金额),2))</f>
        <v/>
      </c>
      <c r="W581" s="40" t="str">
        <f aca="false">IF($C581="","",MAX(0,ROUND(N($K581)-N($V581),2)))</f>
        <v/>
      </c>
      <c r="X581" s="40" t="str">
        <f aca="false">IF($C581="","",ROUND(SUMIFS(应收净额,应收键,$D581,应收行号,"&lt;="&amp;ROW()),2))</f>
        <v/>
      </c>
      <c r="Y581" s="29" t="str">
        <f aca="false">IF($C581="","",ROW())</f>
        <v/>
      </c>
    </row>
    <row r="582" customFormat="false" ht="15" hidden="false" customHeight="false" outlineLevel="0" collapsed="false">
      <c r="A582" s="29" t="str">
        <f aca="false">IF($C582="","",ROW()-4)</f>
        <v/>
      </c>
      <c r="B582" s="35" t="str">
        <f aca="false">IF($C582="","","YS"&amp;TEXT($C582,"yyyymm")&amp;"-"&amp;TEXT(ROW()-4,"0000"))</f>
        <v/>
      </c>
      <c r="C582" s="33"/>
      <c r="D582" s="24"/>
      <c r="E582" s="30" t="str">
        <f aca="false">IF($D582="","",IFERROR(INDEX(合同单位,MATCH($D582,合同键,0)),IFERROR(TRIM(LEFT($D582,FIND("｜",$D582)-1)),$D582)))</f>
        <v/>
      </c>
      <c r="F582" s="30" t="str">
        <f aca="false">IF($D582="","",IFERROR(INDEX(合同项目,MATCH($D582,合同键,0)),IFERROR(TRIM(MID($D582,FIND("｜",$D582)+1,99)),"")))</f>
        <v/>
      </c>
      <c r="G582" s="24"/>
      <c r="H582" s="35" t="str">
        <f aca="false">IF($G582="","",IFERROR(INDEX(费用款别,MATCH($G582,费用类别表,0)),"合同外款"))</f>
        <v/>
      </c>
      <c r="I582" s="33"/>
      <c r="J582" s="33"/>
      <c r="K582" s="39"/>
      <c r="L582" s="33"/>
      <c r="M582" s="25"/>
      <c r="N582" s="39"/>
      <c r="O582" s="35" t="str">
        <f aca="false">IF($C582="","",IF(N($N582)&lt;=0,"未开票",IF(ROUND(N($N582)-N($K582),2)&gt;=0,"已开票",IFERROR("部分开票 "&amp;TEXT(N($N582)/N($K582),"0%"),"部分开票"))))</f>
        <v/>
      </c>
      <c r="P582" s="40" t="str">
        <f aca="false">IF($C582="","",ROUND($V582+MIN($W582,MAX(0,(SUMIF(收款键,$D582,收款金额)-SUMIFS(收款金额,收款键,$D582,收款关联,"&lt;&gt;"))-($X582-$W582))),2))</f>
        <v/>
      </c>
      <c r="Q582" s="41" t="str">
        <f aca="false">IF($C582="","",ROUND(N($K582)-N($P582),2))</f>
        <v/>
      </c>
      <c r="R582" s="29" t="str">
        <f aca="false">IF($C582="","",YEAR($C582))</f>
        <v/>
      </c>
      <c r="S582" s="24"/>
      <c r="T582" s="35" t="str">
        <f aca="false">IF($C582="","",IF($D582="","★没选客户项目",IF(COUNTIF(合同键,$D582)=0,"★《维保合同》里没这个项目",IF(N($K582)&lt;=0,"★应收金额要填",IF(ROUND(N($N582)-N($K582),2)&gt;0.001,"★开票金额大于应收",IF(AND($L582&lt;&gt;"",N($N582)&lt;=0),"★填了开票日期没填开票金额",IF(AND($I582&lt;&gt;"",$J582&lt;&gt;"",$J582&lt;$I582),"★计费期间起止反了","OK")))))))</f>
        <v/>
      </c>
      <c r="U582" s="29" t="str">
        <f aca="false">IF($L582="","",YEAR($L582))</f>
        <v/>
      </c>
      <c r="V582" s="40" t="str">
        <f aca="false">IF($C582="","",ROUND(SUMIF(收款关联,$B582,收款金额),2))</f>
        <v/>
      </c>
      <c r="W582" s="40" t="str">
        <f aca="false">IF($C582="","",MAX(0,ROUND(N($K582)-N($V582),2)))</f>
        <v/>
      </c>
      <c r="X582" s="40" t="str">
        <f aca="false">IF($C582="","",ROUND(SUMIFS(应收净额,应收键,$D582,应收行号,"&lt;="&amp;ROW()),2))</f>
        <v/>
      </c>
      <c r="Y582" s="29" t="str">
        <f aca="false">IF($C582="","",ROW())</f>
        <v/>
      </c>
    </row>
    <row r="583" customFormat="false" ht="15" hidden="false" customHeight="false" outlineLevel="0" collapsed="false">
      <c r="A583" s="29" t="str">
        <f aca="false">IF($C583="","",ROW()-4)</f>
        <v/>
      </c>
      <c r="B583" s="35" t="str">
        <f aca="false">IF($C583="","","YS"&amp;TEXT($C583,"yyyymm")&amp;"-"&amp;TEXT(ROW()-4,"0000"))</f>
        <v/>
      </c>
      <c r="C583" s="33"/>
      <c r="D583" s="24"/>
      <c r="E583" s="30" t="str">
        <f aca="false">IF($D583="","",IFERROR(INDEX(合同单位,MATCH($D583,合同键,0)),IFERROR(TRIM(LEFT($D583,FIND("｜",$D583)-1)),$D583)))</f>
        <v/>
      </c>
      <c r="F583" s="30" t="str">
        <f aca="false">IF($D583="","",IFERROR(INDEX(合同项目,MATCH($D583,合同键,0)),IFERROR(TRIM(MID($D583,FIND("｜",$D583)+1,99)),"")))</f>
        <v/>
      </c>
      <c r="G583" s="24"/>
      <c r="H583" s="35" t="str">
        <f aca="false">IF($G583="","",IFERROR(INDEX(费用款别,MATCH($G583,费用类别表,0)),"合同外款"))</f>
        <v/>
      </c>
      <c r="I583" s="33"/>
      <c r="J583" s="33"/>
      <c r="K583" s="39"/>
      <c r="L583" s="33"/>
      <c r="M583" s="25"/>
      <c r="N583" s="39"/>
      <c r="O583" s="35" t="str">
        <f aca="false">IF($C583="","",IF(N($N583)&lt;=0,"未开票",IF(ROUND(N($N583)-N($K583),2)&gt;=0,"已开票",IFERROR("部分开票 "&amp;TEXT(N($N583)/N($K583),"0%"),"部分开票"))))</f>
        <v/>
      </c>
      <c r="P583" s="40" t="str">
        <f aca="false">IF($C583="","",ROUND($V583+MIN($W583,MAX(0,(SUMIF(收款键,$D583,收款金额)-SUMIFS(收款金额,收款键,$D583,收款关联,"&lt;&gt;"))-($X583-$W583))),2))</f>
        <v/>
      </c>
      <c r="Q583" s="41" t="str">
        <f aca="false">IF($C583="","",ROUND(N($K583)-N($P583),2))</f>
        <v/>
      </c>
      <c r="R583" s="29" t="str">
        <f aca="false">IF($C583="","",YEAR($C583))</f>
        <v/>
      </c>
      <c r="S583" s="24"/>
      <c r="T583" s="35" t="str">
        <f aca="false">IF($C583="","",IF($D583="","★没选客户项目",IF(COUNTIF(合同键,$D583)=0,"★《维保合同》里没这个项目",IF(N($K583)&lt;=0,"★应收金额要填",IF(ROUND(N($N583)-N($K583),2)&gt;0.001,"★开票金额大于应收",IF(AND($L583&lt;&gt;"",N($N583)&lt;=0),"★填了开票日期没填开票金额",IF(AND($I583&lt;&gt;"",$J583&lt;&gt;"",$J583&lt;$I583),"★计费期间起止反了","OK")))))))</f>
        <v/>
      </c>
      <c r="U583" s="29" t="str">
        <f aca="false">IF($L583="","",YEAR($L583))</f>
        <v/>
      </c>
      <c r="V583" s="40" t="str">
        <f aca="false">IF($C583="","",ROUND(SUMIF(收款关联,$B583,收款金额),2))</f>
        <v/>
      </c>
      <c r="W583" s="40" t="str">
        <f aca="false">IF($C583="","",MAX(0,ROUND(N($K583)-N($V583),2)))</f>
        <v/>
      </c>
      <c r="X583" s="40" t="str">
        <f aca="false">IF($C583="","",ROUND(SUMIFS(应收净额,应收键,$D583,应收行号,"&lt;="&amp;ROW()),2))</f>
        <v/>
      </c>
      <c r="Y583" s="29" t="str">
        <f aca="false">IF($C583="","",ROW())</f>
        <v/>
      </c>
    </row>
    <row r="584" customFormat="false" ht="15" hidden="false" customHeight="false" outlineLevel="0" collapsed="false">
      <c r="A584" s="29" t="str">
        <f aca="false">IF($C584="","",ROW()-4)</f>
        <v/>
      </c>
      <c r="B584" s="35" t="str">
        <f aca="false">IF($C584="","","YS"&amp;TEXT($C584,"yyyymm")&amp;"-"&amp;TEXT(ROW()-4,"0000"))</f>
        <v/>
      </c>
      <c r="C584" s="33"/>
      <c r="D584" s="24"/>
      <c r="E584" s="30" t="str">
        <f aca="false">IF($D584="","",IFERROR(INDEX(合同单位,MATCH($D584,合同键,0)),IFERROR(TRIM(LEFT($D584,FIND("｜",$D584)-1)),$D584)))</f>
        <v/>
      </c>
      <c r="F584" s="30" t="str">
        <f aca="false">IF($D584="","",IFERROR(INDEX(合同项目,MATCH($D584,合同键,0)),IFERROR(TRIM(MID($D584,FIND("｜",$D584)+1,99)),"")))</f>
        <v/>
      </c>
      <c r="G584" s="24"/>
      <c r="H584" s="35" t="str">
        <f aca="false">IF($G584="","",IFERROR(INDEX(费用款别,MATCH($G584,费用类别表,0)),"合同外款"))</f>
        <v/>
      </c>
      <c r="I584" s="33"/>
      <c r="J584" s="33"/>
      <c r="K584" s="39"/>
      <c r="L584" s="33"/>
      <c r="M584" s="25"/>
      <c r="N584" s="39"/>
      <c r="O584" s="35" t="str">
        <f aca="false">IF($C584="","",IF(N($N584)&lt;=0,"未开票",IF(ROUND(N($N584)-N($K584),2)&gt;=0,"已开票",IFERROR("部分开票 "&amp;TEXT(N($N584)/N($K584),"0%"),"部分开票"))))</f>
        <v/>
      </c>
      <c r="P584" s="40" t="str">
        <f aca="false">IF($C584="","",ROUND($V584+MIN($W584,MAX(0,(SUMIF(收款键,$D584,收款金额)-SUMIFS(收款金额,收款键,$D584,收款关联,"&lt;&gt;"))-($X584-$W584))),2))</f>
        <v/>
      </c>
      <c r="Q584" s="41" t="str">
        <f aca="false">IF($C584="","",ROUND(N($K584)-N($P584),2))</f>
        <v/>
      </c>
      <c r="R584" s="29" t="str">
        <f aca="false">IF($C584="","",YEAR($C584))</f>
        <v/>
      </c>
      <c r="S584" s="24"/>
      <c r="T584" s="35" t="str">
        <f aca="false">IF($C584="","",IF($D584="","★没选客户项目",IF(COUNTIF(合同键,$D584)=0,"★《维保合同》里没这个项目",IF(N($K584)&lt;=0,"★应收金额要填",IF(ROUND(N($N584)-N($K584),2)&gt;0.001,"★开票金额大于应收",IF(AND($L584&lt;&gt;"",N($N584)&lt;=0),"★填了开票日期没填开票金额",IF(AND($I584&lt;&gt;"",$J584&lt;&gt;"",$J584&lt;$I584),"★计费期间起止反了","OK")))))))</f>
        <v/>
      </c>
      <c r="U584" s="29" t="str">
        <f aca="false">IF($L584="","",YEAR($L584))</f>
        <v/>
      </c>
      <c r="V584" s="40" t="str">
        <f aca="false">IF($C584="","",ROUND(SUMIF(收款关联,$B584,收款金额),2))</f>
        <v/>
      </c>
      <c r="W584" s="40" t="str">
        <f aca="false">IF($C584="","",MAX(0,ROUND(N($K584)-N($V584),2)))</f>
        <v/>
      </c>
      <c r="X584" s="40" t="str">
        <f aca="false">IF($C584="","",ROUND(SUMIFS(应收净额,应收键,$D584,应收行号,"&lt;="&amp;ROW()),2))</f>
        <v/>
      </c>
      <c r="Y584" s="29" t="str">
        <f aca="false">IF($C584="","",ROW())</f>
        <v/>
      </c>
    </row>
    <row r="585" customFormat="false" ht="15" hidden="false" customHeight="false" outlineLevel="0" collapsed="false">
      <c r="A585" s="29" t="str">
        <f aca="false">IF($C585="","",ROW()-4)</f>
        <v/>
      </c>
      <c r="B585" s="35" t="str">
        <f aca="false">IF($C585="","","YS"&amp;TEXT($C585,"yyyymm")&amp;"-"&amp;TEXT(ROW()-4,"0000"))</f>
        <v/>
      </c>
      <c r="C585" s="33"/>
      <c r="D585" s="24"/>
      <c r="E585" s="30" t="str">
        <f aca="false">IF($D585="","",IFERROR(INDEX(合同单位,MATCH($D585,合同键,0)),IFERROR(TRIM(LEFT($D585,FIND("｜",$D585)-1)),$D585)))</f>
        <v/>
      </c>
      <c r="F585" s="30" t="str">
        <f aca="false">IF($D585="","",IFERROR(INDEX(合同项目,MATCH($D585,合同键,0)),IFERROR(TRIM(MID($D585,FIND("｜",$D585)+1,99)),"")))</f>
        <v/>
      </c>
      <c r="G585" s="24"/>
      <c r="H585" s="35" t="str">
        <f aca="false">IF($G585="","",IFERROR(INDEX(费用款别,MATCH($G585,费用类别表,0)),"合同外款"))</f>
        <v/>
      </c>
      <c r="I585" s="33"/>
      <c r="J585" s="33"/>
      <c r="K585" s="39"/>
      <c r="L585" s="33"/>
      <c r="M585" s="25"/>
      <c r="N585" s="39"/>
      <c r="O585" s="35" t="str">
        <f aca="false">IF($C585="","",IF(N($N585)&lt;=0,"未开票",IF(ROUND(N($N585)-N($K585),2)&gt;=0,"已开票",IFERROR("部分开票 "&amp;TEXT(N($N585)/N($K585),"0%"),"部分开票"))))</f>
        <v/>
      </c>
      <c r="P585" s="40" t="str">
        <f aca="false">IF($C585="","",ROUND($V585+MIN($W585,MAX(0,(SUMIF(收款键,$D585,收款金额)-SUMIFS(收款金额,收款键,$D585,收款关联,"&lt;&gt;"))-($X585-$W585))),2))</f>
        <v/>
      </c>
      <c r="Q585" s="41" t="str">
        <f aca="false">IF($C585="","",ROUND(N($K585)-N($P585),2))</f>
        <v/>
      </c>
      <c r="R585" s="29" t="str">
        <f aca="false">IF($C585="","",YEAR($C585))</f>
        <v/>
      </c>
      <c r="S585" s="24"/>
      <c r="T585" s="35" t="str">
        <f aca="false">IF($C585="","",IF($D585="","★没选客户项目",IF(COUNTIF(合同键,$D585)=0,"★《维保合同》里没这个项目",IF(N($K585)&lt;=0,"★应收金额要填",IF(ROUND(N($N585)-N($K585),2)&gt;0.001,"★开票金额大于应收",IF(AND($L585&lt;&gt;"",N($N585)&lt;=0),"★填了开票日期没填开票金额",IF(AND($I585&lt;&gt;"",$J585&lt;&gt;"",$J585&lt;$I585),"★计费期间起止反了","OK")))))))</f>
        <v/>
      </c>
      <c r="U585" s="29" t="str">
        <f aca="false">IF($L585="","",YEAR($L585))</f>
        <v/>
      </c>
      <c r="V585" s="40" t="str">
        <f aca="false">IF($C585="","",ROUND(SUMIF(收款关联,$B585,收款金额),2))</f>
        <v/>
      </c>
      <c r="W585" s="40" t="str">
        <f aca="false">IF($C585="","",MAX(0,ROUND(N($K585)-N($V585),2)))</f>
        <v/>
      </c>
      <c r="X585" s="40" t="str">
        <f aca="false">IF($C585="","",ROUND(SUMIFS(应收净额,应收键,$D585,应收行号,"&lt;="&amp;ROW()),2))</f>
        <v/>
      </c>
      <c r="Y585" s="29" t="str">
        <f aca="false">IF($C585="","",ROW())</f>
        <v/>
      </c>
    </row>
    <row r="586" customFormat="false" ht="15" hidden="false" customHeight="false" outlineLevel="0" collapsed="false">
      <c r="A586" s="29" t="str">
        <f aca="false">IF($C586="","",ROW()-4)</f>
        <v/>
      </c>
      <c r="B586" s="35" t="str">
        <f aca="false">IF($C586="","","YS"&amp;TEXT($C586,"yyyymm")&amp;"-"&amp;TEXT(ROW()-4,"0000"))</f>
        <v/>
      </c>
      <c r="C586" s="33"/>
      <c r="D586" s="24"/>
      <c r="E586" s="30" t="str">
        <f aca="false">IF($D586="","",IFERROR(INDEX(合同单位,MATCH($D586,合同键,0)),IFERROR(TRIM(LEFT($D586,FIND("｜",$D586)-1)),$D586)))</f>
        <v/>
      </c>
      <c r="F586" s="30" t="str">
        <f aca="false">IF($D586="","",IFERROR(INDEX(合同项目,MATCH($D586,合同键,0)),IFERROR(TRIM(MID($D586,FIND("｜",$D586)+1,99)),"")))</f>
        <v/>
      </c>
      <c r="G586" s="24"/>
      <c r="H586" s="35" t="str">
        <f aca="false">IF($G586="","",IFERROR(INDEX(费用款别,MATCH($G586,费用类别表,0)),"合同外款"))</f>
        <v/>
      </c>
      <c r="I586" s="33"/>
      <c r="J586" s="33"/>
      <c r="K586" s="39"/>
      <c r="L586" s="33"/>
      <c r="M586" s="25"/>
      <c r="N586" s="39"/>
      <c r="O586" s="35" t="str">
        <f aca="false">IF($C586="","",IF(N($N586)&lt;=0,"未开票",IF(ROUND(N($N586)-N($K586),2)&gt;=0,"已开票",IFERROR("部分开票 "&amp;TEXT(N($N586)/N($K586),"0%"),"部分开票"))))</f>
        <v/>
      </c>
      <c r="P586" s="40" t="str">
        <f aca="false">IF($C586="","",ROUND($V586+MIN($W586,MAX(0,(SUMIF(收款键,$D586,收款金额)-SUMIFS(收款金额,收款键,$D586,收款关联,"&lt;&gt;"))-($X586-$W586))),2))</f>
        <v/>
      </c>
      <c r="Q586" s="41" t="str">
        <f aca="false">IF($C586="","",ROUND(N($K586)-N($P586),2))</f>
        <v/>
      </c>
      <c r="R586" s="29" t="str">
        <f aca="false">IF($C586="","",YEAR($C586))</f>
        <v/>
      </c>
      <c r="S586" s="24"/>
      <c r="T586" s="35" t="str">
        <f aca="false">IF($C586="","",IF($D586="","★没选客户项目",IF(COUNTIF(合同键,$D586)=0,"★《维保合同》里没这个项目",IF(N($K586)&lt;=0,"★应收金额要填",IF(ROUND(N($N586)-N($K586),2)&gt;0.001,"★开票金额大于应收",IF(AND($L586&lt;&gt;"",N($N586)&lt;=0),"★填了开票日期没填开票金额",IF(AND($I586&lt;&gt;"",$J586&lt;&gt;"",$J586&lt;$I586),"★计费期间起止反了","OK")))))))</f>
        <v/>
      </c>
      <c r="U586" s="29" t="str">
        <f aca="false">IF($L586="","",YEAR($L586))</f>
        <v/>
      </c>
      <c r="V586" s="40" t="str">
        <f aca="false">IF($C586="","",ROUND(SUMIF(收款关联,$B586,收款金额),2))</f>
        <v/>
      </c>
      <c r="W586" s="40" t="str">
        <f aca="false">IF($C586="","",MAX(0,ROUND(N($K586)-N($V586),2)))</f>
        <v/>
      </c>
      <c r="X586" s="40" t="str">
        <f aca="false">IF($C586="","",ROUND(SUMIFS(应收净额,应收键,$D586,应收行号,"&lt;="&amp;ROW()),2))</f>
        <v/>
      </c>
      <c r="Y586" s="29" t="str">
        <f aca="false">IF($C586="","",ROW())</f>
        <v/>
      </c>
    </row>
    <row r="587" customFormat="false" ht="15" hidden="false" customHeight="false" outlineLevel="0" collapsed="false">
      <c r="A587" s="29" t="str">
        <f aca="false">IF($C587="","",ROW()-4)</f>
        <v/>
      </c>
      <c r="B587" s="35" t="str">
        <f aca="false">IF($C587="","","YS"&amp;TEXT($C587,"yyyymm")&amp;"-"&amp;TEXT(ROW()-4,"0000"))</f>
        <v/>
      </c>
      <c r="C587" s="33"/>
      <c r="D587" s="24"/>
      <c r="E587" s="30" t="str">
        <f aca="false">IF($D587="","",IFERROR(INDEX(合同单位,MATCH($D587,合同键,0)),IFERROR(TRIM(LEFT($D587,FIND("｜",$D587)-1)),$D587)))</f>
        <v/>
      </c>
      <c r="F587" s="30" t="str">
        <f aca="false">IF($D587="","",IFERROR(INDEX(合同项目,MATCH($D587,合同键,0)),IFERROR(TRIM(MID($D587,FIND("｜",$D587)+1,99)),"")))</f>
        <v/>
      </c>
      <c r="G587" s="24"/>
      <c r="H587" s="35" t="str">
        <f aca="false">IF($G587="","",IFERROR(INDEX(费用款别,MATCH($G587,费用类别表,0)),"合同外款"))</f>
        <v/>
      </c>
      <c r="I587" s="33"/>
      <c r="J587" s="33"/>
      <c r="K587" s="39"/>
      <c r="L587" s="33"/>
      <c r="M587" s="25"/>
      <c r="N587" s="39"/>
      <c r="O587" s="35" t="str">
        <f aca="false">IF($C587="","",IF(N($N587)&lt;=0,"未开票",IF(ROUND(N($N587)-N($K587),2)&gt;=0,"已开票",IFERROR("部分开票 "&amp;TEXT(N($N587)/N($K587),"0%"),"部分开票"))))</f>
        <v/>
      </c>
      <c r="P587" s="40" t="str">
        <f aca="false">IF($C587="","",ROUND($V587+MIN($W587,MAX(0,(SUMIF(收款键,$D587,收款金额)-SUMIFS(收款金额,收款键,$D587,收款关联,"&lt;&gt;"))-($X587-$W587))),2))</f>
        <v/>
      </c>
      <c r="Q587" s="41" t="str">
        <f aca="false">IF($C587="","",ROUND(N($K587)-N($P587),2))</f>
        <v/>
      </c>
      <c r="R587" s="29" t="str">
        <f aca="false">IF($C587="","",YEAR($C587))</f>
        <v/>
      </c>
      <c r="S587" s="24"/>
      <c r="T587" s="35" t="str">
        <f aca="false">IF($C587="","",IF($D587="","★没选客户项目",IF(COUNTIF(合同键,$D587)=0,"★《维保合同》里没这个项目",IF(N($K587)&lt;=0,"★应收金额要填",IF(ROUND(N($N587)-N($K587),2)&gt;0.001,"★开票金额大于应收",IF(AND($L587&lt;&gt;"",N($N587)&lt;=0),"★填了开票日期没填开票金额",IF(AND($I587&lt;&gt;"",$J587&lt;&gt;"",$J587&lt;$I587),"★计费期间起止反了","OK")))))))</f>
        <v/>
      </c>
      <c r="U587" s="29" t="str">
        <f aca="false">IF($L587="","",YEAR($L587))</f>
        <v/>
      </c>
      <c r="V587" s="40" t="str">
        <f aca="false">IF($C587="","",ROUND(SUMIF(收款关联,$B587,收款金额),2))</f>
        <v/>
      </c>
      <c r="W587" s="40" t="str">
        <f aca="false">IF($C587="","",MAX(0,ROUND(N($K587)-N($V587),2)))</f>
        <v/>
      </c>
      <c r="X587" s="40" t="str">
        <f aca="false">IF($C587="","",ROUND(SUMIFS(应收净额,应收键,$D587,应收行号,"&lt;="&amp;ROW()),2))</f>
        <v/>
      </c>
      <c r="Y587" s="29" t="str">
        <f aca="false">IF($C587="","",ROW())</f>
        <v/>
      </c>
    </row>
    <row r="588" customFormat="false" ht="15" hidden="false" customHeight="false" outlineLevel="0" collapsed="false">
      <c r="A588" s="29" t="str">
        <f aca="false">IF($C588="","",ROW()-4)</f>
        <v/>
      </c>
      <c r="B588" s="35" t="str">
        <f aca="false">IF($C588="","","YS"&amp;TEXT($C588,"yyyymm")&amp;"-"&amp;TEXT(ROW()-4,"0000"))</f>
        <v/>
      </c>
      <c r="C588" s="33"/>
      <c r="D588" s="24"/>
      <c r="E588" s="30" t="str">
        <f aca="false">IF($D588="","",IFERROR(INDEX(合同单位,MATCH($D588,合同键,0)),IFERROR(TRIM(LEFT($D588,FIND("｜",$D588)-1)),$D588)))</f>
        <v/>
      </c>
      <c r="F588" s="30" t="str">
        <f aca="false">IF($D588="","",IFERROR(INDEX(合同项目,MATCH($D588,合同键,0)),IFERROR(TRIM(MID($D588,FIND("｜",$D588)+1,99)),"")))</f>
        <v/>
      </c>
      <c r="G588" s="24"/>
      <c r="H588" s="35" t="str">
        <f aca="false">IF($G588="","",IFERROR(INDEX(费用款别,MATCH($G588,费用类别表,0)),"合同外款"))</f>
        <v/>
      </c>
      <c r="I588" s="33"/>
      <c r="J588" s="33"/>
      <c r="K588" s="39"/>
      <c r="L588" s="33"/>
      <c r="M588" s="25"/>
      <c r="N588" s="39"/>
      <c r="O588" s="35" t="str">
        <f aca="false">IF($C588="","",IF(N($N588)&lt;=0,"未开票",IF(ROUND(N($N588)-N($K588),2)&gt;=0,"已开票",IFERROR("部分开票 "&amp;TEXT(N($N588)/N($K588),"0%"),"部分开票"))))</f>
        <v/>
      </c>
      <c r="P588" s="40" t="str">
        <f aca="false">IF($C588="","",ROUND($V588+MIN($W588,MAX(0,(SUMIF(收款键,$D588,收款金额)-SUMIFS(收款金额,收款键,$D588,收款关联,"&lt;&gt;"))-($X588-$W588))),2))</f>
        <v/>
      </c>
      <c r="Q588" s="41" t="str">
        <f aca="false">IF($C588="","",ROUND(N($K588)-N($P588),2))</f>
        <v/>
      </c>
      <c r="R588" s="29" t="str">
        <f aca="false">IF($C588="","",YEAR($C588))</f>
        <v/>
      </c>
      <c r="S588" s="24"/>
      <c r="T588" s="35" t="str">
        <f aca="false">IF($C588="","",IF($D588="","★没选客户项目",IF(COUNTIF(合同键,$D588)=0,"★《维保合同》里没这个项目",IF(N($K588)&lt;=0,"★应收金额要填",IF(ROUND(N($N588)-N($K588),2)&gt;0.001,"★开票金额大于应收",IF(AND($L588&lt;&gt;"",N($N588)&lt;=0),"★填了开票日期没填开票金额",IF(AND($I588&lt;&gt;"",$J588&lt;&gt;"",$J588&lt;$I588),"★计费期间起止反了","OK")))))))</f>
        <v/>
      </c>
      <c r="U588" s="29" t="str">
        <f aca="false">IF($L588="","",YEAR($L588))</f>
        <v/>
      </c>
      <c r="V588" s="40" t="str">
        <f aca="false">IF($C588="","",ROUND(SUMIF(收款关联,$B588,收款金额),2))</f>
        <v/>
      </c>
      <c r="W588" s="40" t="str">
        <f aca="false">IF($C588="","",MAX(0,ROUND(N($K588)-N($V588),2)))</f>
        <v/>
      </c>
      <c r="X588" s="40" t="str">
        <f aca="false">IF($C588="","",ROUND(SUMIFS(应收净额,应收键,$D588,应收行号,"&lt;="&amp;ROW()),2))</f>
        <v/>
      </c>
      <c r="Y588" s="29" t="str">
        <f aca="false">IF($C588="","",ROW())</f>
        <v/>
      </c>
    </row>
    <row r="589" customFormat="false" ht="15" hidden="false" customHeight="false" outlineLevel="0" collapsed="false">
      <c r="A589" s="29" t="str">
        <f aca="false">IF($C589="","",ROW()-4)</f>
        <v/>
      </c>
      <c r="B589" s="35" t="str">
        <f aca="false">IF($C589="","","YS"&amp;TEXT($C589,"yyyymm")&amp;"-"&amp;TEXT(ROW()-4,"0000"))</f>
        <v/>
      </c>
      <c r="C589" s="33"/>
      <c r="D589" s="24"/>
      <c r="E589" s="30" t="str">
        <f aca="false">IF($D589="","",IFERROR(INDEX(合同单位,MATCH($D589,合同键,0)),IFERROR(TRIM(LEFT($D589,FIND("｜",$D589)-1)),$D589)))</f>
        <v/>
      </c>
      <c r="F589" s="30" t="str">
        <f aca="false">IF($D589="","",IFERROR(INDEX(合同项目,MATCH($D589,合同键,0)),IFERROR(TRIM(MID($D589,FIND("｜",$D589)+1,99)),"")))</f>
        <v/>
      </c>
      <c r="G589" s="24"/>
      <c r="H589" s="35" t="str">
        <f aca="false">IF($G589="","",IFERROR(INDEX(费用款别,MATCH($G589,费用类别表,0)),"合同外款"))</f>
        <v/>
      </c>
      <c r="I589" s="33"/>
      <c r="J589" s="33"/>
      <c r="K589" s="39"/>
      <c r="L589" s="33"/>
      <c r="M589" s="25"/>
      <c r="N589" s="39"/>
      <c r="O589" s="35" t="str">
        <f aca="false">IF($C589="","",IF(N($N589)&lt;=0,"未开票",IF(ROUND(N($N589)-N($K589),2)&gt;=0,"已开票",IFERROR("部分开票 "&amp;TEXT(N($N589)/N($K589),"0%"),"部分开票"))))</f>
        <v/>
      </c>
      <c r="P589" s="40" t="str">
        <f aca="false">IF($C589="","",ROUND($V589+MIN($W589,MAX(0,(SUMIF(收款键,$D589,收款金额)-SUMIFS(收款金额,收款键,$D589,收款关联,"&lt;&gt;"))-($X589-$W589))),2))</f>
        <v/>
      </c>
      <c r="Q589" s="41" t="str">
        <f aca="false">IF($C589="","",ROUND(N($K589)-N($P589),2))</f>
        <v/>
      </c>
      <c r="R589" s="29" t="str">
        <f aca="false">IF($C589="","",YEAR($C589))</f>
        <v/>
      </c>
      <c r="S589" s="24"/>
      <c r="T589" s="35" t="str">
        <f aca="false">IF($C589="","",IF($D589="","★没选客户项目",IF(COUNTIF(合同键,$D589)=0,"★《维保合同》里没这个项目",IF(N($K589)&lt;=0,"★应收金额要填",IF(ROUND(N($N589)-N($K589),2)&gt;0.001,"★开票金额大于应收",IF(AND($L589&lt;&gt;"",N($N589)&lt;=0),"★填了开票日期没填开票金额",IF(AND($I589&lt;&gt;"",$J589&lt;&gt;"",$J589&lt;$I589),"★计费期间起止反了","OK")))))))</f>
        <v/>
      </c>
      <c r="U589" s="29" t="str">
        <f aca="false">IF($L589="","",YEAR($L589))</f>
        <v/>
      </c>
      <c r="V589" s="40" t="str">
        <f aca="false">IF($C589="","",ROUND(SUMIF(收款关联,$B589,收款金额),2))</f>
        <v/>
      </c>
      <c r="W589" s="40" t="str">
        <f aca="false">IF($C589="","",MAX(0,ROUND(N($K589)-N($V589),2)))</f>
        <v/>
      </c>
      <c r="X589" s="40" t="str">
        <f aca="false">IF($C589="","",ROUND(SUMIFS(应收净额,应收键,$D589,应收行号,"&lt;="&amp;ROW()),2))</f>
        <v/>
      </c>
      <c r="Y589" s="29" t="str">
        <f aca="false">IF($C589="","",ROW())</f>
        <v/>
      </c>
    </row>
    <row r="590" customFormat="false" ht="15" hidden="false" customHeight="false" outlineLevel="0" collapsed="false">
      <c r="A590" s="29" t="str">
        <f aca="false">IF($C590="","",ROW()-4)</f>
        <v/>
      </c>
      <c r="B590" s="35" t="str">
        <f aca="false">IF($C590="","","YS"&amp;TEXT($C590,"yyyymm")&amp;"-"&amp;TEXT(ROW()-4,"0000"))</f>
        <v/>
      </c>
      <c r="C590" s="33"/>
      <c r="D590" s="24"/>
      <c r="E590" s="30" t="str">
        <f aca="false">IF($D590="","",IFERROR(INDEX(合同单位,MATCH($D590,合同键,0)),IFERROR(TRIM(LEFT($D590,FIND("｜",$D590)-1)),$D590)))</f>
        <v/>
      </c>
      <c r="F590" s="30" t="str">
        <f aca="false">IF($D590="","",IFERROR(INDEX(合同项目,MATCH($D590,合同键,0)),IFERROR(TRIM(MID($D590,FIND("｜",$D590)+1,99)),"")))</f>
        <v/>
      </c>
      <c r="G590" s="24"/>
      <c r="H590" s="35" t="str">
        <f aca="false">IF($G590="","",IFERROR(INDEX(费用款别,MATCH($G590,费用类别表,0)),"合同外款"))</f>
        <v/>
      </c>
      <c r="I590" s="33"/>
      <c r="J590" s="33"/>
      <c r="K590" s="39"/>
      <c r="L590" s="33"/>
      <c r="M590" s="25"/>
      <c r="N590" s="39"/>
      <c r="O590" s="35" t="str">
        <f aca="false">IF($C590="","",IF(N($N590)&lt;=0,"未开票",IF(ROUND(N($N590)-N($K590),2)&gt;=0,"已开票",IFERROR("部分开票 "&amp;TEXT(N($N590)/N($K590),"0%"),"部分开票"))))</f>
        <v/>
      </c>
      <c r="P590" s="40" t="str">
        <f aca="false">IF($C590="","",ROUND($V590+MIN($W590,MAX(0,(SUMIF(收款键,$D590,收款金额)-SUMIFS(收款金额,收款键,$D590,收款关联,"&lt;&gt;"))-($X590-$W590))),2))</f>
        <v/>
      </c>
      <c r="Q590" s="41" t="str">
        <f aca="false">IF($C590="","",ROUND(N($K590)-N($P590),2))</f>
        <v/>
      </c>
      <c r="R590" s="29" t="str">
        <f aca="false">IF($C590="","",YEAR($C590))</f>
        <v/>
      </c>
      <c r="S590" s="24"/>
      <c r="T590" s="35" t="str">
        <f aca="false">IF($C590="","",IF($D590="","★没选客户项目",IF(COUNTIF(合同键,$D590)=0,"★《维保合同》里没这个项目",IF(N($K590)&lt;=0,"★应收金额要填",IF(ROUND(N($N590)-N($K590),2)&gt;0.001,"★开票金额大于应收",IF(AND($L590&lt;&gt;"",N($N590)&lt;=0),"★填了开票日期没填开票金额",IF(AND($I590&lt;&gt;"",$J590&lt;&gt;"",$J590&lt;$I590),"★计费期间起止反了","OK")))))))</f>
        <v/>
      </c>
      <c r="U590" s="29" t="str">
        <f aca="false">IF($L590="","",YEAR($L590))</f>
        <v/>
      </c>
      <c r="V590" s="40" t="str">
        <f aca="false">IF($C590="","",ROUND(SUMIF(收款关联,$B590,收款金额),2))</f>
        <v/>
      </c>
      <c r="W590" s="40" t="str">
        <f aca="false">IF($C590="","",MAX(0,ROUND(N($K590)-N($V590),2)))</f>
        <v/>
      </c>
      <c r="X590" s="40" t="str">
        <f aca="false">IF($C590="","",ROUND(SUMIFS(应收净额,应收键,$D590,应收行号,"&lt;="&amp;ROW()),2))</f>
        <v/>
      </c>
      <c r="Y590" s="29" t="str">
        <f aca="false">IF($C590="","",ROW())</f>
        <v/>
      </c>
    </row>
    <row r="591" customFormat="false" ht="15" hidden="false" customHeight="false" outlineLevel="0" collapsed="false">
      <c r="A591" s="29" t="str">
        <f aca="false">IF($C591="","",ROW()-4)</f>
        <v/>
      </c>
      <c r="B591" s="35" t="str">
        <f aca="false">IF($C591="","","YS"&amp;TEXT($C591,"yyyymm")&amp;"-"&amp;TEXT(ROW()-4,"0000"))</f>
        <v/>
      </c>
      <c r="C591" s="33"/>
      <c r="D591" s="24"/>
      <c r="E591" s="30" t="str">
        <f aca="false">IF($D591="","",IFERROR(INDEX(合同单位,MATCH($D591,合同键,0)),IFERROR(TRIM(LEFT($D591,FIND("｜",$D591)-1)),$D591)))</f>
        <v/>
      </c>
      <c r="F591" s="30" t="str">
        <f aca="false">IF($D591="","",IFERROR(INDEX(合同项目,MATCH($D591,合同键,0)),IFERROR(TRIM(MID($D591,FIND("｜",$D591)+1,99)),"")))</f>
        <v/>
      </c>
      <c r="G591" s="24"/>
      <c r="H591" s="35" t="str">
        <f aca="false">IF($G591="","",IFERROR(INDEX(费用款别,MATCH($G591,费用类别表,0)),"合同外款"))</f>
        <v/>
      </c>
      <c r="I591" s="33"/>
      <c r="J591" s="33"/>
      <c r="K591" s="39"/>
      <c r="L591" s="33"/>
      <c r="M591" s="25"/>
      <c r="N591" s="39"/>
      <c r="O591" s="35" t="str">
        <f aca="false">IF($C591="","",IF(N($N591)&lt;=0,"未开票",IF(ROUND(N($N591)-N($K591),2)&gt;=0,"已开票",IFERROR("部分开票 "&amp;TEXT(N($N591)/N($K591),"0%"),"部分开票"))))</f>
        <v/>
      </c>
      <c r="P591" s="40" t="str">
        <f aca="false">IF($C591="","",ROUND($V591+MIN($W591,MAX(0,(SUMIF(收款键,$D591,收款金额)-SUMIFS(收款金额,收款键,$D591,收款关联,"&lt;&gt;"))-($X591-$W591))),2))</f>
        <v/>
      </c>
      <c r="Q591" s="41" t="str">
        <f aca="false">IF($C591="","",ROUND(N($K591)-N($P591),2))</f>
        <v/>
      </c>
      <c r="R591" s="29" t="str">
        <f aca="false">IF($C591="","",YEAR($C591))</f>
        <v/>
      </c>
      <c r="S591" s="24"/>
      <c r="T591" s="35" t="str">
        <f aca="false">IF($C591="","",IF($D591="","★没选客户项目",IF(COUNTIF(合同键,$D591)=0,"★《维保合同》里没这个项目",IF(N($K591)&lt;=0,"★应收金额要填",IF(ROUND(N($N591)-N($K591),2)&gt;0.001,"★开票金额大于应收",IF(AND($L591&lt;&gt;"",N($N591)&lt;=0),"★填了开票日期没填开票金额",IF(AND($I591&lt;&gt;"",$J591&lt;&gt;"",$J591&lt;$I591),"★计费期间起止反了","OK")))))))</f>
        <v/>
      </c>
      <c r="U591" s="29" t="str">
        <f aca="false">IF($L591="","",YEAR($L591))</f>
        <v/>
      </c>
      <c r="V591" s="40" t="str">
        <f aca="false">IF($C591="","",ROUND(SUMIF(收款关联,$B591,收款金额),2))</f>
        <v/>
      </c>
      <c r="W591" s="40" t="str">
        <f aca="false">IF($C591="","",MAX(0,ROUND(N($K591)-N($V591),2)))</f>
        <v/>
      </c>
      <c r="X591" s="40" t="str">
        <f aca="false">IF($C591="","",ROUND(SUMIFS(应收净额,应收键,$D591,应收行号,"&lt;="&amp;ROW()),2))</f>
        <v/>
      </c>
      <c r="Y591" s="29" t="str">
        <f aca="false">IF($C591="","",ROW())</f>
        <v/>
      </c>
    </row>
    <row r="592" customFormat="false" ht="15" hidden="false" customHeight="false" outlineLevel="0" collapsed="false">
      <c r="A592" s="29" t="str">
        <f aca="false">IF($C592="","",ROW()-4)</f>
        <v/>
      </c>
      <c r="B592" s="35" t="str">
        <f aca="false">IF($C592="","","YS"&amp;TEXT($C592,"yyyymm")&amp;"-"&amp;TEXT(ROW()-4,"0000"))</f>
        <v/>
      </c>
      <c r="C592" s="33"/>
      <c r="D592" s="24"/>
      <c r="E592" s="30" t="str">
        <f aca="false">IF($D592="","",IFERROR(INDEX(合同单位,MATCH($D592,合同键,0)),IFERROR(TRIM(LEFT($D592,FIND("｜",$D592)-1)),$D592)))</f>
        <v/>
      </c>
      <c r="F592" s="30" t="str">
        <f aca="false">IF($D592="","",IFERROR(INDEX(合同项目,MATCH($D592,合同键,0)),IFERROR(TRIM(MID($D592,FIND("｜",$D592)+1,99)),"")))</f>
        <v/>
      </c>
      <c r="G592" s="24"/>
      <c r="H592" s="35" t="str">
        <f aca="false">IF($G592="","",IFERROR(INDEX(费用款别,MATCH($G592,费用类别表,0)),"合同外款"))</f>
        <v/>
      </c>
      <c r="I592" s="33"/>
      <c r="J592" s="33"/>
      <c r="K592" s="39"/>
      <c r="L592" s="33"/>
      <c r="M592" s="25"/>
      <c r="N592" s="39"/>
      <c r="O592" s="35" t="str">
        <f aca="false">IF($C592="","",IF(N($N592)&lt;=0,"未开票",IF(ROUND(N($N592)-N($K592),2)&gt;=0,"已开票",IFERROR("部分开票 "&amp;TEXT(N($N592)/N($K592),"0%"),"部分开票"))))</f>
        <v/>
      </c>
      <c r="P592" s="40" t="str">
        <f aca="false">IF($C592="","",ROUND($V592+MIN($W592,MAX(0,(SUMIF(收款键,$D592,收款金额)-SUMIFS(收款金额,收款键,$D592,收款关联,"&lt;&gt;"))-($X592-$W592))),2))</f>
        <v/>
      </c>
      <c r="Q592" s="41" t="str">
        <f aca="false">IF($C592="","",ROUND(N($K592)-N($P592),2))</f>
        <v/>
      </c>
      <c r="R592" s="29" t="str">
        <f aca="false">IF($C592="","",YEAR($C592))</f>
        <v/>
      </c>
      <c r="S592" s="24"/>
      <c r="T592" s="35" t="str">
        <f aca="false">IF($C592="","",IF($D592="","★没选客户项目",IF(COUNTIF(合同键,$D592)=0,"★《维保合同》里没这个项目",IF(N($K592)&lt;=0,"★应收金额要填",IF(ROUND(N($N592)-N($K592),2)&gt;0.001,"★开票金额大于应收",IF(AND($L592&lt;&gt;"",N($N592)&lt;=0),"★填了开票日期没填开票金额",IF(AND($I592&lt;&gt;"",$J592&lt;&gt;"",$J592&lt;$I592),"★计费期间起止反了","OK")))))))</f>
        <v/>
      </c>
      <c r="U592" s="29" t="str">
        <f aca="false">IF($L592="","",YEAR($L592))</f>
        <v/>
      </c>
      <c r="V592" s="40" t="str">
        <f aca="false">IF($C592="","",ROUND(SUMIF(收款关联,$B592,收款金额),2))</f>
        <v/>
      </c>
      <c r="W592" s="40" t="str">
        <f aca="false">IF($C592="","",MAX(0,ROUND(N($K592)-N($V592),2)))</f>
        <v/>
      </c>
      <c r="X592" s="40" t="str">
        <f aca="false">IF($C592="","",ROUND(SUMIFS(应收净额,应收键,$D592,应收行号,"&lt;="&amp;ROW()),2))</f>
        <v/>
      </c>
      <c r="Y592" s="29" t="str">
        <f aca="false">IF($C592="","",ROW())</f>
        <v/>
      </c>
    </row>
    <row r="593" customFormat="false" ht="15" hidden="false" customHeight="false" outlineLevel="0" collapsed="false">
      <c r="A593" s="29" t="str">
        <f aca="false">IF($C593="","",ROW()-4)</f>
        <v/>
      </c>
      <c r="B593" s="35" t="str">
        <f aca="false">IF($C593="","","YS"&amp;TEXT($C593,"yyyymm")&amp;"-"&amp;TEXT(ROW()-4,"0000"))</f>
        <v/>
      </c>
      <c r="C593" s="33"/>
      <c r="D593" s="24"/>
      <c r="E593" s="30" t="str">
        <f aca="false">IF($D593="","",IFERROR(INDEX(合同单位,MATCH($D593,合同键,0)),IFERROR(TRIM(LEFT($D593,FIND("｜",$D593)-1)),$D593)))</f>
        <v/>
      </c>
      <c r="F593" s="30" t="str">
        <f aca="false">IF($D593="","",IFERROR(INDEX(合同项目,MATCH($D593,合同键,0)),IFERROR(TRIM(MID($D593,FIND("｜",$D593)+1,99)),"")))</f>
        <v/>
      </c>
      <c r="G593" s="24"/>
      <c r="H593" s="35" t="str">
        <f aca="false">IF($G593="","",IFERROR(INDEX(费用款别,MATCH($G593,费用类别表,0)),"合同外款"))</f>
        <v/>
      </c>
      <c r="I593" s="33"/>
      <c r="J593" s="33"/>
      <c r="K593" s="39"/>
      <c r="L593" s="33"/>
      <c r="M593" s="25"/>
      <c r="N593" s="39"/>
      <c r="O593" s="35" t="str">
        <f aca="false">IF($C593="","",IF(N($N593)&lt;=0,"未开票",IF(ROUND(N($N593)-N($K593),2)&gt;=0,"已开票",IFERROR("部分开票 "&amp;TEXT(N($N593)/N($K593),"0%"),"部分开票"))))</f>
        <v/>
      </c>
      <c r="P593" s="40" t="str">
        <f aca="false">IF($C593="","",ROUND($V593+MIN($W593,MAX(0,(SUMIF(收款键,$D593,收款金额)-SUMIFS(收款金额,收款键,$D593,收款关联,"&lt;&gt;"))-($X593-$W593))),2))</f>
        <v/>
      </c>
      <c r="Q593" s="41" t="str">
        <f aca="false">IF($C593="","",ROUND(N($K593)-N($P593),2))</f>
        <v/>
      </c>
      <c r="R593" s="29" t="str">
        <f aca="false">IF($C593="","",YEAR($C593))</f>
        <v/>
      </c>
      <c r="S593" s="24"/>
      <c r="T593" s="35" t="str">
        <f aca="false">IF($C593="","",IF($D593="","★没选客户项目",IF(COUNTIF(合同键,$D593)=0,"★《维保合同》里没这个项目",IF(N($K593)&lt;=0,"★应收金额要填",IF(ROUND(N($N593)-N($K593),2)&gt;0.001,"★开票金额大于应收",IF(AND($L593&lt;&gt;"",N($N593)&lt;=0),"★填了开票日期没填开票金额",IF(AND($I593&lt;&gt;"",$J593&lt;&gt;"",$J593&lt;$I593),"★计费期间起止反了","OK")))))))</f>
        <v/>
      </c>
      <c r="U593" s="29" t="str">
        <f aca="false">IF($L593="","",YEAR($L593))</f>
        <v/>
      </c>
      <c r="V593" s="40" t="str">
        <f aca="false">IF($C593="","",ROUND(SUMIF(收款关联,$B593,收款金额),2))</f>
        <v/>
      </c>
      <c r="W593" s="40" t="str">
        <f aca="false">IF($C593="","",MAX(0,ROUND(N($K593)-N($V593),2)))</f>
        <v/>
      </c>
      <c r="X593" s="40" t="str">
        <f aca="false">IF($C593="","",ROUND(SUMIFS(应收净额,应收键,$D593,应收行号,"&lt;="&amp;ROW()),2))</f>
        <v/>
      </c>
      <c r="Y593" s="29" t="str">
        <f aca="false">IF($C593="","",ROW())</f>
        <v/>
      </c>
    </row>
    <row r="594" customFormat="false" ht="15" hidden="false" customHeight="false" outlineLevel="0" collapsed="false">
      <c r="A594" s="29" t="str">
        <f aca="false">IF($C594="","",ROW()-4)</f>
        <v/>
      </c>
      <c r="B594" s="35" t="str">
        <f aca="false">IF($C594="","","YS"&amp;TEXT($C594,"yyyymm")&amp;"-"&amp;TEXT(ROW()-4,"0000"))</f>
        <v/>
      </c>
      <c r="C594" s="33"/>
      <c r="D594" s="24"/>
      <c r="E594" s="30" t="str">
        <f aca="false">IF($D594="","",IFERROR(INDEX(合同单位,MATCH($D594,合同键,0)),IFERROR(TRIM(LEFT($D594,FIND("｜",$D594)-1)),$D594)))</f>
        <v/>
      </c>
      <c r="F594" s="30" t="str">
        <f aca="false">IF($D594="","",IFERROR(INDEX(合同项目,MATCH($D594,合同键,0)),IFERROR(TRIM(MID($D594,FIND("｜",$D594)+1,99)),"")))</f>
        <v/>
      </c>
      <c r="G594" s="24"/>
      <c r="H594" s="35" t="str">
        <f aca="false">IF($G594="","",IFERROR(INDEX(费用款别,MATCH($G594,费用类别表,0)),"合同外款"))</f>
        <v/>
      </c>
      <c r="I594" s="33"/>
      <c r="J594" s="33"/>
      <c r="K594" s="39"/>
      <c r="L594" s="33"/>
      <c r="M594" s="25"/>
      <c r="N594" s="39"/>
      <c r="O594" s="35" t="str">
        <f aca="false">IF($C594="","",IF(N($N594)&lt;=0,"未开票",IF(ROUND(N($N594)-N($K594),2)&gt;=0,"已开票",IFERROR("部分开票 "&amp;TEXT(N($N594)/N($K594),"0%"),"部分开票"))))</f>
        <v/>
      </c>
      <c r="P594" s="40" t="str">
        <f aca="false">IF($C594="","",ROUND($V594+MIN($W594,MAX(0,(SUMIF(收款键,$D594,收款金额)-SUMIFS(收款金额,收款键,$D594,收款关联,"&lt;&gt;"))-($X594-$W594))),2))</f>
        <v/>
      </c>
      <c r="Q594" s="41" t="str">
        <f aca="false">IF($C594="","",ROUND(N($K594)-N($P594),2))</f>
        <v/>
      </c>
      <c r="R594" s="29" t="str">
        <f aca="false">IF($C594="","",YEAR($C594))</f>
        <v/>
      </c>
      <c r="S594" s="24"/>
      <c r="T594" s="35" t="str">
        <f aca="false">IF($C594="","",IF($D594="","★没选客户项目",IF(COUNTIF(合同键,$D594)=0,"★《维保合同》里没这个项目",IF(N($K594)&lt;=0,"★应收金额要填",IF(ROUND(N($N594)-N($K594),2)&gt;0.001,"★开票金额大于应收",IF(AND($L594&lt;&gt;"",N($N594)&lt;=0),"★填了开票日期没填开票金额",IF(AND($I594&lt;&gt;"",$J594&lt;&gt;"",$J594&lt;$I594),"★计费期间起止反了","OK")))))))</f>
        <v/>
      </c>
      <c r="U594" s="29" t="str">
        <f aca="false">IF($L594="","",YEAR($L594))</f>
        <v/>
      </c>
      <c r="V594" s="40" t="str">
        <f aca="false">IF($C594="","",ROUND(SUMIF(收款关联,$B594,收款金额),2))</f>
        <v/>
      </c>
      <c r="W594" s="40" t="str">
        <f aca="false">IF($C594="","",MAX(0,ROUND(N($K594)-N($V594),2)))</f>
        <v/>
      </c>
      <c r="X594" s="40" t="str">
        <f aca="false">IF($C594="","",ROUND(SUMIFS(应收净额,应收键,$D594,应收行号,"&lt;="&amp;ROW()),2))</f>
        <v/>
      </c>
      <c r="Y594" s="29" t="str">
        <f aca="false">IF($C594="","",ROW())</f>
        <v/>
      </c>
    </row>
    <row r="595" customFormat="false" ht="15" hidden="false" customHeight="false" outlineLevel="0" collapsed="false">
      <c r="A595" s="29" t="str">
        <f aca="false">IF($C595="","",ROW()-4)</f>
        <v/>
      </c>
      <c r="B595" s="35" t="str">
        <f aca="false">IF($C595="","","YS"&amp;TEXT($C595,"yyyymm")&amp;"-"&amp;TEXT(ROW()-4,"0000"))</f>
        <v/>
      </c>
      <c r="C595" s="33"/>
      <c r="D595" s="24"/>
      <c r="E595" s="30" t="str">
        <f aca="false">IF($D595="","",IFERROR(INDEX(合同单位,MATCH($D595,合同键,0)),IFERROR(TRIM(LEFT($D595,FIND("｜",$D595)-1)),$D595)))</f>
        <v/>
      </c>
      <c r="F595" s="30" t="str">
        <f aca="false">IF($D595="","",IFERROR(INDEX(合同项目,MATCH($D595,合同键,0)),IFERROR(TRIM(MID($D595,FIND("｜",$D595)+1,99)),"")))</f>
        <v/>
      </c>
      <c r="G595" s="24"/>
      <c r="H595" s="35" t="str">
        <f aca="false">IF($G595="","",IFERROR(INDEX(费用款别,MATCH($G595,费用类别表,0)),"合同外款"))</f>
        <v/>
      </c>
      <c r="I595" s="33"/>
      <c r="J595" s="33"/>
      <c r="K595" s="39"/>
      <c r="L595" s="33"/>
      <c r="M595" s="25"/>
      <c r="N595" s="39"/>
      <c r="O595" s="35" t="str">
        <f aca="false">IF($C595="","",IF(N($N595)&lt;=0,"未开票",IF(ROUND(N($N595)-N($K595),2)&gt;=0,"已开票",IFERROR("部分开票 "&amp;TEXT(N($N595)/N($K595),"0%"),"部分开票"))))</f>
        <v/>
      </c>
      <c r="P595" s="40" t="str">
        <f aca="false">IF($C595="","",ROUND($V595+MIN($W595,MAX(0,(SUMIF(收款键,$D595,收款金额)-SUMIFS(收款金额,收款键,$D595,收款关联,"&lt;&gt;"))-($X595-$W595))),2))</f>
        <v/>
      </c>
      <c r="Q595" s="41" t="str">
        <f aca="false">IF($C595="","",ROUND(N($K595)-N($P595),2))</f>
        <v/>
      </c>
      <c r="R595" s="29" t="str">
        <f aca="false">IF($C595="","",YEAR($C595))</f>
        <v/>
      </c>
      <c r="S595" s="24"/>
      <c r="T595" s="35" t="str">
        <f aca="false">IF($C595="","",IF($D595="","★没选客户项目",IF(COUNTIF(合同键,$D595)=0,"★《维保合同》里没这个项目",IF(N($K595)&lt;=0,"★应收金额要填",IF(ROUND(N($N595)-N($K595),2)&gt;0.001,"★开票金额大于应收",IF(AND($L595&lt;&gt;"",N($N595)&lt;=0),"★填了开票日期没填开票金额",IF(AND($I595&lt;&gt;"",$J595&lt;&gt;"",$J595&lt;$I595),"★计费期间起止反了","OK")))))))</f>
        <v/>
      </c>
      <c r="U595" s="29" t="str">
        <f aca="false">IF($L595="","",YEAR($L595))</f>
        <v/>
      </c>
      <c r="V595" s="40" t="str">
        <f aca="false">IF($C595="","",ROUND(SUMIF(收款关联,$B595,收款金额),2))</f>
        <v/>
      </c>
      <c r="W595" s="40" t="str">
        <f aca="false">IF($C595="","",MAX(0,ROUND(N($K595)-N($V595),2)))</f>
        <v/>
      </c>
      <c r="X595" s="40" t="str">
        <f aca="false">IF($C595="","",ROUND(SUMIFS(应收净额,应收键,$D595,应收行号,"&lt;="&amp;ROW()),2))</f>
        <v/>
      </c>
      <c r="Y595" s="29" t="str">
        <f aca="false">IF($C595="","",ROW())</f>
        <v/>
      </c>
    </row>
    <row r="596" customFormat="false" ht="15" hidden="false" customHeight="false" outlineLevel="0" collapsed="false">
      <c r="A596" s="29" t="str">
        <f aca="false">IF($C596="","",ROW()-4)</f>
        <v/>
      </c>
      <c r="B596" s="35" t="str">
        <f aca="false">IF($C596="","","YS"&amp;TEXT($C596,"yyyymm")&amp;"-"&amp;TEXT(ROW()-4,"0000"))</f>
        <v/>
      </c>
      <c r="C596" s="33"/>
      <c r="D596" s="24"/>
      <c r="E596" s="30" t="str">
        <f aca="false">IF($D596="","",IFERROR(INDEX(合同单位,MATCH($D596,合同键,0)),IFERROR(TRIM(LEFT($D596,FIND("｜",$D596)-1)),$D596)))</f>
        <v/>
      </c>
      <c r="F596" s="30" t="str">
        <f aca="false">IF($D596="","",IFERROR(INDEX(合同项目,MATCH($D596,合同键,0)),IFERROR(TRIM(MID($D596,FIND("｜",$D596)+1,99)),"")))</f>
        <v/>
      </c>
      <c r="G596" s="24"/>
      <c r="H596" s="35" t="str">
        <f aca="false">IF($G596="","",IFERROR(INDEX(费用款别,MATCH($G596,费用类别表,0)),"合同外款"))</f>
        <v/>
      </c>
      <c r="I596" s="33"/>
      <c r="J596" s="33"/>
      <c r="K596" s="39"/>
      <c r="L596" s="33"/>
      <c r="M596" s="25"/>
      <c r="N596" s="39"/>
      <c r="O596" s="35" t="str">
        <f aca="false">IF($C596="","",IF(N($N596)&lt;=0,"未开票",IF(ROUND(N($N596)-N($K596),2)&gt;=0,"已开票",IFERROR("部分开票 "&amp;TEXT(N($N596)/N($K596),"0%"),"部分开票"))))</f>
        <v/>
      </c>
      <c r="P596" s="40" t="str">
        <f aca="false">IF($C596="","",ROUND($V596+MIN($W596,MAX(0,(SUMIF(收款键,$D596,收款金额)-SUMIFS(收款金额,收款键,$D596,收款关联,"&lt;&gt;"))-($X596-$W596))),2))</f>
        <v/>
      </c>
      <c r="Q596" s="41" t="str">
        <f aca="false">IF($C596="","",ROUND(N($K596)-N($P596),2))</f>
        <v/>
      </c>
      <c r="R596" s="29" t="str">
        <f aca="false">IF($C596="","",YEAR($C596))</f>
        <v/>
      </c>
      <c r="S596" s="24"/>
      <c r="T596" s="35" t="str">
        <f aca="false">IF($C596="","",IF($D596="","★没选客户项目",IF(COUNTIF(合同键,$D596)=0,"★《维保合同》里没这个项目",IF(N($K596)&lt;=0,"★应收金额要填",IF(ROUND(N($N596)-N($K596),2)&gt;0.001,"★开票金额大于应收",IF(AND($L596&lt;&gt;"",N($N596)&lt;=0),"★填了开票日期没填开票金额",IF(AND($I596&lt;&gt;"",$J596&lt;&gt;"",$J596&lt;$I596),"★计费期间起止反了","OK")))))))</f>
        <v/>
      </c>
      <c r="U596" s="29" t="str">
        <f aca="false">IF($L596="","",YEAR($L596))</f>
        <v/>
      </c>
      <c r="V596" s="40" t="str">
        <f aca="false">IF($C596="","",ROUND(SUMIF(收款关联,$B596,收款金额),2))</f>
        <v/>
      </c>
      <c r="W596" s="40" t="str">
        <f aca="false">IF($C596="","",MAX(0,ROUND(N($K596)-N($V596),2)))</f>
        <v/>
      </c>
      <c r="X596" s="40" t="str">
        <f aca="false">IF($C596="","",ROUND(SUMIFS(应收净额,应收键,$D596,应收行号,"&lt;="&amp;ROW()),2))</f>
        <v/>
      </c>
      <c r="Y596" s="29" t="str">
        <f aca="false">IF($C596="","",ROW())</f>
        <v/>
      </c>
    </row>
    <row r="597" customFormat="false" ht="15" hidden="false" customHeight="false" outlineLevel="0" collapsed="false">
      <c r="A597" s="29" t="str">
        <f aca="false">IF($C597="","",ROW()-4)</f>
        <v/>
      </c>
      <c r="B597" s="35" t="str">
        <f aca="false">IF($C597="","","YS"&amp;TEXT($C597,"yyyymm")&amp;"-"&amp;TEXT(ROW()-4,"0000"))</f>
        <v/>
      </c>
      <c r="C597" s="33"/>
      <c r="D597" s="24"/>
      <c r="E597" s="30" t="str">
        <f aca="false">IF($D597="","",IFERROR(INDEX(合同单位,MATCH($D597,合同键,0)),IFERROR(TRIM(LEFT($D597,FIND("｜",$D597)-1)),$D597)))</f>
        <v/>
      </c>
      <c r="F597" s="30" t="str">
        <f aca="false">IF($D597="","",IFERROR(INDEX(合同项目,MATCH($D597,合同键,0)),IFERROR(TRIM(MID($D597,FIND("｜",$D597)+1,99)),"")))</f>
        <v/>
      </c>
      <c r="G597" s="24"/>
      <c r="H597" s="35" t="str">
        <f aca="false">IF($G597="","",IFERROR(INDEX(费用款别,MATCH($G597,费用类别表,0)),"合同外款"))</f>
        <v/>
      </c>
      <c r="I597" s="33"/>
      <c r="J597" s="33"/>
      <c r="K597" s="39"/>
      <c r="L597" s="33"/>
      <c r="M597" s="25"/>
      <c r="N597" s="39"/>
      <c r="O597" s="35" t="str">
        <f aca="false">IF($C597="","",IF(N($N597)&lt;=0,"未开票",IF(ROUND(N($N597)-N($K597),2)&gt;=0,"已开票",IFERROR("部分开票 "&amp;TEXT(N($N597)/N($K597),"0%"),"部分开票"))))</f>
        <v/>
      </c>
      <c r="P597" s="40" t="str">
        <f aca="false">IF($C597="","",ROUND($V597+MIN($W597,MAX(0,(SUMIF(收款键,$D597,收款金额)-SUMIFS(收款金额,收款键,$D597,收款关联,"&lt;&gt;"))-($X597-$W597))),2))</f>
        <v/>
      </c>
      <c r="Q597" s="41" t="str">
        <f aca="false">IF($C597="","",ROUND(N($K597)-N($P597),2))</f>
        <v/>
      </c>
      <c r="R597" s="29" t="str">
        <f aca="false">IF($C597="","",YEAR($C597))</f>
        <v/>
      </c>
      <c r="S597" s="24"/>
      <c r="T597" s="35" t="str">
        <f aca="false">IF($C597="","",IF($D597="","★没选客户项目",IF(COUNTIF(合同键,$D597)=0,"★《维保合同》里没这个项目",IF(N($K597)&lt;=0,"★应收金额要填",IF(ROUND(N($N597)-N($K597),2)&gt;0.001,"★开票金额大于应收",IF(AND($L597&lt;&gt;"",N($N597)&lt;=0),"★填了开票日期没填开票金额",IF(AND($I597&lt;&gt;"",$J597&lt;&gt;"",$J597&lt;$I597),"★计费期间起止反了","OK")))))))</f>
        <v/>
      </c>
      <c r="U597" s="29" t="str">
        <f aca="false">IF($L597="","",YEAR($L597))</f>
        <v/>
      </c>
      <c r="V597" s="40" t="str">
        <f aca="false">IF($C597="","",ROUND(SUMIF(收款关联,$B597,收款金额),2))</f>
        <v/>
      </c>
      <c r="W597" s="40" t="str">
        <f aca="false">IF($C597="","",MAX(0,ROUND(N($K597)-N($V597),2)))</f>
        <v/>
      </c>
      <c r="X597" s="40" t="str">
        <f aca="false">IF($C597="","",ROUND(SUMIFS(应收净额,应收键,$D597,应收行号,"&lt;="&amp;ROW()),2))</f>
        <v/>
      </c>
      <c r="Y597" s="29" t="str">
        <f aca="false">IF($C597="","",ROW())</f>
        <v/>
      </c>
    </row>
    <row r="598" customFormat="false" ht="15" hidden="false" customHeight="false" outlineLevel="0" collapsed="false">
      <c r="A598" s="29" t="str">
        <f aca="false">IF($C598="","",ROW()-4)</f>
        <v/>
      </c>
      <c r="B598" s="35" t="str">
        <f aca="false">IF($C598="","","YS"&amp;TEXT($C598,"yyyymm")&amp;"-"&amp;TEXT(ROW()-4,"0000"))</f>
        <v/>
      </c>
      <c r="C598" s="33"/>
      <c r="D598" s="24"/>
      <c r="E598" s="30" t="str">
        <f aca="false">IF($D598="","",IFERROR(INDEX(合同单位,MATCH($D598,合同键,0)),IFERROR(TRIM(LEFT($D598,FIND("｜",$D598)-1)),$D598)))</f>
        <v/>
      </c>
      <c r="F598" s="30" t="str">
        <f aca="false">IF($D598="","",IFERROR(INDEX(合同项目,MATCH($D598,合同键,0)),IFERROR(TRIM(MID($D598,FIND("｜",$D598)+1,99)),"")))</f>
        <v/>
      </c>
      <c r="G598" s="24"/>
      <c r="H598" s="35" t="str">
        <f aca="false">IF($G598="","",IFERROR(INDEX(费用款别,MATCH($G598,费用类别表,0)),"合同外款"))</f>
        <v/>
      </c>
      <c r="I598" s="33"/>
      <c r="J598" s="33"/>
      <c r="K598" s="39"/>
      <c r="L598" s="33"/>
      <c r="M598" s="25"/>
      <c r="N598" s="39"/>
      <c r="O598" s="35" t="str">
        <f aca="false">IF($C598="","",IF(N($N598)&lt;=0,"未开票",IF(ROUND(N($N598)-N($K598),2)&gt;=0,"已开票",IFERROR("部分开票 "&amp;TEXT(N($N598)/N($K598),"0%"),"部分开票"))))</f>
        <v/>
      </c>
      <c r="P598" s="40" t="str">
        <f aca="false">IF($C598="","",ROUND($V598+MIN($W598,MAX(0,(SUMIF(收款键,$D598,收款金额)-SUMIFS(收款金额,收款键,$D598,收款关联,"&lt;&gt;"))-($X598-$W598))),2))</f>
        <v/>
      </c>
      <c r="Q598" s="41" t="str">
        <f aca="false">IF($C598="","",ROUND(N($K598)-N($P598),2))</f>
        <v/>
      </c>
      <c r="R598" s="29" t="str">
        <f aca="false">IF($C598="","",YEAR($C598))</f>
        <v/>
      </c>
      <c r="S598" s="24"/>
      <c r="T598" s="35" t="str">
        <f aca="false">IF($C598="","",IF($D598="","★没选客户项目",IF(COUNTIF(合同键,$D598)=0,"★《维保合同》里没这个项目",IF(N($K598)&lt;=0,"★应收金额要填",IF(ROUND(N($N598)-N($K598),2)&gt;0.001,"★开票金额大于应收",IF(AND($L598&lt;&gt;"",N($N598)&lt;=0),"★填了开票日期没填开票金额",IF(AND($I598&lt;&gt;"",$J598&lt;&gt;"",$J598&lt;$I598),"★计费期间起止反了","OK")))))))</f>
        <v/>
      </c>
      <c r="U598" s="29" t="str">
        <f aca="false">IF($L598="","",YEAR($L598))</f>
        <v/>
      </c>
      <c r="V598" s="40" t="str">
        <f aca="false">IF($C598="","",ROUND(SUMIF(收款关联,$B598,收款金额),2))</f>
        <v/>
      </c>
      <c r="W598" s="40" t="str">
        <f aca="false">IF($C598="","",MAX(0,ROUND(N($K598)-N($V598),2)))</f>
        <v/>
      </c>
      <c r="X598" s="40" t="str">
        <f aca="false">IF($C598="","",ROUND(SUMIFS(应收净额,应收键,$D598,应收行号,"&lt;="&amp;ROW()),2))</f>
        <v/>
      </c>
      <c r="Y598" s="29" t="str">
        <f aca="false">IF($C598="","",ROW())</f>
        <v/>
      </c>
    </row>
    <row r="599" customFormat="false" ht="15" hidden="false" customHeight="false" outlineLevel="0" collapsed="false">
      <c r="A599" s="29" t="str">
        <f aca="false">IF($C599="","",ROW()-4)</f>
        <v/>
      </c>
      <c r="B599" s="35" t="str">
        <f aca="false">IF($C599="","","YS"&amp;TEXT($C599,"yyyymm")&amp;"-"&amp;TEXT(ROW()-4,"0000"))</f>
        <v/>
      </c>
      <c r="C599" s="33"/>
      <c r="D599" s="24"/>
      <c r="E599" s="30" t="str">
        <f aca="false">IF($D599="","",IFERROR(INDEX(合同单位,MATCH($D599,合同键,0)),IFERROR(TRIM(LEFT($D599,FIND("｜",$D599)-1)),$D599)))</f>
        <v/>
      </c>
      <c r="F599" s="30" t="str">
        <f aca="false">IF($D599="","",IFERROR(INDEX(合同项目,MATCH($D599,合同键,0)),IFERROR(TRIM(MID($D599,FIND("｜",$D599)+1,99)),"")))</f>
        <v/>
      </c>
      <c r="G599" s="24"/>
      <c r="H599" s="35" t="str">
        <f aca="false">IF($G599="","",IFERROR(INDEX(费用款别,MATCH($G599,费用类别表,0)),"合同外款"))</f>
        <v/>
      </c>
      <c r="I599" s="33"/>
      <c r="J599" s="33"/>
      <c r="K599" s="39"/>
      <c r="L599" s="33"/>
      <c r="M599" s="25"/>
      <c r="N599" s="39"/>
      <c r="O599" s="35" t="str">
        <f aca="false">IF($C599="","",IF(N($N599)&lt;=0,"未开票",IF(ROUND(N($N599)-N($K599),2)&gt;=0,"已开票",IFERROR("部分开票 "&amp;TEXT(N($N599)/N($K599),"0%"),"部分开票"))))</f>
        <v/>
      </c>
      <c r="P599" s="40" t="str">
        <f aca="false">IF($C599="","",ROUND($V599+MIN($W599,MAX(0,(SUMIF(收款键,$D599,收款金额)-SUMIFS(收款金额,收款键,$D599,收款关联,"&lt;&gt;"))-($X599-$W599))),2))</f>
        <v/>
      </c>
      <c r="Q599" s="41" t="str">
        <f aca="false">IF($C599="","",ROUND(N($K599)-N($P599),2))</f>
        <v/>
      </c>
      <c r="R599" s="29" t="str">
        <f aca="false">IF($C599="","",YEAR($C599))</f>
        <v/>
      </c>
      <c r="S599" s="24"/>
      <c r="T599" s="35" t="str">
        <f aca="false">IF($C599="","",IF($D599="","★没选客户项目",IF(COUNTIF(合同键,$D599)=0,"★《维保合同》里没这个项目",IF(N($K599)&lt;=0,"★应收金额要填",IF(ROUND(N($N599)-N($K599),2)&gt;0.001,"★开票金额大于应收",IF(AND($L599&lt;&gt;"",N($N599)&lt;=0),"★填了开票日期没填开票金额",IF(AND($I599&lt;&gt;"",$J599&lt;&gt;"",$J599&lt;$I599),"★计费期间起止反了","OK")))))))</f>
        <v/>
      </c>
      <c r="U599" s="29" t="str">
        <f aca="false">IF($L599="","",YEAR($L599))</f>
        <v/>
      </c>
      <c r="V599" s="40" t="str">
        <f aca="false">IF($C599="","",ROUND(SUMIF(收款关联,$B599,收款金额),2))</f>
        <v/>
      </c>
      <c r="W599" s="40" t="str">
        <f aca="false">IF($C599="","",MAX(0,ROUND(N($K599)-N($V599),2)))</f>
        <v/>
      </c>
      <c r="X599" s="40" t="str">
        <f aca="false">IF($C599="","",ROUND(SUMIFS(应收净额,应收键,$D599,应收行号,"&lt;="&amp;ROW()),2))</f>
        <v/>
      </c>
      <c r="Y599" s="29" t="str">
        <f aca="false">IF($C599="","",ROW())</f>
        <v/>
      </c>
    </row>
    <row r="600" customFormat="false" ht="15" hidden="false" customHeight="false" outlineLevel="0" collapsed="false">
      <c r="A600" s="29" t="str">
        <f aca="false">IF($C600="","",ROW()-4)</f>
        <v/>
      </c>
      <c r="B600" s="35" t="str">
        <f aca="false">IF($C600="","","YS"&amp;TEXT($C600,"yyyymm")&amp;"-"&amp;TEXT(ROW()-4,"0000"))</f>
        <v/>
      </c>
      <c r="C600" s="33"/>
      <c r="D600" s="24"/>
      <c r="E600" s="30" t="str">
        <f aca="false">IF($D600="","",IFERROR(INDEX(合同单位,MATCH($D600,合同键,0)),IFERROR(TRIM(LEFT($D600,FIND("｜",$D600)-1)),$D600)))</f>
        <v/>
      </c>
      <c r="F600" s="30" t="str">
        <f aca="false">IF($D600="","",IFERROR(INDEX(合同项目,MATCH($D600,合同键,0)),IFERROR(TRIM(MID($D600,FIND("｜",$D600)+1,99)),"")))</f>
        <v/>
      </c>
      <c r="G600" s="24"/>
      <c r="H600" s="35" t="str">
        <f aca="false">IF($G600="","",IFERROR(INDEX(费用款别,MATCH($G600,费用类别表,0)),"合同外款"))</f>
        <v/>
      </c>
      <c r="I600" s="33"/>
      <c r="J600" s="33"/>
      <c r="K600" s="39"/>
      <c r="L600" s="33"/>
      <c r="M600" s="25"/>
      <c r="N600" s="39"/>
      <c r="O600" s="35" t="str">
        <f aca="false">IF($C600="","",IF(N($N600)&lt;=0,"未开票",IF(ROUND(N($N600)-N($K600),2)&gt;=0,"已开票",IFERROR("部分开票 "&amp;TEXT(N($N600)/N($K600),"0%"),"部分开票"))))</f>
        <v/>
      </c>
      <c r="P600" s="40" t="str">
        <f aca="false">IF($C600="","",ROUND($V600+MIN($W600,MAX(0,(SUMIF(收款键,$D600,收款金额)-SUMIFS(收款金额,收款键,$D600,收款关联,"&lt;&gt;"))-($X600-$W600))),2))</f>
        <v/>
      </c>
      <c r="Q600" s="41" t="str">
        <f aca="false">IF($C600="","",ROUND(N($K600)-N($P600),2))</f>
        <v/>
      </c>
      <c r="R600" s="29" t="str">
        <f aca="false">IF($C600="","",YEAR($C600))</f>
        <v/>
      </c>
      <c r="S600" s="24"/>
      <c r="T600" s="35" t="str">
        <f aca="false">IF($C600="","",IF($D600="","★没选客户项目",IF(COUNTIF(合同键,$D600)=0,"★《维保合同》里没这个项目",IF(N($K600)&lt;=0,"★应收金额要填",IF(ROUND(N($N600)-N($K600),2)&gt;0.001,"★开票金额大于应收",IF(AND($L600&lt;&gt;"",N($N600)&lt;=0),"★填了开票日期没填开票金额",IF(AND($I600&lt;&gt;"",$J600&lt;&gt;"",$J600&lt;$I600),"★计费期间起止反了","OK")))))))</f>
        <v/>
      </c>
      <c r="U600" s="29" t="str">
        <f aca="false">IF($L600="","",YEAR($L600))</f>
        <v/>
      </c>
      <c r="V600" s="40" t="str">
        <f aca="false">IF($C600="","",ROUND(SUMIF(收款关联,$B600,收款金额),2))</f>
        <v/>
      </c>
      <c r="W600" s="40" t="str">
        <f aca="false">IF($C600="","",MAX(0,ROUND(N($K600)-N($V600),2)))</f>
        <v/>
      </c>
      <c r="X600" s="40" t="str">
        <f aca="false">IF($C600="","",ROUND(SUMIFS(应收净额,应收键,$D600,应收行号,"&lt;="&amp;ROW()),2))</f>
        <v/>
      </c>
      <c r="Y600" s="29" t="str">
        <f aca="false">IF($C600="","",ROW())</f>
        <v/>
      </c>
    </row>
    <row r="601" customFormat="false" ht="15" hidden="false" customHeight="false" outlineLevel="0" collapsed="false">
      <c r="A601" s="29" t="str">
        <f aca="false">IF($C601="","",ROW()-4)</f>
        <v/>
      </c>
      <c r="B601" s="35" t="str">
        <f aca="false">IF($C601="","","YS"&amp;TEXT($C601,"yyyymm")&amp;"-"&amp;TEXT(ROW()-4,"0000"))</f>
        <v/>
      </c>
      <c r="C601" s="33"/>
      <c r="D601" s="24"/>
      <c r="E601" s="30" t="str">
        <f aca="false">IF($D601="","",IFERROR(INDEX(合同单位,MATCH($D601,合同键,0)),IFERROR(TRIM(LEFT($D601,FIND("｜",$D601)-1)),$D601)))</f>
        <v/>
      </c>
      <c r="F601" s="30" t="str">
        <f aca="false">IF($D601="","",IFERROR(INDEX(合同项目,MATCH($D601,合同键,0)),IFERROR(TRIM(MID($D601,FIND("｜",$D601)+1,99)),"")))</f>
        <v/>
      </c>
      <c r="G601" s="24"/>
      <c r="H601" s="35" t="str">
        <f aca="false">IF($G601="","",IFERROR(INDEX(费用款别,MATCH($G601,费用类别表,0)),"合同外款"))</f>
        <v/>
      </c>
      <c r="I601" s="33"/>
      <c r="J601" s="33"/>
      <c r="K601" s="39"/>
      <c r="L601" s="33"/>
      <c r="M601" s="25"/>
      <c r="N601" s="39"/>
      <c r="O601" s="35" t="str">
        <f aca="false">IF($C601="","",IF(N($N601)&lt;=0,"未开票",IF(ROUND(N($N601)-N($K601),2)&gt;=0,"已开票",IFERROR("部分开票 "&amp;TEXT(N($N601)/N($K601),"0%"),"部分开票"))))</f>
        <v/>
      </c>
      <c r="P601" s="40" t="str">
        <f aca="false">IF($C601="","",ROUND($V601+MIN($W601,MAX(0,(SUMIF(收款键,$D601,收款金额)-SUMIFS(收款金额,收款键,$D601,收款关联,"&lt;&gt;"))-($X601-$W601))),2))</f>
        <v/>
      </c>
      <c r="Q601" s="41" t="str">
        <f aca="false">IF($C601="","",ROUND(N($K601)-N($P601),2))</f>
        <v/>
      </c>
      <c r="R601" s="29" t="str">
        <f aca="false">IF($C601="","",YEAR($C601))</f>
        <v/>
      </c>
      <c r="S601" s="24"/>
      <c r="T601" s="35" t="str">
        <f aca="false">IF($C601="","",IF($D601="","★没选客户项目",IF(COUNTIF(合同键,$D601)=0,"★《维保合同》里没这个项目",IF(N($K601)&lt;=0,"★应收金额要填",IF(ROUND(N($N601)-N($K601),2)&gt;0.001,"★开票金额大于应收",IF(AND($L601&lt;&gt;"",N($N601)&lt;=0),"★填了开票日期没填开票金额",IF(AND($I601&lt;&gt;"",$J601&lt;&gt;"",$J601&lt;$I601),"★计费期间起止反了","OK")))))))</f>
        <v/>
      </c>
      <c r="U601" s="29" t="str">
        <f aca="false">IF($L601="","",YEAR($L601))</f>
        <v/>
      </c>
      <c r="V601" s="40" t="str">
        <f aca="false">IF($C601="","",ROUND(SUMIF(收款关联,$B601,收款金额),2))</f>
        <v/>
      </c>
      <c r="W601" s="40" t="str">
        <f aca="false">IF($C601="","",MAX(0,ROUND(N($K601)-N($V601),2)))</f>
        <v/>
      </c>
      <c r="X601" s="40" t="str">
        <f aca="false">IF($C601="","",ROUND(SUMIFS(应收净额,应收键,$D601,应收行号,"&lt;="&amp;ROW()),2))</f>
        <v/>
      </c>
      <c r="Y601" s="29" t="str">
        <f aca="false">IF($C601="","",ROW())</f>
        <v/>
      </c>
    </row>
    <row r="602" customFormat="false" ht="15" hidden="false" customHeight="false" outlineLevel="0" collapsed="false">
      <c r="A602" s="29" t="str">
        <f aca="false">IF($C602="","",ROW()-4)</f>
        <v/>
      </c>
      <c r="B602" s="35" t="str">
        <f aca="false">IF($C602="","","YS"&amp;TEXT($C602,"yyyymm")&amp;"-"&amp;TEXT(ROW()-4,"0000"))</f>
        <v/>
      </c>
      <c r="C602" s="33"/>
      <c r="D602" s="24"/>
      <c r="E602" s="30" t="str">
        <f aca="false">IF($D602="","",IFERROR(INDEX(合同单位,MATCH($D602,合同键,0)),IFERROR(TRIM(LEFT($D602,FIND("｜",$D602)-1)),$D602)))</f>
        <v/>
      </c>
      <c r="F602" s="30" t="str">
        <f aca="false">IF($D602="","",IFERROR(INDEX(合同项目,MATCH($D602,合同键,0)),IFERROR(TRIM(MID($D602,FIND("｜",$D602)+1,99)),"")))</f>
        <v/>
      </c>
      <c r="G602" s="24"/>
      <c r="H602" s="35" t="str">
        <f aca="false">IF($G602="","",IFERROR(INDEX(费用款别,MATCH($G602,费用类别表,0)),"合同外款"))</f>
        <v/>
      </c>
      <c r="I602" s="33"/>
      <c r="J602" s="33"/>
      <c r="K602" s="39"/>
      <c r="L602" s="33"/>
      <c r="M602" s="25"/>
      <c r="N602" s="39"/>
      <c r="O602" s="35" t="str">
        <f aca="false">IF($C602="","",IF(N($N602)&lt;=0,"未开票",IF(ROUND(N($N602)-N($K602),2)&gt;=0,"已开票",IFERROR("部分开票 "&amp;TEXT(N($N602)/N($K602),"0%"),"部分开票"))))</f>
        <v/>
      </c>
      <c r="P602" s="40" t="str">
        <f aca="false">IF($C602="","",ROUND($V602+MIN($W602,MAX(0,(SUMIF(收款键,$D602,收款金额)-SUMIFS(收款金额,收款键,$D602,收款关联,"&lt;&gt;"))-($X602-$W602))),2))</f>
        <v/>
      </c>
      <c r="Q602" s="41" t="str">
        <f aca="false">IF($C602="","",ROUND(N($K602)-N($P602),2))</f>
        <v/>
      </c>
      <c r="R602" s="29" t="str">
        <f aca="false">IF($C602="","",YEAR($C602))</f>
        <v/>
      </c>
      <c r="S602" s="24"/>
      <c r="T602" s="35" t="str">
        <f aca="false">IF($C602="","",IF($D602="","★没选客户项目",IF(COUNTIF(合同键,$D602)=0,"★《维保合同》里没这个项目",IF(N($K602)&lt;=0,"★应收金额要填",IF(ROUND(N($N602)-N($K602),2)&gt;0.001,"★开票金额大于应收",IF(AND($L602&lt;&gt;"",N($N602)&lt;=0),"★填了开票日期没填开票金额",IF(AND($I602&lt;&gt;"",$J602&lt;&gt;"",$J602&lt;$I602),"★计费期间起止反了","OK")))))))</f>
        <v/>
      </c>
      <c r="U602" s="29" t="str">
        <f aca="false">IF($L602="","",YEAR($L602))</f>
        <v/>
      </c>
      <c r="V602" s="40" t="str">
        <f aca="false">IF($C602="","",ROUND(SUMIF(收款关联,$B602,收款金额),2))</f>
        <v/>
      </c>
      <c r="W602" s="40" t="str">
        <f aca="false">IF($C602="","",MAX(0,ROUND(N($K602)-N($V602),2)))</f>
        <v/>
      </c>
      <c r="X602" s="40" t="str">
        <f aca="false">IF($C602="","",ROUND(SUMIFS(应收净额,应收键,$D602,应收行号,"&lt;="&amp;ROW()),2))</f>
        <v/>
      </c>
      <c r="Y602" s="29" t="str">
        <f aca="false">IF($C602="","",ROW())</f>
        <v/>
      </c>
    </row>
    <row r="603" customFormat="false" ht="15" hidden="false" customHeight="false" outlineLevel="0" collapsed="false">
      <c r="A603" s="29" t="str">
        <f aca="false">IF($C603="","",ROW()-4)</f>
        <v/>
      </c>
      <c r="B603" s="35" t="str">
        <f aca="false">IF($C603="","","YS"&amp;TEXT($C603,"yyyymm")&amp;"-"&amp;TEXT(ROW()-4,"0000"))</f>
        <v/>
      </c>
      <c r="C603" s="33"/>
      <c r="D603" s="24"/>
      <c r="E603" s="30" t="str">
        <f aca="false">IF($D603="","",IFERROR(INDEX(合同单位,MATCH($D603,合同键,0)),IFERROR(TRIM(LEFT($D603,FIND("｜",$D603)-1)),$D603)))</f>
        <v/>
      </c>
      <c r="F603" s="30" t="str">
        <f aca="false">IF($D603="","",IFERROR(INDEX(合同项目,MATCH($D603,合同键,0)),IFERROR(TRIM(MID($D603,FIND("｜",$D603)+1,99)),"")))</f>
        <v/>
      </c>
      <c r="G603" s="24"/>
      <c r="H603" s="35" t="str">
        <f aca="false">IF($G603="","",IFERROR(INDEX(费用款别,MATCH($G603,费用类别表,0)),"合同外款"))</f>
        <v/>
      </c>
      <c r="I603" s="33"/>
      <c r="J603" s="33"/>
      <c r="K603" s="39"/>
      <c r="L603" s="33"/>
      <c r="M603" s="25"/>
      <c r="N603" s="39"/>
      <c r="O603" s="35" t="str">
        <f aca="false">IF($C603="","",IF(N($N603)&lt;=0,"未开票",IF(ROUND(N($N603)-N($K603),2)&gt;=0,"已开票",IFERROR("部分开票 "&amp;TEXT(N($N603)/N($K603),"0%"),"部分开票"))))</f>
        <v/>
      </c>
      <c r="P603" s="40" t="str">
        <f aca="false">IF($C603="","",ROUND($V603+MIN($W603,MAX(0,(SUMIF(收款键,$D603,收款金额)-SUMIFS(收款金额,收款键,$D603,收款关联,"&lt;&gt;"))-($X603-$W603))),2))</f>
        <v/>
      </c>
      <c r="Q603" s="41" t="str">
        <f aca="false">IF($C603="","",ROUND(N($K603)-N($P603),2))</f>
        <v/>
      </c>
      <c r="R603" s="29" t="str">
        <f aca="false">IF($C603="","",YEAR($C603))</f>
        <v/>
      </c>
      <c r="S603" s="24"/>
      <c r="T603" s="35" t="str">
        <f aca="false">IF($C603="","",IF($D603="","★没选客户项目",IF(COUNTIF(合同键,$D603)=0,"★《维保合同》里没这个项目",IF(N($K603)&lt;=0,"★应收金额要填",IF(ROUND(N($N603)-N($K603),2)&gt;0.001,"★开票金额大于应收",IF(AND($L603&lt;&gt;"",N($N603)&lt;=0),"★填了开票日期没填开票金额",IF(AND($I603&lt;&gt;"",$J603&lt;&gt;"",$J603&lt;$I603),"★计费期间起止反了","OK")))))))</f>
        <v/>
      </c>
      <c r="U603" s="29" t="str">
        <f aca="false">IF($L603="","",YEAR($L603))</f>
        <v/>
      </c>
      <c r="V603" s="40" t="str">
        <f aca="false">IF($C603="","",ROUND(SUMIF(收款关联,$B603,收款金额),2))</f>
        <v/>
      </c>
      <c r="W603" s="40" t="str">
        <f aca="false">IF($C603="","",MAX(0,ROUND(N($K603)-N($V603),2)))</f>
        <v/>
      </c>
      <c r="X603" s="40" t="str">
        <f aca="false">IF($C603="","",ROUND(SUMIFS(应收净额,应收键,$D603,应收行号,"&lt;="&amp;ROW()),2))</f>
        <v/>
      </c>
      <c r="Y603" s="29" t="str">
        <f aca="false">IF($C603="","",ROW())</f>
        <v/>
      </c>
    </row>
    <row r="604" customFormat="false" ht="15" hidden="false" customHeight="false" outlineLevel="0" collapsed="false">
      <c r="A604" s="29" t="str">
        <f aca="false">IF($C604="","",ROW()-4)</f>
        <v/>
      </c>
      <c r="B604" s="35" t="str">
        <f aca="false">IF($C604="","","YS"&amp;TEXT($C604,"yyyymm")&amp;"-"&amp;TEXT(ROW()-4,"0000"))</f>
        <v/>
      </c>
      <c r="C604" s="33"/>
      <c r="D604" s="24"/>
      <c r="E604" s="30" t="str">
        <f aca="false">IF($D604="","",IFERROR(INDEX(合同单位,MATCH($D604,合同键,0)),IFERROR(TRIM(LEFT($D604,FIND("｜",$D604)-1)),$D604)))</f>
        <v/>
      </c>
      <c r="F604" s="30" t="str">
        <f aca="false">IF($D604="","",IFERROR(INDEX(合同项目,MATCH($D604,合同键,0)),IFERROR(TRIM(MID($D604,FIND("｜",$D604)+1,99)),"")))</f>
        <v/>
      </c>
      <c r="G604" s="24"/>
      <c r="H604" s="35" t="str">
        <f aca="false">IF($G604="","",IFERROR(INDEX(费用款别,MATCH($G604,费用类别表,0)),"合同外款"))</f>
        <v/>
      </c>
      <c r="I604" s="33"/>
      <c r="J604" s="33"/>
      <c r="K604" s="39"/>
      <c r="L604" s="33"/>
      <c r="M604" s="25"/>
      <c r="N604" s="39"/>
      <c r="O604" s="35" t="str">
        <f aca="false">IF($C604="","",IF(N($N604)&lt;=0,"未开票",IF(ROUND(N($N604)-N($K604),2)&gt;=0,"已开票",IFERROR("部分开票 "&amp;TEXT(N($N604)/N($K604),"0%"),"部分开票"))))</f>
        <v/>
      </c>
      <c r="P604" s="40" t="str">
        <f aca="false">IF($C604="","",ROUND($V604+MIN($W604,MAX(0,(SUMIF(收款键,$D604,收款金额)-SUMIFS(收款金额,收款键,$D604,收款关联,"&lt;&gt;"))-($X604-$W604))),2))</f>
        <v/>
      </c>
      <c r="Q604" s="41" t="str">
        <f aca="false">IF($C604="","",ROUND(N($K604)-N($P604),2))</f>
        <v/>
      </c>
      <c r="R604" s="29" t="str">
        <f aca="false">IF($C604="","",YEAR($C604))</f>
        <v/>
      </c>
      <c r="S604" s="24"/>
      <c r="T604" s="35" t="str">
        <f aca="false">IF($C604="","",IF($D604="","★没选客户项目",IF(COUNTIF(合同键,$D604)=0,"★《维保合同》里没这个项目",IF(N($K604)&lt;=0,"★应收金额要填",IF(ROUND(N($N604)-N($K604),2)&gt;0.001,"★开票金额大于应收",IF(AND($L604&lt;&gt;"",N($N604)&lt;=0),"★填了开票日期没填开票金额",IF(AND($I604&lt;&gt;"",$J604&lt;&gt;"",$J604&lt;$I604),"★计费期间起止反了","OK")))))))</f>
        <v/>
      </c>
      <c r="U604" s="29" t="str">
        <f aca="false">IF($L604="","",YEAR($L604))</f>
        <v/>
      </c>
      <c r="V604" s="40" t="str">
        <f aca="false">IF($C604="","",ROUND(SUMIF(收款关联,$B604,收款金额),2))</f>
        <v/>
      </c>
      <c r="W604" s="40" t="str">
        <f aca="false">IF($C604="","",MAX(0,ROUND(N($K604)-N($V604),2)))</f>
        <v/>
      </c>
      <c r="X604" s="40" t="str">
        <f aca="false">IF($C604="","",ROUND(SUMIFS(应收净额,应收键,$D604,应收行号,"&lt;="&amp;ROW()),2))</f>
        <v/>
      </c>
      <c r="Y604" s="29" t="str">
        <f aca="false">IF($C604="","",ROW())</f>
        <v/>
      </c>
    </row>
    <row r="605" customFormat="false" ht="15" hidden="false" customHeight="false" outlineLevel="0" collapsed="false">
      <c r="A605" s="29" t="str">
        <f aca="false">IF($C605="","",ROW()-4)</f>
        <v/>
      </c>
      <c r="B605" s="35" t="str">
        <f aca="false">IF($C605="","","YS"&amp;TEXT($C605,"yyyymm")&amp;"-"&amp;TEXT(ROW()-4,"0000"))</f>
        <v/>
      </c>
      <c r="C605" s="33"/>
      <c r="D605" s="24"/>
      <c r="E605" s="30" t="str">
        <f aca="false">IF($D605="","",IFERROR(INDEX(合同单位,MATCH($D605,合同键,0)),IFERROR(TRIM(LEFT($D605,FIND("｜",$D605)-1)),$D605)))</f>
        <v/>
      </c>
      <c r="F605" s="30" t="str">
        <f aca="false">IF($D605="","",IFERROR(INDEX(合同项目,MATCH($D605,合同键,0)),IFERROR(TRIM(MID($D605,FIND("｜",$D605)+1,99)),"")))</f>
        <v/>
      </c>
      <c r="G605" s="24"/>
      <c r="H605" s="35" t="str">
        <f aca="false">IF($G605="","",IFERROR(INDEX(费用款别,MATCH($G605,费用类别表,0)),"合同外款"))</f>
        <v/>
      </c>
      <c r="I605" s="33"/>
      <c r="J605" s="33"/>
      <c r="K605" s="39"/>
      <c r="L605" s="33"/>
      <c r="M605" s="25"/>
      <c r="N605" s="39"/>
      <c r="O605" s="35" t="str">
        <f aca="false">IF($C605="","",IF(N($N605)&lt;=0,"未开票",IF(ROUND(N($N605)-N($K605),2)&gt;=0,"已开票",IFERROR("部分开票 "&amp;TEXT(N($N605)/N($K605),"0%"),"部分开票"))))</f>
        <v/>
      </c>
      <c r="P605" s="40" t="str">
        <f aca="false">IF($C605="","",ROUND($V605+MIN($W605,MAX(0,(SUMIF(收款键,$D605,收款金额)-SUMIFS(收款金额,收款键,$D605,收款关联,"&lt;&gt;"))-($X605-$W605))),2))</f>
        <v/>
      </c>
      <c r="Q605" s="41" t="str">
        <f aca="false">IF($C605="","",ROUND(N($K605)-N($P605),2))</f>
        <v/>
      </c>
      <c r="R605" s="29" t="str">
        <f aca="false">IF($C605="","",YEAR($C605))</f>
        <v/>
      </c>
      <c r="S605" s="24"/>
      <c r="T605" s="35" t="str">
        <f aca="false">IF($C605="","",IF($D605="","★没选客户项目",IF(COUNTIF(合同键,$D605)=0,"★《维保合同》里没这个项目",IF(N($K605)&lt;=0,"★应收金额要填",IF(ROUND(N($N605)-N($K605),2)&gt;0.001,"★开票金额大于应收",IF(AND($L605&lt;&gt;"",N($N605)&lt;=0),"★填了开票日期没填开票金额",IF(AND($I605&lt;&gt;"",$J605&lt;&gt;"",$J605&lt;$I605),"★计费期间起止反了","OK")))))))</f>
        <v/>
      </c>
      <c r="U605" s="29" t="str">
        <f aca="false">IF($L605="","",YEAR($L605))</f>
        <v/>
      </c>
      <c r="V605" s="40" t="str">
        <f aca="false">IF($C605="","",ROUND(SUMIF(收款关联,$B605,收款金额),2))</f>
        <v/>
      </c>
      <c r="W605" s="40" t="str">
        <f aca="false">IF($C605="","",MAX(0,ROUND(N($K605)-N($V605),2)))</f>
        <v/>
      </c>
      <c r="X605" s="40" t="str">
        <f aca="false">IF($C605="","",ROUND(SUMIFS(应收净额,应收键,$D605,应收行号,"&lt;="&amp;ROW()),2))</f>
        <v/>
      </c>
      <c r="Y605" s="29" t="str">
        <f aca="false">IF($C605="","",ROW())</f>
        <v/>
      </c>
    </row>
    <row r="606" customFormat="false" ht="15" hidden="false" customHeight="false" outlineLevel="0" collapsed="false">
      <c r="A606" s="29" t="str">
        <f aca="false">IF($C606="","",ROW()-4)</f>
        <v/>
      </c>
      <c r="B606" s="35" t="str">
        <f aca="false">IF($C606="","","YS"&amp;TEXT($C606,"yyyymm")&amp;"-"&amp;TEXT(ROW()-4,"0000"))</f>
        <v/>
      </c>
      <c r="C606" s="33"/>
      <c r="D606" s="24"/>
      <c r="E606" s="30" t="str">
        <f aca="false">IF($D606="","",IFERROR(INDEX(合同单位,MATCH($D606,合同键,0)),IFERROR(TRIM(LEFT($D606,FIND("｜",$D606)-1)),$D606)))</f>
        <v/>
      </c>
      <c r="F606" s="30" t="str">
        <f aca="false">IF($D606="","",IFERROR(INDEX(合同项目,MATCH($D606,合同键,0)),IFERROR(TRIM(MID($D606,FIND("｜",$D606)+1,99)),"")))</f>
        <v/>
      </c>
      <c r="G606" s="24"/>
      <c r="H606" s="35" t="str">
        <f aca="false">IF($G606="","",IFERROR(INDEX(费用款别,MATCH($G606,费用类别表,0)),"合同外款"))</f>
        <v/>
      </c>
      <c r="I606" s="33"/>
      <c r="J606" s="33"/>
      <c r="K606" s="39"/>
      <c r="L606" s="33"/>
      <c r="M606" s="25"/>
      <c r="N606" s="39"/>
      <c r="O606" s="35" t="str">
        <f aca="false">IF($C606="","",IF(N($N606)&lt;=0,"未开票",IF(ROUND(N($N606)-N($K606),2)&gt;=0,"已开票",IFERROR("部分开票 "&amp;TEXT(N($N606)/N($K606),"0%"),"部分开票"))))</f>
        <v/>
      </c>
      <c r="P606" s="40" t="str">
        <f aca="false">IF($C606="","",ROUND($V606+MIN($W606,MAX(0,(SUMIF(收款键,$D606,收款金额)-SUMIFS(收款金额,收款键,$D606,收款关联,"&lt;&gt;"))-($X606-$W606))),2))</f>
        <v/>
      </c>
      <c r="Q606" s="41" t="str">
        <f aca="false">IF($C606="","",ROUND(N($K606)-N($P606),2))</f>
        <v/>
      </c>
      <c r="R606" s="29" t="str">
        <f aca="false">IF($C606="","",YEAR($C606))</f>
        <v/>
      </c>
      <c r="S606" s="24"/>
      <c r="T606" s="35" t="str">
        <f aca="false">IF($C606="","",IF($D606="","★没选客户项目",IF(COUNTIF(合同键,$D606)=0,"★《维保合同》里没这个项目",IF(N($K606)&lt;=0,"★应收金额要填",IF(ROUND(N($N606)-N($K606),2)&gt;0.001,"★开票金额大于应收",IF(AND($L606&lt;&gt;"",N($N606)&lt;=0),"★填了开票日期没填开票金额",IF(AND($I606&lt;&gt;"",$J606&lt;&gt;"",$J606&lt;$I606),"★计费期间起止反了","OK")))))))</f>
        <v/>
      </c>
      <c r="U606" s="29" t="str">
        <f aca="false">IF($L606="","",YEAR($L606))</f>
        <v/>
      </c>
      <c r="V606" s="40" t="str">
        <f aca="false">IF($C606="","",ROUND(SUMIF(收款关联,$B606,收款金额),2))</f>
        <v/>
      </c>
      <c r="W606" s="40" t="str">
        <f aca="false">IF($C606="","",MAX(0,ROUND(N($K606)-N($V606),2)))</f>
        <v/>
      </c>
      <c r="X606" s="40" t="str">
        <f aca="false">IF($C606="","",ROUND(SUMIFS(应收净额,应收键,$D606,应收行号,"&lt;="&amp;ROW()),2))</f>
        <v/>
      </c>
      <c r="Y606" s="29" t="str">
        <f aca="false">IF($C606="","",ROW())</f>
        <v/>
      </c>
    </row>
    <row r="607" customFormat="false" ht="15" hidden="false" customHeight="false" outlineLevel="0" collapsed="false">
      <c r="A607" s="29" t="str">
        <f aca="false">IF($C607="","",ROW()-4)</f>
        <v/>
      </c>
      <c r="B607" s="35" t="str">
        <f aca="false">IF($C607="","","YS"&amp;TEXT($C607,"yyyymm")&amp;"-"&amp;TEXT(ROW()-4,"0000"))</f>
        <v/>
      </c>
      <c r="C607" s="33"/>
      <c r="D607" s="24"/>
      <c r="E607" s="30" t="str">
        <f aca="false">IF($D607="","",IFERROR(INDEX(合同单位,MATCH($D607,合同键,0)),IFERROR(TRIM(LEFT($D607,FIND("｜",$D607)-1)),$D607)))</f>
        <v/>
      </c>
      <c r="F607" s="30" t="str">
        <f aca="false">IF($D607="","",IFERROR(INDEX(合同项目,MATCH($D607,合同键,0)),IFERROR(TRIM(MID($D607,FIND("｜",$D607)+1,99)),"")))</f>
        <v/>
      </c>
      <c r="G607" s="24"/>
      <c r="H607" s="35" t="str">
        <f aca="false">IF($G607="","",IFERROR(INDEX(费用款别,MATCH($G607,费用类别表,0)),"合同外款"))</f>
        <v/>
      </c>
      <c r="I607" s="33"/>
      <c r="J607" s="33"/>
      <c r="K607" s="39"/>
      <c r="L607" s="33"/>
      <c r="M607" s="25"/>
      <c r="N607" s="39"/>
      <c r="O607" s="35" t="str">
        <f aca="false">IF($C607="","",IF(N($N607)&lt;=0,"未开票",IF(ROUND(N($N607)-N($K607),2)&gt;=0,"已开票",IFERROR("部分开票 "&amp;TEXT(N($N607)/N($K607),"0%"),"部分开票"))))</f>
        <v/>
      </c>
      <c r="P607" s="40" t="str">
        <f aca="false">IF($C607="","",ROUND($V607+MIN($W607,MAX(0,(SUMIF(收款键,$D607,收款金额)-SUMIFS(收款金额,收款键,$D607,收款关联,"&lt;&gt;"))-($X607-$W607))),2))</f>
        <v/>
      </c>
      <c r="Q607" s="41" t="str">
        <f aca="false">IF($C607="","",ROUND(N($K607)-N($P607),2))</f>
        <v/>
      </c>
      <c r="R607" s="29" t="str">
        <f aca="false">IF($C607="","",YEAR($C607))</f>
        <v/>
      </c>
      <c r="S607" s="24"/>
      <c r="T607" s="35" t="str">
        <f aca="false">IF($C607="","",IF($D607="","★没选客户项目",IF(COUNTIF(合同键,$D607)=0,"★《维保合同》里没这个项目",IF(N($K607)&lt;=0,"★应收金额要填",IF(ROUND(N($N607)-N($K607),2)&gt;0.001,"★开票金额大于应收",IF(AND($L607&lt;&gt;"",N($N607)&lt;=0),"★填了开票日期没填开票金额",IF(AND($I607&lt;&gt;"",$J607&lt;&gt;"",$J607&lt;$I607),"★计费期间起止反了","OK")))))))</f>
        <v/>
      </c>
      <c r="U607" s="29" t="str">
        <f aca="false">IF($L607="","",YEAR($L607))</f>
        <v/>
      </c>
      <c r="V607" s="40" t="str">
        <f aca="false">IF($C607="","",ROUND(SUMIF(收款关联,$B607,收款金额),2))</f>
        <v/>
      </c>
      <c r="W607" s="40" t="str">
        <f aca="false">IF($C607="","",MAX(0,ROUND(N($K607)-N($V607),2)))</f>
        <v/>
      </c>
      <c r="X607" s="40" t="str">
        <f aca="false">IF($C607="","",ROUND(SUMIFS(应收净额,应收键,$D607,应收行号,"&lt;="&amp;ROW()),2))</f>
        <v/>
      </c>
      <c r="Y607" s="29" t="str">
        <f aca="false">IF($C607="","",ROW())</f>
        <v/>
      </c>
    </row>
    <row r="608" customFormat="false" ht="15" hidden="false" customHeight="false" outlineLevel="0" collapsed="false">
      <c r="A608" s="29" t="str">
        <f aca="false">IF($C608="","",ROW()-4)</f>
        <v/>
      </c>
      <c r="B608" s="35" t="str">
        <f aca="false">IF($C608="","","YS"&amp;TEXT($C608,"yyyymm")&amp;"-"&amp;TEXT(ROW()-4,"0000"))</f>
        <v/>
      </c>
      <c r="C608" s="33"/>
      <c r="D608" s="24"/>
      <c r="E608" s="30" t="str">
        <f aca="false">IF($D608="","",IFERROR(INDEX(合同单位,MATCH($D608,合同键,0)),IFERROR(TRIM(LEFT($D608,FIND("｜",$D608)-1)),$D608)))</f>
        <v/>
      </c>
      <c r="F608" s="30" t="str">
        <f aca="false">IF($D608="","",IFERROR(INDEX(合同项目,MATCH($D608,合同键,0)),IFERROR(TRIM(MID($D608,FIND("｜",$D608)+1,99)),"")))</f>
        <v/>
      </c>
      <c r="G608" s="24"/>
      <c r="H608" s="35" t="str">
        <f aca="false">IF($G608="","",IFERROR(INDEX(费用款别,MATCH($G608,费用类别表,0)),"合同外款"))</f>
        <v/>
      </c>
      <c r="I608" s="33"/>
      <c r="J608" s="33"/>
      <c r="K608" s="39"/>
      <c r="L608" s="33"/>
      <c r="M608" s="25"/>
      <c r="N608" s="39"/>
      <c r="O608" s="35" t="str">
        <f aca="false">IF($C608="","",IF(N($N608)&lt;=0,"未开票",IF(ROUND(N($N608)-N($K608),2)&gt;=0,"已开票",IFERROR("部分开票 "&amp;TEXT(N($N608)/N($K608),"0%"),"部分开票"))))</f>
        <v/>
      </c>
      <c r="P608" s="40" t="str">
        <f aca="false">IF($C608="","",ROUND($V608+MIN($W608,MAX(0,(SUMIF(收款键,$D608,收款金额)-SUMIFS(收款金额,收款键,$D608,收款关联,"&lt;&gt;"))-($X608-$W608))),2))</f>
        <v/>
      </c>
      <c r="Q608" s="41" t="str">
        <f aca="false">IF($C608="","",ROUND(N($K608)-N($P608),2))</f>
        <v/>
      </c>
      <c r="R608" s="29" t="str">
        <f aca="false">IF($C608="","",YEAR($C608))</f>
        <v/>
      </c>
      <c r="S608" s="24"/>
      <c r="T608" s="35" t="str">
        <f aca="false">IF($C608="","",IF($D608="","★没选客户项目",IF(COUNTIF(合同键,$D608)=0,"★《维保合同》里没这个项目",IF(N($K608)&lt;=0,"★应收金额要填",IF(ROUND(N($N608)-N($K608),2)&gt;0.001,"★开票金额大于应收",IF(AND($L608&lt;&gt;"",N($N608)&lt;=0),"★填了开票日期没填开票金额",IF(AND($I608&lt;&gt;"",$J608&lt;&gt;"",$J608&lt;$I608),"★计费期间起止反了","OK")))))))</f>
        <v/>
      </c>
      <c r="U608" s="29" t="str">
        <f aca="false">IF($L608="","",YEAR($L608))</f>
        <v/>
      </c>
      <c r="V608" s="40" t="str">
        <f aca="false">IF($C608="","",ROUND(SUMIF(收款关联,$B608,收款金额),2))</f>
        <v/>
      </c>
      <c r="W608" s="40" t="str">
        <f aca="false">IF($C608="","",MAX(0,ROUND(N($K608)-N($V608),2)))</f>
        <v/>
      </c>
      <c r="X608" s="40" t="str">
        <f aca="false">IF($C608="","",ROUND(SUMIFS(应收净额,应收键,$D608,应收行号,"&lt;="&amp;ROW()),2))</f>
        <v/>
      </c>
      <c r="Y608" s="29" t="str">
        <f aca="false">IF($C608="","",ROW())</f>
        <v/>
      </c>
    </row>
    <row r="609" customFormat="false" ht="15" hidden="false" customHeight="false" outlineLevel="0" collapsed="false">
      <c r="A609" s="29" t="str">
        <f aca="false">IF($C609="","",ROW()-4)</f>
        <v/>
      </c>
      <c r="B609" s="35" t="str">
        <f aca="false">IF($C609="","","YS"&amp;TEXT($C609,"yyyymm")&amp;"-"&amp;TEXT(ROW()-4,"0000"))</f>
        <v/>
      </c>
      <c r="C609" s="33"/>
      <c r="D609" s="24"/>
      <c r="E609" s="30" t="str">
        <f aca="false">IF($D609="","",IFERROR(INDEX(合同单位,MATCH($D609,合同键,0)),IFERROR(TRIM(LEFT($D609,FIND("｜",$D609)-1)),$D609)))</f>
        <v/>
      </c>
      <c r="F609" s="30" t="str">
        <f aca="false">IF($D609="","",IFERROR(INDEX(合同项目,MATCH($D609,合同键,0)),IFERROR(TRIM(MID($D609,FIND("｜",$D609)+1,99)),"")))</f>
        <v/>
      </c>
      <c r="G609" s="24"/>
      <c r="H609" s="35" t="str">
        <f aca="false">IF($G609="","",IFERROR(INDEX(费用款别,MATCH($G609,费用类别表,0)),"合同外款"))</f>
        <v/>
      </c>
      <c r="I609" s="33"/>
      <c r="J609" s="33"/>
      <c r="K609" s="39"/>
      <c r="L609" s="33"/>
      <c r="M609" s="25"/>
      <c r="N609" s="39"/>
      <c r="O609" s="35" t="str">
        <f aca="false">IF($C609="","",IF(N($N609)&lt;=0,"未开票",IF(ROUND(N($N609)-N($K609),2)&gt;=0,"已开票",IFERROR("部分开票 "&amp;TEXT(N($N609)/N($K609),"0%"),"部分开票"))))</f>
        <v/>
      </c>
      <c r="P609" s="40" t="str">
        <f aca="false">IF($C609="","",ROUND($V609+MIN($W609,MAX(0,(SUMIF(收款键,$D609,收款金额)-SUMIFS(收款金额,收款键,$D609,收款关联,"&lt;&gt;"))-($X609-$W609))),2))</f>
        <v/>
      </c>
      <c r="Q609" s="41" t="str">
        <f aca="false">IF($C609="","",ROUND(N($K609)-N($P609),2))</f>
        <v/>
      </c>
      <c r="R609" s="29" t="str">
        <f aca="false">IF($C609="","",YEAR($C609))</f>
        <v/>
      </c>
      <c r="S609" s="24"/>
      <c r="T609" s="35" t="str">
        <f aca="false">IF($C609="","",IF($D609="","★没选客户项目",IF(COUNTIF(合同键,$D609)=0,"★《维保合同》里没这个项目",IF(N($K609)&lt;=0,"★应收金额要填",IF(ROUND(N($N609)-N($K609),2)&gt;0.001,"★开票金额大于应收",IF(AND($L609&lt;&gt;"",N($N609)&lt;=0),"★填了开票日期没填开票金额",IF(AND($I609&lt;&gt;"",$J609&lt;&gt;"",$J609&lt;$I609),"★计费期间起止反了","OK")))))))</f>
        <v/>
      </c>
      <c r="U609" s="29" t="str">
        <f aca="false">IF($L609="","",YEAR($L609))</f>
        <v/>
      </c>
      <c r="V609" s="40" t="str">
        <f aca="false">IF($C609="","",ROUND(SUMIF(收款关联,$B609,收款金额),2))</f>
        <v/>
      </c>
      <c r="W609" s="40" t="str">
        <f aca="false">IF($C609="","",MAX(0,ROUND(N($K609)-N($V609),2)))</f>
        <v/>
      </c>
      <c r="X609" s="40" t="str">
        <f aca="false">IF($C609="","",ROUND(SUMIFS(应收净额,应收键,$D609,应收行号,"&lt;="&amp;ROW()),2))</f>
        <v/>
      </c>
      <c r="Y609" s="29" t="str">
        <f aca="false">IF($C609="","",ROW())</f>
        <v/>
      </c>
    </row>
    <row r="610" customFormat="false" ht="15" hidden="false" customHeight="false" outlineLevel="0" collapsed="false">
      <c r="A610" s="29" t="str">
        <f aca="false">IF($C610="","",ROW()-4)</f>
        <v/>
      </c>
      <c r="B610" s="35" t="str">
        <f aca="false">IF($C610="","","YS"&amp;TEXT($C610,"yyyymm")&amp;"-"&amp;TEXT(ROW()-4,"0000"))</f>
        <v/>
      </c>
      <c r="C610" s="33"/>
      <c r="D610" s="24"/>
      <c r="E610" s="30" t="str">
        <f aca="false">IF($D610="","",IFERROR(INDEX(合同单位,MATCH($D610,合同键,0)),IFERROR(TRIM(LEFT($D610,FIND("｜",$D610)-1)),$D610)))</f>
        <v/>
      </c>
      <c r="F610" s="30" t="str">
        <f aca="false">IF($D610="","",IFERROR(INDEX(合同项目,MATCH($D610,合同键,0)),IFERROR(TRIM(MID($D610,FIND("｜",$D610)+1,99)),"")))</f>
        <v/>
      </c>
      <c r="G610" s="24"/>
      <c r="H610" s="35" t="str">
        <f aca="false">IF($G610="","",IFERROR(INDEX(费用款别,MATCH($G610,费用类别表,0)),"合同外款"))</f>
        <v/>
      </c>
      <c r="I610" s="33"/>
      <c r="J610" s="33"/>
      <c r="K610" s="39"/>
      <c r="L610" s="33"/>
      <c r="M610" s="25"/>
      <c r="N610" s="39"/>
      <c r="O610" s="35" t="str">
        <f aca="false">IF($C610="","",IF(N($N610)&lt;=0,"未开票",IF(ROUND(N($N610)-N($K610),2)&gt;=0,"已开票",IFERROR("部分开票 "&amp;TEXT(N($N610)/N($K610),"0%"),"部分开票"))))</f>
        <v/>
      </c>
      <c r="P610" s="40" t="str">
        <f aca="false">IF($C610="","",ROUND($V610+MIN($W610,MAX(0,(SUMIF(收款键,$D610,收款金额)-SUMIFS(收款金额,收款键,$D610,收款关联,"&lt;&gt;"))-($X610-$W610))),2))</f>
        <v/>
      </c>
      <c r="Q610" s="41" t="str">
        <f aca="false">IF($C610="","",ROUND(N($K610)-N($P610),2))</f>
        <v/>
      </c>
      <c r="R610" s="29" t="str">
        <f aca="false">IF($C610="","",YEAR($C610))</f>
        <v/>
      </c>
      <c r="S610" s="24"/>
      <c r="T610" s="35" t="str">
        <f aca="false">IF($C610="","",IF($D610="","★没选客户项目",IF(COUNTIF(合同键,$D610)=0,"★《维保合同》里没这个项目",IF(N($K610)&lt;=0,"★应收金额要填",IF(ROUND(N($N610)-N($K610),2)&gt;0.001,"★开票金额大于应收",IF(AND($L610&lt;&gt;"",N($N610)&lt;=0),"★填了开票日期没填开票金额",IF(AND($I610&lt;&gt;"",$J610&lt;&gt;"",$J610&lt;$I610),"★计费期间起止反了","OK")))))))</f>
        <v/>
      </c>
      <c r="U610" s="29" t="str">
        <f aca="false">IF($L610="","",YEAR($L610))</f>
        <v/>
      </c>
      <c r="V610" s="40" t="str">
        <f aca="false">IF($C610="","",ROUND(SUMIF(收款关联,$B610,收款金额),2))</f>
        <v/>
      </c>
      <c r="W610" s="40" t="str">
        <f aca="false">IF($C610="","",MAX(0,ROUND(N($K610)-N($V610),2)))</f>
        <v/>
      </c>
      <c r="X610" s="40" t="str">
        <f aca="false">IF($C610="","",ROUND(SUMIFS(应收净额,应收键,$D610,应收行号,"&lt;="&amp;ROW()),2))</f>
        <v/>
      </c>
      <c r="Y610" s="29" t="str">
        <f aca="false">IF($C610="","",ROW())</f>
        <v/>
      </c>
    </row>
    <row r="611" customFormat="false" ht="15" hidden="false" customHeight="false" outlineLevel="0" collapsed="false">
      <c r="A611" s="29" t="str">
        <f aca="false">IF($C611="","",ROW()-4)</f>
        <v/>
      </c>
      <c r="B611" s="35" t="str">
        <f aca="false">IF($C611="","","YS"&amp;TEXT($C611,"yyyymm")&amp;"-"&amp;TEXT(ROW()-4,"0000"))</f>
        <v/>
      </c>
      <c r="C611" s="33"/>
      <c r="D611" s="24"/>
      <c r="E611" s="30" t="str">
        <f aca="false">IF($D611="","",IFERROR(INDEX(合同单位,MATCH($D611,合同键,0)),IFERROR(TRIM(LEFT($D611,FIND("｜",$D611)-1)),$D611)))</f>
        <v/>
      </c>
      <c r="F611" s="30" t="str">
        <f aca="false">IF($D611="","",IFERROR(INDEX(合同项目,MATCH($D611,合同键,0)),IFERROR(TRIM(MID($D611,FIND("｜",$D611)+1,99)),"")))</f>
        <v/>
      </c>
      <c r="G611" s="24"/>
      <c r="H611" s="35" t="str">
        <f aca="false">IF($G611="","",IFERROR(INDEX(费用款别,MATCH($G611,费用类别表,0)),"合同外款"))</f>
        <v/>
      </c>
      <c r="I611" s="33"/>
      <c r="J611" s="33"/>
      <c r="K611" s="39"/>
      <c r="L611" s="33"/>
      <c r="M611" s="25"/>
      <c r="N611" s="39"/>
      <c r="O611" s="35" t="str">
        <f aca="false">IF($C611="","",IF(N($N611)&lt;=0,"未开票",IF(ROUND(N($N611)-N($K611),2)&gt;=0,"已开票",IFERROR("部分开票 "&amp;TEXT(N($N611)/N($K611),"0%"),"部分开票"))))</f>
        <v/>
      </c>
      <c r="P611" s="40" t="str">
        <f aca="false">IF($C611="","",ROUND($V611+MIN($W611,MAX(0,(SUMIF(收款键,$D611,收款金额)-SUMIFS(收款金额,收款键,$D611,收款关联,"&lt;&gt;"))-($X611-$W611))),2))</f>
        <v/>
      </c>
      <c r="Q611" s="41" t="str">
        <f aca="false">IF($C611="","",ROUND(N($K611)-N($P611),2))</f>
        <v/>
      </c>
      <c r="R611" s="29" t="str">
        <f aca="false">IF($C611="","",YEAR($C611))</f>
        <v/>
      </c>
      <c r="S611" s="24"/>
      <c r="T611" s="35" t="str">
        <f aca="false">IF($C611="","",IF($D611="","★没选客户项目",IF(COUNTIF(合同键,$D611)=0,"★《维保合同》里没这个项目",IF(N($K611)&lt;=0,"★应收金额要填",IF(ROUND(N($N611)-N($K611),2)&gt;0.001,"★开票金额大于应收",IF(AND($L611&lt;&gt;"",N($N611)&lt;=0),"★填了开票日期没填开票金额",IF(AND($I611&lt;&gt;"",$J611&lt;&gt;"",$J611&lt;$I611),"★计费期间起止反了","OK")))))))</f>
        <v/>
      </c>
      <c r="U611" s="29" t="str">
        <f aca="false">IF($L611="","",YEAR($L611))</f>
        <v/>
      </c>
      <c r="V611" s="40" t="str">
        <f aca="false">IF($C611="","",ROUND(SUMIF(收款关联,$B611,收款金额),2))</f>
        <v/>
      </c>
      <c r="W611" s="40" t="str">
        <f aca="false">IF($C611="","",MAX(0,ROUND(N($K611)-N($V611),2)))</f>
        <v/>
      </c>
      <c r="X611" s="40" t="str">
        <f aca="false">IF($C611="","",ROUND(SUMIFS(应收净额,应收键,$D611,应收行号,"&lt;="&amp;ROW()),2))</f>
        <v/>
      </c>
      <c r="Y611" s="29" t="str">
        <f aca="false">IF($C611="","",ROW())</f>
        <v/>
      </c>
    </row>
    <row r="612" customFormat="false" ht="15" hidden="false" customHeight="false" outlineLevel="0" collapsed="false">
      <c r="A612" s="29" t="str">
        <f aca="false">IF($C612="","",ROW()-4)</f>
        <v/>
      </c>
      <c r="B612" s="35" t="str">
        <f aca="false">IF($C612="","","YS"&amp;TEXT($C612,"yyyymm")&amp;"-"&amp;TEXT(ROW()-4,"0000"))</f>
        <v/>
      </c>
      <c r="C612" s="33"/>
      <c r="D612" s="24"/>
      <c r="E612" s="30" t="str">
        <f aca="false">IF($D612="","",IFERROR(INDEX(合同单位,MATCH($D612,合同键,0)),IFERROR(TRIM(LEFT($D612,FIND("｜",$D612)-1)),$D612)))</f>
        <v/>
      </c>
      <c r="F612" s="30" t="str">
        <f aca="false">IF($D612="","",IFERROR(INDEX(合同项目,MATCH($D612,合同键,0)),IFERROR(TRIM(MID($D612,FIND("｜",$D612)+1,99)),"")))</f>
        <v/>
      </c>
      <c r="G612" s="24"/>
      <c r="H612" s="35" t="str">
        <f aca="false">IF($G612="","",IFERROR(INDEX(费用款别,MATCH($G612,费用类别表,0)),"合同外款"))</f>
        <v/>
      </c>
      <c r="I612" s="33"/>
      <c r="J612" s="33"/>
      <c r="K612" s="39"/>
      <c r="L612" s="33"/>
      <c r="M612" s="25"/>
      <c r="N612" s="39"/>
      <c r="O612" s="35" t="str">
        <f aca="false">IF($C612="","",IF(N($N612)&lt;=0,"未开票",IF(ROUND(N($N612)-N($K612),2)&gt;=0,"已开票",IFERROR("部分开票 "&amp;TEXT(N($N612)/N($K612),"0%"),"部分开票"))))</f>
        <v/>
      </c>
      <c r="P612" s="40" t="str">
        <f aca="false">IF($C612="","",ROUND($V612+MIN($W612,MAX(0,(SUMIF(收款键,$D612,收款金额)-SUMIFS(收款金额,收款键,$D612,收款关联,"&lt;&gt;"))-($X612-$W612))),2))</f>
        <v/>
      </c>
      <c r="Q612" s="41" t="str">
        <f aca="false">IF($C612="","",ROUND(N($K612)-N($P612),2))</f>
        <v/>
      </c>
      <c r="R612" s="29" t="str">
        <f aca="false">IF($C612="","",YEAR($C612))</f>
        <v/>
      </c>
      <c r="S612" s="24"/>
      <c r="T612" s="35" t="str">
        <f aca="false">IF($C612="","",IF($D612="","★没选客户项目",IF(COUNTIF(合同键,$D612)=0,"★《维保合同》里没这个项目",IF(N($K612)&lt;=0,"★应收金额要填",IF(ROUND(N($N612)-N($K612),2)&gt;0.001,"★开票金额大于应收",IF(AND($L612&lt;&gt;"",N($N612)&lt;=0),"★填了开票日期没填开票金额",IF(AND($I612&lt;&gt;"",$J612&lt;&gt;"",$J612&lt;$I612),"★计费期间起止反了","OK")))))))</f>
        <v/>
      </c>
      <c r="U612" s="29" t="str">
        <f aca="false">IF($L612="","",YEAR($L612))</f>
        <v/>
      </c>
      <c r="V612" s="40" t="str">
        <f aca="false">IF($C612="","",ROUND(SUMIF(收款关联,$B612,收款金额),2))</f>
        <v/>
      </c>
      <c r="W612" s="40" t="str">
        <f aca="false">IF($C612="","",MAX(0,ROUND(N($K612)-N($V612),2)))</f>
        <v/>
      </c>
      <c r="X612" s="40" t="str">
        <f aca="false">IF($C612="","",ROUND(SUMIFS(应收净额,应收键,$D612,应收行号,"&lt;="&amp;ROW()),2))</f>
        <v/>
      </c>
      <c r="Y612" s="29" t="str">
        <f aca="false">IF($C612="","",ROW())</f>
        <v/>
      </c>
    </row>
    <row r="613" customFormat="false" ht="15" hidden="false" customHeight="false" outlineLevel="0" collapsed="false">
      <c r="A613" s="29" t="str">
        <f aca="false">IF($C613="","",ROW()-4)</f>
        <v/>
      </c>
      <c r="B613" s="35" t="str">
        <f aca="false">IF($C613="","","YS"&amp;TEXT($C613,"yyyymm")&amp;"-"&amp;TEXT(ROW()-4,"0000"))</f>
        <v/>
      </c>
      <c r="C613" s="33"/>
      <c r="D613" s="24"/>
      <c r="E613" s="30" t="str">
        <f aca="false">IF($D613="","",IFERROR(INDEX(合同单位,MATCH($D613,合同键,0)),IFERROR(TRIM(LEFT($D613,FIND("｜",$D613)-1)),$D613)))</f>
        <v/>
      </c>
      <c r="F613" s="30" t="str">
        <f aca="false">IF($D613="","",IFERROR(INDEX(合同项目,MATCH($D613,合同键,0)),IFERROR(TRIM(MID($D613,FIND("｜",$D613)+1,99)),"")))</f>
        <v/>
      </c>
      <c r="G613" s="24"/>
      <c r="H613" s="35" t="str">
        <f aca="false">IF($G613="","",IFERROR(INDEX(费用款别,MATCH($G613,费用类别表,0)),"合同外款"))</f>
        <v/>
      </c>
      <c r="I613" s="33"/>
      <c r="J613" s="33"/>
      <c r="K613" s="39"/>
      <c r="L613" s="33"/>
      <c r="M613" s="25"/>
      <c r="N613" s="39"/>
      <c r="O613" s="35" t="str">
        <f aca="false">IF($C613="","",IF(N($N613)&lt;=0,"未开票",IF(ROUND(N($N613)-N($K613),2)&gt;=0,"已开票",IFERROR("部分开票 "&amp;TEXT(N($N613)/N($K613),"0%"),"部分开票"))))</f>
        <v/>
      </c>
      <c r="P613" s="40" t="str">
        <f aca="false">IF($C613="","",ROUND($V613+MIN($W613,MAX(0,(SUMIF(收款键,$D613,收款金额)-SUMIFS(收款金额,收款键,$D613,收款关联,"&lt;&gt;"))-($X613-$W613))),2))</f>
        <v/>
      </c>
      <c r="Q613" s="41" t="str">
        <f aca="false">IF($C613="","",ROUND(N($K613)-N($P613),2))</f>
        <v/>
      </c>
      <c r="R613" s="29" t="str">
        <f aca="false">IF($C613="","",YEAR($C613))</f>
        <v/>
      </c>
      <c r="S613" s="24"/>
      <c r="T613" s="35" t="str">
        <f aca="false">IF($C613="","",IF($D613="","★没选客户项目",IF(COUNTIF(合同键,$D613)=0,"★《维保合同》里没这个项目",IF(N($K613)&lt;=0,"★应收金额要填",IF(ROUND(N($N613)-N($K613),2)&gt;0.001,"★开票金额大于应收",IF(AND($L613&lt;&gt;"",N($N613)&lt;=0),"★填了开票日期没填开票金额",IF(AND($I613&lt;&gt;"",$J613&lt;&gt;"",$J613&lt;$I613),"★计费期间起止反了","OK")))))))</f>
        <v/>
      </c>
      <c r="U613" s="29" t="str">
        <f aca="false">IF($L613="","",YEAR($L613))</f>
        <v/>
      </c>
      <c r="V613" s="40" t="str">
        <f aca="false">IF($C613="","",ROUND(SUMIF(收款关联,$B613,收款金额),2))</f>
        <v/>
      </c>
      <c r="W613" s="40" t="str">
        <f aca="false">IF($C613="","",MAX(0,ROUND(N($K613)-N($V613),2)))</f>
        <v/>
      </c>
      <c r="X613" s="40" t="str">
        <f aca="false">IF($C613="","",ROUND(SUMIFS(应收净额,应收键,$D613,应收行号,"&lt;="&amp;ROW()),2))</f>
        <v/>
      </c>
      <c r="Y613" s="29" t="str">
        <f aca="false">IF($C613="","",ROW())</f>
        <v/>
      </c>
    </row>
    <row r="614" customFormat="false" ht="15" hidden="false" customHeight="false" outlineLevel="0" collapsed="false">
      <c r="A614" s="29" t="str">
        <f aca="false">IF($C614="","",ROW()-4)</f>
        <v/>
      </c>
      <c r="B614" s="35" t="str">
        <f aca="false">IF($C614="","","YS"&amp;TEXT($C614,"yyyymm")&amp;"-"&amp;TEXT(ROW()-4,"0000"))</f>
        <v/>
      </c>
      <c r="C614" s="33"/>
      <c r="D614" s="24"/>
      <c r="E614" s="30" t="str">
        <f aca="false">IF($D614="","",IFERROR(INDEX(合同单位,MATCH($D614,合同键,0)),IFERROR(TRIM(LEFT($D614,FIND("｜",$D614)-1)),$D614)))</f>
        <v/>
      </c>
      <c r="F614" s="30" t="str">
        <f aca="false">IF($D614="","",IFERROR(INDEX(合同项目,MATCH($D614,合同键,0)),IFERROR(TRIM(MID($D614,FIND("｜",$D614)+1,99)),"")))</f>
        <v/>
      </c>
      <c r="G614" s="24"/>
      <c r="H614" s="35" t="str">
        <f aca="false">IF($G614="","",IFERROR(INDEX(费用款别,MATCH($G614,费用类别表,0)),"合同外款"))</f>
        <v/>
      </c>
      <c r="I614" s="33"/>
      <c r="J614" s="33"/>
      <c r="K614" s="39"/>
      <c r="L614" s="33"/>
      <c r="M614" s="25"/>
      <c r="N614" s="39"/>
      <c r="O614" s="35" t="str">
        <f aca="false">IF($C614="","",IF(N($N614)&lt;=0,"未开票",IF(ROUND(N($N614)-N($K614),2)&gt;=0,"已开票",IFERROR("部分开票 "&amp;TEXT(N($N614)/N($K614),"0%"),"部分开票"))))</f>
        <v/>
      </c>
      <c r="P614" s="40" t="str">
        <f aca="false">IF($C614="","",ROUND($V614+MIN($W614,MAX(0,(SUMIF(收款键,$D614,收款金额)-SUMIFS(收款金额,收款键,$D614,收款关联,"&lt;&gt;"))-($X614-$W614))),2))</f>
        <v/>
      </c>
      <c r="Q614" s="41" t="str">
        <f aca="false">IF($C614="","",ROUND(N($K614)-N($P614),2))</f>
        <v/>
      </c>
      <c r="R614" s="29" t="str">
        <f aca="false">IF($C614="","",YEAR($C614))</f>
        <v/>
      </c>
      <c r="S614" s="24"/>
      <c r="T614" s="35" t="str">
        <f aca="false">IF($C614="","",IF($D614="","★没选客户项目",IF(COUNTIF(合同键,$D614)=0,"★《维保合同》里没这个项目",IF(N($K614)&lt;=0,"★应收金额要填",IF(ROUND(N($N614)-N($K614),2)&gt;0.001,"★开票金额大于应收",IF(AND($L614&lt;&gt;"",N($N614)&lt;=0),"★填了开票日期没填开票金额",IF(AND($I614&lt;&gt;"",$J614&lt;&gt;"",$J614&lt;$I614),"★计费期间起止反了","OK")))))))</f>
        <v/>
      </c>
      <c r="U614" s="29" t="str">
        <f aca="false">IF($L614="","",YEAR($L614))</f>
        <v/>
      </c>
      <c r="V614" s="40" t="str">
        <f aca="false">IF($C614="","",ROUND(SUMIF(收款关联,$B614,收款金额),2))</f>
        <v/>
      </c>
      <c r="W614" s="40" t="str">
        <f aca="false">IF($C614="","",MAX(0,ROUND(N($K614)-N($V614),2)))</f>
        <v/>
      </c>
      <c r="X614" s="40" t="str">
        <f aca="false">IF($C614="","",ROUND(SUMIFS(应收净额,应收键,$D614,应收行号,"&lt;="&amp;ROW()),2))</f>
        <v/>
      </c>
      <c r="Y614" s="29" t="str">
        <f aca="false">IF($C614="","",ROW())</f>
        <v/>
      </c>
    </row>
    <row r="615" customFormat="false" ht="15" hidden="false" customHeight="false" outlineLevel="0" collapsed="false">
      <c r="A615" s="29" t="str">
        <f aca="false">IF($C615="","",ROW()-4)</f>
        <v/>
      </c>
      <c r="B615" s="35" t="str">
        <f aca="false">IF($C615="","","YS"&amp;TEXT($C615,"yyyymm")&amp;"-"&amp;TEXT(ROW()-4,"0000"))</f>
        <v/>
      </c>
      <c r="C615" s="33"/>
      <c r="D615" s="24"/>
      <c r="E615" s="30" t="str">
        <f aca="false">IF($D615="","",IFERROR(INDEX(合同单位,MATCH($D615,合同键,0)),IFERROR(TRIM(LEFT($D615,FIND("｜",$D615)-1)),$D615)))</f>
        <v/>
      </c>
      <c r="F615" s="30" t="str">
        <f aca="false">IF($D615="","",IFERROR(INDEX(合同项目,MATCH($D615,合同键,0)),IFERROR(TRIM(MID($D615,FIND("｜",$D615)+1,99)),"")))</f>
        <v/>
      </c>
      <c r="G615" s="24"/>
      <c r="H615" s="35" t="str">
        <f aca="false">IF($G615="","",IFERROR(INDEX(费用款别,MATCH($G615,费用类别表,0)),"合同外款"))</f>
        <v/>
      </c>
      <c r="I615" s="33"/>
      <c r="J615" s="33"/>
      <c r="K615" s="39"/>
      <c r="L615" s="33"/>
      <c r="M615" s="25"/>
      <c r="N615" s="39"/>
      <c r="O615" s="35" t="str">
        <f aca="false">IF($C615="","",IF(N($N615)&lt;=0,"未开票",IF(ROUND(N($N615)-N($K615),2)&gt;=0,"已开票",IFERROR("部分开票 "&amp;TEXT(N($N615)/N($K615),"0%"),"部分开票"))))</f>
        <v/>
      </c>
      <c r="P615" s="40" t="str">
        <f aca="false">IF($C615="","",ROUND($V615+MIN($W615,MAX(0,(SUMIF(收款键,$D615,收款金额)-SUMIFS(收款金额,收款键,$D615,收款关联,"&lt;&gt;"))-($X615-$W615))),2))</f>
        <v/>
      </c>
      <c r="Q615" s="41" t="str">
        <f aca="false">IF($C615="","",ROUND(N($K615)-N($P615),2))</f>
        <v/>
      </c>
      <c r="R615" s="29" t="str">
        <f aca="false">IF($C615="","",YEAR($C615))</f>
        <v/>
      </c>
      <c r="S615" s="24"/>
      <c r="T615" s="35" t="str">
        <f aca="false">IF($C615="","",IF($D615="","★没选客户项目",IF(COUNTIF(合同键,$D615)=0,"★《维保合同》里没这个项目",IF(N($K615)&lt;=0,"★应收金额要填",IF(ROUND(N($N615)-N($K615),2)&gt;0.001,"★开票金额大于应收",IF(AND($L615&lt;&gt;"",N($N615)&lt;=0),"★填了开票日期没填开票金额",IF(AND($I615&lt;&gt;"",$J615&lt;&gt;"",$J615&lt;$I615),"★计费期间起止反了","OK")))))))</f>
        <v/>
      </c>
      <c r="U615" s="29" t="str">
        <f aca="false">IF($L615="","",YEAR($L615))</f>
        <v/>
      </c>
      <c r="V615" s="40" t="str">
        <f aca="false">IF($C615="","",ROUND(SUMIF(收款关联,$B615,收款金额),2))</f>
        <v/>
      </c>
      <c r="W615" s="40" t="str">
        <f aca="false">IF($C615="","",MAX(0,ROUND(N($K615)-N($V615),2)))</f>
        <v/>
      </c>
      <c r="X615" s="40" t="str">
        <f aca="false">IF($C615="","",ROUND(SUMIFS(应收净额,应收键,$D615,应收行号,"&lt;="&amp;ROW()),2))</f>
        <v/>
      </c>
      <c r="Y615" s="29" t="str">
        <f aca="false">IF($C615="","",ROW())</f>
        <v/>
      </c>
    </row>
    <row r="616" customFormat="false" ht="15" hidden="false" customHeight="false" outlineLevel="0" collapsed="false">
      <c r="A616" s="29" t="str">
        <f aca="false">IF($C616="","",ROW()-4)</f>
        <v/>
      </c>
      <c r="B616" s="35" t="str">
        <f aca="false">IF($C616="","","YS"&amp;TEXT($C616,"yyyymm")&amp;"-"&amp;TEXT(ROW()-4,"0000"))</f>
        <v/>
      </c>
      <c r="C616" s="33"/>
      <c r="D616" s="24"/>
      <c r="E616" s="30" t="str">
        <f aca="false">IF($D616="","",IFERROR(INDEX(合同单位,MATCH($D616,合同键,0)),IFERROR(TRIM(LEFT($D616,FIND("｜",$D616)-1)),$D616)))</f>
        <v/>
      </c>
      <c r="F616" s="30" t="str">
        <f aca="false">IF($D616="","",IFERROR(INDEX(合同项目,MATCH($D616,合同键,0)),IFERROR(TRIM(MID($D616,FIND("｜",$D616)+1,99)),"")))</f>
        <v/>
      </c>
      <c r="G616" s="24"/>
      <c r="H616" s="35" t="str">
        <f aca="false">IF($G616="","",IFERROR(INDEX(费用款别,MATCH($G616,费用类别表,0)),"合同外款"))</f>
        <v/>
      </c>
      <c r="I616" s="33"/>
      <c r="J616" s="33"/>
      <c r="K616" s="39"/>
      <c r="L616" s="33"/>
      <c r="M616" s="25"/>
      <c r="N616" s="39"/>
      <c r="O616" s="35" t="str">
        <f aca="false">IF($C616="","",IF(N($N616)&lt;=0,"未开票",IF(ROUND(N($N616)-N($K616),2)&gt;=0,"已开票",IFERROR("部分开票 "&amp;TEXT(N($N616)/N($K616),"0%"),"部分开票"))))</f>
        <v/>
      </c>
      <c r="P616" s="40" t="str">
        <f aca="false">IF($C616="","",ROUND($V616+MIN($W616,MAX(0,(SUMIF(收款键,$D616,收款金额)-SUMIFS(收款金额,收款键,$D616,收款关联,"&lt;&gt;"))-($X616-$W616))),2))</f>
        <v/>
      </c>
      <c r="Q616" s="41" t="str">
        <f aca="false">IF($C616="","",ROUND(N($K616)-N($P616),2))</f>
        <v/>
      </c>
      <c r="R616" s="29" t="str">
        <f aca="false">IF($C616="","",YEAR($C616))</f>
        <v/>
      </c>
      <c r="S616" s="24"/>
      <c r="T616" s="35" t="str">
        <f aca="false">IF($C616="","",IF($D616="","★没选客户项目",IF(COUNTIF(合同键,$D616)=0,"★《维保合同》里没这个项目",IF(N($K616)&lt;=0,"★应收金额要填",IF(ROUND(N($N616)-N($K616),2)&gt;0.001,"★开票金额大于应收",IF(AND($L616&lt;&gt;"",N($N616)&lt;=0),"★填了开票日期没填开票金额",IF(AND($I616&lt;&gt;"",$J616&lt;&gt;"",$J616&lt;$I616),"★计费期间起止反了","OK")))))))</f>
        <v/>
      </c>
      <c r="U616" s="29" t="str">
        <f aca="false">IF($L616="","",YEAR($L616))</f>
        <v/>
      </c>
      <c r="V616" s="40" t="str">
        <f aca="false">IF($C616="","",ROUND(SUMIF(收款关联,$B616,收款金额),2))</f>
        <v/>
      </c>
      <c r="W616" s="40" t="str">
        <f aca="false">IF($C616="","",MAX(0,ROUND(N($K616)-N($V616),2)))</f>
        <v/>
      </c>
      <c r="X616" s="40" t="str">
        <f aca="false">IF($C616="","",ROUND(SUMIFS(应收净额,应收键,$D616,应收行号,"&lt;="&amp;ROW()),2))</f>
        <v/>
      </c>
      <c r="Y616" s="29" t="str">
        <f aca="false">IF($C616="","",ROW())</f>
        <v/>
      </c>
    </row>
    <row r="617" customFormat="false" ht="15" hidden="false" customHeight="false" outlineLevel="0" collapsed="false">
      <c r="A617" s="29" t="str">
        <f aca="false">IF($C617="","",ROW()-4)</f>
        <v/>
      </c>
      <c r="B617" s="35" t="str">
        <f aca="false">IF($C617="","","YS"&amp;TEXT($C617,"yyyymm")&amp;"-"&amp;TEXT(ROW()-4,"0000"))</f>
        <v/>
      </c>
      <c r="C617" s="33"/>
      <c r="D617" s="24"/>
      <c r="E617" s="30" t="str">
        <f aca="false">IF($D617="","",IFERROR(INDEX(合同单位,MATCH($D617,合同键,0)),IFERROR(TRIM(LEFT($D617,FIND("｜",$D617)-1)),$D617)))</f>
        <v/>
      </c>
      <c r="F617" s="30" t="str">
        <f aca="false">IF($D617="","",IFERROR(INDEX(合同项目,MATCH($D617,合同键,0)),IFERROR(TRIM(MID($D617,FIND("｜",$D617)+1,99)),"")))</f>
        <v/>
      </c>
      <c r="G617" s="24"/>
      <c r="H617" s="35" t="str">
        <f aca="false">IF($G617="","",IFERROR(INDEX(费用款别,MATCH($G617,费用类别表,0)),"合同外款"))</f>
        <v/>
      </c>
      <c r="I617" s="33"/>
      <c r="J617" s="33"/>
      <c r="K617" s="39"/>
      <c r="L617" s="33"/>
      <c r="M617" s="25"/>
      <c r="N617" s="39"/>
      <c r="O617" s="35" t="str">
        <f aca="false">IF($C617="","",IF(N($N617)&lt;=0,"未开票",IF(ROUND(N($N617)-N($K617),2)&gt;=0,"已开票",IFERROR("部分开票 "&amp;TEXT(N($N617)/N($K617),"0%"),"部分开票"))))</f>
        <v/>
      </c>
      <c r="P617" s="40" t="str">
        <f aca="false">IF($C617="","",ROUND($V617+MIN($W617,MAX(0,(SUMIF(收款键,$D617,收款金额)-SUMIFS(收款金额,收款键,$D617,收款关联,"&lt;&gt;"))-($X617-$W617))),2))</f>
        <v/>
      </c>
      <c r="Q617" s="41" t="str">
        <f aca="false">IF($C617="","",ROUND(N($K617)-N($P617),2))</f>
        <v/>
      </c>
      <c r="R617" s="29" t="str">
        <f aca="false">IF($C617="","",YEAR($C617))</f>
        <v/>
      </c>
      <c r="S617" s="24"/>
      <c r="T617" s="35" t="str">
        <f aca="false">IF($C617="","",IF($D617="","★没选客户项目",IF(COUNTIF(合同键,$D617)=0,"★《维保合同》里没这个项目",IF(N($K617)&lt;=0,"★应收金额要填",IF(ROUND(N($N617)-N($K617),2)&gt;0.001,"★开票金额大于应收",IF(AND($L617&lt;&gt;"",N($N617)&lt;=0),"★填了开票日期没填开票金额",IF(AND($I617&lt;&gt;"",$J617&lt;&gt;"",$J617&lt;$I617),"★计费期间起止反了","OK")))))))</f>
        <v/>
      </c>
      <c r="U617" s="29" t="str">
        <f aca="false">IF($L617="","",YEAR($L617))</f>
        <v/>
      </c>
      <c r="V617" s="40" t="str">
        <f aca="false">IF($C617="","",ROUND(SUMIF(收款关联,$B617,收款金额),2))</f>
        <v/>
      </c>
      <c r="W617" s="40" t="str">
        <f aca="false">IF($C617="","",MAX(0,ROUND(N($K617)-N($V617),2)))</f>
        <v/>
      </c>
      <c r="X617" s="40" t="str">
        <f aca="false">IF($C617="","",ROUND(SUMIFS(应收净额,应收键,$D617,应收行号,"&lt;="&amp;ROW()),2))</f>
        <v/>
      </c>
      <c r="Y617" s="29" t="str">
        <f aca="false">IF($C617="","",ROW())</f>
        <v/>
      </c>
    </row>
    <row r="618" customFormat="false" ht="15" hidden="false" customHeight="false" outlineLevel="0" collapsed="false">
      <c r="A618" s="29" t="str">
        <f aca="false">IF($C618="","",ROW()-4)</f>
        <v/>
      </c>
      <c r="B618" s="35" t="str">
        <f aca="false">IF($C618="","","YS"&amp;TEXT($C618,"yyyymm")&amp;"-"&amp;TEXT(ROW()-4,"0000"))</f>
        <v/>
      </c>
      <c r="C618" s="33"/>
      <c r="D618" s="24"/>
      <c r="E618" s="30" t="str">
        <f aca="false">IF($D618="","",IFERROR(INDEX(合同单位,MATCH($D618,合同键,0)),IFERROR(TRIM(LEFT($D618,FIND("｜",$D618)-1)),$D618)))</f>
        <v/>
      </c>
      <c r="F618" s="30" t="str">
        <f aca="false">IF($D618="","",IFERROR(INDEX(合同项目,MATCH($D618,合同键,0)),IFERROR(TRIM(MID($D618,FIND("｜",$D618)+1,99)),"")))</f>
        <v/>
      </c>
      <c r="G618" s="24"/>
      <c r="H618" s="35" t="str">
        <f aca="false">IF($G618="","",IFERROR(INDEX(费用款别,MATCH($G618,费用类别表,0)),"合同外款"))</f>
        <v/>
      </c>
      <c r="I618" s="33"/>
      <c r="J618" s="33"/>
      <c r="K618" s="39"/>
      <c r="L618" s="33"/>
      <c r="M618" s="25"/>
      <c r="N618" s="39"/>
      <c r="O618" s="35" t="str">
        <f aca="false">IF($C618="","",IF(N($N618)&lt;=0,"未开票",IF(ROUND(N($N618)-N($K618),2)&gt;=0,"已开票",IFERROR("部分开票 "&amp;TEXT(N($N618)/N($K618),"0%"),"部分开票"))))</f>
        <v/>
      </c>
      <c r="P618" s="40" t="str">
        <f aca="false">IF($C618="","",ROUND($V618+MIN($W618,MAX(0,(SUMIF(收款键,$D618,收款金额)-SUMIFS(收款金额,收款键,$D618,收款关联,"&lt;&gt;"))-($X618-$W618))),2))</f>
        <v/>
      </c>
      <c r="Q618" s="41" t="str">
        <f aca="false">IF($C618="","",ROUND(N($K618)-N($P618),2))</f>
        <v/>
      </c>
      <c r="R618" s="29" t="str">
        <f aca="false">IF($C618="","",YEAR($C618))</f>
        <v/>
      </c>
      <c r="S618" s="24"/>
      <c r="T618" s="35" t="str">
        <f aca="false">IF($C618="","",IF($D618="","★没选客户项目",IF(COUNTIF(合同键,$D618)=0,"★《维保合同》里没这个项目",IF(N($K618)&lt;=0,"★应收金额要填",IF(ROUND(N($N618)-N($K618),2)&gt;0.001,"★开票金额大于应收",IF(AND($L618&lt;&gt;"",N($N618)&lt;=0),"★填了开票日期没填开票金额",IF(AND($I618&lt;&gt;"",$J618&lt;&gt;"",$J618&lt;$I618),"★计费期间起止反了","OK")))))))</f>
        <v/>
      </c>
      <c r="U618" s="29" t="str">
        <f aca="false">IF($L618="","",YEAR($L618))</f>
        <v/>
      </c>
      <c r="V618" s="40" t="str">
        <f aca="false">IF($C618="","",ROUND(SUMIF(收款关联,$B618,收款金额),2))</f>
        <v/>
      </c>
      <c r="W618" s="40" t="str">
        <f aca="false">IF($C618="","",MAX(0,ROUND(N($K618)-N($V618),2)))</f>
        <v/>
      </c>
      <c r="X618" s="40" t="str">
        <f aca="false">IF($C618="","",ROUND(SUMIFS(应收净额,应收键,$D618,应收行号,"&lt;="&amp;ROW()),2))</f>
        <v/>
      </c>
      <c r="Y618" s="29" t="str">
        <f aca="false">IF($C618="","",ROW())</f>
        <v/>
      </c>
    </row>
    <row r="619" customFormat="false" ht="15" hidden="false" customHeight="false" outlineLevel="0" collapsed="false">
      <c r="A619" s="29" t="str">
        <f aca="false">IF($C619="","",ROW()-4)</f>
        <v/>
      </c>
      <c r="B619" s="35" t="str">
        <f aca="false">IF($C619="","","YS"&amp;TEXT($C619,"yyyymm")&amp;"-"&amp;TEXT(ROW()-4,"0000"))</f>
        <v/>
      </c>
      <c r="C619" s="33"/>
      <c r="D619" s="24"/>
      <c r="E619" s="30" t="str">
        <f aca="false">IF($D619="","",IFERROR(INDEX(合同单位,MATCH($D619,合同键,0)),IFERROR(TRIM(LEFT($D619,FIND("｜",$D619)-1)),$D619)))</f>
        <v/>
      </c>
      <c r="F619" s="30" t="str">
        <f aca="false">IF($D619="","",IFERROR(INDEX(合同项目,MATCH($D619,合同键,0)),IFERROR(TRIM(MID($D619,FIND("｜",$D619)+1,99)),"")))</f>
        <v/>
      </c>
      <c r="G619" s="24"/>
      <c r="H619" s="35" t="str">
        <f aca="false">IF($G619="","",IFERROR(INDEX(费用款别,MATCH($G619,费用类别表,0)),"合同外款"))</f>
        <v/>
      </c>
      <c r="I619" s="33"/>
      <c r="J619" s="33"/>
      <c r="K619" s="39"/>
      <c r="L619" s="33"/>
      <c r="M619" s="25"/>
      <c r="N619" s="39"/>
      <c r="O619" s="35" t="str">
        <f aca="false">IF($C619="","",IF(N($N619)&lt;=0,"未开票",IF(ROUND(N($N619)-N($K619),2)&gt;=0,"已开票",IFERROR("部分开票 "&amp;TEXT(N($N619)/N($K619),"0%"),"部分开票"))))</f>
        <v/>
      </c>
      <c r="P619" s="40" t="str">
        <f aca="false">IF($C619="","",ROUND($V619+MIN($W619,MAX(0,(SUMIF(收款键,$D619,收款金额)-SUMIFS(收款金额,收款键,$D619,收款关联,"&lt;&gt;"))-($X619-$W619))),2))</f>
        <v/>
      </c>
      <c r="Q619" s="41" t="str">
        <f aca="false">IF($C619="","",ROUND(N($K619)-N($P619),2))</f>
        <v/>
      </c>
      <c r="R619" s="29" t="str">
        <f aca="false">IF($C619="","",YEAR($C619))</f>
        <v/>
      </c>
      <c r="S619" s="24"/>
      <c r="T619" s="35" t="str">
        <f aca="false">IF($C619="","",IF($D619="","★没选客户项目",IF(COUNTIF(合同键,$D619)=0,"★《维保合同》里没这个项目",IF(N($K619)&lt;=0,"★应收金额要填",IF(ROUND(N($N619)-N($K619),2)&gt;0.001,"★开票金额大于应收",IF(AND($L619&lt;&gt;"",N($N619)&lt;=0),"★填了开票日期没填开票金额",IF(AND($I619&lt;&gt;"",$J619&lt;&gt;"",$J619&lt;$I619),"★计费期间起止反了","OK")))))))</f>
        <v/>
      </c>
      <c r="U619" s="29" t="str">
        <f aca="false">IF($L619="","",YEAR($L619))</f>
        <v/>
      </c>
      <c r="V619" s="40" t="str">
        <f aca="false">IF($C619="","",ROUND(SUMIF(收款关联,$B619,收款金额),2))</f>
        <v/>
      </c>
      <c r="W619" s="40" t="str">
        <f aca="false">IF($C619="","",MAX(0,ROUND(N($K619)-N($V619),2)))</f>
        <v/>
      </c>
      <c r="X619" s="40" t="str">
        <f aca="false">IF($C619="","",ROUND(SUMIFS(应收净额,应收键,$D619,应收行号,"&lt;="&amp;ROW()),2))</f>
        <v/>
      </c>
      <c r="Y619" s="29" t="str">
        <f aca="false">IF($C619="","",ROW())</f>
        <v/>
      </c>
    </row>
    <row r="620" customFormat="false" ht="15" hidden="false" customHeight="false" outlineLevel="0" collapsed="false">
      <c r="A620" s="29" t="str">
        <f aca="false">IF($C620="","",ROW()-4)</f>
        <v/>
      </c>
      <c r="B620" s="35" t="str">
        <f aca="false">IF($C620="","","YS"&amp;TEXT($C620,"yyyymm")&amp;"-"&amp;TEXT(ROW()-4,"0000"))</f>
        <v/>
      </c>
      <c r="C620" s="33"/>
      <c r="D620" s="24"/>
      <c r="E620" s="30" t="str">
        <f aca="false">IF($D620="","",IFERROR(INDEX(合同单位,MATCH($D620,合同键,0)),IFERROR(TRIM(LEFT($D620,FIND("｜",$D620)-1)),$D620)))</f>
        <v/>
      </c>
      <c r="F620" s="30" t="str">
        <f aca="false">IF($D620="","",IFERROR(INDEX(合同项目,MATCH($D620,合同键,0)),IFERROR(TRIM(MID($D620,FIND("｜",$D620)+1,99)),"")))</f>
        <v/>
      </c>
      <c r="G620" s="24"/>
      <c r="H620" s="35" t="str">
        <f aca="false">IF($G620="","",IFERROR(INDEX(费用款别,MATCH($G620,费用类别表,0)),"合同外款"))</f>
        <v/>
      </c>
      <c r="I620" s="33"/>
      <c r="J620" s="33"/>
      <c r="K620" s="39"/>
      <c r="L620" s="33"/>
      <c r="M620" s="25"/>
      <c r="N620" s="39"/>
      <c r="O620" s="35" t="str">
        <f aca="false">IF($C620="","",IF(N($N620)&lt;=0,"未开票",IF(ROUND(N($N620)-N($K620),2)&gt;=0,"已开票",IFERROR("部分开票 "&amp;TEXT(N($N620)/N($K620),"0%"),"部分开票"))))</f>
        <v/>
      </c>
      <c r="P620" s="40" t="str">
        <f aca="false">IF($C620="","",ROUND($V620+MIN($W620,MAX(0,(SUMIF(收款键,$D620,收款金额)-SUMIFS(收款金额,收款键,$D620,收款关联,"&lt;&gt;"))-($X620-$W620))),2))</f>
        <v/>
      </c>
      <c r="Q620" s="41" t="str">
        <f aca="false">IF($C620="","",ROUND(N($K620)-N($P620),2))</f>
        <v/>
      </c>
      <c r="R620" s="29" t="str">
        <f aca="false">IF($C620="","",YEAR($C620))</f>
        <v/>
      </c>
      <c r="S620" s="24"/>
      <c r="T620" s="35" t="str">
        <f aca="false">IF($C620="","",IF($D620="","★没选客户项目",IF(COUNTIF(合同键,$D620)=0,"★《维保合同》里没这个项目",IF(N($K620)&lt;=0,"★应收金额要填",IF(ROUND(N($N620)-N($K620),2)&gt;0.001,"★开票金额大于应收",IF(AND($L620&lt;&gt;"",N($N620)&lt;=0),"★填了开票日期没填开票金额",IF(AND($I620&lt;&gt;"",$J620&lt;&gt;"",$J620&lt;$I620),"★计费期间起止反了","OK")))))))</f>
        <v/>
      </c>
      <c r="U620" s="29" t="str">
        <f aca="false">IF($L620="","",YEAR($L620))</f>
        <v/>
      </c>
      <c r="V620" s="40" t="str">
        <f aca="false">IF($C620="","",ROUND(SUMIF(收款关联,$B620,收款金额),2))</f>
        <v/>
      </c>
      <c r="W620" s="40" t="str">
        <f aca="false">IF($C620="","",MAX(0,ROUND(N($K620)-N($V620),2)))</f>
        <v/>
      </c>
      <c r="X620" s="40" t="str">
        <f aca="false">IF($C620="","",ROUND(SUMIFS(应收净额,应收键,$D620,应收行号,"&lt;="&amp;ROW()),2))</f>
        <v/>
      </c>
      <c r="Y620" s="29" t="str">
        <f aca="false">IF($C620="","",ROW())</f>
        <v/>
      </c>
    </row>
    <row r="621" customFormat="false" ht="15" hidden="false" customHeight="false" outlineLevel="0" collapsed="false">
      <c r="A621" s="29" t="str">
        <f aca="false">IF($C621="","",ROW()-4)</f>
        <v/>
      </c>
      <c r="B621" s="35" t="str">
        <f aca="false">IF($C621="","","YS"&amp;TEXT($C621,"yyyymm")&amp;"-"&amp;TEXT(ROW()-4,"0000"))</f>
        <v/>
      </c>
      <c r="C621" s="33"/>
      <c r="D621" s="24"/>
      <c r="E621" s="30" t="str">
        <f aca="false">IF($D621="","",IFERROR(INDEX(合同单位,MATCH($D621,合同键,0)),IFERROR(TRIM(LEFT($D621,FIND("｜",$D621)-1)),$D621)))</f>
        <v/>
      </c>
      <c r="F621" s="30" t="str">
        <f aca="false">IF($D621="","",IFERROR(INDEX(合同项目,MATCH($D621,合同键,0)),IFERROR(TRIM(MID($D621,FIND("｜",$D621)+1,99)),"")))</f>
        <v/>
      </c>
      <c r="G621" s="24"/>
      <c r="H621" s="35" t="str">
        <f aca="false">IF($G621="","",IFERROR(INDEX(费用款别,MATCH($G621,费用类别表,0)),"合同外款"))</f>
        <v/>
      </c>
      <c r="I621" s="33"/>
      <c r="J621" s="33"/>
      <c r="K621" s="39"/>
      <c r="L621" s="33"/>
      <c r="M621" s="25"/>
      <c r="N621" s="39"/>
      <c r="O621" s="35" t="str">
        <f aca="false">IF($C621="","",IF(N($N621)&lt;=0,"未开票",IF(ROUND(N($N621)-N($K621),2)&gt;=0,"已开票",IFERROR("部分开票 "&amp;TEXT(N($N621)/N($K621),"0%"),"部分开票"))))</f>
        <v/>
      </c>
      <c r="P621" s="40" t="str">
        <f aca="false">IF($C621="","",ROUND($V621+MIN($W621,MAX(0,(SUMIF(收款键,$D621,收款金额)-SUMIFS(收款金额,收款键,$D621,收款关联,"&lt;&gt;"))-($X621-$W621))),2))</f>
        <v/>
      </c>
      <c r="Q621" s="41" t="str">
        <f aca="false">IF($C621="","",ROUND(N($K621)-N($P621),2))</f>
        <v/>
      </c>
      <c r="R621" s="29" t="str">
        <f aca="false">IF($C621="","",YEAR($C621))</f>
        <v/>
      </c>
      <c r="S621" s="24"/>
      <c r="T621" s="35" t="str">
        <f aca="false">IF($C621="","",IF($D621="","★没选客户项目",IF(COUNTIF(合同键,$D621)=0,"★《维保合同》里没这个项目",IF(N($K621)&lt;=0,"★应收金额要填",IF(ROUND(N($N621)-N($K621),2)&gt;0.001,"★开票金额大于应收",IF(AND($L621&lt;&gt;"",N($N621)&lt;=0),"★填了开票日期没填开票金额",IF(AND($I621&lt;&gt;"",$J621&lt;&gt;"",$J621&lt;$I621),"★计费期间起止反了","OK")))))))</f>
        <v/>
      </c>
      <c r="U621" s="29" t="str">
        <f aca="false">IF($L621="","",YEAR($L621))</f>
        <v/>
      </c>
      <c r="V621" s="40" t="str">
        <f aca="false">IF($C621="","",ROUND(SUMIF(收款关联,$B621,收款金额),2))</f>
        <v/>
      </c>
      <c r="W621" s="40" t="str">
        <f aca="false">IF($C621="","",MAX(0,ROUND(N($K621)-N($V621),2)))</f>
        <v/>
      </c>
      <c r="X621" s="40" t="str">
        <f aca="false">IF($C621="","",ROUND(SUMIFS(应收净额,应收键,$D621,应收行号,"&lt;="&amp;ROW()),2))</f>
        <v/>
      </c>
      <c r="Y621" s="29" t="str">
        <f aca="false">IF($C621="","",ROW())</f>
        <v/>
      </c>
    </row>
    <row r="622" customFormat="false" ht="15" hidden="false" customHeight="false" outlineLevel="0" collapsed="false">
      <c r="A622" s="29" t="str">
        <f aca="false">IF($C622="","",ROW()-4)</f>
        <v/>
      </c>
      <c r="B622" s="35" t="str">
        <f aca="false">IF($C622="","","YS"&amp;TEXT($C622,"yyyymm")&amp;"-"&amp;TEXT(ROW()-4,"0000"))</f>
        <v/>
      </c>
      <c r="C622" s="33"/>
      <c r="D622" s="24"/>
      <c r="E622" s="30" t="str">
        <f aca="false">IF($D622="","",IFERROR(INDEX(合同单位,MATCH($D622,合同键,0)),IFERROR(TRIM(LEFT($D622,FIND("｜",$D622)-1)),$D622)))</f>
        <v/>
      </c>
      <c r="F622" s="30" t="str">
        <f aca="false">IF($D622="","",IFERROR(INDEX(合同项目,MATCH($D622,合同键,0)),IFERROR(TRIM(MID($D622,FIND("｜",$D622)+1,99)),"")))</f>
        <v/>
      </c>
      <c r="G622" s="24"/>
      <c r="H622" s="35" t="str">
        <f aca="false">IF($G622="","",IFERROR(INDEX(费用款别,MATCH($G622,费用类别表,0)),"合同外款"))</f>
        <v/>
      </c>
      <c r="I622" s="33"/>
      <c r="J622" s="33"/>
      <c r="K622" s="39"/>
      <c r="L622" s="33"/>
      <c r="M622" s="25"/>
      <c r="N622" s="39"/>
      <c r="O622" s="35" t="str">
        <f aca="false">IF($C622="","",IF(N($N622)&lt;=0,"未开票",IF(ROUND(N($N622)-N($K622),2)&gt;=0,"已开票",IFERROR("部分开票 "&amp;TEXT(N($N622)/N($K622),"0%"),"部分开票"))))</f>
        <v/>
      </c>
      <c r="P622" s="40" t="str">
        <f aca="false">IF($C622="","",ROUND($V622+MIN($W622,MAX(0,(SUMIF(收款键,$D622,收款金额)-SUMIFS(收款金额,收款键,$D622,收款关联,"&lt;&gt;"))-($X622-$W622))),2))</f>
        <v/>
      </c>
      <c r="Q622" s="41" t="str">
        <f aca="false">IF($C622="","",ROUND(N($K622)-N($P622),2))</f>
        <v/>
      </c>
      <c r="R622" s="29" t="str">
        <f aca="false">IF($C622="","",YEAR($C622))</f>
        <v/>
      </c>
      <c r="S622" s="24"/>
      <c r="T622" s="35" t="str">
        <f aca="false">IF($C622="","",IF($D622="","★没选客户项目",IF(COUNTIF(合同键,$D622)=0,"★《维保合同》里没这个项目",IF(N($K622)&lt;=0,"★应收金额要填",IF(ROUND(N($N622)-N($K622),2)&gt;0.001,"★开票金额大于应收",IF(AND($L622&lt;&gt;"",N($N622)&lt;=0),"★填了开票日期没填开票金额",IF(AND($I622&lt;&gt;"",$J622&lt;&gt;"",$J622&lt;$I622),"★计费期间起止反了","OK")))))))</f>
        <v/>
      </c>
      <c r="U622" s="29" t="str">
        <f aca="false">IF($L622="","",YEAR($L622))</f>
        <v/>
      </c>
      <c r="V622" s="40" t="str">
        <f aca="false">IF($C622="","",ROUND(SUMIF(收款关联,$B622,收款金额),2))</f>
        <v/>
      </c>
      <c r="W622" s="40" t="str">
        <f aca="false">IF($C622="","",MAX(0,ROUND(N($K622)-N($V622),2)))</f>
        <v/>
      </c>
      <c r="X622" s="40" t="str">
        <f aca="false">IF($C622="","",ROUND(SUMIFS(应收净额,应收键,$D622,应收行号,"&lt;="&amp;ROW()),2))</f>
        <v/>
      </c>
      <c r="Y622" s="29" t="str">
        <f aca="false">IF($C622="","",ROW())</f>
        <v/>
      </c>
    </row>
    <row r="623" customFormat="false" ht="15" hidden="false" customHeight="false" outlineLevel="0" collapsed="false">
      <c r="A623" s="29" t="str">
        <f aca="false">IF($C623="","",ROW()-4)</f>
        <v/>
      </c>
      <c r="B623" s="35" t="str">
        <f aca="false">IF($C623="","","YS"&amp;TEXT($C623,"yyyymm")&amp;"-"&amp;TEXT(ROW()-4,"0000"))</f>
        <v/>
      </c>
      <c r="C623" s="33"/>
      <c r="D623" s="24"/>
      <c r="E623" s="30" t="str">
        <f aca="false">IF($D623="","",IFERROR(INDEX(合同单位,MATCH($D623,合同键,0)),IFERROR(TRIM(LEFT($D623,FIND("｜",$D623)-1)),$D623)))</f>
        <v/>
      </c>
      <c r="F623" s="30" t="str">
        <f aca="false">IF($D623="","",IFERROR(INDEX(合同项目,MATCH($D623,合同键,0)),IFERROR(TRIM(MID($D623,FIND("｜",$D623)+1,99)),"")))</f>
        <v/>
      </c>
      <c r="G623" s="24"/>
      <c r="H623" s="35" t="str">
        <f aca="false">IF($G623="","",IFERROR(INDEX(费用款别,MATCH($G623,费用类别表,0)),"合同外款"))</f>
        <v/>
      </c>
      <c r="I623" s="33"/>
      <c r="J623" s="33"/>
      <c r="K623" s="39"/>
      <c r="L623" s="33"/>
      <c r="M623" s="25"/>
      <c r="N623" s="39"/>
      <c r="O623" s="35" t="str">
        <f aca="false">IF($C623="","",IF(N($N623)&lt;=0,"未开票",IF(ROUND(N($N623)-N($K623),2)&gt;=0,"已开票",IFERROR("部分开票 "&amp;TEXT(N($N623)/N($K623),"0%"),"部分开票"))))</f>
        <v/>
      </c>
      <c r="P623" s="40" t="str">
        <f aca="false">IF($C623="","",ROUND($V623+MIN($W623,MAX(0,(SUMIF(收款键,$D623,收款金额)-SUMIFS(收款金额,收款键,$D623,收款关联,"&lt;&gt;"))-($X623-$W623))),2))</f>
        <v/>
      </c>
      <c r="Q623" s="41" t="str">
        <f aca="false">IF($C623="","",ROUND(N($K623)-N($P623),2))</f>
        <v/>
      </c>
      <c r="R623" s="29" t="str">
        <f aca="false">IF($C623="","",YEAR($C623))</f>
        <v/>
      </c>
      <c r="S623" s="24"/>
      <c r="T623" s="35" t="str">
        <f aca="false">IF($C623="","",IF($D623="","★没选客户项目",IF(COUNTIF(合同键,$D623)=0,"★《维保合同》里没这个项目",IF(N($K623)&lt;=0,"★应收金额要填",IF(ROUND(N($N623)-N($K623),2)&gt;0.001,"★开票金额大于应收",IF(AND($L623&lt;&gt;"",N($N623)&lt;=0),"★填了开票日期没填开票金额",IF(AND($I623&lt;&gt;"",$J623&lt;&gt;"",$J623&lt;$I623),"★计费期间起止反了","OK")))))))</f>
        <v/>
      </c>
      <c r="U623" s="29" t="str">
        <f aca="false">IF($L623="","",YEAR($L623))</f>
        <v/>
      </c>
      <c r="V623" s="40" t="str">
        <f aca="false">IF($C623="","",ROUND(SUMIF(收款关联,$B623,收款金额),2))</f>
        <v/>
      </c>
      <c r="W623" s="40" t="str">
        <f aca="false">IF($C623="","",MAX(0,ROUND(N($K623)-N($V623),2)))</f>
        <v/>
      </c>
      <c r="X623" s="40" t="str">
        <f aca="false">IF($C623="","",ROUND(SUMIFS(应收净额,应收键,$D623,应收行号,"&lt;="&amp;ROW()),2))</f>
        <v/>
      </c>
      <c r="Y623" s="29" t="str">
        <f aca="false">IF($C623="","",ROW())</f>
        <v/>
      </c>
    </row>
    <row r="624" customFormat="false" ht="15" hidden="false" customHeight="false" outlineLevel="0" collapsed="false">
      <c r="A624" s="29" t="str">
        <f aca="false">IF($C624="","",ROW()-4)</f>
        <v/>
      </c>
      <c r="B624" s="35" t="str">
        <f aca="false">IF($C624="","","YS"&amp;TEXT($C624,"yyyymm")&amp;"-"&amp;TEXT(ROW()-4,"0000"))</f>
        <v/>
      </c>
      <c r="C624" s="33"/>
      <c r="D624" s="24"/>
      <c r="E624" s="30" t="str">
        <f aca="false">IF($D624="","",IFERROR(INDEX(合同单位,MATCH($D624,合同键,0)),IFERROR(TRIM(LEFT($D624,FIND("｜",$D624)-1)),$D624)))</f>
        <v/>
      </c>
      <c r="F624" s="30" t="str">
        <f aca="false">IF($D624="","",IFERROR(INDEX(合同项目,MATCH($D624,合同键,0)),IFERROR(TRIM(MID($D624,FIND("｜",$D624)+1,99)),"")))</f>
        <v/>
      </c>
      <c r="G624" s="24"/>
      <c r="H624" s="35" t="str">
        <f aca="false">IF($G624="","",IFERROR(INDEX(费用款别,MATCH($G624,费用类别表,0)),"合同外款"))</f>
        <v/>
      </c>
      <c r="I624" s="33"/>
      <c r="J624" s="33"/>
      <c r="K624" s="39"/>
      <c r="L624" s="33"/>
      <c r="M624" s="25"/>
      <c r="N624" s="39"/>
      <c r="O624" s="35" t="str">
        <f aca="false">IF($C624="","",IF(N($N624)&lt;=0,"未开票",IF(ROUND(N($N624)-N($K624),2)&gt;=0,"已开票",IFERROR("部分开票 "&amp;TEXT(N($N624)/N($K624),"0%"),"部分开票"))))</f>
        <v/>
      </c>
      <c r="P624" s="40" t="str">
        <f aca="false">IF($C624="","",ROUND($V624+MIN($W624,MAX(0,(SUMIF(收款键,$D624,收款金额)-SUMIFS(收款金额,收款键,$D624,收款关联,"&lt;&gt;"))-($X624-$W624))),2))</f>
        <v/>
      </c>
      <c r="Q624" s="41" t="str">
        <f aca="false">IF($C624="","",ROUND(N($K624)-N($P624),2))</f>
        <v/>
      </c>
      <c r="R624" s="29" t="str">
        <f aca="false">IF($C624="","",YEAR($C624))</f>
        <v/>
      </c>
      <c r="S624" s="24"/>
      <c r="T624" s="35" t="str">
        <f aca="false">IF($C624="","",IF($D624="","★没选客户项目",IF(COUNTIF(合同键,$D624)=0,"★《维保合同》里没这个项目",IF(N($K624)&lt;=0,"★应收金额要填",IF(ROUND(N($N624)-N($K624),2)&gt;0.001,"★开票金额大于应收",IF(AND($L624&lt;&gt;"",N($N624)&lt;=0),"★填了开票日期没填开票金额",IF(AND($I624&lt;&gt;"",$J624&lt;&gt;"",$J624&lt;$I624),"★计费期间起止反了","OK")))))))</f>
        <v/>
      </c>
      <c r="U624" s="29" t="str">
        <f aca="false">IF($L624="","",YEAR($L624))</f>
        <v/>
      </c>
      <c r="V624" s="40" t="str">
        <f aca="false">IF($C624="","",ROUND(SUMIF(收款关联,$B624,收款金额),2))</f>
        <v/>
      </c>
      <c r="W624" s="40" t="str">
        <f aca="false">IF($C624="","",MAX(0,ROUND(N($K624)-N($V624),2)))</f>
        <v/>
      </c>
      <c r="X624" s="40" t="str">
        <f aca="false">IF($C624="","",ROUND(SUMIFS(应收净额,应收键,$D624,应收行号,"&lt;="&amp;ROW()),2))</f>
        <v/>
      </c>
      <c r="Y624" s="29" t="str">
        <f aca="false">IF($C624="","",ROW())</f>
        <v/>
      </c>
    </row>
    <row r="625" customFormat="false" ht="15" hidden="false" customHeight="false" outlineLevel="0" collapsed="false">
      <c r="A625" s="29" t="str">
        <f aca="false">IF($C625="","",ROW()-4)</f>
        <v/>
      </c>
      <c r="B625" s="35" t="str">
        <f aca="false">IF($C625="","","YS"&amp;TEXT($C625,"yyyymm")&amp;"-"&amp;TEXT(ROW()-4,"0000"))</f>
        <v/>
      </c>
      <c r="C625" s="33"/>
      <c r="D625" s="24"/>
      <c r="E625" s="30" t="str">
        <f aca="false">IF($D625="","",IFERROR(INDEX(合同单位,MATCH($D625,合同键,0)),IFERROR(TRIM(LEFT($D625,FIND("｜",$D625)-1)),$D625)))</f>
        <v/>
      </c>
      <c r="F625" s="30" t="str">
        <f aca="false">IF($D625="","",IFERROR(INDEX(合同项目,MATCH($D625,合同键,0)),IFERROR(TRIM(MID($D625,FIND("｜",$D625)+1,99)),"")))</f>
        <v/>
      </c>
      <c r="G625" s="24"/>
      <c r="H625" s="35" t="str">
        <f aca="false">IF($G625="","",IFERROR(INDEX(费用款别,MATCH($G625,费用类别表,0)),"合同外款"))</f>
        <v/>
      </c>
      <c r="I625" s="33"/>
      <c r="J625" s="33"/>
      <c r="K625" s="39"/>
      <c r="L625" s="33"/>
      <c r="M625" s="25"/>
      <c r="N625" s="39"/>
      <c r="O625" s="35" t="str">
        <f aca="false">IF($C625="","",IF(N($N625)&lt;=0,"未开票",IF(ROUND(N($N625)-N($K625),2)&gt;=0,"已开票",IFERROR("部分开票 "&amp;TEXT(N($N625)/N($K625),"0%"),"部分开票"))))</f>
        <v/>
      </c>
      <c r="P625" s="40" t="str">
        <f aca="false">IF($C625="","",ROUND($V625+MIN($W625,MAX(0,(SUMIF(收款键,$D625,收款金额)-SUMIFS(收款金额,收款键,$D625,收款关联,"&lt;&gt;"))-($X625-$W625))),2))</f>
        <v/>
      </c>
      <c r="Q625" s="41" t="str">
        <f aca="false">IF($C625="","",ROUND(N($K625)-N($P625),2))</f>
        <v/>
      </c>
      <c r="R625" s="29" t="str">
        <f aca="false">IF($C625="","",YEAR($C625))</f>
        <v/>
      </c>
      <c r="S625" s="24"/>
      <c r="T625" s="35" t="str">
        <f aca="false">IF($C625="","",IF($D625="","★没选客户项目",IF(COUNTIF(合同键,$D625)=0,"★《维保合同》里没这个项目",IF(N($K625)&lt;=0,"★应收金额要填",IF(ROUND(N($N625)-N($K625),2)&gt;0.001,"★开票金额大于应收",IF(AND($L625&lt;&gt;"",N($N625)&lt;=0),"★填了开票日期没填开票金额",IF(AND($I625&lt;&gt;"",$J625&lt;&gt;"",$J625&lt;$I625),"★计费期间起止反了","OK")))))))</f>
        <v/>
      </c>
      <c r="U625" s="29" t="str">
        <f aca="false">IF($L625="","",YEAR($L625))</f>
        <v/>
      </c>
      <c r="V625" s="40" t="str">
        <f aca="false">IF($C625="","",ROUND(SUMIF(收款关联,$B625,收款金额),2))</f>
        <v/>
      </c>
      <c r="W625" s="40" t="str">
        <f aca="false">IF($C625="","",MAX(0,ROUND(N($K625)-N($V625),2)))</f>
        <v/>
      </c>
      <c r="X625" s="40" t="str">
        <f aca="false">IF($C625="","",ROUND(SUMIFS(应收净额,应收键,$D625,应收行号,"&lt;="&amp;ROW()),2))</f>
        <v/>
      </c>
      <c r="Y625" s="29" t="str">
        <f aca="false">IF($C625="","",ROW())</f>
        <v/>
      </c>
    </row>
    <row r="626" customFormat="false" ht="15" hidden="false" customHeight="false" outlineLevel="0" collapsed="false">
      <c r="A626" s="29" t="str">
        <f aca="false">IF($C626="","",ROW()-4)</f>
        <v/>
      </c>
      <c r="B626" s="35" t="str">
        <f aca="false">IF($C626="","","YS"&amp;TEXT($C626,"yyyymm")&amp;"-"&amp;TEXT(ROW()-4,"0000"))</f>
        <v/>
      </c>
      <c r="C626" s="33"/>
      <c r="D626" s="24"/>
      <c r="E626" s="30" t="str">
        <f aca="false">IF($D626="","",IFERROR(INDEX(合同单位,MATCH($D626,合同键,0)),IFERROR(TRIM(LEFT($D626,FIND("｜",$D626)-1)),$D626)))</f>
        <v/>
      </c>
      <c r="F626" s="30" t="str">
        <f aca="false">IF($D626="","",IFERROR(INDEX(合同项目,MATCH($D626,合同键,0)),IFERROR(TRIM(MID($D626,FIND("｜",$D626)+1,99)),"")))</f>
        <v/>
      </c>
      <c r="G626" s="24"/>
      <c r="H626" s="35" t="str">
        <f aca="false">IF($G626="","",IFERROR(INDEX(费用款别,MATCH($G626,费用类别表,0)),"合同外款"))</f>
        <v/>
      </c>
      <c r="I626" s="33"/>
      <c r="J626" s="33"/>
      <c r="K626" s="39"/>
      <c r="L626" s="33"/>
      <c r="M626" s="25"/>
      <c r="N626" s="39"/>
      <c r="O626" s="35" t="str">
        <f aca="false">IF($C626="","",IF(N($N626)&lt;=0,"未开票",IF(ROUND(N($N626)-N($K626),2)&gt;=0,"已开票",IFERROR("部分开票 "&amp;TEXT(N($N626)/N($K626),"0%"),"部分开票"))))</f>
        <v/>
      </c>
      <c r="P626" s="40" t="str">
        <f aca="false">IF($C626="","",ROUND($V626+MIN($W626,MAX(0,(SUMIF(收款键,$D626,收款金额)-SUMIFS(收款金额,收款键,$D626,收款关联,"&lt;&gt;"))-($X626-$W626))),2))</f>
        <v/>
      </c>
      <c r="Q626" s="41" t="str">
        <f aca="false">IF($C626="","",ROUND(N($K626)-N($P626),2))</f>
        <v/>
      </c>
      <c r="R626" s="29" t="str">
        <f aca="false">IF($C626="","",YEAR($C626))</f>
        <v/>
      </c>
      <c r="S626" s="24"/>
      <c r="T626" s="35" t="str">
        <f aca="false">IF($C626="","",IF($D626="","★没选客户项目",IF(COUNTIF(合同键,$D626)=0,"★《维保合同》里没这个项目",IF(N($K626)&lt;=0,"★应收金额要填",IF(ROUND(N($N626)-N($K626),2)&gt;0.001,"★开票金额大于应收",IF(AND($L626&lt;&gt;"",N($N626)&lt;=0),"★填了开票日期没填开票金额",IF(AND($I626&lt;&gt;"",$J626&lt;&gt;"",$J626&lt;$I626),"★计费期间起止反了","OK")))))))</f>
        <v/>
      </c>
      <c r="U626" s="29" t="str">
        <f aca="false">IF($L626="","",YEAR($L626))</f>
        <v/>
      </c>
      <c r="V626" s="40" t="str">
        <f aca="false">IF($C626="","",ROUND(SUMIF(收款关联,$B626,收款金额),2))</f>
        <v/>
      </c>
      <c r="W626" s="40" t="str">
        <f aca="false">IF($C626="","",MAX(0,ROUND(N($K626)-N($V626),2)))</f>
        <v/>
      </c>
      <c r="X626" s="40" t="str">
        <f aca="false">IF($C626="","",ROUND(SUMIFS(应收净额,应收键,$D626,应收行号,"&lt;="&amp;ROW()),2))</f>
        <v/>
      </c>
      <c r="Y626" s="29" t="str">
        <f aca="false">IF($C626="","",ROW())</f>
        <v/>
      </c>
    </row>
    <row r="627" customFormat="false" ht="15" hidden="false" customHeight="false" outlineLevel="0" collapsed="false">
      <c r="A627" s="29" t="str">
        <f aca="false">IF($C627="","",ROW()-4)</f>
        <v/>
      </c>
      <c r="B627" s="35" t="str">
        <f aca="false">IF($C627="","","YS"&amp;TEXT($C627,"yyyymm")&amp;"-"&amp;TEXT(ROW()-4,"0000"))</f>
        <v/>
      </c>
      <c r="C627" s="33"/>
      <c r="D627" s="24"/>
      <c r="E627" s="30" t="str">
        <f aca="false">IF($D627="","",IFERROR(INDEX(合同单位,MATCH($D627,合同键,0)),IFERROR(TRIM(LEFT($D627,FIND("｜",$D627)-1)),$D627)))</f>
        <v/>
      </c>
      <c r="F627" s="30" t="str">
        <f aca="false">IF($D627="","",IFERROR(INDEX(合同项目,MATCH($D627,合同键,0)),IFERROR(TRIM(MID($D627,FIND("｜",$D627)+1,99)),"")))</f>
        <v/>
      </c>
      <c r="G627" s="24"/>
      <c r="H627" s="35" t="str">
        <f aca="false">IF($G627="","",IFERROR(INDEX(费用款别,MATCH($G627,费用类别表,0)),"合同外款"))</f>
        <v/>
      </c>
      <c r="I627" s="33"/>
      <c r="J627" s="33"/>
      <c r="K627" s="39"/>
      <c r="L627" s="33"/>
      <c r="M627" s="25"/>
      <c r="N627" s="39"/>
      <c r="O627" s="35" t="str">
        <f aca="false">IF($C627="","",IF(N($N627)&lt;=0,"未开票",IF(ROUND(N($N627)-N($K627),2)&gt;=0,"已开票",IFERROR("部分开票 "&amp;TEXT(N($N627)/N($K627),"0%"),"部分开票"))))</f>
        <v/>
      </c>
      <c r="P627" s="40" t="str">
        <f aca="false">IF($C627="","",ROUND($V627+MIN($W627,MAX(0,(SUMIF(收款键,$D627,收款金额)-SUMIFS(收款金额,收款键,$D627,收款关联,"&lt;&gt;"))-($X627-$W627))),2))</f>
        <v/>
      </c>
      <c r="Q627" s="41" t="str">
        <f aca="false">IF($C627="","",ROUND(N($K627)-N($P627),2))</f>
        <v/>
      </c>
      <c r="R627" s="29" t="str">
        <f aca="false">IF($C627="","",YEAR($C627))</f>
        <v/>
      </c>
      <c r="S627" s="24"/>
      <c r="T627" s="35" t="str">
        <f aca="false">IF($C627="","",IF($D627="","★没选客户项目",IF(COUNTIF(合同键,$D627)=0,"★《维保合同》里没这个项目",IF(N($K627)&lt;=0,"★应收金额要填",IF(ROUND(N($N627)-N($K627),2)&gt;0.001,"★开票金额大于应收",IF(AND($L627&lt;&gt;"",N($N627)&lt;=0),"★填了开票日期没填开票金额",IF(AND($I627&lt;&gt;"",$J627&lt;&gt;"",$J627&lt;$I627),"★计费期间起止反了","OK")))))))</f>
        <v/>
      </c>
      <c r="U627" s="29" t="str">
        <f aca="false">IF($L627="","",YEAR($L627))</f>
        <v/>
      </c>
      <c r="V627" s="40" t="str">
        <f aca="false">IF($C627="","",ROUND(SUMIF(收款关联,$B627,收款金额),2))</f>
        <v/>
      </c>
      <c r="W627" s="40" t="str">
        <f aca="false">IF($C627="","",MAX(0,ROUND(N($K627)-N($V627),2)))</f>
        <v/>
      </c>
      <c r="X627" s="40" t="str">
        <f aca="false">IF($C627="","",ROUND(SUMIFS(应收净额,应收键,$D627,应收行号,"&lt;="&amp;ROW()),2))</f>
        <v/>
      </c>
      <c r="Y627" s="29" t="str">
        <f aca="false">IF($C627="","",ROW())</f>
        <v/>
      </c>
    </row>
    <row r="628" customFormat="false" ht="15" hidden="false" customHeight="false" outlineLevel="0" collapsed="false">
      <c r="A628" s="29" t="str">
        <f aca="false">IF($C628="","",ROW()-4)</f>
        <v/>
      </c>
      <c r="B628" s="35" t="str">
        <f aca="false">IF($C628="","","YS"&amp;TEXT($C628,"yyyymm")&amp;"-"&amp;TEXT(ROW()-4,"0000"))</f>
        <v/>
      </c>
      <c r="C628" s="33"/>
      <c r="D628" s="24"/>
      <c r="E628" s="30" t="str">
        <f aca="false">IF($D628="","",IFERROR(INDEX(合同单位,MATCH($D628,合同键,0)),IFERROR(TRIM(LEFT($D628,FIND("｜",$D628)-1)),$D628)))</f>
        <v/>
      </c>
      <c r="F628" s="30" t="str">
        <f aca="false">IF($D628="","",IFERROR(INDEX(合同项目,MATCH($D628,合同键,0)),IFERROR(TRIM(MID($D628,FIND("｜",$D628)+1,99)),"")))</f>
        <v/>
      </c>
      <c r="G628" s="24"/>
      <c r="H628" s="35" t="str">
        <f aca="false">IF($G628="","",IFERROR(INDEX(费用款别,MATCH($G628,费用类别表,0)),"合同外款"))</f>
        <v/>
      </c>
      <c r="I628" s="33"/>
      <c r="J628" s="33"/>
      <c r="K628" s="39"/>
      <c r="L628" s="33"/>
      <c r="M628" s="25"/>
      <c r="N628" s="39"/>
      <c r="O628" s="35" t="str">
        <f aca="false">IF($C628="","",IF(N($N628)&lt;=0,"未开票",IF(ROUND(N($N628)-N($K628),2)&gt;=0,"已开票",IFERROR("部分开票 "&amp;TEXT(N($N628)/N($K628),"0%"),"部分开票"))))</f>
        <v/>
      </c>
      <c r="P628" s="40" t="str">
        <f aca="false">IF($C628="","",ROUND($V628+MIN($W628,MAX(0,(SUMIF(收款键,$D628,收款金额)-SUMIFS(收款金额,收款键,$D628,收款关联,"&lt;&gt;"))-($X628-$W628))),2))</f>
        <v/>
      </c>
      <c r="Q628" s="41" t="str">
        <f aca="false">IF($C628="","",ROUND(N($K628)-N($P628),2))</f>
        <v/>
      </c>
      <c r="R628" s="29" t="str">
        <f aca="false">IF($C628="","",YEAR($C628))</f>
        <v/>
      </c>
      <c r="S628" s="24"/>
      <c r="T628" s="35" t="str">
        <f aca="false">IF($C628="","",IF($D628="","★没选客户项目",IF(COUNTIF(合同键,$D628)=0,"★《维保合同》里没这个项目",IF(N($K628)&lt;=0,"★应收金额要填",IF(ROUND(N($N628)-N($K628),2)&gt;0.001,"★开票金额大于应收",IF(AND($L628&lt;&gt;"",N($N628)&lt;=0),"★填了开票日期没填开票金额",IF(AND($I628&lt;&gt;"",$J628&lt;&gt;"",$J628&lt;$I628),"★计费期间起止反了","OK")))))))</f>
        <v/>
      </c>
      <c r="U628" s="29" t="str">
        <f aca="false">IF($L628="","",YEAR($L628))</f>
        <v/>
      </c>
      <c r="V628" s="40" t="str">
        <f aca="false">IF($C628="","",ROUND(SUMIF(收款关联,$B628,收款金额),2))</f>
        <v/>
      </c>
      <c r="W628" s="40" t="str">
        <f aca="false">IF($C628="","",MAX(0,ROUND(N($K628)-N($V628),2)))</f>
        <v/>
      </c>
      <c r="X628" s="40" t="str">
        <f aca="false">IF($C628="","",ROUND(SUMIFS(应收净额,应收键,$D628,应收行号,"&lt;="&amp;ROW()),2))</f>
        <v/>
      </c>
      <c r="Y628" s="29" t="str">
        <f aca="false">IF($C628="","",ROW())</f>
        <v/>
      </c>
    </row>
    <row r="629" customFormat="false" ht="15" hidden="false" customHeight="false" outlineLevel="0" collapsed="false">
      <c r="A629" s="29" t="str">
        <f aca="false">IF($C629="","",ROW()-4)</f>
        <v/>
      </c>
      <c r="B629" s="35" t="str">
        <f aca="false">IF($C629="","","YS"&amp;TEXT($C629,"yyyymm")&amp;"-"&amp;TEXT(ROW()-4,"0000"))</f>
        <v/>
      </c>
      <c r="C629" s="33"/>
      <c r="D629" s="24"/>
      <c r="E629" s="30" t="str">
        <f aca="false">IF($D629="","",IFERROR(INDEX(合同单位,MATCH($D629,合同键,0)),IFERROR(TRIM(LEFT($D629,FIND("｜",$D629)-1)),$D629)))</f>
        <v/>
      </c>
      <c r="F629" s="30" t="str">
        <f aca="false">IF($D629="","",IFERROR(INDEX(合同项目,MATCH($D629,合同键,0)),IFERROR(TRIM(MID($D629,FIND("｜",$D629)+1,99)),"")))</f>
        <v/>
      </c>
      <c r="G629" s="24"/>
      <c r="H629" s="35" t="str">
        <f aca="false">IF($G629="","",IFERROR(INDEX(费用款别,MATCH($G629,费用类别表,0)),"合同外款"))</f>
        <v/>
      </c>
      <c r="I629" s="33"/>
      <c r="J629" s="33"/>
      <c r="K629" s="39"/>
      <c r="L629" s="33"/>
      <c r="M629" s="25"/>
      <c r="N629" s="39"/>
      <c r="O629" s="35" t="str">
        <f aca="false">IF($C629="","",IF(N($N629)&lt;=0,"未开票",IF(ROUND(N($N629)-N($K629),2)&gt;=0,"已开票",IFERROR("部分开票 "&amp;TEXT(N($N629)/N($K629),"0%"),"部分开票"))))</f>
        <v/>
      </c>
      <c r="P629" s="40" t="str">
        <f aca="false">IF($C629="","",ROUND($V629+MIN($W629,MAX(0,(SUMIF(收款键,$D629,收款金额)-SUMIFS(收款金额,收款键,$D629,收款关联,"&lt;&gt;"))-($X629-$W629))),2))</f>
        <v/>
      </c>
      <c r="Q629" s="41" t="str">
        <f aca="false">IF($C629="","",ROUND(N($K629)-N($P629),2))</f>
        <v/>
      </c>
      <c r="R629" s="29" t="str">
        <f aca="false">IF($C629="","",YEAR($C629))</f>
        <v/>
      </c>
      <c r="S629" s="24"/>
      <c r="T629" s="35" t="str">
        <f aca="false">IF($C629="","",IF($D629="","★没选客户项目",IF(COUNTIF(合同键,$D629)=0,"★《维保合同》里没这个项目",IF(N($K629)&lt;=0,"★应收金额要填",IF(ROUND(N($N629)-N($K629),2)&gt;0.001,"★开票金额大于应收",IF(AND($L629&lt;&gt;"",N($N629)&lt;=0),"★填了开票日期没填开票金额",IF(AND($I629&lt;&gt;"",$J629&lt;&gt;"",$J629&lt;$I629),"★计费期间起止反了","OK")))))))</f>
        <v/>
      </c>
      <c r="U629" s="29" t="str">
        <f aca="false">IF($L629="","",YEAR($L629))</f>
        <v/>
      </c>
      <c r="V629" s="40" t="str">
        <f aca="false">IF($C629="","",ROUND(SUMIF(收款关联,$B629,收款金额),2))</f>
        <v/>
      </c>
      <c r="W629" s="40" t="str">
        <f aca="false">IF($C629="","",MAX(0,ROUND(N($K629)-N($V629),2)))</f>
        <v/>
      </c>
      <c r="X629" s="40" t="str">
        <f aca="false">IF($C629="","",ROUND(SUMIFS(应收净额,应收键,$D629,应收行号,"&lt;="&amp;ROW()),2))</f>
        <v/>
      </c>
      <c r="Y629" s="29" t="str">
        <f aca="false">IF($C629="","",ROW())</f>
        <v/>
      </c>
    </row>
    <row r="630" customFormat="false" ht="15" hidden="false" customHeight="false" outlineLevel="0" collapsed="false">
      <c r="A630" s="29" t="str">
        <f aca="false">IF($C630="","",ROW()-4)</f>
        <v/>
      </c>
      <c r="B630" s="35" t="str">
        <f aca="false">IF($C630="","","YS"&amp;TEXT($C630,"yyyymm")&amp;"-"&amp;TEXT(ROW()-4,"0000"))</f>
        <v/>
      </c>
      <c r="C630" s="33"/>
      <c r="D630" s="24"/>
      <c r="E630" s="30" t="str">
        <f aca="false">IF($D630="","",IFERROR(INDEX(合同单位,MATCH($D630,合同键,0)),IFERROR(TRIM(LEFT($D630,FIND("｜",$D630)-1)),$D630)))</f>
        <v/>
      </c>
      <c r="F630" s="30" t="str">
        <f aca="false">IF($D630="","",IFERROR(INDEX(合同项目,MATCH($D630,合同键,0)),IFERROR(TRIM(MID($D630,FIND("｜",$D630)+1,99)),"")))</f>
        <v/>
      </c>
      <c r="G630" s="24"/>
      <c r="H630" s="35" t="str">
        <f aca="false">IF($G630="","",IFERROR(INDEX(费用款别,MATCH($G630,费用类别表,0)),"合同外款"))</f>
        <v/>
      </c>
      <c r="I630" s="33"/>
      <c r="J630" s="33"/>
      <c r="K630" s="39"/>
      <c r="L630" s="33"/>
      <c r="M630" s="25"/>
      <c r="N630" s="39"/>
      <c r="O630" s="35" t="str">
        <f aca="false">IF($C630="","",IF(N($N630)&lt;=0,"未开票",IF(ROUND(N($N630)-N($K630),2)&gt;=0,"已开票",IFERROR("部分开票 "&amp;TEXT(N($N630)/N($K630),"0%"),"部分开票"))))</f>
        <v/>
      </c>
      <c r="P630" s="40" t="str">
        <f aca="false">IF($C630="","",ROUND($V630+MIN($W630,MAX(0,(SUMIF(收款键,$D630,收款金额)-SUMIFS(收款金额,收款键,$D630,收款关联,"&lt;&gt;"))-($X630-$W630))),2))</f>
        <v/>
      </c>
      <c r="Q630" s="41" t="str">
        <f aca="false">IF($C630="","",ROUND(N($K630)-N($P630),2))</f>
        <v/>
      </c>
      <c r="R630" s="29" t="str">
        <f aca="false">IF($C630="","",YEAR($C630))</f>
        <v/>
      </c>
      <c r="S630" s="24"/>
      <c r="T630" s="35" t="str">
        <f aca="false">IF($C630="","",IF($D630="","★没选客户项目",IF(COUNTIF(合同键,$D630)=0,"★《维保合同》里没这个项目",IF(N($K630)&lt;=0,"★应收金额要填",IF(ROUND(N($N630)-N($K630),2)&gt;0.001,"★开票金额大于应收",IF(AND($L630&lt;&gt;"",N($N630)&lt;=0),"★填了开票日期没填开票金额",IF(AND($I630&lt;&gt;"",$J630&lt;&gt;"",$J630&lt;$I630),"★计费期间起止反了","OK")))))))</f>
        <v/>
      </c>
      <c r="U630" s="29" t="str">
        <f aca="false">IF($L630="","",YEAR($L630))</f>
        <v/>
      </c>
      <c r="V630" s="40" t="str">
        <f aca="false">IF($C630="","",ROUND(SUMIF(收款关联,$B630,收款金额),2))</f>
        <v/>
      </c>
      <c r="W630" s="40" t="str">
        <f aca="false">IF($C630="","",MAX(0,ROUND(N($K630)-N($V630),2)))</f>
        <v/>
      </c>
      <c r="X630" s="40" t="str">
        <f aca="false">IF($C630="","",ROUND(SUMIFS(应收净额,应收键,$D630,应收行号,"&lt;="&amp;ROW()),2))</f>
        <v/>
      </c>
      <c r="Y630" s="29" t="str">
        <f aca="false">IF($C630="","",ROW())</f>
        <v/>
      </c>
    </row>
    <row r="631" customFormat="false" ht="15" hidden="false" customHeight="false" outlineLevel="0" collapsed="false">
      <c r="A631" s="29" t="str">
        <f aca="false">IF($C631="","",ROW()-4)</f>
        <v/>
      </c>
      <c r="B631" s="35" t="str">
        <f aca="false">IF($C631="","","YS"&amp;TEXT($C631,"yyyymm")&amp;"-"&amp;TEXT(ROW()-4,"0000"))</f>
        <v/>
      </c>
      <c r="C631" s="33"/>
      <c r="D631" s="24"/>
      <c r="E631" s="30" t="str">
        <f aca="false">IF($D631="","",IFERROR(INDEX(合同单位,MATCH($D631,合同键,0)),IFERROR(TRIM(LEFT($D631,FIND("｜",$D631)-1)),$D631)))</f>
        <v/>
      </c>
      <c r="F631" s="30" t="str">
        <f aca="false">IF($D631="","",IFERROR(INDEX(合同项目,MATCH($D631,合同键,0)),IFERROR(TRIM(MID($D631,FIND("｜",$D631)+1,99)),"")))</f>
        <v/>
      </c>
      <c r="G631" s="24"/>
      <c r="H631" s="35" t="str">
        <f aca="false">IF($G631="","",IFERROR(INDEX(费用款别,MATCH($G631,费用类别表,0)),"合同外款"))</f>
        <v/>
      </c>
      <c r="I631" s="33"/>
      <c r="J631" s="33"/>
      <c r="K631" s="39"/>
      <c r="L631" s="33"/>
      <c r="M631" s="25"/>
      <c r="N631" s="39"/>
      <c r="O631" s="35" t="str">
        <f aca="false">IF($C631="","",IF(N($N631)&lt;=0,"未开票",IF(ROUND(N($N631)-N($K631),2)&gt;=0,"已开票",IFERROR("部分开票 "&amp;TEXT(N($N631)/N($K631),"0%"),"部分开票"))))</f>
        <v/>
      </c>
      <c r="P631" s="40" t="str">
        <f aca="false">IF($C631="","",ROUND($V631+MIN($W631,MAX(0,(SUMIF(收款键,$D631,收款金额)-SUMIFS(收款金额,收款键,$D631,收款关联,"&lt;&gt;"))-($X631-$W631))),2))</f>
        <v/>
      </c>
      <c r="Q631" s="41" t="str">
        <f aca="false">IF($C631="","",ROUND(N($K631)-N($P631),2))</f>
        <v/>
      </c>
      <c r="R631" s="29" t="str">
        <f aca="false">IF($C631="","",YEAR($C631))</f>
        <v/>
      </c>
      <c r="S631" s="24"/>
      <c r="T631" s="35" t="str">
        <f aca="false">IF($C631="","",IF($D631="","★没选客户项目",IF(COUNTIF(合同键,$D631)=0,"★《维保合同》里没这个项目",IF(N($K631)&lt;=0,"★应收金额要填",IF(ROUND(N($N631)-N($K631),2)&gt;0.001,"★开票金额大于应收",IF(AND($L631&lt;&gt;"",N($N631)&lt;=0),"★填了开票日期没填开票金额",IF(AND($I631&lt;&gt;"",$J631&lt;&gt;"",$J631&lt;$I631),"★计费期间起止反了","OK")))))))</f>
        <v/>
      </c>
      <c r="U631" s="29" t="str">
        <f aca="false">IF($L631="","",YEAR($L631))</f>
        <v/>
      </c>
      <c r="V631" s="40" t="str">
        <f aca="false">IF($C631="","",ROUND(SUMIF(收款关联,$B631,收款金额),2))</f>
        <v/>
      </c>
      <c r="W631" s="40" t="str">
        <f aca="false">IF($C631="","",MAX(0,ROUND(N($K631)-N($V631),2)))</f>
        <v/>
      </c>
      <c r="X631" s="40" t="str">
        <f aca="false">IF($C631="","",ROUND(SUMIFS(应收净额,应收键,$D631,应收行号,"&lt;="&amp;ROW()),2))</f>
        <v/>
      </c>
      <c r="Y631" s="29" t="str">
        <f aca="false">IF($C631="","",ROW())</f>
        <v/>
      </c>
    </row>
    <row r="632" customFormat="false" ht="15" hidden="false" customHeight="false" outlineLevel="0" collapsed="false">
      <c r="A632" s="29" t="str">
        <f aca="false">IF($C632="","",ROW()-4)</f>
        <v/>
      </c>
      <c r="B632" s="35" t="str">
        <f aca="false">IF($C632="","","YS"&amp;TEXT($C632,"yyyymm")&amp;"-"&amp;TEXT(ROW()-4,"0000"))</f>
        <v/>
      </c>
      <c r="C632" s="33"/>
      <c r="D632" s="24"/>
      <c r="E632" s="30" t="str">
        <f aca="false">IF($D632="","",IFERROR(INDEX(合同单位,MATCH($D632,合同键,0)),IFERROR(TRIM(LEFT($D632,FIND("｜",$D632)-1)),$D632)))</f>
        <v/>
      </c>
      <c r="F632" s="30" t="str">
        <f aca="false">IF($D632="","",IFERROR(INDEX(合同项目,MATCH($D632,合同键,0)),IFERROR(TRIM(MID($D632,FIND("｜",$D632)+1,99)),"")))</f>
        <v/>
      </c>
      <c r="G632" s="24"/>
      <c r="H632" s="35" t="str">
        <f aca="false">IF($G632="","",IFERROR(INDEX(费用款别,MATCH($G632,费用类别表,0)),"合同外款"))</f>
        <v/>
      </c>
      <c r="I632" s="33"/>
      <c r="J632" s="33"/>
      <c r="K632" s="39"/>
      <c r="L632" s="33"/>
      <c r="M632" s="25"/>
      <c r="N632" s="39"/>
      <c r="O632" s="35" t="str">
        <f aca="false">IF($C632="","",IF(N($N632)&lt;=0,"未开票",IF(ROUND(N($N632)-N($K632),2)&gt;=0,"已开票",IFERROR("部分开票 "&amp;TEXT(N($N632)/N($K632),"0%"),"部分开票"))))</f>
        <v/>
      </c>
      <c r="P632" s="40" t="str">
        <f aca="false">IF($C632="","",ROUND($V632+MIN($W632,MAX(0,(SUMIF(收款键,$D632,收款金额)-SUMIFS(收款金额,收款键,$D632,收款关联,"&lt;&gt;"))-($X632-$W632))),2))</f>
        <v/>
      </c>
      <c r="Q632" s="41" t="str">
        <f aca="false">IF($C632="","",ROUND(N($K632)-N($P632),2))</f>
        <v/>
      </c>
      <c r="R632" s="29" t="str">
        <f aca="false">IF($C632="","",YEAR($C632))</f>
        <v/>
      </c>
      <c r="S632" s="24"/>
      <c r="T632" s="35" t="str">
        <f aca="false">IF($C632="","",IF($D632="","★没选客户项目",IF(COUNTIF(合同键,$D632)=0,"★《维保合同》里没这个项目",IF(N($K632)&lt;=0,"★应收金额要填",IF(ROUND(N($N632)-N($K632),2)&gt;0.001,"★开票金额大于应收",IF(AND($L632&lt;&gt;"",N($N632)&lt;=0),"★填了开票日期没填开票金额",IF(AND($I632&lt;&gt;"",$J632&lt;&gt;"",$J632&lt;$I632),"★计费期间起止反了","OK")))))))</f>
        <v/>
      </c>
      <c r="U632" s="29" t="str">
        <f aca="false">IF($L632="","",YEAR($L632))</f>
        <v/>
      </c>
      <c r="V632" s="40" t="str">
        <f aca="false">IF($C632="","",ROUND(SUMIF(收款关联,$B632,收款金额),2))</f>
        <v/>
      </c>
      <c r="W632" s="40" t="str">
        <f aca="false">IF($C632="","",MAX(0,ROUND(N($K632)-N($V632),2)))</f>
        <v/>
      </c>
      <c r="X632" s="40" t="str">
        <f aca="false">IF($C632="","",ROUND(SUMIFS(应收净额,应收键,$D632,应收行号,"&lt;="&amp;ROW()),2))</f>
        <v/>
      </c>
      <c r="Y632" s="29" t="str">
        <f aca="false">IF($C632="","",ROW())</f>
        <v/>
      </c>
    </row>
    <row r="633" customFormat="false" ht="15" hidden="false" customHeight="false" outlineLevel="0" collapsed="false">
      <c r="A633" s="29" t="str">
        <f aca="false">IF($C633="","",ROW()-4)</f>
        <v/>
      </c>
      <c r="B633" s="35" t="str">
        <f aca="false">IF($C633="","","YS"&amp;TEXT($C633,"yyyymm")&amp;"-"&amp;TEXT(ROW()-4,"0000"))</f>
        <v/>
      </c>
      <c r="C633" s="33"/>
      <c r="D633" s="24"/>
      <c r="E633" s="30" t="str">
        <f aca="false">IF($D633="","",IFERROR(INDEX(合同单位,MATCH($D633,合同键,0)),IFERROR(TRIM(LEFT($D633,FIND("｜",$D633)-1)),$D633)))</f>
        <v/>
      </c>
      <c r="F633" s="30" t="str">
        <f aca="false">IF($D633="","",IFERROR(INDEX(合同项目,MATCH($D633,合同键,0)),IFERROR(TRIM(MID($D633,FIND("｜",$D633)+1,99)),"")))</f>
        <v/>
      </c>
      <c r="G633" s="24"/>
      <c r="H633" s="35" t="str">
        <f aca="false">IF($G633="","",IFERROR(INDEX(费用款别,MATCH($G633,费用类别表,0)),"合同外款"))</f>
        <v/>
      </c>
      <c r="I633" s="33"/>
      <c r="J633" s="33"/>
      <c r="K633" s="39"/>
      <c r="L633" s="33"/>
      <c r="M633" s="25"/>
      <c r="N633" s="39"/>
      <c r="O633" s="35" t="str">
        <f aca="false">IF($C633="","",IF(N($N633)&lt;=0,"未开票",IF(ROUND(N($N633)-N($K633),2)&gt;=0,"已开票",IFERROR("部分开票 "&amp;TEXT(N($N633)/N($K633),"0%"),"部分开票"))))</f>
        <v/>
      </c>
      <c r="P633" s="40" t="str">
        <f aca="false">IF($C633="","",ROUND($V633+MIN($W633,MAX(0,(SUMIF(收款键,$D633,收款金额)-SUMIFS(收款金额,收款键,$D633,收款关联,"&lt;&gt;"))-($X633-$W633))),2))</f>
        <v/>
      </c>
      <c r="Q633" s="41" t="str">
        <f aca="false">IF($C633="","",ROUND(N($K633)-N($P633),2))</f>
        <v/>
      </c>
      <c r="R633" s="29" t="str">
        <f aca="false">IF($C633="","",YEAR($C633))</f>
        <v/>
      </c>
      <c r="S633" s="24"/>
      <c r="T633" s="35" t="str">
        <f aca="false">IF($C633="","",IF($D633="","★没选客户项目",IF(COUNTIF(合同键,$D633)=0,"★《维保合同》里没这个项目",IF(N($K633)&lt;=0,"★应收金额要填",IF(ROUND(N($N633)-N($K633),2)&gt;0.001,"★开票金额大于应收",IF(AND($L633&lt;&gt;"",N($N633)&lt;=0),"★填了开票日期没填开票金额",IF(AND($I633&lt;&gt;"",$J633&lt;&gt;"",$J633&lt;$I633),"★计费期间起止反了","OK")))))))</f>
        <v/>
      </c>
      <c r="U633" s="29" t="str">
        <f aca="false">IF($L633="","",YEAR($L633))</f>
        <v/>
      </c>
      <c r="V633" s="40" t="str">
        <f aca="false">IF($C633="","",ROUND(SUMIF(收款关联,$B633,收款金额),2))</f>
        <v/>
      </c>
      <c r="W633" s="40" t="str">
        <f aca="false">IF($C633="","",MAX(0,ROUND(N($K633)-N($V633),2)))</f>
        <v/>
      </c>
      <c r="X633" s="40" t="str">
        <f aca="false">IF($C633="","",ROUND(SUMIFS(应收净额,应收键,$D633,应收行号,"&lt;="&amp;ROW()),2))</f>
        <v/>
      </c>
      <c r="Y633" s="29" t="str">
        <f aca="false">IF($C633="","",ROW())</f>
        <v/>
      </c>
    </row>
    <row r="634" customFormat="false" ht="15" hidden="false" customHeight="false" outlineLevel="0" collapsed="false">
      <c r="A634" s="29" t="str">
        <f aca="false">IF($C634="","",ROW()-4)</f>
        <v/>
      </c>
      <c r="B634" s="35" t="str">
        <f aca="false">IF($C634="","","YS"&amp;TEXT($C634,"yyyymm")&amp;"-"&amp;TEXT(ROW()-4,"0000"))</f>
        <v/>
      </c>
      <c r="C634" s="33"/>
      <c r="D634" s="24"/>
      <c r="E634" s="30" t="str">
        <f aca="false">IF($D634="","",IFERROR(INDEX(合同单位,MATCH($D634,合同键,0)),IFERROR(TRIM(LEFT($D634,FIND("｜",$D634)-1)),$D634)))</f>
        <v/>
      </c>
      <c r="F634" s="30" t="str">
        <f aca="false">IF($D634="","",IFERROR(INDEX(合同项目,MATCH($D634,合同键,0)),IFERROR(TRIM(MID($D634,FIND("｜",$D634)+1,99)),"")))</f>
        <v/>
      </c>
      <c r="G634" s="24"/>
      <c r="H634" s="35" t="str">
        <f aca="false">IF($G634="","",IFERROR(INDEX(费用款别,MATCH($G634,费用类别表,0)),"合同外款"))</f>
        <v/>
      </c>
      <c r="I634" s="33"/>
      <c r="J634" s="33"/>
      <c r="K634" s="39"/>
      <c r="L634" s="33"/>
      <c r="M634" s="25"/>
      <c r="N634" s="39"/>
      <c r="O634" s="35" t="str">
        <f aca="false">IF($C634="","",IF(N($N634)&lt;=0,"未开票",IF(ROUND(N($N634)-N($K634),2)&gt;=0,"已开票",IFERROR("部分开票 "&amp;TEXT(N($N634)/N($K634),"0%"),"部分开票"))))</f>
        <v/>
      </c>
      <c r="P634" s="40" t="str">
        <f aca="false">IF($C634="","",ROUND($V634+MIN($W634,MAX(0,(SUMIF(收款键,$D634,收款金额)-SUMIFS(收款金额,收款键,$D634,收款关联,"&lt;&gt;"))-($X634-$W634))),2))</f>
        <v/>
      </c>
      <c r="Q634" s="41" t="str">
        <f aca="false">IF($C634="","",ROUND(N($K634)-N($P634),2))</f>
        <v/>
      </c>
      <c r="R634" s="29" t="str">
        <f aca="false">IF($C634="","",YEAR($C634))</f>
        <v/>
      </c>
      <c r="S634" s="24"/>
      <c r="T634" s="35" t="str">
        <f aca="false">IF($C634="","",IF($D634="","★没选客户项目",IF(COUNTIF(合同键,$D634)=0,"★《维保合同》里没这个项目",IF(N($K634)&lt;=0,"★应收金额要填",IF(ROUND(N($N634)-N($K634),2)&gt;0.001,"★开票金额大于应收",IF(AND($L634&lt;&gt;"",N($N634)&lt;=0),"★填了开票日期没填开票金额",IF(AND($I634&lt;&gt;"",$J634&lt;&gt;"",$J634&lt;$I634),"★计费期间起止反了","OK")))))))</f>
        <v/>
      </c>
      <c r="U634" s="29" t="str">
        <f aca="false">IF($L634="","",YEAR($L634))</f>
        <v/>
      </c>
      <c r="V634" s="40" t="str">
        <f aca="false">IF($C634="","",ROUND(SUMIF(收款关联,$B634,收款金额),2))</f>
        <v/>
      </c>
      <c r="W634" s="40" t="str">
        <f aca="false">IF($C634="","",MAX(0,ROUND(N($K634)-N($V634),2)))</f>
        <v/>
      </c>
      <c r="X634" s="40" t="str">
        <f aca="false">IF($C634="","",ROUND(SUMIFS(应收净额,应收键,$D634,应收行号,"&lt;="&amp;ROW()),2))</f>
        <v/>
      </c>
      <c r="Y634" s="29" t="str">
        <f aca="false">IF($C634="","",ROW())</f>
        <v/>
      </c>
    </row>
    <row r="635" customFormat="false" ht="15" hidden="false" customHeight="false" outlineLevel="0" collapsed="false">
      <c r="A635" s="29" t="str">
        <f aca="false">IF($C635="","",ROW()-4)</f>
        <v/>
      </c>
      <c r="B635" s="35" t="str">
        <f aca="false">IF($C635="","","YS"&amp;TEXT($C635,"yyyymm")&amp;"-"&amp;TEXT(ROW()-4,"0000"))</f>
        <v/>
      </c>
      <c r="C635" s="33"/>
      <c r="D635" s="24"/>
      <c r="E635" s="30" t="str">
        <f aca="false">IF($D635="","",IFERROR(INDEX(合同单位,MATCH($D635,合同键,0)),IFERROR(TRIM(LEFT($D635,FIND("｜",$D635)-1)),$D635)))</f>
        <v/>
      </c>
      <c r="F635" s="30" t="str">
        <f aca="false">IF($D635="","",IFERROR(INDEX(合同项目,MATCH($D635,合同键,0)),IFERROR(TRIM(MID($D635,FIND("｜",$D635)+1,99)),"")))</f>
        <v/>
      </c>
      <c r="G635" s="24"/>
      <c r="H635" s="35" t="str">
        <f aca="false">IF($G635="","",IFERROR(INDEX(费用款别,MATCH($G635,费用类别表,0)),"合同外款"))</f>
        <v/>
      </c>
      <c r="I635" s="33"/>
      <c r="J635" s="33"/>
      <c r="K635" s="39"/>
      <c r="L635" s="33"/>
      <c r="M635" s="25"/>
      <c r="N635" s="39"/>
      <c r="O635" s="35" t="str">
        <f aca="false">IF($C635="","",IF(N($N635)&lt;=0,"未开票",IF(ROUND(N($N635)-N($K635),2)&gt;=0,"已开票",IFERROR("部分开票 "&amp;TEXT(N($N635)/N($K635),"0%"),"部分开票"))))</f>
        <v/>
      </c>
      <c r="P635" s="40" t="str">
        <f aca="false">IF($C635="","",ROUND($V635+MIN($W635,MAX(0,(SUMIF(收款键,$D635,收款金额)-SUMIFS(收款金额,收款键,$D635,收款关联,"&lt;&gt;"))-($X635-$W635))),2))</f>
        <v/>
      </c>
      <c r="Q635" s="41" t="str">
        <f aca="false">IF($C635="","",ROUND(N($K635)-N($P635),2))</f>
        <v/>
      </c>
      <c r="R635" s="29" t="str">
        <f aca="false">IF($C635="","",YEAR($C635))</f>
        <v/>
      </c>
      <c r="S635" s="24"/>
      <c r="T635" s="35" t="str">
        <f aca="false">IF($C635="","",IF($D635="","★没选客户项目",IF(COUNTIF(合同键,$D635)=0,"★《维保合同》里没这个项目",IF(N($K635)&lt;=0,"★应收金额要填",IF(ROUND(N($N635)-N($K635),2)&gt;0.001,"★开票金额大于应收",IF(AND($L635&lt;&gt;"",N($N635)&lt;=0),"★填了开票日期没填开票金额",IF(AND($I635&lt;&gt;"",$J635&lt;&gt;"",$J635&lt;$I635),"★计费期间起止反了","OK")))))))</f>
        <v/>
      </c>
      <c r="U635" s="29" t="str">
        <f aca="false">IF($L635="","",YEAR($L635))</f>
        <v/>
      </c>
      <c r="V635" s="40" t="str">
        <f aca="false">IF($C635="","",ROUND(SUMIF(收款关联,$B635,收款金额),2))</f>
        <v/>
      </c>
      <c r="W635" s="40" t="str">
        <f aca="false">IF($C635="","",MAX(0,ROUND(N($K635)-N($V635),2)))</f>
        <v/>
      </c>
      <c r="X635" s="40" t="str">
        <f aca="false">IF($C635="","",ROUND(SUMIFS(应收净额,应收键,$D635,应收行号,"&lt;="&amp;ROW()),2))</f>
        <v/>
      </c>
      <c r="Y635" s="29" t="str">
        <f aca="false">IF($C635="","",ROW())</f>
        <v/>
      </c>
    </row>
    <row r="636" customFormat="false" ht="15" hidden="false" customHeight="false" outlineLevel="0" collapsed="false">
      <c r="A636" s="29" t="str">
        <f aca="false">IF($C636="","",ROW()-4)</f>
        <v/>
      </c>
      <c r="B636" s="35" t="str">
        <f aca="false">IF($C636="","","YS"&amp;TEXT($C636,"yyyymm")&amp;"-"&amp;TEXT(ROW()-4,"0000"))</f>
        <v/>
      </c>
      <c r="C636" s="33"/>
      <c r="D636" s="24"/>
      <c r="E636" s="30" t="str">
        <f aca="false">IF($D636="","",IFERROR(INDEX(合同单位,MATCH($D636,合同键,0)),IFERROR(TRIM(LEFT($D636,FIND("｜",$D636)-1)),$D636)))</f>
        <v/>
      </c>
      <c r="F636" s="30" t="str">
        <f aca="false">IF($D636="","",IFERROR(INDEX(合同项目,MATCH($D636,合同键,0)),IFERROR(TRIM(MID($D636,FIND("｜",$D636)+1,99)),"")))</f>
        <v/>
      </c>
      <c r="G636" s="24"/>
      <c r="H636" s="35" t="str">
        <f aca="false">IF($G636="","",IFERROR(INDEX(费用款别,MATCH($G636,费用类别表,0)),"合同外款"))</f>
        <v/>
      </c>
      <c r="I636" s="33"/>
      <c r="J636" s="33"/>
      <c r="K636" s="39"/>
      <c r="L636" s="33"/>
      <c r="M636" s="25"/>
      <c r="N636" s="39"/>
      <c r="O636" s="35" t="str">
        <f aca="false">IF($C636="","",IF(N($N636)&lt;=0,"未开票",IF(ROUND(N($N636)-N($K636),2)&gt;=0,"已开票",IFERROR("部分开票 "&amp;TEXT(N($N636)/N($K636),"0%"),"部分开票"))))</f>
        <v/>
      </c>
      <c r="P636" s="40" t="str">
        <f aca="false">IF($C636="","",ROUND($V636+MIN($W636,MAX(0,(SUMIF(收款键,$D636,收款金额)-SUMIFS(收款金额,收款键,$D636,收款关联,"&lt;&gt;"))-($X636-$W636))),2))</f>
        <v/>
      </c>
      <c r="Q636" s="41" t="str">
        <f aca="false">IF($C636="","",ROUND(N($K636)-N($P636),2))</f>
        <v/>
      </c>
      <c r="R636" s="29" t="str">
        <f aca="false">IF($C636="","",YEAR($C636))</f>
        <v/>
      </c>
      <c r="S636" s="24"/>
      <c r="T636" s="35" t="str">
        <f aca="false">IF($C636="","",IF($D636="","★没选客户项目",IF(COUNTIF(合同键,$D636)=0,"★《维保合同》里没这个项目",IF(N($K636)&lt;=0,"★应收金额要填",IF(ROUND(N($N636)-N($K636),2)&gt;0.001,"★开票金额大于应收",IF(AND($L636&lt;&gt;"",N($N636)&lt;=0),"★填了开票日期没填开票金额",IF(AND($I636&lt;&gt;"",$J636&lt;&gt;"",$J636&lt;$I636),"★计费期间起止反了","OK")))))))</f>
        <v/>
      </c>
      <c r="U636" s="29" t="str">
        <f aca="false">IF($L636="","",YEAR($L636))</f>
        <v/>
      </c>
      <c r="V636" s="40" t="str">
        <f aca="false">IF($C636="","",ROUND(SUMIF(收款关联,$B636,收款金额),2))</f>
        <v/>
      </c>
      <c r="W636" s="40" t="str">
        <f aca="false">IF($C636="","",MAX(0,ROUND(N($K636)-N($V636),2)))</f>
        <v/>
      </c>
      <c r="X636" s="40" t="str">
        <f aca="false">IF($C636="","",ROUND(SUMIFS(应收净额,应收键,$D636,应收行号,"&lt;="&amp;ROW()),2))</f>
        <v/>
      </c>
      <c r="Y636" s="29" t="str">
        <f aca="false">IF($C636="","",ROW())</f>
        <v/>
      </c>
    </row>
    <row r="637" customFormat="false" ht="15" hidden="false" customHeight="false" outlineLevel="0" collapsed="false">
      <c r="A637" s="29" t="str">
        <f aca="false">IF($C637="","",ROW()-4)</f>
        <v/>
      </c>
      <c r="B637" s="35" t="str">
        <f aca="false">IF($C637="","","YS"&amp;TEXT($C637,"yyyymm")&amp;"-"&amp;TEXT(ROW()-4,"0000"))</f>
        <v/>
      </c>
      <c r="C637" s="33"/>
      <c r="D637" s="24"/>
      <c r="E637" s="30" t="str">
        <f aca="false">IF($D637="","",IFERROR(INDEX(合同单位,MATCH($D637,合同键,0)),IFERROR(TRIM(LEFT($D637,FIND("｜",$D637)-1)),$D637)))</f>
        <v/>
      </c>
      <c r="F637" s="30" t="str">
        <f aca="false">IF($D637="","",IFERROR(INDEX(合同项目,MATCH($D637,合同键,0)),IFERROR(TRIM(MID($D637,FIND("｜",$D637)+1,99)),"")))</f>
        <v/>
      </c>
      <c r="G637" s="24"/>
      <c r="H637" s="35" t="str">
        <f aca="false">IF($G637="","",IFERROR(INDEX(费用款别,MATCH($G637,费用类别表,0)),"合同外款"))</f>
        <v/>
      </c>
      <c r="I637" s="33"/>
      <c r="J637" s="33"/>
      <c r="K637" s="39"/>
      <c r="L637" s="33"/>
      <c r="M637" s="25"/>
      <c r="N637" s="39"/>
      <c r="O637" s="35" t="str">
        <f aca="false">IF($C637="","",IF(N($N637)&lt;=0,"未开票",IF(ROUND(N($N637)-N($K637),2)&gt;=0,"已开票",IFERROR("部分开票 "&amp;TEXT(N($N637)/N($K637),"0%"),"部分开票"))))</f>
        <v/>
      </c>
      <c r="P637" s="40" t="str">
        <f aca="false">IF($C637="","",ROUND($V637+MIN($W637,MAX(0,(SUMIF(收款键,$D637,收款金额)-SUMIFS(收款金额,收款键,$D637,收款关联,"&lt;&gt;"))-($X637-$W637))),2))</f>
        <v/>
      </c>
      <c r="Q637" s="41" t="str">
        <f aca="false">IF($C637="","",ROUND(N($K637)-N($P637),2))</f>
        <v/>
      </c>
      <c r="R637" s="29" t="str">
        <f aca="false">IF($C637="","",YEAR($C637))</f>
        <v/>
      </c>
      <c r="S637" s="24"/>
      <c r="T637" s="35" t="str">
        <f aca="false">IF($C637="","",IF($D637="","★没选客户项目",IF(COUNTIF(合同键,$D637)=0,"★《维保合同》里没这个项目",IF(N($K637)&lt;=0,"★应收金额要填",IF(ROUND(N($N637)-N($K637),2)&gt;0.001,"★开票金额大于应收",IF(AND($L637&lt;&gt;"",N($N637)&lt;=0),"★填了开票日期没填开票金额",IF(AND($I637&lt;&gt;"",$J637&lt;&gt;"",$J637&lt;$I637),"★计费期间起止反了","OK")))))))</f>
        <v/>
      </c>
      <c r="U637" s="29" t="str">
        <f aca="false">IF($L637="","",YEAR($L637))</f>
        <v/>
      </c>
      <c r="V637" s="40" t="str">
        <f aca="false">IF($C637="","",ROUND(SUMIF(收款关联,$B637,收款金额),2))</f>
        <v/>
      </c>
      <c r="W637" s="40" t="str">
        <f aca="false">IF($C637="","",MAX(0,ROUND(N($K637)-N($V637),2)))</f>
        <v/>
      </c>
      <c r="X637" s="40" t="str">
        <f aca="false">IF($C637="","",ROUND(SUMIFS(应收净额,应收键,$D637,应收行号,"&lt;="&amp;ROW()),2))</f>
        <v/>
      </c>
      <c r="Y637" s="29" t="str">
        <f aca="false">IF($C637="","",ROW())</f>
        <v/>
      </c>
    </row>
    <row r="638" customFormat="false" ht="15" hidden="false" customHeight="false" outlineLevel="0" collapsed="false">
      <c r="A638" s="29" t="str">
        <f aca="false">IF($C638="","",ROW()-4)</f>
        <v/>
      </c>
      <c r="B638" s="35" t="str">
        <f aca="false">IF($C638="","","YS"&amp;TEXT($C638,"yyyymm")&amp;"-"&amp;TEXT(ROW()-4,"0000"))</f>
        <v/>
      </c>
      <c r="C638" s="33"/>
      <c r="D638" s="24"/>
      <c r="E638" s="30" t="str">
        <f aca="false">IF($D638="","",IFERROR(INDEX(合同单位,MATCH($D638,合同键,0)),IFERROR(TRIM(LEFT($D638,FIND("｜",$D638)-1)),$D638)))</f>
        <v/>
      </c>
      <c r="F638" s="30" t="str">
        <f aca="false">IF($D638="","",IFERROR(INDEX(合同项目,MATCH($D638,合同键,0)),IFERROR(TRIM(MID($D638,FIND("｜",$D638)+1,99)),"")))</f>
        <v/>
      </c>
      <c r="G638" s="24"/>
      <c r="H638" s="35" t="str">
        <f aca="false">IF($G638="","",IFERROR(INDEX(费用款别,MATCH($G638,费用类别表,0)),"合同外款"))</f>
        <v/>
      </c>
      <c r="I638" s="33"/>
      <c r="J638" s="33"/>
      <c r="K638" s="39"/>
      <c r="L638" s="33"/>
      <c r="M638" s="25"/>
      <c r="N638" s="39"/>
      <c r="O638" s="35" t="str">
        <f aca="false">IF($C638="","",IF(N($N638)&lt;=0,"未开票",IF(ROUND(N($N638)-N($K638),2)&gt;=0,"已开票",IFERROR("部分开票 "&amp;TEXT(N($N638)/N($K638),"0%"),"部分开票"))))</f>
        <v/>
      </c>
      <c r="P638" s="40" t="str">
        <f aca="false">IF($C638="","",ROUND($V638+MIN($W638,MAX(0,(SUMIF(收款键,$D638,收款金额)-SUMIFS(收款金额,收款键,$D638,收款关联,"&lt;&gt;"))-($X638-$W638))),2))</f>
        <v/>
      </c>
      <c r="Q638" s="41" t="str">
        <f aca="false">IF($C638="","",ROUND(N($K638)-N($P638),2))</f>
        <v/>
      </c>
      <c r="R638" s="29" t="str">
        <f aca="false">IF($C638="","",YEAR($C638))</f>
        <v/>
      </c>
      <c r="S638" s="24"/>
      <c r="T638" s="35" t="str">
        <f aca="false">IF($C638="","",IF($D638="","★没选客户项目",IF(COUNTIF(合同键,$D638)=0,"★《维保合同》里没这个项目",IF(N($K638)&lt;=0,"★应收金额要填",IF(ROUND(N($N638)-N($K638),2)&gt;0.001,"★开票金额大于应收",IF(AND($L638&lt;&gt;"",N($N638)&lt;=0),"★填了开票日期没填开票金额",IF(AND($I638&lt;&gt;"",$J638&lt;&gt;"",$J638&lt;$I638),"★计费期间起止反了","OK")))))))</f>
        <v/>
      </c>
      <c r="U638" s="29" t="str">
        <f aca="false">IF($L638="","",YEAR($L638))</f>
        <v/>
      </c>
      <c r="V638" s="40" t="str">
        <f aca="false">IF($C638="","",ROUND(SUMIF(收款关联,$B638,收款金额),2))</f>
        <v/>
      </c>
      <c r="W638" s="40" t="str">
        <f aca="false">IF($C638="","",MAX(0,ROUND(N($K638)-N($V638),2)))</f>
        <v/>
      </c>
      <c r="X638" s="40" t="str">
        <f aca="false">IF($C638="","",ROUND(SUMIFS(应收净额,应收键,$D638,应收行号,"&lt;="&amp;ROW()),2))</f>
        <v/>
      </c>
      <c r="Y638" s="29" t="str">
        <f aca="false">IF($C638="","",ROW())</f>
        <v/>
      </c>
    </row>
    <row r="639" customFormat="false" ht="15" hidden="false" customHeight="false" outlineLevel="0" collapsed="false">
      <c r="A639" s="29" t="str">
        <f aca="false">IF($C639="","",ROW()-4)</f>
        <v/>
      </c>
      <c r="B639" s="35" t="str">
        <f aca="false">IF($C639="","","YS"&amp;TEXT($C639,"yyyymm")&amp;"-"&amp;TEXT(ROW()-4,"0000"))</f>
        <v/>
      </c>
      <c r="C639" s="33"/>
      <c r="D639" s="24"/>
      <c r="E639" s="30" t="str">
        <f aca="false">IF($D639="","",IFERROR(INDEX(合同单位,MATCH($D639,合同键,0)),IFERROR(TRIM(LEFT($D639,FIND("｜",$D639)-1)),$D639)))</f>
        <v/>
      </c>
      <c r="F639" s="30" t="str">
        <f aca="false">IF($D639="","",IFERROR(INDEX(合同项目,MATCH($D639,合同键,0)),IFERROR(TRIM(MID($D639,FIND("｜",$D639)+1,99)),"")))</f>
        <v/>
      </c>
      <c r="G639" s="24"/>
      <c r="H639" s="35" t="str">
        <f aca="false">IF($G639="","",IFERROR(INDEX(费用款别,MATCH($G639,费用类别表,0)),"合同外款"))</f>
        <v/>
      </c>
      <c r="I639" s="33"/>
      <c r="J639" s="33"/>
      <c r="K639" s="39"/>
      <c r="L639" s="33"/>
      <c r="M639" s="25"/>
      <c r="N639" s="39"/>
      <c r="O639" s="35" t="str">
        <f aca="false">IF($C639="","",IF(N($N639)&lt;=0,"未开票",IF(ROUND(N($N639)-N($K639),2)&gt;=0,"已开票",IFERROR("部分开票 "&amp;TEXT(N($N639)/N($K639),"0%"),"部分开票"))))</f>
        <v/>
      </c>
      <c r="P639" s="40" t="str">
        <f aca="false">IF($C639="","",ROUND($V639+MIN($W639,MAX(0,(SUMIF(收款键,$D639,收款金额)-SUMIFS(收款金额,收款键,$D639,收款关联,"&lt;&gt;"))-($X639-$W639))),2))</f>
        <v/>
      </c>
      <c r="Q639" s="41" t="str">
        <f aca="false">IF($C639="","",ROUND(N($K639)-N($P639),2))</f>
        <v/>
      </c>
      <c r="R639" s="29" t="str">
        <f aca="false">IF($C639="","",YEAR($C639))</f>
        <v/>
      </c>
      <c r="S639" s="24"/>
      <c r="T639" s="35" t="str">
        <f aca="false">IF($C639="","",IF($D639="","★没选客户项目",IF(COUNTIF(合同键,$D639)=0,"★《维保合同》里没这个项目",IF(N($K639)&lt;=0,"★应收金额要填",IF(ROUND(N($N639)-N($K639),2)&gt;0.001,"★开票金额大于应收",IF(AND($L639&lt;&gt;"",N($N639)&lt;=0),"★填了开票日期没填开票金额",IF(AND($I639&lt;&gt;"",$J639&lt;&gt;"",$J639&lt;$I639),"★计费期间起止反了","OK")))))))</f>
        <v/>
      </c>
      <c r="U639" s="29" t="str">
        <f aca="false">IF($L639="","",YEAR($L639))</f>
        <v/>
      </c>
      <c r="V639" s="40" t="str">
        <f aca="false">IF($C639="","",ROUND(SUMIF(收款关联,$B639,收款金额),2))</f>
        <v/>
      </c>
      <c r="W639" s="40" t="str">
        <f aca="false">IF($C639="","",MAX(0,ROUND(N($K639)-N($V639),2)))</f>
        <v/>
      </c>
      <c r="X639" s="40" t="str">
        <f aca="false">IF($C639="","",ROUND(SUMIFS(应收净额,应收键,$D639,应收行号,"&lt;="&amp;ROW()),2))</f>
        <v/>
      </c>
      <c r="Y639" s="29" t="str">
        <f aca="false">IF($C639="","",ROW())</f>
        <v/>
      </c>
    </row>
    <row r="640" customFormat="false" ht="15" hidden="false" customHeight="false" outlineLevel="0" collapsed="false">
      <c r="A640" s="29" t="str">
        <f aca="false">IF($C640="","",ROW()-4)</f>
        <v/>
      </c>
      <c r="B640" s="35" t="str">
        <f aca="false">IF($C640="","","YS"&amp;TEXT($C640,"yyyymm")&amp;"-"&amp;TEXT(ROW()-4,"0000"))</f>
        <v/>
      </c>
      <c r="C640" s="33"/>
      <c r="D640" s="24"/>
      <c r="E640" s="30" t="str">
        <f aca="false">IF($D640="","",IFERROR(INDEX(合同单位,MATCH($D640,合同键,0)),IFERROR(TRIM(LEFT($D640,FIND("｜",$D640)-1)),$D640)))</f>
        <v/>
      </c>
      <c r="F640" s="30" t="str">
        <f aca="false">IF($D640="","",IFERROR(INDEX(合同项目,MATCH($D640,合同键,0)),IFERROR(TRIM(MID($D640,FIND("｜",$D640)+1,99)),"")))</f>
        <v/>
      </c>
      <c r="G640" s="24"/>
      <c r="H640" s="35" t="str">
        <f aca="false">IF($G640="","",IFERROR(INDEX(费用款别,MATCH($G640,费用类别表,0)),"合同外款"))</f>
        <v/>
      </c>
      <c r="I640" s="33"/>
      <c r="J640" s="33"/>
      <c r="K640" s="39"/>
      <c r="L640" s="33"/>
      <c r="M640" s="25"/>
      <c r="N640" s="39"/>
      <c r="O640" s="35" t="str">
        <f aca="false">IF($C640="","",IF(N($N640)&lt;=0,"未开票",IF(ROUND(N($N640)-N($K640),2)&gt;=0,"已开票",IFERROR("部分开票 "&amp;TEXT(N($N640)/N($K640),"0%"),"部分开票"))))</f>
        <v/>
      </c>
      <c r="P640" s="40" t="str">
        <f aca="false">IF($C640="","",ROUND($V640+MIN($W640,MAX(0,(SUMIF(收款键,$D640,收款金额)-SUMIFS(收款金额,收款键,$D640,收款关联,"&lt;&gt;"))-($X640-$W640))),2))</f>
        <v/>
      </c>
      <c r="Q640" s="41" t="str">
        <f aca="false">IF($C640="","",ROUND(N($K640)-N($P640),2))</f>
        <v/>
      </c>
      <c r="R640" s="29" t="str">
        <f aca="false">IF($C640="","",YEAR($C640))</f>
        <v/>
      </c>
      <c r="S640" s="24"/>
      <c r="T640" s="35" t="str">
        <f aca="false">IF($C640="","",IF($D640="","★没选客户项目",IF(COUNTIF(合同键,$D640)=0,"★《维保合同》里没这个项目",IF(N($K640)&lt;=0,"★应收金额要填",IF(ROUND(N($N640)-N($K640),2)&gt;0.001,"★开票金额大于应收",IF(AND($L640&lt;&gt;"",N($N640)&lt;=0),"★填了开票日期没填开票金额",IF(AND($I640&lt;&gt;"",$J640&lt;&gt;"",$J640&lt;$I640),"★计费期间起止反了","OK")))))))</f>
        <v/>
      </c>
      <c r="U640" s="29" t="str">
        <f aca="false">IF($L640="","",YEAR($L640))</f>
        <v/>
      </c>
      <c r="V640" s="40" t="str">
        <f aca="false">IF($C640="","",ROUND(SUMIF(收款关联,$B640,收款金额),2))</f>
        <v/>
      </c>
      <c r="W640" s="40" t="str">
        <f aca="false">IF($C640="","",MAX(0,ROUND(N($K640)-N($V640),2)))</f>
        <v/>
      </c>
      <c r="X640" s="40" t="str">
        <f aca="false">IF($C640="","",ROUND(SUMIFS(应收净额,应收键,$D640,应收行号,"&lt;="&amp;ROW()),2))</f>
        <v/>
      </c>
      <c r="Y640" s="29" t="str">
        <f aca="false">IF($C640="","",ROW())</f>
        <v/>
      </c>
    </row>
    <row r="641" customFormat="false" ht="15" hidden="false" customHeight="false" outlineLevel="0" collapsed="false">
      <c r="A641" s="29" t="str">
        <f aca="false">IF($C641="","",ROW()-4)</f>
        <v/>
      </c>
      <c r="B641" s="35" t="str">
        <f aca="false">IF($C641="","","YS"&amp;TEXT($C641,"yyyymm")&amp;"-"&amp;TEXT(ROW()-4,"0000"))</f>
        <v/>
      </c>
      <c r="C641" s="33"/>
      <c r="D641" s="24"/>
      <c r="E641" s="30" t="str">
        <f aca="false">IF($D641="","",IFERROR(INDEX(合同单位,MATCH($D641,合同键,0)),IFERROR(TRIM(LEFT($D641,FIND("｜",$D641)-1)),$D641)))</f>
        <v/>
      </c>
      <c r="F641" s="30" t="str">
        <f aca="false">IF($D641="","",IFERROR(INDEX(合同项目,MATCH($D641,合同键,0)),IFERROR(TRIM(MID($D641,FIND("｜",$D641)+1,99)),"")))</f>
        <v/>
      </c>
      <c r="G641" s="24"/>
      <c r="H641" s="35" t="str">
        <f aca="false">IF($G641="","",IFERROR(INDEX(费用款别,MATCH($G641,费用类别表,0)),"合同外款"))</f>
        <v/>
      </c>
      <c r="I641" s="33"/>
      <c r="J641" s="33"/>
      <c r="K641" s="39"/>
      <c r="L641" s="33"/>
      <c r="M641" s="25"/>
      <c r="N641" s="39"/>
      <c r="O641" s="35" t="str">
        <f aca="false">IF($C641="","",IF(N($N641)&lt;=0,"未开票",IF(ROUND(N($N641)-N($K641),2)&gt;=0,"已开票",IFERROR("部分开票 "&amp;TEXT(N($N641)/N($K641),"0%"),"部分开票"))))</f>
        <v/>
      </c>
      <c r="P641" s="40" t="str">
        <f aca="false">IF($C641="","",ROUND($V641+MIN($W641,MAX(0,(SUMIF(收款键,$D641,收款金额)-SUMIFS(收款金额,收款键,$D641,收款关联,"&lt;&gt;"))-($X641-$W641))),2))</f>
        <v/>
      </c>
      <c r="Q641" s="41" t="str">
        <f aca="false">IF($C641="","",ROUND(N($K641)-N($P641),2))</f>
        <v/>
      </c>
      <c r="R641" s="29" t="str">
        <f aca="false">IF($C641="","",YEAR($C641))</f>
        <v/>
      </c>
      <c r="S641" s="24"/>
      <c r="T641" s="35" t="str">
        <f aca="false">IF($C641="","",IF($D641="","★没选客户项目",IF(COUNTIF(合同键,$D641)=0,"★《维保合同》里没这个项目",IF(N($K641)&lt;=0,"★应收金额要填",IF(ROUND(N($N641)-N($K641),2)&gt;0.001,"★开票金额大于应收",IF(AND($L641&lt;&gt;"",N($N641)&lt;=0),"★填了开票日期没填开票金额",IF(AND($I641&lt;&gt;"",$J641&lt;&gt;"",$J641&lt;$I641),"★计费期间起止反了","OK")))))))</f>
        <v/>
      </c>
      <c r="U641" s="29" t="str">
        <f aca="false">IF($L641="","",YEAR($L641))</f>
        <v/>
      </c>
      <c r="V641" s="40" t="str">
        <f aca="false">IF($C641="","",ROUND(SUMIF(收款关联,$B641,收款金额),2))</f>
        <v/>
      </c>
      <c r="W641" s="40" t="str">
        <f aca="false">IF($C641="","",MAX(0,ROUND(N($K641)-N($V641),2)))</f>
        <v/>
      </c>
      <c r="X641" s="40" t="str">
        <f aca="false">IF($C641="","",ROUND(SUMIFS(应收净额,应收键,$D641,应收行号,"&lt;="&amp;ROW()),2))</f>
        <v/>
      </c>
      <c r="Y641" s="29" t="str">
        <f aca="false">IF($C641="","",ROW())</f>
        <v/>
      </c>
    </row>
    <row r="642" customFormat="false" ht="15" hidden="false" customHeight="false" outlineLevel="0" collapsed="false">
      <c r="A642" s="29" t="str">
        <f aca="false">IF($C642="","",ROW()-4)</f>
        <v/>
      </c>
      <c r="B642" s="35" t="str">
        <f aca="false">IF($C642="","","YS"&amp;TEXT($C642,"yyyymm")&amp;"-"&amp;TEXT(ROW()-4,"0000"))</f>
        <v/>
      </c>
      <c r="C642" s="33"/>
      <c r="D642" s="24"/>
      <c r="E642" s="30" t="str">
        <f aca="false">IF($D642="","",IFERROR(INDEX(合同单位,MATCH($D642,合同键,0)),IFERROR(TRIM(LEFT($D642,FIND("｜",$D642)-1)),$D642)))</f>
        <v/>
      </c>
      <c r="F642" s="30" t="str">
        <f aca="false">IF($D642="","",IFERROR(INDEX(合同项目,MATCH($D642,合同键,0)),IFERROR(TRIM(MID($D642,FIND("｜",$D642)+1,99)),"")))</f>
        <v/>
      </c>
      <c r="G642" s="24"/>
      <c r="H642" s="35" t="str">
        <f aca="false">IF($G642="","",IFERROR(INDEX(费用款别,MATCH($G642,费用类别表,0)),"合同外款"))</f>
        <v/>
      </c>
      <c r="I642" s="33"/>
      <c r="J642" s="33"/>
      <c r="K642" s="39"/>
      <c r="L642" s="33"/>
      <c r="M642" s="25"/>
      <c r="N642" s="39"/>
      <c r="O642" s="35" t="str">
        <f aca="false">IF($C642="","",IF(N($N642)&lt;=0,"未开票",IF(ROUND(N($N642)-N($K642),2)&gt;=0,"已开票",IFERROR("部分开票 "&amp;TEXT(N($N642)/N($K642),"0%"),"部分开票"))))</f>
        <v/>
      </c>
      <c r="P642" s="40" t="str">
        <f aca="false">IF($C642="","",ROUND($V642+MIN($W642,MAX(0,(SUMIF(收款键,$D642,收款金额)-SUMIFS(收款金额,收款键,$D642,收款关联,"&lt;&gt;"))-($X642-$W642))),2))</f>
        <v/>
      </c>
      <c r="Q642" s="41" t="str">
        <f aca="false">IF($C642="","",ROUND(N($K642)-N($P642),2))</f>
        <v/>
      </c>
      <c r="R642" s="29" t="str">
        <f aca="false">IF($C642="","",YEAR($C642))</f>
        <v/>
      </c>
      <c r="S642" s="24"/>
      <c r="T642" s="35" t="str">
        <f aca="false">IF($C642="","",IF($D642="","★没选客户项目",IF(COUNTIF(合同键,$D642)=0,"★《维保合同》里没这个项目",IF(N($K642)&lt;=0,"★应收金额要填",IF(ROUND(N($N642)-N($K642),2)&gt;0.001,"★开票金额大于应收",IF(AND($L642&lt;&gt;"",N($N642)&lt;=0),"★填了开票日期没填开票金额",IF(AND($I642&lt;&gt;"",$J642&lt;&gt;"",$J642&lt;$I642),"★计费期间起止反了","OK")))))))</f>
        <v/>
      </c>
      <c r="U642" s="29" t="str">
        <f aca="false">IF($L642="","",YEAR($L642))</f>
        <v/>
      </c>
      <c r="V642" s="40" t="str">
        <f aca="false">IF($C642="","",ROUND(SUMIF(收款关联,$B642,收款金额),2))</f>
        <v/>
      </c>
      <c r="W642" s="40" t="str">
        <f aca="false">IF($C642="","",MAX(0,ROUND(N($K642)-N($V642),2)))</f>
        <v/>
      </c>
      <c r="X642" s="40" t="str">
        <f aca="false">IF($C642="","",ROUND(SUMIFS(应收净额,应收键,$D642,应收行号,"&lt;="&amp;ROW()),2))</f>
        <v/>
      </c>
      <c r="Y642" s="29" t="str">
        <f aca="false">IF($C642="","",ROW())</f>
        <v/>
      </c>
    </row>
    <row r="643" customFormat="false" ht="15" hidden="false" customHeight="false" outlineLevel="0" collapsed="false">
      <c r="A643" s="29" t="str">
        <f aca="false">IF($C643="","",ROW()-4)</f>
        <v/>
      </c>
      <c r="B643" s="35" t="str">
        <f aca="false">IF($C643="","","YS"&amp;TEXT($C643,"yyyymm")&amp;"-"&amp;TEXT(ROW()-4,"0000"))</f>
        <v/>
      </c>
      <c r="C643" s="33"/>
      <c r="D643" s="24"/>
      <c r="E643" s="30" t="str">
        <f aca="false">IF($D643="","",IFERROR(INDEX(合同单位,MATCH($D643,合同键,0)),IFERROR(TRIM(LEFT($D643,FIND("｜",$D643)-1)),$D643)))</f>
        <v/>
      </c>
      <c r="F643" s="30" t="str">
        <f aca="false">IF($D643="","",IFERROR(INDEX(合同项目,MATCH($D643,合同键,0)),IFERROR(TRIM(MID($D643,FIND("｜",$D643)+1,99)),"")))</f>
        <v/>
      </c>
      <c r="G643" s="24"/>
      <c r="H643" s="35" t="str">
        <f aca="false">IF($G643="","",IFERROR(INDEX(费用款别,MATCH($G643,费用类别表,0)),"合同外款"))</f>
        <v/>
      </c>
      <c r="I643" s="33"/>
      <c r="J643" s="33"/>
      <c r="K643" s="39"/>
      <c r="L643" s="33"/>
      <c r="M643" s="25"/>
      <c r="N643" s="39"/>
      <c r="O643" s="35" t="str">
        <f aca="false">IF($C643="","",IF(N($N643)&lt;=0,"未开票",IF(ROUND(N($N643)-N($K643),2)&gt;=0,"已开票",IFERROR("部分开票 "&amp;TEXT(N($N643)/N($K643),"0%"),"部分开票"))))</f>
        <v/>
      </c>
      <c r="P643" s="40" t="str">
        <f aca="false">IF($C643="","",ROUND($V643+MIN($W643,MAX(0,(SUMIF(收款键,$D643,收款金额)-SUMIFS(收款金额,收款键,$D643,收款关联,"&lt;&gt;"))-($X643-$W643))),2))</f>
        <v/>
      </c>
      <c r="Q643" s="41" t="str">
        <f aca="false">IF($C643="","",ROUND(N($K643)-N($P643),2))</f>
        <v/>
      </c>
      <c r="R643" s="29" t="str">
        <f aca="false">IF($C643="","",YEAR($C643))</f>
        <v/>
      </c>
      <c r="S643" s="24"/>
      <c r="T643" s="35" t="str">
        <f aca="false">IF($C643="","",IF($D643="","★没选客户项目",IF(COUNTIF(合同键,$D643)=0,"★《维保合同》里没这个项目",IF(N($K643)&lt;=0,"★应收金额要填",IF(ROUND(N($N643)-N($K643),2)&gt;0.001,"★开票金额大于应收",IF(AND($L643&lt;&gt;"",N($N643)&lt;=0),"★填了开票日期没填开票金额",IF(AND($I643&lt;&gt;"",$J643&lt;&gt;"",$J643&lt;$I643),"★计费期间起止反了","OK")))))))</f>
        <v/>
      </c>
      <c r="U643" s="29" t="str">
        <f aca="false">IF($L643="","",YEAR($L643))</f>
        <v/>
      </c>
      <c r="V643" s="40" t="str">
        <f aca="false">IF($C643="","",ROUND(SUMIF(收款关联,$B643,收款金额),2))</f>
        <v/>
      </c>
      <c r="W643" s="40" t="str">
        <f aca="false">IF($C643="","",MAX(0,ROUND(N($K643)-N($V643),2)))</f>
        <v/>
      </c>
      <c r="X643" s="40" t="str">
        <f aca="false">IF($C643="","",ROUND(SUMIFS(应收净额,应收键,$D643,应收行号,"&lt;="&amp;ROW()),2))</f>
        <v/>
      </c>
      <c r="Y643" s="29" t="str">
        <f aca="false">IF($C643="","",ROW())</f>
        <v/>
      </c>
    </row>
    <row r="644" customFormat="false" ht="15" hidden="false" customHeight="false" outlineLevel="0" collapsed="false">
      <c r="A644" s="29" t="str">
        <f aca="false">IF($C644="","",ROW()-4)</f>
        <v/>
      </c>
      <c r="B644" s="35" t="str">
        <f aca="false">IF($C644="","","YS"&amp;TEXT($C644,"yyyymm")&amp;"-"&amp;TEXT(ROW()-4,"0000"))</f>
        <v/>
      </c>
      <c r="C644" s="33"/>
      <c r="D644" s="24"/>
      <c r="E644" s="30" t="str">
        <f aca="false">IF($D644="","",IFERROR(INDEX(合同单位,MATCH($D644,合同键,0)),IFERROR(TRIM(LEFT($D644,FIND("｜",$D644)-1)),$D644)))</f>
        <v/>
      </c>
      <c r="F644" s="30" t="str">
        <f aca="false">IF($D644="","",IFERROR(INDEX(合同项目,MATCH($D644,合同键,0)),IFERROR(TRIM(MID($D644,FIND("｜",$D644)+1,99)),"")))</f>
        <v/>
      </c>
      <c r="G644" s="24"/>
      <c r="H644" s="35" t="str">
        <f aca="false">IF($G644="","",IFERROR(INDEX(费用款别,MATCH($G644,费用类别表,0)),"合同外款"))</f>
        <v/>
      </c>
      <c r="I644" s="33"/>
      <c r="J644" s="33"/>
      <c r="K644" s="39"/>
      <c r="L644" s="33"/>
      <c r="M644" s="25"/>
      <c r="N644" s="39"/>
      <c r="O644" s="35" t="str">
        <f aca="false">IF($C644="","",IF(N($N644)&lt;=0,"未开票",IF(ROUND(N($N644)-N($K644),2)&gt;=0,"已开票",IFERROR("部分开票 "&amp;TEXT(N($N644)/N($K644),"0%"),"部分开票"))))</f>
        <v/>
      </c>
      <c r="P644" s="40" t="str">
        <f aca="false">IF($C644="","",ROUND($V644+MIN($W644,MAX(0,(SUMIF(收款键,$D644,收款金额)-SUMIFS(收款金额,收款键,$D644,收款关联,"&lt;&gt;"))-($X644-$W644))),2))</f>
        <v/>
      </c>
      <c r="Q644" s="41" t="str">
        <f aca="false">IF($C644="","",ROUND(N($K644)-N($P644),2))</f>
        <v/>
      </c>
      <c r="R644" s="29" t="str">
        <f aca="false">IF($C644="","",YEAR($C644))</f>
        <v/>
      </c>
      <c r="S644" s="24"/>
      <c r="T644" s="35" t="str">
        <f aca="false">IF($C644="","",IF($D644="","★没选客户项目",IF(COUNTIF(合同键,$D644)=0,"★《维保合同》里没这个项目",IF(N($K644)&lt;=0,"★应收金额要填",IF(ROUND(N($N644)-N($K644),2)&gt;0.001,"★开票金额大于应收",IF(AND($L644&lt;&gt;"",N($N644)&lt;=0),"★填了开票日期没填开票金额",IF(AND($I644&lt;&gt;"",$J644&lt;&gt;"",$J644&lt;$I644),"★计费期间起止反了","OK")))))))</f>
        <v/>
      </c>
      <c r="U644" s="29" t="str">
        <f aca="false">IF($L644="","",YEAR($L644))</f>
        <v/>
      </c>
      <c r="V644" s="40" t="str">
        <f aca="false">IF($C644="","",ROUND(SUMIF(收款关联,$B644,收款金额),2))</f>
        <v/>
      </c>
      <c r="W644" s="40" t="str">
        <f aca="false">IF($C644="","",MAX(0,ROUND(N($K644)-N($V644),2)))</f>
        <v/>
      </c>
      <c r="X644" s="40" t="str">
        <f aca="false">IF($C644="","",ROUND(SUMIFS(应收净额,应收键,$D644,应收行号,"&lt;="&amp;ROW()),2))</f>
        <v/>
      </c>
      <c r="Y644" s="29" t="str">
        <f aca="false">IF($C644="","",ROW())</f>
        <v/>
      </c>
    </row>
    <row r="645" customFormat="false" ht="15" hidden="false" customHeight="false" outlineLevel="0" collapsed="false">
      <c r="A645" s="29" t="str">
        <f aca="false">IF($C645="","",ROW()-4)</f>
        <v/>
      </c>
      <c r="B645" s="35" t="str">
        <f aca="false">IF($C645="","","YS"&amp;TEXT($C645,"yyyymm")&amp;"-"&amp;TEXT(ROW()-4,"0000"))</f>
        <v/>
      </c>
      <c r="C645" s="33"/>
      <c r="D645" s="24"/>
      <c r="E645" s="30" t="str">
        <f aca="false">IF($D645="","",IFERROR(INDEX(合同单位,MATCH($D645,合同键,0)),IFERROR(TRIM(LEFT($D645,FIND("｜",$D645)-1)),$D645)))</f>
        <v/>
      </c>
      <c r="F645" s="30" t="str">
        <f aca="false">IF($D645="","",IFERROR(INDEX(合同项目,MATCH($D645,合同键,0)),IFERROR(TRIM(MID($D645,FIND("｜",$D645)+1,99)),"")))</f>
        <v/>
      </c>
      <c r="G645" s="24"/>
      <c r="H645" s="35" t="str">
        <f aca="false">IF($G645="","",IFERROR(INDEX(费用款别,MATCH($G645,费用类别表,0)),"合同外款"))</f>
        <v/>
      </c>
      <c r="I645" s="33"/>
      <c r="J645" s="33"/>
      <c r="K645" s="39"/>
      <c r="L645" s="33"/>
      <c r="M645" s="25"/>
      <c r="N645" s="39"/>
      <c r="O645" s="35" t="str">
        <f aca="false">IF($C645="","",IF(N($N645)&lt;=0,"未开票",IF(ROUND(N($N645)-N($K645),2)&gt;=0,"已开票",IFERROR("部分开票 "&amp;TEXT(N($N645)/N($K645),"0%"),"部分开票"))))</f>
        <v/>
      </c>
      <c r="P645" s="40" t="str">
        <f aca="false">IF($C645="","",ROUND($V645+MIN($W645,MAX(0,(SUMIF(收款键,$D645,收款金额)-SUMIFS(收款金额,收款键,$D645,收款关联,"&lt;&gt;"))-($X645-$W645))),2))</f>
        <v/>
      </c>
      <c r="Q645" s="41" t="str">
        <f aca="false">IF($C645="","",ROUND(N($K645)-N($P645),2))</f>
        <v/>
      </c>
      <c r="R645" s="29" t="str">
        <f aca="false">IF($C645="","",YEAR($C645))</f>
        <v/>
      </c>
      <c r="S645" s="24"/>
      <c r="T645" s="35" t="str">
        <f aca="false">IF($C645="","",IF($D645="","★没选客户项目",IF(COUNTIF(合同键,$D645)=0,"★《维保合同》里没这个项目",IF(N($K645)&lt;=0,"★应收金额要填",IF(ROUND(N($N645)-N($K645),2)&gt;0.001,"★开票金额大于应收",IF(AND($L645&lt;&gt;"",N($N645)&lt;=0),"★填了开票日期没填开票金额",IF(AND($I645&lt;&gt;"",$J645&lt;&gt;"",$J645&lt;$I645),"★计费期间起止反了","OK")))))))</f>
        <v/>
      </c>
      <c r="U645" s="29" t="str">
        <f aca="false">IF($L645="","",YEAR($L645))</f>
        <v/>
      </c>
      <c r="V645" s="40" t="str">
        <f aca="false">IF($C645="","",ROUND(SUMIF(收款关联,$B645,收款金额),2))</f>
        <v/>
      </c>
      <c r="W645" s="40" t="str">
        <f aca="false">IF($C645="","",MAX(0,ROUND(N($K645)-N($V645),2)))</f>
        <v/>
      </c>
      <c r="X645" s="40" t="str">
        <f aca="false">IF($C645="","",ROUND(SUMIFS(应收净额,应收键,$D645,应收行号,"&lt;="&amp;ROW()),2))</f>
        <v/>
      </c>
      <c r="Y645" s="29" t="str">
        <f aca="false">IF($C645="","",ROW())</f>
        <v/>
      </c>
    </row>
    <row r="646" customFormat="false" ht="15" hidden="false" customHeight="false" outlineLevel="0" collapsed="false">
      <c r="A646" s="29" t="str">
        <f aca="false">IF($C646="","",ROW()-4)</f>
        <v/>
      </c>
      <c r="B646" s="35" t="str">
        <f aca="false">IF($C646="","","YS"&amp;TEXT($C646,"yyyymm")&amp;"-"&amp;TEXT(ROW()-4,"0000"))</f>
        <v/>
      </c>
      <c r="C646" s="33"/>
      <c r="D646" s="24"/>
      <c r="E646" s="30" t="str">
        <f aca="false">IF($D646="","",IFERROR(INDEX(合同单位,MATCH($D646,合同键,0)),IFERROR(TRIM(LEFT($D646,FIND("｜",$D646)-1)),$D646)))</f>
        <v/>
      </c>
      <c r="F646" s="30" t="str">
        <f aca="false">IF($D646="","",IFERROR(INDEX(合同项目,MATCH($D646,合同键,0)),IFERROR(TRIM(MID($D646,FIND("｜",$D646)+1,99)),"")))</f>
        <v/>
      </c>
      <c r="G646" s="24"/>
      <c r="H646" s="35" t="str">
        <f aca="false">IF($G646="","",IFERROR(INDEX(费用款别,MATCH($G646,费用类别表,0)),"合同外款"))</f>
        <v/>
      </c>
      <c r="I646" s="33"/>
      <c r="J646" s="33"/>
      <c r="K646" s="39"/>
      <c r="L646" s="33"/>
      <c r="M646" s="25"/>
      <c r="N646" s="39"/>
      <c r="O646" s="35" t="str">
        <f aca="false">IF($C646="","",IF(N($N646)&lt;=0,"未开票",IF(ROUND(N($N646)-N($K646),2)&gt;=0,"已开票",IFERROR("部分开票 "&amp;TEXT(N($N646)/N($K646),"0%"),"部分开票"))))</f>
        <v/>
      </c>
      <c r="P646" s="40" t="str">
        <f aca="false">IF($C646="","",ROUND($V646+MIN($W646,MAX(0,(SUMIF(收款键,$D646,收款金额)-SUMIFS(收款金额,收款键,$D646,收款关联,"&lt;&gt;"))-($X646-$W646))),2))</f>
        <v/>
      </c>
      <c r="Q646" s="41" t="str">
        <f aca="false">IF($C646="","",ROUND(N($K646)-N($P646),2))</f>
        <v/>
      </c>
      <c r="R646" s="29" t="str">
        <f aca="false">IF($C646="","",YEAR($C646))</f>
        <v/>
      </c>
      <c r="S646" s="24"/>
      <c r="T646" s="35" t="str">
        <f aca="false">IF($C646="","",IF($D646="","★没选客户项目",IF(COUNTIF(合同键,$D646)=0,"★《维保合同》里没这个项目",IF(N($K646)&lt;=0,"★应收金额要填",IF(ROUND(N($N646)-N($K646),2)&gt;0.001,"★开票金额大于应收",IF(AND($L646&lt;&gt;"",N($N646)&lt;=0),"★填了开票日期没填开票金额",IF(AND($I646&lt;&gt;"",$J646&lt;&gt;"",$J646&lt;$I646),"★计费期间起止反了","OK")))))))</f>
        <v/>
      </c>
      <c r="U646" s="29" t="str">
        <f aca="false">IF($L646="","",YEAR($L646))</f>
        <v/>
      </c>
      <c r="V646" s="40" t="str">
        <f aca="false">IF($C646="","",ROUND(SUMIF(收款关联,$B646,收款金额),2))</f>
        <v/>
      </c>
      <c r="W646" s="40" t="str">
        <f aca="false">IF($C646="","",MAX(0,ROUND(N($K646)-N($V646),2)))</f>
        <v/>
      </c>
      <c r="X646" s="40" t="str">
        <f aca="false">IF($C646="","",ROUND(SUMIFS(应收净额,应收键,$D646,应收行号,"&lt;="&amp;ROW()),2))</f>
        <v/>
      </c>
      <c r="Y646" s="29" t="str">
        <f aca="false">IF($C646="","",ROW())</f>
        <v/>
      </c>
    </row>
    <row r="647" customFormat="false" ht="15" hidden="false" customHeight="false" outlineLevel="0" collapsed="false">
      <c r="A647" s="29" t="str">
        <f aca="false">IF($C647="","",ROW()-4)</f>
        <v/>
      </c>
      <c r="B647" s="35" t="str">
        <f aca="false">IF($C647="","","YS"&amp;TEXT($C647,"yyyymm")&amp;"-"&amp;TEXT(ROW()-4,"0000"))</f>
        <v/>
      </c>
      <c r="C647" s="33"/>
      <c r="D647" s="24"/>
      <c r="E647" s="30" t="str">
        <f aca="false">IF($D647="","",IFERROR(INDEX(合同单位,MATCH($D647,合同键,0)),IFERROR(TRIM(LEFT($D647,FIND("｜",$D647)-1)),$D647)))</f>
        <v/>
      </c>
      <c r="F647" s="30" t="str">
        <f aca="false">IF($D647="","",IFERROR(INDEX(合同项目,MATCH($D647,合同键,0)),IFERROR(TRIM(MID($D647,FIND("｜",$D647)+1,99)),"")))</f>
        <v/>
      </c>
      <c r="G647" s="24"/>
      <c r="H647" s="35" t="str">
        <f aca="false">IF($G647="","",IFERROR(INDEX(费用款别,MATCH($G647,费用类别表,0)),"合同外款"))</f>
        <v/>
      </c>
      <c r="I647" s="33"/>
      <c r="J647" s="33"/>
      <c r="K647" s="39"/>
      <c r="L647" s="33"/>
      <c r="M647" s="25"/>
      <c r="N647" s="39"/>
      <c r="O647" s="35" t="str">
        <f aca="false">IF($C647="","",IF(N($N647)&lt;=0,"未开票",IF(ROUND(N($N647)-N($K647),2)&gt;=0,"已开票",IFERROR("部分开票 "&amp;TEXT(N($N647)/N($K647),"0%"),"部分开票"))))</f>
        <v/>
      </c>
      <c r="P647" s="40" t="str">
        <f aca="false">IF($C647="","",ROUND($V647+MIN($W647,MAX(0,(SUMIF(收款键,$D647,收款金额)-SUMIFS(收款金额,收款键,$D647,收款关联,"&lt;&gt;"))-($X647-$W647))),2))</f>
        <v/>
      </c>
      <c r="Q647" s="41" t="str">
        <f aca="false">IF($C647="","",ROUND(N($K647)-N($P647),2))</f>
        <v/>
      </c>
      <c r="R647" s="29" t="str">
        <f aca="false">IF($C647="","",YEAR($C647))</f>
        <v/>
      </c>
      <c r="S647" s="24"/>
      <c r="T647" s="35" t="str">
        <f aca="false">IF($C647="","",IF($D647="","★没选客户项目",IF(COUNTIF(合同键,$D647)=0,"★《维保合同》里没这个项目",IF(N($K647)&lt;=0,"★应收金额要填",IF(ROUND(N($N647)-N($K647),2)&gt;0.001,"★开票金额大于应收",IF(AND($L647&lt;&gt;"",N($N647)&lt;=0),"★填了开票日期没填开票金额",IF(AND($I647&lt;&gt;"",$J647&lt;&gt;"",$J647&lt;$I647),"★计费期间起止反了","OK")))))))</f>
        <v/>
      </c>
      <c r="U647" s="29" t="str">
        <f aca="false">IF($L647="","",YEAR($L647))</f>
        <v/>
      </c>
      <c r="V647" s="40" t="str">
        <f aca="false">IF($C647="","",ROUND(SUMIF(收款关联,$B647,收款金额),2))</f>
        <v/>
      </c>
      <c r="W647" s="40" t="str">
        <f aca="false">IF($C647="","",MAX(0,ROUND(N($K647)-N($V647),2)))</f>
        <v/>
      </c>
      <c r="X647" s="40" t="str">
        <f aca="false">IF($C647="","",ROUND(SUMIFS(应收净额,应收键,$D647,应收行号,"&lt;="&amp;ROW()),2))</f>
        <v/>
      </c>
      <c r="Y647" s="29" t="str">
        <f aca="false">IF($C647="","",ROW())</f>
        <v/>
      </c>
    </row>
    <row r="648" customFormat="false" ht="15" hidden="false" customHeight="false" outlineLevel="0" collapsed="false">
      <c r="A648" s="29" t="str">
        <f aca="false">IF($C648="","",ROW()-4)</f>
        <v/>
      </c>
      <c r="B648" s="35" t="str">
        <f aca="false">IF($C648="","","YS"&amp;TEXT($C648,"yyyymm")&amp;"-"&amp;TEXT(ROW()-4,"0000"))</f>
        <v/>
      </c>
      <c r="C648" s="33"/>
      <c r="D648" s="24"/>
      <c r="E648" s="30" t="str">
        <f aca="false">IF($D648="","",IFERROR(INDEX(合同单位,MATCH($D648,合同键,0)),IFERROR(TRIM(LEFT($D648,FIND("｜",$D648)-1)),$D648)))</f>
        <v/>
      </c>
      <c r="F648" s="30" t="str">
        <f aca="false">IF($D648="","",IFERROR(INDEX(合同项目,MATCH($D648,合同键,0)),IFERROR(TRIM(MID($D648,FIND("｜",$D648)+1,99)),"")))</f>
        <v/>
      </c>
      <c r="G648" s="24"/>
      <c r="H648" s="35" t="str">
        <f aca="false">IF($G648="","",IFERROR(INDEX(费用款别,MATCH($G648,费用类别表,0)),"合同外款"))</f>
        <v/>
      </c>
      <c r="I648" s="33"/>
      <c r="J648" s="33"/>
      <c r="K648" s="39"/>
      <c r="L648" s="33"/>
      <c r="M648" s="25"/>
      <c r="N648" s="39"/>
      <c r="O648" s="35" t="str">
        <f aca="false">IF($C648="","",IF(N($N648)&lt;=0,"未开票",IF(ROUND(N($N648)-N($K648),2)&gt;=0,"已开票",IFERROR("部分开票 "&amp;TEXT(N($N648)/N($K648),"0%"),"部分开票"))))</f>
        <v/>
      </c>
      <c r="P648" s="40" t="str">
        <f aca="false">IF($C648="","",ROUND($V648+MIN($W648,MAX(0,(SUMIF(收款键,$D648,收款金额)-SUMIFS(收款金额,收款键,$D648,收款关联,"&lt;&gt;"))-($X648-$W648))),2))</f>
        <v/>
      </c>
      <c r="Q648" s="41" t="str">
        <f aca="false">IF($C648="","",ROUND(N($K648)-N($P648),2))</f>
        <v/>
      </c>
      <c r="R648" s="29" t="str">
        <f aca="false">IF($C648="","",YEAR($C648))</f>
        <v/>
      </c>
      <c r="S648" s="24"/>
      <c r="T648" s="35" t="str">
        <f aca="false">IF($C648="","",IF($D648="","★没选客户项目",IF(COUNTIF(合同键,$D648)=0,"★《维保合同》里没这个项目",IF(N($K648)&lt;=0,"★应收金额要填",IF(ROUND(N($N648)-N($K648),2)&gt;0.001,"★开票金额大于应收",IF(AND($L648&lt;&gt;"",N($N648)&lt;=0),"★填了开票日期没填开票金额",IF(AND($I648&lt;&gt;"",$J648&lt;&gt;"",$J648&lt;$I648),"★计费期间起止反了","OK")))))))</f>
        <v/>
      </c>
      <c r="U648" s="29" t="str">
        <f aca="false">IF($L648="","",YEAR($L648))</f>
        <v/>
      </c>
      <c r="V648" s="40" t="str">
        <f aca="false">IF($C648="","",ROUND(SUMIF(收款关联,$B648,收款金额),2))</f>
        <v/>
      </c>
      <c r="W648" s="40" t="str">
        <f aca="false">IF($C648="","",MAX(0,ROUND(N($K648)-N($V648),2)))</f>
        <v/>
      </c>
      <c r="X648" s="40" t="str">
        <f aca="false">IF($C648="","",ROUND(SUMIFS(应收净额,应收键,$D648,应收行号,"&lt;="&amp;ROW()),2))</f>
        <v/>
      </c>
      <c r="Y648" s="29" t="str">
        <f aca="false">IF($C648="","",ROW())</f>
        <v/>
      </c>
    </row>
    <row r="649" customFormat="false" ht="15" hidden="false" customHeight="false" outlineLevel="0" collapsed="false">
      <c r="A649" s="29" t="str">
        <f aca="false">IF($C649="","",ROW()-4)</f>
        <v/>
      </c>
      <c r="B649" s="35" t="str">
        <f aca="false">IF($C649="","","YS"&amp;TEXT($C649,"yyyymm")&amp;"-"&amp;TEXT(ROW()-4,"0000"))</f>
        <v/>
      </c>
      <c r="C649" s="33"/>
      <c r="D649" s="24"/>
      <c r="E649" s="30" t="str">
        <f aca="false">IF($D649="","",IFERROR(INDEX(合同单位,MATCH($D649,合同键,0)),IFERROR(TRIM(LEFT($D649,FIND("｜",$D649)-1)),$D649)))</f>
        <v/>
      </c>
      <c r="F649" s="30" t="str">
        <f aca="false">IF($D649="","",IFERROR(INDEX(合同项目,MATCH($D649,合同键,0)),IFERROR(TRIM(MID($D649,FIND("｜",$D649)+1,99)),"")))</f>
        <v/>
      </c>
      <c r="G649" s="24"/>
      <c r="H649" s="35" t="str">
        <f aca="false">IF($G649="","",IFERROR(INDEX(费用款别,MATCH($G649,费用类别表,0)),"合同外款"))</f>
        <v/>
      </c>
      <c r="I649" s="33"/>
      <c r="J649" s="33"/>
      <c r="K649" s="39"/>
      <c r="L649" s="33"/>
      <c r="M649" s="25"/>
      <c r="N649" s="39"/>
      <c r="O649" s="35" t="str">
        <f aca="false">IF($C649="","",IF(N($N649)&lt;=0,"未开票",IF(ROUND(N($N649)-N($K649),2)&gt;=0,"已开票",IFERROR("部分开票 "&amp;TEXT(N($N649)/N($K649),"0%"),"部分开票"))))</f>
        <v/>
      </c>
      <c r="P649" s="40" t="str">
        <f aca="false">IF($C649="","",ROUND($V649+MIN($W649,MAX(0,(SUMIF(收款键,$D649,收款金额)-SUMIFS(收款金额,收款键,$D649,收款关联,"&lt;&gt;"))-($X649-$W649))),2))</f>
        <v/>
      </c>
      <c r="Q649" s="41" t="str">
        <f aca="false">IF($C649="","",ROUND(N($K649)-N($P649),2))</f>
        <v/>
      </c>
      <c r="R649" s="29" t="str">
        <f aca="false">IF($C649="","",YEAR($C649))</f>
        <v/>
      </c>
      <c r="S649" s="24"/>
      <c r="T649" s="35" t="str">
        <f aca="false">IF($C649="","",IF($D649="","★没选客户项目",IF(COUNTIF(合同键,$D649)=0,"★《维保合同》里没这个项目",IF(N($K649)&lt;=0,"★应收金额要填",IF(ROUND(N($N649)-N($K649),2)&gt;0.001,"★开票金额大于应收",IF(AND($L649&lt;&gt;"",N($N649)&lt;=0),"★填了开票日期没填开票金额",IF(AND($I649&lt;&gt;"",$J649&lt;&gt;"",$J649&lt;$I649),"★计费期间起止反了","OK")))))))</f>
        <v/>
      </c>
      <c r="U649" s="29" t="str">
        <f aca="false">IF($L649="","",YEAR($L649))</f>
        <v/>
      </c>
      <c r="V649" s="40" t="str">
        <f aca="false">IF($C649="","",ROUND(SUMIF(收款关联,$B649,收款金额),2))</f>
        <v/>
      </c>
      <c r="W649" s="40" t="str">
        <f aca="false">IF($C649="","",MAX(0,ROUND(N($K649)-N($V649),2)))</f>
        <v/>
      </c>
      <c r="X649" s="40" t="str">
        <f aca="false">IF($C649="","",ROUND(SUMIFS(应收净额,应收键,$D649,应收行号,"&lt;="&amp;ROW()),2))</f>
        <v/>
      </c>
      <c r="Y649" s="29" t="str">
        <f aca="false">IF($C649="","",ROW())</f>
        <v/>
      </c>
    </row>
    <row r="650" customFormat="false" ht="15" hidden="false" customHeight="false" outlineLevel="0" collapsed="false">
      <c r="A650" s="29" t="str">
        <f aca="false">IF($C650="","",ROW()-4)</f>
        <v/>
      </c>
      <c r="B650" s="35" t="str">
        <f aca="false">IF($C650="","","YS"&amp;TEXT($C650,"yyyymm")&amp;"-"&amp;TEXT(ROW()-4,"0000"))</f>
        <v/>
      </c>
      <c r="C650" s="33"/>
      <c r="D650" s="24"/>
      <c r="E650" s="30" t="str">
        <f aca="false">IF($D650="","",IFERROR(INDEX(合同单位,MATCH($D650,合同键,0)),IFERROR(TRIM(LEFT($D650,FIND("｜",$D650)-1)),$D650)))</f>
        <v/>
      </c>
      <c r="F650" s="30" t="str">
        <f aca="false">IF($D650="","",IFERROR(INDEX(合同项目,MATCH($D650,合同键,0)),IFERROR(TRIM(MID($D650,FIND("｜",$D650)+1,99)),"")))</f>
        <v/>
      </c>
      <c r="G650" s="24"/>
      <c r="H650" s="35" t="str">
        <f aca="false">IF($G650="","",IFERROR(INDEX(费用款别,MATCH($G650,费用类别表,0)),"合同外款"))</f>
        <v/>
      </c>
      <c r="I650" s="33"/>
      <c r="J650" s="33"/>
      <c r="K650" s="39"/>
      <c r="L650" s="33"/>
      <c r="M650" s="25"/>
      <c r="N650" s="39"/>
      <c r="O650" s="35" t="str">
        <f aca="false">IF($C650="","",IF(N($N650)&lt;=0,"未开票",IF(ROUND(N($N650)-N($K650),2)&gt;=0,"已开票",IFERROR("部分开票 "&amp;TEXT(N($N650)/N($K650),"0%"),"部分开票"))))</f>
        <v/>
      </c>
      <c r="P650" s="40" t="str">
        <f aca="false">IF($C650="","",ROUND($V650+MIN($W650,MAX(0,(SUMIF(收款键,$D650,收款金额)-SUMIFS(收款金额,收款键,$D650,收款关联,"&lt;&gt;"))-($X650-$W650))),2))</f>
        <v/>
      </c>
      <c r="Q650" s="41" t="str">
        <f aca="false">IF($C650="","",ROUND(N($K650)-N($P650),2))</f>
        <v/>
      </c>
      <c r="R650" s="29" t="str">
        <f aca="false">IF($C650="","",YEAR($C650))</f>
        <v/>
      </c>
      <c r="S650" s="24"/>
      <c r="T650" s="35" t="str">
        <f aca="false">IF($C650="","",IF($D650="","★没选客户项目",IF(COUNTIF(合同键,$D650)=0,"★《维保合同》里没这个项目",IF(N($K650)&lt;=0,"★应收金额要填",IF(ROUND(N($N650)-N($K650),2)&gt;0.001,"★开票金额大于应收",IF(AND($L650&lt;&gt;"",N($N650)&lt;=0),"★填了开票日期没填开票金额",IF(AND($I650&lt;&gt;"",$J650&lt;&gt;"",$J650&lt;$I650),"★计费期间起止反了","OK")))))))</f>
        <v/>
      </c>
      <c r="U650" s="29" t="str">
        <f aca="false">IF($L650="","",YEAR($L650))</f>
        <v/>
      </c>
      <c r="V650" s="40" t="str">
        <f aca="false">IF($C650="","",ROUND(SUMIF(收款关联,$B650,收款金额),2))</f>
        <v/>
      </c>
      <c r="W650" s="40" t="str">
        <f aca="false">IF($C650="","",MAX(0,ROUND(N($K650)-N($V650),2)))</f>
        <v/>
      </c>
      <c r="X650" s="40" t="str">
        <f aca="false">IF($C650="","",ROUND(SUMIFS(应收净额,应收键,$D650,应收行号,"&lt;="&amp;ROW()),2))</f>
        <v/>
      </c>
      <c r="Y650" s="29" t="str">
        <f aca="false">IF($C650="","",ROW())</f>
        <v/>
      </c>
    </row>
    <row r="651" customFormat="false" ht="15" hidden="false" customHeight="false" outlineLevel="0" collapsed="false">
      <c r="A651" s="29" t="str">
        <f aca="false">IF($C651="","",ROW()-4)</f>
        <v/>
      </c>
      <c r="B651" s="35" t="str">
        <f aca="false">IF($C651="","","YS"&amp;TEXT($C651,"yyyymm")&amp;"-"&amp;TEXT(ROW()-4,"0000"))</f>
        <v/>
      </c>
      <c r="C651" s="33"/>
      <c r="D651" s="24"/>
      <c r="E651" s="30" t="str">
        <f aca="false">IF($D651="","",IFERROR(INDEX(合同单位,MATCH($D651,合同键,0)),IFERROR(TRIM(LEFT($D651,FIND("｜",$D651)-1)),$D651)))</f>
        <v/>
      </c>
      <c r="F651" s="30" t="str">
        <f aca="false">IF($D651="","",IFERROR(INDEX(合同项目,MATCH($D651,合同键,0)),IFERROR(TRIM(MID($D651,FIND("｜",$D651)+1,99)),"")))</f>
        <v/>
      </c>
      <c r="G651" s="24"/>
      <c r="H651" s="35" t="str">
        <f aca="false">IF($G651="","",IFERROR(INDEX(费用款别,MATCH($G651,费用类别表,0)),"合同外款"))</f>
        <v/>
      </c>
      <c r="I651" s="33"/>
      <c r="J651" s="33"/>
      <c r="K651" s="39"/>
      <c r="L651" s="33"/>
      <c r="M651" s="25"/>
      <c r="N651" s="39"/>
      <c r="O651" s="35" t="str">
        <f aca="false">IF($C651="","",IF(N($N651)&lt;=0,"未开票",IF(ROUND(N($N651)-N($K651),2)&gt;=0,"已开票",IFERROR("部分开票 "&amp;TEXT(N($N651)/N($K651),"0%"),"部分开票"))))</f>
        <v/>
      </c>
      <c r="P651" s="40" t="str">
        <f aca="false">IF($C651="","",ROUND($V651+MIN($W651,MAX(0,(SUMIF(收款键,$D651,收款金额)-SUMIFS(收款金额,收款键,$D651,收款关联,"&lt;&gt;"))-($X651-$W651))),2))</f>
        <v/>
      </c>
      <c r="Q651" s="41" t="str">
        <f aca="false">IF($C651="","",ROUND(N($K651)-N($P651),2))</f>
        <v/>
      </c>
      <c r="R651" s="29" t="str">
        <f aca="false">IF($C651="","",YEAR($C651))</f>
        <v/>
      </c>
      <c r="S651" s="24"/>
      <c r="T651" s="35" t="str">
        <f aca="false">IF($C651="","",IF($D651="","★没选客户项目",IF(COUNTIF(合同键,$D651)=0,"★《维保合同》里没这个项目",IF(N($K651)&lt;=0,"★应收金额要填",IF(ROUND(N($N651)-N($K651),2)&gt;0.001,"★开票金额大于应收",IF(AND($L651&lt;&gt;"",N($N651)&lt;=0),"★填了开票日期没填开票金额",IF(AND($I651&lt;&gt;"",$J651&lt;&gt;"",$J651&lt;$I651),"★计费期间起止反了","OK")))))))</f>
        <v/>
      </c>
      <c r="U651" s="29" t="str">
        <f aca="false">IF($L651="","",YEAR($L651))</f>
        <v/>
      </c>
      <c r="V651" s="40" t="str">
        <f aca="false">IF($C651="","",ROUND(SUMIF(收款关联,$B651,收款金额),2))</f>
        <v/>
      </c>
      <c r="W651" s="40" t="str">
        <f aca="false">IF($C651="","",MAX(0,ROUND(N($K651)-N($V651),2)))</f>
        <v/>
      </c>
      <c r="X651" s="40" t="str">
        <f aca="false">IF($C651="","",ROUND(SUMIFS(应收净额,应收键,$D651,应收行号,"&lt;="&amp;ROW()),2))</f>
        <v/>
      </c>
      <c r="Y651" s="29" t="str">
        <f aca="false">IF($C651="","",ROW())</f>
        <v/>
      </c>
    </row>
    <row r="652" customFormat="false" ht="15" hidden="false" customHeight="false" outlineLevel="0" collapsed="false">
      <c r="A652" s="29" t="str">
        <f aca="false">IF($C652="","",ROW()-4)</f>
        <v/>
      </c>
      <c r="B652" s="35" t="str">
        <f aca="false">IF($C652="","","YS"&amp;TEXT($C652,"yyyymm")&amp;"-"&amp;TEXT(ROW()-4,"0000"))</f>
        <v/>
      </c>
      <c r="C652" s="33"/>
      <c r="D652" s="24"/>
      <c r="E652" s="30" t="str">
        <f aca="false">IF($D652="","",IFERROR(INDEX(合同单位,MATCH($D652,合同键,0)),IFERROR(TRIM(LEFT($D652,FIND("｜",$D652)-1)),$D652)))</f>
        <v/>
      </c>
      <c r="F652" s="30" t="str">
        <f aca="false">IF($D652="","",IFERROR(INDEX(合同项目,MATCH($D652,合同键,0)),IFERROR(TRIM(MID($D652,FIND("｜",$D652)+1,99)),"")))</f>
        <v/>
      </c>
      <c r="G652" s="24"/>
      <c r="H652" s="35" t="str">
        <f aca="false">IF($G652="","",IFERROR(INDEX(费用款别,MATCH($G652,费用类别表,0)),"合同外款"))</f>
        <v/>
      </c>
      <c r="I652" s="33"/>
      <c r="J652" s="33"/>
      <c r="K652" s="39"/>
      <c r="L652" s="33"/>
      <c r="M652" s="25"/>
      <c r="N652" s="39"/>
      <c r="O652" s="35" t="str">
        <f aca="false">IF($C652="","",IF(N($N652)&lt;=0,"未开票",IF(ROUND(N($N652)-N($K652),2)&gt;=0,"已开票",IFERROR("部分开票 "&amp;TEXT(N($N652)/N($K652),"0%"),"部分开票"))))</f>
        <v/>
      </c>
      <c r="P652" s="40" t="str">
        <f aca="false">IF($C652="","",ROUND($V652+MIN($W652,MAX(0,(SUMIF(收款键,$D652,收款金额)-SUMIFS(收款金额,收款键,$D652,收款关联,"&lt;&gt;"))-($X652-$W652))),2))</f>
        <v/>
      </c>
      <c r="Q652" s="41" t="str">
        <f aca="false">IF($C652="","",ROUND(N($K652)-N($P652),2))</f>
        <v/>
      </c>
      <c r="R652" s="29" t="str">
        <f aca="false">IF($C652="","",YEAR($C652))</f>
        <v/>
      </c>
      <c r="S652" s="24"/>
      <c r="T652" s="35" t="str">
        <f aca="false">IF($C652="","",IF($D652="","★没选客户项目",IF(COUNTIF(合同键,$D652)=0,"★《维保合同》里没这个项目",IF(N($K652)&lt;=0,"★应收金额要填",IF(ROUND(N($N652)-N($K652),2)&gt;0.001,"★开票金额大于应收",IF(AND($L652&lt;&gt;"",N($N652)&lt;=0),"★填了开票日期没填开票金额",IF(AND($I652&lt;&gt;"",$J652&lt;&gt;"",$J652&lt;$I652),"★计费期间起止反了","OK")))))))</f>
        <v/>
      </c>
      <c r="U652" s="29" t="str">
        <f aca="false">IF($L652="","",YEAR($L652))</f>
        <v/>
      </c>
      <c r="V652" s="40" t="str">
        <f aca="false">IF($C652="","",ROUND(SUMIF(收款关联,$B652,收款金额),2))</f>
        <v/>
      </c>
      <c r="W652" s="40" t="str">
        <f aca="false">IF($C652="","",MAX(0,ROUND(N($K652)-N($V652),2)))</f>
        <v/>
      </c>
      <c r="X652" s="40" t="str">
        <f aca="false">IF($C652="","",ROUND(SUMIFS(应收净额,应收键,$D652,应收行号,"&lt;="&amp;ROW()),2))</f>
        <v/>
      </c>
      <c r="Y652" s="29" t="str">
        <f aca="false">IF($C652="","",ROW())</f>
        <v/>
      </c>
    </row>
    <row r="653" customFormat="false" ht="15" hidden="false" customHeight="false" outlineLevel="0" collapsed="false">
      <c r="A653" s="29" t="str">
        <f aca="false">IF($C653="","",ROW()-4)</f>
        <v/>
      </c>
      <c r="B653" s="35" t="str">
        <f aca="false">IF($C653="","","YS"&amp;TEXT($C653,"yyyymm")&amp;"-"&amp;TEXT(ROW()-4,"0000"))</f>
        <v/>
      </c>
      <c r="C653" s="33"/>
      <c r="D653" s="24"/>
      <c r="E653" s="30" t="str">
        <f aca="false">IF($D653="","",IFERROR(INDEX(合同单位,MATCH($D653,合同键,0)),IFERROR(TRIM(LEFT($D653,FIND("｜",$D653)-1)),$D653)))</f>
        <v/>
      </c>
      <c r="F653" s="30" t="str">
        <f aca="false">IF($D653="","",IFERROR(INDEX(合同项目,MATCH($D653,合同键,0)),IFERROR(TRIM(MID($D653,FIND("｜",$D653)+1,99)),"")))</f>
        <v/>
      </c>
      <c r="G653" s="24"/>
      <c r="H653" s="35" t="str">
        <f aca="false">IF($G653="","",IFERROR(INDEX(费用款别,MATCH($G653,费用类别表,0)),"合同外款"))</f>
        <v/>
      </c>
      <c r="I653" s="33"/>
      <c r="J653" s="33"/>
      <c r="K653" s="39"/>
      <c r="L653" s="33"/>
      <c r="M653" s="25"/>
      <c r="N653" s="39"/>
      <c r="O653" s="35" t="str">
        <f aca="false">IF($C653="","",IF(N($N653)&lt;=0,"未开票",IF(ROUND(N($N653)-N($K653),2)&gt;=0,"已开票",IFERROR("部分开票 "&amp;TEXT(N($N653)/N($K653),"0%"),"部分开票"))))</f>
        <v/>
      </c>
      <c r="P653" s="40" t="str">
        <f aca="false">IF($C653="","",ROUND($V653+MIN($W653,MAX(0,(SUMIF(收款键,$D653,收款金额)-SUMIFS(收款金额,收款键,$D653,收款关联,"&lt;&gt;"))-($X653-$W653))),2))</f>
        <v/>
      </c>
      <c r="Q653" s="41" t="str">
        <f aca="false">IF($C653="","",ROUND(N($K653)-N($P653),2))</f>
        <v/>
      </c>
      <c r="R653" s="29" t="str">
        <f aca="false">IF($C653="","",YEAR($C653))</f>
        <v/>
      </c>
      <c r="S653" s="24"/>
      <c r="T653" s="35" t="str">
        <f aca="false">IF($C653="","",IF($D653="","★没选客户项目",IF(COUNTIF(合同键,$D653)=0,"★《维保合同》里没这个项目",IF(N($K653)&lt;=0,"★应收金额要填",IF(ROUND(N($N653)-N($K653),2)&gt;0.001,"★开票金额大于应收",IF(AND($L653&lt;&gt;"",N($N653)&lt;=0),"★填了开票日期没填开票金额",IF(AND($I653&lt;&gt;"",$J653&lt;&gt;"",$J653&lt;$I653),"★计费期间起止反了","OK")))))))</f>
        <v/>
      </c>
      <c r="U653" s="29" t="str">
        <f aca="false">IF($L653="","",YEAR($L653))</f>
        <v/>
      </c>
      <c r="V653" s="40" t="str">
        <f aca="false">IF($C653="","",ROUND(SUMIF(收款关联,$B653,收款金额),2))</f>
        <v/>
      </c>
      <c r="W653" s="40" t="str">
        <f aca="false">IF($C653="","",MAX(0,ROUND(N($K653)-N($V653),2)))</f>
        <v/>
      </c>
      <c r="X653" s="40" t="str">
        <f aca="false">IF($C653="","",ROUND(SUMIFS(应收净额,应收键,$D653,应收行号,"&lt;="&amp;ROW()),2))</f>
        <v/>
      </c>
      <c r="Y653" s="29" t="str">
        <f aca="false">IF($C653="","",ROW())</f>
        <v/>
      </c>
    </row>
    <row r="654" customFormat="false" ht="15" hidden="false" customHeight="false" outlineLevel="0" collapsed="false">
      <c r="A654" s="29" t="str">
        <f aca="false">IF($C654="","",ROW()-4)</f>
        <v/>
      </c>
      <c r="B654" s="35" t="str">
        <f aca="false">IF($C654="","","YS"&amp;TEXT($C654,"yyyymm")&amp;"-"&amp;TEXT(ROW()-4,"0000"))</f>
        <v/>
      </c>
      <c r="C654" s="33"/>
      <c r="D654" s="24"/>
      <c r="E654" s="30" t="str">
        <f aca="false">IF($D654="","",IFERROR(INDEX(合同单位,MATCH($D654,合同键,0)),IFERROR(TRIM(LEFT($D654,FIND("｜",$D654)-1)),$D654)))</f>
        <v/>
      </c>
      <c r="F654" s="30" t="str">
        <f aca="false">IF($D654="","",IFERROR(INDEX(合同项目,MATCH($D654,合同键,0)),IFERROR(TRIM(MID($D654,FIND("｜",$D654)+1,99)),"")))</f>
        <v/>
      </c>
      <c r="G654" s="24"/>
      <c r="H654" s="35" t="str">
        <f aca="false">IF($G654="","",IFERROR(INDEX(费用款别,MATCH($G654,费用类别表,0)),"合同外款"))</f>
        <v/>
      </c>
      <c r="I654" s="33"/>
      <c r="J654" s="33"/>
      <c r="K654" s="39"/>
      <c r="L654" s="33"/>
      <c r="M654" s="25"/>
      <c r="N654" s="39"/>
      <c r="O654" s="35" t="str">
        <f aca="false">IF($C654="","",IF(N($N654)&lt;=0,"未开票",IF(ROUND(N($N654)-N($K654),2)&gt;=0,"已开票",IFERROR("部分开票 "&amp;TEXT(N($N654)/N($K654),"0%"),"部分开票"))))</f>
        <v/>
      </c>
      <c r="P654" s="40" t="str">
        <f aca="false">IF($C654="","",ROUND($V654+MIN($W654,MAX(0,(SUMIF(收款键,$D654,收款金额)-SUMIFS(收款金额,收款键,$D654,收款关联,"&lt;&gt;"))-($X654-$W654))),2))</f>
        <v/>
      </c>
      <c r="Q654" s="41" t="str">
        <f aca="false">IF($C654="","",ROUND(N($K654)-N($P654),2))</f>
        <v/>
      </c>
      <c r="R654" s="29" t="str">
        <f aca="false">IF($C654="","",YEAR($C654))</f>
        <v/>
      </c>
      <c r="S654" s="24"/>
      <c r="T654" s="35" t="str">
        <f aca="false">IF($C654="","",IF($D654="","★没选客户项目",IF(COUNTIF(合同键,$D654)=0,"★《维保合同》里没这个项目",IF(N($K654)&lt;=0,"★应收金额要填",IF(ROUND(N($N654)-N($K654),2)&gt;0.001,"★开票金额大于应收",IF(AND($L654&lt;&gt;"",N($N654)&lt;=0),"★填了开票日期没填开票金额",IF(AND($I654&lt;&gt;"",$J654&lt;&gt;"",$J654&lt;$I654),"★计费期间起止反了","OK")))))))</f>
        <v/>
      </c>
      <c r="U654" s="29" t="str">
        <f aca="false">IF($L654="","",YEAR($L654))</f>
        <v/>
      </c>
      <c r="V654" s="40" t="str">
        <f aca="false">IF($C654="","",ROUND(SUMIF(收款关联,$B654,收款金额),2))</f>
        <v/>
      </c>
      <c r="W654" s="40" t="str">
        <f aca="false">IF($C654="","",MAX(0,ROUND(N($K654)-N($V654),2)))</f>
        <v/>
      </c>
      <c r="X654" s="40" t="str">
        <f aca="false">IF($C654="","",ROUND(SUMIFS(应收净额,应收键,$D654,应收行号,"&lt;="&amp;ROW()),2))</f>
        <v/>
      </c>
      <c r="Y654" s="29" t="str">
        <f aca="false">IF($C654="","",ROW())</f>
        <v/>
      </c>
    </row>
    <row r="655" customFormat="false" ht="15" hidden="false" customHeight="false" outlineLevel="0" collapsed="false">
      <c r="A655" s="29" t="str">
        <f aca="false">IF($C655="","",ROW()-4)</f>
        <v/>
      </c>
      <c r="B655" s="35" t="str">
        <f aca="false">IF($C655="","","YS"&amp;TEXT($C655,"yyyymm")&amp;"-"&amp;TEXT(ROW()-4,"0000"))</f>
        <v/>
      </c>
      <c r="C655" s="33"/>
      <c r="D655" s="24"/>
      <c r="E655" s="30" t="str">
        <f aca="false">IF($D655="","",IFERROR(INDEX(合同单位,MATCH($D655,合同键,0)),IFERROR(TRIM(LEFT($D655,FIND("｜",$D655)-1)),$D655)))</f>
        <v/>
      </c>
      <c r="F655" s="30" t="str">
        <f aca="false">IF($D655="","",IFERROR(INDEX(合同项目,MATCH($D655,合同键,0)),IFERROR(TRIM(MID($D655,FIND("｜",$D655)+1,99)),"")))</f>
        <v/>
      </c>
      <c r="G655" s="24"/>
      <c r="H655" s="35" t="str">
        <f aca="false">IF($G655="","",IFERROR(INDEX(费用款别,MATCH($G655,费用类别表,0)),"合同外款"))</f>
        <v/>
      </c>
      <c r="I655" s="33"/>
      <c r="J655" s="33"/>
      <c r="K655" s="39"/>
      <c r="L655" s="33"/>
      <c r="M655" s="25"/>
      <c r="N655" s="39"/>
      <c r="O655" s="35" t="str">
        <f aca="false">IF($C655="","",IF(N($N655)&lt;=0,"未开票",IF(ROUND(N($N655)-N($K655),2)&gt;=0,"已开票",IFERROR("部分开票 "&amp;TEXT(N($N655)/N($K655),"0%"),"部分开票"))))</f>
        <v/>
      </c>
      <c r="P655" s="40" t="str">
        <f aca="false">IF($C655="","",ROUND($V655+MIN($W655,MAX(0,(SUMIF(收款键,$D655,收款金额)-SUMIFS(收款金额,收款键,$D655,收款关联,"&lt;&gt;"))-($X655-$W655))),2))</f>
        <v/>
      </c>
      <c r="Q655" s="41" t="str">
        <f aca="false">IF($C655="","",ROUND(N($K655)-N($P655),2))</f>
        <v/>
      </c>
      <c r="R655" s="29" t="str">
        <f aca="false">IF($C655="","",YEAR($C655))</f>
        <v/>
      </c>
      <c r="S655" s="24"/>
      <c r="T655" s="35" t="str">
        <f aca="false">IF($C655="","",IF($D655="","★没选客户项目",IF(COUNTIF(合同键,$D655)=0,"★《维保合同》里没这个项目",IF(N($K655)&lt;=0,"★应收金额要填",IF(ROUND(N($N655)-N($K655),2)&gt;0.001,"★开票金额大于应收",IF(AND($L655&lt;&gt;"",N($N655)&lt;=0),"★填了开票日期没填开票金额",IF(AND($I655&lt;&gt;"",$J655&lt;&gt;"",$J655&lt;$I655),"★计费期间起止反了","OK")))))))</f>
        <v/>
      </c>
      <c r="U655" s="29" t="str">
        <f aca="false">IF($L655="","",YEAR($L655))</f>
        <v/>
      </c>
      <c r="V655" s="40" t="str">
        <f aca="false">IF($C655="","",ROUND(SUMIF(收款关联,$B655,收款金额),2))</f>
        <v/>
      </c>
      <c r="W655" s="40" t="str">
        <f aca="false">IF($C655="","",MAX(0,ROUND(N($K655)-N($V655),2)))</f>
        <v/>
      </c>
      <c r="X655" s="40" t="str">
        <f aca="false">IF($C655="","",ROUND(SUMIFS(应收净额,应收键,$D655,应收行号,"&lt;="&amp;ROW()),2))</f>
        <v/>
      </c>
      <c r="Y655" s="29" t="str">
        <f aca="false">IF($C655="","",ROW())</f>
        <v/>
      </c>
    </row>
    <row r="656" customFormat="false" ht="15" hidden="false" customHeight="false" outlineLevel="0" collapsed="false">
      <c r="A656" s="29" t="str">
        <f aca="false">IF($C656="","",ROW()-4)</f>
        <v/>
      </c>
      <c r="B656" s="35" t="str">
        <f aca="false">IF($C656="","","YS"&amp;TEXT($C656,"yyyymm")&amp;"-"&amp;TEXT(ROW()-4,"0000"))</f>
        <v/>
      </c>
      <c r="C656" s="33"/>
      <c r="D656" s="24"/>
      <c r="E656" s="30" t="str">
        <f aca="false">IF($D656="","",IFERROR(INDEX(合同单位,MATCH($D656,合同键,0)),IFERROR(TRIM(LEFT($D656,FIND("｜",$D656)-1)),$D656)))</f>
        <v/>
      </c>
      <c r="F656" s="30" t="str">
        <f aca="false">IF($D656="","",IFERROR(INDEX(合同项目,MATCH($D656,合同键,0)),IFERROR(TRIM(MID($D656,FIND("｜",$D656)+1,99)),"")))</f>
        <v/>
      </c>
      <c r="G656" s="24"/>
      <c r="H656" s="35" t="str">
        <f aca="false">IF($G656="","",IFERROR(INDEX(费用款别,MATCH($G656,费用类别表,0)),"合同外款"))</f>
        <v/>
      </c>
      <c r="I656" s="33"/>
      <c r="J656" s="33"/>
      <c r="K656" s="39"/>
      <c r="L656" s="33"/>
      <c r="M656" s="25"/>
      <c r="N656" s="39"/>
      <c r="O656" s="35" t="str">
        <f aca="false">IF($C656="","",IF(N($N656)&lt;=0,"未开票",IF(ROUND(N($N656)-N($K656),2)&gt;=0,"已开票",IFERROR("部分开票 "&amp;TEXT(N($N656)/N($K656),"0%"),"部分开票"))))</f>
        <v/>
      </c>
      <c r="P656" s="40" t="str">
        <f aca="false">IF($C656="","",ROUND($V656+MIN($W656,MAX(0,(SUMIF(收款键,$D656,收款金额)-SUMIFS(收款金额,收款键,$D656,收款关联,"&lt;&gt;"))-($X656-$W656))),2))</f>
        <v/>
      </c>
      <c r="Q656" s="41" t="str">
        <f aca="false">IF($C656="","",ROUND(N($K656)-N($P656),2))</f>
        <v/>
      </c>
      <c r="R656" s="29" t="str">
        <f aca="false">IF($C656="","",YEAR($C656))</f>
        <v/>
      </c>
      <c r="S656" s="24"/>
      <c r="T656" s="35" t="str">
        <f aca="false">IF($C656="","",IF($D656="","★没选客户项目",IF(COUNTIF(合同键,$D656)=0,"★《维保合同》里没这个项目",IF(N($K656)&lt;=0,"★应收金额要填",IF(ROUND(N($N656)-N($K656),2)&gt;0.001,"★开票金额大于应收",IF(AND($L656&lt;&gt;"",N($N656)&lt;=0),"★填了开票日期没填开票金额",IF(AND($I656&lt;&gt;"",$J656&lt;&gt;"",$J656&lt;$I656),"★计费期间起止反了","OK")))))))</f>
        <v/>
      </c>
      <c r="U656" s="29" t="str">
        <f aca="false">IF($L656="","",YEAR($L656))</f>
        <v/>
      </c>
      <c r="V656" s="40" t="str">
        <f aca="false">IF($C656="","",ROUND(SUMIF(收款关联,$B656,收款金额),2))</f>
        <v/>
      </c>
      <c r="W656" s="40" t="str">
        <f aca="false">IF($C656="","",MAX(0,ROUND(N($K656)-N($V656),2)))</f>
        <v/>
      </c>
      <c r="X656" s="40" t="str">
        <f aca="false">IF($C656="","",ROUND(SUMIFS(应收净额,应收键,$D656,应收行号,"&lt;="&amp;ROW()),2))</f>
        <v/>
      </c>
      <c r="Y656" s="29" t="str">
        <f aca="false">IF($C656="","",ROW())</f>
        <v/>
      </c>
    </row>
    <row r="657" customFormat="false" ht="15" hidden="false" customHeight="false" outlineLevel="0" collapsed="false">
      <c r="A657" s="29" t="str">
        <f aca="false">IF($C657="","",ROW()-4)</f>
        <v/>
      </c>
      <c r="B657" s="35" t="str">
        <f aca="false">IF($C657="","","YS"&amp;TEXT($C657,"yyyymm")&amp;"-"&amp;TEXT(ROW()-4,"0000"))</f>
        <v/>
      </c>
      <c r="C657" s="33"/>
      <c r="D657" s="24"/>
      <c r="E657" s="30" t="str">
        <f aca="false">IF($D657="","",IFERROR(INDEX(合同单位,MATCH($D657,合同键,0)),IFERROR(TRIM(LEFT($D657,FIND("｜",$D657)-1)),$D657)))</f>
        <v/>
      </c>
      <c r="F657" s="30" t="str">
        <f aca="false">IF($D657="","",IFERROR(INDEX(合同项目,MATCH($D657,合同键,0)),IFERROR(TRIM(MID($D657,FIND("｜",$D657)+1,99)),"")))</f>
        <v/>
      </c>
      <c r="G657" s="24"/>
      <c r="H657" s="35" t="str">
        <f aca="false">IF($G657="","",IFERROR(INDEX(费用款别,MATCH($G657,费用类别表,0)),"合同外款"))</f>
        <v/>
      </c>
      <c r="I657" s="33"/>
      <c r="J657" s="33"/>
      <c r="K657" s="39"/>
      <c r="L657" s="33"/>
      <c r="M657" s="25"/>
      <c r="N657" s="39"/>
      <c r="O657" s="35" t="str">
        <f aca="false">IF($C657="","",IF(N($N657)&lt;=0,"未开票",IF(ROUND(N($N657)-N($K657),2)&gt;=0,"已开票",IFERROR("部分开票 "&amp;TEXT(N($N657)/N($K657),"0%"),"部分开票"))))</f>
        <v/>
      </c>
      <c r="P657" s="40" t="str">
        <f aca="false">IF($C657="","",ROUND($V657+MIN($W657,MAX(0,(SUMIF(收款键,$D657,收款金额)-SUMIFS(收款金额,收款键,$D657,收款关联,"&lt;&gt;"))-($X657-$W657))),2))</f>
        <v/>
      </c>
      <c r="Q657" s="41" t="str">
        <f aca="false">IF($C657="","",ROUND(N($K657)-N($P657),2))</f>
        <v/>
      </c>
      <c r="R657" s="29" t="str">
        <f aca="false">IF($C657="","",YEAR($C657))</f>
        <v/>
      </c>
      <c r="S657" s="24"/>
      <c r="T657" s="35" t="str">
        <f aca="false">IF($C657="","",IF($D657="","★没选客户项目",IF(COUNTIF(合同键,$D657)=0,"★《维保合同》里没这个项目",IF(N($K657)&lt;=0,"★应收金额要填",IF(ROUND(N($N657)-N($K657),2)&gt;0.001,"★开票金额大于应收",IF(AND($L657&lt;&gt;"",N($N657)&lt;=0),"★填了开票日期没填开票金额",IF(AND($I657&lt;&gt;"",$J657&lt;&gt;"",$J657&lt;$I657),"★计费期间起止反了","OK")))))))</f>
        <v/>
      </c>
      <c r="U657" s="29" t="str">
        <f aca="false">IF($L657="","",YEAR($L657))</f>
        <v/>
      </c>
      <c r="V657" s="40" t="str">
        <f aca="false">IF($C657="","",ROUND(SUMIF(收款关联,$B657,收款金额),2))</f>
        <v/>
      </c>
      <c r="W657" s="40" t="str">
        <f aca="false">IF($C657="","",MAX(0,ROUND(N($K657)-N($V657),2)))</f>
        <v/>
      </c>
      <c r="X657" s="40" t="str">
        <f aca="false">IF($C657="","",ROUND(SUMIFS(应收净额,应收键,$D657,应收行号,"&lt;="&amp;ROW()),2))</f>
        <v/>
      </c>
      <c r="Y657" s="29" t="str">
        <f aca="false">IF($C657="","",ROW())</f>
        <v/>
      </c>
    </row>
    <row r="658" customFormat="false" ht="15" hidden="false" customHeight="false" outlineLevel="0" collapsed="false">
      <c r="A658" s="29" t="str">
        <f aca="false">IF($C658="","",ROW()-4)</f>
        <v/>
      </c>
      <c r="B658" s="35" t="str">
        <f aca="false">IF($C658="","","YS"&amp;TEXT($C658,"yyyymm")&amp;"-"&amp;TEXT(ROW()-4,"0000"))</f>
        <v/>
      </c>
      <c r="C658" s="33"/>
      <c r="D658" s="24"/>
      <c r="E658" s="30" t="str">
        <f aca="false">IF($D658="","",IFERROR(INDEX(合同单位,MATCH($D658,合同键,0)),IFERROR(TRIM(LEFT($D658,FIND("｜",$D658)-1)),$D658)))</f>
        <v/>
      </c>
      <c r="F658" s="30" t="str">
        <f aca="false">IF($D658="","",IFERROR(INDEX(合同项目,MATCH($D658,合同键,0)),IFERROR(TRIM(MID($D658,FIND("｜",$D658)+1,99)),"")))</f>
        <v/>
      </c>
      <c r="G658" s="24"/>
      <c r="H658" s="35" t="str">
        <f aca="false">IF($G658="","",IFERROR(INDEX(费用款别,MATCH($G658,费用类别表,0)),"合同外款"))</f>
        <v/>
      </c>
      <c r="I658" s="33"/>
      <c r="J658" s="33"/>
      <c r="K658" s="39"/>
      <c r="L658" s="33"/>
      <c r="M658" s="25"/>
      <c r="N658" s="39"/>
      <c r="O658" s="35" t="str">
        <f aca="false">IF($C658="","",IF(N($N658)&lt;=0,"未开票",IF(ROUND(N($N658)-N($K658),2)&gt;=0,"已开票",IFERROR("部分开票 "&amp;TEXT(N($N658)/N($K658),"0%"),"部分开票"))))</f>
        <v/>
      </c>
      <c r="P658" s="40" t="str">
        <f aca="false">IF($C658="","",ROUND($V658+MIN($W658,MAX(0,(SUMIF(收款键,$D658,收款金额)-SUMIFS(收款金额,收款键,$D658,收款关联,"&lt;&gt;"))-($X658-$W658))),2))</f>
        <v/>
      </c>
      <c r="Q658" s="41" t="str">
        <f aca="false">IF($C658="","",ROUND(N($K658)-N($P658),2))</f>
        <v/>
      </c>
      <c r="R658" s="29" t="str">
        <f aca="false">IF($C658="","",YEAR($C658))</f>
        <v/>
      </c>
      <c r="S658" s="24"/>
      <c r="T658" s="35" t="str">
        <f aca="false">IF($C658="","",IF($D658="","★没选客户项目",IF(COUNTIF(合同键,$D658)=0,"★《维保合同》里没这个项目",IF(N($K658)&lt;=0,"★应收金额要填",IF(ROUND(N($N658)-N($K658),2)&gt;0.001,"★开票金额大于应收",IF(AND($L658&lt;&gt;"",N($N658)&lt;=0),"★填了开票日期没填开票金额",IF(AND($I658&lt;&gt;"",$J658&lt;&gt;"",$J658&lt;$I658),"★计费期间起止反了","OK")))))))</f>
        <v/>
      </c>
      <c r="U658" s="29" t="str">
        <f aca="false">IF($L658="","",YEAR($L658))</f>
        <v/>
      </c>
      <c r="V658" s="40" t="str">
        <f aca="false">IF($C658="","",ROUND(SUMIF(收款关联,$B658,收款金额),2))</f>
        <v/>
      </c>
      <c r="W658" s="40" t="str">
        <f aca="false">IF($C658="","",MAX(0,ROUND(N($K658)-N($V658),2)))</f>
        <v/>
      </c>
      <c r="X658" s="40" t="str">
        <f aca="false">IF($C658="","",ROUND(SUMIFS(应收净额,应收键,$D658,应收行号,"&lt;="&amp;ROW()),2))</f>
        <v/>
      </c>
      <c r="Y658" s="29" t="str">
        <f aca="false">IF($C658="","",ROW())</f>
        <v/>
      </c>
    </row>
    <row r="659" customFormat="false" ht="15" hidden="false" customHeight="false" outlineLevel="0" collapsed="false">
      <c r="A659" s="29" t="str">
        <f aca="false">IF($C659="","",ROW()-4)</f>
        <v/>
      </c>
      <c r="B659" s="35" t="str">
        <f aca="false">IF($C659="","","YS"&amp;TEXT($C659,"yyyymm")&amp;"-"&amp;TEXT(ROW()-4,"0000"))</f>
        <v/>
      </c>
      <c r="C659" s="33"/>
      <c r="D659" s="24"/>
      <c r="E659" s="30" t="str">
        <f aca="false">IF($D659="","",IFERROR(INDEX(合同单位,MATCH($D659,合同键,0)),IFERROR(TRIM(LEFT($D659,FIND("｜",$D659)-1)),$D659)))</f>
        <v/>
      </c>
      <c r="F659" s="30" t="str">
        <f aca="false">IF($D659="","",IFERROR(INDEX(合同项目,MATCH($D659,合同键,0)),IFERROR(TRIM(MID($D659,FIND("｜",$D659)+1,99)),"")))</f>
        <v/>
      </c>
      <c r="G659" s="24"/>
      <c r="H659" s="35" t="str">
        <f aca="false">IF($G659="","",IFERROR(INDEX(费用款别,MATCH($G659,费用类别表,0)),"合同外款"))</f>
        <v/>
      </c>
      <c r="I659" s="33"/>
      <c r="J659" s="33"/>
      <c r="K659" s="39"/>
      <c r="L659" s="33"/>
      <c r="M659" s="25"/>
      <c r="N659" s="39"/>
      <c r="O659" s="35" t="str">
        <f aca="false">IF($C659="","",IF(N($N659)&lt;=0,"未开票",IF(ROUND(N($N659)-N($K659),2)&gt;=0,"已开票",IFERROR("部分开票 "&amp;TEXT(N($N659)/N($K659),"0%"),"部分开票"))))</f>
        <v/>
      </c>
      <c r="P659" s="40" t="str">
        <f aca="false">IF($C659="","",ROUND($V659+MIN($W659,MAX(0,(SUMIF(收款键,$D659,收款金额)-SUMIFS(收款金额,收款键,$D659,收款关联,"&lt;&gt;"))-($X659-$W659))),2))</f>
        <v/>
      </c>
      <c r="Q659" s="41" t="str">
        <f aca="false">IF($C659="","",ROUND(N($K659)-N($P659),2))</f>
        <v/>
      </c>
      <c r="R659" s="29" t="str">
        <f aca="false">IF($C659="","",YEAR($C659))</f>
        <v/>
      </c>
      <c r="S659" s="24"/>
      <c r="T659" s="35" t="str">
        <f aca="false">IF($C659="","",IF($D659="","★没选客户项目",IF(COUNTIF(合同键,$D659)=0,"★《维保合同》里没这个项目",IF(N($K659)&lt;=0,"★应收金额要填",IF(ROUND(N($N659)-N($K659),2)&gt;0.001,"★开票金额大于应收",IF(AND($L659&lt;&gt;"",N($N659)&lt;=0),"★填了开票日期没填开票金额",IF(AND($I659&lt;&gt;"",$J659&lt;&gt;"",$J659&lt;$I659),"★计费期间起止反了","OK")))))))</f>
        <v/>
      </c>
      <c r="U659" s="29" t="str">
        <f aca="false">IF($L659="","",YEAR($L659))</f>
        <v/>
      </c>
      <c r="V659" s="40" t="str">
        <f aca="false">IF($C659="","",ROUND(SUMIF(收款关联,$B659,收款金额),2))</f>
        <v/>
      </c>
      <c r="W659" s="40" t="str">
        <f aca="false">IF($C659="","",MAX(0,ROUND(N($K659)-N($V659),2)))</f>
        <v/>
      </c>
      <c r="X659" s="40" t="str">
        <f aca="false">IF($C659="","",ROUND(SUMIFS(应收净额,应收键,$D659,应收行号,"&lt;="&amp;ROW()),2))</f>
        <v/>
      </c>
      <c r="Y659" s="29" t="str">
        <f aca="false">IF($C659="","",ROW())</f>
        <v/>
      </c>
    </row>
    <row r="660" customFormat="false" ht="15" hidden="false" customHeight="false" outlineLevel="0" collapsed="false">
      <c r="A660" s="29" t="str">
        <f aca="false">IF($C660="","",ROW()-4)</f>
        <v/>
      </c>
      <c r="B660" s="35" t="str">
        <f aca="false">IF($C660="","","YS"&amp;TEXT($C660,"yyyymm")&amp;"-"&amp;TEXT(ROW()-4,"0000"))</f>
        <v/>
      </c>
      <c r="C660" s="33"/>
      <c r="D660" s="24"/>
      <c r="E660" s="30" t="str">
        <f aca="false">IF($D660="","",IFERROR(INDEX(合同单位,MATCH($D660,合同键,0)),IFERROR(TRIM(LEFT($D660,FIND("｜",$D660)-1)),$D660)))</f>
        <v/>
      </c>
      <c r="F660" s="30" t="str">
        <f aca="false">IF($D660="","",IFERROR(INDEX(合同项目,MATCH($D660,合同键,0)),IFERROR(TRIM(MID($D660,FIND("｜",$D660)+1,99)),"")))</f>
        <v/>
      </c>
      <c r="G660" s="24"/>
      <c r="H660" s="35" t="str">
        <f aca="false">IF($G660="","",IFERROR(INDEX(费用款别,MATCH($G660,费用类别表,0)),"合同外款"))</f>
        <v/>
      </c>
      <c r="I660" s="33"/>
      <c r="J660" s="33"/>
      <c r="K660" s="39"/>
      <c r="L660" s="33"/>
      <c r="M660" s="25"/>
      <c r="N660" s="39"/>
      <c r="O660" s="35" t="str">
        <f aca="false">IF($C660="","",IF(N($N660)&lt;=0,"未开票",IF(ROUND(N($N660)-N($K660),2)&gt;=0,"已开票",IFERROR("部分开票 "&amp;TEXT(N($N660)/N($K660),"0%"),"部分开票"))))</f>
        <v/>
      </c>
      <c r="P660" s="40" t="str">
        <f aca="false">IF($C660="","",ROUND($V660+MIN($W660,MAX(0,(SUMIF(收款键,$D660,收款金额)-SUMIFS(收款金额,收款键,$D660,收款关联,"&lt;&gt;"))-($X660-$W660))),2))</f>
        <v/>
      </c>
      <c r="Q660" s="41" t="str">
        <f aca="false">IF($C660="","",ROUND(N($K660)-N($P660),2))</f>
        <v/>
      </c>
      <c r="R660" s="29" t="str">
        <f aca="false">IF($C660="","",YEAR($C660))</f>
        <v/>
      </c>
      <c r="S660" s="24"/>
      <c r="T660" s="35" t="str">
        <f aca="false">IF($C660="","",IF($D660="","★没选客户项目",IF(COUNTIF(合同键,$D660)=0,"★《维保合同》里没这个项目",IF(N($K660)&lt;=0,"★应收金额要填",IF(ROUND(N($N660)-N($K660),2)&gt;0.001,"★开票金额大于应收",IF(AND($L660&lt;&gt;"",N($N660)&lt;=0),"★填了开票日期没填开票金额",IF(AND($I660&lt;&gt;"",$J660&lt;&gt;"",$J660&lt;$I660),"★计费期间起止反了","OK")))))))</f>
        <v/>
      </c>
      <c r="U660" s="29" t="str">
        <f aca="false">IF($L660="","",YEAR($L660))</f>
        <v/>
      </c>
      <c r="V660" s="40" t="str">
        <f aca="false">IF($C660="","",ROUND(SUMIF(收款关联,$B660,收款金额),2))</f>
        <v/>
      </c>
      <c r="W660" s="40" t="str">
        <f aca="false">IF($C660="","",MAX(0,ROUND(N($K660)-N($V660),2)))</f>
        <v/>
      </c>
      <c r="X660" s="40" t="str">
        <f aca="false">IF($C660="","",ROUND(SUMIFS(应收净额,应收键,$D660,应收行号,"&lt;="&amp;ROW()),2))</f>
        <v/>
      </c>
      <c r="Y660" s="29" t="str">
        <f aca="false">IF($C660="","",ROW())</f>
        <v/>
      </c>
    </row>
    <row r="661" customFormat="false" ht="15" hidden="false" customHeight="false" outlineLevel="0" collapsed="false">
      <c r="A661" s="29" t="str">
        <f aca="false">IF($C661="","",ROW()-4)</f>
        <v/>
      </c>
      <c r="B661" s="35" t="str">
        <f aca="false">IF($C661="","","YS"&amp;TEXT($C661,"yyyymm")&amp;"-"&amp;TEXT(ROW()-4,"0000"))</f>
        <v/>
      </c>
      <c r="C661" s="33"/>
      <c r="D661" s="24"/>
      <c r="E661" s="30" t="str">
        <f aca="false">IF($D661="","",IFERROR(INDEX(合同单位,MATCH($D661,合同键,0)),IFERROR(TRIM(LEFT($D661,FIND("｜",$D661)-1)),$D661)))</f>
        <v/>
      </c>
      <c r="F661" s="30" t="str">
        <f aca="false">IF($D661="","",IFERROR(INDEX(合同项目,MATCH($D661,合同键,0)),IFERROR(TRIM(MID($D661,FIND("｜",$D661)+1,99)),"")))</f>
        <v/>
      </c>
      <c r="G661" s="24"/>
      <c r="H661" s="35" t="str">
        <f aca="false">IF($G661="","",IFERROR(INDEX(费用款别,MATCH($G661,费用类别表,0)),"合同外款"))</f>
        <v/>
      </c>
      <c r="I661" s="33"/>
      <c r="J661" s="33"/>
      <c r="K661" s="39"/>
      <c r="L661" s="33"/>
      <c r="M661" s="25"/>
      <c r="N661" s="39"/>
      <c r="O661" s="35" t="str">
        <f aca="false">IF($C661="","",IF(N($N661)&lt;=0,"未开票",IF(ROUND(N($N661)-N($K661),2)&gt;=0,"已开票",IFERROR("部分开票 "&amp;TEXT(N($N661)/N($K661),"0%"),"部分开票"))))</f>
        <v/>
      </c>
      <c r="P661" s="40" t="str">
        <f aca="false">IF($C661="","",ROUND($V661+MIN($W661,MAX(0,(SUMIF(收款键,$D661,收款金额)-SUMIFS(收款金额,收款键,$D661,收款关联,"&lt;&gt;"))-($X661-$W661))),2))</f>
        <v/>
      </c>
      <c r="Q661" s="41" t="str">
        <f aca="false">IF($C661="","",ROUND(N($K661)-N($P661),2))</f>
        <v/>
      </c>
      <c r="R661" s="29" t="str">
        <f aca="false">IF($C661="","",YEAR($C661))</f>
        <v/>
      </c>
      <c r="S661" s="24"/>
      <c r="T661" s="35" t="str">
        <f aca="false">IF($C661="","",IF($D661="","★没选客户项目",IF(COUNTIF(合同键,$D661)=0,"★《维保合同》里没这个项目",IF(N($K661)&lt;=0,"★应收金额要填",IF(ROUND(N($N661)-N($K661),2)&gt;0.001,"★开票金额大于应收",IF(AND($L661&lt;&gt;"",N($N661)&lt;=0),"★填了开票日期没填开票金额",IF(AND($I661&lt;&gt;"",$J661&lt;&gt;"",$J661&lt;$I661),"★计费期间起止反了","OK")))))))</f>
        <v/>
      </c>
      <c r="U661" s="29" t="str">
        <f aca="false">IF($L661="","",YEAR($L661))</f>
        <v/>
      </c>
      <c r="V661" s="40" t="str">
        <f aca="false">IF($C661="","",ROUND(SUMIF(收款关联,$B661,收款金额),2))</f>
        <v/>
      </c>
      <c r="W661" s="40" t="str">
        <f aca="false">IF($C661="","",MAX(0,ROUND(N($K661)-N($V661),2)))</f>
        <v/>
      </c>
      <c r="X661" s="40" t="str">
        <f aca="false">IF($C661="","",ROUND(SUMIFS(应收净额,应收键,$D661,应收行号,"&lt;="&amp;ROW()),2))</f>
        <v/>
      </c>
      <c r="Y661" s="29" t="str">
        <f aca="false">IF($C661="","",ROW())</f>
        <v/>
      </c>
    </row>
    <row r="662" customFormat="false" ht="15" hidden="false" customHeight="false" outlineLevel="0" collapsed="false">
      <c r="A662" s="29" t="str">
        <f aca="false">IF($C662="","",ROW()-4)</f>
        <v/>
      </c>
      <c r="B662" s="35" t="str">
        <f aca="false">IF($C662="","","YS"&amp;TEXT($C662,"yyyymm")&amp;"-"&amp;TEXT(ROW()-4,"0000"))</f>
        <v/>
      </c>
      <c r="C662" s="33"/>
      <c r="D662" s="24"/>
      <c r="E662" s="30" t="str">
        <f aca="false">IF($D662="","",IFERROR(INDEX(合同单位,MATCH($D662,合同键,0)),IFERROR(TRIM(LEFT($D662,FIND("｜",$D662)-1)),$D662)))</f>
        <v/>
      </c>
      <c r="F662" s="30" t="str">
        <f aca="false">IF($D662="","",IFERROR(INDEX(合同项目,MATCH($D662,合同键,0)),IFERROR(TRIM(MID($D662,FIND("｜",$D662)+1,99)),"")))</f>
        <v/>
      </c>
      <c r="G662" s="24"/>
      <c r="H662" s="35" t="str">
        <f aca="false">IF($G662="","",IFERROR(INDEX(费用款别,MATCH($G662,费用类别表,0)),"合同外款"))</f>
        <v/>
      </c>
      <c r="I662" s="33"/>
      <c r="J662" s="33"/>
      <c r="K662" s="39"/>
      <c r="L662" s="33"/>
      <c r="M662" s="25"/>
      <c r="N662" s="39"/>
      <c r="O662" s="35" t="str">
        <f aca="false">IF($C662="","",IF(N($N662)&lt;=0,"未开票",IF(ROUND(N($N662)-N($K662),2)&gt;=0,"已开票",IFERROR("部分开票 "&amp;TEXT(N($N662)/N($K662),"0%"),"部分开票"))))</f>
        <v/>
      </c>
      <c r="P662" s="40" t="str">
        <f aca="false">IF($C662="","",ROUND($V662+MIN($W662,MAX(0,(SUMIF(收款键,$D662,收款金额)-SUMIFS(收款金额,收款键,$D662,收款关联,"&lt;&gt;"))-($X662-$W662))),2))</f>
        <v/>
      </c>
      <c r="Q662" s="41" t="str">
        <f aca="false">IF($C662="","",ROUND(N($K662)-N($P662),2))</f>
        <v/>
      </c>
      <c r="R662" s="29" t="str">
        <f aca="false">IF($C662="","",YEAR($C662))</f>
        <v/>
      </c>
      <c r="S662" s="24"/>
      <c r="T662" s="35" t="str">
        <f aca="false">IF($C662="","",IF($D662="","★没选客户项目",IF(COUNTIF(合同键,$D662)=0,"★《维保合同》里没这个项目",IF(N($K662)&lt;=0,"★应收金额要填",IF(ROUND(N($N662)-N($K662),2)&gt;0.001,"★开票金额大于应收",IF(AND($L662&lt;&gt;"",N($N662)&lt;=0),"★填了开票日期没填开票金额",IF(AND($I662&lt;&gt;"",$J662&lt;&gt;"",$J662&lt;$I662),"★计费期间起止反了","OK")))))))</f>
        <v/>
      </c>
      <c r="U662" s="29" t="str">
        <f aca="false">IF($L662="","",YEAR($L662))</f>
        <v/>
      </c>
      <c r="V662" s="40" t="str">
        <f aca="false">IF($C662="","",ROUND(SUMIF(收款关联,$B662,收款金额),2))</f>
        <v/>
      </c>
      <c r="W662" s="40" t="str">
        <f aca="false">IF($C662="","",MAX(0,ROUND(N($K662)-N($V662),2)))</f>
        <v/>
      </c>
      <c r="X662" s="40" t="str">
        <f aca="false">IF($C662="","",ROUND(SUMIFS(应收净额,应收键,$D662,应收行号,"&lt;="&amp;ROW()),2))</f>
        <v/>
      </c>
      <c r="Y662" s="29" t="str">
        <f aca="false">IF($C662="","",ROW())</f>
        <v/>
      </c>
    </row>
    <row r="663" customFormat="false" ht="15" hidden="false" customHeight="false" outlineLevel="0" collapsed="false">
      <c r="A663" s="29" t="str">
        <f aca="false">IF($C663="","",ROW()-4)</f>
        <v/>
      </c>
      <c r="B663" s="35" t="str">
        <f aca="false">IF($C663="","","YS"&amp;TEXT($C663,"yyyymm")&amp;"-"&amp;TEXT(ROW()-4,"0000"))</f>
        <v/>
      </c>
      <c r="C663" s="33"/>
      <c r="D663" s="24"/>
      <c r="E663" s="30" t="str">
        <f aca="false">IF($D663="","",IFERROR(INDEX(合同单位,MATCH($D663,合同键,0)),IFERROR(TRIM(LEFT($D663,FIND("｜",$D663)-1)),$D663)))</f>
        <v/>
      </c>
      <c r="F663" s="30" t="str">
        <f aca="false">IF($D663="","",IFERROR(INDEX(合同项目,MATCH($D663,合同键,0)),IFERROR(TRIM(MID($D663,FIND("｜",$D663)+1,99)),"")))</f>
        <v/>
      </c>
      <c r="G663" s="24"/>
      <c r="H663" s="35" t="str">
        <f aca="false">IF($G663="","",IFERROR(INDEX(费用款别,MATCH($G663,费用类别表,0)),"合同外款"))</f>
        <v/>
      </c>
      <c r="I663" s="33"/>
      <c r="J663" s="33"/>
      <c r="K663" s="39"/>
      <c r="L663" s="33"/>
      <c r="M663" s="25"/>
      <c r="N663" s="39"/>
      <c r="O663" s="35" t="str">
        <f aca="false">IF($C663="","",IF(N($N663)&lt;=0,"未开票",IF(ROUND(N($N663)-N($K663),2)&gt;=0,"已开票",IFERROR("部分开票 "&amp;TEXT(N($N663)/N($K663),"0%"),"部分开票"))))</f>
        <v/>
      </c>
      <c r="P663" s="40" t="str">
        <f aca="false">IF($C663="","",ROUND($V663+MIN($W663,MAX(0,(SUMIF(收款键,$D663,收款金额)-SUMIFS(收款金额,收款键,$D663,收款关联,"&lt;&gt;"))-($X663-$W663))),2))</f>
        <v/>
      </c>
      <c r="Q663" s="41" t="str">
        <f aca="false">IF($C663="","",ROUND(N($K663)-N($P663),2))</f>
        <v/>
      </c>
      <c r="R663" s="29" t="str">
        <f aca="false">IF($C663="","",YEAR($C663))</f>
        <v/>
      </c>
      <c r="S663" s="24"/>
      <c r="T663" s="35" t="str">
        <f aca="false">IF($C663="","",IF($D663="","★没选客户项目",IF(COUNTIF(合同键,$D663)=0,"★《维保合同》里没这个项目",IF(N($K663)&lt;=0,"★应收金额要填",IF(ROUND(N($N663)-N($K663),2)&gt;0.001,"★开票金额大于应收",IF(AND($L663&lt;&gt;"",N($N663)&lt;=0),"★填了开票日期没填开票金额",IF(AND($I663&lt;&gt;"",$J663&lt;&gt;"",$J663&lt;$I663),"★计费期间起止反了","OK")))))))</f>
        <v/>
      </c>
      <c r="U663" s="29" t="str">
        <f aca="false">IF($L663="","",YEAR($L663))</f>
        <v/>
      </c>
      <c r="V663" s="40" t="str">
        <f aca="false">IF($C663="","",ROUND(SUMIF(收款关联,$B663,收款金额),2))</f>
        <v/>
      </c>
      <c r="W663" s="40" t="str">
        <f aca="false">IF($C663="","",MAX(0,ROUND(N($K663)-N($V663),2)))</f>
        <v/>
      </c>
      <c r="X663" s="40" t="str">
        <f aca="false">IF($C663="","",ROUND(SUMIFS(应收净额,应收键,$D663,应收行号,"&lt;="&amp;ROW()),2))</f>
        <v/>
      </c>
      <c r="Y663" s="29" t="str">
        <f aca="false">IF($C663="","",ROW())</f>
        <v/>
      </c>
    </row>
    <row r="664" customFormat="false" ht="15" hidden="false" customHeight="false" outlineLevel="0" collapsed="false">
      <c r="A664" s="29" t="str">
        <f aca="false">IF($C664="","",ROW()-4)</f>
        <v/>
      </c>
      <c r="B664" s="35" t="str">
        <f aca="false">IF($C664="","","YS"&amp;TEXT($C664,"yyyymm")&amp;"-"&amp;TEXT(ROW()-4,"0000"))</f>
        <v/>
      </c>
      <c r="C664" s="33"/>
      <c r="D664" s="24"/>
      <c r="E664" s="30" t="str">
        <f aca="false">IF($D664="","",IFERROR(INDEX(合同单位,MATCH($D664,合同键,0)),IFERROR(TRIM(LEFT($D664,FIND("｜",$D664)-1)),$D664)))</f>
        <v/>
      </c>
      <c r="F664" s="30" t="str">
        <f aca="false">IF($D664="","",IFERROR(INDEX(合同项目,MATCH($D664,合同键,0)),IFERROR(TRIM(MID($D664,FIND("｜",$D664)+1,99)),"")))</f>
        <v/>
      </c>
      <c r="G664" s="24"/>
      <c r="H664" s="35" t="str">
        <f aca="false">IF($G664="","",IFERROR(INDEX(费用款别,MATCH($G664,费用类别表,0)),"合同外款"))</f>
        <v/>
      </c>
      <c r="I664" s="33"/>
      <c r="J664" s="33"/>
      <c r="K664" s="39"/>
      <c r="L664" s="33"/>
      <c r="M664" s="25"/>
      <c r="N664" s="39"/>
      <c r="O664" s="35" t="str">
        <f aca="false">IF($C664="","",IF(N($N664)&lt;=0,"未开票",IF(ROUND(N($N664)-N($K664),2)&gt;=0,"已开票",IFERROR("部分开票 "&amp;TEXT(N($N664)/N($K664),"0%"),"部分开票"))))</f>
        <v/>
      </c>
      <c r="P664" s="40" t="str">
        <f aca="false">IF($C664="","",ROUND($V664+MIN($W664,MAX(0,(SUMIF(收款键,$D664,收款金额)-SUMIFS(收款金额,收款键,$D664,收款关联,"&lt;&gt;"))-($X664-$W664))),2))</f>
        <v/>
      </c>
      <c r="Q664" s="41" t="str">
        <f aca="false">IF($C664="","",ROUND(N($K664)-N($P664),2))</f>
        <v/>
      </c>
      <c r="R664" s="29" t="str">
        <f aca="false">IF($C664="","",YEAR($C664))</f>
        <v/>
      </c>
      <c r="S664" s="24"/>
      <c r="T664" s="35" t="str">
        <f aca="false">IF($C664="","",IF($D664="","★没选客户项目",IF(COUNTIF(合同键,$D664)=0,"★《维保合同》里没这个项目",IF(N($K664)&lt;=0,"★应收金额要填",IF(ROUND(N($N664)-N($K664),2)&gt;0.001,"★开票金额大于应收",IF(AND($L664&lt;&gt;"",N($N664)&lt;=0),"★填了开票日期没填开票金额",IF(AND($I664&lt;&gt;"",$J664&lt;&gt;"",$J664&lt;$I664),"★计费期间起止反了","OK")))))))</f>
        <v/>
      </c>
      <c r="U664" s="29" t="str">
        <f aca="false">IF($L664="","",YEAR($L664))</f>
        <v/>
      </c>
      <c r="V664" s="40" t="str">
        <f aca="false">IF($C664="","",ROUND(SUMIF(收款关联,$B664,收款金额),2))</f>
        <v/>
      </c>
      <c r="W664" s="40" t="str">
        <f aca="false">IF($C664="","",MAX(0,ROUND(N($K664)-N($V664),2)))</f>
        <v/>
      </c>
      <c r="X664" s="40" t="str">
        <f aca="false">IF($C664="","",ROUND(SUMIFS(应收净额,应收键,$D664,应收行号,"&lt;="&amp;ROW()),2))</f>
        <v/>
      </c>
      <c r="Y664" s="29" t="str">
        <f aca="false">IF($C664="","",ROW())</f>
        <v/>
      </c>
    </row>
    <row r="665" customFormat="false" ht="15" hidden="false" customHeight="false" outlineLevel="0" collapsed="false">
      <c r="A665" s="29" t="str">
        <f aca="false">IF($C665="","",ROW()-4)</f>
        <v/>
      </c>
      <c r="B665" s="35" t="str">
        <f aca="false">IF($C665="","","YS"&amp;TEXT($C665,"yyyymm")&amp;"-"&amp;TEXT(ROW()-4,"0000"))</f>
        <v/>
      </c>
      <c r="C665" s="33"/>
      <c r="D665" s="24"/>
      <c r="E665" s="30" t="str">
        <f aca="false">IF($D665="","",IFERROR(INDEX(合同单位,MATCH($D665,合同键,0)),IFERROR(TRIM(LEFT($D665,FIND("｜",$D665)-1)),$D665)))</f>
        <v/>
      </c>
      <c r="F665" s="30" t="str">
        <f aca="false">IF($D665="","",IFERROR(INDEX(合同项目,MATCH($D665,合同键,0)),IFERROR(TRIM(MID($D665,FIND("｜",$D665)+1,99)),"")))</f>
        <v/>
      </c>
      <c r="G665" s="24"/>
      <c r="H665" s="35" t="str">
        <f aca="false">IF($G665="","",IFERROR(INDEX(费用款别,MATCH($G665,费用类别表,0)),"合同外款"))</f>
        <v/>
      </c>
      <c r="I665" s="33"/>
      <c r="J665" s="33"/>
      <c r="K665" s="39"/>
      <c r="L665" s="33"/>
      <c r="M665" s="25"/>
      <c r="N665" s="39"/>
      <c r="O665" s="35" t="str">
        <f aca="false">IF($C665="","",IF(N($N665)&lt;=0,"未开票",IF(ROUND(N($N665)-N($K665),2)&gt;=0,"已开票",IFERROR("部分开票 "&amp;TEXT(N($N665)/N($K665),"0%"),"部分开票"))))</f>
        <v/>
      </c>
      <c r="P665" s="40" t="str">
        <f aca="false">IF($C665="","",ROUND($V665+MIN($W665,MAX(0,(SUMIF(收款键,$D665,收款金额)-SUMIFS(收款金额,收款键,$D665,收款关联,"&lt;&gt;"))-($X665-$W665))),2))</f>
        <v/>
      </c>
      <c r="Q665" s="41" t="str">
        <f aca="false">IF($C665="","",ROUND(N($K665)-N($P665),2))</f>
        <v/>
      </c>
      <c r="R665" s="29" t="str">
        <f aca="false">IF($C665="","",YEAR($C665))</f>
        <v/>
      </c>
      <c r="S665" s="24"/>
      <c r="T665" s="35" t="str">
        <f aca="false">IF($C665="","",IF($D665="","★没选客户项目",IF(COUNTIF(合同键,$D665)=0,"★《维保合同》里没这个项目",IF(N($K665)&lt;=0,"★应收金额要填",IF(ROUND(N($N665)-N($K665),2)&gt;0.001,"★开票金额大于应收",IF(AND($L665&lt;&gt;"",N($N665)&lt;=0),"★填了开票日期没填开票金额",IF(AND($I665&lt;&gt;"",$J665&lt;&gt;"",$J665&lt;$I665),"★计费期间起止反了","OK")))))))</f>
        <v/>
      </c>
      <c r="U665" s="29" t="str">
        <f aca="false">IF($L665="","",YEAR($L665))</f>
        <v/>
      </c>
      <c r="V665" s="40" t="str">
        <f aca="false">IF($C665="","",ROUND(SUMIF(收款关联,$B665,收款金额),2))</f>
        <v/>
      </c>
      <c r="W665" s="40" t="str">
        <f aca="false">IF($C665="","",MAX(0,ROUND(N($K665)-N($V665),2)))</f>
        <v/>
      </c>
      <c r="X665" s="40" t="str">
        <f aca="false">IF($C665="","",ROUND(SUMIFS(应收净额,应收键,$D665,应收行号,"&lt;="&amp;ROW()),2))</f>
        <v/>
      </c>
      <c r="Y665" s="29" t="str">
        <f aca="false">IF($C665="","",ROW())</f>
        <v/>
      </c>
    </row>
    <row r="666" customFormat="false" ht="15" hidden="false" customHeight="false" outlineLevel="0" collapsed="false">
      <c r="A666" s="29" t="str">
        <f aca="false">IF($C666="","",ROW()-4)</f>
        <v/>
      </c>
      <c r="B666" s="35" t="str">
        <f aca="false">IF($C666="","","YS"&amp;TEXT($C666,"yyyymm")&amp;"-"&amp;TEXT(ROW()-4,"0000"))</f>
        <v/>
      </c>
      <c r="C666" s="33"/>
      <c r="D666" s="24"/>
      <c r="E666" s="30" t="str">
        <f aca="false">IF($D666="","",IFERROR(INDEX(合同单位,MATCH($D666,合同键,0)),IFERROR(TRIM(LEFT($D666,FIND("｜",$D666)-1)),$D666)))</f>
        <v/>
      </c>
      <c r="F666" s="30" t="str">
        <f aca="false">IF($D666="","",IFERROR(INDEX(合同项目,MATCH($D666,合同键,0)),IFERROR(TRIM(MID($D666,FIND("｜",$D666)+1,99)),"")))</f>
        <v/>
      </c>
      <c r="G666" s="24"/>
      <c r="H666" s="35" t="str">
        <f aca="false">IF($G666="","",IFERROR(INDEX(费用款别,MATCH($G666,费用类别表,0)),"合同外款"))</f>
        <v/>
      </c>
      <c r="I666" s="33"/>
      <c r="J666" s="33"/>
      <c r="K666" s="39"/>
      <c r="L666" s="33"/>
      <c r="M666" s="25"/>
      <c r="N666" s="39"/>
      <c r="O666" s="35" t="str">
        <f aca="false">IF($C666="","",IF(N($N666)&lt;=0,"未开票",IF(ROUND(N($N666)-N($K666),2)&gt;=0,"已开票",IFERROR("部分开票 "&amp;TEXT(N($N666)/N($K666),"0%"),"部分开票"))))</f>
        <v/>
      </c>
      <c r="P666" s="40" t="str">
        <f aca="false">IF($C666="","",ROUND($V666+MIN($W666,MAX(0,(SUMIF(收款键,$D666,收款金额)-SUMIFS(收款金额,收款键,$D666,收款关联,"&lt;&gt;"))-($X666-$W666))),2))</f>
        <v/>
      </c>
      <c r="Q666" s="41" t="str">
        <f aca="false">IF($C666="","",ROUND(N($K666)-N($P666),2))</f>
        <v/>
      </c>
      <c r="R666" s="29" t="str">
        <f aca="false">IF($C666="","",YEAR($C666))</f>
        <v/>
      </c>
      <c r="S666" s="24"/>
      <c r="T666" s="35" t="str">
        <f aca="false">IF($C666="","",IF($D666="","★没选客户项目",IF(COUNTIF(合同键,$D666)=0,"★《维保合同》里没这个项目",IF(N($K666)&lt;=0,"★应收金额要填",IF(ROUND(N($N666)-N($K666),2)&gt;0.001,"★开票金额大于应收",IF(AND($L666&lt;&gt;"",N($N666)&lt;=0),"★填了开票日期没填开票金额",IF(AND($I666&lt;&gt;"",$J666&lt;&gt;"",$J666&lt;$I666),"★计费期间起止反了","OK")))))))</f>
        <v/>
      </c>
      <c r="U666" s="29" t="str">
        <f aca="false">IF($L666="","",YEAR($L666))</f>
        <v/>
      </c>
      <c r="V666" s="40" t="str">
        <f aca="false">IF($C666="","",ROUND(SUMIF(收款关联,$B666,收款金额),2))</f>
        <v/>
      </c>
      <c r="W666" s="40" t="str">
        <f aca="false">IF($C666="","",MAX(0,ROUND(N($K666)-N($V666),2)))</f>
        <v/>
      </c>
      <c r="X666" s="40" t="str">
        <f aca="false">IF($C666="","",ROUND(SUMIFS(应收净额,应收键,$D666,应收行号,"&lt;="&amp;ROW()),2))</f>
        <v/>
      </c>
      <c r="Y666" s="29" t="str">
        <f aca="false">IF($C666="","",ROW())</f>
        <v/>
      </c>
    </row>
    <row r="667" customFormat="false" ht="15" hidden="false" customHeight="false" outlineLevel="0" collapsed="false">
      <c r="A667" s="29" t="str">
        <f aca="false">IF($C667="","",ROW()-4)</f>
        <v/>
      </c>
      <c r="B667" s="35" t="str">
        <f aca="false">IF($C667="","","YS"&amp;TEXT($C667,"yyyymm")&amp;"-"&amp;TEXT(ROW()-4,"0000"))</f>
        <v/>
      </c>
      <c r="C667" s="33"/>
      <c r="D667" s="24"/>
      <c r="E667" s="30" t="str">
        <f aca="false">IF($D667="","",IFERROR(INDEX(合同单位,MATCH($D667,合同键,0)),IFERROR(TRIM(LEFT($D667,FIND("｜",$D667)-1)),$D667)))</f>
        <v/>
      </c>
      <c r="F667" s="30" t="str">
        <f aca="false">IF($D667="","",IFERROR(INDEX(合同项目,MATCH($D667,合同键,0)),IFERROR(TRIM(MID($D667,FIND("｜",$D667)+1,99)),"")))</f>
        <v/>
      </c>
      <c r="G667" s="24"/>
      <c r="H667" s="35" t="str">
        <f aca="false">IF($G667="","",IFERROR(INDEX(费用款别,MATCH($G667,费用类别表,0)),"合同外款"))</f>
        <v/>
      </c>
      <c r="I667" s="33"/>
      <c r="J667" s="33"/>
      <c r="K667" s="39"/>
      <c r="L667" s="33"/>
      <c r="M667" s="25"/>
      <c r="N667" s="39"/>
      <c r="O667" s="35" t="str">
        <f aca="false">IF($C667="","",IF(N($N667)&lt;=0,"未开票",IF(ROUND(N($N667)-N($K667),2)&gt;=0,"已开票",IFERROR("部分开票 "&amp;TEXT(N($N667)/N($K667),"0%"),"部分开票"))))</f>
        <v/>
      </c>
      <c r="P667" s="40" t="str">
        <f aca="false">IF($C667="","",ROUND($V667+MIN($W667,MAX(0,(SUMIF(收款键,$D667,收款金额)-SUMIFS(收款金额,收款键,$D667,收款关联,"&lt;&gt;"))-($X667-$W667))),2))</f>
        <v/>
      </c>
      <c r="Q667" s="41" t="str">
        <f aca="false">IF($C667="","",ROUND(N($K667)-N($P667),2))</f>
        <v/>
      </c>
      <c r="R667" s="29" t="str">
        <f aca="false">IF($C667="","",YEAR($C667))</f>
        <v/>
      </c>
      <c r="S667" s="24"/>
      <c r="T667" s="35" t="str">
        <f aca="false">IF($C667="","",IF($D667="","★没选客户项目",IF(COUNTIF(合同键,$D667)=0,"★《维保合同》里没这个项目",IF(N($K667)&lt;=0,"★应收金额要填",IF(ROUND(N($N667)-N($K667),2)&gt;0.001,"★开票金额大于应收",IF(AND($L667&lt;&gt;"",N($N667)&lt;=0),"★填了开票日期没填开票金额",IF(AND($I667&lt;&gt;"",$J667&lt;&gt;"",$J667&lt;$I667),"★计费期间起止反了","OK")))))))</f>
        <v/>
      </c>
      <c r="U667" s="29" t="str">
        <f aca="false">IF($L667="","",YEAR($L667))</f>
        <v/>
      </c>
      <c r="V667" s="40" t="str">
        <f aca="false">IF($C667="","",ROUND(SUMIF(收款关联,$B667,收款金额),2))</f>
        <v/>
      </c>
      <c r="W667" s="40" t="str">
        <f aca="false">IF($C667="","",MAX(0,ROUND(N($K667)-N($V667),2)))</f>
        <v/>
      </c>
      <c r="X667" s="40" t="str">
        <f aca="false">IF($C667="","",ROUND(SUMIFS(应收净额,应收键,$D667,应收行号,"&lt;="&amp;ROW()),2))</f>
        <v/>
      </c>
      <c r="Y667" s="29" t="str">
        <f aca="false">IF($C667="","",ROW())</f>
        <v/>
      </c>
    </row>
    <row r="668" customFormat="false" ht="15" hidden="false" customHeight="false" outlineLevel="0" collapsed="false">
      <c r="A668" s="29" t="str">
        <f aca="false">IF($C668="","",ROW()-4)</f>
        <v/>
      </c>
      <c r="B668" s="35" t="str">
        <f aca="false">IF($C668="","","YS"&amp;TEXT($C668,"yyyymm")&amp;"-"&amp;TEXT(ROW()-4,"0000"))</f>
        <v/>
      </c>
      <c r="C668" s="33"/>
      <c r="D668" s="24"/>
      <c r="E668" s="30" t="str">
        <f aca="false">IF($D668="","",IFERROR(INDEX(合同单位,MATCH($D668,合同键,0)),IFERROR(TRIM(LEFT($D668,FIND("｜",$D668)-1)),$D668)))</f>
        <v/>
      </c>
      <c r="F668" s="30" t="str">
        <f aca="false">IF($D668="","",IFERROR(INDEX(合同项目,MATCH($D668,合同键,0)),IFERROR(TRIM(MID($D668,FIND("｜",$D668)+1,99)),"")))</f>
        <v/>
      </c>
      <c r="G668" s="24"/>
      <c r="H668" s="35" t="str">
        <f aca="false">IF($G668="","",IFERROR(INDEX(费用款别,MATCH($G668,费用类别表,0)),"合同外款"))</f>
        <v/>
      </c>
      <c r="I668" s="33"/>
      <c r="J668" s="33"/>
      <c r="K668" s="39"/>
      <c r="L668" s="33"/>
      <c r="M668" s="25"/>
      <c r="N668" s="39"/>
      <c r="O668" s="35" t="str">
        <f aca="false">IF($C668="","",IF(N($N668)&lt;=0,"未开票",IF(ROUND(N($N668)-N($K668),2)&gt;=0,"已开票",IFERROR("部分开票 "&amp;TEXT(N($N668)/N($K668),"0%"),"部分开票"))))</f>
        <v/>
      </c>
      <c r="P668" s="40" t="str">
        <f aca="false">IF($C668="","",ROUND($V668+MIN($W668,MAX(0,(SUMIF(收款键,$D668,收款金额)-SUMIFS(收款金额,收款键,$D668,收款关联,"&lt;&gt;"))-($X668-$W668))),2))</f>
        <v/>
      </c>
      <c r="Q668" s="41" t="str">
        <f aca="false">IF($C668="","",ROUND(N($K668)-N($P668),2))</f>
        <v/>
      </c>
      <c r="R668" s="29" t="str">
        <f aca="false">IF($C668="","",YEAR($C668))</f>
        <v/>
      </c>
      <c r="S668" s="24"/>
      <c r="T668" s="35" t="str">
        <f aca="false">IF($C668="","",IF($D668="","★没选客户项目",IF(COUNTIF(合同键,$D668)=0,"★《维保合同》里没这个项目",IF(N($K668)&lt;=0,"★应收金额要填",IF(ROUND(N($N668)-N($K668),2)&gt;0.001,"★开票金额大于应收",IF(AND($L668&lt;&gt;"",N($N668)&lt;=0),"★填了开票日期没填开票金额",IF(AND($I668&lt;&gt;"",$J668&lt;&gt;"",$J668&lt;$I668),"★计费期间起止反了","OK")))))))</f>
        <v/>
      </c>
      <c r="U668" s="29" t="str">
        <f aca="false">IF($L668="","",YEAR($L668))</f>
        <v/>
      </c>
      <c r="V668" s="40" t="str">
        <f aca="false">IF($C668="","",ROUND(SUMIF(收款关联,$B668,收款金额),2))</f>
        <v/>
      </c>
      <c r="W668" s="40" t="str">
        <f aca="false">IF($C668="","",MAX(0,ROUND(N($K668)-N($V668),2)))</f>
        <v/>
      </c>
      <c r="X668" s="40" t="str">
        <f aca="false">IF($C668="","",ROUND(SUMIFS(应收净额,应收键,$D668,应收行号,"&lt;="&amp;ROW()),2))</f>
        <v/>
      </c>
      <c r="Y668" s="29" t="str">
        <f aca="false">IF($C668="","",ROW())</f>
        <v/>
      </c>
    </row>
    <row r="669" customFormat="false" ht="15" hidden="false" customHeight="false" outlineLevel="0" collapsed="false">
      <c r="A669" s="29" t="str">
        <f aca="false">IF($C669="","",ROW()-4)</f>
        <v/>
      </c>
      <c r="B669" s="35" t="str">
        <f aca="false">IF($C669="","","YS"&amp;TEXT($C669,"yyyymm")&amp;"-"&amp;TEXT(ROW()-4,"0000"))</f>
        <v/>
      </c>
      <c r="C669" s="33"/>
      <c r="D669" s="24"/>
      <c r="E669" s="30" t="str">
        <f aca="false">IF($D669="","",IFERROR(INDEX(合同单位,MATCH($D669,合同键,0)),IFERROR(TRIM(LEFT($D669,FIND("｜",$D669)-1)),$D669)))</f>
        <v/>
      </c>
      <c r="F669" s="30" t="str">
        <f aca="false">IF($D669="","",IFERROR(INDEX(合同项目,MATCH($D669,合同键,0)),IFERROR(TRIM(MID($D669,FIND("｜",$D669)+1,99)),"")))</f>
        <v/>
      </c>
      <c r="G669" s="24"/>
      <c r="H669" s="35" t="str">
        <f aca="false">IF($G669="","",IFERROR(INDEX(费用款别,MATCH($G669,费用类别表,0)),"合同外款"))</f>
        <v/>
      </c>
      <c r="I669" s="33"/>
      <c r="J669" s="33"/>
      <c r="K669" s="39"/>
      <c r="L669" s="33"/>
      <c r="M669" s="25"/>
      <c r="N669" s="39"/>
      <c r="O669" s="35" t="str">
        <f aca="false">IF($C669="","",IF(N($N669)&lt;=0,"未开票",IF(ROUND(N($N669)-N($K669),2)&gt;=0,"已开票",IFERROR("部分开票 "&amp;TEXT(N($N669)/N($K669),"0%"),"部分开票"))))</f>
        <v/>
      </c>
      <c r="P669" s="40" t="str">
        <f aca="false">IF($C669="","",ROUND($V669+MIN($W669,MAX(0,(SUMIF(收款键,$D669,收款金额)-SUMIFS(收款金额,收款键,$D669,收款关联,"&lt;&gt;"))-($X669-$W669))),2))</f>
        <v/>
      </c>
      <c r="Q669" s="41" t="str">
        <f aca="false">IF($C669="","",ROUND(N($K669)-N($P669),2))</f>
        <v/>
      </c>
      <c r="R669" s="29" t="str">
        <f aca="false">IF($C669="","",YEAR($C669))</f>
        <v/>
      </c>
      <c r="S669" s="24"/>
      <c r="T669" s="35" t="str">
        <f aca="false">IF($C669="","",IF($D669="","★没选客户项目",IF(COUNTIF(合同键,$D669)=0,"★《维保合同》里没这个项目",IF(N($K669)&lt;=0,"★应收金额要填",IF(ROUND(N($N669)-N($K669),2)&gt;0.001,"★开票金额大于应收",IF(AND($L669&lt;&gt;"",N($N669)&lt;=0),"★填了开票日期没填开票金额",IF(AND($I669&lt;&gt;"",$J669&lt;&gt;"",$J669&lt;$I669),"★计费期间起止反了","OK")))))))</f>
        <v/>
      </c>
      <c r="U669" s="29" t="str">
        <f aca="false">IF($L669="","",YEAR($L669))</f>
        <v/>
      </c>
      <c r="V669" s="40" t="str">
        <f aca="false">IF($C669="","",ROUND(SUMIF(收款关联,$B669,收款金额),2))</f>
        <v/>
      </c>
      <c r="W669" s="40" t="str">
        <f aca="false">IF($C669="","",MAX(0,ROUND(N($K669)-N($V669),2)))</f>
        <v/>
      </c>
      <c r="X669" s="40" t="str">
        <f aca="false">IF($C669="","",ROUND(SUMIFS(应收净额,应收键,$D669,应收行号,"&lt;="&amp;ROW()),2))</f>
        <v/>
      </c>
      <c r="Y669" s="29" t="str">
        <f aca="false">IF($C669="","",ROW())</f>
        <v/>
      </c>
    </row>
    <row r="670" customFormat="false" ht="15" hidden="false" customHeight="false" outlineLevel="0" collapsed="false">
      <c r="A670" s="29" t="str">
        <f aca="false">IF($C670="","",ROW()-4)</f>
        <v/>
      </c>
      <c r="B670" s="35" t="str">
        <f aca="false">IF($C670="","","YS"&amp;TEXT($C670,"yyyymm")&amp;"-"&amp;TEXT(ROW()-4,"0000"))</f>
        <v/>
      </c>
      <c r="C670" s="33"/>
      <c r="D670" s="24"/>
      <c r="E670" s="30" t="str">
        <f aca="false">IF($D670="","",IFERROR(INDEX(合同单位,MATCH($D670,合同键,0)),IFERROR(TRIM(LEFT($D670,FIND("｜",$D670)-1)),$D670)))</f>
        <v/>
      </c>
      <c r="F670" s="30" t="str">
        <f aca="false">IF($D670="","",IFERROR(INDEX(合同项目,MATCH($D670,合同键,0)),IFERROR(TRIM(MID($D670,FIND("｜",$D670)+1,99)),"")))</f>
        <v/>
      </c>
      <c r="G670" s="24"/>
      <c r="H670" s="35" t="str">
        <f aca="false">IF($G670="","",IFERROR(INDEX(费用款别,MATCH($G670,费用类别表,0)),"合同外款"))</f>
        <v/>
      </c>
      <c r="I670" s="33"/>
      <c r="J670" s="33"/>
      <c r="K670" s="39"/>
      <c r="L670" s="33"/>
      <c r="M670" s="25"/>
      <c r="N670" s="39"/>
      <c r="O670" s="35" t="str">
        <f aca="false">IF($C670="","",IF(N($N670)&lt;=0,"未开票",IF(ROUND(N($N670)-N($K670),2)&gt;=0,"已开票",IFERROR("部分开票 "&amp;TEXT(N($N670)/N($K670),"0%"),"部分开票"))))</f>
        <v/>
      </c>
      <c r="P670" s="40" t="str">
        <f aca="false">IF($C670="","",ROUND($V670+MIN($W670,MAX(0,(SUMIF(收款键,$D670,收款金额)-SUMIFS(收款金额,收款键,$D670,收款关联,"&lt;&gt;"))-($X670-$W670))),2))</f>
        <v/>
      </c>
      <c r="Q670" s="41" t="str">
        <f aca="false">IF($C670="","",ROUND(N($K670)-N($P670),2))</f>
        <v/>
      </c>
      <c r="R670" s="29" t="str">
        <f aca="false">IF($C670="","",YEAR($C670))</f>
        <v/>
      </c>
      <c r="S670" s="24"/>
      <c r="T670" s="35" t="str">
        <f aca="false">IF($C670="","",IF($D670="","★没选客户项目",IF(COUNTIF(合同键,$D670)=0,"★《维保合同》里没这个项目",IF(N($K670)&lt;=0,"★应收金额要填",IF(ROUND(N($N670)-N($K670),2)&gt;0.001,"★开票金额大于应收",IF(AND($L670&lt;&gt;"",N($N670)&lt;=0),"★填了开票日期没填开票金额",IF(AND($I670&lt;&gt;"",$J670&lt;&gt;"",$J670&lt;$I670),"★计费期间起止反了","OK")))))))</f>
        <v/>
      </c>
      <c r="U670" s="29" t="str">
        <f aca="false">IF($L670="","",YEAR($L670))</f>
        <v/>
      </c>
      <c r="V670" s="40" t="str">
        <f aca="false">IF($C670="","",ROUND(SUMIF(收款关联,$B670,收款金额),2))</f>
        <v/>
      </c>
      <c r="W670" s="40" t="str">
        <f aca="false">IF($C670="","",MAX(0,ROUND(N($K670)-N($V670),2)))</f>
        <v/>
      </c>
      <c r="X670" s="40" t="str">
        <f aca="false">IF($C670="","",ROUND(SUMIFS(应收净额,应收键,$D670,应收行号,"&lt;="&amp;ROW()),2))</f>
        <v/>
      </c>
      <c r="Y670" s="29" t="str">
        <f aca="false">IF($C670="","",ROW())</f>
        <v/>
      </c>
    </row>
    <row r="671" customFormat="false" ht="15" hidden="false" customHeight="false" outlineLevel="0" collapsed="false">
      <c r="A671" s="29" t="str">
        <f aca="false">IF($C671="","",ROW()-4)</f>
        <v/>
      </c>
      <c r="B671" s="35" t="str">
        <f aca="false">IF($C671="","","YS"&amp;TEXT($C671,"yyyymm")&amp;"-"&amp;TEXT(ROW()-4,"0000"))</f>
        <v/>
      </c>
      <c r="C671" s="33"/>
      <c r="D671" s="24"/>
      <c r="E671" s="30" t="str">
        <f aca="false">IF($D671="","",IFERROR(INDEX(合同单位,MATCH($D671,合同键,0)),IFERROR(TRIM(LEFT($D671,FIND("｜",$D671)-1)),$D671)))</f>
        <v/>
      </c>
      <c r="F671" s="30" t="str">
        <f aca="false">IF($D671="","",IFERROR(INDEX(合同项目,MATCH($D671,合同键,0)),IFERROR(TRIM(MID($D671,FIND("｜",$D671)+1,99)),"")))</f>
        <v/>
      </c>
      <c r="G671" s="24"/>
      <c r="H671" s="35" t="str">
        <f aca="false">IF($G671="","",IFERROR(INDEX(费用款别,MATCH($G671,费用类别表,0)),"合同外款"))</f>
        <v/>
      </c>
      <c r="I671" s="33"/>
      <c r="J671" s="33"/>
      <c r="K671" s="39"/>
      <c r="L671" s="33"/>
      <c r="M671" s="25"/>
      <c r="N671" s="39"/>
      <c r="O671" s="35" t="str">
        <f aca="false">IF($C671="","",IF(N($N671)&lt;=0,"未开票",IF(ROUND(N($N671)-N($K671),2)&gt;=0,"已开票",IFERROR("部分开票 "&amp;TEXT(N($N671)/N($K671),"0%"),"部分开票"))))</f>
        <v/>
      </c>
      <c r="P671" s="40" t="str">
        <f aca="false">IF($C671="","",ROUND($V671+MIN($W671,MAX(0,(SUMIF(收款键,$D671,收款金额)-SUMIFS(收款金额,收款键,$D671,收款关联,"&lt;&gt;"))-($X671-$W671))),2))</f>
        <v/>
      </c>
      <c r="Q671" s="41" t="str">
        <f aca="false">IF($C671="","",ROUND(N($K671)-N($P671),2))</f>
        <v/>
      </c>
      <c r="R671" s="29" t="str">
        <f aca="false">IF($C671="","",YEAR($C671))</f>
        <v/>
      </c>
      <c r="S671" s="24"/>
      <c r="T671" s="35" t="str">
        <f aca="false">IF($C671="","",IF($D671="","★没选客户项目",IF(COUNTIF(合同键,$D671)=0,"★《维保合同》里没这个项目",IF(N($K671)&lt;=0,"★应收金额要填",IF(ROUND(N($N671)-N($K671),2)&gt;0.001,"★开票金额大于应收",IF(AND($L671&lt;&gt;"",N($N671)&lt;=0),"★填了开票日期没填开票金额",IF(AND($I671&lt;&gt;"",$J671&lt;&gt;"",$J671&lt;$I671),"★计费期间起止反了","OK")))))))</f>
        <v/>
      </c>
      <c r="U671" s="29" t="str">
        <f aca="false">IF($L671="","",YEAR($L671))</f>
        <v/>
      </c>
      <c r="V671" s="40" t="str">
        <f aca="false">IF($C671="","",ROUND(SUMIF(收款关联,$B671,收款金额),2))</f>
        <v/>
      </c>
      <c r="W671" s="40" t="str">
        <f aca="false">IF($C671="","",MAX(0,ROUND(N($K671)-N($V671),2)))</f>
        <v/>
      </c>
      <c r="X671" s="40" t="str">
        <f aca="false">IF($C671="","",ROUND(SUMIFS(应收净额,应收键,$D671,应收行号,"&lt;="&amp;ROW()),2))</f>
        <v/>
      </c>
      <c r="Y671" s="29" t="str">
        <f aca="false">IF($C671="","",ROW())</f>
        <v/>
      </c>
    </row>
    <row r="672" customFormat="false" ht="15" hidden="false" customHeight="false" outlineLevel="0" collapsed="false">
      <c r="A672" s="29" t="str">
        <f aca="false">IF($C672="","",ROW()-4)</f>
        <v/>
      </c>
      <c r="B672" s="35" t="str">
        <f aca="false">IF($C672="","","YS"&amp;TEXT($C672,"yyyymm")&amp;"-"&amp;TEXT(ROW()-4,"0000"))</f>
        <v/>
      </c>
      <c r="C672" s="33"/>
      <c r="D672" s="24"/>
      <c r="E672" s="30" t="str">
        <f aca="false">IF($D672="","",IFERROR(INDEX(合同单位,MATCH($D672,合同键,0)),IFERROR(TRIM(LEFT($D672,FIND("｜",$D672)-1)),$D672)))</f>
        <v/>
      </c>
      <c r="F672" s="30" t="str">
        <f aca="false">IF($D672="","",IFERROR(INDEX(合同项目,MATCH($D672,合同键,0)),IFERROR(TRIM(MID($D672,FIND("｜",$D672)+1,99)),"")))</f>
        <v/>
      </c>
      <c r="G672" s="24"/>
      <c r="H672" s="35" t="str">
        <f aca="false">IF($G672="","",IFERROR(INDEX(费用款别,MATCH($G672,费用类别表,0)),"合同外款"))</f>
        <v/>
      </c>
      <c r="I672" s="33"/>
      <c r="J672" s="33"/>
      <c r="K672" s="39"/>
      <c r="L672" s="33"/>
      <c r="M672" s="25"/>
      <c r="N672" s="39"/>
      <c r="O672" s="35" t="str">
        <f aca="false">IF($C672="","",IF(N($N672)&lt;=0,"未开票",IF(ROUND(N($N672)-N($K672),2)&gt;=0,"已开票",IFERROR("部分开票 "&amp;TEXT(N($N672)/N($K672),"0%"),"部分开票"))))</f>
        <v/>
      </c>
      <c r="P672" s="40" t="str">
        <f aca="false">IF($C672="","",ROUND($V672+MIN($W672,MAX(0,(SUMIF(收款键,$D672,收款金额)-SUMIFS(收款金额,收款键,$D672,收款关联,"&lt;&gt;"))-($X672-$W672))),2))</f>
        <v/>
      </c>
      <c r="Q672" s="41" t="str">
        <f aca="false">IF($C672="","",ROUND(N($K672)-N($P672),2))</f>
        <v/>
      </c>
      <c r="R672" s="29" t="str">
        <f aca="false">IF($C672="","",YEAR($C672))</f>
        <v/>
      </c>
      <c r="S672" s="24"/>
      <c r="T672" s="35" t="str">
        <f aca="false">IF($C672="","",IF($D672="","★没选客户项目",IF(COUNTIF(合同键,$D672)=0,"★《维保合同》里没这个项目",IF(N($K672)&lt;=0,"★应收金额要填",IF(ROUND(N($N672)-N($K672),2)&gt;0.001,"★开票金额大于应收",IF(AND($L672&lt;&gt;"",N($N672)&lt;=0),"★填了开票日期没填开票金额",IF(AND($I672&lt;&gt;"",$J672&lt;&gt;"",$J672&lt;$I672),"★计费期间起止反了","OK")))))))</f>
        <v/>
      </c>
      <c r="U672" s="29" t="str">
        <f aca="false">IF($L672="","",YEAR($L672))</f>
        <v/>
      </c>
      <c r="V672" s="40" t="str">
        <f aca="false">IF($C672="","",ROUND(SUMIF(收款关联,$B672,收款金额),2))</f>
        <v/>
      </c>
      <c r="W672" s="40" t="str">
        <f aca="false">IF($C672="","",MAX(0,ROUND(N($K672)-N($V672),2)))</f>
        <v/>
      </c>
      <c r="X672" s="40" t="str">
        <f aca="false">IF($C672="","",ROUND(SUMIFS(应收净额,应收键,$D672,应收行号,"&lt;="&amp;ROW()),2))</f>
        <v/>
      </c>
      <c r="Y672" s="29" t="str">
        <f aca="false">IF($C672="","",ROW())</f>
        <v/>
      </c>
    </row>
    <row r="673" customFormat="false" ht="15" hidden="false" customHeight="false" outlineLevel="0" collapsed="false">
      <c r="A673" s="29" t="str">
        <f aca="false">IF($C673="","",ROW()-4)</f>
        <v/>
      </c>
      <c r="B673" s="35" t="str">
        <f aca="false">IF($C673="","","YS"&amp;TEXT($C673,"yyyymm")&amp;"-"&amp;TEXT(ROW()-4,"0000"))</f>
        <v/>
      </c>
      <c r="C673" s="33"/>
      <c r="D673" s="24"/>
      <c r="E673" s="30" t="str">
        <f aca="false">IF($D673="","",IFERROR(INDEX(合同单位,MATCH($D673,合同键,0)),IFERROR(TRIM(LEFT($D673,FIND("｜",$D673)-1)),$D673)))</f>
        <v/>
      </c>
      <c r="F673" s="30" t="str">
        <f aca="false">IF($D673="","",IFERROR(INDEX(合同项目,MATCH($D673,合同键,0)),IFERROR(TRIM(MID($D673,FIND("｜",$D673)+1,99)),"")))</f>
        <v/>
      </c>
      <c r="G673" s="24"/>
      <c r="H673" s="35" t="str">
        <f aca="false">IF($G673="","",IFERROR(INDEX(费用款别,MATCH($G673,费用类别表,0)),"合同外款"))</f>
        <v/>
      </c>
      <c r="I673" s="33"/>
      <c r="J673" s="33"/>
      <c r="K673" s="39"/>
      <c r="L673" s="33"/>
      <c r="M673" s="25"/>
      <c r="N673" s="39"/>
      <c r="O673" s="35" t="str">
        <f aca="false">IF($C673="","",IF(N($N673)&lt;=0,"未开票",IF(ROUND(N($N673)-N($K673),2)&gt;=0,"已开票",IFERROR("部分开票 "&amp;TEXT(N($N673)/N($K673),"0%"),"部分开票"))))</f>
        <v/>
      </c>
      <c r="P673" s="40" t="str">
        <f aca="false">IF($C673="","",ROUND($V673+MIN($W673,MAX(0,(SUMIF(收款键,$D673,收款金额)-SUMIFS(收款金额,收款键,$D673,收款关联,"&lt;&gt;"))-($X673-$W673))),2))</f>
        <v/>
      </c>
      <c r="Q673" s="41" t="str">
        <f aca="false">IF($C673="","",ROUND(N($K673)-N($P673),2))</f>
        <v/>
      </c>
      <c r="R673" s="29" t="str">
        <f aca="false">IF($C673="","",YEAR($C673))</f>
        <v/>
      </c>
      <c r="S673" s="24"/>
      <c r="T673" s="35" t="str">
        <f aca="false">IF($C673="","",IF($D673="","★没选客户项目",IF(COUNTIF(合同键,$D673)=0,"★《维保合同》里没这个项目",IF(N($K673)&lt;=0,"★应收金额要填",IF(ROUND(N($N673)-N($K673),2)&gt;0.001,"★开票金额大于应收",IF(AND($L673&lt;&gt;"",N($N673)&lt;=0),"★填了开票日期没填开票金额",IF(AND($I673&lt;&gt;"",$J673&lt;&gt;"",$J673&lt;$I673),"★计费期间起止反了","OK")))))))</f>
        <v/>
      </c>
      <c r="U673" s="29" t="str">
        <f aca="false">IF($L673="","",YEAR($L673))</f>
        <v/>
      </c>
      <c r="V673" s="40" t="str">
        <f aca="false">IF($C673="","",ROUND(SUMIF(收款关联,$B673,收款金额),2))</f>
        <v/>
      </c>
      <c r="W673" s="40" t="str">
        <f aca="false">IF($C673="","",MAX(0,ROUND(N($K673)-N($V673),2)))</f>
        <v/>
      </c>
      <c r="X673" s="40" t="str">
        <f aca="false">IF($C673="","",ROUND(SUMIFS(应收净额,应收键,$D673,应收行号,"&lt;="&amp;ROW()),2))</f>
        <v/>
      </c>
      <c r="Y673" s="29" t="str">
        <f aca="false">IF($C673="","",ROW())</f>
        <v/>
      </c>
    </row>
    <row r="674" customFormat="false" ht="15" hidden="false" customHeight="false" outlineLevel="0" collapsed="false">
      <c r="A674" s="29" t="str">
        <f aca="false">IF($C674="","",ROW()-4)</f>
        <v/>
      </c>
      <c r="B674" s="35" t="str">
        <f aca="false">IF($C674="","","YS"&amp;TEXT($C674,"yyyymm")&amp;"-"&amp;TEXT(ROW()-4,"0000"))</f>
        <v/>
      </c>
      <c r="C674" s="33"/>
      <c r="D674" s="24"/>
      <c r="E674" s="30" t="str">
        <f aca="false">IF($D674="","",IFERROR(INDEX(合同单位,MATCH($D674,合同键,0)),IFERROR(TRIM(LEFT($D674,FIND("｜",$D674)-1)),$D674)))</f>
        <v/>
      </c>
      <c r="F674" s="30" t="str">
        <f aca="false">IF($D674="","",IFERROR(INDEX(合同项目,MATCH($D674,合同键,0)),IFERROR(TRIM(MID($D674,FIND("｜",$D674)+1,99)),"")))</f>
        <v/>
      </c>
      <c r="G674" s="24"/>
      <c r="H674" s="35" t="str">
        <f aca="false">IF($G674="","",IFERROR(INDEX(费用款别,MATCH($G674,费用类别表,0)),"合同外款"))</f>
        <v/>
      </c>
      <c r="I674" s="33"/>
      <c r="J674" s="33"/>
      <c r="K674" s="39"/>
      <c r="L674" s="33"/>
      <c r="M674" s="25"/>
      <c r="N674" s="39"/>
      <c r="O674" s="35" t="str">
        <f aca="false">IF($C674="","",IF(N($N674)&lt;=0,"未开票",IF(ROUND(N($N674)-N($K674),2)&gt;=0,"已开票",IFERROR("部分开票 "&amp;TEXT(N($N674)/N($K674),"0%"),"部分开票"))))</f>
        <v/>
      </c>
      <c r="P674" s="40" t="str">
        <f aca="false">IF($C674="","",ROUND($V674+MIN($W674,MAX(0,(SUMIF(收款键,$D674,收款金额)-SUMIFS(收款金额,收款键,$D674,收款关联,"&lt;&gt;"))-($X674-$W674))),2))</f>
        <v/>
      </c>
      <c r="Q674" s="41" t="str">
        <f aca="false">IF($C674="","",ROUND(N($K674)-N($P674),2))</f>
        <v/>
      </c>
      <c r="R674" s="29" t="str">
        <f aca="false">IF($C674="","",YEAR($C674))</f>
        <v/>
      </c>
      <c r="S674" s="24"/>
      <c r="T674" s="35" t="str">
        <f aca="false">IF($C674="","",IF($D674="","★没选客户项目",IF(COUNTIF(合同键,$D674)=0,"★《维保合同》里没这个项目",IF(N($K674)&lt;=0,"★应收金额要填",IF(ROUND(N($N674)-N($K674),2)&gt;0.001,"★开票金额大于应收",IF(AND($L674&lt;&gt;"",N($N674)&lt;=0),"★填了开票日期没填开票金额",IF(AND($I674&lt;&gt;"",$J674&lt;&gt;"",$J674&lt;$I674),"★计费期间起止反了","OK")))))))</f>
        <v/>
      </c>
      <c r="U674" s="29" t="str">
        <f aca="false">IF($L674="","",YEAR($L674))</f>
        <v/>
      </c>
      <c r="V674" s="40" t="str">
        <f aca="false">IF($C674="","",ROUND(SUMIF(收款关联,$B674,收款金额),2))</f>
        <v/>
      </c>
      <c r="W674" s="40" t="str">
        <f aca="false">IF($C674="","",MAX(0,ROUND(N($K674)-N($V674),2)))</f>
        <v/>
      </c>
      <c r="X674" s="40" t="str">
        <f aca="false">IF($C674="","",ROUND(SUMIFS(应收净额,应收键,$D674,应收行号,"&lt;="&amp;ROW()),2))</f>
        <v/>
      </c>
      <c r="Y674" s="29" t="str">
        <f aca="false">IF($C674="","",ROW())</f>
        <v/>
      </c>
    </row>
    <row r="675" customFormat="false" ht="15" hidden="false" customHeight="false" outlineLevel="0" collapsed="false">
      <c r="A675" s="29" t="str">
        <f aca="false">IF($C675="","",ROW()-4)</f>
        <v/>
      </c>
      <c r="B675" s="35" t="str">
        <f aca="false">IF($C675="","","YS"&amp;TEXT($C675,"yyyymm")&amp;"-"&amp;TEXT(ROW()-4,"0000"))</f>
        <v/>
      </c>
      <c r="C675" s="33"/>
      <c r="D675" s="24"/>
      <c r="E675" s="30" t="str">
        <f aca="false">IF($D675="","",IFERROR(INDEX(合同单位,MATCH($D675,合同键,0)),IFERROR(TRIM(LEFT($D675,FIND("｜",$D675)-1)),$D675)))</f>
        <v/>
      </c>
      <c r="F675" s="30" t="str">
        <f aca="false">IF($D675="","",IFERROR(INDEX(合同项目,MATCH($D675,合同键,0)),IFERROR(TRIM(MID($D675,FIND("｜",$D675)+1,99)),"")))</f>
        <v/>
      </c>
      <c r="G675" s="24"/>
      <c r="H675" s="35" t="str">
        <f aca="false">IF($G675="","",IFERROR(INDEX(费用款别,MATCH($G675,费用类别表,0)),"合同外款"))</f>
        <v/>
      </c>
      <c r="I675" s="33"/>
      <c r="J675" s="33"/>
      <c r="K675" s="39"/>
      <c r="L675" s="33"/>
      <c r="M675" s="25"/>
      <c r="N675" s="39"/>
      <c r="O675" s="35" t="str">
        <f aca="false">IF($C675="","",IF(N($N675)&lt;=0,"未开票",IF(ROUND(N($N675)-N($K675),2)&gt;=0,"已开票",IFERROR("部分开票 "&amp;TEXT(N($N675)/N($K675),"0%"),"部分开票"))))</f>
        <v/>
      </c>
      <c r="P675" s="40" t="str">
        <f aca="false">IF($C675="","",ROUND($V675+MIN($W675,MAX(0,(SUMIF(收款键,$D675,收款金额)-SUMIFS(收款金额,收款键,$D675,收款关联,"&lt;&gt;"))-($X675-$W675))),2))</f>
        <v/>
      </c>
      <c r="Q675" s="41" t="str">
        <f aca="false">IF($C675="","",ROUND(N($K675)-N($P675),2))</f>
        <v/>
      </c>
      <c r="R675" s="29" t="str">
        <f aca="false">IF($C675="","",YEAR($C675))</f>
        <v/>
      </c>
      <c r="S675" s="24"/>
      <c r="T675" s="35" t="str">
        <f aca="false">IF($C675="","",IF($D675="","★没选客户项目",IF(COUNTIF(合同键,$D675)=0,"★《维保合同》里没这个项目",IF(N($K675)&lt;=0,"★应收金额要填",IF(ROUND(N($N675)-N($K675),2)&gt;0.001,"★开票金额大于应收",IF(AND($L675&lt;&gt;"",N($N675)&lt;=0),"★填了开票日期没填开票金额",IF(AND($I675&lt;&gt;"",$J675&lt;&gt;"",$J675&lt;$I675),"★计费期间起止反了","OK")))))))</f>
        <v/>
      </c>
      <c r="U675" s="29" t="str">
        <f aca="false">IF($L675="","",YEAR($L675))</f>
        <v/>
      </c>
      <c r="V675" s="40" t="str">
        <f aca="false">IF($C675="","",ROUND(SUMIF(收款关联,$B675,收款金额),2))</f>
        <v/>
      </c>
      <c r="W675" s="40" t="str">
        <f aca="false">IF($C675="","",MAX(0,ROUND(N($K675)-N($V675),2)))</f>
        <v/>
      </c>
      <c r="X675" s="40" t="str">
        <f aca="false">IF($C675="","",ROUND(SUMIFS(应收净额,应收键,$D675,应收行号,"&lt;="&amp;ROW()),2))</f>
        <v/>
      </c>
      <c r="Y675" s="29" t="str">
        <f aca="false">IF($C675="","",ROW())</f>
        <v/>
      </c>
    </row>
    <row r="676" customFormat="false" ht="15" hidden="false" customHeight="false" outlineLevel="0" collapsed="false">
      <c r="A676" s="29" t="str">
        <f aca="false">IF($C676="","",ROW()-4)</f>
        <v/>
      </c>
      <c r="B676" s="35" t="str">
        <f aca="false">IF($C676="","","YS"&amp;TEXT($C676,"yyyymm")&amp;"-"&amp;TEXT(ROW()-4,"0000"))</f>
        <v/>
      </c>
      <c r="C676" s="33"/>
      <c r="D676" s="24"/>
      <c r="E676" s="30" t="str">
        <f aca="false">IF($D676="","",IFERROR(INDEX(合同单位,MATCH($D676,合同键,0)),IFERROR(TRIM(LEFT($D676,FIND("｜",$D676)-1)),$D676)))</f>
        <v/>
      </c>
      <c r="F676" s="30" t="str">
        <f aca="false">IF($D676="","",IFERROR(INDEX(合同项目,MATCH($D676,合同键,0)),IFERROR(TRIM(MID($D676,FIND("｜",$D676)+1,99)),"")))</f>
        <v/>
      </c>
      <c r="G676" s="24"/>
      <c r="H676" s="35" t="str">
        <f aca="false">IF($G676="","",IFERROR(INDEX(费用款别,MATCH($G676,费用类别表,0)),"合同外款"))</f>
        <v/>
      </c>
      <c r="I676" s="33"/>
      <c r="J676" s="33"/>
      <c r="K676" s="39"/>
      <c r="L676" s="33"/>
      <c r="M676" s="25"/>
      <c r="N676" s="39"/>
      <c r="O676" s="35" t="str">
        <f aca="false">IF($C676="","",IF(N($N676)&lt;=0,"未开票",IF(ROUND(N($N676)-N($K676),2)&gt;=0,"已开票",IFERROR("部分开票 "&amp;TEXT(N($N676)/N($K676),"0%"),"部分开票"))))</f>
        <v/>
      </c>
      <c r="P676" s="40" t="str">
        <f aca="false">IF($C676="","",ROUND($V676+MIN($W676,MAX(0,(SUMIF(收款键,$D676,收款金额)-SUMIFS(收款金额,收款键,$D676,收款关联,"&lt;&gt;"))-($X676-$W676))),2))</f>
        <v/>
      </c>
      <c r="Q676" s="41" t="str">
        <f aca="false">IF($C676="","",ROUND(N($K676)-N($P676),2))</f>
        <v/>
      </c>
      <c r="R676" s="29" t="str">
        <f aca="false">IF($C676="","",YEAR($C676))</f>
        <v/>
      </c>
      <c r="S676" s="24"/>
      <c r="T676" s="35" t="str">
        <f aca="false">IF($C676="","",IF($D676="","★没选客户项目",IF(COUNTIF(合同键,$D676)=0,"★《维保合同》里没这个项目",IF(N($K676)&lt;=0,"★应收金额要填",IF(ROUND(N($N676)-N($K676),2)&gt;0.001,"★开票金额大于应收",IF(AND($L676&lt;&gt;"",N($N676)&lt;=0),"★填了开票日期没填开票金额",IF(AND($I676&lt;&gt;"",$J676&lt;&gt;"",$J676&lt;$I676),"★计费期间起止反了","OK")))))))</f>
        <v/>
      </c>
      <c r="U676" s="29" t="str">
        <f aca="false">IF($L676="","",YEAR($L676))</f>
        <v/>
      </c>
      <c r="V676" s="40" t="str">
        <f aca="false">IF($C676="","",ROUND(SUMIF(收款关联,$B676,收款金额),2))</f>
        <v/>
      </c>
      <c r="W676" s="40" t="str">
        <f aca="false">IF($C676="","",MAX(0,ROUND(N($K676)-N($V676),2)))</f>
        <v/>
      </c>
      <c r="X676" s="40" t="str">
        <f aca="false">IF($C676="","",ROUND(SUMIFS(应收净额,应收键,$D676,应收行号,"&lt;="&amp;ROW()),2))</f>
        <v/>
      </c>
      <c r="Y676" s="29" t="str">
        <f aca="false">IF($C676="","",ROW())</f>
        <v/>
      </c>
    </row>
    <row r="677" customFormat="false" ht="15" hidden="false" customHeight="false" outlineLevel="0" collapsed="false">
      <c r="A677" s="29" t="str">
        <f aca="false">IF($C677="","",ROW()-4)</f>
        <v/>
      </c>
      <c r="B677" s="35" t="str">
        <f aca="false">IF($C677="","","YS"&amp;TEXT($C677,"yyyymm")&amp;"-"&amp;TEXT(ROW()-4,"0000"))</f>
        <v/>
      </c>
      <c r="C677" s="33"/>
      <c r="D677" s="24"/>
      <c r="E677" s="30" t="str">
        <f aca="false">IF($D677="","",IFERROR(INDEX(合同单位,MATCH($D677,合同键,0)),IFERROR(TRIM(LEFT($D677,FIND("｜",$D677)-1)),$D677)))</f>
        <v/>
      </c>
      <c r="F677" s="30" t="str">
        <f aca="false">IF($D677="","",IFERROR(INDEX(合同项目,MATCH($D677,合同键,0)),IFERROR(TRIM(MID($D677,FIND("｜",$D677)+1,99)),"")))</f>
        <v/>
      </c>
      <c r="G677" s="24"/>
      <c r="H677" s="35" t="str">
        <f aca="false">IF($G677="","",IFERROR(INDEX(费用款别,MATCH($G677,费用类别表,0)),"合同外款"))</f>
        <v/>
      </c>
      <c r="I677" s="33"/>
      <c r="J677" s="33"/>
      <c r="K677" s="39"/>
      <c r="L677" s="33"/>
      <c r="M677" s="25"/>
      <c r="N677" s="39"/>
      <c r="O677" s="35" t="str">
        <f aca="false">IF($C677="","",IF(N($N677)&lt;=0,"未开票",IF(ROUND(N($N677)-N($K677),2)&gt;=0,"已开票",IFERROR("部分开票 "&amp;TEXT(N($N677)/N($K677),"0%"),"部分开票"))))</f>
        <v/>
      </c>
      <c r="P677" s="40" t="str">
        <f aca="false">IF($C677="","",ROUND($V677+MIN($W677,MAX(0,(SUMIF(收款键,$D677,收款金额)-SUMIFS(收款金额,收款键,$D677,收款关联,"&lt;&gt;"))-($X677-$W677))),2))</f>
        <v/>
      </c>
      <c r="Q677" s="41" t="str">
        <f aca="false">IF($C677="","",ROUND(N($K677)-N($P677),2))</f>
        <v/>
      </c>
      <c r="R677" s="29" t="str">
        <f aca="false">IF($C677="","",YEAR($C677))</f>
        <v/>
      </c>
      <c r="S677" s="24"/>
      <c r="T677" s="35" t="str">
        <f aca="false">IF($C677="","",IF($D677="","★没选客户项目",IF(COUNTIF(合同键,$D677)=0,"★《维保合同》里没这个项目",IF(N($K677)&lt;=0,"★应收金额要填",IF(ROUND(N($N677)-N($K677),2)&gt;0.001,"★开票金额大于应收",IF(AND($L677&lt;&gt;"",N($N677)&lt;=0),"★填了开票日期没填开票金额",IF(AND($I677&lt;&gt;"",$J677&lt;&gt;"",$J677&lt;$I677),"★计费期间起止反了","OK")))))))</f>
        <v/>
      </c>
      <c r="U677" s="29" t="str">
        <f aca="false">IF($L677="","",YEAR($L677))</f>
        <v/>
      </c>
      <c r="V677" s="40" t="str">
        <f aca="false">IF($C677="","",ROUND(SUMIF(收款关联,$B677,收款金额),2))</f>
        <v/>
      </c>
      <c r="W677" s="40" t="str">
        <f aca="false">IF($C677="","",MAX(0,ROUND(N($K677)-N($V677),2)))</f>
        <v/>
      </c>
      <c r="X677" s="40" t="str">
        <f aca="false">IF($C677="","",ROUND(SUMIFS(应收净额,应收键,$D677,应收行号,"&lt;="&amp;ROW()),2))</f>
        <v/>
      </c>
      <c r="Y677" s="29" t="str">
        <f aca="false">IF($C677="","",ROW())</f>
        <v/>
      </c>
    </row>
    <row r="678" customFormat="false" ht="15" hidden="false" customHeight="false" outlineLevel="0" collapsed="false">
      <c r="A678" s="29" t="str">
        <f aca="false">IF($C678="","",ROW()-4)</f>
        <v/>
      </c>
      <c r="B678" s="35" t="str">
        <f aca="false">IF($C678="","","YS"&amp;TEXT($C678,"yyyymm")&amp;"-"&amp;TEXT(ROW()-4,"0000"))</f>
        <v/>
      </c>
      <c r="C678" s="33"/>
      <c r="D678" s="24"/>
      <c r="E678" s="30" t="str">
        <f aca="false">IF($D678="","",IFERROR(INDEX(合同单位,MATCH($D678,合同键,0)),IFERROR(TRIM(LEFT($D678,FIND("｜",$D678)-1)),$D678)))</f>
        <v/>
      </c>
      <c r="F678" s="30" t="str">
        <f aca="false">IF($D678="","",IFERROR(INDEX(合同项目,MATCH($D678,合同键,0)),IFERROR(TRIM(MID($D678,FIND("｜",$D678)+1,99)),"")))</f>
        <v/>
      </c>
      <c r="G678" s="24"/>
      <c r="H678" s="35" t="str">
        <f aca="false">IF($G678="","",IFERROR(INDEX(费用款别,MATCH($G678,费用类别表,0)),"合同外款"))</f>
        <v/>
      </c>
      <c r="I678" s="33"/>
      <c r="J678" s="33"/>
      <c r="K678" s="39"/>
      <c r="L678" s="33"/>
      <c r="M678" s="25"/>
      <c r="N678" s="39"/>
      <c r="O678" s="35" t="str">
        <f aca="false">IF($C678="","",IF(N($N678)&lt;=0,"未开票",IF(ROUND(N($N678)-N($K678),2)&gt;=0,"已开票",IFERROR("部分开票 "&amp;TEXT(N($N678)/N($K678),"0%"),"部分开票"))))</f>
        <v/>
      </c>
      <c r="P678" s="40" t="str">
        <f aca="false">IF($C678="","",ROUND($V678+MIN($W678,MAX(0,(SUMIF(收款键,$D678,收款金额)-SUMIFS(收款金额,收款键,$D678,收款关联,"&lt;&gt;"))-($X678-$W678))),2))</f>
        <v/>
      </c>
      <c r="Q678" s="41" t="str">
        <f aca="false">IF($C678="","",ROUND(N($K678)-N($P678),2))</f>
        <v/>
      </c>
      <c r="R678" s="29" t="str">
        <f aca="false">IF($C678="","",YEAR($C678))</f>
        <v/>
      </c>
      <c r="S678" s="24"/>
      <c r="T678" s="35" t="str">
        <f aca="false">IF($C678="","",IF($D678="","★没选客户项目",IF(COUNTIF(合同键,$D678)=0,"★《维保合同》里没这个项目",IF(N($K678)&lt;=0,"★应收金额要填",IF(ROUND(N($N678)-N($K678),2)&gt;0.001,"★开票金额大于应收",IF(AND($L678&lt;&gt;"",N($N678)&lt;=0),"★填了开票日期没填开票金额",IF(AND($I678&lt;&gt;"",$J678&lt;&gt;"",$J678&lt;$I678),"★计费期间起止反了","OK")))))))</f>
        <v/>
      </c>
      <c r="U678" s="29" t="str">
        <f aca="false">IF($L678="","",YEAR($L678))</f>
        <v/>
      </c>
      <c r="V678" s="40" t="str">
        <f aca="false">IF($C678="","",ROUND(SUMIF(收款关联,$B678,收款金额),2))</f>
        <v/>
      </c>
      <c r="W678" s="40" t="str">
        <f aca="false">IF($C678="","",MAX(0,ROUND(N($K678)-N($V678),2)))</f>
        <v/>
      </c>
      <c r="X678" s="40" t="str">
        <f aca="false">IF($C678="","",ROUND(SUMIFS(应收净额,应收键,$D678,应收行号,"&lt;="&amp;ROW()),2))</f>
        <v/>
      </c>
      <c r="Y678" s="29" t="str">
        <f aca="false">IF($C678="","",ROW())</f>
        <v/>
      </c>
    </row>
    <row r="679" customFormat="false" ht="15" hidden="false" customHeight="false" outlineLevel="0" collapsed="false">
      <c r="A679" s="29" t="str">
        <f aca="false">IF($C679="","",ROW()-4)</f>
        <v/>
      </c>
      <c r="B679" s="35" t="str">
        <f aca="false">IF($C679="","","YS"&amp;TEXT($C679,"yyyymm")&amp;"-"&amp;TEXT(ROW()-4,"0000"))</f>
        <v/>
      </c>
      <c r="C679" s="33"/>
      <c r="D679" s="24"/>
      <c r="E679" s="30" t="str">
        <f aca="false">IF($D679="","",IFERROR(INDEX(合同单位,MATCH($D679,合同键,0)),IFERROR(TRIM(LEFT($D679,FIND("｜",$D679)-1)),$D679)))</f>
        <v/>
      </c>
      <c r="F679" s="30" t="str">
        <f aca="false">IF($D679="","",IFERROR(INDEX(合同项目,MATCH($D679,合同键,0)),IFERROR(TRIM(MID($D679,FIND("｜",$D679)+1,99)),"")))</f>
        <v/>
      </c>
      <c r="G679" s="24"/>
      <c r="H679" s="35" t="str">
        <f aca="false">IF($G679="","",IFERROR(INDEX(费用款别,MATCH($G679,费用类别表,0)),"合同外款"))</f>
        <v/>
      </c>
      <c r="I679" s="33"/>
      <c r="J679" s="33"/>
      <c r="K679" s="39"/>
      <c r="L679" s="33"/>
      <c r="M679" s="25"/>
      <c r="N679" s="39"/>
      <c r="O679" s="35" t="str">
        <f aca="false">IF($C679="","",IF(N($N679)&lt;=0,"未开票",IF(ROUND(N($N679)-N($K679),2)&gt;=0,"已开票",IFERROR("部分开票 "&amp;TEXT(N($N679)/N($K679),"0%"),"部分开票"))))</f>
        <v/>
      </c>
      <c r="P679" s="40" t="str">
        <f aca="false">IF($C679="","",ROUND($V679+MIN($W679,MAX(0,(SUMIF(收款键,$D679,收款金额)-SUMIFS(收款金额,收款键,$D679,收款关联,"&lt;&gt;"))-($X679-$W679))),2))</f>
        <v/>
      </c>
      <c r="Q679" s="41" t="str">
        <f aca="false">IF($C679="","",ROUND(N($K679)-N($P679),2))</f>
        <v/>
      </c>
      <c r="R679" s="29" t="str">
        <f aca="false">IF($C679="","",YEAR($C679))</f>
        <v/>
      </c>
      <c r="S679" s="24"/>
      <c r="T679" s="35" t="str">
        <f aca="false">IF($C679="","",IF($D679="","★没选客户项目",IF(COUNTIF(合同键,$D679)=0,"★《维保合同》里没这个项目",IF(N($K679)&lt;=0,"★应收金额要填",IF(ROUND(N($N679)-N($K679),2)&gt;0.001,"★开票金额大于应收",IF(AND($L679&lt;&gt;"",N($N679)&lt;=0),"★填了开票日期没填开票金额",IF(AND($I679&lt;&gt;"",$J679&lt;&gt;"",$J679&lt;$I679),"★计费期间起止反了","OK")))))))</f>
        <v/>
      </c>
      <c r="U679" s="29" t="str">
        <f aca="false">IF($L679="","",YEAR($L679))</f>
        <v/>
      </c>
      <c r="V679" s="40" t="str">
        <f aca="false">IF($C679="","",ROUND(SUMIF(收款关联,$B679,收款金额),2))</f>
        <v/>
      </c>
      <c r="W679" s="40" t="str">
        <f aca="false">IF($C679="","",MAX(0,ROUND(N($K679)-N($V679),2)))</f>
        <v/>
      </c>
      <c r="X679" s="40" t="str">
        <f aca="false">IF($C679="","",ROUND(SUMIFS(应收净额,应收键,$D679,应收行号,"&lt;="&amp;ROW()),2))</f>
        <v/>
      </c>
      <c r="Y679" s="29" t="str">
        <f aca="false">IF($C679="","",ROW())</f>
        <v/>
      </c>
    </row>
    <row r="680" customFormat="false" ht="15" hidden="false" customHeight="false" outlineLevel="0" collapsed="false">
      <c r="A680" s="29" t="str">
        <f aca="false">IF($C680="","",ROW()-4)</f>
        <v/>
      </c>
      <c r="B680" s="35" t="str">
        <f aca="false">IF($C680="","","YS"&amp;TEXT($C680,"yyyymm")&amp;"-"&amp;TEXT(ROW()-4,"0000"))</f>
        <v/>
      </c>
      <c r="C680" s="33"/>
      <c r="D680" s="24"/>
      <c r="E680" s="30" t="str">
        <f aca="false">IF($D680="","",IFERROR(INDEX(合同单位,MATCH($D680,合同键,0)),IFERROR(TRIM(LEFT($D680,FIND("｜",$D680)-1)),$D680)))</f>
        <v/>
      </c>
      <c r="F680" s="30" t="str">
        <f aca="false">IF($D680="","",IFERROR(INDEX(合同项目,MATCH($D680,合同键,0)),IFERROR(TRIM(MID($D680,FIND("｜",$D680)+1,99)),"")))</f>
        <v/>
      </c>
      <c r="G680" s="24"/>
      <c r="H680" s="35" t="str">
        <f aca="false">IF($G680="","",IFERROR(INDEX(费用款别,MATCH($G680,费用类别表,0)),"合同外款"))</f>
        <v/>
      </c>
      <c r="I680" s="33"/>
      <c r="J680" s="33"/>
      <c r="K680" s="39"/>
      <c r="L680" s="33"/>
      <c r="M680" s="25"/>
      <c r="N680" s="39"/>
      <c r="O680" s="35" t="str">
        <f aca="false">IF($C680="","",IF(N($N680)&lt;=0,"未开票",IF(ROUND(N($N680)-N($K680),2)&gt;=0,"已开票",IFERROR("部分开票 "&amp;TEXT(N($N680)/N($K680),"0%"),"部分开票"))))</f>
        <v/>
      </c>
      <c r="P680" s="40" t="str">
        <f aca="false">IF($C680="","",ROUND($V680+MIN($W680,MAX(0,(SUMIF(收款键,$D680,收款金额)-SUMIFS(收款金额,收款键,$D680,收款关联,"&lt;&gt;"))-($X680-$W680))),2))</f>
        <v/>
      </c>
      <c r="Q680" s="41" t="str">
        <f aca="false">IF($C680="","",ROUND(N($K680)-N($P680),2))</f>
        <v/>
      </c>
      <c r="R680" s="29" t="str">
        <f aca="false">IF($C680="","",YEAR($C680))</f>
        <v/>
      </c>
      <c r="S680" s="24"/>
      <c r="T680" s="35" t="str">
        <f aca="false">IF($C680="","",IF($D680="","★没选客户项目",IF(COUNTIF(合同键,$D680)=0,"★《维保合同》里没这个项目",IF(N($K680)&lt;=0,"★应收金额要填",IF(ROUND(N($N680)-N($K680),2)&gt;0.001,"★开票金额大于应收",IF(AND($L680&lt;&gt;"",N($N680)&lt;=0),"★填了开票日期没填开票金额",IF(AND($I680&lt;&gt;"",$J680&lt;&gt;"",$J680&lt;$I680),"★计费期间起止反了","OK")))))))</f>
        <v/>
      </c>
      <c r="U680" s="29" t="str">
        <f aca="false">IF($L680="","",YEAR($L680))</f>
        <v/>
      </c>
      <c r="V680" s="40" t="str">
        <f aca="false">IF($C680="","",ROUND(SUMIF(收款关联,$B680,收款金额),2))</f>
        <v/>
      </c>
      <c r="W680" s="40" t="str">
        <f aca="false">IF($C680="","",MAX(0,ROUND(N($K680)-N($V680),2)))</f>
        <v/>
      </c>
      <c r="X680" s="40" t="str">
        <f aca="false">IF($C680="","",ROUND(SUMIFS(应收净额,应收键,$D680,应收行号,"&lt;="&amp;ROW()),2))</f>
        <v/>
      </c>
      <c r="Y680" s="29" t="str">
        <f aca="false">IF($C680="","",ROW())</f>
        <v/>
      </c>
    </row>
    <row r="681" customFormat="false" ht="15" hidden="false" customHeight="false" outlineLevel="0" collapsed="false">
      <c r="A681" s="29" t="str">
        <f aca="false">IF($C681="","",ROW()-4)</f>
        <v/>
      </c>
      <c r="B681" s="35" t="str">
        <f aca="false">IF($C681="","","YS"&amp;TEXT($C681,"yyyymm")&amp;"-"&amp;TEXT(ROW()-4,"0000"))</f>
        <v/>
      </c>
      <c r="C681" s="33"/>
      <c r="D681" s="24"/>
      <c r="E681" s="30" t="str">
        <f aca="false">IF($D681="","",IFERROR(INDEX(合同单位,MATCH($D681,合同键,0)),IFERROR(TRIM(LEFT($D681,FIND("｜",$D681)-1)),$D681)))</f>
        <v/>
      </c>
      <c r="F681" s="30" t="str">
        <f aca="false">IF($D681="","",IFERROR(INDEX(合同项目,MATCH($D681,合同键,0)),IFERROR(TRIM(MID($D681,FIND("｜",$D681)+1,99)),"")))</f>
        <v/>
      </c>
      <c r="G681" s="24"/>
      <c r="H681" s="35" t="str">
        <f aca="false">IF($G681="","",IFERROR(INDEX(费用款别,MATCH($G681,费用类别表,0)),"合同外款"))</f>
        <v/>
      </c>
      <c r="I681" s="33"/>
      <c r="J681" s="33"/>
      <c r="K681" s="39"/>
      <c r="L681" s="33"/>
      <c r="M681" s="25"/>
      <c r="N681" s="39"/>
      <c r="O681" s="35" t="str">
        <f aca="false">IF($C681="","",IF(N($N681)&lt;=0,"未开票",IF(ROUND(N($N681)-N($K681),2)&gt;=0,"已开票",IFERROR("部分开票 "&amp;TEXT(N($N681)/N($K681),"0%"),"部分开票"))))</f>
        <v/>
      </c>
      <c r="P681" s="40" t="str">
        <f aca="false">IF($C681="","",ROUND($V681+MIN($W681,MAX(0,(SUMIF(收款键,$D681,收款金额)-SUMIFS(收款金额,收款键,$D681,收款关联,"&lt;&gt;"))-($X681-$W681))),2))</f>
        <v/>
      </c>
      <c r="Q681" s="41" t="str">
        <f aca="false">IF($C681="","",ROUND(N($K681)-N($P681),2))</f>
        <v/>
      </c>
      <c r="R681" s="29" t="str">
        <f aca="false">IF($C681="","",YEAR($C681))</f>
        <v/>
      </c>
      <c r="S681" s="24"/>
      <c r="T681" s="35" t="str">
        <f aca="false">IF($C681="","",IF($D681="","★没选客户项目",IF(COUNTIF(合同键,$D681)=0,"★《维保合同》里没这个项目",IF(N($K681)&lt;=0,"★应收金额要填",IF(ROUND(N($N681)-N($K681),2)&gt;0.001,"★开票金额大于应收",IF(AND($L681&lt;&gt;"",N($N681)&lt;=0),"★填了开票日期没填开票金额",IF(AND($I681&lt;&gt;"",$J681&lt;&gt;"",$J681&lt;$I681),"★计费期间起止反了","OK")))))))</f>
        <v/>
      </c>
      <c r="U681" s="29" t="str">
        <f aca="false">IF($L681="","",YEAR($L681))</f>
        <v/>
      </c>
      <c r="V681" s="40" t="str">
        <f aca="false">IF($C681="","",ROUND(SUMIF(收款关联,$B681,收款金额),2))</f>
        <v/>
      </c>
      <c r="W681" s="40" t="str">
        <f aca="false">IF($C681="","",MAX(0,ROUND(N($K681)-N($V681),2)))</f>
        <v/>
      </c>
      <c r="X681" s="40" t="str">
        <f aca="false">IF($C681="","",ROUND(SUMIFS(应收净额,应收键,$D681,应收行号,"&lt;="&amp;ROW()),2))</f>
        <v/>
      </c>
      <c r="Y681" s="29" t="str">
        <f aca="false">IF($C681="","",ROW())</f>
        <v/>
      </c>
    </row>
    <row r="682" customFormat="false" ht="15" hidden="false" customHeight="false" outlineLevel="0" collapsed="false">
      <c r="A682" s="29" t="str">
        <f aca="false">IF($C682="","",ROW()-4)</f>
        <v/>
      </c>
      <c r="B682" s="35" t="str">
        <f aca="false">IF($C682="","","YS"&amp;TEXT($C682,"yyyymm")&amp;"-"&amp;TEXT(ROW()-4,"0000"))</f>
        <v/>
      </c>
      <c r="C682" s="33"/>
      <c r="D682" s="24"/>
      <c r="E682" s="30" t="str">
        <f aca="false">IF($D682="","",IFERROR(INDEX(合同单位,MATCH($D682,合同键,0)),IFERROR(TRIM(LEFT($D682,FIND("｜",$D682)-1)),$D682)))</f>
        <v/>
      </c>
      <c r="F682" s="30" t="str">
        <f aca="false">IF($D682="","",IFERROR(INDEX(合同项目,MATCH($D682,合同键,0)),IFERROR(TRIM(MID($D682,FIND("｜",$D682)+1,99)),"")))</f>
        <v/>
      </c>
      <c r="G682" s="24"/>
      <c r="H682" s="35" t="str">
        <f aca="false">IF($G682="","",IFERROR(INDEX(费用款别,MATCH($G682,费用类别表,0)),"合同外款"))</f>
        <v/>
      </c>
      <c r="I682" s="33"/>
      <c r="J682" s="33"/>
      <c r="K682" s="39"/>
      <c r="L682" s="33"/>
      <c r="M682" s="25"/>
      <c r="N682" s="39"/>
      <c r="O682" s="35" t="str">
        <f aca="false">IF($C682="","",IF(N($N682)&lt;=0,"未开票",IF(ROUND(N($N682)-N($K682),2)&gt;=0,"已开票",IFERROR("部分开票 "&amp;TEXT(N($N682)/N($K682),"0%"),"部分开票"))))</f>
        <v/>
      </c>
      <c r="P682" s="40" t="str">
        <f aca="false">IF($C682="","",ROUND($V682+MIN($W682,MAX(0,(SUMIF(收款键,$D682,收款金额)-SUMIFS(收款金额,收款键,$D682,收款关联,"&lt;&gt;"))-($X682-$W682))),2))</f>
        <v/>
      </c>
      <c r="Q682" s="41" t="str">
        <f aca="false">IF($C682="","",ROUND(N($K682)-N($P682),2))</f>
        <v/>
      </c>
      <c r="R682" s="29" t="str">
        <f aca="false">IF($C682="","",YEAR($C682))</f>
        <v/>
      </c>
      <c r="S682" s="24"/>
      <c r="T682" s="35" t="str">
        <f aca="false">IF($C682="","",IF($D682="","★没选客户项目",IF(COUNTIF(合同键,$D682)=0,"★《维保合同》里没这个项目",IF(N($K682)&lt;=0,"★应收金额要填",IF(ROUND(N($N682)-N($K682),2)&gt;0.001,"★开票金额大于应收",IF(AND($L682&lt;&gt;"",N($N682)&lt;=0),"★填了开票日期没填开票金额",IF(AND($I682&lt;&gt;"",$J682&lt;&gt;"",$J682&lt;$I682),"★计费期间起止反了","OK")))))))</f>
        <v/>
      </c>
      <c r="U682" s="29" t="str">
        <f aca="false">IF($L682="","",YEAR($L682))</f>
        <v/>
      </c>
      <c r="V682" s="40" t="str">
        <f aca="false">IF($C682="","",ROUND(SUMIF(收款关联,$B682,收款金额),2))</f>
        <v/>
      </c>
      <c r="W682" s="40" t="str">
        <f aca="false">IF($C682="","",MAX(0,ROUND(N($K682)-N($V682),2)))</f>
        <v/>
      </c>
      <c r="X682" s="40" t="str">
        <f aca="false">IF($C682="","",ROUND(SUMIFS(应收净额,应收键,$D682,应收行号,"&lt;="&amp;ROW()),2))</f>
        <v/>
      </c>
      <c r="Y682" s="29" t="str">
        <f aca="false">IF($C682="","",ROW())</f>
        <v/>
      </c>
    </row>
    <row r="683" customFormat="false" ht="15" hidden="false" customHeight="false" outlineLevel="0" collapsed="false">
      <c r="A683" s="29" t="str">
        <f aca="false">IF($C683="","",ROW()-4)</f>
        <v/>
      </c>
      <c r="B683" s="35" t="str">
        <f aca="false">IF($C683="","","YS"&amp;TEXT($C683,"yyyymm")&amp;"-"&amp;TEXT(ROW()-4,"0000"))</f>
        <v/>
      </c>
      <c r="C683" s="33"/>
      <c r="D683" s="24"/>
      <c r="E683" s="30" t="str">
        <f aca="false">IF($D683="","",IFERROR(INDEX(合同单位,MATCH($D683,合同键,0)),IFERROR(TRIM(LEFT($D683,FIND("｜",$D683)-1)),$D683)))</f>
        <v/>
      </c>
      <c r="F683" s="30" t="str">
        <f aca="false">IF($D683="","",IFERROR(INDEX(合同项目,MATCH($D683,合同键,0)),IFERROR(TRIM(MID($D683,FIND("｜",$D683)+1,99)),"")))</f>
        <v/>
      </c>
      <c r="G683" s="24"/>
      <c r="H683" s="35" t="str">
        <f aca="false">IF($G683="","",IFERROR(INDEX(费用款别,MATCH($G683,费用类别表,0)),"合同外款"))</f>
        <v/>
      </c>
      <c r="I683" s="33"/>
      <c r="J683" s="33"/>
      <c r="K683" s="39"/>
      <c r="L683" s="33"/>
      <c r="M683" s="25"/>
      <c r="N683" s="39"/>
      <c r="O683" s="35" t="str">
        <f aca="false">IF($C683="","",IF(N($N683)&lt;=0,"未开票",IF(ROUND(N($N683)-N($K683),2)&gt;=0,"已开票",IFERROR("部分开票 "&amp;TEXT(N($N683)/N($K683),"0%"),"部分开票"))))</f>
        <v/>
      </c>
      <c r="P683" s="40" t="str">
        <f aca="false">IF($C683="","",ROUND($V683+MIN($W683,MAX(0,(SUMIF(收款键,$D683,收款金额)-SUMIFS(收款金额,收款键,$D683,收款关联,"&lt;&gt;"))-($X683-$W683))),2))</f>
        <v/>
      </c>
      <c r="Q683" s="41" t="str">
        <f aca="false">IF($C683="","",ROUND(N($K683)-N($P683),2))</f>
        <v/>
      </c>
      <c r="R683" s="29" t="str">
        <f aca="false">IF($C683="","",YEAR($C683))</f>
        <v/>
      </c>
      <c r="S683" s="24"/>
      <c r="T683" s="35" t="str">
        <f aca="false">IF($C683="","",IF($D683="","★没选客户项目",IF(COUNTIF(合同键,$D683)=0,"★《维保合同》里没这个项目",IF(N($K683)&lt;=0,"★应收金额要填",IF(ROUND(N($N683)-N($K683),2)&gt;0.001,"★开票金额大于应收",IF(AND($L683&lt;&gt;"",N($N683)&lt;=0),"★填了开票日期没填开票金额",IF(AND($I683&lt;&gt;"",$J683&lt;&gt;"",$J683&lt;$I683),"★计费期间起止反了","OK")))))))</f>
        <v/>
      </c>
      <c r="U683" s="29" t="str">
        <f aca="false">IF($L683="","",YEAR($L683))</f>
        <v/>
      </c>
      <c r="V683" s="40" t="str">
        <f aca="false">IF($C683="","",ROUND(SUMIF(收款关联,$B683,收款金额),2))</f>
        <v/>
      </c>
      <c r="W683" s="40" t="str">
        <f aca="false">IF($C683="","",MAX(0,ROUND(N($K683)-N($V683),2)))</f>
        <v/>
      </c>
      <c r="X683" s="40" t="str">
        <f aca="false">IF($C683="","",ROUND(SUMIFS(应收净额,应收键,$D683,应收行号,"&lt;="&amp;ROW()),2))</f>
        <v/>
      </c>
      <c r="Y683" s="29" t="str">
        <f aca="false">IF($C683="","",ROW())</f>
        <v/>
      </c>
    </row>
    <row r="684" customFormat="false" ht="15" hidden="false" customHeight="false" outlineLevel="0" collapsed="false">
      <c r="A684" s="29" t="str">
        <f aca="false">IF($C684="","",ROW()-4)</f>
        <v/>
      </c>
      <c r="B684" s="35" t="str">
        <f aca="false">IF($C684="","","YS"&amp;TEXT($C684,"yyyymm")&amp;"-"&amp;TEXT(ROW()-4,"0000"))</f>
        <v/>
      </c>
      <c r="C684" s="33"/>
      <c r="D684" s="24"/>
      <c r="E684" s="30" t="str">
        <f aca="false">IF($D684="","",IFERROR(INDEX(合同单位,MATCH($D684,合同键,0)),IFERROR(TRIM(LEFT($D684,FIND("｜",$D684)-1)),$D684)))</f>
        <v/>
      </c>
      <c r="F684" s="30" t="str">
        <f aca="false">IF($D684="","",IFERROR(INDEX(合同项目,MATCH($D684,合同键,0)),IFERROR(TRIM(MID($D684,FIND("｜",$D684)+1,99)),"")))</f>
        <v/>
      </c>
      <c r="G684" s="24"/>
      <c r="H684" s="35" t="str">
        <f aca="false">IF($G684="","",IFERROR(INDEX(费用款别,MATCH($G684,费用类别表,0)),"合同外款"))</f>
        <v/>
      </c>
      <c r="I684" s="33"/>
      <c r="J684" s="33"/>
      <c r="K684" s="39"/>
      <c r="L684" s="33"/>
      <c r="M684" s="25"/>
      <c r="N684" s="39"/>
      <c r="O684" s="35" t="str">
        <f aca="false">IF($C684="","",IF(N($N684)&lt;=0,"未开票",IF(ROUND(N($N684)-N($K684),2)&gt;=0,"已开票",IFERROR("部分开票 "&amp;TEXT(N($N684)/N($K684),"0%"),"部分开票"))))</f>
        <v/>
      </c>
      <c r="P684" s="40" t="str">
        <f aca="false">IF($C684="","",ROUND($V684+MIN($W684,MAX(0,(SUMIF(收款键,$D684,收款金额)-SUMIFS(收款金额,收款键,$D684,收款关联,"&lt;&gt;"))-($X684-$W684))),2))</f>
        <v/>
      </c>
      <c r="Q684" s="41" t="str">
        <f aca="false">IF($C684="","",ROUND(N($K684)-N($P684),2))</f>
        <v/>
      </c>
      <c r="R684" s="29" t="str">
        <f aca="false">IF($C684="","",YEAR($C684))</f>
        <v/>
      </c>
      <c r="S684" s="24"/>
      <c r="T684" s="35" t="str">
        <f aca="false">IF($C684="","",IF($D684="","★没选客户项目",IF(COUNTIF(合同键,$D684)=0,"★《维保合同》里没这个项目",IF(N($K684)&lt;=0,"★应收金额要填",IF(ROUND(N($N684)-N($K684),2)&gt;0.001,"★开票金额大于应收",IF(AND($L684&lt;&gt;"",N($N684)&lt;=0),"★填了开票日期没填开票金额",IF(AND($I684&lt;&gt;"",$J684&lt;&gt;"",$J684&lt;$I684),"★计费期间起止反了","OK")))))))</f>
        <v/>
      </c>
      <c r="U684" s="29" t="str">
        <f aca="false">IF($L684="","",YEAR($L684))</f>
        <v/>
      </c>
      <c r="V684" s="40" t="str">
        <f aca="false">IF($C684="","",ROUND(SUMIF(收款关联,$B684,收款金额),2))</f>
        <v/>
      </c>
      <c r="W684" s="40" t="str">
        <f aca="false">IF($C684="","",MAX(0,ROUND(N($K684)-N($V684),2)))</f>
        <v/>
      </c>
      <c r="X684" s="40" t="str">
        <f aca="false">IF($C684="","",ROUND(SUMIFS(应收净额,应收键,$D684,应收行号,"&lt;="&amp;ROW()),2))</f>
        <v/>
      </c>
      <c r="Y684" s="29" t="str">
        <f aca="false">IF($C684="","",ROW())</f>
        <v/>
      </c>
    </row>
    <row r="685" customFormat="false" ht="15" hidden="false" customHeight="false" outlineLevel="0" collapsed="false">
      <c r="A685" s="29" t="str">
        <f aca="false">IF($C685="","",ROW()-4)</f>
        <v/>
      </c>
      <c r="B685" s="35" t="str">
        <f aca="false">IF($C685="","","YS"&amp;TEXT($C685,"yyyymm")&amp;"-"&amp;TEXT(ROW()-4,"0000"))</f>
        <v/>
      </c>
      <c r="C685" s="33"/>
      <c r="D685" s="24"/>
      <c r="E685" s="30" t="str">
        <f aca="false">IF($D685="","",IFERROR(INDEX(合同单位,MATCH($D685,合同键,0)),IFERROR(TRIM(LEFT($D685,FIND("｜",$D685)-1)),$D685)))</f>
        <v/>
      </c>
      <c r="F685" s="30" t="str">
        <f aca="false">IF($D685="","",IFERROR(INDEX(合同项目,MATCH($D685,合同键,0)),IFERROR(TRIM(MID($D685,FIND("｜",$D685)+1,99)),"")))</f>
        <v/>
      </c>
      <c r="G685" s="24"/>
      <c r="H685" s="35" t="str">
        <f aca="false">IF($G685="","",IFERROR(INDEX(费用款别,MATCH($G685,费用类别表,0)),"合同外款"))</f>
        <v/>
      </c>
      <c r="I685" s="33"/>
      <c r="J685" s="33"/>
      <c r="K685" s="39"/>
      <c r="L685" s="33"/>
      <c r="M685" s="25"/>
      <c r="N685" s="39"/>
      <c r="O685" s="35" t="str">
        <f aca="false">IF($C685="","",IF(N($N685)&lt;=0,"未开票",IF(ROUND(N($N685)-N($K685),2)&gt;=0,"已开票",IFERROR("部分开票 "&amp;TEXT(N($N685)/N($K685),"0%"),"部分开票"))))</f>
        <v/>
      </c>
      <c r="P685" s="40" t="str">
        <f aca="false">IF($C685="","",ROUND($V685+MIN($W685,MAX(0,(SUMIF(收款键,$D685,收款金额)-SUMIFS(收款金额,收款键,$D685,收款关联,"&lt;&gt;"))-($X685-$W685))),2))</f>
        <v/>
      </c>
      <c r="Q685" s="41" t="str">
        <f aca="false">IF($C685="","",ROUND(N($K685)-N($P685),2))</f>
        <v/>
      </c>
      <c r="R685" s="29" t="str">
        <f aca="false">IF($C685="","",YEAR($C685))</f>
        <v/>
      </c>
      <c r="S685" s="24"/>
      <c r="T685" s="35" t="str">
        <f aca="false">IF($C685="","",IF($D685="","★没选客户项目",IF(COUNTIF(合同键,$D685)=0,"★《维保合同》里没这个项目",IF(N($K685)&lt;=0,"★应收金额要填",IF(ROUND(N($N685)-N($K685),2)&gt;0.001,"★开票金额大于应收",IF(AND($L685&lt;&gt;"",N($N685)&lt;=0),"★填了开票日期没填开票金额",IF(AND($I685&lt;&gt;"",$J685&lt;&gt;"",$J685&lt;$I685),"★计费期间起止反了","OK")))))))</f>
        <v/>
      </c>
      <c r="U685" s="29" t="str">
        <f aca="false">IF($L685="","",YEAR($L685))</f>
        <v/>
      </c>
      <c r="V685" s="40" t="str">
        <f aca="false">IF($C685="","",ROUND(SUMIF(收款关联,$B685,收款金额),2))</f>
        <v/>
      </c>
      <c r="W685" s="40" t="str">
        <f aca="false">IF($C685="","",MAX(0,ROUND(N($K685)-N($V685),2)))</f>
        <v/>
      </c>
      <c r="X685" s="40" t="str">
        <f aca="false">IF($C685="","",ROUND(SUMIFS(应收净额,应收键,$D685,应收行号,"&lt;="&amp;ROW()),2))</f>
        <v/>
      </c>
      <c r="Y685" s="29" t="str">
        <f aca="false">IF($C685="","",ROW())</f>
        <v/>
      </c>
    </row>
    <row r="686" customFormat="false" ht="15" hidden="false" customHeight="false" outlineLevel="0" collapsed="false">
      <c r="A686" s="29" t="str">
        <f aca="false">IF($C686="","",ROW()-4)</f>
        <v/>
      </c>
      <c r="B686" s="35" t="str">
        <f aca="false">IF($C686="","","YS"&amp;TEXT($C686,"yyyymm")&amp;"-"&amp;TEXT(ROW()-4,"0000"))</f>
        <v/>
      </c>
      <c r="C686" s="33"/>
      <c r="D686" s="24"/>
      <c r="E686" s="30" t="str">
        <f aca="false">IF($D686="","",IFERROR(INDEX(合同单位,MATCH($D686,合同键,0)),IFERROR(TRIM(LEFT($D686,FIND("｜",$D686)-1)),$D686)))</f>
        <v/>
      </c>
      <c r="F686" s="30" t="str">
        <f aca="false">IF($D686="","",IFERROR(INDEX(合同项目,MATCH($D686,合同键,0)),IFERROR(TRIM(MID($D686,FIND("｜",$D686)+1,99)),"")))</f>
        <v/>
      </c>
      <c r="G686" s="24"/>
      <c r="H686" s="35" t="str">
        <f aca="false">IF($G686="","",IFERROR(INDEX(费用款别,MATCH($G686,费用类别表,0)),"合同外款"))</f>
        <v/>
      </c>
      <c r="I686" s="33"/>
      <c r="J686" s="33"/>
      <c r="K686" s="39"/>
      <c r="L686" s="33"/>
      <c r="M686" s="25"/>
      <c r="N686" s="39"/>
      <c r="O686" s="35" t="str">
        <f aca="false">IF($C686="","",IF(N($N686)&lt;=0,"未开票",IF(ROUND(N($N686)-N($K686),2)&gt;=0,"已开票",IFERROR("部分开票 "&amp;TEXT(N($N686)/N($K686),"0%"),"部分开票"))))</f>
        <v/>
      </c>
      <c r="P686" s="40" t="str">
        <f aca="false">IF($C686="","",ROUND($V686+MIN($W686,MAX(0,(SUMIF(收款键,$D686,收款金额)-SUMIFS(收款金额,收款键,$D686,收款关联,"&lt;&gt;"))-($X686-$W686))),2))</f>
        <v/>
      </c>
      <c r="Q686" s="41" t="str">
        <f aca="false">IF($C686="","",ROUND(N($K686)-N($P686),2))</f>
        <v/>
      </c>
      <c r="R686" s="29" t="str">
        <f aca="false">IF($C686="","",YEAR($C686))</f>
        <v/>
      </c>
      <c r="S686" s="24"/>
      <c r="T686" s="35" t="str">
        <f aca="false">IF($C686="","",IF($D686="","★没选客户项目",IF(COUNTIF(合同键,$D686)=0,"★《维保合同》里没这个项目",IF(N($K686)&lt;=0,"★应收金额要填",IF(ROUND(N($N686)-N($K686),2)&gt;0.001,"★开票金额大于应收",IF(AND($L686&lt;&gt;"",N($N686)&lt;=0),"★填了开票日期没填开票金额",IF(AND($I686&lt;&gt;"",$J686&lt;&gt;"",$J686&lt;$I686),"★计费期间起止反了","OK")))))))</f>
        <v/>
      </c>
      <c r="U686" s="29" t="str">
        <f aca="false">IF($L686="","",YEAR($L686))</f>
        <v/>
      </c>
      <c r="V686" s="40" t="str">
        <f aca="false">IF($C686="","",ROUND(SUMIF(收款关联,$B686,收款金额),2))</f>
        <v/>
      </c>
      <c r="W686" s="40" t="str">
        <f aca="false">IF($C686="","",MAX(0,ROUND(N($K686)-N($V686),2)))</f>
        <v/>
      </c>
      <c r="X686" s="40" t="str">
        <f aca="false">IF($C686="","",ROUND(SUMIFS(应收净额,应收键,$D686,应收行号,"&lt;="&amp;ROW()),2))</f>
        <v/>
      </c>
      <c r="Y686" s="29" t="str">
        <f aca="false">IF($C686="","",ROW())</f>
        <v/>
      </c>
    </row>
    <row r="687" customFormat="false" ht="15" hidden="false" customHeight="false" outlineLevel="0" collapsed="false">
      <c r="A687" s="29" t="str">
        <f aca="false">IF($C687="","",ROW()-4)</f>
        <v/>
      </c>
      <c r="B687" s="35" t="str">
        <f aca="false">IF($C687="","","YS"&amp;TEXT($C687,"yyyymm")&amp;"-"&amp;TEXT(ROW()-4,"0000"))</f>
        <v/>
      </c>
      <c r="C687" s="33"/>
      <c r="D687" s="24"/>
      <c r="E687" s="30" t="str">
        <f aca="false">IF($D687="","",IFERROR(INDEX(合同单位,MATCH($D687,合同键,0)),IFERROR(TRIM(LEFT($D687,FIND("｜",$D687)-1)),$D687)))</f>
        <v/>
      </c>
      <c r="F687" s="30" t="str">
        <f aca="false">IF($D687="","",IFERROR(INDEX(合同项目,MATCH($D687,合同键,0)),IFERROR(TRIM(MID($D687,FIND("｜",$D687)+1,99)),"")))</f>
        <v/>
      </c>
      <c r="G687" s="24"/>
      <c r="H687" s="35" t="str">
        <f aca="false">IF($G687="","",IFERROR(INDEX(费用款别,MATCH($G687,费用类别表,0)),"合同外款"))</f>
        <v/>
      </c>
      <c r="I687" s="33"/>
      <c r="J687" s="33"/>
      <c r="K687" s="39"/>
      <c r="L687" s="33"/>
      <c r="M687" s="25"/>
      <c r="N687" s="39"/>
      <c r="O687" s="35" t="str">
        <f aca="false">IF($C687="","",IF(N($N687)&lt;=0,"未开票",IF(ROUND(N($N687)-N($K687),2)&gt;=0,"已开票",IFERROR("部分开票 "&amp;TEXT(N($N687)/N($K687),"0%"),"部分开票"))))</f>
        <v/>
      </c>
      <c r="P687" s="40" t="str">
        <f aca="false">IF($C687="","",ROUND($V687+MIN($W687,MAX(0,(SUMIF(收款键,$D687,收款金额)-SUMIFS(收款金额,收款键,$D687,收款关联,"&lt;&gt;"))-($X687-$W687))),2))</f>
        <v/>
      </c>
      <c r="Q687" s="41" t="str">
        <f aca="false">IF($C687="","",ROUND(N($K687)-N($P687),2))</f>
        <v/>
      </c>
      <c r="R687" s="29" t="str">
        <f aca="false">IF($C687="","",YEAR($C687))</f>
        <v/>
      </c>
      <c r="S687" s="24"/>
      <c r="T687" s="35" t="str">
        <f aca="false">IF($C687="","",IF($D687="","★没选客户项目",IF(COUNTIF(合同键,$D687)=0,"★《维保合同》里没这个项目",IF(N($K687)&lt;=0,"★应收金额要填",IF(ROUND(N($N687)-N($K687),2)&gt;0.001,"★开票金额大于应收",IF(AND($L687&lt;&gt;"",N($N687)&lt;=0),"★填了开票日期没填开票金额",IF(AND($I687&lt;&gt;"",$J687&lt;&gt;"",$J687&lt;$I687),"★计费期间起止反了","OK")))))))</f>
        <v/>
      </c>
      <c r="U687" s="29" t="str">
        <f aca="false">IF($L687="","",YEAR($L687))</f>
        <v/>
      </c>
      <c r="V687" s="40" t="str">
        <f aca="false">IF($C687="","",ROUND(SUMIF(收款关联,$B687,收款金额),2))</f>
        <v/>
      </c>
      <c r="W687" s="40" t="str">
        <f aca="false">IF($C687="","",MAX(0,ROUND(N($K687)-N($V687),2)))</f>
        <v/>
      </c>
      <c r="X687" s="40" t="str">
        <f aca="false">IF($C687="","",ROUND(SUMIFS(应收净额,应收键,$D687,应收行号,"&lt;="&amp;ROW()),2))</f>
        <v/>
      </c>
      <c r="Y687" s="29" t="str">
        <f aca="false">IF($C687="","",ROW())</f>
        <v/>
      </c>
    </row>
    <row r="688" customFormat="false" ht="15" hidden="false" customHeight="false" outlineLevel="0" collapsed="false">
      <c r="A688" s="29" t="str">
        <f aca="false">IF($C688="","",ROW()-4)</f>
        <v/>
      </c>
      <c r="B688" s="35" t="str">
        <f aca="false">IF($C688="","","YS"&amp;TEXT($C688,"yyyymm")&amp;"-"&amp;TEXT(ROW()-4,"0000"))</f>
        <v/>
      </c>
      <c r="C688" s="33"/>
      <c r="D688" s="24"/>
      <c r="E688" s="30" t="str">
        <f aca="false">IF($D688="","",IFERROR(INDEX(合同单位,MATCH($D688,合同键,0)),IFERROR(TRIM(LEFT($D688,FIND("｜",$D688)-1)),$D688)))</f>
        <v/>
      </c>
      <c r="F688" s="30" t="str">
        <f aca="false">IF($D688="","",IFERROR(INDEX(合同项目,MATCH($D688,合同键,0)),IFERROR(TRIM(MID($D688,FIND("｜",$D688)+1,99)),"")))</f>
        <v/>
      </c>
      <c r="G688" s="24"/>
      <c r="H688" s="35" t="str">
        <f aca="false">IF($G688="","",IFERROR(INDEX(费用款别,MATCH($G688,费用类别表,0)),"合同外款"))</f>
        <v/>
      </c>
      <c r="I688" s="33"/>
      <c r="J688" s="33"/>
      <c r="K688" s="39"/>
      <c r="L688" s="33"/>
      <c r="M688" s="25"/>
      <c r="N688" s="39"/>
      <c r="O688" s="35" t="str">
        <f aca="false">IF($C688="","",IF(N($N688)&lt;=0,"未开票",IF(ROUND(N($N688)-N($K688),2)&gt;=0,"已开票",IFERROR("部分开票 "&amp;TEXT(N($N688)/N($K688),"0%"),"部分开票"))))</f>
        <v/>
      </c>
      <c r="P688" s="40" t="str">
        <f aca="false">IF($C688="","",ROUND($V688+MIN($W688,MAX(0,(SUMIF(收款键,$D688,收款金额)-SUMIFS(收款金额,收款键,$D688,收款关联,"&lt;&gt;"))-($X688-$W688))),2))</f>
        <v/>
      </c>
      <c r="Q688" s="41" t="str">
        <f aca="false">IF($C688="","",ROUND(N($K688)-N($P688),2))</f>
        <v/>
      </c>
      <c r="R688" s="29" t="str">
        <f aca="false">IF($C688="","",YEAR($C688))</f>
        <v/>
      </c>
      <c r="S688" s="24"/>
      <c r="T688" s="35" t="str">
        <f aca="false">IF($C688="","",IF($D688="","★没选客户项目",IF(COUNTIF(合同键,$D688)=0,"★《维保合同》里没这个项目",IF(N($K688)&lt;=0,"★应收金额要填",IF(ROUND(N($N688)-N($K688),2)&gt;0.001,"★开票金额大于应收",IF(AND($L688&lt;&gt;"",N($N688)&lt;=0),"★填了开票日期没填开票金额",IF(AND($I688&lt;&gt;"",$J688&lt;&gt;"",$J688&lt;$I688),"★计费期间起止反了","OK")))))))</f>
        <v/>
      </c>
      <c r="U688" s="29" t="str">
        <f aca="false">IF($L688="","",YEAR($L688))</f>
        <v/>
      </c>
      <c r="V688" s="40" t="str">
        <f aca="false">IF($C688="","",ROUND(SUMIF(收款关联,$B688,收款金额),2))</f>
        <v/>
      </c>
      <c r="W688" s="40" t="str">
        <f aca="false">IF($C688="","",MAX(0,ROUND(N($K688)-N($V688),2)))</f>
        <v/>
      </c>
      <c r="X688" s="40" t="str">
        <f aca="false">IF($C688="","",ROUND(SUMIFS(应收净额,应收键,$D688,应收行号,"&lt;="&amp;ROW()),2))</f>
        <v/>
      </c>
      <c r="Y688" s="29" t="str">
        <f aca="false">IF($C688="","",ROW())</f>
        <v/>
      </c>
    </row>
    <row r="689" customFormat="false" ht="15" hidden="false" customHeight="false" outlineLevel="0" collapsed="false">
      <c r="A689" s="29" t="str">
        <f aca="false">IF($C689="","",ROW()-4)</f>
        <v/>
      </c>
      <c r="B689" s="35" t="str">
        <f aca="false">IF($C689="","","YS"&amp;TEXT($C689,"yyyymm")&amp;"-"&amp;TEXT(ROW()-4,"0000"))</f>
        <v/>
      </c>
      <c r="C689" s="33"/>
      <c r="D689" s="24"/>
      <c r="E689" s="30" t="str">
        <f aca="false">IF($D689="","",IFERROR(INDEX(合同单位,MATCH($D689,合同键,0)),IFERROR(TRIM(LEFT($D689,FIND("｜",$D689)-1)),$D689)))</f>
        <v/>
      </c>
      <c r="F689" s="30" t="str">
        <f aca="false">IF($D689="","",IFERROR(INDEX(合同项目,MATCH($D689,合同键,0)),IFERROR(TRIM(MID($D689,FIND("｜",$D689)+1,99)),"")))</f>
        <v/>
      </c>
      <c r="G689" s="24"/>
      <c r="H689" s="35" t="str">
        <f aca="false">IF($G689="","",IFERROR(INDEX(费用款别,MATCH($G689,费用类别表,0)),"合同外款"))</f>
        <v/>
      </c>
      <c r="I689" s="33"/>
      <c r="J689" s="33"/>
      <c r="K689" s="39"/>
      <c r="L689" s="33"/>
      <c r="M689" s="25"/>
      <c r="N689" s="39"/>
      <c r="O689" s="35" t="str">
        <f aca="false">IF($C689="","",IF(N($N689)&lt;=0,"未开票",IF(ROUND(N($N689)-N($K689),2)&gt;=0,"已开票",IFERROR("部分开票 "&amp;TEXT(N($N689)/N($K689),"0%"),"部分开票"))))</f>
        <v/>
      </c>
      <c r="P689" s="40" t="str">
        <f aca="false">IF($C689="","",ROUND($V689+MIN($W689,MAX(0,(SUMIF(收款键,$D689,收款金额)-SUMIFS(收款金额,收款键,$D689,收款关联,"&lt;&gt;"))-($X689-$W689))),2))</f>
        <v/>
      </c>
      <c r="Q689" s="41" t="str">
        <f aca="false">IF($C689="","",ROUND(N($K689)-N($P689),2))</f>
        <v/>
      </c>
      <c r="R689" s="29" t="str">
        <f aca="false">IF($C689="","",YEAR($C689))</f>
        <v/>
      </c>
      <c r="S689" s="24"/>
      <c r="T689" s="35" t="str">
        <f aca="false">IF($C689="","",IF($D689="","★没选客户项目",IF(COUNTIF(合同键,$D689)=0,"★《维保合同》里没这个项目",IF(N($K689)&lt;=0,"★应收金额要填",IF(ROUND(N($N689)-N($K689),2)&gt;0.001,"★开票金额大于应收",IF(AND($L689&lt;&gt;"",N($N689)&lt;=0),"★填了开票日期没填开票金额",IF(AND($I689&lt;&gt;"",$J689&lt;&gt;"",$J689&lt;$I689),"★计费期间起止反了","OK")))))))</f>
        <v/>
      </c>
      <c r="U689" s="29" t="str">
        <f aca="false">IF($L689="","",YEAR($L689))</f>
        <v/>
      </c>
      <c r="V689" s="40" t="str">
        <f aca="false">IF($C689="","",ROUND(SUMIF(收款关联,$B689,收款金额),2))</f>
        <v/>
      </c>
      <c r="W689" s="40" t="str">
        <f aca="false">IF($C689="","",MAX(0,ROUND(N($K689)-N($V689),2)))</f>
        <v/>
      </c>
      <c r="X689" s="40" t="str">
        <f aca="false">IF($C689="","",ROUND(SUMIFS(应收净额,应收键,$D689,应收行号,"&lt;="&amp;ROW()),2))</f>
        <v/>
      </c>
      <c r="Y689" s="29" t="str">
        <f aca="false">IF($C689="","",ROW())</f>
        <v/>
      </c>
    </row>
    <row r="690" customFormat="false" ht="15" hidden="false" customHeight="false" outlineLevel="0" collapsed="false">
      <c r="A690" s="29" t="str">
        <f aca="false">IF($C690="","",ROW()-4)</f>
        <v/>
      </c>
      <c r="B690" s="35" t="str">
        <f aca="false">IF($C690="","","YS"&amp;TEXT($C690,"yyyymm")&amp;"-"&amp;TEXT(ROW()-4,"0000"))</f>
        <v/>
      </c>
      <c r="C690" s="33"/>
      <c r="D690" s="24"/>
      <c r="E690" s="30" t="str">
        <f aca="false">IF($D690="","",IFERROR(INDEX(合同单位,MATCH($D690,合同键,0)),IFERROR(TRIM(LEFT($D690,FIND("｜",$D690)-1)),$D690)))</f>
        <v/>
      </c>
      <c r="F690" s="30" t="str">
        <f aca="false">IF($D690="","",IFERROR(INDEX(合同项目,MATCH($D690,合同键,0)),IFERROR(TRIM(MID($D690,FIND("｜",$D690)+1,99)),"")))</f>
        <v/>
      </c>
      <c r="G690" s="24"/>
      <c r="H690" s="35" t="str">
        <f aca="false">IF($G690="","",IFERROR(INDEX(费用款别,MATCH($G690,费用类别表,0)),"合同外款"))</f>
        <v/>
      </c>
      <c r="I690" s="33"/>
      <c r="J690" s="33"/>
      <c r="K690" s="39"/>
      <c r="L690" s="33"/>
      <c r="M690" s="25"/>
      <c r="N690" s="39"/>
      <c r="O690" s="35" t="str">
        <f aca="false">IF($C690="","",IF(N($N690)&lt;=0,"未开票",IF(ROUND(N($N690)-N($K690),2)&gt;=0,"已开票",IFERROR("部分开票 "&amp;TEXT(N($N690)/N($K690),"0%"),"部分开票"))))</f>
        <v/>
      </c>
      <c r="P690" s="40" t="str">
        <f aca="false">IF($C690="","",ROUND($V690+MIN($W690,MAX(0,(SUMIF(收款键,$D690,收款金额)-SUMIFS(收款金额,收款键,$D690,收款关联,"&lt;&gt;"))-($X690-$W690))),2))</f>
        <v/>
      </c>
      <c r="Q690" s="41" t="str">
        <f aca="false">IF($C690="","",ROUND(N($K690)-N($P690),2))</f>
        <v/>
      </c>
      <c r="R690" s="29" t="str">
        <f aca="false">IF($C690="","",YEAR($C690))</f>
        <v/>
      </c>
      <c r="S690" s="24"/>
      <c r="T690" s="35" t="str">
        <f aca="false">IF($C690="","",IF($D690="","★没选客户项目",IF(COUNTIF(合同键,$D690)=0,"★《维保合同》里没这个项目",IF(N($K690)&lt;=0,"★应收金额要填",IF(ROUND(N($N690)-N($K690),2)&gt;0.001,"★开票金额大于应收",IF(AND($L690&lt;&gt;"",N($N690)&lt;=0),"★填了开票日期没填开票金额",IF(AND($I690&lt;&gt;"",$J690&lt;&gt;"",$J690&lt;$I690),"★计费期间起止反了","OK")))))))</f>
        <v/>
      </c>
      <c r="U690" s="29" t="str">
        <f aca="false">IF($L690="","",YEAR($L690))</f>
        <v/>
      </c>
      <c r="V690" s="40" t="str">
        <f aca="false">IF($C690="","",ROUND(SUMIF(收款关联,$B690,收款金额),2))</f>
        <v/>
      </c>
      <c r="W690" s="40" t="str">
        <f aca="false">IF($C690="","",MAX(0,ROUND(N($K690)-N($V690),2)))</f>
        <v/>
      </c>
      <c r="X690" s="40" t="str">
        <f aca="false">IF($C690="","",ROUND(SUMIFS(应收净额,应收键,$D690,应收行号,"&lt;="&amp;ROW()),2))</f>
        <v/>
      </c>
      <c r="Y690" s="29" t="str">
        <f aca="false">IF($C690="","",ROW())</f>
        <v/>
      </c>
    </row>
    <row r="691" customFormat="false" ht="15" hidden="false" customHeight="false" outlineLevel="0" collapsed="false">
      <c r="A691" s="29" t="str">
        <f aca="false">IF($C691="","",ROW()-4)</f>
        <v/>
      </c>
      <c r="B691" s="35" t="str">
        <f aca="false">IF($C691="","","YS"&amp;TEXT($C691,"yyyymm")&amp;"-"&amp;TEXT(ROW()-4,"0000"))</f>
        <v/>
      </c>
      <c r="C691" s="33"/>
      <c r="D691" s="24"/>
      <c r="E691" s="30" t="str">
        <f aca="false">IF($D691="","",IFERROR(INDEX(合同单位,MATCH($D691,合同键,0)),IFERROR(TRIM(LEFT($D691,FIND("｜",$D691)-1)),$D691)))</f>
        <v/>
      </c>
      <c r="F691" s="30" t="str">
        <f aca="false">IF($D691="","",IFERROR(INDEX(合同项目,MATCH($D691,合同键,0)),IFERROR(TRIM(MID($D691,FIND("｜",$D691)+1,99)),"")))</f>
        <v/>
      </c>
      <c r="G691" s="24"/>
      <c r="H691" s="35" t="str">
        <f aca="false">IF($G691="","",IFERROR(INDEX(费用款别,MATCH($G691,费用类别表,0)),"合同外款"))</f>
        <v/>
      </c>
      <c r="I691" s="33"/>
      <c r="J691" s="33"/>
      <c r="K691" s="39"/>
      <c r="L691" s="33"/>
      <c r="M691" s="25"/>
      <c r="N691" s="39"/>
      <c r="O691" s="35" t="str">
        <f aca="false">IF($C691="","",IF(N($N691)&lt;=0,"未开票",IF(ROUND(N($N691)-N($K691),2)&gt;=0,"已开票",IFERROR("部分开票 "&amp;TEXT(N($N691)/N($K691),"0%"),"部分开票"))))</f>
        <v/>
      </c>
      <c r="P691" s="40" t="str">
        <f aca="false">IF($C691="","",ROUND($V691+MIN($W691,MAX(0,(SUMIF(收款键,$D691,收款金额)-SUMIFS(收款金额,收款键,$D691,收款关联,"&lt;&gt;"))-($X691-$W691))),2))</f>
        <v/>
      </c>
      <c r="Q691" s="41" t="str">
        <f aca="false">IF($C691="","",ROUND(N($K691)-N($P691),2))</f>
        <v/>
      </c>
      <c r="R691" s="29" t="str">
        <f aca="false">IF($C691="","",YEAR($C691))</f>
        <v/>
      </c>
      <c r="S691" s="24"/>
      <c r="T691" s="35" t="str">
        <f aca="false">IF($C691="","",IF($D691="","★没选客户项目",IF(COUNTIF(合同键,$D691)=0,"★《维保合同》里没这个项目",IF(N($K691)&lt;=0,"★应收金额要填",IF(ROUND(N($N691)-N($K691),2)&gt;0.001,"★开票金额大于应收",IF(AND($L691&lt;&gt;"",N($N691)&lt;=0),"★填了开票日期没填开票金额",IF(AND($I691&lt;&gt;"",$J691&lt;&gt;"",$J691&lt;$I691),"★计费期间起止反了","OK")))))))</f>
        <v/>
      </c>
      <c r="U691" s="29" t="str">
        <f aca="false">IF($L691="","",YEAR($L691))</f>
        <v/>
      </c>
      <c r="V691" s="40" t="str">
        <f aca="false">IF($C691="","",ROUND(SUMIF(收款关联,$B691,收款金额),2))</f>
        <v/>
      </c>
      <c r="W691" s="40" t="str">
        <f aca="false">IF($C691="","",MAX(0,ROUND(N($K691)-N($V691),2)))</f>
        <v/>
      </c>
      <c r="X691" s="40" t="str">
        <f aca="false">IF($C691="","",ROUND(SUMIFS(应收净额,应收键,$D691,应收行号,"&lt;="&amp;ROW()),2))</f>
        <v/>
      </c>
      <c r="Y691" s="29" t="str">
        <f aca="false">IF($C691="","",ROW())</f>
        <v/>
      </c>
    </row>
    <row r="692" customFormat="false" ht="15" hidden="false" customHeight="false" outlineLevel="0" collapsed="false">
      <c r="A692" s="29" t="str">
        <f aca="false">IF($C692="","",ROW()-4)</f>
        <v/>
      </c>
      <c r="B692" s="35" t="str">
        <f aca="false">IF($C692="","","YS"&amp;TEXT($C692,"yyyymm")&amp;"-"&amp;TEXT(ROW()-4,"0000"))</f>
        <v/>
      </c>
      <c r="C692" s="33"/>
      <c r="D692" s="24"/>
      <c r="E692" s="30" t="str">
        <f aca="false">IF($D692="","",IFERROR(INDEX(合同单位,MATCH($D692,合同键,0)),IFERROR(TRIM(LEFT($D692,FIND("｜",$D692)-1)),$D692)))</f>
        <v/>
      </c>
      <c r="F692" s="30" t="str">
        <f aca="false">IF($D692="","",IFERROR(INDEX(合同项目,MATCH($D692,合同键,0)),IFERROR(TRIM(MID($D692,FIND("｜",$D692)+1,99)),"")))</f>
        <v/>
      </c>
      <c r="G692" s="24"/>
      <c r="H692" s="35" t="str">
        <f aca="false">IF($G692="","",IFERROR(INDEX(费用款别,MATCH($G692,费用类别表,0)),"合同外款"))</f>
        <v/>
      </c>
      <c r="I692" s="33"/>
      <c r="J692" s="33"/>
      <c r="K692" s="39"/>
      <c r="L692" s="33"/>
      <c r="M692" s="25"/>
      <c r="N692" s="39"/>
      <c r="O692" s="35" t="str">
        <f aca="false">IF($C692="","",IF(N($N692)&lt;=0,"未开票",IF(ROUND(N($N692)-N($K692),2)&gt;=0,"已开票",IFERROR("部分开票 "&amp;TEXT(N($N692)/N($K692),"0%"),"部分开票"))))</f>
        <v/>
      </c>
      <c r="P692" s="40" t="str">
        <f aca="false">IF($C692="","",ROUND($V692+MIN($W692,MAX(0,(SUMIF(收款键,$D692,收款金额)-SUMIFS(收款金额,收款键,$D692,收款关联,"&lt;&gt;"))-($X692-$W692))),2))</f>
        <v/>
      </c>
      <c r="Q692" s="41" t="str">
        <f aca="false">IF($C692="","",ROUND(N($K692)-N($P692),2))</f>
        <v/>
      </c>
      <c r="R692" s="29" t="str">
        <f aca="false">IF($C692="","",YEAR($C692))</f>
        <v/>
      </c>
      <c r="S692" s="24"/>
      <c r="T692" s="35" t="str">
        <f aca="false">IF($C692="","",IF($D692="","★没选客户项目",IF(COUNTIF(合同键,$D692)=0,"★《维保合同》里没这个项目",IF(N($K692)&lt;=0,"★应收金额要填",IF(ROUND(N($N692)-N($K692),2)&gt;0.001,"★开票金额大于应收",IF(AND($L692&lt;&gt;"",N($N692)&lt;=0),"★填了开票日期没填开票金额",IF(AND($I692&lt;&gt;"",$J692&lt;&gt;"",$J692&lt;$I692),"★计费期间起止反了","OK")))))))</f>
        <v/>
      </c>
      <c r="U692" s="29" t="str">
        <f aca="false">IF($L692="","",YEAR($L692))</f>
        <v/>
      </c>
      <c r="V692" s="40" t="str">
        <f aca="false">IF($C692="","",ROUND(SUMIF(收款关联,$B692,收款金额),2))</f>
        <v/>
      </c>
      <c r="W692" s="40" t="str">
        <f aca="false">IF($C692="","",MAX(0,ROUND(N($K692)-N($V692),2)))</f>
        <v/>
      </c>
      <c r="X692" s="40" t="str">
        <f aca="false">IF($C692="","",ROUND(SUMIFS(应收净额,应收键,$D692,应收行号,"&lt;="&amp;ROW()),2))</f>
        <v/>
      </c>
      <c r="Y692" s="29" t="str">
        <f aca="false">IF($C692="","",ROW())</f>
        <v/>
      </c>
    </row>
    <row r="693" customFormat="false" ht="15" hidden="false" customHeight="false" outlineLevel="0" collapsed="false">
      <c r="A693" s="29" t="str">
        <f aca="false">IF($C693="","",ROW()-4)</f>
        <v/>
      </c>
      <c r="B693" s="35" t="str">
        <f aca="false">IF($C693="","","YS"&amp;TEXT($C693,"yyyymm")&amp;"-"&amp;TEXT(ROW()-4,"0000"))</f>
        <v/>
      </c>
      <c r="C693" s="33"/>
      <c r="D693" s="24"/>
      <c r="E693" s="30" t="str">
        <f aca="false">IF($D693="","",IFERROR(INDEX(合同单位,MATCH($D693,合同键,0)),IFERROR(TRIM(LEFT($D693,FIND("｜",$D693)-1)),$D693)))</f>
        <v/>
      </c>
      <c r="F693" s="30" t="str">
        <f aca="false">IF($D693="","",IFERROR(INDEX(合同项目,MATCH($D693,合同键,0)),IFERROR(TRIM(MID($D693,FIND("｜",$D693)+1,99)),"")))</f>
        <v/>
      </c>
      <c r="G693" s="24"/>
      <c r="H693" s="35" t="str">
        <f aca="false">IF($G693="","",IFERROR(INDEX(费用款别,MATCH($G693,费用类别表,0)),"合同外款"))</f>
        <v/>
      </c>
      <c r="I693" s="33"/>
      <c r="J693" s="33"/>
      <c r="K693" s="39"/>
      <c r="L693" s="33"/>
      <c r="M693" s="25"/>
      <c r="N693" s="39"/>
      <c r="O693" s="35" t="str">
        <f aca="false">IF($C693="","",IF(N($N693)&lt;=0,"未开票",IF(ROUND(N($N693)-N($K693),2)&gt;=0,"已开票",IFERROR("部分开票 "&amp;TEXT(N($N693)/N($K693),"0%"),"部分开票"))))</f>
        <v/>
      </c>
      <c r="P693" s="40" t="str">
        <f aca="false">IF($C693="","",ROUND($V693+MIN($W693,MAX(0,(SUMIF(收款键,$D693,收款金额)-SUMIFS(收款金额,收款键,$D693,收款关联,"&lt;&gt;"))-($X693-$W693))),2))</f>
        <v/>
      </c>
      <c r="Q693" s="41" t="str">
        <f aca="false">IF($C693="","",ROUND(N($K693)-N($P693),2))</f>
        <v/>
      </c>
      <c r="R693" s="29" t="str">
        <f aca="false">IF($C693="","",YEAR($C693))</f>
        <v/>
      </c>
      <c r="S693" s="24"/>
      <c r="T693" s="35" t="str">
        <f aca="false">IF($C693="","",IF($D693="","★没选客户项目",IF(COUNTIF(合同键,$D693)=0,"★《维保合同》里没这个项目",IF(N($K693)&lt;=0,"★应收金额要填",IF(ROUND(N($N693)-N($K693),2)&gt;0.001,"★开票金额大于应收",IF(AND($L693&lt;&gt;"",N($N693)&lt;=0),"★填了开票日期没填开票金额",IF(AND($I693&lt;&gt;"",$J693&lt;&gt;"",$J693&lt;$I693),"★计费期间起止反了","OK")))))))</f>
        <v/>
      </c>
      <c r="U693" s="29" t="str">
        <f aca="false">IF($L693="","",YEAR($L693))</f>
        <v/>
      </c>
      <c r="V693" s="40" t="str">
        <f aca="false">IF($C693="","",ROUND(SUMIF(收款关联,$B693,收款金额),2))</f>
        <v/>
      </c>
      <c r="W693" s="40" t="str">
        <f aca="false">IF($C693="","",MAX(0,ROUND(N($K693)-N($V693),2)))</f>
        <v/>
      </c>
      <c r="X693" s="40" t="str">
        <f aca="false">IF($C693="","",ROUND(SUMIFS(应收净额,应收键,$D693,应收行号,"&lt;="&amp;ROW()),2))</f>
        <v/>
      </c>
      <c r="Y693" s="29" t="str">
        <f aca="false">IF($C693="","",ROW())</f>
        <v/>
      </c>
    </row>
    <row r="694" customFormat="false" ht="15" hidden="false" customHeight="false" outlineLevel="0" collapsed="false">
      <c r="A694" s="29" t="str">
        <f aca="false">IF($C694="","",ROW()-4)</f>
        <v/>
      </c>
      <c r="B694" s="35" t="str">
        <f aca="false">IF($C694="","","YS"&amp;TEXT($C694,"yyyymm")&amp;"-"&amp;TEXT(ROW()-4,"0000"))</f>
        <v/>
      </c>
      <c r="C694" s="33"/>
      <c r="D694" s="24"/>
      <c r="E694" s="30" t="str">
        <f aca="false">IF($D694="","",IFERROR(INDEX(合同单位,MATCH($D694,合同键,0)),IFERROR(TRIM(LEFT($D694,FIND("｜",$D694)-1)),$D694)))</f>
        <v/>
      </c>
      <c r="F694" s="30" t="str">
        <f aca="false">IF($D694="","",IFERROR(INDEX(合同项目,MATCH($D694,合同键,0)),IFERROR(TRIM(MID($D694,FIND("｜",$D694)+1,99)),"")))</f>
        <v/>
      </c>
      <c r="G694" s="24"/>
      <c r="H694" s="35" t="str">
        <f aca="false">IF($G694="","",IFERROR(INDEX(费用款别,MATCH($G694,费用类别表,0)),"合同外款"))</f>
        <v/>
      </c>
      <c r="I694" s="33"/>
      <c r="J694" s="33"/>
      <c r="K694" s="39"/>
      <c r="L694" s="33"/>
      <c r="M694" s="25"/>
      <c r="N694" s="39"/>
      <c r="O694" s="35" t="str">
        <f aca="false">IF($C694="","",IF(N($N694)&lt;=0,"未开票",IF(ROUND(N($N694)-N($K694),2)&gt;=0,"已开票",IFERROR("部分开票 "&amp;TEXT(N($N694)/N($K694),"0%"),"部分开票"))))</f>
        <v/>
      </c>
      <c r="P694" s="40" t="str">
        <f aca="false">IF($C694="","",ROUND($V694+MIN($W694,MAX(0,(SUMIF(收款键,$D694,收款金额)-SUMIFS(收款金额,收款键,$D694,收款关联,"&lt;&gt;"))-($X694-$W694))),2))</f>
        <v/>
      </c>
      <c r="Q694" s="41" t="str">
        <f aca="false">IF($C694="","",ROUND(N($K694)-N($P694),2))</f>
        <v/>
      </c>
      <c r="R694" s="29" t="str">
        <f aca="false">IF($C694="","",YEAR($C694))</f>
        <v/>
      </c>
      <c r="S694" s="24"/>
      <c r="T694" s="35" t="str">
        <f aca="false">IF($C694="","",IF($D694="","★没选客户项目",IF(COUNTIF(合同键,$D694)=0,"★《维保合同》里没这个项目",IF(N($K694)&lt;=0,"★应收金额要填",IF(ROUND(N($N694)-N($K694),2)&gt;0.001,"★开票金额大于应收",IF(AND($L694&lt;&gt;"",N($N694)&lt;=0),"★填了开票日期没填开票金额",IF(AND($I694&lt;&gt;"",$J694&lt;&gt;"",$J694&lt;$I694),"★计费期间起止反了","OK")))))))</f>
        <v/>
      </c>
      <c r="U694" s="29" t="str">
        <f aca="false">IF($L694="","",YEAR($L694))</f>
        <v/>
      </c>
      <c r="V694" s="40" t="str">
        <f aca="false">IF($C694="","",ROUND(SUMIF(收款关联,$B694,收款金额),2))</f>
        <v/>
      </c>
      <c r="W694" s="40" t="str">
        <f aca="false">IF($C694="","",MAX(0,ROUND(N($K694)-N($V694),2)))</f>
        <v/>
      </c>
      <c r="X694" s="40" t="str">
        <f aca="false">IF($C694="","",ROUND(SUMIFS(应收净额,应收键,$D694,应收行号,"&lt;="&amp;ROW()),2))</f>
        <v/>
      </c>
      <c r="Y694" s="29" t="str">
        <f aca="false">IF($C694="","",ROW())</f>
        <v/>
      </c>
    </row>
    <row r="695" customFormat="false" ht="15" hidden="false" customHeight="false" outlineLevel="0" collapsed="false">
      <c r="A695" s="29" t="str">
        <f aca="false">IF($C695="","",ROW()-4)</f>
        <v/>
      </c>
      <c r="B695" s="35" t="str">
        <f aca="false">IF($C695="","","YS"&amp;TEXT($C695,"yyyymm")&amp;"-"&amp;TEXT(ROW()-4,"0000"))</f>
        <v/>
      </c>
      <c r="C695" s="33"/>
      <c r="D695" s="24"/>
      <c r="E695" s="30" t="str">
        <f aca="false">IF($D695="","",IFERROR(INDEX(合同单位,MATCH($D695,合同键,0)),IFERROR(TRIM(LEFT($D695,FIND("｜",$D695)-1)),$D695)))</f>
        <v/>
      </c>
      <c r="F695" s="30" t="str">
        <f aca="false">IF($D695="","",IFERROR(INDEX(合同项目,MATCH($D695,合同键,0)),IFERROR(TRIM(MID($D695,FIND("｜",$D695)+1,99)),"")))</f>
        <v/>
      </c>
      <c r="G695" s="24"/>
      <c r="H695" s="35" t="str">
        <f aca="false">IF($G695="","",IFERROR(INDEX(费用款别,MATCH($G695,费用类别表,0)),"合同外款"))</f>
        <v/>
      </c>
      <c r="I695" s="33"/>
      <c r="J695" s="33"/>
      <c r="K695" s="39"/>
      <c r="L695" s="33"/>
      <c r="M695" s="25"/>
      <c r="N695" s="39"/>
      <c r="O695" s="35" t="str">
        <f aca="false">IF($C695="","",IF(N($N695)&lt;=0,"未开票",IF(ROUND(N($N695)-N($K695),2)&gt;=0,"已开票",IFERROR("部分开票 "&amp;TEXT(N($N695)/N($K695),"0%"),"部分开票"))))</f>
        <v/>
      </c>
      <c r="P695" s="40" t="str">
        <f aca="false">IF($C695="","",ROUND($V695+MIN($W695,MAX(0,(SUMIF(收款键,$D695,收款金额)-SUMIFS(收款金额,收款键,$D695,收款关联,"&lt;&gt;"))-($X695-$W695))),2))</f>
        <v/>
      </c>
      <c r="Q695" s="41" t="str">
        <f aca="false">IF($C695="","",ROUND(N($K695)-N($P695),2))</f>
        <v/>
      </c>
      <c r="R695" s="29" t="str">
        <f aca="false">IF($C695="","",YEAR($C695))</f>
        <v/>
      </c>
      <c r="S695" s="24"/>
      <c r="T695" s="35" t="str">
        <f aca="false">IF($C695="","",IF($D695="","★没选客户项目",IF(COUNTIF(合同键,$D695)=0,"★《维保合同》里没这个项目",IF(N($K695)&lt;=0,"★应收金额要填",IF(ROUND(N($N695)-N($K695),2)&gt;0.001,"★开票金额大于应收",IF(AND($L695&lt;&gt;"",N($N695)&lt;=0),"★填了开票日期没填开票金额",IF(AND($I695&lt;&gt;"",$J695&lt;&gt;"",$J695&lt;$I695),"★计费期间起止反了","OK")))))))</f>
        <v/>
      </c>
      <c r="U695" s="29" t="str">
        <f aca="false">IF($L695="","",YEAR($L695))</f>
        <v/>
      </c>
      <c r="V695" s="40" t="str">
        <f aca="false">IF($C695="","",ROUND(SUMIF(收款关联,$B695,收款金额),2))</f>
        <v/>
      </c>
      <c r="W695" s="40" t="str">
        <f aca="false">IF($C695="","",MAX(0,ROUND(N($K695)-N($V695),2)))</f>
        <v/>
      </c>
      <c r="X695" s="40" t="str">
        <f aca="false">IF($C695="","",ROUND(SUMIFS(应收净额,应收键,$D695,应收行号,"&lt;="&amp;ROW()),2))</f>
        <v/>
      </c>
      <c r="Y695" s="29" t="str">
        <f aca="false">IF($C695="","",ROW())</f>
        <v/>
      </c>
    </row>
    <row r="696" customFormat="false" ht="15" hidden="false" customHeight="false" outlineLevel="0" collapsed="false">
      <c r="A696" s="29" t="str">
        <f aca="false">IF($C696="","",ROW()-4)</f>
        <v/>
      </c>
      <c r="B696" s="35" t="str">
        <f aca="false">IF($C696="","","YS"&amp;TEXT($C696,"yyyymm")&amp;"-"&amp;TEXT(ROW()-4,"0000"))</f>
        <v/>
      </c>
      <c r="C696" s="33"/>
      <c r="D696" s="24"/>
      <c r="E696" s="30" t="str">
        <f aca="false">IF($D696="","",IFERROR(INDEX(合同单位,MATCH($D696,合同键,0)),IFERROR(TRIM(LEFT($D696,FIND("｜",$D696)-1)),$D696)))</f>
        <v/>
      </c>
      <c r="F696" s="30" t="str">
        <f aca="false">IF($D696="","",IFERROR(INDEX(合同项目,MATCH($D696,合同键,0)),IFERROR(TRIM(MID($D696,FIND("｜",$D696)+1,99)),"")))</f>
        <v/>
      </c>
      <c r="G696" s="24"/>
      <c r="H696" s="35" t="str">
        <f aca="false">IF($G696="","",IFERROR(INDEX(费用款别,MATCH($G696,费用类别表,0)),"合同外款"))</f>
        <v/>
      </c>
      <c r="I696" s="33"/>
      <c r="J696" s="33"/>
      <c r="K696" s="39"/>
      <c r="L696" s="33"/>
      <c r="M696" s="25"/>
      <c r="N696" s="39"/>
      <c r="O696" s="35" t="str">
        <f aca="false">IF($C696="","",IF(N($N696)&lt;=0,"未开票",IF(ROUND(N($N696)-N($K696),2)&gt;=0,"已开票",IFERROR("部分开票 "&amp;TEXT(N($N696)/N($K696),"0%"),"部分开票"))))</f>
        <v/>
      </c>
      <c r="P696" s="40" t="str">
        <f aca="false">IF($C696="","",ROUND($V696+MIN($W696,MAX(0,(SUMIF(收款键,$D696,收款金额)-SUMIFS(收款金额,收款键,$D696,收款关联,"&lt;&gt;"))-($X696-$W696))),2))</f>
        <v/>
      </c>
      <c r="Q696" s="41" t="str">
        <f aca="false">IF($C696="","",ROUND(N($K696)-N($P696),2))</f>
        <v/>
      </c>
      <c r="R696" s="29" t="str">
        <f aca="false">IF($C696="","",YEAR($C696))</f>
        <v/>
      </c>
      <c r="S696" s="24"/>
      <c r="T696" s="35" t="str">
        <f aca="false">IF($C696="","",IF($D696="","★没选客户项目",IF(COUNTIF(合同键,$D696)=0,"★《维保合同》里没这个项目",IF(N($K696)&lt;=0,"★应收金额要填",IF(ROUND(N($N696)-N($K696),2)&gt;0.001,"★开票金额大于应收",IF(AND($L696&lt;&gt;"",N($N696)&lt;=0),"★填了开票日期没填开票金额",IF(AND($I696&lt;&gt;"",$J696&lt;&gt;"",$J696&lt;$I696),"★计费期间起止反了","OK")))))))</f>
        <v/>
      </c>
      <c r="U696" s="29" t="str">
        <f aca="false">IF($L696="","",YEAR($L696))</f>
        <v/>
      </c>
      <c r="V696" s="40" t="str">
        <f aca="false">IF($C696="","",ROUND(SUMIF(收款关联,$B696,收款金额),2))</f>
        <v/>
      </c>
      <c r="W696" s="40" t="str">
        <f aca="false">IF($C696="","",MAX(0,ROUND(N($K696)-N($V696),2)))</f>
        <v/>
      </c>
      <c r="X696" s="40" t="str">
        <f aca="false">IF($C696="","",ROUND(SUMIFS(应收净额,应收键,$D696,应收行号,"&lt;="&amp;ROW()),2))</f>
        <v/>
      </c>
      <c r="Y696" s="29" t="str">
        <f aca="false">IF($C696="","",ROW())</f>
        <v/>
      </c>
    </row>
    <row r="697" customFormat="false" ht="15" hidden="false" customHeight="false" outlineLevel="0" collapsed="false">
      <c r="A697" s="29" t="str">
        <f aca="false">IF($C697="","",ROW()-4)</f>
        <v/>
      </c>
      <c r="B697" s="35" t="str">
        <f aca="false">IF($C697="","","YS"&amp;TEXT($C697,"yyyymm")&amp;"-"&amp;TEXT(ROW()-4,"0000"))</f>
        <v/>
      </c>
      <c r="C697" s="33"/>
      <c r="D697" s="24"/>
      <c r="E697" s="30" t="str">
        <f aca="false">IF($D697="","",IFERROR(INDEX(合同单位,MATCH($D697,合同键,0)),IFERROR(TRIM(LEFT($D697,FIND("｜",$D697)-1)),$D697)))</f>
        <v/>
      </c>
      <c r="F697" s="30" t="str">
        <f aca="false">IF($D697="","",IFERROR(INDEX(合同项目,MATCH($D697,合同键,0)),IFERROR(TRIM(MID($D697,FIND("｜",$D697)+1,99)),"")))</f>
        <v/>
      </c>
      <c r="G697" s="24"/>
      <c r="H697" s="35" t="str">
        <f aca="false">IF($G697="","",IFERROR(INDEX(费用款别,MATCH($G697,费用类别表,0)),"合同外款"))</f>
        <v/>
      </c>
      <c r="I697" s="33"/>
      <c r="J697" s="33"/>
      <c r="K697" s="39"/>
      <c r="L697" s="33"/>
      <c r="M697" s="25"/>
      <c r="N697" s="39"/>
      <c r="O697" s="35" t="str">
        <f aca="false">IF($C697="","",IF(N($N697)&lt;=0,"未开票",IF(ROUND(N($N697)-N($K697),2)&gt;=0,"已开票",IFERROR("部分开票 "&amp;TEXT(N($N697)/N($K697),"0%"),"部分开票"))))</f>
        <v/>
      </c>
      <c r="P697" s="40" t="str">
        <f aca="false">IF($C697="","",ROUND($V697+MIN($W697,MAX(0,(SUMIF(收款键,$D697,收款金额)-SUMIFS(收款金额,收款键,$D697,收款关联,"&lt;&gt;"))-($X697-$W697))),2))</f>
        <v/>
      </c>
      <c r="Q697" s="41" t="str">
        <f aca="false">IF($C697="","",ROUND(N($K697)-N($P697),2))</f>
        <v/>
      </c>
      <c r="R697" s="29" t="str">
        <f aca="false">IF($C697="","",YEAR($C697))</f>
        <v/>
      </c>
      <c r="S697" s="24"/>
      <c r="T697" s="35" t="str">
        <f aca="false">IF($C697="","",IF($D697="","★没选客户项目",IF(COUNTIF(合同键,$D697)=0,"★《维保合同》里没这个项目",IF(N($K697)&lt;=0,"★应收金额要填",IF(ROUND(N($N697)-N($K697),2)&gt;0.001,"★开票金额大于应收",IF(AND($L697&lt;&gt;"",N($N697)&lt;=0),"★填了开票日期没填开票金额",IF(AND($I697&lt;&gt;"",$J697&lt;&gt;"",$J697&lt;$I697),"★计费期间起止反了","OK")))))))</f>
        <v/>
      </c>
      <c r="U697" s="29" t="str">
        <f aca="false">IF($L697="","",YEAR($L697))</f>
        <v/>
      </c>
      <c r="V697" s="40" t="str">
        <f aca="false">IF($C697="","",ROUND(SUMIF(收款关联,$B697,收款金额),2))</f>
        <v/>
      </c>
      <c r="W697" s="40" t="str">
        <f aca="false">IF($C697="","",MAX(0,ROUND(N($K697)-N($V697),2)))</f>
        <v/>
      </c>
      <c r="X697" s="40" t="str">
        <f aca="false">IF($C697="","",ROUND(SUMIFS(应收净额,应收键,$D697,应收行号,"&lt;="&amp;ROW()),2))</f>
        <v/>
      </c>
      <c r="Y697" s="29" t="str">
        <f aca="false">IF($C697="","",ROW())</f>
        <v/>
      </c>
    </row>
    <row r="698" customFormat="false" ht="15" hidden="false" customHeight="false" outlineLevel="0" collapsed="false">
      <c r="A698" s="29" t="str">
        <f aca="false">IF($C698="","",ROW()-4)</f>
        <v/>
      </c>
      <c r="B698" s="35" t="str">
        <f aca="false">IF($C698="","","YS"&amp;TEXT($C698,"yyyymm")&amp;"-"&amp;TEXT(ROW()-4,"0000"))</f>
        <v/>
      </c>
      <c r="C698" s="33"/>
      <c r="D698" s="24"/>
      <c r="E698" s="30" t="str">
        <f aca="false">IF($D698="","",IFERROR(INDEX(合同单位,MATCH($D698,合同键,0)),IFERROR(TRIM(LEFT($D698,FIND("｜",$D698)-1)),$D698)))</f>
        <v/>
      </c>
      <c r="F698" s="30" t="str">
        <f aca="false">IF($D698="","",IFERROR(INDEX(合同项目,MATCH($D698,合同键,0)),IFERROR(TRIM(MID($D698,FIND("｜",$D698)+1,99)),"")))</f>
        <v/>
      </c>
      <c r="G698" s="24"/>
      <c r="H698" s="35" t="str">
        <f aca="false">IF($G698="","",IFERROR(INDEX(费用款别,MATCH($G698,费用类别表,0)),"合同外款"))</f>
        <v/>
      </c>
      <c r="I698" s="33"/>
      <c r="J698" s="33"/>
      <c r="K698" s="39"/>
      <c r="L698" s="33"/>
      <c r="M698" s="25"/>
      <c r="N698" s="39"/>
      <c r="O698" s="35" t="str">
        <f aca="false">IF($C698="","",IF(N($N698)&lt;=0,"未开票",IF(ROUND(N($N698)-N($K698),2)&gt;=0,"已开票",IFERROR("部分开票 "&amp;TEXT(N($N698)/N($K698),"0%"),"部分开票"))))</f>
        <v/>
      </c>
      <c r="P698" s="40" t="str">
        <f aca="false">IF($C698="","",ROUND($V698+MIN($W698,MAX(0,(SUMIF(收款键,$D698,收款金额)-SUMIFS(收款金额,收款键,$D698,收款关联,"&lt;&gt;"))-($X698-$W698))),2))</f>
        <v/>
      </c>
      <c r="Q698" s="41" t="str">
        <f aca="false">IF($C698="","",ROUND(N($K698)-N($P698),2))</f>
        <v/>
      </c>
      <c r="R698" s="29" t="str">
        <f aca="false">IF($C698="","",YEAR($C698))</f>
        <v/>
      </c>
      <c r="S698" s="24"/>
      <c r="T698" s="35" t="str">
        <f aca="false">IF($C698="","",IF($D698="","★没选客户项目",IF(COUNTIF(合同键,$D698)=0,"★《维保合同》里没这个项目",IF(N($K698)&lt;=0,"★应收金额要填",IF(ROUND(N($N698)-N($K698),2)&gt;0.001,"★开票金额大于应收",IF(AND($L698&lt;&gt;"",N($N698)&lt;=0),"★填了开票日期没填开票金额",IF(AND($I698&lt;&gt;"",$J698&lt;&gt;"",$J698&lt;$I698),"★计费期间起止反了","OK")))))))</f>
        <v/>
      </c>
      <c r="U698" s="29" t="str">
        <f aca="false">IF($L698="","",YEAR($L698))</f>
        <v/>
      </c>
      <c r="V698" s="40" t="str">
        <f aca="false">IF($C698="","",ROUND(SUMIF(收款关联,$B698,收款金额),2))</f>
        <v/>
      </c>
      <c r="W698" s="40" t="str">
        <f aca="false">IF($C698="","",MAX(0,ROUND(N($K698)-N($V698),2)))</f>
        <v/>
      </c>
      <c r="X698" s="40" t="str">
        <f aca="false">IF($C698="","",ROUND(SUMIFS(应收净额,应收键,$D698,应收行号,"&lt;="&amp;ROW()),2))</f>
        <v/>
      </c>
      <c r="Y698" s="29" t="str">
        <f aca="false">IF($C698="","",ROW())</f>
        <v/>
      </c>
    </row>
    <row r="699" customFormat="false" ht="15" hidden="false" customHeight="false" outlineLevel="0" collapsed="false">
      <c r="A699" s="29" t="str">
        <f aca="false">IF($C699="","",ROW()-4)</f>
        <v/>
      </c>
      <c r="B699" s="35" t="str">
        <f aca="false">IF($C699="","","YS"&amp;TEXT($C699,"yyyymm")&amp;"-"&amp;TEXT(ROW()-4,"0000"))</f>
        <v/>
      </c>
      <c r="C699" s="33"/>
      <c r="D699" s="24"/>
      <c r="E699" s="30" t="str">
        <f aca="false">IF($D699="","",IFERROR(INDEX(合同单位,MATCH($D699,合同键,0)),IFERROR(TRIM(LEFT($D699,FIND("｜",$D699)-1)),$D699)))</f>
        <v/>
      </c>
      <c r="F699" s="30" t="str">
        <f aca="false">IF($D699="","",IFERROR(INDEX(合同项目,MATCH($D699,合同键,0)),IFERROR(TRIM(MID($D699,FIND("｜",$D699)+1,99)),"")))</f>
        <v/>
      </c>
      <c r="G699" s="24"/>
      <c r="H699" s="35" t="str">
        <f aca="false">IF($G699="","",IFERROR(INDEX(费用款别,MATCH($G699,费用类别表,0)),"合同外款"))</f>
        <v/>
      </c>
      <c r="I699" s="33"/>
      <c r="J699" s="33"/>
      <c r="K699" s="39"/>
      <c r="L699" s="33"/>
      <c r="M699" s="25"/>
      <c r="N699" s="39"/>
      <c r="O699" s="35" t="str">
        <f aca="false">IF($C699="","",IF(N($N699)&lt;=0,"未开票",IF(ROUND(N($N699)-N($K699),2)&gt;=0,"已开票",IFERROR("部分开票 "&amp;TEXT(N($N699)/N($K699),"0%"),"部分开票"))))</f>
        <v/>
      </c>
      <c r="P699" s="40" t="str">
        <f aca="false">IF($C699="","",ROUND($V699+MIN($W699,MAX(0,(SUMIF(收款键,$D699,收款金额)-SUMIFS(收款金额,收款键,$D699,收款关联,"&lt;&gt;"))-($X699-$W699))),2))</f>
        <v/>
      </c>
      <c r="Q699" s="41" t="str">
        <f aca="false">IF($C699="","",ROUND(N($K699)-N($P699),2))</f>
        <v/>
      </c>
      <c r="R699" s="29" t="str">
        <f aca="false">IF($C699="","",YEAR($C699))</f>
        <v/>
      </c>
      <c r="S699" s="24"/>
      <c r="T699" s="35" t="str">
        <f aca="false">IF($C699="","",IF($D699="","★没选客户项目",IF(COUNTIF(合同键,$D699)=0,"★《维保合同》里没这个项目",IF(N($K699)&lt;=0,"★应收金额要填",IF(ROUND(N($N699)-N($K699),2)&gt;0.001,"★开票金额大于应收",IF(AND($L699&lt;&gt;"",N($N699)&lt;=0),"★填了开票日期没填开票金额",IF(AND($I699&lt;&gt;"",$J699&lt;&gt;"",$J699&lt;$I699),"★计费期间起止反了","OK")))))))</f>
        <v/>
      </c>
      <c r="U699" s="29" t="str">
        <f aca="false">IF($L699="","",YEAR($L699))</f>
        <v/>
      </c>
      <c r="V699" s="40" t="str">
        <f aca="false">IF($C699="","",ROUND(SUMIF(收款关联,$B699,收款金额),2))</f>
        <v/>
      </c>
      <c r="W699" s="40" t="str">
        <f aca="false">IF($C699="","",MAX(0,ROUND(N($K699)-N($V699),2)))</f>
        <v/>
      </c>
      <c r="X699" s="40" t="str">
        <f aca="false">IF($C699="","",ROUND(SUMIFS(应收净额,应收键,$D699,应收行号,"&lt;="&amp;ROW()),2))</f>
        <v/>
      </c>
      <c r="Y699" s="29" t="str">
        <f aca="false">IF($C699="","",ROW())</f>
        <v/>
      </c>
    </row>
    <row r="700" customFormat="false" ht="15" hidden="false" customHeight="false" outlineLevel="0" collapsed="false">
      <c r="A700" s="29" t="str">
        <f aca="false">IF($C700="","",ROW()-4)</f>
        <v/>
      </c>
      <c r="B700" s="35" t="str">
        <f aca="false">IF($C700="","","YS"&amp;TEXT($C700,"yyyymm")&amp;"-"&amp;TEXT(ROW()-4,"0000"))</f>
        <v/>
      </c>
      <c r="C700" s="33"/>
      <c r="D700" s="24"/>
      <c r="E700" s="30" t="str">
        <f aca="false">IF($D700="","",IFERROR(INDEX(合同单位,MATCH($D700,合同键,0)),IFERROR(TRIM(LEFT($D700,FIND("｜",$D700)-1)),$D700)))</f>
        <v/>
      </c>
      <c r="F700" s="30" t="str">
        <f aca="false">IF($D700="","",IFERROR(INDEX(合同项目,MATCH($D700,合同键,0)),IFERROR(TRIM(MID($D700,FIND("｜",$D700)+1,99)),"")))</f>
        <v/>
      </c>
      <c r="G700" s="24"/>
      <c r="H700" s="35" t="str">
        <f aca="false">IF($G700="","",IFERROR(INDEX(费用款别,MATCH($G700,费用类别表,0)),"合同外款"))</f>
        <v/>
      </c>
      <c r="I700" s="33"/>
      <c r="J700" s="33"/>
      <c r="K700" s="39"/>
      <c r="L700" s="33"/>
      <c r="M700" s="25"/>
      <c r="N700" s="39"/>
      <c r="O700" s="35" t="str">
        <f aca="false">IF($C700="","",IF(N($N700)&lt;=0,"未开票",IF(ROUND(N($N700)-N($K700),2)&gt;=0,"已开票",IFERROR("部分开票 "&amp;TEXT(N($N700)/N($K700),"0%"),"部分开票"))))</f>
        <v/>
      </c>
      <c r="P700" s="40" t="str">
        <f aca="false">IF($C700="","",ROUND($V700+MIN($W700,MAX(0,(SUMIF(收款键,$D700,收款金额)-SUMIFS(收款金额,收款键,$D700,收款关联,"&lt;&gt;"))-($X700-$W700))),2))</f>
        <v/>
      </c>
      <c r="Q700" s="41" t="str">
        <f aca="false">IF($C700="","",ROUND(N($K700)-N($P700),2))</f>
        <v/>
      </c>
      <c r="R700" s="29" t="str">
        <f aca="false">IF($C700="","",YEAR($C700))</f>
        <v/>
      </c>
      <c r="S700" s="24"/>
      <c r="T700" s="35" t="str">
        <f aca="false">IF($C700="","",IF($D700="","★没选客户项目",IF(COUNTIF(合同键,$D700)=0,"★《维保合同》里没这个项目",IF(N($K700)&lt;=0,"★应收金额要填",IF(ROUND(N($N700)-N($K700),2)&gt;0.001,"★开票金额大于应收",IF(AND($L700&lt;&gt;"",N($N700)&lt;=0),"★填了开票日期没填开票金额",IF(AND($I700&lt;&gt;"",$J700&lt;&gt;"",$J700&lt;$I700),"★计费期间起止反了","OK")))))))</f>
        <v/>
      </c>
      <c r="U700" s="29" t="str">
        <f aca="false">IF($L700="","",YEAR($L700))</f>
        <v/>
      </c>
      <c r="V700" s="40" t="str">
        <f aca="false">IF($C700="","",ROUND(SUMIF(收款关联,$B700,收款金额),2))</f>
        <v/>
      </c>
      <c r="W700" s="40" t="str">
        <f aca="false">IF($C700="","",MAX(0,ROUND(N($K700)-N($V700),2)))</f>
        <v/>
      </c>
      <c r="X700" s="40" t="str">
        <f aca="false">IF($C700="","",ROUND(SUMIFS(应收净额,应收键,$D700,应收行号,"&lt;="&amp;ROW()),2))</f>
        <v/>
      </c>
      <c r="Y700" s="29" t="str">
        <f aca="false">IF($C700="","",ROW())</f>
        <v/>
      </c>
    </row>
    <row r="701" customFormat="false" ht="15" hidden="false" customHeight="false" outlineLevel="0" collapsed="false">
      <c r="A701" s="29" t="str">
        <f aca="false">IF($C701="","",ROW()-4)</f>
        <v/>
      </c>
      <c r="B701" s="35" t="str">
        <f aca="false">IF($C701="","","YS"&amp;TEXT($C701,"yyyymm")&amp;"-"&amp;TEXT(ROW()-4,"0000"))</f>
        <v/>
      </c>
      <c r="C701" s="33"/>
      <c r="D701" s="24"/>
      <c r="E701" s="30" t="str">
        <f aca="false">IF($D701="","",IFERROR(INDEX(合同单位,MATCH($D701,合同键,0)),IFERROR(TRIM(LEFT($D701,FIND("｜",$D701)-1)),$D701)))</f>
        <v/>
      </c>
      <c r="F701" s="30" t="str">
        <f aca="false">IF($D701="","",IFERROR(INDEX(合同项目,MATCH($D701,合同键,0)),IFERROR(TRIM(MID($D701,FIND("｜",$D701)+1,99)),"")))</f>
        <v/>
      </c>
      <c r="G701" s="24"/>
      <c r="H701" s="35" t="str">
        <f aca="false">IF($G701="","",IFERROR(INDEX(费用款别,MATCH($G701,费用类别表,0)),"合同外款"))</f>
        <v/>
      </c>
      <c r="I701" s="33"/>
      <c r="J701" s="33"/>
      <c r="K701" s="39"/>
      <c r="L701" s="33"/>
      <c r="M701" s="25"/>
      <c r="N701" s="39"/>
      <c r="O701" s="35" t="str">
        <f aca="false">IF($C701="","",IF(N($N701)&lt;=0,"未开票",IF(ROUND(N($N701)-N($K701),2)&gt;=0,"已开票",IFERROR("部分开票 "&amp;TEXT(N($N701)/N($K701),"0%"),"部分开票"))))</f>
        <v/>
      </c>
      <c r="P701" s="40" t="str">
        <f aca="false">IF($C701="","",ROUND($V701+MIN($W701,MAX(0,(SUMIF(收款键,$D701,收款金额)-SUMIFS(收款金额,收款键,$D701,收款关联,"&lt;&gt;"))-($X701-$W701))),2))</f>
        <v/>
      </c>
      <c r="Q701" s="41" t="str">
        <f aca="false">IF($C701="","",ROUND(N($K701)-N($P701),2))</f>
        <v/>
      </c>
      <c r="R701" s="29" t="str">
        <f aca="false">IF($C701="","",YEAR($C701))</f>
        <v/>
      </c>
      <c r="S701" s="24"/>
      <c r="T701" s="35" t="str">
        <f aca="false">IF($C701="","",IF($D701="","★没选客户项目",IF(COUNTIF(合同键,$D701)=0,"★《维保合同》里没这个项目",IF(N($K701)&lt;=0,"★应收金额要填",IF(ROUND(N($N701)-N($K701),2)&gt;0.001,"★开票金额大于应收",IF(AND($L701&lt;&gt;"",N($N701)&lt;=0),"★填了开票日期没填开票金额",IF(AND($I701&lt;&gt;"",$J701&lt;&gt;"",$J701&lt;$I701),"★计费期间起止反了","OK")))))))</f>
        <v/>
      </c>
      <c r="U701" s="29" t="str">
        <f aca="false">IF($L701="","",YEAR($L701))</f>
        <v/>
      </c>
      <c r="V701" s="40" t="str">
        <f aca="false">IF($C701="","",ROUND(SUMIF(收款关联,$B701,收款金额),2))</f>
        <v/>
      </c>
      <c r="W701" s="40" t="str">
        <f aca="false">IF($C701="","",MAX(0,ROUND(N($K701)-N($V701),2)))</f>
        <v/>
      </c>
      <c r="X701" s="40" t="str">
        <f aca="false">IF($C701="","",ROUND(SUMIFS(应收净额,应收键,$D701,应收行号,"&lt;="&amp;ROW()),2))</f>
        <v/>
      </c>
      <c r="Y701" s="29" t="str">
        <f aca="false">IF($C701="","",ROW())</f>
        <v/>
      </c>
    </row>
    <row r="702" customFormat="false" ht="15" hidden="false" customHeight="false" outlineLevel="0" collapsed="false">
      <c r="A702" s="29" t="str">
        <f aca="false">IF($C702="","",ROW()-4)</f>
        <v/>
      </c>
      <c r="B702" s="35" t="str">
        <f aca="false">IF($C702="","","YS"&amp;TEXT($C702,"yyyymm")&amp;"-"&amp;TEXT(ROW()-4,"0000"))</f>
        <v/>
      </c>
      <c r="C702" s="33"/>
      <c r="D702" s="24"/>
      <c r="E702" s="30" t="str">
        <f aca="false">IF($D702="","",IFERROR(INDEX(合同单位,MATCH($D702,合同键,0)),IFERROR(TRIM(LEFT($D702,FIND("｜",$D702)-1)),$D702)))</f>
        <v/>
      </c>
      <c r="F702" s="30" t="str">
        <f aca="false">IF($D702="","",IFERROR(INDEX(合同项目,MATCH($D702,合同键,0)),IFERROR(TRIM(MID($D702,FIND("｜",$D702)+1,99)),"")))</f>
        <v/>
      </c>
      <c r="G702" s="24"/>
      <c r="H702" s="35" t="str">
        <f aca="false">IF($G702="","",IFERROR(INDEX(费用款别,MATCH($G702,费用类别表,0)),"合同外款"))</f>
        <v/>
      </c>
      <c r="I702" s="33"/>
      <c r="J702" s="33"/>
      <c r="K702" s="39"/>
      <c r="L702" s="33"/>
      <c r="M702" s="25"/>
      <c r="N702" s="39"/>
      <c r="O702" s="35" t="str">
        <f aca="false">IF($C702="","",IF(N($N702)&lt;=0,"未开票",IF(ROUND(N($N702)-N($K702),2)&gt;=0,"已开票",IFERROR("部分开票 "&amp;TEXT(N($N702)/N($K702),"0%"),"部分开票"))))</f>
        <v/>
      </c>
      <c r="P702" s="40" t="str">
        <f aca="false">IF($C702="","",ROUND($V702+MIN($W702,MAX(0,(SUMIF(收款键,$D702,收款金额)-SUMIFS(收款金额,收款键,$D702,收款关联,"&lt;&gt;"))-($X702-$W702))),2))</f>
        <v/>
      </c>
      <c r="Q702" s="41" t="str">
        <f aca="false">IF($C702="","",ROUND(N($K702)-N($P702),2))</f>
        <v/>
      </c>
      <c r="R702" s="29" t="str">
        <f aca="false">IF($C702="","",YEAR($C702))</f>
        <v/>
      </c>
      <c r="S702" s="24"/>
      <c r="T702" s="35" t="str">
        <f aca="false">IF($C702="","",IF($D702="","★没选客户项目",IF(COUNTIF(合同键,$D702)=0,"★《维保合同》里没这个项目",IF(N($K702)&lt;=0,"★应收金额要填",IF(ROUND(N($N702)-N($K702),2)&gt;0.001,"★开票金额大于应收",IF(AND($L702&lt;&gt;"",N($N702)&lt;=0),"★填了开票日期没填开票金额",IF(AND($I702&lt;&gt;"",$J702&lt;&gt;"",$J702&lt;$I702),"★计费期间起止反了","OK")))))))</f>
        <v/>
      </c>
      <c r="U702" s="29" t="str">
        <f aca="false">IF($L702="","",YEAR($L702))</f>
        <v/>
      </c>
      <c r="V702" s="40" t="str">
        <f aca="false">IF($C702="","",ROUND(SUMIF(收款关联,$B702,收款金额),2))</f>
        <v/>
      </c>
      <c r="W702" s="40" t="str">
        <f aca="false">IF($C702="","",MAX(0,ROUND(N($K702)-N($V702),2)))</f>
        <v/>
      </c>
      <c r="X702" s="40" t="str">
        <f aca="false">IF($C702="","",ROUND(SUMIFS(应收净额,应收键,$D702,应收行号,"&lt;="&amp;ROW()),2))</f>
        <v/>
      </c>
      <c r="Y702" s="29" t="str">
        <f aca="false">IF($C702="","",ROW())</f>
        <v/>
      </c>
    </row>
    <row r="703" customFormat="false" ht="15" hidden="false" customHeight="false" outlineLevel="0" collapsed="false">
      <c r="A703" s="29" t="str">
        <f aca="false">IF($C703="","",ROW()-4)</f>
        <v/>
      </c>
      <c r="B703" s="35" t="str">
        <f aca="false">IF($C703="","","YS"&amp;TEXT($C703,"yyyymm")&amp;"-"&amp;TEXT(ROW()-4,"0000"))</f>
        <v/>
      </c>
      <c r="C703" s="33"/>
      <c r="D703" s="24"/>
      <c r="E703" s="30" t="str">
        <f aca="false">IF($D703="","",IFERROR(INDEX(合同单位,MATCH($D703,合同键,0)),IFERROR(TRIM(LEFT($D703,FIND("｜",$D703)-1)),$D703)))</f>
        <v/>
      </c>
      <c r="F703" s="30" t="str">
        <f aca="false">IF($D703="","",IFERROR(INDEX(合同项目,MATCH($D703,合同键,0)),IFERROR(TRIM(MID($D703,FIND("｜",$D703)+1,99)),"")))</f>
        <v/>
      </c>
      <c r="G703" s="24"/>
      <c r="H703" s="35" t="str">
        <f aca="false">IF($G703="","",IFERROR(INDEX(费用款别,MATCH($G703,费用类别表,0)),"合同外款"))</f>
        <v/>
      </c>
      <c r="I703" s="33"/>
      <c r="J703" s="33"/>
      <c r="K703" s="39"/>
      <c r="L703" s="33"/>
      <c r="M703" s="25"/>
      <c r="N703" s="39"/>
      <c r="O703" s="35" t="str">
        <f aca="false">IF($C703="","",IF(N($N703)&lt;=0,"未开票",IF(ROUND(N($N703)-N($K703),2)&gt;=0,"已开票",IFERROR("部分开票 "&amp;TEXT(N($N703)/N($K703),"0%"),"部分开票"))))</f>
        <v/>
      </c>
      <c r="P703" s="40" t="str">
        <f aca="false">IF($C703="","",ROUND($V703+MIN($W703,MAX(0,(SUMIF(收款键,$D703,收款金额)-SUMIFS(收款金额,收款键,$D703,收款关联,"&lt;&gt;"))-($X703-$W703))),2))</f>
        <v/>
      </c>
      <c r="Q703" s="41" t="str">
        <f aca="false">IF($C703="","",ROUND(N($K703)-N($P703),2))</f>
        <v/>
      </c>
      <c r="R703" s="29" t="str">
        <f aca="false">IF($C703="","",YEAR($C703))</f>
        <v/>
      </c>
      <c r="S703" s="24"/>
      <c r="T703" s="35" t="str">
        <f aca="false">IF($C703="","",IF($D703="","★没选客户项目",IF(COUNTIF(合同键,$D703)=0,"★《维保合同》里没这个项目",IF(N($K703)&lt;=0,"★应收金额要填",IF(ROUND(N($N703)-N($K703),2)&gt;0.001,"★开票金额大于应收",IF(AND($L703&lt;&gt;"",N($N703)&lt;=0),"★填了开票日期没填开票金额",IF(AND($I703&lt;&gt;"",$J703&lt;&gt;"",$J703&lt;$I703),"★计费期间起止反了","OK")))))))</f>
        <v/>
      </c>
      <c r="U703" s="29" t="str">
        <f aca="false">IF($L703="","",YEAR($L703))</f>
        <v/>
      </c>
      <c r="V703" s="40" t="str">
        <f aca="false">IF($C703="","",ROUND(SUMIF(收款关联,$B703,收款金额),2))</f>
        <v/>
      </c>
      <c r="W703" s="40" t="str">
        <f aca="false">IF($C703="","",MAX(0,ROUND(N($K703)-N($V703),2)))</f>
        <v/>
      </c>
      <c r="X703" s="40" t="str">
        <f aca="false">IF($C703="","",ROUND(SUMIFS(应收净额,应收键,$D703,应收行号,"&lt;="&amp;ROW()),2))</f>
        <v/>
      </c>
      <c r="Y703" s="29" t="str">
        <f aca="false">IF($C703="","",ROW())</f>
        <v/>
      </c>
    </row>
    <row r="704" customFormat="false" ht="15" hidden="false" customHeight="false" outlineLevel="0" collapsed="false">
      <c r="A704" s="29" t="str">
        <f aca="false">IF($C704="","",ROW()-4)</f>
        <v/>
      </c>
      <c r="B704" s="35" t="str">
        <f aca="false">IF($C704="","","YS"&amp;TEXT($C704,"yyyymm")&amp;"-"&amp;TEXT(ROW()-4,"0000"))</f>
        <v/>
      </c>
      <c r="C704" s="33"/>
      <c r="D704" s="24"/>
      <c r="E704" s="30" t="str">
        <f aca="false">IF($D704="","",IFERROR(INDEX(合同单位,MATCH($D704,合同键,0)),IFERROR(TRIM(LEFT($D704,FIND("｜",$D704)-1)),$D704)))</f>
        <v/>
      </c>
      <c r="F704" s="30" t="str">
        <f aca="false">IF($D704="","",IFERROR(INDEX(合同项目,MATCH($D704,合同键,0)),IFERROR(TRIM(MID($D704,FIND("｜",$D704)+1,99)),"")))</f>
        <v/>
      </c>
      <c r="G704" s="24"/>
      <c r="H704" s="35" t="str">
        <f aca="false">IF($G704="","",IFERROR(INDEX(费用款别,MATCH($G704,费用类别表,0)),"合同外款"))</f>
        <v/>
      </c>
      <c r="I704" s="33"/>
      <c r="J704" s="33"/>
      <c r="K704" s="39"/>
      <c r="L704" s="33"/>
      <c r="M704" s="25"/>
      <c r="N704" s="39"/>
      <c r="O704" s="35" t="str">
        <f aca="false">IF($C704="","",IF(N($N704)&lt;=0,"未开票",IF(ROUND(N($N704)-N($K704),2)&gt;=0,"已开票",IFERROR("部分开票 "&amp;TEXT(N($N704)/N($K704),"0%"),"部分开票"))))</f>
        <v/>
      </c>
      <c r="P704" s="40" t="str">
        <f aca="false">IF($C704="","",ROUND($V704+MIN($W704,MAX(0,(SUMIF(收款键,$D704,收款金额)-SUMIFS(收款金额,收款键,$D704,收款关联,"&lt;&gt;"))-($X704-$W704))),2))</f>
        <v/>
      </c>
      <c r="Q704" s="41" t="str">
        <f aca="false">IF($C704="","",ROUND(N($K704)-N($P704),2))</f>
        <v/>
      </c>
      <c r="R704" s="29" t="str">
        <f aca="false">IF($C704="","",YEAR($C704))</f>
        <v/>
      </c>
      <c r="S704" s="24"/>
      <c r="T704" s="35" t="str">
        <f aca="false">IF($C704="","",IF($D704="","★没选客户项目",IF(COUNTIF(合同键,$D704)=0,"★《维保合同》里没这个项目",IF(N($K704)&lt;=0,"★应收金额要填",IF(ROUND(N($N704)-N($K704),2)&gt;0.001,"★开票金额大于应收",IF(AND($L704&lt;&gt;"",N($N704)&lt;=0),"★填了开票日期没填开票金额",IF(AND($I704&lt;&gt;"",$J704&lt;&gt;"",$J704&lt;$I704),"★计费期间起止反了","OK")))))))</f>
        <v/>
      </c>
      <c r="U704" s="29" t="str">
        <f aca="false">IF($L704="","",YEAR($L704))</f>
        <v/>
      </c>
      <c r="V704" s="40" t="str">
        <f aca="false">IF($C704="","",ROUND(SUMIF(收款关联,$B704,收款金额),2))</f>
        <v/>
      </c>
      <c r="W704" s="40" t="str">
        <f aca="false">IF($C704="","",MAX(0,ROUND(N($K704)-N($V704),2)))</f>
        <v/>
      </c>
      <c r="X704" s="40" t="str">
        <f aca="false">IF($C704="","",ROUND(SUMIFS(应收净额,应收键,$D704,应收行号,"&lt;="&amp;ROW()),2))</f>
        <v/>
      </c>
      <c r="Y704" s="29" t="str">
        <f aca="false">IF($C704="","",ROW())</f>
        <v/>
      </c>
    </row>
    <row r="705" customFormat="false" ht="15" hidden="false" customHeight="false" outlineLevel="0" collapsed="false">
      <c r="A705" s="29" t="str">
        <f aca="false">IF($C705="","",ROW()-4)</f>
        <v/>
      </c>
      <c r="B705" s="35" t="str">
        <f aca="false">IF($C705="","","YS"&amp;TEXT($C705,"yyyymm")&amp;"-"&amp;TEXT(ROW()-4,"0000"))</f>
        <v/>
      </c>
      <c r="C705" s="33"/>
      <c r="D705" s="24"/>
      <c r="E705" s="30" t="str">
        <f aca="false">IF($D705="","",IFERROR(INDEX(合同单位,MATCH($D705,合同键,0)),IFERROR(TRIM(LEFT($D705,FIND("｜",$D705)-1)),$D705)))</f>
        <v/>
      </c>
      <c r="F705" s="30" t="str">
        <f aca="false">IF($D705="","",IFERROR(INDEX(合同项目,MATCH($D705,合同键,0)),IFERROR(TRIM(MID($D705,FIND("｜",$D705)+1,99)),"")))</f>
        <v/>
      </c>
      <c r="G705" s="24"/>
      <c r="H705" s="35" t="str">
        <f aca="false">IF($G705="","",IFERROR(INDEX(费用款别,MATCH($G705,费用类别表,0)),"合同外款"))</f>
        <v/>
      </c>
      <c r="I705" s="33"/>
      <c r="J705" s="33"/>
      <c r="K705" s="39"/>
      <c r="L705" s="33"/>
      <c r="M705" s="25"/>
      <c r="N705" s="39"/>
      <c r="O705" s="35" t="str">
        <f aca="false">IF($C705="","",IF(N($N705)&lt;=0,"未开票",IF(ROUND(N($N705)-N($K705),2)&gt;=0,"已开票",IFERROR("部分开票 "&amp;TEXT(N($N705)/N($K705),"0%"),"部分开票"))))</f>
        <v/>
      </c>
      <c r="P705" s="40" t="str">
        <f aca="false">IF($C705="","",ROUND($V705+MIN($W705,MAX(0,(SUMIF(收款键,$D705,收款金额)-SUMIFS(收款金额,收款键,$D705,收款关联,"&lt;&gt;"))-($X705-$W705))),2))</f>
        <v/>
      </c>
      <c r="Q705" s="41" t="str">
        <f aca="false">IF($C705="","",ROUND(N($K705)-N($P705),2))</f>
        <v/>
      </c>
      <c r="R705" s="29" t="str">
        <f aca="false">IF($C705="","",YEAR($C705))</f>
        <v/>
      </c>
      <c r="S705" s="24"/>
      <c r="T705" s="35" t="str">
        <f aca="false">IF($C705="","",IF($D705="","★没选客户项目",IF(COUNTIF(合同键,$D705)=0,"★《维保合同》里没这个项目",IF(N($K705)&lt;=0,"★应收金额要填",IF(ROUND(N($N705)-N($K705),2)&gt;0.001,"★开票金额大于应收",IF(AND($L705&lt;&gt;"",N($N705)&lt;=0),"★填了开票日期没填开票金额",IF(AND($I705&lt;&gt;"",$J705&lt;&gt;"",$J705&lt;$I705),"★计费期间起止反了","OK")))))))</f>
        <v/>
      </c>
      <c r="U705" s="29" t="str">
        <f aca="false">IF($L705="","",YEAR($L705))</f>
        <v/>
      </c>
      <c r="V705" s="40" t="str">
        <f aca="false">IF($C705="","",ROUND(SUMIF(收款关联,$B705,收款金额),2))</f>
        <v/>
      </c>
      <c r="W705" s="40" t="str">
        <f aca="false">IF($C705="","",MAX(0,ROUND(N($K705)-N($V705),2)))</f>
        <v/>
      </c>
      <c r="X705" s="40" t="str">
        <f aca="false">IF($C705="","",ROUND(SUMIFS(应收净额,应收键,$D705,应收行号,"&lt;="&amp;ROW()),2))</f>
        <v/>
      </c>
      <c r="Y705" s="29" t="str">
        <f aca="false">IF($C705="","",ROW())</f>
        <v/>
      </c>
    </row>
    <row r="706" customFormat="false" ht="15" hidden="false" customHeight="false" outlineLevel="0" collapsed="false">
      <c r="A706" s="29" t="str">
        <f aca="false">IF($C706="","",ROW()-4)</f>
        <v/>
      </c>
      <c r="B706" s="35" t="str">
        <f aca="false">IF($C706="","","YS"&amp;TEXT($C706,"yyyymm")&amp;"-"&amp;TEXT(ROW()-4,"0000"))</f>
        <v/>
      </c>
      <c r="C706" s="33"/>
      <c r="D706" s="24"/>
      <c r="E706" s="30" t="str">
        <f aca="false">IF($D706="","",IFERROR(INDEX(合同单位,MATCH($D706,合同键,0)),IFERROR(TRIM(LEFT($D706,FIND("｜",$D706)-1)),$D706)))</f>
        <v/>
      </c>
      <c r="F706" s="30" t="str">
        <f aca="false">IF($D706="","",IFERROR(INDEX(合同项目,MATCH($D706,合同键,0)),IFERROR(TRIM(MID($D706,FIND("｜",$D706)+1,99)),"")))</f>
        <v/>
      </c>
      <c r="G706" s="24"/>
      <c r="H706" s="35" t="str">
        <f aca="false">IF($G706="","",IFERROR(INDEX(费用款别,MATCH($G706,费用类别表,0)),"合同外款"))</f>
        <v/>
      </c>
      <c r="I706" s="33"/>
      <c r="J706" s="33"/>
      <c r="K706" s="39"/>
      <c r="L706" s="33"/>
      <c r="M706" s="25"/>
      <c r="N706" s="39"/>
      <c r="O706" s="35" t="str">
        <f aca="false">IF($C706="","",IF(N($N706)&lt;=0,"未开票",IF(ROUND(N($N706)-N($K706),2)&gt;=0,"已开票",IFERROR("部分开票 "&amp;TEXT(N($N706)/N($K706),"0%"),"部分开票"))))</f>
        <v/>
      </c>
      <c r="P706" s="40" t="str">
        <f aca="false">IF($C706="","",ROUND($V706+MIN($W706,MAX(0,(SUMIF(收款键,$D706,收款金额)-SUMIFS(收款金额,收款键,$D706,收款关联,"&lt;&gt;"))-($X706-$W706))),2))</f>
        <v/>
      </c>
      <c r="Q706" s="41" t="str">
        <f aca="false">IF($C706="","",ROUND(N($K706)-N($P706),2))</f>
        <v/>
      </c>
      <c r="R706" s="29" t="str">
        <f aca="false">IF($C706="","",YEAR($C706))</f>
        <v/>
      </c>
      <c r="S706" s="24"/>
      <c r="T706" s="35" t="str">
        <f aca="false">IF($C706="","",IF($D706="","★没选客户项目",IF(COUNTIF(合同键,$D706)=0,"★《维保合同》里没这个项目",IF(N($K706)&lt;=0,"★应收金额要填",IF(ROUND(N($N706)-N($K706),2)&gt;0.001,"★开票金额大于应收",IF(AND($L706&lt;&gt;"",N($N706)&lt;=0),"★填了开票日期没填开票金额",IF(AND($I706&lt;&gt;"",$J706&lt;&gt;"",$J706&lt;$I706),"★计费期间起止反了","OK")))))))</f>
        <v/>
      </c>
      <c r="U706" s="29" t="str">
        <f aca="false">IF($L706="","",YEAR($L706))</f>
        <v/>
      </c>
      <c r="V706" s="40" t="str">
        <f aca="false">IF($C706="","",ROUND(SUMIF(收款关联,$B706,收款金额),2))</f>
        <v/>
      </c>
      <c r="W706" s="40" t="str">
        <f aca="false">IF($C706="","",MAX(0,ROUND(N($K706)-N($V706),2)))</f>
        <v/>
      </c>
      <c r="X706" s="40" t="str">
        <f aca="false">IF($C706="","",ROUND(SUMIFS(应收净额,应收键,$D706,应收行号,"&lt;="&amp;ROW()),2))</f>
        <v/>
      </c>
      <c r="Y706" s="29" t="str">
        <f aca="false">IF($C706="","",ROW())</f>
        <v/>
      </c>
    </row>
    <row r="707" customFormat="false" ht="15" hidden="false" customHeight="false" outlineLevel="0" collapsed="false">
      <c r="A707" s="29" t="str">
        <f aca="false">IF($C707="","",ROW()-4)</f>
        <v/>
      </c>
      <c r="B707" s="35" t="str">
        <f aca="false">IF($C707="","","YS"&amp;TEXT($C707,"yyyymm")&amp;"-"&amp;TEXT(ROW()-4,"0000"))</f>
        <v/>
      </c>
      <c r="C707" s="33"/>
      <c r="D707" s="24"/>
      <c r="E707" s="30" t="str">
        <f aca="false">IF($D707="","",IFERROR(INDEX(合同单位,MATCH($D707,合同键,0)),IFERROR(TRIM(LEFT($D707,FIND("｜",$D707)-1)),$D707)))</f>
        <v/>
      </c>
      <c r="F707" s="30" t="str">
        <f aca="false">IF($D707="","",IFERROR(INDEX(合同项目,MATCH($D707,合同键,0)),IFERROR(TRIM(MID($D707,FIND("｜",$D707)+1,99)),"")))</f>
        <v/>
      </c>
      <c r="G707" s="24"/>
      <c r="H707" s="35" t="str">
        <f aca="false">IF($G707="","",IFERROR(INDEX(费用款别,MATCH($G707,费用类别表,0)),"合同外款"))</f>
        <v/>
      </c>
      <c r="I707" s="33"/>
      <c r="J707" s="33"/>
      <c r="K707" s="39"/>
      <c r="L707" s="33"/>
      <c r="M707" s="25"/>
      <c r="N707" s="39"/>
      <c r="O707" s="35" t="str">
        <f aca="false">IF($C707="","",IF(N($N707)&lt;=0,"未开票",IF(ROUND(N($N707)-N($K707),2)&gt;=0,"已开票",IFERROR("部分开票 "&amp;TEXT(N($N707)/N($K707),"0%"),"部分开票"))))</f>
        <v/>
      </c>
      <c r="P707" s="40" t="str">
        <f aca="false">IF($C707="","",ROUND($V707+MIN($W707,MAX(0,(SUMIF(收款键,$D707,收款金额)-SUMIFS(收款金额,收款键,$D707,收款关联,"&lt;&gt;"))-($X707-$W707))),2))</f>
        <v/>
      </c>
      <c r="Q707" s="41" t="str">
        <f aca="false">IF($C707="","",ROUND(N($K707)-N($P707),2))</f>
        <v/>
      </c>
      <c r="R707" s="29" t="str">
        <f aca="false">IF($C707="","",YEAR($C707))</f>
        <v/>
      </c>
      <c r="S707" s="24"/>
      <c r="T707" s="35" t="str">
        <f aca="false">IF($C707="","",IF($D707="","★没选客户项目",IF(COUNTIF(合同键,$D707)=0,"★《维保合同》里没这个项目",IF(N($K707)&lt;=0,"★应收金额要填",IF(ROUND(N($N707)-N($K707),2)&gt;0.001,"★开票金额大于应收",IF(AND($L707&lt;&gt;"",N($N707)&lt;=0),"★填了开票日期没填开票金额",IF(AND($I707&lt;&gt;"",$J707&lt;&gt;"",$J707&lt;$I707),"★计费期间起止反了","OK")))))))</f>
        <v/>
      </c>
      <c r="U707" s="29" t="str">
        <f aca="false">IF($L707="","",YEAR($L707))</f>
        <v/>
      </c>
      <c r="V707" s="40" t="str">
        <f aca="false">IF($C707="","",ROUND(SUMIF(收款关联,$B707,收款金额),2))</f>
        <v/>
      </c>
      <c r="W707" s="40" t="str">
        <f aca="false">IF($C707="","",MAX(0,ROUND(N($K707)-N($V707),2)))</f>
        <v/>
      </c>
      <c r="X707" s="40" t="str">
        <f aca="false">IF($C707="","",ROUND(SUMIFS(应收净额,应收键,$D707,应收行号,"&lt;="&amp;ROW()),2))</f>
        <v/>
      </c>
      <c r="Y707" s="29" t="str">
        <f aca="false">IF($C707="","",ROW())</f>
        <v/>
      </c>
    </row>
    <row r="708" customFormat="false" ht="15" hidden="false" customHeight="false" outlineLevel="0" collapsed="false">
      <c r="A708" s="29" t="str">
        <f aca="false">IF($C708="","",ROW()-4)</f>
        <v/>
      </c>
      <c r="B708" s="35" t="str">
        <f aca="false">IF($C708="","","YS"&amp;TEXT($C708,"yyyymm")&amp;"-"&amp;TEXT(ROW()-4,"0000"))</f>
        <v/>
      </c>
      <c r="C708" s="33"/>
      <c r="D708" s="24"/>
      <c r="E708" s="30" t="str">
        <f aca="false">IF($D708="","",IFERROR(INDEX(合同单位,MATCH($D708,合同键,0)),IFERROR(TRIM(LEFT($D708,FIND("｜",$D708)-1)),$D708)))</f>
        <v/>
      </c>
      <c r="F708" s="30" t="str">
        <f aca="false">IF($D708="","",IFERROR(INDEX(合同项目,MATCH($D708,合同键,0)),IFERROR(TRIM(MID($D708,FIND("｜",$D708)+1,99)),"")))</f>
        <v/>
      </c>
      <c r="G708" s="24"/>
      <c r="H708" s="35" t="str">
        <f aca="false">IF($G708="","",IFERROR(INDEX(费用款别,MATCH($G708,费用类别表,0)),"合同外款"))</f>
        <v/>
      </c>
      <c r="I708" s="33"/>
      <c r="J708" s="33"/>
      <c r="K708" s="39"/>
      <c r="L708" s="33"/>
      <c r="M708" s="25"/>
      <c r="N708" s="39"/>
      <c r="O708" s="35" t="str">
        <f aca="false">IF($C708="","",IF(N($N708)&lt;=0,"未开票",IF(ROUND(N($N708)-N($K708),2)&gt;=0,"已开票",IFERROR("部分开票 "&amp;TEXT(N($N708)/N($K708),"0%"),"部分开票"))))</f>
        <v/>
      </c>
      <c r="P708" s="40" t="str">
        <f aca="false">IF($C708="","",ROUND($V708+MIN($W708,MAX(0,(SUMIF(收款键,$D708,收款金额)-SUMIFS(收款金额,收款键,$D708,收款关联,"&lt;&gt;"))-($X708-$W708))),2))</f>
        <v/>
      </c>
      <c r="Q708" s="41" t="str">
        <f aca="false">IF($C708="","",ROUND(N($K708)-N($P708),2))</f>
        <v/>
      </c>
      <c r="R708" s="29" t="str">
        <f aca="false">IF($C708="","",YEAR($C708))</f>
        <v/>
      </c>
      <c r="S708" s="24"/>
      <c r="T708" s="35" t="str">
        <f aca="false">IF($C708="","",IF($D708="","★没选客户项目",IF(COUNTIF(合同键,$D708)=0,"★《维保合同》里没这个项目",IF(N($K708)&lt;=0,"★应收金额要填",IF(ROUND(N($N708)-N($K708),2)&gt;0.001,"★开票金额大于应收",IF(AND($L708&lt;&gt;"",N($N708)&lt;=0),"★填了开票日期没填开票金额",IF(AND($I708&lt;&gt;"",$J708&lt;&gt;"",$J708&lt;$I708),"★计费期间起止反了","OK")))))))</f>
        <v/>
      </c>
      <c r="U708" s="29" t="str">
        <f aca="false">IF($L708="","",YEAR($L708))</f>
        <v/>
      </c>
      <c r="V708" s="40" t="str">
        <f aca="false">IF($C708="","",ROUND(SUMIF(收款关联,$B708,收款金额),2))</f>
        <v/>
      </c>
      <c r="W708" s="40" t="str">
        <f aca="false">IF($C708="","",MAX(0,ROUND(N($K708)-N($V708),2)))</f>
        <v/>
      </c>
      <c r="X708" s="40" t="str">
        <f aca="false">IF($C708="","",ROUND(SUMIFS(应收净额,应收键,$D708,应收行号,"&lt;="&amp;ROW()),2))</f>
        <v/>
      </c>
      <c r="Y708" s="29" t="str">
        <f aca="false">IF($C708="","",ROW())</f>
        <v/>
      </c>
    </row>
    <row r="709" customFormat="false" ht="15" hidden="false" customHeight="false" outlineLevel="0" collapsed="false">
      <c r="A709" s="29" t="str">
        <f aca="false">IF($C709="","",ROW()-4)</f>
        <v/>
      </c>
      <c r="B709" s="35" t="str">
        <f aca="false">IF($C709="","","YS"&amp;TEXT($C709,"yyyymm")&amp;"-"&amp;TEXT(ROW()-4,"0000"))</f>
        <v/>
      </c>
      <c r="C709" s="33"/>
      <c r="D709" s="24"/>
      <c r="E709" s="30" t="str">
        <f aca="false">IF($D709="","",IFERROR(INDEX(合同单位,MATCH($D709,合同键,0)),IFERROR(TRIM(LEFT($D709,FIND("｜",$D709)-1)),$D709)))</f>
        <v/>
      </c>
      <c r="F709" s="30" t="str">
        <f aca="false">IF($D709="","",IFERROR(INDEX(合同项目,MATCH($D709,合同键,0)),IFERROR(TRIM(MID($D709,FIND("｜",$D709)+1,99)),"")))</f>
        <v/>
      </c>
      <c r="G709" s="24"/>
      <c r="H709" s="35" t="str">
        <f aca="false">IF($G709="","",IFERROR(INDEX(费用款别,MATCH($G709,费用类别表,0)),"合同外款"))</f>
        <v/>
      </c>
      <c r="I709" s="33"/>
      <c r="J709" s="33"/>
      <c r="K709" s="39"/>
      <c r="L709" s="33"/>
      <c r="M709" s="25"/>
      <c r="N709" s="39"/>
      <c r="O709" s="35" t="str">
        <f aca="false">IF($C709="","",IF(N($N709)&lt;=0,"未开票",IF(ROUND(N($N709)-N($K709),2)&gt;=0,"已开票",IFERROR("部分开票 "&amp;TEXT(N($N709)/N($K709),"0%"),"部分开票"))))</f>
        <v/>
      </c>
      <c r="P709" s="40" t="str">
        <f aca="false">IF($C709="","",ROUND($V709+MIN($W709,MAX(0,(SUMIF(收款键,$D709,收款金额)-SUMIFS(收款金额,收款键,$D709,收款关联,"&lt;&gt;"))-($X709-$W709))),2))</f>
        <v/>
      </c>
      <c r="Q709" s="41" t="str">
        <f aca="false">IF($C709="","",ROUND(N($K709)-N($P709),2))</f>
        <v/>
      </c>
      <c r="R709" s="29" t="str">
        <f aca="false">IF($C709="","",YEAR($C709))</f>
        <v/>
      </c>
      <c r="S709" s="24"/>
      <c r="T709" s="35" t="str">
        <f aca="false">IF($C709="","",IF($D709="","★没选客户项目",IF(COUNTIF(合同键,$D709)=0,"★《维保合同》里没这个项目",IF(N($K709)&lt;=0,"★应收金额要填",IF(ROUND(N($N709)-N($K709),2)&gt;0.001,"★开票金额大于应收",IF(AND($L709&lt;&gt;"",N($N709)&lt;=0),"★填了开票日期没填开票金额",IF(AND($I709&lt;&gt;"",$J709&lt;&gt;"",$J709&lt;$I709),"★计费期间起止反了","OK")))))))</f>
        <v/>
      </c>
      <c r="U709" s="29" t="str">
        <f aca="false">IF($L709="","",YEAR($L709))</f>
        <v/>
      </c>
      <c r="V709" s="40" t="str">
        <f aca="false">IF($C709="","",ROUND(SUMIF(收款关联,$B709,收款金额),2))</f>
        <v/>
      </c>
      <c r="W709" s="40" t="str">
        <f aca="false">IF($C709="","",MAX(0,ROUND(N($K709)-N($V709),2)))</f>
        <v/>
      </c>
      <c r="X709" s="40" t="str">
        <f aca="false">IF($C709="","",ROUND(SUMIFS(应收净额,应收键,$D709,应收行号,"&lt;="&amp;ROW()),2))</f>
        <v/>
      </c>
      <c r="Y709" s="29" t="str">
        <f aca="false">IF($C709="","",ROW())</f>
        <v/>
      </c>
    </row>
    <row r="710" customFormat="false" ht="15" hidden="false" customHeight="false" outlineLevel="0" collapsed="false">
      <c r="A710" s="29" t="str">
        <f aca="false">IF($C710="","",ROW()-4)</f>
        <v/>
      </c>
      <c r="B710" s="35" t="str">
        <f aca="false">IF($C710="","","YS"&amp;TEXT($C710,"yyyymm")&amp;"-"&amp;TEXT(ROW()-4,"0000"))</f>
        <v/>
      </c>
      <c r="C710" s="33"/>
      <c r="D710" s="24"/>
      <c r="E710" s="30" t="str">
        <f aca="false">IF($D710="","",IFERROR(INDEX(合同单位,MATCH($D710,合同键,0)),IFERROR(TRIM(LEFT($D710,FIND("｜",$D710)-1)),$D710)))</f>
        <v/>
      </c>
      <c r="F710" s="30" t="str">
        <f aca="false">IF($D710="","",IFERROR(INDEX(合同项目,MATCH($D710,合同键,0)),IFERROR(TRIM(MID($D710,FIND("｜",$D710)+1,99)),"")))</f>
        <v/>
      </c>
      <c r="G710" s="24"/>
      <c r="H710" s="35" t="str">
        <f aca="false">IF($G710="","",IFERROR(INDEX(费用款别,MATCH($G710,费用类别表,0)),"合同外款"))</f>
        <v/>
      </c>
      <c r="I710" s="33"/>
      <c r="J710" s="33"/>
      <c r="K710" s="39"/>
      <c r="L710" s="33"/>
      <c r="M710" s="25"/>
      <c r="N710" s="39"/>
      <c r="O710" s="35" t="str">
        <f aca="false">IF($C710="","",IF(N($N710)&lt;=0,"未开票",IF(ROUND(N($N710)-N($K710),2)&gt;=0,"已开票",IFERROR("部分开票 "&amp;TEXT(N($N710)/N($K710),"0%"),"部分开票"))))</f>
        <v/>
      </c>
      <c r="P710" s="40" t="str">
        <f aca="false">IF($C710="","",ROUND($V710+MIN($W710,MAX(0,(SUMIF(收款键,$D710,收款金额)-SUMIFS(收款金额,收款键,$D710,收款关联,"&lt;&gt;"))-($X710-$W710))),2))</f>
        <v/>
      </c>
      <c r="Q710" s="41" t="str">
        <f aca="false">IF($C710="","",ROUND(N($K710)-N($P710),2))</f>
        <v/>
      </c>
      <c r="R710" s="29" t="str">
        <f aca="false">IF($C710="","",YEAR($C710))</f>
        <v/>
      </c>
      <c r="S710" s="24"/>
      <c r="T710" s="35" t="str">
        <f aca="false">IF($C710="","",IF($D710="","★没选客户项目",IF(COUNTIF(合同键,$D710)=0,"★《维保合同》里没这个项目",IF(N($K710)&lt;=0,"★应收金额要填",IF(ROUND(N($N710)-N($K710),2)&gt;0.001,"★开票金额大于应收",IF(AND($L710&lt;&gt;"",N($N710)&lt;=0),"★填了开票日期没填开票金额",IF(AND($I710&lt;&gt;"",$J710&lt;&gt;"",$J710&lt;$I710),"★计费期间起止反了","OK")))))))</f>
        <v/>
      </c>
      <c r="U710" s="29" t="str">
        <f aca="false">IF($L710="","",YEAR($L710))</f>
        <v/>
      </c>
      <c r="V710" s="40" t="str">
        <f aca="false">IF($C710="","",ROUND(SUMIF(收款关联,$B710,收款金额),2))</f>
        <v/>
      </c>
      <c r="W710" s="40" t="str">
        <f aca="false">IF($C710="","",MAX(0,ROUND(N($K710)-N($V710),2)))</f>
        <v/>
      </c>
      <c r="X710" s="40" t="str">
        <f aca="false">IF($C710="","",ROUND(SUMIFS(应收净额,应收键,$D710,应收行号,"&lt;="&amp;ROW()),2))</f>
        <v/>
      </c>
      <c r="Y710" s="29" t="str">
        <f aca="false">IF($C710="","",ROW())</f>
        <v/>
      </c>
    </row>
    <row r="711" customFormat="false" ht="15" hidden="false" customHeight="false" outlineLevel="0" collapsed="false">
      <c r="A711" s="29" t="str">
        <f aca="false">IF($C711="","",ROW()-4)</f>
        <v/>
      </c>
      <c r="B711" s="35" t="str">
        <f aca="false">IF($C711="","","YS"&amp;TEXT($C711,"yyyymm")&amp;"-"&amp;TEXT(ROW()-4,"0000"))</f>
        <v/>
      </c>
      <c r="C711" s="33"/>
      <c r="D711" s="24"/>
      <c r="E711" s="30" t="str">
        <f aca="false">IF($D711="","",IFERROR(INDEX(合同单位,MATCH($D711,合同键,0)),IFERROR(TRIM(LEFT($D711,FIND("｜",$D711)-1)),$D711)))</f>
        <v/>
      </c>
      <c r="F711" s="30" t="str">
        <f aca="false">IF($D711="","",IFERROR(INDEX(合同项目,MATCH($D711,合同键,0)),IFERROR(TRIM(MID($D711,FIND("｜",$D711)+1,99)),"")))</f>
        <v/>
      </c>
      <c r="G711" s="24"/>
      <c r="H711" s="35" t="str">
        <f aca="false">IF($G711="","",IFERROR(INDEX(费用款别,MATCH($G711,费用类别表,0)),"合同外款"))</f>
        <v/>
      </c>
      <c r="I711" s="33"/>
      <c r="J711" s="33"/>
      <c r="K711" s="39"/>
      <c r="L711" s="33"/>
      <c r="M711" s="25"/>
      <c r="N711" s="39"/>
      <c r="O711" s="35" t="str">
        <f aca="false">IF($C711="","",IF(N($N711)&lt;=0,"未开票",IF(ROUND(N($N711)-N($K711),2)&gt;=0,"已开票",IFERROR("部分开票 "&amp;TEXT(N($N711)/N($K711),"0%"),"部分开票"))))</f>
        <v/>
      </c>
      <c r="P711" s="40" t="str">
        <f aca="false">IF($C711="","",ROUND($V711+MIN($W711,MAX(0,(SUMIF(收款键,$D711,收款金额)-SUMIFS(收款金额,收款键,$D711,收款关联,"&lt;&gt;"))-($X711-$W711))),2))</f>
        <v/>
      </c>
      <c r="Q711" s="41" t="str">
        <f aca="false">IF($C711="","",ROUND(N($K711)-N($P711),2))</f>
        <v/>
      </c>
      <c r="R711" s="29" t="str">
        <f aca="false">IF($C711="","",YEAR($C711))</f>
        <v/>
      </c>
      <c r="S711" s="24"/>
      <c r="T711" s="35" t="str">
        <f aca="false">IF($C711="","",IF($D711="","★没选客户项目",IF(COUNTIF(合同键,$D711)=0,"★《维保合同》里没这个项目",IF(N($K711)&lt;=0,"★应收金额要填",IF(ROUND(N($N711)-N($K711),2)&gt;0.001,"★开票金额大于应收",IF(AND($L711&lt;&gt;"",N($N711)&lt;=0),"★填了开票日期没填开票金额",IF(AND($I711&lt;&gt;"",$J711&lt;&gt;"",$J711&lt;$I711),"★计费期间起止反了","OK")))))))</f>
        <v/>
      </c>
      <c r="U711" s="29" t="str">
        <f aca="false">IF($L711="","",YEAR($L711))</f>
        <v/>
      </c>
      <c r="V711" s="40" t="str">
        <f aca="false">IF($C711="","",ROUND(SUMIF(收款关联,$B711,收款金额),2))</f>
        <v/>
      </c>
      <c r="W711" s="40" t="str">
        <f aca="false">IF($C711="","",MAX(0,ROUND(N($K711)-N($V711),2)))</f>
        <v/>
      </c>
      <c r="X711" s="40" t="str">
        <f aca="false">IF($C711="","",ROUND(SUMIFS(应收净额,应收键,$D711,应收行号,"&lt;="&amp;ROW()),2))</f>
        <v/>
      </c>
      <c r="Y711" s="29" t="str">
        <f aca="false">IF($C711="","",ROW())</f>
        <v/>
      </c>
    </row>
    <row r="712" customFormat="false" ht="15" hidden="false" customHeight="false" outlineLevel="0" collapsed="false">
      <c r="A712" s="29" t="str">
        <f aca="false">IF($C712="","",ROW()-4)</f>
        <v/>
      </c>
      <c r="B712" s="35" t="str">
        <f aca="false">IF($C712="","","YS"&amp;TEXT($C712,"yyyymm")&amp;"-"&amp;TEXT(ROW()-4,"0000"))</f>
        <v/>
      </c>
      <c r="C712" s="33"/>
      <c r="D712" s="24"/>
      <c r="E712" s="30" t="str">
        <f aca="false">IF($D712="","",IFERROR(INDEX(合同单位,MATCH($D712,合同键,0)),IFERROR(TRIM(LEFT($D712,FIND("｜",$D712)-1)),$D712)))</f>
        <v/>
      </c>
      <c r="F712" s="30" t="str">
        <f aca="false">IF($D712="","",IFERROR(INDEX(合同项目,MATCH($D712,合同键,0)),IFERROR(TRIM(MID($D712,FIND("｜",$D712)+1,99)),"")))</f>
        <v/>
      </c>
      <c r="G712" s="24"/>
      <c r="H712" s="35" t="str">
        <f aca="false">IF($G712="","",IFERROR(INDEX(费用款别,MATCH($G712,费用类别表,0)),"合同外款"))</f>
        <v/>
      </c>
      <c r="I712" s="33"/>
      <c r="J712" s="33"/>
      <c r="K712" s="39"/>
      <c r="L712" s="33"/>
      <c r="M712" s="25"/>
      <c r="N712" s="39"/>
      <c r="O712" s="35" t="str">
        <f aca="false">IF($C712="","",IF(N($N712)&lt;=0,"未开票",IF(ROUND(N($N712)-N($K712),2)&gt;=0,"已开票",IFERROR("部分开票 "&amp;TEXT(N($N712)/N($K712),"0%"),"部分开票"))))</f>
        <v/>
      </c>
      <c r="P712" s="40" t="str">
        <f aca="false">IF($C712="","",ROUND($V712+MIN($W712,MAX(0,(SUMIF(收款键,$D712,收款金额)-SUMIFS(收款金额,收款键,$D712,收款关联,"&lt;&gt;"))-($X712-$W712))),2))</f>
        <v/>
      </c>
      <c r="Q712" s="41" t="str">
        <f aca="false">IF($C712="","",ROUND(N($K712)-N($P712),2))</f>
        <v/>
      </c>
      <c r="R712" s="29" t="str">
        <f aca="false">IF($C712="","",YEAR($C712))</f>
        <v/>
      </c>
      <c r="S712" s="24"/>
      <c r="T712" s="35" t="str">
        <f aca="false">IF($C712="","",IF($D712="","★没选客户项目",IF(COUNTIF(合同键,$D712)=0,"★《维保合同》里没这个项目",IF(N($K712)&lt;=0,"★应收金额要填",IF(ROUND(N($N712)-N($K712),2)&gt;0.001,"★开票金额大于应收",IF(AND($L712&lt;&gt;"",N($N712)&lt;=0),"★填了开票日期没填开票金额",IF(AND($I712&lt;&gt;"",$J712&lt;&gt;"",$J712&lt;$I712),"★计费期间起止反了","OK")))))))</f>
        <v/>
      </c>
      <c r="U712" s="29" t="str">
        <f aca="false">IF($L712="","",YEAR($L712))</f>
        <v/>
      </c>
      <c r="V712" s="40" t="str">
        <f aca="false">IF($C712="","",ROUND(SUMIF(收款关联,$B712,收款金额),2))</f>
        <v/>
      </c>
      <c r="W712" s="40" t="str">
        <f aca="false">IF($C712="","",MAX(0,ROUND(N($K712)-N($V712),2)))</f>
        <v/>
      </c>
      <c r="X712" s="40" t="str">
        <f aca="false">IF($C712="","",ROUND(SUMIFS(应收净额,应收键,$D712,应收行号,"&lt;="&amp;ROW()),2))</f>
        <v/>
      </c>
      <c r="Y712" s="29" t="str">
        <f aca="false">IF($C712="","",ROW())</f>
        <v/>
      </c>
    </row>
    <row r="713" customFormat="false" ht="15" hidden="false" customHeight="false" outlineLevel="0" collapsed="false">
      <c r="A713" s="29" t="str">
        <f aca="false">IF($C713="","",ROW()-4)</f>
        <v/>
      </c>
      <c r="B713" s="35" t="str">
        <f aca="false">IF($C713="","","YS"&amp;TEXT($C713,"yyyymm")&amp;"-"&amp;TEXT(ROW()-4,"0000"))</f>
        <v/>
      </c>
      <c r="C713" s="33"/>
      <c r="D713" s="24"/>
      <c r="E713" s="30" t="str">
        <f aca="false">IF($D713="","",IFERROR(INDEX(合同单位,MATCH($D713,合同键,0)),IFERROR(TRIM(LEFT($D713,FIND("｜",$D713)-1)),$D713)))</f>
        <v/>
      </c>
      <c r="F713" s="30" t="str">
        <f aca="false">IF($D713="","",IFERROR(INDEX(合同项目,MATCH($D713,合同键,0)),IFERROR(TRIM(MID($D713,FIND("｜",$D713)+1,99)),"")))</f>
        <v/>
      </c>
      <c r="G713" s="24"/>
      <c r="H713" s="35" t="str">
        <f aca="false">IF($G713="","",IFERROR(INDEX(费用款别,MATCH($G713,费用类别表,0)),"合同外款"))</f>
        <v/>
      </c>
      <c r="I713" s="33"/>
      <c r="J713" s="33"/>
      <c r="K713" s="39"/>
      <c r="L713" s="33"/>
      <c r="M713" s="25"/>
      <c r="N713" s="39"/>
      <c r="O713" s="35" t="str">
        <f aca="false">IF($C713="","",IF(N($N713)&lt;=0,"未开票",IF(ROUND(N($N713)-N($K713),2)&gt;=0,"已开票",IFERROR("部分开票 "&amp;TEXT(N($N713)/N($K713),"0%"),"部分开票"))))</f>
        <v/>
      </c>
      <c r="P713" s="40" t="str">
        <f aca="false">IF($C713="","",ROUND($V713+MIN($W713,MAX(0,(SUMIF(收款键,$D713,收款金额)-SUMIFS(收款金额,收款键,$D713,收款关联,"&lt;&gt;"))-($X713-$W713))),2))</f>
        <v/>
      </c>
      <c r="Q713" s="41" t="str">
        <f aca="false">IF($C713="","",ROUND(N($K713)-N($P713),2))</f>
        <v/>
      </c>
      <c r="R713" s="29" t="str">
        <f aca="false">IF($C713="","",YEAR($C713))</f>
        <v/>
      </c>
      <c r="S713" s="24"/>
      <c r="T713" s="35" t="str">
        <f aca="false">IF($C713="","",IF($D713="","★没选客户项目",IF(COUNTIF(合同键,$D713)=0,"★《维保合同》里没这个项目",IF(N($K713)&lt;=0,"★应收金额要填",IF(ROUND(N($N713)-N($K713),2)&gt;0.001,"★开票金额大于应收",IF(AND($L713&lt;&gt;"",N($N713)&lt;=0),"★填了开票日期没填开票金额",IF(AND($I713&lt;&gt;"",$J713&lt;&gt;"",$J713&lt;$I713),"★计费期间起止反了","OK")))))))</f>
        <v/>
      </c>
      <c r="U713" s="29" t="str">
        <f aca="false">IF($L713="","",YEAR($L713))</f>
        <v/>
      </c>
      <c r="V713" s="40" t="str">
        <f aca="false">IF($C713="","",ROUND(SUMIF(收款关联,$B713,收款金额),2))</f>
        <v/>
      </c>
      <c r="W713" s="40" t="str">
        <f aca="false">IF($C713="","",MAX(0,ROUND(N($K713)-N($V713),2)))</f>
        <v/>
      </c>
      <c r="X713" s="40" t="str">
        <f aca="false">IF($C713="","",ROUND(SUMIFS(应收净额,应收键,$D713,应收行号,"&lt;="&amp;ROW()),2))</f>
        <v/>
      </c>
      <c r="Y713" s="29" t="str">
        <f aca="false">IF($C713="","",ROW())</f>
        <v/>
      </c>
    </row>
    <row r="714" customFormat="false" ht="15" hidden="false" customHeight="false" outlineLevel="0" collapsed="false">
      <c r="A714" s="29" t="str">
        <f aca="false">IF($C714="","",ROW()-4)</f>
        <v/>
      </c>
      <c r="B714" s="35" t="str">
        <f aca="false">IF($C714="","","YS"&amp;TEXT($C714,"yyyymm")&amp;"-"&amp;TEXT(ROW()-4,"0000"))</f>
        <v/>
      </c>
      <c r="C714" s="33"/>
      <c r="D714" s="24"/>
      <c r="E714" s="30" t="str">
        <f aca="false">IF($D714="","",IFERROR(INDEX(合同单位,MATCH($D714,合同键,0)),IFERROR(TRIM(LEFT($D714,FIND("｜",$D714)-1)),$D714)))</f>
        <v/>
      </c>
      <c r="F714" s="30" t="str">
        <f aca="false">IF($D714="","",IFERROR(INDEX(合同项目,MATCH($D714,合同键,0)),IFERROR(TRIM(MID($D714,FIND("｜",$D714)+1,99)),"")))</f>
        <v/>
      </c>
      <c r="G714" s="24"/>
      <c r="H714" s="35" t="str">
        <f aca="false">IF($G714="","",IFERROR(INDEX(费用款别,MATCH($G714,费用类别表,0)),"合同外款"))</f>
        <v/>
      </c>
      <c r="I714" s="33"/>
      <c r="J714" s="33"/>
      <c r="K714" s="39"/>
      <c r="L714" s="33"/>
      <c r="M714" s="25"/>
      <c r="N714" s="39"/>
      <c r="O714" s="35" t="str">
        <f aca="false">IF($C714="","",IF(N($N714)&lt;=0,"未开票",IF(ROUND(N($N714)-N($K714),2)&gt;=0,"已开票",IFERROR("部分开票 "&amp;TEXT(N($N714)/N($K714),"0%"),"部分开票"))))</f>
        <v/>
      </c>
      <c r="P714" s="40" t="str">
        <f aca="false">IF($C714="","",ROUND($V714+MIN($W714,MAX(0,(SUMIF(收款键,$D714,收款金额)-SUMIFS(收款金额,收款键,$D714,收款关联,"&lt;&gt;"))-($X714-$W714))),2))</f>
        <v/>
      </c>
      <c r="Q714" s="41" t="str">
        <f aca="false">IF($C714="","",ROUND(N($K714)-N($P714),2))</f>
        <v/>
      </c>
      <c r="R714" s="29" t="str">
        <f aca="false">IF($C714="","",YEAR($C714))</f>
        <v/>
      </c>
      <c r="S714" s="24"/>
      <c r="T714" s="35" t="str">
        <f aca="false">IF($C714="","",IF($D714="","★没选客户项目",IF(COUNTIF(合同键,$D714)=0,"★《维保合同》里没这个项目",IF(N($K714)&lt;=0,"★应收金额要填",IF(ROUND(N($N714)-N($K714),2)&gt;0.001,"★开票金额大于应收",IF(AND($L714&lt;&gt;"",N($N714)&lt;=0),"★填了开票日期没填开票金额",IF(AND($I714&lt;&gt;"",$J714&lt;&gt;"",$J714&lt;$I714),"★计费期间起止反了","OK")))))))</f>
        <v/>
      </c>
      <c r="U714" s="29" t="str">
        <f aca="false">IF($L714="","",YEAR($L714))</f>
        <v/>
      </c>
      <c r="V714" s="40" t="str">
        <f aca="false">IF($C714="","",ROUND(SUMIF(收款关联,$B714,收款金额),2))</f>
        <v/>
      </c>
      <c r="W714" s="40" t="str">
        <f aca="false">IF($C714="","",MAX(0,ROUND(N($K714)-N($V714),2)))</f>
        <v/>
      </c>
      <c r="X714" s="40" t="str">
        <f aca="false">IF($C714="","",ROUND(SUMIFS(应收净额,应收键,$D714,应收行号,"&lt;="&amp;ROW()),2))</f>
        <v/>
      </c>
      <c r="Y714" s="29" t="str">
        <f aca="false">IF($C714="","",ROW())</f>
        <v/>
      </c>
    </row>
    <row r="715" customFormat="false" ht="15" hidden="false" customHeight="false" outlineLevel="0" collapsed="false">
      <c r="A715" s="29" t="str">
        <f aca="false">IF($C715="","",ROW()-4)</f>
        <v/>
      </c>
      <c r="B715" s="35" t="str">
        <f aca="false">IF($C715="","","YS"&amp;TEXT($C715,"yyyymm")&amp;"-"&amp;TEXT(ROW()-4,"0000"))</f>
        <v/>
      </c>
      <c r="C715" s="33"/>
      <c r="D715" s="24"/>
      <c r="E715" s="30" t="str">
        <f aca="false">IF($D715="","",IFERROR(INDEX(合同单位,MATCH($D715,合同键,0)),IFERROR(TRIM(LEFT($D715,FIND("｜",$D715)-1)),$D715)))</f>
        <v/>
      </c>
      <c r="F715" s="30" t="str">
        <f aca="false">IF($D715="","",IFERROR(INDEX(合同项目,MATCH($D715,合同键,0)),IFERROR(TRIM(MID($D715,FIND("｜",$D715)+1,99)),"")))</f>
        <v/>
      </c>
      <c r="G715" s="24"/>
      <c r="H715" s="35" t="str">
        <f aca="false">IF($G715="","",IFERROR(INDEX(费用款别,MATCH($G715,费用类别表,0)),"合同外款"))</f>
        <v/>
      </c>
      <c r="I715" s="33"/>
      <c r="J715" s="33"/>
      <c r="K715" s="39"/>
      <c r="L715" s="33"/>
      <c r="M715" s="25"/>
      <c r="N715" s="39"/>
      <c r="O715" s="35" t="str">
        <f aca="false">IF($C715="","",IF(N($N715)&lt;=0,"未开票",IF(ROUND(N($N715)-N($K715),2)&gt;=0,"已开票",IFERROR("部分开票 "&amp;TEXT(N($N715)/N($K715),"0%"),"部分开票"))))</f>
        <v/>
      </c>
      <c r="P715" s="40" t="str">
        <f aca="false">IF($C715="","",ROUND($V715+MIN($W715,MAX(0,(SUMIF(收款键,$D715,收款金额)-SUMIFS(收款金额,收款键,$D715,收款关联,"&lt;&gt;"))-($X715-$W715))),2))</f>
        <v/>
      </c>
      <c r="Q715" s="41" t="str">
        <f aca="false">IF($C715="","",ROUND(N($K715)-N($P715),2))</f>
        <v/>
      </c>
      <c r="R715" s="29" t="str">
        <f aca="false">IF($C715="","",YEAR($C715))</f>
        <v/>
      </c>
      <c r="S715" s="24"/>
      <c r="T715" s="35" t="str">
        <f aca="false">IF($C715="","",IF($D715="","★没选客户项目",IF(COUNTIF(合同键,$D715)=0,"★《维保合同》里没这个项目",IF(N($K715)&lt;=0,"★应收金额要填",IF(ROUND(N($N715)-N($K715),2)&gt;0.001,"★开票金额大于应收",IF(AND($L715&lt;&gt;"",N($N715)&lt;=0),"★填了开票日期没填开票金额",IF(AND($I715&lt;&gt;"",$J715&lt;&gt;"",$J715&lt;$I715),"★计费期间起止反了","OK")))))))</f>
        <v/>
      </c>
      <c r="U715" s="29" t="str">
        <f aca="false">IF($L715="","",YEAR($L715))</f>
        <v/>
      </c>
      <c r="V715" s="40" t="str">
        <f aca="false">IF($C715="","",ROUND(SUMIF(收款关联,$B715,收款金额),2))</f>
        <v/>
      </c>
      <c r="W715" s="40" t="str">
        <f aca="false">IF($C715="","",MAX(0,ROUND(N($K715)-N($V715),2)))</f>
        <v/>
      </c>
      <c r="X715" s="40" t="str">
        <f aca="false">IF($C715="","",ROUND(SUMIFS(应收净额,应收键,$D715,应收行号,"&lt;="&amp;ROW()),2))</f>
        <v/>
      </c>
      <c r="Y715" s="29" t="str">
        <f aca="false">IF($C715="","",ROW())</f>
        <v/>
      </c>
    </row>
    <row r="716" customFormat="false" ht="15" hidden="false" customHeight="false" outlineLevel="0" collapsed="false">
      <c r="A716" s="29" t="str">
        <f aca="false">IF($C716="","",ROW()-4)</f>
        <v/>
      </c>
      <c r="B716" s="35" t="str">
        <f aca="false">IF($C716="","","YS"&amp;TEXT($C716,"yyyymm")&amp;"-"&amp;TEXT(ROW()-4,"0000"))</f>
        <v/>
      </c>
      <c r="C716" s="33"/>
      <c r="D716" s="24"/>
      <c r="E716" s="30" t="str">
        <f aca="false">IF($D716="","",IFERROR(INDEX(合同单位,MATCH($D716,合同键,0)),IFERROR(TRIM(LEFT($D716,FIND("｜",$D716)-1)),$D716)))</f>
        <v/>
      </c>
      <c r="F716" s="30" t="str">
        <f aca="false">IF($D716="","",IFERROR(INDEX(合同项目,MATCH($D716,合同键,0)),IFERROR(TRIM(MID($D716,FIND("｜",$D716)+1,99)),"")))</f>
        <v/>
      </c>
      <c r="G716" s="24"/>
      <c r="H716" s="35" t="str">
        <f aca="false">IF($G716="","",IFERROR(INDEX(费用款别,MATCH($G716,费用类别表,0)),"合同外款"))</f>
        <v/>
      </c>
      <c r="I716" s="33"/>
      <c r="J716" s="33"/>
      <c r="K716" s="39"/>
      <c r="L716" s="33"/>
      <c r="M716" s="25"/>
      <c r="N716" s="39"/>
      <c r="O716" s="35" t="str">
        <f aca="false">IF($C716="","",IF(N($N716)&lt;=0,"未开票",IF(ROUND(N($N716)-N($K716),2)&gt;=0,"已开票",IFERROR("部分开票 "&amp;TEXT(N($N716)/N($K716),"0%"),"部分开票"))))</f>
        <v/>
      </c>
      <c r="P716" s="40" t="str">
        <f aca="false">IF($C716="","",ROUND($V716+MIN($W716,MAX(0,(SUMIF(收款键,$D716,收款金额)-SUMIFS(收款金额,收款键,$D716,收款关联,"&lt;&gt;"))-($X716-$W716))),2))</f>
        <v/>
      </c>
      <c r="Q716" s="41" t="str">
        <f aca="false">IF($C716="","",ROUND(N($K716)-N($P716),2))</f>
        <v/>
      </c>
      <c r="R716" s="29" t="str">
        <f aca="false">IF($C716="","",YEAR($C716))</f>
        <v/>
      </c>
      <c r="S716" s="24"/>
      <c r="T716" s="35" t="str">
        <f aca="false">IF($C716="","",IF($D716="","★没选客户项目",IF(COUNTIF(合同键,$D716)=0,"★《维保合同》里没这个项目",IF(N($K716)&lt;=0,"★应收金额要填",IF(ROUND(N($N716)-N($K716),2)&gt;0.001,"★开票金额大于应收",IF(AND($L716&lt;&gt;"",N($N716)&lt;=0),"★填了开票日期没填开票金额",IF(AND($I716&lt;&gt;"",$J716&lt;&gt;"",$J716&lt;$I716),"★计费期间起止反了","OK")))))))</f>
        <v/>
      </c>
      <c r="U716" s="29" t="str">
        <f aca="false">IF($L716="","",YEAR($L716))</f>
        <v/>
      </c>
      <c r="V716" s="40" t="str">
        <f aca="false">IF($C716="","",ROUND(SUMIF(收款关联,$B716,收款金额),2))</f>
        <v/>
      </c>
      <c r="W716" s="40" t="str">
        <f aca="false">IF($C716="","",MAX(0,ROUND(N($K716)-N($V716),2)))</f>
        <v/>
      </c>
      <c r="X716" s="40" t="str">
        <f aca="false">IF($C716="","",ROUND(SUMIFS(应收净额,应收键,$D716,应收行号,"&lt;="&amp;ROW()),2))</f>
        <v/>
      </c>
      <c r="Y716" s="29" t="str">
        <f aca="false">IF($C716="","",ROW())</f>
        <v/>
      </c>
    </row>
    <row r="717" customFormat="false" ht="15" hidden="false" customHeight="false" outlineLevel="0" collapsed="false">
      <c r="A717" s="29" t="str">
        <f aca="false">IF($C717="","",ROW()-4)</f>
        <v/>
      </c>
      <c r="B717" s="35" t="str">
        <f aca="false">IF($C717="","","YS"&amp;TEXT($C717,"yyyymm")&amp;"-"&amp;TEXT(ROW()-4,"0000"))</f>
        <v/>
      </c>
      <c r="C717" s="33"/>
      <c r="D717" s="24"/>
      <c r="E717" s="30" t="str">
        <f aca="false">IF($D717="","",IFERROR(INDEX(合同单位,MATCH($D717,合同键,0)),IFERROR(TRIM(LEFT($D717,FIND("｜",$D717)-1)),$D717)))</f>
        <v/>
      </c>
      <c r="F717" s="30" t="str">
        <f aca="false">IF($D717="","",IFERROR(INDEX(合同项目,MATCH($D717,合同键,0)),IFERROR(TRIM(MID($D717,FIND("｜",$D717)+1,99)),"")))</f>
        <v/>
      </c>
      <c r="G717" s="24"/>
      <c r="H717" s="35" t="str">
        <f aca="false">IF($G717="","",IFERROR(INDEX(费用款别,MATCH($G717,费用类别表,0)),"合同外款"))</f>
        <v/>
      </c>
      <c r="I717" s="33"/>
      <c r="J717" s="33"/>
      <c r="K717" s="39"/>
      <c r="L717" s="33"/>
      <c r="M717" s="25"/>
      <c r="N717" s="39"/>
      <c r="O717" s="35" t="str">
        <f aca="false">IF($C717="","",IF(N($N717)&lt;=0,"未开票",IF(ROUND(N($N717)-N($K717),2)&gt;=0,"已开票",IFERROR("部分开票 "&amp;TEXT(N($N717)/N($K717),"0%"),"部分开票"))))</f>
        <v/>
      </c>
      <c r="P717" s="40" t="str">
        <f aca="false">IF($C717="","",ROUND($V717+MIN($W717,MAX(0,(SUMIF(收款键,$D717,收款金额)-SUMIFS(收款金额,收款键,$D717,收款关联,"&lt;&gt;"))-($X717-$W717))),2))</f>
        <v/>
      </c>
      <c r="Q717" s="41" t="str">
        <f aca="false">IF($C717="","",ROUND(N($K717)-N($P717),2))</f>
        <v/>
      </c>
      <c r="R717" s="29" t="str">
        <f aca="false">IF($C717="","",YEAR($C717))</f>
        <v/>
      </c>
      <c r="S717" s="24"/>
      <c r="T717" s="35" t="str">
        <f aca="false">IF($C717="","",IF($D717="","★没选客户项目",IF(COUNTIF(合同键,$D717)=0,"★《维保合同》里没这个项目",IF(N($K717)&lt;=0,"★应收金额要填",IF(ROUND(N($N717)-N($K717),2)&gt;0.001,"★开票金额大于应收",IF(AND($L717&lt;&gt;"",N($N717)&lt;=0),"★填了开票日期没填开票金额",IF(AND($I717&lt;&gt;"",$J717&lt;&gt;"",$J717&lt;$I717),"★计费期间起止反了","OK")))))))</f>
        <v/>
      </c>
      <c r="U717" s="29" t="str">
        <f aca="false">IF($L717="","",YEAR($L717))</f>
        <v/>
      </c>
      <c r="V717" s="40" t="str">
        <f aca="false">IF($C717="","",ROUND(SUMIF(收款关联,$B717,收款金额),2))</f>
        <v/>
      </c>
      <c r="W717" s="40" t="str">
        <f aca="false">IF($C717="","",MAX(0,ROUND(N($K717)-N($V717),2)))</f>
        <v/>
      </c>
      <c r="X717" s="40" t="str">
        <f aca="false">IF($C717="","",ROUND(SUMIFS(应收净额,应收键,$D717,应收行号,"&lt;="&amp;ROW()),2))</f>
        <v/>
      </c>
      <c r="Y717" s="29" t="str">
        <f aca="false">IF($C717="","",ROW())</f>
        <v/>
      </c>
    </row>
    <row r="718" customFormat="false" ht="15" hidden="false" customHeight="false" outlineLevel="0" collapsed="false">
      <c r="A718" s="29" t="str">
        <f aca="false">IF($C718="","",ROW()-4)</f>
        <v/>
      </c>
      <c r="B718" s="35" t="str">
        <f aca="false">IF($C718="","","YS"&amp;TEXT($C718,"yyyymm")&amp;"-"&amp;TEXT(ROW()-4,"0000"))</f>
        <v/>
      </c>
      <c r="C718" s="33"/>
      <c r="D718" s="24"/>
      <c r="E718" s="30" t="str">
        <f aca="false">IF($D718="","",IFERROR(INDEX(合同单位,MATCH($D718,合同键,0)),IFERROR(TRIM(LEFT($D718,FIND("｜",$D718)-1)),$D718)))</f>
        <v/>
      </c>
      <c r="F718" s="30" t="str">
        <f aca="false">IF($D718="","",IFERROR(INDEX(合同项目,MATCH($D718,合同键,0)),IFERROR(TRIM(MID($D718,FIND("｜",$D718)+1,99)),"")))</f>
        <v/>
      </c>
      <c r="G718" s="24"/>
      <c r="H718" s="35" t="str">
        <f aca="false">IF($G718="","",IFERROR(INDEX(费用款别,MATCH($G718,费用类别表,0)),"合同外款"))</f>
        <v/>
      </c>
      <c r="I718" s="33"/>
      <c r="J718" s="33"/>
      <c r="K718" s="39"/>
      <c r="L718" s="33"/>
      <c r="M718" s="25"/>
      <c r="N718" s="39"/>
      <c r="O718" s="35" t="str">
        <f aca="false">IF($C718="","",IF(N($N718)&lt;=0,"未开票",IF(ROUND(N($N718)-N($K718),2)&gt;=0,"已开票",IFERROR("部分开票 "&amp;TEXT(N($N718)/N($K718),"0%"),"部分开票"))))</f>
        <v/>
      </c>
      <c r="P718" s="40" t="str">
        <f aca="false">IF($C718="","",ROUND($V718+MIN($W718,MAX(0,(SUMIF(收款键,$D718,收款金额)-SUMIFS(收款金额,收款键,$D718,收款关联,"&lt;&gt;"))-($X718-$W718))),2))</f>
        <v/>
      </c>
      <c r="Q718" s="41" t="str">
        <f aca="false">IF($C718="","",ROUND(N($K718)-N($P718),2))</f>
        <v/>
      </c>
      <c r="R718" s="29" t="str">
        <f aca="false">IF($C718="","",YEAR($C718))</f>
        <v/>
      </c>
      <c r="S718" s="24"/>
      <c r="T718" s="35" t="str">
        <f aca="false">IF($C718="","",IF($D718="","★没选客户项目",IF(COUNTIF(合同键,$D718)=0,"★《维保合同》里没这个项目",IF(N($K718)&lt;=0,"★应收金额要填",IF(ROUND(N($N718)-N($K718),2)&gt;0.001,"★开票金额大于应收",IF(AND($L718&lt;&gt;"",N($N718)&lt;=0),"★填了开票日期没填开票金额",IF(AND($I718&lt;&gt;"",$J718&lt;&gt;"",$J718&lt;$I718),"★计费期间起止反了","OK")))))))</f>
        <v/>
      </c>
      <c r="U718" s="29" t="str">
        <f aca="false">IF($L718="","",YEAR($L718))</f>
        <v/>
      </c>
      <c r="V718" s="40" t="str">
        <f aca="false">IF($C718="","",ROUND(SUMIF(收款关联,$B718,收款金额),2))</f>
        <v/>
      </c>
      <c r="W718" s="40" t="str">
        <f aca="false">IF($C718="","",MAX(0,ROUND(N($K718)-N($V718),2)))</f>
        <v/>
      </c>
      <c r="X718" s="40" t="str">
        <f aca="false">IF($C718="","",ROUND(SUMIFS(应收净额,应收键,$D718,应收行号,"&lt;="&amp;ROW()),2))</f>
        <v/>
      </c>
      <c r="Y718" s="29" t="str">
        <f aca="false">IF($C718="","",ROW())</f>
        <v/>
      </c>
    </row>
    <row r="719" customFormat="false" ht="15" hidden="false" customHeight="false" outlineLevel="0" collapsed="false">
      <c r="A719" s="29" t="str">
        <f aca="false">IF($C719="","",ROW()-4)</f>
        <v/>
      </c>
      <c r="B719" s="35" t="str">
        <f aca="false">IF($C719="","","YS"&amp;TEXT($C719,"yyyymm")&amp;"-"&amp;TEXT(ROW()-4,"0000"))</f>
        <v/>
      </c>
      <c r="C719" s="33"/>
      <c r="D719" s="24"/>
      <c r="E719" s="30" t="str">
        <f aca="false">IF($D719="","",IFERROR(INDEX(合同单位,MATCH($D719,合同键,0)),IFERROR(TRIM(LEFT($D719,FIND("｜",$D719)-1)),$D719)))</f>
        <v/>
      </c>
      <c r="F719" s="30" t="str">
        <f aca="false">IF($D719="","",IFERROR(INDEX(合同项目,MATCH($D719,合同键,0)),IFERROR(TRIM(MID($D719,FIND("｜",$D719)+1,99)),"")))</f>
        <v/>
      </c>
      <c r="G719" s="24"/>
      <c r="H719" s="35" t="str">
        <f aca="false">IF($G719="","",IFERROR(INDEX(费用款别,MATCH($G719,费用类别表,0)),"合同外款"))</f>
        <v/>
      </c>
      <c r="I719" s="33"/>
      <c r="J719" s="33"/>
      <c r="K719" s="39"/>
      <c r="L719" s="33"/>
      <c r="M719" s="25"/>
      <c r="N719" s="39"/>
      <c r="O719" s="35" t="str">
        <f aca="false">IF($C719="","",IF(N($N719)&lt;=0,"未开票",IF(ROUND(N($N719)-N($K719),2)&gt;=0,"已开票",IFERROR("部分开票 "&amp;TEXT(N($N719)/N($K719),"0%"),"部分开票"))))</f>
        <v/>
      </c>
      <c r="P719" s="40" t="str">
        <f aca="false">IF($C719="","",ROUND($V719+MIN($W719,MAX(0,(SUMIF(收款键,$D719,收款金额)-SUMIFS(收款金额,收款键,$D719,收款关联,"&lt;&gt;"))-($X719-$W719))),2))</f>
        <v/>
      </c>
      <c r="Q719" s="41" t="str">
        <f aca="false">IF($C719="","",ROUND(N($K719)-N($P719),2))</f>
        <v/>
      </c>
      <c r="R719" s="29" t="str">
        <f aca="false">IF($C719="","",YEAR($C719))</f>
        <v/>
      </c>
      <c r="S719" s="24"/>
      <c r="T719" s="35" t="str">
        <f aca="false">IF($C719="","",IF($D719="","★没选客户项目",IF(COUNTIF(合同键,$D719)=0,"★《维保合同》里没这个项目",IF(N($K719)&lt;=0,"★应收金额要填",IF(ROUND(N($N719)-N($K719),2)&gt;0.001,"★开票金额大于应收",IF(AND($L719&lt;&gt;"",N($N719)&lt;=0),"★填了开票日期没填开票金额",IF(AND($I719&lt;&gt;"",$J719&lt;&gt;"",$J719&lt;$I719),"★计费期间起止反了","OK")))))))</f>
        <v/>
      </c>
      <c r="U719" s="29" t="str">
        <f aca="false">IF($L719="","",YEAR($L719))</f>
        <v/>
      </c>
      <c r="V719" s="40" t="str">
        <f aca="false">IF($C719="","",ROUND(SUMIF(收款关联,$B719,收款金额),2))</f>
        <v/>
      </c>
      <c r="W719" s="40" t="str">
        <f aca="false">IF($C719="","",MAX(0,ROUND(N($K719)-N($V719),2)))</f>
        <v/>
      </c>
      <c r="X719" s="40" t="str">
        <f aca="false">IF($C719="","",ROUND(SUMIFS(应收净额,应收键,$D719,应收行号,"&lt;="&amp;ROW()),2))</f>
        <v/>
      </c>
      <c r="Y719" s="29" t="str">
        <f aca="false">IF($C719="","",ROW())</f>
        <v/>
      </c>
    </row>
    <row r="720" customFormat="false" ht="15" hidden="false" customHeight="false" outlineLevel="0" collapsed="false">
      <c r="A720" s="29" t="str">
        <f aca="false">IF($C720="","",ROW()-4)</f>
        <v/>
      </c>
      <c r="B720" s="35" t="str">
        <f aca="false">IF($C720="","","YS"&amp;TEXT($C720,"yyyymm")&amp;"-"&amp;TEXT(ROW()-4,"0000"))</f>
        <v/>
      </c>
      <c r="C720" s="33"/>
      <c r="D720" s="24"/>
      <c r="E720" s="30" t="str">
        <f aca="false">IF($D720="","",IFERROR(INDEX(合同单位,MATCH($D720,合同键,0)),IFERROR(TRIM(LEFT($D720,FIND("｜",$D720)-1)),$D720)))</f>
        <v/>
      </c>
      <c r="F720" s="30" t="str">
        <f aca="false">IF($D720="","",IFERROR(INDEX(合同项目,MATCH($D720,合同键,0)),IFERROR(TRIM(MID($D720,FIND("｜",$D720)+1,99)),"")))</f>
        <v/>
      </c>
      <c r="G720" s="24"/>
      <c r="H720" s="35" t="str">
        <f aca="false">IF($G720="","",IFERROR(INDEX(费用款别,MATCH($G720,费用类别表,0)),"合同外款"))</f>
        <v/>
      </c>
      <c r="I720" s="33"/>
      <c r="J720" s="33"/>
      <c r="K720" s="39"/>
      <c r="L720" s="33"/>
      <c r="M720" s="25"/>
      <c r="N720" s="39"/>
      <c r="O720" s="35" t="str">
        <f aca="false">IF($C720="","",IF(N($N720)&lt;=0,"未开票",IF(ROUND(N($N720)-N($K720),2)&gt;=0,"已开票",IFERROR("部分开票 "&amp;TEXT(N($N720)/N($K720),"0%"),"部分开票"))))</f>
        <v/>
      </c>
      <c r="P720" s="40" t="str">
        <f aca="false">IF($C720="","",ROUND($V720+MIN($W720,MAX(0,(SUMIF(收款键,$D720,收款金额)-SUMIFS(收款金额,收款键,$D720,收款关联,"&lt;&gt;"))-($X720-$W720))),2))</f>
        <v/>
      </c>
      <c r="Q720" s="41" t="str">
        <f aca="false">IF($C720="","",ROUND(N($K720)-N($P720),2))</f>
        <v/>
      </c>
      <c r="R720" s="29" t="str">
        <f aca="false">IF($C720="","",YEAR($C720))</f>
        <v/>
      </c>
      <c r="S720" s="24"/>
      <c r="T720" s="35" t="str">
        <f aca="false">IF($C720="","",IF($D720="","★没选客户项目",IF(COUNTIF(合同键,$D720)=0,"★《维保合同》里没这个项目",IF(N($K720)&lt;=0,"★应收金额要填",IF(ROUND(N($N720)-N($K720),2)&gt;0.001,"★开票金额大于应收",IF(AND($L720&lt;&gt;"",N($N720)&lt;=0),"★填了开票日期没填开票金额",IF(AND($I720&lt;&gt;"",$J720&lt;&gt;"",$J720&lt;$I720),"★计费期间起止反了","OK")))))))</f>
        <v/>
      </c>
      <c r="U720" s="29" t="str">
        <f aca="false">IF($L720="","",YEAR($L720))</f>
        <v/>
      </c>
      <c r="V720" s="40" t="str">
        <f aca="false">IF($C720="","",ROUND(SUMIF(收款关联,$B720,收款金额),2))</f>
        <v/>
      </c>
      <c r="W720" s="40" t="str">
        <f aca="false">IF($C720="","",MAX(0,ROUND(N($K720)-N($V720),2)))</f>
        <v/>
      </c>
      <c r="X720" s="40" t="str">
        <f aca="false">IF($C720="","",ROUND(SUMIFS(应收净额,应收键,$D720,应收行号,"&lt;="&amp;ROW()),2))</f>
        <v/>
      </c>
      <c r="Y720" s="29" t="str">
        <f aca="false">IF($C720="","",ROW())</f>
        <v/>
      </c>
    </row>
    <row r="721" customFormat="false" ht="15" hidden="false" customHeight="false" outlineLevel="0" collapsed="false">
      <c r="A721" s="29" t="str">
        <f aca="false">IF($C721="","",ROW()-4)</f>
        <v/>
      </c>
      <c r="B721" s="35" t="str">
        <f aca="false">IF($C721="","","YS"&amp;TEXT($C721,"yyyymm")&amp;"-"&amp;TEXT(ROW()-4,"0000"))</f>
        <v/>
      </c>
      <c r="C721" s="33"/>
      <c r="D721" s="24"/>
      <c r="E721" s="30" t="str">
        <f aca="false">IF($D721="","",IFERROR(INDEX(合同单位,MATCH($D721,合同键,0)),IFERROR(TRIM(LEFT($D721,FIND("｜",$D721)-1)),$D721)))</f>
        <v/>
      </c>
      <c r="F721" s="30" t="str">
        <f aca="false">IF($D721="","",IFERROR(INDEX(合同项目,MATCH($D721,合同键,0)),IFERROR(TRIM(MID($D721,FIND("｜",$D721)+1,99)),"")))</f>
        <v/>
      </c>
      <c r="G721" s="24"/>
      <c r="H721" s="35" t="str">
        <f aca="false">IF($G721="","",IFERROR(INDEX(费用款别,MATCH($G721,费用类别表,0)),"合同外款"))</f>
        <v/>
      </c>
      <c r="I721" s="33"/>
      <c r="J721" s="33"/>
      <c r="K721" s="39"/>
      <c r="L721" s="33"/>
      <c r="M721" s="25"/>
      <c r="N721" s="39"/>
      <c r="O721" s="35" t="str">
        <f aca="false">IF($C721="","",IF(N($N721)&lt;=0,"未开票",IF(ROUND(N($N721)-N($K721),2)&gt;=0,"已开票",IFERROR("部分开票 "&amp;TEXT(N($N721)/N($K721),"0%"),"部分开票"))))</f>
        <v/>
      </c>
      <c r="P721" s="40" t="str">
        <f aca="false">IF($C721="","",ROUND($V721+MIN($W721,MAX(0,(SUMIF(收款键,$D721,收款金额)-SUMIFS(收款金额,收款键,$D721,收款关联,"&lt;&gt;"))-($X721-$W721))),2))</f>
        <v/>
      </c>
      <c r="Q721" s="41" t="str">
        <f aca="false">IF($C721="","",ROUND(N($K721)-N($P721),2))</f>
        <v/>
      </c>
      <c r="R721" s="29" t="str">
        <f aca="false">IF($C721="","",YEAR($C721))</f>
        <v/>
      </c>
      <c r="S721" s="24"/>
      <c r="T721" s="35" t="str">
        <f aca="false">IF($C721="","",IF($D721="","★没选客户项目",IF(COUNTIF(合同键,$D721)=0,"★《维保合同》里没这个项目",IF(N($K721)&lt;=0,"★应收金额要填",IF(ROUND(N($N721)-N($K721),2)&gt;0.001,"★开票金额大于应收",IF(AND($L721&lt;&gt;"",N($N721)&lt;=0),"★填了开票日期没填开票金额",IF(AND($I721&lt;&gt;"",$J721&lt;&gt;"",$J721&lt;$I721),"★计费期间起止反了","OK")))))))</f>
        <v/>
      </c>
      <c r="U721" s="29" t="str">
        <f aca="false">IF($L721="","",YEAR($L721))</f>
        <v/>
      </c>
      <c r="V721" s="40" t="str">
        <f aca="false">IF($C721="","",ROUND(SUMIF(收款关联,$B721,收款金额),2))</f>
        <v/>
      </c>
      <c r="W721" s="40" t="str">
        <f aca="false">IF($C721="","",MAX(0,ROUND(N($K721)-N($V721),2)))</f>
        <v/>
      </c>
      <c r="X721" s="40" t="str">
        <f aca="false">IF($C721="","",ROUND(SUMIFS(应收净额,应收键,$D721,应收行号,"&lt;="&amp;ROW()),2))</f>
        <v/>
      </c>
      <c r="Y721" s="29" t="str">
        <f aca="false">IF($C721="","",ROW())</f>
        <v/>
      </c>
    </row>
    <row r="722" customFormat="false" ht="15" hidden="false" customHeight="false" outlineLevel="0" collapsed="false">
      <c r="A722" s="29" t="str">
        <f aca="false">IF($C722="","",ROW()-4)</f>
        <v/>
      </c>
      <c r="B722" s="35" t="str">
        <f aca="false">IF($C722="","","YS"&amp;TEXT($C722,"yyyymm")&amp;"-"&amp;TEXT(ROW()-4,"0000"))</f>
        <v/>
      </c>
      <c r="C722" s="33"/>
      <c r="D722" s="24"/>
      <c r="E722" s="30" t="str">
        <f aca="false">IF($D722="","",IFERROR(INDEX(合同单位,MATCH($D722,合同键,0)),IFERROR(TRIM(LEFT($D722,FIND("｜",$D722)-1)),$D722)))</f>
        <v/>
      </c>
      <c r="F722" s="30" t="str">
        <f aca="false">IF($D722="","",IFERROR(INDEX(合同项目,MATCH($D722,合同键,0)),IFERROR(TRIM(MID($D722,FIND("｜",$D722)+1,99)),"")))</f>
        <v/>
      </c>
      <c r="G722" s="24"/>
      <c r="H722" s="35" t="str">
        <f aca="false">IF($G722="","",IFERROR(INDEX(费用款别,MATCH($G722,费用类别表,0)),"合同外款"))</f>
        <v/>
      </c>
      <c r="I722" s="33"/>
      <c r="J722" s="33"/>
      <c r="K722" s="39"/>
      <c r="L722" s="33"/>
      <c r="M722" s="25"/>
      <c r="N722" s="39"/>
      <c r="O722" s="35" t="str">
        <f aca="false">IF($C722="","",IF(N($N722)&lt;=0,"未开票",IF(ROUND(N($N722)-N($K722),2)&gt;=0,"已开票",IFERROR("部分开票 "&amp;TEXT(N($N722)/N($K722),"0%"),"部分开票"))))</f>
        <v/>
      </c>
      <c r="P722" s="40" t="str">
        <f aca="false">IF($C722="","",ROUND($V722+MIN($W722,MAX(0,(SUMIF(收款键,$D722,收款金额)-SUMIFS(收款金额,收款键,$D722,收款关联,"&lt;&gt;"))-($X722-$W722))),2))</f>
        <v/>
      </c>
      <c r="Q722" s="41" t="str">
        <f aca="false">IF($C722="","",ROUND(N($K722)-N($P722),2))</f>
        <v/>
      </c>
      <c r="R722" s="29" t="str">
        <f aca="false">IF($C722="","",YEAR($C722))</f>
        <v/>
      </c>
      <c r="S722" s="24"/>
      <c r="T722" s="35" t="str">
        <f aca="false">IF($C722="","",IF($D722="","★没选客户项目",IF(COUNTIF(合同键,$D722)=0,"★《维保合同》里没这个项目",IF(N($K722)&lt;=0,"★应收金额要填",IF(ROUND(N($N722)-N($K722),2)&gt;0.001,"★开票金额大于应收",IF(AND($L722&lt;&gt;"",N($N722)&lt;=0),"★填了开票日期没填开票金额",IF(AND($I722&lt;&gt;"",$J722&lt;&gt;"",$J722&lt;$I722),"★计费期间起止反了","OK")))))))</f>
        <v/>
      </c>
      <c r="U722" s="29" t="str">
        <f aca="false">IF($L722="","",YEAR($L722))</f>
        <v/>
      </c>
      <c r="V722" s="40" t="str">
        <f aca="false">IF($C722="","",ROUND(SUMIF(收款关联,$B722,收款金额),2))</f>
        <v/>
      </c>
      <c r="W722" s="40" t="str">
        <f aca="false">IF($C722="","",MAX(0,ROUND(N($K722)-N($V722),2)))</f>
        <v/>
      </c>
      <c r="X722" s="40" t="str">
        <f aca="false">IF($C722="","",ROUND(SUMIFS(应收净额,应收键,$D722,应收行号,"&lt;="&amp;ROW()),2))</f>
        <v/>
      </c>
      <c r="Y722" s="29" t="str">
        <f aca="false">IF($C722="","",ROW())</f>
        <v/>
      </c>
    </row>
    <row r="723" customFormat="false" ht="15" hidden="false" customHeight="false" outlineLevel="0" collapsed="false">
      <c r="A723" s="29" t="str">
        <f aca="false">IF($C723="","",ROW()-4)</f>
        <v/>
      </c>
      <c r="B723" s="35" t="str">
        <f aca="false">IF($C723="","","YS"&amp;TEXT($C723,"yyyymm")&amp;"-"&amp;TEXT(ROW()-4,"0000"))</f>
        <v/>
      </c>
      <c r="C723" s="33"/>
      <c r="D723" s="24"/>
      <c r="E723" s="30" t="str">
        <f aca="false">IF($D723="","",IFERROR(INDEX(合同单位,MATCH($D723,合同键,0)),IFERROR(TRIM(LEFT($D723,FIND("｜",$D723)-1)),$D723)))</f>
        <v/>
      </c>
      <c r="F723" s="30" t="str">
        <f aca="false">IF($D723="","",IFERROR(INDEX(合同项目,MATCH($D723,合同键,0)),IFERROR(TRIM(MID($D723,FIND("｜",$D723)+1,99)),"")))</f>
        <v/>
      </c>
      <c r="G723" s="24"/>
      <c r="H723" s="35" t="str">
        <f aca="false">IF($G723="","",IFERROR(INDEX(费用款别,MATCH($G723,费用类别表,0)),"合同外款"))</f>
        <v/>
      </c>
      <c r="I723" s="33"/>
      <c r="J723" s="33"/>
      <c r="K723" s="39"/>
      <c r="L723" s="33"/>
      <c r="M723" s="25"/>
      <c r="N723" s="39"/>
      <c r="O723" s="35" t="str">
        <f aca="false">IF($C723="","",IF(N($N723)&lt;=0,"未开票",IF(ROUND(N($N723)-N($K723),2)&gt;=0,"已开票",IFERROR("部分开票 "&amp;TEXT(N($N723)/N($K723),"0%"),"部分开票"))))</f>
        <v/>
      </c>
      <c r="P723" s="40" t="str">
        <f aca="false">IF($C723="","",ROUND($V723+MIN($W723,MAX(0,(SUMIF(收款键,$D723,收款金额)-SUMIFS(收款金额,收款键,$D723,收款关联,"&lt;&gt;"))-($X723-$W723))),2))</f>
        <v/>
      </c>
      <c r="Q723" s="41" t="str">
        <f aca="false">IF($C723="","",ROUND(N($K723)-N($P723),2))</f>
        <v/>
      </c>
      <c r="R723" s="29" t="str">
        <f aca="false">IF($C723="","",YEAR($C723))</f>
        <v/>
      </c>
      <c r="S723" s="24"/>
      <c r="T723" s="35" t="str">
        <f aca="false">IF($C723="","",IF($D723="","★没选客户项目",IF(COUNTIF(合同键,$D723)=0,"★《维保合同》里没这个项目",IF(N($K723)&lt;=0,"★应收金额要填",IF(ROUND(N($N723)-N($K723),2)&gt;0.001,"★开票金额大于应收",IF(AND($L723&lt;&gt;"",N($N723)&lt;=0),"★填了开票日期没填开票金额",IF(AND($I723&lt;&gt;"",$J723&lt;&gt;"",$J723&lt;$I723),"★计费期间起止反了","OK")))))))</f>
        <v/>
      </c>
      <c r="U723" s="29" t="str">
        <f aca="false">IF($L723="","",YEAR($L723))</f>
        <v/>
      </c>
      <c r="V723" s="40" t="str">
        <f aca="false">IF($C723="","",ROUND(SUMIF(收款关联,$B723,收款金额),2))</f>
        <v/>
      </c>
      <c r="W723" s="40" t="str">
        <f aca="false">IF($C723="","",MAX(0,ROUND(N($K723)-N($V723),2)))</f>
        <v/>
      </c>
      <c r="X723" s="40" t="str">
        <f aca="false">IF($C723="","",ROUND(SUMIFS(应收净额,应收键,$D723,应收行号,"&lt;="&amp;ROW()),2))</f>
        <v/>
      </c>
      <c r="Y723" s="29" t="str">
        <f aca="false">IF($C723="","",ROW())</f>
        <v/>
      </c>
    </row>
    <row r="724" customFormat="false" ht="15" hidden="false" customHeight="false" outlineLevel="0" collapsed="false">
      <c r="A724" s="29" t="str">
        <f aca="false">IF($C724="","",ROW()-4)</f>
        <v/>
      </c>
      <c r="B724" s="35" t="str">
        <f aca="false">IF($C724="","","YS"&amp;TEXT($C724,"yyyymm")&amp;"-"&amp;TEXT(ROW()-4,"0000"))</f>
        <v/>
      </c>
      <c r="C724" s="33"/>
      <c r="D724" s="24"/>
      <c r="E724" s="30" t="str">
        <f aca="false">IF($D724="","",IFERROR(INDEX(合同单位,MATCH($D724,合同键,0)),IFERROR(TRIM(LEFT($D724,FIND("｜",$D724)-1)),$D724)))</f>
        <v/>
      </c>
      <c r="F724" s="30" t="str">
        <f aca="false">IF($D724="","",IFERROR(INDEX(合同项目,MATCH($D724,合同键,0)),IFERROR(TRIM(MID($D724,FIND("｜",$D724)+1,99)),"")))</f>
        <v/>
      </c>
      <c r="G724" s="24"/>
      <c r="H724" s="35" t="str">
        <f aca="false">IF($G724="","",IFERROR(INDEX(费用款别,MATCH($G724,费用类别表,0)),"合同外款"))</f>
        <v/>
      </c>
      <c r="I724" s="33"/>
      <c r="J724" s="33"/>
      <c r="K724" s="39"/>
      <c r="L724" s="33"/>
      <c r="M724" s="25"/>
      <c r="N724" s="39"/>
      <c r="O724" s="35" t="str">
        <f aca="false">IF($C724="","",IF(N($N724)&lt;=0,"未开票",IF(ROUND(N($N724)-N($K724),2)&gt;=0,"已开票",IFERROR("部分开票 "&amp;TEXT(N($N724)/N($K724),"0%"),"部分开票"))))</f>
        <v/>
      </c>
      <c r="P724" s="40" t="str">
        <f aca="false">IF($C724="","",ROUND($V724+MIN($W724,MAX(0,(SUMIF(收款键,$D724,收款金额)-SUMIFS(收款金额,收款键,$D724,收款关联,"&lt;&gt;"))-($X724-$W724))),2))</f>
        <v/>
      </c>
      <c r="Q724" s="41" t="str">
        <f aca="false">IF($C724="","",ROUND(N($K724)-N($P724),2))</f>
        <v/>
      </c>
      <c r="R724" s="29" t="str">
        <f aca="false">IF($C724="","",YEAR($C724))</f>
        <v/>
      </c>
      <c r="S724" s="24"/>
      <c r="T724" s="35" t="str">
        <f aca="false">IF($C724="","",IF($D724="","★没选客户项目",IF(COUNTIF(合同键,$D724)=0,"★《维保合同》里没这个项目",IF(N($K724)&lt;=0,"★应收金额要填",IF(ROUND(N($N724)-N($K724),2)&gt;0.001,"★开票金额大于应收",IF(AND($L724&lt;&gt;"",N($N724)&lt;=0),"★填了开票日期没填开票金额",IF(AND($I724&lt;&gt;"",$J724&lt;&gt;"",$J724&lt;$I724),"★计费期间起止反了","OK")))))))</f>
        <v/>
      </c>
      <c r="U724" s="29" t="str">
        <f aca="false">IF($L724="","",YEAR($L724))</f>
        <v/>
      </c>
      <c r="V724" s="40" t="str">
        <f aca="false">IF($C724="","",ROUND(SUMIF(收款关联,$B724,收款金额),2))</f>
        <v/>
      </c>
      <c r="W724" s="40" t="str">
        <f aca="false">IF($C724="","",MAX(0,ROUND(N($K724)-N($V724),2)))</f>
        <v/>
      </c>
      <c r="X724" s="40" t="str">
        <f aca="false">IF($C724="","",ROUND(SUMIFS(应收净额,应收键,$D724,应收行号,"&lt;="&amp;ROW()),2))</f>
        <v/>
      </c>
      <c r="Y724" s="29" t="str">
        <f aca="false">IF($C724="","",ROW())</f>
        <v/>
      </c>
    </row>
    <row r="725" customFormat="false" ht="15" hidden="false" customHeight="false" outlineLevel="0" collapsed="false">
      <c r="A725" s="29" t="str">
        <f aca="false">IF($C725="","",ROW()-4)</f>
        <v/>
      </c>
      <c r="B725" s="35" t="str">
        <f aca="false">IF($C725="","","YS"&amp;TEXT($C725,"yyyymm")&amp;"-"&amp;TEXT(ROW()-4,"0000"))</f>
        <v/>
      </c>
      <c r="C725" s="33"/>
      <c r="D725" s="24"/>
      <c r="E725" s="30" t="str">
        <f aca="false">IF($D725="","",IFERROR(INDEX(合同单位,MATCH($D725,合同键,0)),IFERROR(TRIM(LEFT($D725,FIND("｜",$D725)-1)),$D725)))</f>
        <v/>
      </c>
      <c r="F725" s="30" t="str">
        <f aca="false">IF($D725="","",IFERROR(INDEX(合同项目,MATCH($D725,合同键,0)),IFERROR(TRIM(MID($D725,FIND("｜",$D725)+1,99)),"")))</f>
        <v/>
      </c>
      <c r="G725" s="24"/>
      <c r="H725" s="35" t="str">
        <f aca="false">IF($G725="","",IFERROR(INDEX(费用款别,MATCH($G725,费用类别表,0)),"合同外款"))</f>
        <v/>
      </c>
      <c r="I725" s="33"/>
      <c r="J725" s="33"/>
      <c r="K725" s="39"/>
      <c r="L725" s="33"/>
      <c r="M725" s="25"/>
      <c r="N725" s="39"/>
      <c r="O725" s="35" t="str">
        <f aca="false">IF($C725="","",IF(N($N725)&lt;=0,"未开票",IF(ROUND(N($N725)-N($K725),2)&gt;=0,"已开票",IFERROR("部分开票 "&amp;TEXT(N($N725)/N($K725),"0%"),"部分开票"))))</f>
        <v/>
      </c>
      <c r="P725" s="40" t="str">
        <f aca="false">IF($C725="","",ROUND($V725+MIN($W725,MAX(0,(SUMIF(收款键,$D725,收款金额)-SUMIFS(收款金额,收款键,$D725,收款关联,"&lt;&gt;"))-($X725-$W725))),2))</f>
        <v/>
      </c>
      <c r="Q725" s="41" t="str">
        <f aca="false">IF($C725="","",ROUND(N($K725)-N($P725),2))</f>
        <v/>
      </c>
      <c r="R725" s="29" t="str">
        <f aca="false">IF($C725="","",YEAR($C725))</f>
        <v/>
      </c>
      <c r="S725" s="24"/>
      <c r="T725" s="35" t="str">
        <f aca="false">IF($C725="","",IF($D725="","★没选客户项目",IF(COUNTIF(合同键,$D725)=0,"★《维保合同》里没这个项目",IF(N($K725)&lt;=0,"★应收金额要填",IF(ROUND(N($N725)-N($K725),2)&gt;0.001,"★开票金额大于应收",IF(AND($L725&lt;&gt;"",N($N725)&lt;=0),"★填了开票日期没填开票金额",IF(AND($I725&lt;&gt;"",$J725&lt;&gt;"",$J725&lt;$I725),"★计费期间起止反了","OK")))))))</f>
        <v/>
      </c>
      <c r="U725" s="29" t="str">
        <f aca="false">IF($L725="","",YEAR($L725))</f>
        <v/>
      </c>
      <c r="V725" s="40" t="str">
        <f aca="false">IF($C725="","",ROUND(SUMIF(收款关联,$B725,收款金额),2))</f>
        <v/>
      </c>
      <c r="W725" s="40" t="str">
        <f aca="false">IF($C725="","",MAX(0,ROUND(N($K725)-N($V725),2)))</f>
        <v/>
      </c>
      <c r="X725" s="40" t="str">
        <f aca="false">IF($C725="","",ROUND(SUMIFS(应收净额,应收键,$D725,应收行号,"&lt;="&amp;ROW()),2))</f>
        <v/>
      </c>
      <c r="Y725" s="29" t="str">
        <f aca="false">IF($C725="","",ROW())</f>
        <v/>
      </c>
    </row>
    <row r="726" customFormat="false" ht="15" hidden="false" customHeight="false" outlineLevel="0" collapsed="false">
      <c r="A726" s="29" t="str">
        <f aca="false">IF($C726="","",ROW()-4)</f>
        <v/>
      </c>
      <c r="B726" s="35" t="str">
        <f aca="false">IF($C726="","","YS"&amp;TEXT($C726,"yyyymm")&amp;"-"&amp;TEXT(ROW()-4,"0000"))</f>
        <v/>
      </c>
      <c r="C726" s="33"/>
      <c r="D726" s="24"/>
      <c r="E726" s="30" t="str">
        <f aca="false">IF($D726="","",IFERROR(INDEX(合同单位,MATCH($D726,合同键,0)),IFERROR(TRIM(LEFT($D726,FIND("｜",$D726)-1)),$D726)))</f>
        <v/>
      </c>
      <c r="F726" s="30" t="str">
        <f aca="false">IF($D726="","",IFERROR(INDEX(合同项目,MATCH($D726,合同键,0)),IFERROR(TRIM(MID($D726,FIND("｜",$D726)+1,99)),"")))</f>
        <v/>
      </c>
      <c r="G726" s="24"/>
      <c r="H726" s="35" t="str">
        <f aca="false">IF($G726="","",IFERROR(INDEX(费用款别,MATCH($G726,费用类别表,0)),"合同外款"))</f>
        <v/>
      </c>
      <c r="I726" s="33"/>
      <c r="J726" s="33"/>
      <c r="K726" s="39"/>
      <c r="L726" s="33"/>
      <c r="M726" s="25"/>
      <c r="N726" s="39"/>
      <c r="O726" s="35" t="str">
        <f aca="false">IF($C726="","",IF(N($N726)&lt;=0,"未开票",IF(ROUND(N($N726)-N($K726),2)&gt;=0,"已开票",IFERROR("部分开票 "&amp;TEXT(N($N726)/N($K726),"0%"),"部分开票"))))</f>
        <v/>
      </c>
      <c r="P726" s="40" t="str">
        <f aca="false">IF($C726="","",ROUND($V726+MIN($W726,MAX(0,(SUMIF(收款键,$D726,收款金额)-SUMIFS(收款金额,收款键,$D726,收款关联,"&lt;&gt;"))-($X726-$W726))),2))</f>
        <v/>
      </c>
      <c r="Q726" s="41" t="str">
        <f aca="false">IF($C726="","",ROUND(N($K726)-N($P726),2))</f>
        <v/>
      </c>
      <c r="R726" s="29" t="str">
        <f aca="false">IF($C726="","",YEAR($C726))</f>
        <v/>
      </c>
      <c r="S726" s="24"/>
      <c r="T726" s="35" t="str">
        <f aca="false">IF($C726="","",IF($D726="","★没选客户项目",IF(COUNTIF(合同键,$D726)=0,"★《维保合同》里没这个项目",IF(N($K726)&lt;=0,"★应收金额要填",IF(ROUND(N($N726)-N($K726),2)&gt;0.001,"★开票金额大于应收",IF(AND($L726&lt;&gt;"",N($N726)&lt;=0),"★填了开票日期没填开票金额",IF(AND($I726&lt;&gt;"",$J726&lt;&gt;"",$J726&lt;$I726),"★计费期间起止反了","OK")))))))</f>
        <v/>
      </c>
      <c r="U726" s="29" t="str">
        <f aca="false">IF($L726="","",YEAR($L726))</f>
        <v/>
      </c>
      <c r="V726" s="40" t="str">
        <f aca="false">IF($C726="","",ROUND(SUMIF(收款关联,$B726,收款金额),2))</f>
        <v/>
      </c>
      <c r="W726" s="40" t="str">
        <f aca="false">IF($C726="","",MAX(0,ROUND(N($K726)-N($V726),2)))</f>
        <v/>
      </c>
      <c r="X726" s="40" t="str">
        <f aca="false">IF($C726="","",ROUND(SUMIFS(应收净额,应收键,$D726,应收行号,"&lt;="&amp;ROW()),2))</f>
        <v/>
      </c>
      <c r="Y726" s="29" t="str">
        <f aca="false">IF($C726="","",ROW())</f>
        <v/>
      </c>
    </row>
    <row r="727" customFormat="false" ht="15" hidden="false" customHeight="false" outlineLevel="0" collapsed="false">
      <c r="A727" s="29" t="str">
        <f aca="false">IF($C727="","",ROW()-4)</f>
        <v/>
      </c>
      <c r="B727" s="35" t="str">
        <f aca="false">IF($C727="","","YS"&amp;TEXT($C727,"yyyymm")&amp;"-"&amp;TEXT(ROW()-4,"0000"))</f>
        <v/>
      </c>
      <c r="C727" s="33"/>
      <c r="D727" s="24"/>
      <c r="E727" s="30" t="str">
        <f aca="false">IF($D727="","",IFERROR(INDEX(合同单位,MATCH($D727,合同键,0)),IFERROR(TRIM(LEFT($D727,FIND("｜",$D727)-1)),$D727)))</f>
        <v/>
      </c>
      <c r="F727" s="30" t="str">
        <f aca="false">IF($D727="","",IFERROR(INDEX(合同项目,MATCH($D727,合同键,0)),IFERROR(TRIM(MID($D727,FIND("｜",$D727)+1,99)),"")))</f>
        <v/>
      </c>
      <c r="G727" s="24"/>
      <c r="H727" s="35" t="str">
        <f aca="false">IF($G727="","",IFERROR(INDEX(费用款别,MATCH($G727,费用类别表,0)),"合同外款"))</f>
        <v/>
      </c>
      <c r="I727" s="33"/>
      <c r="J727" s="33"/>
      <c r="K727" s="39"/>
      <c r="L727" s="33"/>
      <c r="M727" s="25"/>
      <c r="N727" s="39"/>
      <c r="O727" s="35" t="str">
        <f aca="false">IF($C727="","",IF(N($N727)&lt;=0,"未开票",IF(ROUND(N($N727)-N($K727),2)&gt;=0,"已开票",IFERROR("部分开票 "&amp;TEXT(N($N727)/N($K727),"0%"),"部分开票"))))</f>
        <v/>
      </c>
      <c r="P727" s="40" t="str">
        <f aca="false">IF($C727="","",ROUND($V727+MIN($W727,MAX(0,(SUMIF(收款键,$D727,收款金额)-SUMIFS(收款金额,收款键,$D727,收款关联,"&lt;&gt;"))-($X727-$W727))),2))</f>
        <v/>
      </c>
      <c r="Q727" s="41" t="str">
        <f aca="false">IF($C727="","",ROUND(N($K727)-N($P727),2))</f>
        <v/>
      </c>
      <c r="R727" s="29" t="str">
        <f aca="false">IF($C727="","",YEAR($C727))</f>
        <v/>
      </c>
      <c r="S727" s="24"/>
      <c r="T727" s="35" t="str">
        <f aca="false">IF($C727="","",IF($D727="","★没选客户项目",IF(COUNTIF(合同键,$D727)=0,"★《维保合同》里没这个项目",IF(N($K727)&lt;=0,"★应收金额要填",IF(ROUND(N($N727)-N($K727),2)&gt;0.001,"★开票金额大于应收",IF(AND($L727&lt;&gt;"",N($N727)&lt;=0),"★填了开票日期没填开票金额",IF(AND($I727&lt;&gt;"",$J727&lt;&gt;"",$J727&lt;$I727),"★计费期间起止反了","OK")))))))</f>
        <v/>
      </c>
      <c r="U727" s="29" t="str">
        <f aca="false">IF($L727="","",YEAR($L727))</f>
        <v/>
      </c>
      <c r="V727" s="40" t="str">
        <f aca="false">IF($C727="","",ROUND(SUMIF(收款关联,$B727,收款金额),2))</f>
        <v/>
      </c>
      <c r="W727" s="40" t="str">
        <f aca="false">IF($C727="","",MAX(0,ROUND(N($K727)-N($V727),2)))</f>
        <v/>
      </c>
      <c r="X727" s="40" t="str">
        <f aca="false">IF($C727="","",ROUND(SUMIFS(应收净额,应收键,$D727,应收行号,"&lt;="&amp;ROW()),2))</f>
        <v/>
      </c>
      <c r="Y727" s="29" t="str">
        <f aca="false">IF($C727="","",ROW())</f>
        <v/>
      </c>
    </row>
    <row r="728" customFormat="false" ht="15" hidden="false" customHeight="false" outlineLevel="0" collapsed="false">
      <c r="A728" s="29" t="str">
        <f aca="false">IF($C728="","",ROW()-4)</f>
        <v/>
      </c>
      <c r="B728" s="35" t="str">
        <f aca="false">IF($C728="","","YS"&amp;TEXT($C728,"yyyymm")&amp;"-"&amp;TEXT(ROW()-4,"0000"))</f>
        <v/>
      </c>
      <c r="C728" s="33"/>
      <c r="D728" s="24"/>
      <c r="E728" s="30" t="str">
        <f aca="false">IF($D728="","",IFERROR(INDEX(合同单位,MATCH($D728,合同键,0)),IFERROR(TRIM(LEFT($D728,FIND("｜",$D728)-1)),$D728)))</f>
        <v/>
      </c>
      <c r="F728" s="30" t="str">
        <f aca="false">IF($D728="","",IFERROR(INDEX(合同项目,MATCH($D728,合同键,0)),IFERROR(TRIM(MID($D728,FIND("｜",$D728)+1,99)),"")))</f>
        <v/>
      </c>
      <c r="G728" s="24"/>
      <c r="H728" s="35" t="str">
        <f aca="false">IF($G728="","",IFERROR(INDEX(费用款别,MATCH($G728,费用类别表,0)),"合同外款"))</f>
        <v/>
      </c>
      <c r="I728" s="33"/>
      <c r="J728" s="33"/>
      <c r="K728" s="39"/>
      <c r="L728" s="33"/>
      <c r="M728" s="25"/>
      <c r="N728" s="39"/>
      <c r="O728" s="35" t="str">
        <f aca="false">IF($C728="","",IF(N($N728)&lt;=0,"未开票",IF(ROUND(N($N728)-N($K728),2)&gt;=0,"已开票",IFERROR("部分开票 "&amp;TEXT(N($N728)/N($K728),"0%"),"部分开票"))))</f>
        <v/>
      </c>
      <c r="P728" s="40" t="str">
        <f aca="false">IF($C728="","",ROUND($V728+MIN($W728,MAX(0,(SUMIF(收款键,$D728,收款金额)-SUMIFS(收款金额,收款键,$D728,收款关联,"&lt;&gt;"))-($X728-$W728))),2))</f>
        <v/>
      </c>
      <c r="Q728" s="41" t="str">
        <f aca="false">IF($C728="","",ROUND(N($K728)-N($P728),2))</f>
        <v/>
      </c>
      <c r="R728" s="29" t="str">
        <f aca="false">IF($C728="","",YEAR($C728))</f>
        <v/>
      </c>
      <c r="S728" s="24"/>
      <c r="T728" s="35" t="str">
        <f aca="false">IF($C728="","",IF($D728="","★没选客户项目",IF(COUNTIF(合同键,$D728)=0,"★《维保合同》里没这个项目",IF(N($K728)&lt;=0,"★应收金额要填",IF(ROUND(N($N728)-N($K728),2)&gt;0.001,"★开票金额大于应收",IF(AND($L728&lt;&gt;"",N($N728)&lt;=0),"★填了开票日期没填开票金额",IF(AND($I728&lt;&gt;"",$J728&lt;&gt;"",$J728&lt;$I728),"★计费期间起止反了","OK")))))))</f>
        <v/>
      </c>
      <c r="U728" s="29" t="str">
        <f aca="false">IF($L728="","",YEAR($L728))</f>
        <v/>
      </c>
      <c r="V728" s="40" t="str">
        <f aca="false">IF($C728="","",ROUND(SUMIF(收款关联,$B728,收款金额),2))</f>
        <v/>
      </c>
      <c r="W728" s="40" t="str">
        <f aca="false">IF($C728="","",MAX(0,ROUND(N($K728)-N($V728),2)))</f>
        <v/>
      </c>
      <c r="X728" s="40" t="str">
        <f aca="false">IF($C728="","",ROUND(SUMIFS(应收净额,应收键,$D728,应收行号,"&lt;="&amp;ROW()),2))</f>
        <v/>
      </c>
      <c r="Y728" s="29" t="str">
        <f aca="false">IF($C728="","",ROW())</f>
        <v/>
      </c>
    </row>
    <row r="729" customFormat="false" ht="15" hidden="false" customHeight="false" outlineLevel="0" collapsed="false">
      <c r="A729" s="29" t="str">
        <f aca="false">IF($C729="","",ROW()-4)</f>
        <v/>
      </c>
      <c r="B729" s="35" t="str">
        <f aca="false">IF($C729="","","YS"&amp;TEXT($C729,"yyyymm")&amp;"-"&amp;TEXT(ROW()-4,"0000"))</f>
        <v/>
      </c>
      <c r="C729" s="33"/>
      <c r="D729" s="24"/>
      <c r="E729" s="30" t="str">
        <f aca="false">IF($D729="","",IFERROR(INDEX(合同单位,MATCH($D729,合同键,0)),IFERROR(TRIM(LEFT($D729,FIND("｜",$D729)-1)),$D729)))</f>
        <v/>
      </c>
      <c r="F729" s="30" t="str">
        <f aca="false">IF($D729="","",IFERROR(INDEX(合同项目,MATCH($D729,合同键,0)),IFERROR(TRIM(MID($D729,FIND("｜",$D729)+1,99)),"")))</f>
        <v/>
      </c>
      <c r="G729" s="24"/>
      <c r="H729" s="35" t="str">
        <f aca="false">IF($G729="","",IFERROR(INDEX(费用款别,MATCH($G729,费用类别表,0)),"合同外款"))</f>
        <v/>
      </c>
      <c r="I729" s="33"/>
      <c r="J729" s="33"/>
      <c r="K729" s="39"/>
      <c r="L729" s="33"/>
      <c r="M729" s="25"/>
      <c r="N729" s="39"/>
      <c r="O729" s="35" t="str">
        <f aca="false">IF($C729="","",IF(N($N729)&lt;=0,"未开票",IF(ROUND(N($N729)-N($K729),2)&gt;=0,"已开票",IFERROR("部分开票 "&amp;TEXT(N($N729)/N($K729),"0%"),"部分开票"))))</f>
        <v/>
      </c>
      <c r="P729" s="40" t="str">
        <f aca="false">IF($C729="","",ROUND($V729+MIN($W729,MAX(0,(SUMIF(收款键,$D729,收款金额)-SUMIFS(收款金额,收款键,$D729,收款关联,"&lt;&gt;"))-($X729-$W729))),2))</f>
        <v/>
      </c>
      <c r="Q729" s="41" t="str">
        <f aca="false">IF($C729="","",ROUND(N($K729)-N($P729),2))</f>
        <v/>
      </c>
      <c r="R729" s="29" t="str">
        <f aca="false">IF($C729="","",YEAR($C729))</f>
        <v/>
      </c>
      <c r="S729" s="24"/>
      <c r="T729" s="35" t="str">
        <f aca="false">IF($C729="","",IF($D729="","★没选客户项目",IF(COUNTIF(合同键,$D729)=0,"★《维保合同》里没这个项目",IF(N($K729)&lt;=0,"★应收金额要填",IF(ROUND(N($N729)-N($K729),2)&gt;0.001,"★开票金额大于应收",IF(AND($L729&lt;&gt;"",N($N729)&lt;=0),"★填了开票日期没填开票金额",IF(AND($I729&lt;&gt;"",$J729&lt;&gt;"",$J729&lt;$I729),"★计费期间起止反了","OK")))))))</f>
        <v/>
      </c>
      <c r="U729" s="29" t="str">
        <f aca="false">IF($L729="","",YEAR($L729))</f>
        <v/>
      </c>
      <c r="V729" s="40" t="str">
        <f aca="false">IF($C729="","",ROUND(SUMIF(收款关联,$B729,收款金额),2))</f>
        <v/>
      </c>
      <c r="W729" s="40" t="str">
        <f aca="false">IF($C729="","",MAX(0,ROUND(N($K729)-N($V729),2)))</f>
        <v/>
      </c>
      <c r="X729" s="40" t="str">
        <f aca="false">IF($C729="","",ROUND(SUMIFS(应收净额,应收键,$D729,应收行号,"&lt;="&amp;ROW()),2))</f>
        <v/>
      </c>
      <c r="Y729" s="29" t="str">
        <f aca="false">IF($C729="","",ROW())</f>
        <v/>
      </c>
    </row>
    <row r="730" customFormat="false" ht="15" hidden="false" customHeight="false" outlineLevel="0" collapsed="false">
      <c r="A730" s="29" t="str">
        <f aca="false">IF($C730="","",ROW()-4)</f>
        <v/>
      </c>
      <c r="B730" s="35" t="str">
        <f aca="false">IF($C730="","","YS"&amp;TEXT($C730,"yyyymm")&amp;"-"&amp;TEXT(ROW()-4,"0000"))</f>
        <v/>
      </c>
      <c r="C730" s="33"/>
      <c r="D730" s="24"/>
      <c r="E730" s="30" t="str">
        <f aca="false">IF($D730="","",IFERROR(INDEX(合同单位,MATCH($D730,合同键,0)),IFERROR(TRIM(LEFT($D730,FIND("｜",$D730)-1)),$D730)))</f>
        <v/>
      </c>
      <c r="F730" s="30" t="str">
        <f aca="false">IF($D730="","",IFERROR(INDEX(合同项目,MATCH($D730,合同键,0)),IFERROR(TRIM(MID($D730,FIND("｜",$D730)+1,99)),"")))</f>
        <v/>
      </c>
      <c r="G730" s="24"/>
      <c r="H730" s="35" t="str">
        <f aca="false">IF($G730="","",IFERROR(INDEX(费用款别,MATCH($G730,费用类别表,0)),"合同外款"))</f>
        <v/>
      </c>
      <c r="I730" s="33"/>
      <c r="J730" s="33"/>
      <c r="K730" s="39"/>
      <c r="L730" s="33"/>
      <c r="M730" s="25"/>
      <c r="N730" s="39"/>
      <c r="O730" s="35" t="str">
        <f aca="false">IF($C730="","",IF(N($N730)&lt;=0,"未开票",IF(ROUND(N($N730)-N($K730),2)&gt;=0,"已开票",IFERROR("部分开票 "&amp;TEXT(N($N730)/N($K730),"0%"),"部分开票"))))</f>
        <v/>
      </c>
      <c r="P730" s="40" t="str">
        <f aca="false">IF($C730="","",ROUND($V730+MIN($W730,MAX(0,(SUMIF(收款键,$D730,收款金额)-SUMIFS(收款金额,收款键,$D730,收款关联,"&lt;&gt;"))-($X730-$W730))),2))</f>
        <v/>
      </c>
      <c r="Q730" s="41" t="str">
        <f aca="false">IF($C730="","",ROUND(N($K730)-N($P730),2))</f>
        <v/>
      </c>
      <c r="R730" s="29" t="str">
        <f aca="false">IF($C730="","",YEAR($C730))</f>
        <v/>
      </c>
      <c r="S730" s="24"/>
      <c r="T730" s="35" t="str">
        <f aca="false">IF($C730="","",IF($D730="","★没选客户项目",IF(COUNTIF(合同键,$D730)=0,"★《维保合同》里没这个项目",IF(N($K730)&lt;=0,"★应收金额要填",IF(ROUND(N($N730)-N($K730),2)&gt;0.001,"★开票金额大于应收",IF(AND($L730&lt;&gt;"",N($N730)&lt;=0),"★填了开票日期没填开票金额",IF(AND($I730&lt;&gt;"",$J730&lt;&gt;"",$J730&lt;$I730),"★计费期间起止反了","OK")))))))</f>
        <v/>
      </c>
      <c r="U730" s="29" t="str">
        <f aca="false">IF($L730="","",YEAR($L730))</f>
        <v/>
      </c>
      <c r="V730" s="40" t="str">
        <f aca="false">IF($C730="","",ROUND(SUMIF(收款关联,$B730,收款金额),2))</f>
        <v/>
      </c>
      <c r="W730" s="40" t="str">
        <f aca="false">IF($C730="","",MAX(0,ROUND(N($K730)-N($V730),2)))</f>
        <v/>
      </c>
      <c r="X730" s="40" t="str">
        <f aca="false">IF($C730="","",ROUND(SUMIFS(应收净额,应收键,$D730,应收行号,"&lt;="&amp;ROW()),2))</f>
        <v/>
      </c>
      <c r="Y730" s="29" t="str">
        <f aca="false">IF($C730="","",ROW())</f>
        <v/>
      </c>
    </row>
    <row r="731" customFormat="false" ht="15" hidden="false" customHeight="false" outlineLevel="0" collapsed="false">
      <c r="A731" s="29" t="str">
        <f aca="false">IF($C731="","",ROW()-4)</f>
        <v/>
      </c>
      <c r="B731" s="35" t="str">
        <f aca="false">IF($C731="","","YS"&amp;TEXT($C731,"yyyymm")&amp;"-"&amp;TEXT(ROW()-4,"0000"))</f>
        <v/>
      </c>
      <c r="C731" s="33"/>
      <c r="D731" s="24"/>
      <c r="E731" s="30" t="str">
        <f aca="false">IF($D731="","",IFERROR(INDEX(合同单位,MATCH($D731,合同键,0)),IFERROR(TRIM(LEFT($D731,FIND("｜",$D731)-1)),$D731)))</f>
        <v/>
      </c>
      <c r="F731" s="30" t="str">
        <f aca="false">IF($D731="","",IFERROR(INDEX(合同项目,MATCH($D731,合同键,0)),IFERROR(TRIM(MID($D731,FIND("｜",$D731)+1,99)),"")))</f>
        <v/>
      </c>
      <c r="G731" s="24"/>
      <c r="H731" s="35" t="str">
        <f aca="false">IF($G731="","",IFERROR(INDEX(费用款别,MATCH($G731,费用类别表,0)),"合同外款"))</f>
        <v/>
      </c>
      <c r="I731" s="33"/>
      <c r="J731" s="33"/>
      <c r="K731" s="39"/>
      <c r="L731" s="33"/>
      <c r="M731" s="25"/>
      <c r="N731" s="39"/>
      <c r="O731" s="35" t="str">
        <f aca="false">IF($C731="","",IF(N($N731)&lt;=0,"未开票",IF(ROUND(N($N731)-N($K731),2)&gt;=0,"已开票",IFERROR("部分开票 "&amp;TEXT(N($N731)/N($K731),"0%"),"部分开票"))))</f>
        <v/>
      </c>
      <c r="P731" s="40" t="str">
        <f aca="false">IF($C731="","",ROUND($V731+MIN($W731,MAX(0,(SUMIF(收款键,$D731,收款金额)-SUMIFS(收款金额,收款键,$D731,收款关联,"&lt;&gt;"))-($X731-$W731))),2))</f>
        <v/>
      </c>
      <c r="Q731" s="41" t="str">
        <f aca="false">IF($C731="","",ROUND(N($K731)-N($P731),2))</f>
        <v/>
      </c>
      <c r="R731" s="29" t="str">
        <f aca="false">IF($C731="","",YEAR($C731))</f>
        <v/>
      </c>
      <c r="S731" s="24"/>
      <c r="T731" s="35" t="str">
        <f aca="false">IF($C731="","",IF($D731="","★没选客户项目",IF(COUNTIF(合同键,$D731)=0,"★《维保合同》里没这个项目",IF(N($K731)&lt;=0,"★应收金额要填",IF(ROUND(N($N731)-N($K731),2)&gt;0.001,"★开票金额大于应收",IF(AND($L731&lt;&gt;"",N($N731)&lt;=0),"★填了开票日期没填开票金额",IF(AND($I731&lt;&gt;"",$J731&lt;&gt;"",$J731&lt;$I731),"★计费期间起止反了","OK")))))))</f>
        <v/>
      </c>
      <c r="U731" s="29" t="str">
        <f aca="false">IF($L731="","",YEAR($L731))</f>
        <v/>
      </c>
      <c r="V731" s="40" t="str">
        <f aca="false">IF($C731="","",ROUND(SUMIF(收款关联,$B731,收款金额),2))</f>
        <v/>
      </c>
      <c r="W731" s="40" t="str">
        <f aca="false">IF($C731="","",MAX(0,ROUND(N($K731)-N($V731),2)))</f>
        <v/>
      </c>
      <c r="X731" s="40" t="str">
        <f aca="false">IF($C731="","",ROUND(SUMIFS(应收净额,应收键,$D731,应收行号,"&lt;="&amp;ROW()),2))</f>
        <v/>
      </c>
      <c r="Y731" s="29" t="str">
        <f aca="false">IF($C731="","",ROW())</f>
        <v/>
      </c>
    </row>
    <row r="732" customFormat="false" ht="15" hidden="false" customHeight="false" outlineLevel="0" collapsed="false">
      <c r="A732" s="29" t="str">
        <f aca="false">IF($C732="","",ROW()-4)</f>
        <v/>
      </c>
      <c r="B732" s="35" t="str">
        <f aca="false">IF($C732="","","YS"&amp;TEXT($C732,"yyyymm")&amp;"-"&amp;TEXT(ROW()-4,"0000"))</f>
        <v/>
      </c>
      <c r="C732" s="33"/>
      <c r="D732" s="24"/>
      <c r="E732" s="30" t="str">
        <f aca="false">IF($D732="","",IFERROR(INDEX(合同单位,MATCH($D732,合同键,0)),IFERROR(TRIM(LEFT($D732,FIND("｜",$D732)-1)),$D732)))</f>
        <v/>
      </c>
      <c r="F732" s="30" t="str">
        <f aca="false">IF($D732="","",IFERROR(INDEX(合同项目,MATCH($D732,合同键,0)),IFERROR(TRIM(MID($D732,FIND("｜",$D732)+1,99)),"")))</f>
        <v/>
      </c>
      <c r="G732" s="24"/>
      <c r="H732" s="35" t="str">
        <f aca="false">IF($G732="","",IFERROR(INDEX(费用款别,MATCH($G732,费用类别表,0)),"合同外款"))</f>
        <v/>
      </c>
      <c r="I732" s="33"/>
      <c r="J732" s="33"/>
      <c r="K732" s="39"/>
      <c r="L732" s="33"/>
      <c r="M732" s="25"/>
      <c r="N732" s="39"/>
      <c r="O732" s="35" t="str">
        <f aca="false">IF($C732="","",IF(N($N732)&lt;=0,"未开票",IF(ROUND(N($N732)-N($K732),2)&gt;=0,"已开票",IFERROR("部分开票 "&amp;TEXT(N($N732)/N($K732),"0%"),"部分开票"))))</f>
        <v/>
      </c>
      <c r="P732" s="40" t="str">
        <f aca="false">IF($C732="","",ROUND($V732+MIN($W732,MAX(0,(SUMIF(收款键,$D732,收款金额)-SUMIFS(收款金额,收款键,$D732,收款关联,"&lt;&gt;"))-($X732-$W732))),2))</f>
        <v/>
      </c>
      <c r="Q732" s="41" t="str">
        <f aca="false">IF($C732="","",ROUND(N($K732)-N($P732),2))</f>
        <v/>
      </c>
      <c r="R732" s="29" t="str">
        <f aca="false">IF($C732="","",YEAR($C732))</f>
        <v/>
      </c>
      <c r="S732" s="24"/>
      <c r="T732" s="35" t="str">
        <f aca="false">IF($C732="","",IF($D732="","★没选客户项目",IF(COUNTIF(合同键,$D732)=0,"★《维保合同》里没这个项目",IF(N($K732)&lt;=0,"★应收金额要填",IF(ROUND(N($N732)-N($K732),2)&gt;0.001,"★开票金额大于应收",IF(AND($L732&lt;&gt;"",N($N732)&lt;=0),"★填了开票日期没填开票金额",IF(AND($I732&lt;&gt;"",$J732&lt;&gt;"",$J732&lt;$I732),"★计费期间起止反了","OK")))))))</f>
        <v/>
      </c>
      <c r="U732" s="29" t="str">
        <f aca="false">IF($L732="","",YEAR($L732))</f>
        <v/>
      </c>
      <c r="V732" s="40" t="str">
        <f aca="false">IF($C732="","",ROUND(SUMIF(收款关联,$B732,收款金额),2))</f>
        <v/>
      </c>
      <c r="W732" s="40" t="str">
        <f aca="false">IF($C732="","",MAX(0,ROUND(N($K732)-N($V732),2)))</f>
        <v/>
      </c>
      <c r="X732" s="40" t="str">
        <f aca="false">IF($C732="","",ROUND(SUMIFS(应收净额,应收键,$D732,应收行号,"&lt;="&amp;ROW()),2))</f>
        <v/>
      </c>
      <c r="Y732" s="29" t="str">
        <f aca="false">IF($C732="","",ROW())</f>
        <v/>
      </c>
    </row>
    <row r="733" customFormat="false" ht="15" hidden="false" customHeight="false" outlineLevel="0" collapsed="false">
      <c r="A733" s="29" t="str">
        <f aca="false">IF($C733="","",ROW()-4)</f>
        <v/>
      </c>
      <c r="B733" s="35" t="str">
        <f aca="false">IF($C733="","","YS"&amp;TEXT($C733,"yyyymm")&amp;"-"&amp;TEXT(ROW()-4,"0000"))</f>
        <v/>
      </c>
      <c r="C733" s="33"/>
      <c r="D733" s="24"/>
      <c r="E733" s="30" t="str">
        <f aca="false">IF($D733="","",IFERROR(INDEX(合同单位,MATCH($D733,合同键,0)),IFERROR(TRIM(LEFT($D733,FIND("｜",$D733)-1)),$D733)))</f>
        <v/>
      </c>
      <c r="F733" s="30" t="str">
        <f aca="false">IF($D733="","",IFERROR(INDEX(合同项目,MATCH($D733,合同键,0)),IFERROR(TRIM(MID($D733,FIND("｜",$D733)+1,99)),"")))</f>
        <v/>
      </c>
      <c r="G733" s="24"/>
      <c r="H733" s="35" t="str">
        <f aca="false">IF($G733="","",IFERROR(INDEX(费用款别,MATCH($G733,费用类别表,0)),"合同外款"))</f>
        <v/>
      </c>
      <c r="I733" s="33"/>
      <c r="J733" s="33"/>
      <c r="K733" s="39"/>
      <c r="L733" s="33"/>
      <c r="M733" s="25"/>
      <c r="N733" s="39"/>
      <c r="O733" s="35" t="str">
        <f aca="false">IF($C733="","",IF(N($N733)&lt;=0,"未开票",IF(ROUND(N($N733)-N($K733),2)&gt;=0,"已开票",IFERROR("部分开票 "&amp;TEXT(N($N733)/N($K733),"0%"),"部分开票"))))</f>
        <v/>
      </c>
      <c r="P733" s="40" t="str">
        <f aca="false">IF($C733="","",ROUND($V733+MIN($W733,MAX(0,(SUMIF(收款键,$D733,收款金额)-SUMIFS(收款金额,收款键,$D733,收款关联,"&lt;&gt;"))-($X733-$W733))),2))</f>
        <v/>
      </c>
      <c r="Q733" s="41" t="str">
        <f aca="false">IF($C733="","",ROUND(N($K733)-N($P733),2))</f>
        <v/>
      </c>
      <c r="R733" s="29" t="str">
        <f aca="false">IF($C733="","",YEAR($C733))</f>
        <v/>
      </c>
      <c r="S733" s="24"/>
      <c r="T733" s="35" t="str">
        <f aca="false">IF($C733="","",IF($D733="","★没选客户项目",IF(COUNTIF(合同键,$D733)=0,"★《维保合同》里没这个项目",IF(N($K733)&lt;=0,"★应收金额要填",IF(ROUND(N($N733)-N($K733),2)&gt;0.001,"★开票金额大于应收",IF(AND($L733&lt;&gt;"",N($N733)&lt;=0),"★填了开票日期没填开票金额",IF(AND($I733&lt;&gt;"",$J733&lt;&gt;"",$J733&lt;$I733),"★计费期间起止反了","OK")))))))</f>
        <v/>
      </c>
      <c r="U733" s="29" t="str">
        <f aca="false">IF($L733="","",YEAR($L733))</f>
        <v/>
      </c>
      <c r="V733" s="40" t="str">
        <f aca="false">IF($C733="","",ROUND(SUMIF(收款关联,$B733,收款金额),2))</f>
        <v/>
      </c>
      <c r="W733" s="40" t="str">
        <f aca="false">IF($C733="","",MAX(0,ROUND(N($K733)-N($V733),2)))</f>
        <v/>
      </c>
      <c r="X733" s="40" t="str">
        <f aca="false">IF($C733="","",ROUND(SUMIFS(应收净额,应收键,$D733,应收行号,"&lt;="&amp;ROW()),2))</f>
        <v/>
      </c>
      <c r="Y733" s="29" t="str">
        <f aca="false">IF($C733="","",ROW())</f>
        <v/>
      </c>
    </row>
    <row r="734" customFormat="false" ht="15" hidden="false" customHeight="false" outlineLevel="0" collapsed="false">
      <c r="A734" s="29" t="str">
        <f aca="false">IF($C734="","",ROW()-4)</f>
        <v/>
      </c>
      <c r="B734" s="35" t="str">
        <f aca="false">IF($C734="","","YS"&amp;TEXT($C734,"yyyymm")&amp;"-"&amp;TEXT(ROW()-4,"0000"))</f>
        <v/>
      </c>
      <c r="C734" s="33"/>
      <c r="D734" s="24"/>
      <c r="E734" s="30" t="str">
        <f aca="false">IF($D734="","",IFERROR(INDEX(合同单位,MATCH($D734,合同键,0)),IFERROR(TRIM(LEFT($D734,FIND("｜",$D734)-1)),$D734)))</f>
        <v/>
      </c>
      <c r="F734" s="30" t="str">
        <f aca="false">IF($D734="","",IFERROR(INDEX(合同项目,MATCH($D734,合同键,0)),IFERROR(TRIM(MID($D734,FIND("｜",$D734)+1,99)),"")))</f>
        <v/>
      </c>
      <c r="G734" s="24"/>
      <c r="H734" s="35" t="str">
        <f aca="false">IF($G734="","",IFERROR(INDEX(费用款别,MATCH($G734,费用类别表,0)),"合同外款"))</f>
        <v/>
      </c>
      <c r="I734" s="33"/>
      <c r="J734" s="33"/>
      <c r="K734" s="39"/>
      <c r="L734" s="33"/>
      <c r="M734" s="25"/>
      <c r="N734" s="39"/>
      <c r="O734" s="35" t="str">
        <f aca="false">IF($C734="","",IF(N($N734)&lt;=0,"未开票",IF(ROUND(N($N734)-N($K734),2)&gt;=0,"已开票",IFERROR("部分开票 "&amp;TEXT(N($N734)/N($K734),"0%"),"部分开票"))))</f>
        <v/>
      </c>
      <c r="P734" s="40" t="str">
        <f aca="false">IF($C734="","",ROUND($V734+MIN($W734,MAX(0,(SUMIF(收款键,$D734,收款金额)-SUMIFS(收款金额,收款键,$D734,收款关联,"&lt;&gt;"))-($X734-$W734))),2))</f>
        <v/>
      </c>
      <c r="Q734" s="41" t="str">
        <f aca="false">IF($C734="","",ROUND(N($K734)-N($P734),2))</f>
        <v/>
      </c>
      <c r="R734" s="29" t="str">
        <f aca="false">IF($C734="","",YEAR($C734))</f>
        <v/>
      </c>
      <c r="S734" s="24"/>
      <c r="T734" s="35" t="str">
        <f aca="false">IF($C734="","",IF($D734="","★没选客户项目",IF(COUNTIF(合同键,$D734)=0,"★《维保合同》里没这个项目",IF(N($K734)&lt;=0,"★应收金额要填",IF(ROUND(N($N734)-N($K734),2)&gt;0.001,"★开票金额大于应收",IF(AND($L734&lt;&gt;"",N($N734)&lt;=0),"★填了开票日期没填开票金额",IF(AND($I734&lt;&gt;"",$J734&lt;&gt;"",$J734&lt;$I734),"★计费期间起止反了","OK")))))))</f>
        <v/>
      </c>
      <c r="U734" s="29" t="str">
        <f aca="false">IF($L734="","",YEAR($L734))</f>
        <v/>
      </c>
      <c r="V734" s="40" t="str">
        <f aca="false">IF($C734="","",ROUND(SUMIF(收款关联,$B734,收款金额),2))</f>
        <v/>
      </c>
      <c r="W734" s="40" t="str">
        <f aca="false">IF($C734="","",MAX(0,ROUND(N($K734)-N($V734),2)))</f>
        <v/>
      </c>
      <c r="X734" s="40" t="str">
        <f aca="false">IF($C734="","",ROUND(SUMIFS(应收净额,应收键,$D734,应收行号,"&lt;="&amp;ROW()),2))</f>
        <v/>
      </c>
      <c r="Y734" s="29" t="str">
        <f aca="false">IF($C734="","",ROW())</f>
        <v/>
      </c>
    </row>
    <row r="735" customFormat="false" ht="15" hidden="false" customHeight="false" outlineLevel="0" collapsed="false">
      <c r="A735" s="29" t="str">
        <f aca="false">IF($C735="","",ROW()-4)</f>
        <v/>
      </c>
      <c r="B735" s="35" t="str">
        <f aca="false">IF($C735="","","YS"&amp;TEXT($C735,"yyyymm")&amp;"-"&amp;TEXT(ROW()-4,"0000"))</f>
        <v/>
      </c>
      <c r="C735" s="33"/>
      <c r="D735" s="24"/>
      <c r="E735" s="30" t="str">
        <f aca="false">IF($D735="","",IFERROR(INDEX(合同单位,MATCH($D735,合同键,0)),IFERROR(TRIM(LEFT($D735,FIND("｜",$D735)-1)),$D735)))</f>
        <v/>
      </c>
      <c r="F735" s="30" t="str">
        <f aca="false">IF($D735="","",IFERROR(INDEX(合同项目,MATCH($D735,合同键,0)),IFERROR(TRIM(MID($D735,FIND("｜",$D735)+1,99)),"")))</f>
        <v/>
      </c>
      <c r="G735" s="24"/>
      <c r="H735" s="35" t="str">
        <f aca="false">IF($G735="","",IFERROR(INDEX(费用款别,MATCH($G735,费用类别表,0)),"合同外款"))</f>
        <v/>
      </c>
      <c r="I735" s="33"/>
      <c r="J735" s="33"/>
      <c r="K735" s="39"/>
      <c r="L735" s="33"/>
      <c r="M735" s="25"/>
      <c r="N735" s="39"/>
      <c r="O735" s="35" t="str">
        <f aca="false">IF($C735="","",IF(N($N735)&lt;=0,"未开票",IF(ROUND(N($N735)-N($K735),2)&gt;=0,"已开票",IFERROR("部分开票 "&amp;TEXT(N($N735)/N($K735),"0%"),"部分开票"))))</f>
        <v/>
      </c>
      <c r="P735" s="40" t="str">
        <f aca="false">IF($C735="","",ROUND($V735+MIN($W735,MAX(0,(SUMIF(收款键,$D735,收款金额)-SUMIFS(收款金额,收款键,$D735,收款关联,"&lt;&gt;"))-($X735-$W735))),2))</f>
        <v/>
      </c>
      <c r="Q735" s="41" t="str">
        <f aca="false">IF($C735="","",ROUND(N($K735)-N($P735),2))</f>
        <v/>
      </c>
      <c r="R735" s="29" t="str">
        <f aca="false">IF($C735="","",YEAR($C735))</f>
        <v/>
      </c>
      <c r="S735" s="24"/>
      <c r="T735" s="35" t="str">
        <f aca="false">IF($C735="","",IF($D735="","★没选客户项目",IF(COUNTIF(合同键,$D735)=0,"★《维保合同》里没这个项目",IF(N($K735)&lt;=0,"★应收金额要填",IF(ROUND(N($N735)-N($K735),2)&gt;0.001,"★开票金额大于应收",IF(AND($L735&lt;&gt;"",N($N735)&lt;=0),"★填了开票日期没填开票金额",IF(AND($I735&lt;&gt;"",$J735&lt;&gt;"",$J735&lt;$I735),"★计费期间起止反了","OK")))))))</f>
        <v/>
      </c>
      <c r="U735" s="29" t="str">
        <f aca="false">IF($L735="","",YEAR($L735))</f>
        <v/>
      </c>
      <c r="V735" s="40" t="str">
        <f aca="false">IF($C735="","",ROUND(SUMIF(收款关联,$B735,收款金额),2))</f>
        <v/>
      </c>
      <c r="W735" s="40" t="str">
        <f aca="false">IF($C735="","",MAX(0,ROUND(N($K735)-N($V735),2)))</f>
        <v/>
      </c>
      <c r="X735" s="40" t="str">
        <f aca="false">IF($C735="","",ROUND(SUMIFS(应收净额,应收键,$D735,应收行号,"&lt;="&amp;ROW()),2))</f>
        <v/>
      </c>
      <c r="Y735" s="29" t="str">
        <f aca="false">IF($C735="","",ROW())</f>
        <v/>
      </c>
    </row>
    <row r="736" customFormat="false" ht="15" hidden="false" customHeight="false" outlineLevel="0" collapsed="false">
      <c r="A736" s="29" t="str">
        <f aca="false">IF($C736="","",ROW()-4)</f>
        <v/>
      </c>
      <c r="B736" s="35" t="str">
        <f aca="false">IF($C736="","","YS"&amp;TEXT($C736,"yyyymm")&amp;"-"&amp;TEXT(ROW()-4,"0000"))</f>
        <v/>
      </c>
      <c r="C736" s="33"/>
      <c r="D736" s="24"/>
      <c r="E736" s="30" t="str">
        <f aca="false">IF($D736="","",IFERROR(INDEX(合同单位,MATCH($D736,合同键,0)),IFERROR(TRIM(LEFT($D736,FIND("｜",$D736)-1)),$D736)))</f>
        <v/>
      </c>
      <c r="F736" s="30" t="str">
        <f aca="false">IF($D736="","",IFERROR(INDEX(合同项目,MATCH($D736,合同键,0)),IFERROR(TRIM(MID($D736,FIND("｜",$D736)+1,99)),"")))</f>
        <v/>
      </c>
      <c r="G736" s="24"/>
      <c r="H736" s="35" t="str">
        <f aca="false">IF($G736="","",IFERROR(INDEX(费用款别,MATCH($G736,费用类别表,0)),"合同外款"))</f>
        <v/>
      </c>
      <c r="I736" s="33"/>
      <c r="J736" s="33"/>
      <c r="K736" s="39"/>
      <c r="L736" s="33"/>
      <c r="M736" s="25"/>
      <c r="N736" s="39"/>
      <c r="O736" s="35" t="str">
        <f aca="false">IF($C736="","",IF(N($N736)&lt;=0,"未开票",IF(ROUND(N($N736)-N($K736),2)&gt;=0,"已开票",IFERROR("部分开票 "&amp;TEXT(N($N736)/N($K736),"0%"),"部分开票"))))</f>
        <v/>
      </c>
      <c r="P736" s="40" t="str">
        <f aca="false">IF($C736="","",ROUND($V736+MIN($W736,MAX(0,(SUMIF(收款键,$D736,收款金额)-SUMIFS(收款金额,收款键,$D736,收款关联,"&lt;&gt;"))-($X736-$W736))),2))</f>
        <v/>
      </c>
      <c r="Q736" s="41" t="str">
        <f aca="false">IF($C736="","",ROUND(N($K736)-N($P736),2))</f>
        <v/>
      </c>
      <c r="R736" s="29" t="str">
        <f aca="false">IF($C736="","",YEAR($C736))</f>
        <v/>
      </c>
      <c r="S736" s="24"/>
      <c r="T736" s="35" t="str">
        <f aca="false">IF($C736="","",IF($D736="","★没选客户项目",IF(COUNTIF(合同键,$D736)=0,"★《维保合同》里没这个项目",IF(N($K736)&lt;=0,"★应收金额要填",IF(ROUND(N($N736)-N($K736),2)&gt;0.001,"★开票金额大于应收",IF(AND($L736&lt;&gt;"",N($N736)&lt;=0),"★填了开票日期没填开票金额",IF(AND($I736&lt;&gt;"",$J736&lt;&gt;"",$J736&lt;$I736),"★计费期间起止反了","OK")))))))</f>
        <v/>
      </c>
      <c r="U736" s="29" t="str">
        <f aca="false">IF($L736="","",YEAR($L736))</f>
        <v/>
      </c>
      <c r="V736" s="40" t="str">
        <f aca="false">IF($C736="","",ROUND(SUMIF(收款关联,$B736,收款金额),2))</f>
        <v/>
      </c>
      <c r="W736" s="40" t="str">
        <f aca="false">IF($C736="","",MAX(0,ROUND(N($K736)-N($V736),2)))</f>
        <v/>
      </c>
      <c r="X736" s="40" t="str">
        <f aca="false">IF($C736="","",ROUND(SUMIFS(应收净额,应收键,$D736,应收行号,"&lt;="&amp;ROW()),2))</f>
        <v/>
      </c>
      <c r="Y736" s="29" t="str">
        <f aca="false">IF($C736="","",ROW())</f>
        <v/>
      </c>
    </row>
    <row r="737" customFormat="false" ht="15" hidden="false" customHeight="false" outlineLevel="0" collapsed="false">
      <c r="A737" s="29" t="str">
        <f aca="false">IF($C737="","",ROW()-4)</f>
        <v/>
      </c>
      <c r="B737" s="35" t="str">
        <f aca="false">IF($C737="","","YS"&amp;TEXT($C737,"yyyymm")&amp;"-"&amp;TEXT(ROW()-4,"0000"))</f>
        <v/>
      </c>
      <c r="C737" s="33"/>
      <c r="D737" s="24"/>
      <c r="E737" s="30" t="str">
        <f aca="false">IF($D737="","",IFERROR(INDEX(合同单位,MATCH($D737,合同键,0)),IFERROR(TRIM(LEFT($D737,FIND("｜",$D737)-1)),$D737)))</f>
        <v/>
      </c>
      <c r="F737" s="30" t="str">
        <f aca="false">IF($D737="","",IFERROR(INDEX(合同项目,MATCH($D737,合同键,0)),IFERROR(TRIM(MID($D737,FIND("｜",$D737)+1,99)),"")))</f>
        <v/>
      </c>
      <c r="G737" s="24"/>
      <c r="H737" s="35" t="str">
        <f aca="false">IF($G737="","",IFERROR(INDEX(费用款别,MATCH($G737,费用类别表,0)),"合同外款"))</f>
        <v/>
      </c>
      <c r="I737" s="33"/>
      <c r="J737" s="33"/>
      <c r="K737" s="39"/>
      <c r="L737" s="33"/>
      <c r="M737" s="25"/>
      <c r="N737" s="39"/>
      <c r="O737" s="35" t="str">
        <f aca="false">IF($C737="","",IF(N($N737)&lt;=0,"未开票",IF(ROUND(N($N737)-N($K737),2)&gt;=0,"已开票",IFERROR("部分开票 "&amp;TEXT(N($N737)/N($K737),"0%"),"部分开票"))))</f>
        <v/>
      </c>
      <c r="P737" s="40" t="str">
        <f aca="false">IF($C737="","",ROUND($V737+MIN($W737,MAX(0,(SUMIF(收款键,$D737,收款金额)-SUMIFS(收款金额,收款键,$D737,收款关联,"&lt;&gt;"))-($X737-$W737))),2))</f>
        <v/>
      </c>
      <c r="Q737" s="41" t="str">
        <f aca="false">IF($C737="","",ROUND(N($K737)-N($P737),2))</f>
        <v/>
      </c>
      <c r="R737" s="29" t="str">
        <f aca="false">IF($C737="","",YEAR($C737))</f>
        <v/>
      </c>
      <c r="S737" s="24"/>
      <c r="T737" s="35" t="str">
        <f aca="false">IF($C737="","",IF($D737="","★没选客户项目",IF(COUNTIF(合同键,$D737)=0,"★《维保合同》里没这个项目",IF(N($K737)&lt;=0,"★应收金额要填",IF(ROUND(N($N737)-N($K737),2)&gt;0.001,"★开票金额大于应收",IF(AND($L737&lt;&gt;"",N($N737)&lt;=0),"★填了开票日期没填开票金额",IF(AND($I737&lt;&gt;"",$J737&lt;&gt;"",$J737&lt;$I737),"★计费期间起止反了","OK")))))))</f>
        <v/>
      </c>
      <c r="U737" s="29" t="str">
        <f aca="false">IF($L737="","",YEAR($L737))</f>
        <v/>
      </c>
      <c r="V737" s="40" t="str">
        <f aca="false">IF($C737="","",ROUND(SUMIF(收款关联,$B737,收款金额),2))</f>
        <v/>
      </c>
      <c r="W737" s="40" t="str">
        <f aca="false">IF($C737="","",MAX(0,ROUND(N($K737)-N($V737),2)))</f>
        <v/>
      </c>
      <c r="X737" s="40" t="str">
        <f aca="false">IF($C737="","",ROUND(SUMIFS(应收净额,应收键,$D737,应收行号,"&lt;="&amp;ROW()),2))</f>
        <v/>
      </c>
      <c r="Y737" s="29" t="str">
        <f aca="false">IF($C737="","",ROW())</f>
        <v/>
      </c>
    </row>
    <row r="738" customFormat="false" ht="15" hidden="false" customHeight="false" outlineLevel="0" collapsed="false">
      <c r="A738" s="29" t="str">
        <f aca="false">IF($C738="","",ROW()-4)</f>
        <v/>
      </c>
      <c r="B738" s="35" t="str">
        <f aca="false">IF($C738="","","YS"&amp;TEXT($C738,"yyyymm")&amp;"-"&amp;TEXT(ROW()-4,"0000"))</f>
        <v/>
      </c>
      <c r="C738" s="33"/>
      <c r="D738" s="24"/>
      <c r="E738" s="30" t="str">
        <f aca="false">IF($D738="","",IFERROR(INDEX(合同单位,MATCH($D738,合同键,0)),IFERROR(TRIM(LEFT($D738,FIND("｜",$D738)-1)),$D738)))</f>
        <v/>
      </c>
      <c r="F738" s="30" t="str">
        <f aca="false">IF($D738="","",IFERROR(INDEX(合同项目,MATCH($D738,合同键,0)),IFERROR(TRIM(MID($D738,FIND("｜",$D738)+1,99)),"")))</f>
        <v/>
      </c>
      <c r="G738" s="24"/>
      <c r="H738" s="35" t="str">
        <f aca="false">IF($G738="","",IFERROR(INDEX(费用款别,MATCH($G738,费用类别表,0)),"合同外款"))</f>
        <v/>
      </c>
      <c r="I738" s="33"/>
      <c r="J738" s="33"/>
      <c r="K738" s="39"/>
      <c r="L738" s="33"/>
      <c r="M738" s="25"/>
      <c r="N738" s="39"/>
      <c r="O738" s="35" t="str">
        <f aca="false">IF($C738="","",IF(N($N738)&lt;=0,"未开票",IF(ROUND(N($N738)-N($K738),2)&gt;=0,"已开票",IFERROR("部分开票 "&amp;TEXT(N($N738)/N($K738),"0%"),"部分开票"))))</f>
        <v/>
      </c>
      <c r="P738" s="40" t="str">
        <f aca="false">IF($C738="","",ROUND($V738+MIN($W738,MAX(0,(SUMIF(收款键,$D738,收款金额)-SUMIFS(收款金额,收款键,$D738,收款关联,"&lt;&gt;"))-($X738-$W738))),2))</f>
        <v/>
      </c>
      <c r="Q738" s="41" t="str">
        <f aca="false">IF($C738="","",ROUND(N($K738)-N($P738),2))</f>
        <v/>
      </c>
      <c r="R738" s="29" t="str">
        <f aca="false">IF($C738="","",YEAR($C738))</f>
        <v/>
      </c>
      <c r="S738" s="24"/>
      <c r="T738" s="35" t="str">
        <f aca="false">IF($C738="","",IF($D738="","★没选客户项目",IF(COUNTIF(合同键,$D738)=0,"★《维保合同》里没这个项目",IF(N($K738)&lt;=0,"★应收金额要填",IF(ROUND(N($N738)-N($K738),2)&gt;0.001,"★开票金额大于应收",IF(AND($L738&lt;&gt;"",N($N738)&lt;=0),"★填了开票日期没填开票金额",IF(AND($I738&lt;&gt;"",$J738&lt;&gt;"",$J738&lt;$I738),"★计费期间起止反了","OK")))))))</f>
        <v/>
      </c>
      <c r="U738" s="29" t="str">
        <f aca="false">IF($L738="","",YEAR($L738))</f>
        <v/>
      </c>
      <c r="V738" s="40" t="str">
        <f aca="false">IF($C738="","",ROUND(SUMIF(收款关联,$B738,收款金额),2))</f>
        <v/>
      </c>
      <c r="W738" s="40" t="str">
        <f aca="false">IF($C738="","",MAX(0,ROUND(N($K738)-N($V738),2)))</f>
        <v/>
      </c>
      <c r="X738" s="40" t="str">
        <f aca="false">IF($C738="","",ROUND(SUMIFS(应收净额,应收键,$D738,应收行号,"&lt;="&amp;ROW()),2))</f>
        <v/>
      </c>
      <c r="Y738" s="29" t="str">
        <f aca="false">IF($C738="","",ROW())</f>
        <v/>
      </c>
    </row>
    <row r="739" customFormat="false" ht="15" hidden="false" customHeight="false" outlineLevel="0" collapsed="false">
      <c r="A739" s="29" t="str">
        <f aca="false">IF($C739="","",ROW()-4)</f>
        <v/>
      </c>
      <c r="B739" s="35" t="str">
        <f aca="false">IF($C739="","","YS"&amp;TEXT($C739,"yyyymm")&amp;"-"&amp;TEXT(ROW()-4,"0000"))</f>
        <v/>
      </c>
      <c r="C739" s="33"/>
      <c r="D739" s="24"/>
      <c r="E739" s="30" t="str">
        <f aca="false">IF($D739="","",IFERROR(INDEX(合同单位,MATCH($D739,合同键,0)),IFERROR(TRIM(LEFT($D739,FIND("｜",$D739)-1)),$D739)))</f>
        <v/>
      </c>
      <c r="F739" s="30" t="str">
        <f aca="false">IF($D739="","",IFERROR(INDEX(合同项目,MATCH($D739,合同键,0)),IFERROR(TRIM(MID($D739,FIND("｜",$D739)+1,99)),"")))</f>
        <v/>
      </c>
      <c r="G739" s="24"/>
      <c r="H739" s="35" t="str">
        <f aca="false">IF($G739="","",IFERROR(INDEX(费用款别,MATCH($G739,费用类别表,0)),"合同外款"))</f>
        <v/>
      </c>
      <c r="I739" s="33"/>
      <c r="J739" s="33"/>
      <c r="K739" s="39"/>
      <c r="L739" s="33"/>
      <c r="M739" s="25"/>
      <c r="N739" s="39"/>
      <c r="O739" s="35" t="str">
        <f aca="false">IF($C739="","",IF(N($N739)&lt;=0,"未开票",IF(ROUND(N($N739)-N($K739),2)&gt;=0,"已开票",IFERROR("部分开票 "&amp;TEXT(N($N739)/N($K739),"0%"),"部分开票"))))</f>
        <v/>
      </c>
      <c r="P739" s="40" t="str">
        <f aca="false">IF($C739="","",ROUND($V739+MIN($W739,MAX(0,(SUMIF(收款键,$D739,收款金额)-SUMIFS(收款金额,收款键,$D739,收款关联,"&lt;&gt;"))-($X739-$W739))),2))</f>
        <v/>
      </c>
      <c r="Q739" s="41" t="str">
        <f aca="false">IF($C739="","",ROUND(N($K739)-N($P739),2))</f>
        <v/>
      </c>
      <c r="R739" s="29" t="str">
        <f aca="false">IF($C739="","",YEAR($C739))</f>
        <v/>
      </c>
      <c r="S739" s="24"/>
      <c r="T739" s="35" t="str">
        <f aca="false">IF($C739="","",IF($D739="","★没选客户项目",IF(COUNTIF(合同键,$D739)=0,"★《维保合同》里没这个项目",IF(N($K739)&lt;=0,"★应收金额要填",IF(ROUND(N($N739)-N($K739),2)&gt;0.001,"★开票金额大于应收",IF(AND($L739&lt;&gt;"",N($N739)&lt;=0),"★填了开票日期没填开票金额",IF(AND($I739&lt;&gt;"",$J739&lt;&gt;"",$J739&lt;$I739),"★计费期间起止反了","OK")))))))</f>
        <v/>
      </c>
      <c r="U739" s="29" t="str">
        <f aca="false">IF($L739="","",YEAR($L739))</f>
        <v/>
      </c>
      <c r="V739" s="40" t="str">
        <f aca="false">IF($C739="","",ROUND(SUMIF(收款关联,$B739,收款金额),2))</f>
        <v/>
      </c>
      <c r="W739" s="40" t="str">
        <f aca="false">IF($C739="","",MAX(0,ROUND(N($K739)-N($V739),2)))</f>
        <v/>
      </c>
      <c r="X739" s="40" t="str">
        <f aca="false">IF($C739="","",ROUND(SUMIFS(应收净额,应收键,$D739,应收行号,"&lt;="&amp;ROW()),2))</f>
        <v/>
      </c>
      <c r="Y739" s="29" t="str">
        <f aca="false">IF($C739="","",ROW())</f>
        <v/>
      </c>
    </row>
    <row r="740" customFormat="false" ht="15" hidden="false" customHeight="false" outlineLevel="0" collapsed="false">
      <c r="A740" s="29" t="str">
        <f aca="false">IF($C740="","",ROW()-4)</f>
        <v/>
      </c>
      <c r="B740" s="35" t="str">
        <f aca="false">IF($C740="","","YS"&amp;TEXT($C740,"yyyymm")&amp;"-"&amp;TEXT(ROW()-4,"0000"))</f>
        <v/>
      </c>
      <c r="C740" s="33"/>
      <c r="D740" s="24"/>
      <c r="E740" s="30" t="str">
        <f aca="false">IF($D740="","",IFERROR(INDEX(合同单位,MATCH($D740,合同键,0)),IFERROR(TRIM(LEFT($D740,FIND("｜",$D740)-1)),$D740)))</f>
        <v/>
      </c>
      <c r="F740" s="30" t="str">
        <f aca="false">IF($D740="","",IFERROR(INDEX(合同项目,MATCH($D740,合同键,0)),IFERROR(TRIM(MID($D740,FIND("｜",$D740)+1,99)),"")))</f>
        <v/>
      </c>
      <c r="G740" s="24"/>
      <c r="H740" s="35" t="str">
        <f aca="false">IF($G740="","",IFERROR(INDEX(费用款别,MATCH($G740,费用类别表,0)),"合同外款"))</f>
        <v/>
      </c>
      <c r="I740" s="33"/>
      <c r="J740" s="33"/>
      <c r="K740" s="39"/>
      <c r="L740" s="33"/>
      <c r="M740" s="25"/>
      <c r="N740" s="39"/>
      <c r="O740" s="35" t="str">
        <f aca="false">IF($C740="","",IF(N($N740)&lt;=0,"未开票",IF(ROUND(N($N740)-N($K740),2)&gt;=0,"已开票",IFERROR("部分开票 "&amp;TEXT(N($N740)/N($K740),"0%"),"部分开票"))))</f>
        <v/>
      </c>
      <c r="P740" s="40" t="str">
        <f aca="false">IF($C740="","",ROUND($V740+MIN($W740,MAX(0,(SUMIF(收款键,$D740,收款金额)-SUMIFS(收款金额,收款键,$D740,收款关联,"&lt;&gt;"))-($X740-$W740))),2))</f>
        <v/>
      </c>
      <c r="Q740" s="41" t="str">
        <f aca="false">IF($C740="","",ROUND(N($K740)-N($P740),2))</f>
        <v/>
      </c>
      <c r="R740" s="29" t="str">
        <f aca="false">IF($C740="","",YEAR($C740))</f>
        <v/>
      </c>
      <c r="S740" s="24"/>
      <c r="T740" s="35" t="str">
        <f aca="false">IF($C740="","",IF($D740="","★没选客户项目",IF(COUNTIF(合同键,$D740)=0,"★《维保合同》里没这个项目",IF(N($K740)&lt;=0,"★应收金额要填",IF(ROUND(N($N740)-N($K740),2)&gt;0.001,"★开票金额大于应收",IF(AND($L740&lt;&gt;"",N($N740)&lt;=0),"★填了开票日期没填开票金额",IF(AND($I740&lt;&gt;"",$J740&lt;&gt;"",$J740&lt;$I740),"★计费期间起止反了","OK")))))))</f>
        <v/>
      </c>
      <c r="U740" s="29" t="str">
        <f aca="false">IF($L740="","",YEAR($L740))</f>
        <v/>
      </c>
      <c r="V740" s="40" t="str">
        <f aca="false">IF($C740="","",ROUND(SUMIF(收款关联,$B740,收款金额),2))</f>
        <v/>
      </c>
      <c r="W740" s="40" t="str">
        <f aca="false">IF($C740="","",MAX(0,ROUND(N($K740)-N($V740),2)))</f>
        <v/>
      </c>
      <c r="X740" s="40" t="str">
        <f aca="false">IF($C740="","",ROUND(SUMIFS(应收净额,应收键,$D740,应收行号,"&lt;="&amp;ROW()),2))</f>
        <v/>
      </c>
      <c r="Y740" s="29" t="str">
        <f aca="false">IF($C740="","",ROW())</f>
        <v/>
      </c>
    </row>
    <row r="741" customFormat="false" ht="15" hidden="false" customHeight="false" outlineLevel="0" collapsed="false">
      <c r="A741" s="29" t="str">
        <f aca="false">IF($C741="","",ROW()-4)</f>
        <v/>
      </c>
      <c r="B741" s="35" t="str">
        <f aca="false">IF($C741="","","YS"&amp;TEXT($C741,"yyyymm")&amp;"-"&amp;TEXT(ROW()-4,"0000"))</f>
        <v/>
      </c>
      <c r="C741" s="33"/>
      <c r="D741" s="24"/>
      <c r="E741" s="30" t="str">
        <f aca="false">IF($D741="","",IFERROR(INDEX(合同单位,MATCH($D741,合同键,0)),IFERROR(TRIM(LEFT($D741,FIND("｜",$D741)-1)),$D741)))</f>
        <v/>
      </c>
      <c r="F741" s="30" t="str">
        <f aca="false">IF($D741="","",IFERROR(INDEX(合同项目,MATCH($D741,合同键,0)),IFERROR(TRIM(MID($D741,FIND("｜",$D741)+1,99)),"")))</f>
        <v/>
      </c>
      <c r="G741" s="24"/>
      <c r="H741" s="35" t="str">
        <f aca="false">IF($G741="","",IFERROR(INDEX(费用款别,MATCH($G741,费用类别表,0)),"合同外款"))</f>
        <v/>
      </c>
      <c r="I741" s="33"/>
      <c r="J741" s="33"/>
      <c r="K741" s="39"/>
      <c r="L741" s="33"/>
      <c r="M741" s="25"/>
      <c r="N741" s="39"/>
      <c r="O741" s="35" t="str">
        <f aca="false">IF($C741="","",IF(N($N741)&lt;=0,"未开票",IF(ROUND(N($N741)-N($K741),2)&gt;=0,"已开票",IFERROR("部分开票 "&amp;TEXT(N($N741)/N($K741),"0%"),"部分开票"))))</f>
        <v/>
      </c>
      <c r="P741" s="40" t="str">
        <f aca="false">IF($C741="","",ROUND($V741+MIN($W741,MAX(0,(SUMIF(收款键,$D741,收款金额)-SUMIFS(收款金额,收款键,$D741,收款关联,"&lt;&gt;"))-($X741-$W741))),2))</f>
        <v/>
      </c>
      <c r="Q741" s="41" t="str">
        <f aca="false">IF($C741="","",ROUND(N($K741)-N($P741),2))</f>
        <v/>
      </c>
      <c r="R741" s="29" t="str">
        <f aca="false">IF($C741="","",YEAR($C741))</f>
        <v/>
      </c>
      <c r="S741" s="24"/>
      <c r="T741" s="35" t="str">
        <f aca="false">IF($C741="","",IF($D741="","★没选客户项目",IF(COUNTIF(合同键,$D741)=0,"★《维保合同》里没这个项目",IF(N($K741)&lt;=0,"★应收金额要填",IF(ROUND(N($N741)-N($K741),2)&gt;0.001,"★开票金额大于应收",IF(AND($L741&lt;&gt;"",N($N741)&lt;=0),"★填了开票日期没填开票金额",IF(AND($I741&lt;&gt;"",$J741&lt;&gt;"",$J741&lt;$I741),"★计费期间起止反了","OK")))))))</f>
        <v/>
      </c>
      <c r="U741" s="29" t="str">
        <f aca="false">IF($L741="","",YEAR($L741))</f>
        <v/>
      </c>
      <c r="V741" s="40" t="str">
        <f aca="false">IF($C741="","",ROUND(SUMIF(收款关联,$B741,收款金额),2))</f>
        <v/>
      </c>
      <c r="W741" s="40" t="str">
        <f aca="false">IF($C741="","",MAX(0,ROUND(N($K741)-N($V741),2)))</f>
        <v/>
      </c>
      <c r="X741" s="40" t="str">
        <f aca="false">IF($C741="","",ROUND(SUMIFS(应收净额,应收键,$D741,应收行号,"&lt;="&amp;ROW()),2))</f>
        <v/>
      </c>
      <c r="Y741" s="29" t="str">
        <f aca="false">IF($C741="","",ROW())</f>
        <v/>
      </c>
    </row>
    <row r="742" customFormat="false" ht="15" hidden="false" customHeight="false" outlineLevel="0" collapsed="false">
      <c r="A742" s="29" t="str">
        <f aca="false">IF($C742="","",ROW()-4)</f>
        <v/>
      </c>
      <c r="B742" s="35" t="str">
        <f aca="false">IF($C742="","","YS"&amp;TEXT($C742,"yyyymm")&amp;"-"&amp;TEXT(ROW()-4,"0000"))</f>
        <v/>
      </c>
      <c r="C742" s="33"/>
      <c r="D742" s="24"/>
      <c r="E742" s="30" t="str">
        <f aca="false">IF($D742="","",IFERROR(INDEX(合同单位,MATCH($D742,合同键,0)),IFERROR(TRIM(LEFT($D742,FIND("｜",$D742)-1)),$D742)))</f>
        <v/>
      </c>
      <c r="F742" s="30" t="str">
        <f aca="false">IF($D742="","",IFERROR(INDEX(合同项目,MATCH($D742,合同键,0)),IFERROR(TRIM(MID($D742,FIND("｜",$D742)+1,99)),"")))</f>
        <v/>
      </c>
      <c r="G742" s="24"/>
      <c r="H742" s="35" t="str">
        <f aca="false">IF($G742="","",IFERROR(INDEX(费用款别,MATCH($G742,费用类别表,0)),"合同外款"))</f>
        <v/>
      </c>
      <c r="I742" s="33"/>
      <c r="J742" s="33"/>
      <c r="K742" s="39"/>
      <c r="L742" s="33"/>
      <c r="M742" s="25"/>
      <c r="N742" s="39"/>
      <c r="O742" s="35" t="str">
        <f aca="false">IF($C742="","",IF(N($N742)&lt;=0,"未开票",IF(ROUND(N($N742)-N($K742),2)&gt;=0,"已开票",IFERROR("部分开票 "&amp;TEXT(N($N742)/N($K742),"0%"),"部分开票"))))</f>
        <v/>
      </c>
      <c r="P742" s="40" t="str">
        <f aca="false">IF($C742="","",ROUND($V742+MIN($W742,MAX(0,(SUMIF(收款键,$D742,收款金额)-SUMIFS(收款金额,收款键,$D742,收款关联,"&lt;&gt;"))-($X742-$W742))),2))</f>
        <v/>
      </c>
      <c r="Q742" s="41" t="str">
        <f aca="false">IF($C742="","",ROUND(N($K742)-N($P742),2))</f>
        <v/>
      </c>
      <c r="R742" s="29" t="str">
        <f aca="false">IF($C742="","",YEAR($C742))</f>
        <v/>
      </c>
      <c r="S742" s="24"/>
      <c r="T742" s="35" t="str">
        <f aca="false">IF($C742="","",IF($D742="","★没选客户项目",IF(COUNTIF(合同键,$D742)=0,"★《维保合同》里没这个项目",IF(N($K742)&lt;=0,"★应收金额要填",IF(ROUND(N($N742)-N($K742),2)&gt;0.001,"★开票金额大于应收",IF(AND($L742&lt;&gt;"",N($N742)&lt;=0),"★填了开票日期没填开票金额",IF(AND($I742&lt;&gt;"",$J742&lt;&gt;"",$J742&lt;$I742),"★计费期间起止反了","OK")))))))</f>
        <v/>
      </c>
      <c r="U742" s="29" t="str">
        <f aca="false">IF($L742="","",YEAR($L742))</f>
        <v/>
      </c>
      <c r="V742" s="40" t="str">
        <f aca="false">IF($C742="","",ROUND(SUMIF(收款关联,$B742,收款金额),2))</f>
        <v/>
      </c>
      <c r="W742" s="40" t="str">
        <f aca="false">IF($C742="","",MAX(0,ROUND(N($K742)-N($V742),2)))</f>
        <v/>
      </c>
      <c r="X742" s="40" t="str">
        <f aca="false">IF($C742="","",ROUND(SUMIFS(应收净额,应收键,$D742,应收行号,"&lt;="&amp;ROW()),2))</f>
        <v/>
      </c>
      <c r="Y742" s="29" t="str">
        <f aca="false">IF($C742="","",ROW())</f>
        <v/>
      </c>
    </row>
    <row r="743" customFormat="false" ht="15" hidden="false" customHeight="false" outlineLevel="0" collapsed="false">
      <c r="A743" s="29" t="str">
        <f aca="false">IF($C743="","",ROW()-4)</f>
        <v/>
      </c>
      <c r="B743" s="35" t="str">
        <f aca="false">IF($C743="","","YS"&amp;TEXT($C743,"yyyymm")&amp;"-"&amp;TEXT(ROW()-4,"0000"))</f>
        <v/>
      </c>
      <c r="C743" s="33"/>
      <c r="D743" s="24"/>
      <c r="E743" s="30" t="str">
        <f aca="false">IF($D743="","",IFERROR(INDEX(合同单位,MATCH($D743,合同键,0)),IFERROR(TRIM(LEFT($D743,FIND("｜",$D743)-1)),$D743)))</f>
        <v/>
      </c>
      <c r="F743" s="30" t="str">
        <f aca="false">IF($D743="","",IFERROR(INDEX(合同项目,MATCH($D743,合同键,0)),IFERROR(TRIM(MID($D743,FIND("｜",$D743)+1,99)),"")))</f>
        <v/>
      </c>
      <c r="G743" s="24"/>
      <c r="H743" s="35" t="str">
        <f aca="false">IF($G743="","",IFERROR(INDEX(费用款别,MATCH($G743,费用类别表,0)),"合同外款"))</f>
        <v/>
      </c>
      <c r="I743" s="33"/>
      <c r="J743" s="33"/>
      <c r="K743" s="39"/>
      <c r="L743" s="33"/>
      <c r="M743" s="25"/>
      <c r="N743" s="39"/>
      <c r="O743" s="35" t="str">
        <f aca="false">IF($C743="","",IF(N($N743)&lt;=0,"未开票",IF(ROUND(N($N743)-N($K743),2)&gt;=0,"已开票",IFERROR("部分开票 "&amp;TEXT(N($N743)/N($K743),"0%"),"部分开票"))))</f>
        <v/>
      </c>
      <c r="P743" s="40" t="str">
        <f aca="false">IF($C743="","",ROUND($V743+MIN($W743,MAX(0,(SUMIF(收款键,$D743,收款金额)-SUMIFS(收款金额,收款键,$D743,收款关联,"&lt;&gt;"))-($X743-$W743))),2))</f>
        <v/>
      </c>
      <c r="Q743" s="41" t="str">
        <f aca="false">IF($C743="","",ROUND(N($K743)-N($P743),2))</f>
        <v/>
      </c>
      <c r="R743" s="29" t="str">
        <f aca="false">IF($C743="","",YEAR($C743))</f>
        <v/>
      </c>
      <c r="S743" s="24"/>
      <c r="T743" s="35" t="str">
        <f aca="false">IF($C743="","",IF($D743="","★没选客户项目",IF(COUNTIF(合同键,$D743)=0,"★《维保合同》里没这个项目",IF(N($K743)&lt;=0,"★应收金额要填",IF(ROUND(N($N743)-N($K743),2)&gt;0.001,"★开票金额大于应收",IF(AND($L743&lt;&gt;"",N($N743)&lt;=0),"★填了开票日期没填开票金额",IF(AND($I743&lt;&gt;"",$J743&lt;&gt;"",$J743&lt;$I743),"★计费期间起止反了","OK")))))))</f>
        <v/>
      </c>
      <c r="U743" s="29" t="str">
        <f aca="false">IF($L743="","",YEAR($L743))</f>
        <v/>
      </c>
      <c r="V743" s="40" t="str">
        <f aca="false">IF($C743="","",ROUND(SUMIF(收款关联,$B743,收款金额),2))</f>
        <v/>
      </c>
      <c r="W743" s="40" t="str">
        <f aca="false">IF($C743="","",MAX(0,ROUND(N($K743)-N($V743),2)))</f>
        <v/>
      </c>
      <c r="X743" s="40" t="str">
        <f aca="false">IF($C743="","",ROUND(SUMIFS(应收净额,应收键,$D743,应收行号,"&lt;="&amp;ROW()),2))</f>
        <v/>
      </c>
      <c r="Y743" s="29" t="str">
        <f aca="false">IF($C743="","",ROW())</f>
        <v/>
      </c>
    </row>
    <row r="744" customFormat="false" ht="15" hidden="false" customHeight="false" outlineLevel="0" collapsed="false">
      <c r="A744" s="29" t="str">
        <f aca="false">IF($C744="","",ROW()-4)</f>
        <v/>
      </c>
      <c r="B744" s="35" t="str">
        <f aca="false">IF($C744="","","YS"&amp;TEXT($C744,"yyyymm")&amp;"-"&amp;TEXT(ROW()-4,"0000"))</f>
        <v/>
      </c>
      <c r="C744" s="33"/>
      <c r="D744" s="24"/>
      <c r="E744" s="30" t="str">
        <f aca="false">IF($D744="","",IFERROR(INDEX(合同单位,MATCH($D744,合同键,0)),IFERROR(TRIM(LEFT($D744,FIND("｜",$D744)-1)),$D744)))</f>
        <v/>
      </c>
      <c r="F744" s="30" t="str">
        <f aca="false">IF($D744="","",IFERROR(INDEX(合同项目,MATCH($D744,合同键,0)),IFERROR(TRIM(MID($D744,FIND("｜",$D744)+1,99)),"")))</f>
        <v/>
      </c>
      <c r="G744" s="24"/>
      <c r="H744" s="35" t="str">
        <f aca="false">IF($G744="","",IFERROR(INDEX(费用款别,MATCH($G744,费用类别表,0)),"合同外款"))</f>
        <v/>
      </c>
      <c r="I744" s="33"/>
      <c r="J744" s="33"/>
      <c r="K744" s="39"/>
      <c r="L744" s="33"/>
      <c r="M744" s="25"/>
      <c r="N744" s="39"/>
      <c r="O744" s="35" t="str">
        <f aca="false">IF($C744="","",IF(N($N744)&lt;=0,"未开票",IF(ROUND(N($N744)-N($K744),2)&gt;=0,"已开票",IFERROR("部分开票 "&amp;TEXT(N($N744)/N($K744),"0%"),"部分开票"))))</f>
        <v/>
      </c>
      <c r="P744" s="40" t="str">
        <f aca="false">IF($C744="","",ROUND($V744+MIN($W744,MAX(0,(SUMIF(收款键,$D744,收款金额)-SUMIFS(收款金额,收款键,$D744,收款关联,"&lt;&gt;"))-($X744-$W744))),2))</f>
        <v/>
      </c>
      <c r="Q744" s="41" t="str">
        <f aca="false">IF($C744="","",ROUND(N($K744)-N($P744),2))</f>
        <v/>
      </c>
      <c r="R744" s="29" t="str">
        <f aca="false">IF($C744="","",YEAR($C744))</f>
        <v/>
      </c>
      <c r="S744" s="24"/>
      <c r="T744" s="35" t="str">
        <f aca="false">IF($C744="","",IF($D744="","★没选客户项目",IF(COUNTIF(合同键,$D744)=0,"★《维保合同》里没这个项目",IF(N($K744)&lt;=0,"★应收金额要填",IF(ROUND(N($N744)-N($K744),2)&gt;0.001,"★开票金额大于应收",IF(AND($L744&lt;&gt;"",N($N744)&lt;=0),"★填了开票日期没填开票金额",IF(AND($I744&lt;&gt;"",$J744&lt;&gt;"",$J744&lt;$I744),"★计费期间起止反了","OK")))))))</f>
        <v/>
      </c>
      <c r="U744" s="29" t="str">
        <f aca="false">IF($L744="","",YEAR($L744))</f>
        <v/>
      </c>
      <c r="V744" s="40" t="str">
        <f aca="false">IF($C744="","",ROUND(SUMIF(收款关联,$B744,收款金额),2))</f>
        <v/>
      </c>
      <c r="W744" s="40" t="str">
        <f aca="false">IF($C744="","",MAX(0,ROUND(N($K744)-N($V744),2)))</f>
        <v/>
      </c>
      <c r="X744" s="40" t="str">
        <f aca="false">IF($C744="","",ROUND(SUMIFS(应收净额,应收键,$D744,应收行号,"&lt;="&amp;ROW()),2))</f>
        <v/>
      </c>
      <c r="Y744" s="29" t="str">
        <f aca="false">IF($C744="","",ROW())</f>
        <v/>
      </c>
    </row>
    <row r="745" customFormat="false" ht="15" hidden="false" customHeight="false" outlineLevel="0" collapsed="false">
      <c r="A745" s="29" t="str">
        <f aca="false">IF($C745="","",ROW()-4)</f>
        <v/>
      </c>
      <c r="B745" s="35" t="str">
        <f aca="false">IF($C745="","","YS"&amp;TEXT($C745,"yyyymm")&amp;"-"&amp;TEXT(ROW()-4,"0000"))</f>
        <v/>
      </c>
      <c r="C745" s="33"/>
      <c r="D745" s="24"/>
      <c r="E745" s="30" t="str">
        <f aca="false">IF($D745="","",IFERROR(INDEX(合同单位,MATCH($D745,合同键,0)),IFERROR(TRIM(LEFT($D745,FIND("｜",$D745)-1)),$D745)))</f>
        <v/>
      </c>
      <c r="F745" s="30" t="str">
        <f aca="false">IF($D745="","",IFERROR(INDEX(合同项目,MATCH($D745,合同键,0)),IFERROR(TRIM(MID($D745,FIND("｜",$D745)+1,99)),"")))</f>
        <v/>
      </c>
      <c r="G745" s="24"/>
      <c r="H745" s="35" t="str">
        <f aca="false">IF($G745="","",IFERROR(INDEX(费用款别,MATCH($G745,费用类别表,0)),"合同外款"))</f>
        <v/>
      </c>
      <c r="I745" s="33"/>
      <c r="J745" s="33"/>
      <c r="K745" s="39"/>
      <c r="L745" s="33"/>
      <c r="M745" s="25"/>
      <c r="N745" s="39"/>
      <c r="O745" s="35" t="str">
        <f aca="false">IF($C745="","",IF(N($N745)&lt;=0,"未开票",IF(ROUND(N($N745)-N($K745),2)&gt;=0,"已开票",IFERROR("部分开票 "&amp;TEXT(N($N745)/N($K745),"0%"),"部分开票"))))</f>
        <v/>
      </c>
      <c r="P745" s="40" t="str">
        <f aca="false">IF($C745="","",ROUND($V745+MIN($W745,MAX(0,(SUMIF(收款键,$D745,收款金额)-SUMIFS(收款金额,收款键,$D745,收款关联,"&lt;&gt;"))-($X745-$W745))),2))</f>
        <v/>
      </c>
      <c r="Q745" s="41" t="str">
        <f aca="false">IF($C745="","",ROUND(N($K745)-N($P745),2))</f>
        <v/>
      </c>
      <c r="R745" s="29" t="str">
        <f aca="false">IF($C745="","",YEAR($C745))</f>
        <v/>
      </c>
      <c r="S745" s="24"/>
      <c r="T745" s="35" t="str">
        <f aca="false">IF($C745="","",IF($D745="","★没选客户项目",IF(COUNTIF(合同键,$D745)=0,"★《维保合同》里没这个项目",IF(N($K745)&lt;=0,"★应收金额要填",IF(ROUND(N($N745)-N($K745),2)&gt;0.001,"★开票金额大于应收",IF(AND($L745&lt;&gt;"",N($N745)&lt;=0),"★填了开票日期没填开票金额",IF(AND($I745&lt;&gt;"",$J745&lt;&gt;"",$J745&lt;$I745),"★计费期间起止反了","OK")))))))</f>
        <v/>
      </c>
      <c r="U745" s="29" t="str">
        <f aca="false">IF($L745="","",YEAR($L745))</f>
        <v/>
      </c>
      <c r="V745" s="40" t="str">
        <f aca="false">IF($C745="","",ROUND(SUMIF(收款关联,$B745,收款金额),2))</f>
        <v/>
      </c>
      <c r="W745" s="40" t="str">
        <f aca="false">IF($C745="","",MAX(0,ROUND(N($K745)-N($V745),2)))</f>
        <v/>
      </c>
      <c r="X745" s="40" t="str">
        <f aca="false">IF($C745="","",ROUND(SUMIFS(应收净额,应收键,$D745,应收行号,"&lt;="&amp;ROW()),2))</f>
        <v/>
      </c>
      <c r="Y745" s="29" t="str">
        <f aca="false">IF($C745="","",ROW())</f>
        <v/>
      </c>
    </row>
    <row r="746" customFormat="false" ht="15" hidden="false" customHeight="false" outlineLevel="0" collapsed="false">
      <c r="A746" s="29" t="str">
        <f aca="false">IF($C746="","",ROW()-4)</f>
        <v/>
      </c>
      <c r="B746" s="35" t="str">
        <f aca="false">IF($C746="","","YS"&amp;TEXT($C746,"yyyymm")&amp;"-"&amp;TEXT(ROW()-4,"0000"))</f>
        <v/>
      </c>
      <c r="C746" s="33"/>
      <c r="D746" s="24"/>
      <c r="E746" s="30" t="str">
        <f aca="false">IF($D746="","",IFERROR(INDEX(合同单位,MATCH($D746,合同键,0)),IFERROR(TRIM(LEFT($D746,FIND("｜",$D746)-1)),$D746)))</f>
        <v/>
      </c>
      <c r="F746" s="30" t="str">
        <f aca="false">IF($D746="","",IFERROR(INDEX(合同项目,MATCH($D746,合同键,0)),IFERROR(TRIM(MID($D746,FIND("｜",$D746)+1,99)),"")))</f>
        <v/>
      </c>
      <c r="G746" s="24"/>
      <c r="H746" s="35" t="str">
        <f aca="false">IF($G746="","",IFERROR(INDEX(费用款别,MATCH($G746,费用类别表,0)),"合同外款"))</f>
        <v/>
      </c>
      <c r="I746" s="33"/>
      <c r="J746" s="33"/>
      <c r="K746" s="39"/>
      <c r="L746" s="33"/>
      <c r="M746" s="25"/>
      <c r="N746" s="39"/>
      <c r="O746" s="35" t="str">
        <f aca="false">IF($C746="","",IF(N($N746)&lt;=0,"未开票",IF(ROUND(N($N746)-N($K746),2)&gt;=0,"已开票",IFERROR("部分开票 "&amp;TEXT(N($N746)/N($K746),"0%"),"部分开票"))))</f>
        <v/>
      </c>
      <c r="P746" s="40" t="str">
        <f aca="false">IF($C746="","",ROUND($V746+MIN($W746,MAX(0,(SUMIF(收款键,$D746,收款金额)-SUMIFS(收款金额,收款键,$D746,收款关联,"&lt;&gt;"))-($X746-$W746))),2))</f>
        <v/>
      </c>
      <c r="Q746" s="41" t="str">
        <f aca="false">IF($C746="","",ROUND(N($K746)-N($P746),2))</f>
        <v/>
      </c>
      <c r="R746" s="29" t="str">
        <f aca="false">IF($C746="","",YEAR($C746))</f>
        <v/>
      </c>
      <c r="S746" s="24"/>
      <c r="T746" s="35" t="str">
        <f aca="false">IF($C746="","",IF($D746="","★没选客户项目",IF(COUNTIF(合同键,$D746)=0,"★《维保合同》里没这个项目",IF(N($K746)&lt;=0,"★应收金额要填",IF(ROUND(N($N746)-N($K746),2)&gt;0.001,"★开票金额大于应收",IF(AND($L746&lt;&gt;"",N($N746)&lt;=0),"★填了开票日期没填开票金额",IF(AND($I746&lt;&gt;"",$J746&lt;&gt;"",$J746&lt;$I746),"★计费期间起止反了","OK")))))))</f>
        <v/>
      </c>
      <c r="U746" s="29" t="str">
        <f aca="false">IF($L746="","",YEAR($L746))</f>
        <v/>
      </c>
      <c r="V746" s="40" t="str">
        <f aca="false">IF($C746="","",ROUND(SUMIF(收款关联,$B746,收款金额),2))</f>
        <v/>
      </c>
      <c r="W746" s="40" t="str">
        <f aca="false">IF($C746="","",MAX(0,ROUND(N($K746)-N($V746),2)))</f>
        <v/>
      </c>
      <c r="X746" s="40" t="str">
        <f aca="false">IF($C746="","",ROUND(SUMIFS(应收净额,应收键,$D746,应收行号,"&lt;="&amp;ROW()),2))</f>
        <v/>
      </c>
      <c r="Y746" s="29" t="str">
        <f aca="false">IF($C746="","",ROW())</f>
        <v/>
      </c>
    </row>
    <row r="747" customFormat="false" ht="15" hidden="false" customHeight="false" outlineLevel="0" collapsed="false">
      <c r="A747" s="29" t="str">
        <f aca="false">IF($C747="","",ROW()-4)</f>
        <v/>
      </c>
      <c r="B747" s="35" t="str">
        <f aca="false">IF($C747="","","YS"&amp;TEXT($C747,"yyyymm")&amp;"-"&amp;TEXT(ROW()-4,"0000"))</f>
        <v/>
      </c>
      <c r="C747" s="33"/>
      <c r="D747" s="24"/>
      <c r="E747" s="30" t="str">
        <f aca="false">IF($D747="","",IFERROR(INDEX(合同单位,MATCH($D747,合同键,0)),IFERROR(TRIM(LEFT($D747,FIND("｜",$D747)-1)),$D747)))</f>
        <v/>
      </c>
      <c r="F747" s="30" t="str">
        <f aca="false">IF($D747="","",IFERROR(INDEX(合同项目,MATCH($D747,合同键,0)),IFERROR(TRIM(MID($D747,FIND("｜",$D747)+1,99)),"")))</f>
        <v/>
      </c>
      <c r="G747" s="24"/>
      <c r="H747" s="35" t="str">
        <f aca="false">IF($G747="","",IFERROR(INDEX(费用款别,MATCH($G747,费用类别表,0)),"合同外款"))</f>
        <v/>
      </c>
      <c r="I747" s="33"/>
      <c r="J747" s="33"/>
      <c r="K747" s="39"/>
      <c r="L747" s="33"/>
      <c r="M747" s="25"/>
      <c r="N747" s="39"/>
      <c r="O747" s="35" t="str">
        <f aca="false">IF($C747="","",IF(N($N747)&lt;=0,"未开票",IF(ROUND(N($N747)-N($K747),2)&gt;=0,"已开票",IFERROR("部分开票 "&amp;TEXT(N($N747)/N($K747),"0%"),"部分开票"))))</f>
        <v/>
      </c>
      <c r="P747" s="40" t="str">
        <f aca="false">IF($C747="","",ROUND($V747+MIN($W747,MAX(0,(SUMIF(收款键,$D747,收款金额)-SUMIFS(收款金额,收款键,$D747,收款关联,"&lt;&gt;"))-($X747-$W747))),2))</f>
        <v/>
      </c>
      <c r="Q747" s="41" t="str">
        <f aca="false">IF($C747="","",ROUND(N($K747)-N($P747),2))</f>
        <v/>
      </c>
      <c r="R747" s="29" t="str">
        <f aca="false">IF($C747="","",YEAR($C747))</f>
        <v/>
      </c>
      <c r="S747" s="24"/>
      <c r="T747" s="35" t="str">
        <f aca="false">IF($C747="","",IF($D747="","★没选客户项目",IF(COUNTIF(合同键,$D747)=0,"★《维保合同》里没这个项目",IF(N($K747)&lt;=0,"★应收金额要填",IF(ROUND(N($N747)-N($K747),2)&gt;0.001,"★开票金额大于应收",IF(AND($L747&lt;&gt;"",N($N747)&lt;=0),"★填了开票日期没填开票金额",IF(AND($I747&lt;&gt;"",$J747&lt;&gt;"",$J747&lt;$I747),"★计费期间起止反了","OK")))))))</f>
        <v/>
      </c>
      <c r="U747" s="29" t="str">
        <f aca="false">IF($L747="","",YEAR($L747))</f>
        <v/>
      </c>
      <c r="V747" s="40" t="str">
        <f aca="false">IF($C747="","",ROUND(SUMIF(收款关联,$B747,收款金额),2))</f>
        <v/>
      </c>
      <c r="W747" s="40" t="str">
        <f aca="false">IF($C747="","",MAX(0,ROUND(N($K747)-N($V747),2)))</f>
        <v/>
      </c>
      <c r="X747" s="40" t="str">
        <f aca="false">IF($C747="","",ROUND(SUMIFS(应收净额,应收键,$D747,应收行号,"&lt;="&amp;ROW()),2))</f>
        <v/>
      </c>
      <c r="Y747" s="29" t="str">
        <f aca="false">IF($C747="","",ROW())</f>
        <v/>
      </c>
    </row>
    <row r="748" customFormat="false" ht="15" hidden="false" customHeight="false" outlineLevel="0" collapsed="false">
      <c r="A748" s="29" t="str">
        <f aca="false">IF($C748="","",ROW()-4)</f>
        <v/>
      </c>
      <c r="B748" s="35" t="str">
        <f aca="false">IF($C748="","","YS"&amp;TEXT($C748,"yyyymm")&amp;"-"&amp;TEXT(ROW()-4,"0000"))</f>
        <v/>
      </c>
      <c r="C748" s="33"/>
      <c r="D748" s="24"/>
      <c r="E748" s="30" t="str">
        <f aca="false">IF($D748="","",IFERROR(INDEX(合同单位,MATCH($D748,合同键,0)),IFERROR(TRIM(LEFT($D748,FIND("｜",$D748)-1)),$D748)))</f>
        <v/>
      </c>
      <c r="F748" s="30" t="str">
        <f aca="false">IF($D748="","",IFERROR(INDEX(合同项目,MATCH($D748,合同键,0)),IFERROR(TRIM(MID($D748,FIND("｜",$D748)+1,99)),"")))</f>
        <v/>
      </c>
      <c r="G748" s="24"/>
      <c r="H748" s="35" t="str">
        <f aca="false">IF($G748="","",IFERROR(INDEX(费用款别,MATCH($G748,费用类别表,0)),"合同外款"))</f>
        <v/>
      </c>
      <c r="I748" s="33"/>
      <c r="J748" s="33"/>
      <c r="K748" s="39"/>
      <c r="L748" s="33"/>
      <c r="M748" s="25"/>
      <c r="N748" s="39"/>
      <c r="O748" s="35" t="str">
        <f aca="false">IF($C748="","",IF(N($N748)&lt;=0,"未开票",IF(ROUND(N($N748)-N($K748),2)&gt;=0,"已开票",IFERROR("部分开票 "&amp;TEXT(N($N748)/N($K748),"0%"),"部分开票"))))</f>
        <v/>
      </c>
      <c r="P748" s="40" t="str">
        <f aca="false">IF($C748="","",ROUND($V748+MIN($W748,MAX(0,(SUMIF(收款键,$D748,收款金额)-SUMIFS(收款金额,收款键,$D748,收款关联,"&lt;&gt;"))-($X748-$W748))),2))</f>
        <v/>
      </c>
      <c r="Q748" s="41" t="str">
        <f aca="false">IF($C748="","",ROUND(N($K748)-N($P748),2))</f>
        <v/>
      </c>
      <c r="R748" s="29" t="str">
        <f aca="false">IF($C748="","",YEAR($C748))</f>
        <v/>
      </c>
      <c r="S748" s="24"/>
      <c r="T748" s="35" t="str">
        <f aca="false">IF($C748="","",IF($D748="","★没选客户项目",IF(COUNTIF(合同键,$D748)=0,"★《维保合同》里没这个项目",IF(N($K748)&lt;=0,"★应收金额要填",IF(ROUND(N($N748)-N($K748),2)&gt;0.001,"★开票金额大于应收",IF(AND($L748&lt;&gt;"",N($N748)&lt;=0),"★填了开票日期没填开票金额",IF(AND($I748&lt;&gt;"",$J748&lt;&gt;"",$J748&lt;$I748),"★计费期间起止反了","OK")))))))</f>
        <v/>
      </c>
      <c r="U748" s="29" t="str">
        <f aca="false">IF($L748="","",YEAR($L748))</f>
        <v/>
      </c>
      <c r="V748" s="40" t="str">
        <f aca="false">IF($C748="","",ROUND(SUMIF(收款关联,$B748,收款金额),2))</f>
        <v/>
      </c>
      <c r="W748" s="40" t="str">
        <f aca="false">IF($C748="","",MAX(0,ROUND(N($K748)-N($V748),2)))</f>
        <v/>
      </c>
      <c r="X748" s="40" t="str">
        <f aca="false">IF($C748="","",ROUND(SUMIFS(应收净额,应收键,$D748,应收行号,"&lt;="&amp;ROW()),2))</f>
        <v/>
      </c>
      <c r="Y748" s="29" t="str">
        <f aca="false">IF($C748="","",ROW())</f>
        <v/>
      </c>
    </row>
    <row r="749" customFormat="false" ht="15" hidden="false" customHeight="false" outlineLevel="0" collapsed="false">
      <c r="A749" s="29" t="str">
        <f aca="false">IF($C749="","",ROW()-4)</f>
        <v/>
      </c>
      <c r="B749" s="35" t="str">
        <f aca="false">IF($C749="","","YS"&amp;TEXT($C749,"yyyymm")&amp;"-"&amp;TEXT(ROW()-4,"0000"))</f>
        <v/>
      </c>
      <c r="C749" s="33"/>
      <c r="D749" s="24"/>
      <c r="E749" s="30" t="str">
        <f aca="false">IF($D749="","",IFERROR(INDEX(合同单位,MATCH($D749,合同键,0)),IFERROR(TRIM(LEFT($D749,FIND("｜",$D749)-1)),$D749)))</f>
        <v/>
      </c>
      <c r="F749" s="30" t="str">
        <f aca="false">IF($D749="","",IFERROR(INDEX(合同项目,MATCH($D749,合同键,0)),IFERROR(TRIM(MID($D749,FIND("｜",$D749)+1,99)),"")))</f>
        <v/>
      </c>
      <c r="G749" s="24"/>
      <c r="H749" s="35" t="str">
        <f aca="false">IF($G749="","",IFERROR(INDEX(费用款别,MATCH($G749,费用类别表,0)),"合同外款"))</f>
        <v/>
      </c>
      <c r="I749" s="33"/>
      <c r="J749" s="33"/>
      <c r="K749" s="39"/>
      <c r="L749" s="33"/>
      <c r="M749" s="25"/>
      <c r="N749" s="39"/>
      <c r="O749" s="35" t="str">
        <f aca="false">IF($C749="","",IF(N($N749)&lt;=0,"未开票",IF(ROUND(N($N749)-N($K749),2)&gt;=0,"已开票",IFERROR("部分开票 "&amp;TEXT(N($N749)/N($K749),"0%"),"部分开票"))))</f>
        <v/>
      </c>
      <c r="P749" s="40" t="str">
        <f aca="false">IF($C749="","",ROUND($V749+MIN($W749,MAX(0,(SUMIF(收款键,$D749,收款金额)-SUMIFS(收款金额,收款键,$D749,收款关联,"&lt;&gt;"))-($X749-$W749))),2))</f>
        <v/>
      </c>
      <c r="Q749" s="41" t="str">
        <f aca="false">IF($C749="","",ROUND(N($K749)-N($P749),2))</f>
        <v/>
      </c>
      <c r="R749" s="29" t="str">
        <f aca="false">IF($C749="","",YEAR($C749))</f>
        <v/>
      </c>
      <c r="S749" s="24"/>
      <c r="T749" s="35" t="str">
        <f aca="false">IF($C749="","",IF($D749="","★没选客户项目",IF(COUNTIF(合同键,$D749)=0,"★《维保合同》里没这个项目",IF(N($K749)&lt;=0,"★应收金额要填",IF(ROUND(N($N749)-N($K749),2)&gt;0.001,"★开票金额大于应收",IF(AND($L749&lt;&gt;"",N($N749)&lt;=0),"★填了开票日期没填开票金额",IF(AND($I749&lt;&gt;"",$J749&lt;&gt;"",$J749&lt;$I749),"★计费期间起止反了","OK")))))))</f>
        <v/>
      </c>
      <c r="U749" s="29" t="str">
        <f aca="false">IF($L749="","",YEAR($L749))</f>
        <v/>
      </c>
      <c r="V749" s="40" t="str">
        <f aca="false">IF($C749="","",ROUND(SUMIF(收款关联,$B749,收款金额),2))</f>
        <v/>
      </c>
      <c r="W749" s="40" t="str">
        <f aca="false">IF($C749="","",MAX(0,ROUND(N($K749)-N($V749),2)))</f>
        <v/>
      </c>
      <c r="X749" s="40" t="str">
        <f aca="false">IF($C749="","",ROUND(SUMIFS(应收净额,应收键,$D749,应收行号,"&lt;="&amp;ROW()),2))</f>
        <v/>
      </c>
      <c r="Y749" s="29" t="str">
        <f aca="false">IF($C749="","",ROW())</f>
        <v/>
      </c>
    </row>
    <row r="750" customFormat="false" ht="15" hidden="false" customHeight="false" outlineLevel="0" collapsed="false">
      <c r="A750" s="29" t="str">
        <f aca="false">IF($C750="","",ROW()-4)</f>
        <v/>
      </c>
      <c r="B750" s="35" t="str">
        <f aca="false">IF($C750="","","YS"&amp;TEXT($C750,"yyyymm")&amp;"-"&amp;TEXT(ROW()-4,"0000"))</f>
        <v/>
      </c>
      <c r="C750" s="33"/>
      <c r="D750" s="24"/>
      <c r="E750" s="30" t="str">
        <f aca="false">IF($D750="","",IFERROR(INDEX(合同单位,MATCH($D750,合同键,0)),IFERROR(TRIM(LEFT($D750,FIND("｜",$D750)-1)),$D750)))</f>
        <v/>
      </c>
      <c r="F750" s="30" t="str">
        <f aca="false">IF($D750="","",IFERROR(INDEX(合同项目,MATCH($D750,合同键,0)),IFERROR(TRIM(MID($D750,FIND("｜",$D750)+1,99)),"")))</f>
        <v/>
      </c>
      <c r="G750" s="24"/>
      <c r="H750" s="35" t="str">
        <f aca="false">IF($G750="","",IFERROR(INDEX(费用款别,MATCH($G750,费用类别表,0)),"合同外款"))</f>
        <v/>
      </c>
      <c r="I750" s="33"/>
      <c r="J750" s="33"/>
      <c r="K750" s="39"/>
      <c r="L750" s="33"/>
      <c r="M750" s="25"/>
      <c r="N750" s="39"/>
      <c r="O750" s="35" t="str">
        <f aca="false">IF($C750="","",IF(N($N750)&lt;=0,"未开票",IF(ROUND(N($N750)-N($K750),2)&gt;=0,"已开票",IFERROR("部分开票 "&amp;TEXT(N($N750)/N($K750),"0%"),"部分开票"))))</f>
        <v/>
      </c>
      <c r="P750" s="40" t="str">
        <f aca="false">IF($C750="","",ROUND($V750+MIN($W750,MAX(0,(SUMIF(收款键,$D750,收款金额)-SUMIFS(收款金额,收款键,$D750,收款关联,"&lt;&gt;"))-($X750-$W750))),2))</f>
        <v/>
      </c>
      <c r="Q750" s="41" t="str">
        <f aca="false">IF($C750="","",ROUND(N($K750)-N($P750),2))</f>
        <v/>
      </c>
      <c r="R750" s="29" t="str">
        <f aca="false">IF($C750="","",YEAR($C750))</f>
        <v/>
      </c>
      <c r="S750" s="24"/>
      <c r="T750" s="35" t="str">
        <f aca="false">IF($C750="","",IF($D750="","★没选客户项目",IF(COUNTIF(合同键,$D750)=0,"★《维保合同》里没这个项目",IF(N($K750)&lt;=0,"★应收金额要填",IF(ROUND(N($N750)-N($K750),2)&gt;0.001,"★开票金额大于应收",IF(AND($L750&lt;&gt;"",N($N750)&lt;=0),"★填了开票日期没填开票金额",IF(AND($I750&lt;&gt;"",$J750&lt;&gt;"",$J750&lt;$I750),"★计费期间起止反了","OK")))))))</f>
        <v/>
      </c>
      <c r="U750" s="29" t="str">
        <f aca="false">IF($L750="","",YEAR($L750))</f>
        <v/>
      </c>
      <c r="V750" s="40" t="str">
        <f aca="false">IF($C750="","",ROUND(SUMIF(收款关联,$B750,收款金额),2))</f>
        <v/>
      </c>
      <c r="W750" s="40" t="str">
        <f aca="false">IF($C750="","",MAX(0,ROUND(N($K750)-N($V750),2)))</f>
        <v/>
      </c>
      <c r="X750" s="40" t="str">
        <f aca="false">IF($C750="","",ROUND(SUMIFS(应收净额,应收键,$D750,应收行号,"&lt;="&amp;ROW()),2))</f>
        <v/>
      </c>
      <c r="Y750" s="29" t="str">
        <f aca="false">IF($C750="","",ROW())</f>
        <v/>
      </c>
    </row>
    <row r="751" customFormat="false" ht="15" hidden="false" customHeight="false" outlineLevel="0" collapsed="false">
      <c r="A751" s="29" t="str">
        <f aca="false">IF($C751="","",ROW()-4)</f>
        <v/>
      </c>
      <c r="B751" s="35" t="str">
        <f aca="false">IF($C751="","","YS"&amp;TEXT($C751,"yyyymm")&amp;"-"&amp;TEXT(ROW()-4,"0000"))</f>
        <v/>
      </c>
      <c r="C751" s="33"/>
      <c r="D751" s="24"/>
      <c r="E751" s="30" t="str">
        <f aca="false">IF($D751="","",IFERROR(INDEX(合同单位,MATCH($D751,合同键,0)),IFERROR(TRIM(LEFT($D751,FIND("｜",$D751)-1)),$D751)))</f>
        <v/>
      </c>
      <c r="F751" s="30" t="str">
        <f aca="false">IF($D751="","",IFERROR(INDEX(合同项目,MATCH($D751,合同键,0)),IFERROR(TRIM(MID($D751,FIND("｜",$D751)+1,99)),"")))</f>
        <v/>
      </c>
      <c r="G751" s="24"/>
      <c r="H751" s="35" t="str">
        <f aca="false">IF($G751="","",IFERROR(INDEX(费用款别,MATCH($G751,费用类别表,0)),"合同外款"))</f>
        <v/>
      </c>
      <c r="I751" s="33"/>
      <c r="J751" s="33"/>
      <c r="K751" s="39"/>
      <c r="L751" s="33"/>
      <c r="M751" s="25"/>
      <c r="N751" s="39"/>
      <c r="O751" s="35" t="str">
        <f aca="false">IF($C751="","",IF(N($N751)&lt;=0,"未开票",IF(ROUND(N($N751)-N($K751),2)&gt;=0,"已开票",IFERROR("部分开票 "&amp;TEXT(N($N751)/N($K751),"0%"),"部分开票"))))</f>
        <v/>
      </c>
      <c r="P751" s="40" t="str">
        <f aca="false">IF($C751="","",ROUND($V751+MIN($W751,MAX(0,(SUMIF(收款键,$D751,收款金额)-SUMIFS(收款金额,收款键,$D751,收款关联,"&lt;&gt;"))-($X751-$W751))),2))</f>
        <v/>
      </c>
      <c r="Q751" s="41" t="str">
        <f aca="false">IF($C751="","",ROUND(N($K751)-N($P751),2))</f>
        <v/>
      </c>
      <c r="R751" s="29" t="str">
        <f aca="false">IF($C751="","",YEAR($C751))</f>
        <v/>
      </c>
      <c r="S751" s="24"/>
      <c r="T751" s="35" t="str">
        <f aca="false">IF($C751="","",IF($D751="","★没选客户项目",IF(COUNTIF(合同键,$D751)=0,"★《维保合同》里没这个项目",IF(N($K751)&lt;=0,"★应收金额要填",IF(ROUND(N($N751)-N($K751),2)&gt;0.001,"★开票金额大于应收",IF(AND($L751&lt;&gt;"",N($N751)&lt;=0),"★填了开票日期没填开票金额",IF(AND($I751&lt;&gt;"",$J751&lt;&gt;"",$J751&lt;$I751),"★计费期间起止反了","OK")))))))</f>
        <v/>
      </c>
      <c r="U751" s="29" t="str">
        <f aca="false">IF($L751="","",YEAR($L751))</f>
        <v/>
      </c>
      <c r="V751" s="40" t="str">
        <f aca="false">IF($C751="","",ROUND(SUMIF(收款关联,$B751,收款金额),2))</f>
        <v/>
      </c>
      <c r="W751" s="40" t="str">
        <f aca="false">IF($C751="","",MAX(0,ROUND(N($K751)-N($V751),2)))</f>
        <v/>
      </c>
      <c r="X751" s="40" t="str">
        <f aca="false">IF($C751="","",ROUND(SUMIFS(应收净额,应收键,$D751,应收行号,"&lt;="&amp;ROW()),2))</f>
        <v/>
      </c>
      <c r="Y751" s="29" t="str">
        <f aca="false">IF($C751="","",ROW())</f>
        <v/>
      </c>
    </row>
    <row r="752" customFormat="false" ht="15" hidden="false" customHeight="false" outlineLevel="0" collapsed="false">
      <c r="A752" s="29" t="str">
        <f aca="false">IF($C752="","",ROW()-4)</f>
        <v/>
      </c>
      <c r="B752" s="35" t="str">
        <f aca="false">IF($C752="","","YS"&amp;TEXT($C752,"yyyymm")&amp;"-"&amp;TEXT(ROW()-4,"0000"))</f>
        <v/>
      </c>
      <c r="C752" s="33"/>
      <c r="D752" s="24"/>
      <c r="E752" s="30" t="str">
        <f aca="false">IF($D752="","",IFERROR(INDEX(合同单位,MATCH($D752,合同键,0)),IFERROR(TRIM(LEFT($D752,FIND("｜",$D752)-1)),$D752)))</f>
        <v/>
      </c>
      <c r="F752" s="30" t="str">
        <f aca="false">IF($D752="","",IFERROR(INDEX(合同项目,MATCH($D752,合同键,0)),IFERROR(TRIM(MID($D752,FIND("｜",$D752)+1,99)),"")))</f>
        <v/>
      </c>
      <c r="G752" s="24"/>
      <c r="H752" s="35" t="str">
        <f aca="false">IF($G752="","",IFERROR(INDEX(费用款别,MATCH($G752,费用类别表,0)),"合同外款"))</f>
        <v/>
      </c>
      <c r="I752" s="33"/>
      <c r="J752" s="33"/>
      <c r="K752" s="39"/>
      <c r="L752" s="33"/>
      <c r="M752" s="25"/>
      <c r="N752" s="39"/>
      <c r="O752" s="35" t="str">
        <f aca="false">IF($C752="","",IF(N($N752)&lt;=0,"未开票",IF(ROUND(N($N752)-N($K752),2)&gt;=0,"已开票",IFERROR("部分开票 "&amp;TEXT(N($N752)/N($K752),"0%"),"部分开票"))))</f>
        <v/>
      </c>
      <c r="P752" s="40" t="str">
        <f aca="false">IF($C752="","",ROUND($V752+MIN($W752,MAX(0,(SUMIF(收款键,$D752,收款金额)-SUMIFS(收款金额,收款键,$D752,收款关联,"&lt;&gt;"))-($X752-$W752))),2))</f>
        <v/>
      </c>
      <c r="Q752" s="41" t="str">
        <f aca="false">IF($C752="","",ROUND(N($K752)-N($P752),2))</f>
        <v/>
      </c>
      <c r="R752" s="29" t="str">
        <f aca="false">IF($C752="","",YEAR($C752))</f>
        <v/>
      </c>
      <c r="S752" s="24"/>
      <c r="T752" s="35" t="str">
        <f aca="false">IF($C752="","",IF($D752="","★没选客户项目",IF(COUNTIF(合同键,$D752)=0,"★《维保合同》里没这个项目",IF(N($K752)&lt;=0,"★应收金额要填",IF(ROUND(N($N752)-N($K752),2)&gt;0.001,"★开票金额大于应收",IF(AND($L752&lt;&gt;"",N($N752)&lt;=0),"★填了开票日期没填开票金额",IF(AND($I752&lt;&gt;"",$J752&lt;&gt;"",$J752&lt;$I752),"★计费期间起止反了","OK")))))))</f>
        <v/>
      </c>
      <c r="U752" s="29" t="str">
        <f aca="false">IF($L752="","",YEAR($L752))</f>
        <v/>
      </c>
      <c r="V752" s="40" t="str">
        <f aca="false">IF($C752="","",ROUND(SUMIF(收款关联,$B752,收款金额),2))</f>
        <v/>
      </c>
      <c r="W752" s="40" t="str">
        <f aca="false">IF($C752="","",MAX(0,ROUND(N($K752)-N($V752),2)))</f>
        <v/>
      </c>
      <c r="X752" s="40" t="str">
        <f aca="false">IF($C752="","",ROUND(SUMIFS(应收净额,应收键,$D752,应收行号,"&lt;="&amp;ROW()),2))</f>
        <v/>
      </c>
      <c r="Y752" s="29" t="str">
        <f aca="false">IF($C752="","",ROW())</f>
        <v/>
      </c>
    </row>
    <row r="753" customFormat="false" ht="15" hidden="false" customHeight="false" outlineLevel="0" collapsed="false">
      <c r="A753" s="29" t="str">
        <f aca="false">IF($C753="","",ROW()-4)</f>
        <v/>
      </c>
      <c r="B753" s="35" t="str">
        <f aca="false">IF($C753="","","YS"&amp;TEXT($C753,"yyyymm")&amp;"-"&amp;TEXT(ROW()-4,"0000"))</f>
        <v/>
      </c>
      <c r="C753" s="33"/>
      <c r="D753" s="24"/>
      <c r="E753" s="30" t="str">
        <f aca="false">IF($D753="","",IFERROR(INDEX(合同单位,MATCH($D753,合同键,0)),IFERROR(TRIM(LEFT($D753,FIND("｜",$D753)-1)),$D753)))</f>
        <v/>
      </c>
      <c r="F753" s="30" t="str">
        <f aca="false">IF($D753="","",IFERROR(INDEX(合同项目,MATCH($D753,合同键,0)),IFERROR(TRIM(MID($D753,FIND("｜",$D753)+1,99)),"")))</f>
        <v/>
      </c>
      <c r="G753" s="24"/>
      <c r="H753" s="35" t="str">
        <f aca="false">IF($G753="","",IFERROR(INDEX(费用款别,MATCH($G753,费用类别表,0)),"合同外款"))</f>
        <v/>
      </c>
      <c r="I753" s="33"/>
      <c r="J753" s="33"/>
      <c r="K753" s="39"/>
      <c r="L753" s="33"/>
      <c r="M753" s="25"/>
      <c r="N753" s="39"/>
      <c r="O753" s="35" t="str">
        <f aca="false">IF($C753="","",IF(N($N753)&lt;=0,"未开票",IF(ROUND(N($N753)-N($K753),2)&gt;=0,"已开票",IFERROR("部分开票 "&amp;TEXT(N($N753)/N($K753),"0%"),"部分开票"))))</f>
        <v/>
      </c>
      <c r="P753" s="40" t="str">
        <f aca="false">IF($C753="","",ROUND($V753+MIN($W753,MAX(0,(SUMIF(收款键,$D753,收款金额)-SUMIFS(收款金额,收款键,$D753,收款关联,"&lt;&gt;"))-($X753-$W753))),2))</f>
        <v/>
      </c>
      <c r="Q753" s="41" t="str">
        <f aca="false">IF($C753="","",ROUND(N($K753)-N($P753),2))</f>
        <v/>
      </c>
      <c r="R753" s="29" t="str">
        <f aca="false">IF($C753="","",YEAR($C753))</f>
        <v/>
      </c>
      <c r="S753" s="24"/>
      <c r="T753" s="35" t="str">
        <f aca="false">IF($C753="","",IF($D753="","★没选客户项目",IF(COUNTIF(合同键,$D753)=0,"★《维保合同》里没这个项目",IF(N($K753)&lt;=0,"★应收金额要填",IF(ROUND(N($N753)-N($K753),2)&gt;0.001,"★开票金额大于应收",IF(AND($L753&lt;&gt;"",N($N753)&lt;=0),"★填了开票日期没填开票金额",IF(AND($I753&lt;&gt;"",$J753&lt;&gt;"",$J753&lt;$I753),"★计费期间起止反了","OK")))))))</f>
        <v/>
      </c>
      <c r="U753" s="29" t="str">
        <f aca="false">IF($L753="","",YEAR($L753))</f>
        <v/>
      </c>
      <c r="V753" s="40" t="str">
        <f aca="false">IF($C753="","",ROUND(SUMIF(收款关联,$B753,收款金额),2))</f>
        <v/>
      </c>
      <c r="W753" s="40" t="str">
        <f aca="false">IF($C753="","",MAX(0,ROUND(N($K753)-N($V753),2)))</f>
        <v/>
      </c>
      <c r="X753" s="40" t="str">
        <f aca="false">IF($C753="","",ROUND(SUMIFS(应收净额,应收键,$D753,应收行号,"&lt;="&amp;ROW()),2))</f>
        <v/>
      </c>
      <c r="Y753" s="29" t="str">
        <f aca="false">IF($C753="","",ROW())</f>
        <v/>
      </c>
    </row>
    <row r="754" customFormat="false" ht="15" hidden="false" customHeight="false" outlineLevel="0" collapsed="false">
      <c r="A754" s="29" t="str">
        <f aca="false">IF($C754="","",ROW()-4)</f>
        <v/>
      </c>
      <c r="B754" s="35" t="str">
        <f aca="false">IF($C754="","","YS"&amp;TEXT($C754,"yyyymm")&amp;"-"&amp;TEXT(ROW()-4,"0000"))</f>
        <v/>
      </c>
      <c r="C754" s="33"/>
      <c r="D754" s="24"/>
      <c r="E754" s="30" t="str">
        <f aca="false">IF($D754="","",IFERROR(INDEX(合同单位,MATCH($D754,合同键,0)),IFERROR(TRIM(LEFT($D754,FIND("｜",$D754)-1)),$D754)))</f>
        <v/>
      </c>
      <c r="F754" s="30" t="str">
        <f aca="false">IF($D754="","",IFERROR(INDEX(合同项目,MATCH($D754,合同键,0)),IFERROR(TRIM(MID($D754,FIND("｜",$D754)+1,99)),"")))</f>
        <v/>
      </c>
      <c r="G754" s="24"/>
      <c r="H754" s="35" t="str">
        <f aca="false">IF($G754="","",IFERROR(INDEX(费用款别,MATCH($G754,费用类别表,0)),"合同外款"))</f>
        <v/>
      </c>
      <c r="I754" s="33"/>
      <c r="J754" s="33"/>
      <c r="K754" s="39"/>
      <c r="L754" s="33"/>
      <c r="M754" s="25"/>
      <c r="N754" s="39"/>
      <c r="O754" s="35" t="str">
        <f aca="false">IF($C754="","",IF(N($N754)&lt;=0,"未开票",IF(ROUND(N($N754)-N($K754),2)&gt;=0,"已开票",IFERROR("部分开票 "&amp;TEXT(N($N754)/N($K754),"0%"),"部分开票"))))</f>
        <v/>
      </c>
      <c r="P754" s="40" t="str">
        <f aca="false">IF($C754="","",ROUND($V754+MIN($W754,MAX(0,(SUMIF(收款键,$D754,收款金额)-SUMIFS(收款金额,收款键,$D754,收款关联,"&lt;&gt;"))-($X754-$W754))),2))</f>
        <v/>
      </c>
      <c r="Q754" s="41" t="str">
        <f aca="false">IF($C754="","",ROUND(N($K754)-N($P754),2))</f>
        <v/>
      </c>
      <c r="R754" s="29" t="str">
        <f aca="false">IF($C754="","",YEAR($C754))</f>
        <v/>
      </c>
      <c r="S754" s="24"/>
      <c r="T754" s="35" t="str">
        <f aca="false">IF($C754="","",IF($D754="","★没选客户项目",IF(COUNTIF(合同键,$D754)=0,"★《维保合同》里没这个项目",IF(N($K754)&lt;=0,"★应收金额要填",IF(ROUND(N($N754)-N($K754),2)&gt;0.001,"★开票金额大于应收",IF(AND($L754&lt;&gt;"",N($N754)&lt;=0),"★填了开票日期没填开票金额",IF(AND($I754&lt;&gt;"",$J754&lt;&gt;"",$J754&lt;$I754),"★计费期间起止反了","OK")))))))</f>
        <v/>
      </c>
      <c r="U754" s="29" t="str">
        <f aca="false">IF($L754="","",YEAR($L754))</f>
        <v/>
      </c>
      <c r="V754" s="40" t="str">
        <f aca="false">IF($C754="","",ROUND(SUMIF(收款关联,$B754,收款金额),2))</f>
        <v/>
      </c>
      <c r="W754" s="40" t="str">
        <f aca="false">IF($C754="","",MAX(0,ROUND(N($K754)-N($V754),2)))</f>
        <v/>
      </c>
      <c r="X754" s="40" t="str">
        <f aca="false">IF($C754="","",ROUND(SUMIFS(应收净额,应收键,$D754,应收行号,"&lt;="&amp;ROW()),2))</f>
        <v/>
      </c>
      <c r="Y754" s="29" t="str">
        <f aca="false">IF($C754="","",ROW())</f>
        <v/>
      </c>
    </row>
    <row r="755" customFormat="false" ht="15" hidden="false" customHeight="false" outlineLevel="0" collapsed="false">
      <c r="A755" s="29" t="str">
        <f aca="false">IF($C755="","",ROW()-4)</f>
        <v/>
      </c>
      <c r="B755" s="35" t="str">
        <f aca="false">IF($C755="","","YS"&amp;TEXT($C755,"yyyymm")&amp;"-"&amp;TEXT(ROW()-4,"0000"))</f>
        <v/>
      </c>
      <c r="C755" s="33"/>
      <c r="D755" s="24"/>
      <c r="E755" s="30" t="str">
        <f aca="false">IF($D755="","",IFERROR(INDEX(合同单位,MATCH($D755,合同键,0)),IFERROR(TRIM(LEFT($D755,FIND("｜",$D755)-1)),$D755)))</f>
        <v/>
      </c>
      <c r="F755" s="30" t="str">
        <f aca="false">IF($D755="","",IFERROR(INDEX(合同项目,MATCH($D755,合同键,0)),IFERROR(TRIM(MID($D755,FIND("｜",$D755)+1,99)),"")))</f>
        <v/>
      </c>
      <c r="G755" s="24"/>
      <c r="H755" s="35" t="str">
        <f aca="false">IF($G755="","",IFERROR(INDEX(费用款别,MATCH($G755,费用类别表,0)),"合同外款"))</f>
        <v/>
      </c>
      <c r="I755" s="33"/>
      <c r="J755" s="33"/>
      <c r="K755" s="39"/>
      <c r="L755" s="33"/>
      <c r="M755" s="25"/>
      <c r="N755" s="39"/>
      <c r="O755" s="35" t="str">
        <f aca="false">IF($C755="","",IF(N($N755)&lt;=0,"未开票",IF(ROUND(N($N755)-N($K755),2)&gt;=0,"已开票",IFERROR("部分开票 "&amp;TEXT(N($N755)/N($K755),"0%"),"部分开票"))))</f>
        <v/>
      </c>
      <c r="P755" s="40" t="str">
        <f aca="false">IF($C755="","",ROUND($V755+MIN($W755,MAX(0,(SUMIF(收款键,$D755,收款金额)-SUMIFS(收款金额,收款键,$D755,收款关联,"&lt;&gt;"))-($X755-$W755))),2))</f>
        <v/>
      </c>
      <c r="Q755" s="41" t="str">
        <f aca="false">IF($C755="","",ROUND(N($K755)-N($P755),2))</f>
        <v/>
      </c>
      <c r="R755" s="29" t="str">
        <f aca="false">IF($C755="","",YEAR($C755))</f>
        <v/>
      </c>
      <c r="S755" s="24"/>
      <c r="T755" s="35" t="str">
        <f aca="false">IF($C755="","",IF($D755="","★没选客户项目",IF(COUNTIF(合同键,$D755)=0,"★《维保合同》里没这个项目",IF(N($K755)&lt;=0,"★应收金额要填",IF(ROUND(N($N755)-N($K755),2)&gt;0.001,"★开票金额大于应收",IF(AND($L755&lt;&gt;"",N($N755)&lt;=0),"★填了开票日期没填开票金额",IF(AND($I755&lt;&gt;"",$J755&lt;&gt;"",$J755&lt;$I755),"★计费期间起止反了","OK")))))))</f>
        <v/>
      </c>
      <c r="U755" s="29" t="str">
        <f aca="false">IF($L755="","",YEAR($L755))</f>
        <v/>
      </c>
      <c r="V755" s="40" t="str">
        <f aca="false">IF($C755="","",ROUND(SUMIF(收款关联,$B755,收款金额),2))</f>
        <v/>
      </c>
      <c r="W755" s="40" t="str">
        <f aca="false">IF($C755="","",MAX(0,ROUND(N($K755)-N($V755),2)))</f>
        <v/>
      </c>
      <c r="X755" s="40" t="str">
        <f aca="false">IF($C755="","",ROUND(SUMIFS(应收净额,应收键,$D755,应收行号,"&lt;="&amp;ROW()),2))</f>
        <v/>
      </c>
      <c r="Y755" s="29" t="str">
        <f aca="false">IF($C755="","",ROW())</f>
        <v/>
      </c>
    </row>
    <row r="756" customFormat="false" ht="15" hidden="false" customHeight="false" outlineLevel="0" collapsed="false">
      <c r="A756" s="29" t="str">
        <f aca="false">IF($C756="","",ROW()-4)</f>
        <v/>
      </c>
      <c r="B756" s="35" t="str">
        <f aca="false">IF($C756="","","YS"&amp;TEXT($C756,"yyyymm")&amp;"-"&amp;TEXT(ROW()-4,"0000"))</f>
        <v/>
      </c>
      <c r="C756" s="33"/>
      <c r="D756" s="24"/>
      <c r="E756" s="30" t="str">
        <f aca="false">IF($D756="","",IFERROR(INDEX(合同单位,MATCH($D756,合同键,0)),IFERROR(TRIM(LEFT($D756,FIND("｜",$D756)-1)),$D756)))</f>
        <v/>
      </c>
      <c r="F756" s="30" t="str">
        <f aca="false">IF($D756="","",IFERROR(INDEX(合同项目,MATCH($D756,合同键,0)),IFERROR(TRIM(MID($D756,FIND("｜",$D756)+1,99)),"")))</f>
        <v/>
      </c>
      <c r="G756" s="24"/>
      <c r="H756" s="35" t="str">
        <f aca="false">IF($G756="","",IFERROR(INDEX(费用款别,MATCH($G756,费用类别表,0)),"合同外款"))</f>
        <v/>
      </c>
      <c r="I756" s="33"/>
      <c r="J756" s="33"/>
      <c r="K756" s="39"/>
      <c r="L756" s="33"/>
      <c r="M756" s="25"/>
      <c r="N756" s="39"/>
      <c r="O756" s="35" t="str">
        <f aca="false">IF($C756="","",IF(N($N756)&lt;=0,"未开票",IF(ROUND(N($N756)-N($K756),2)&gt;=0,"已开票",IFERROR("部分开票 "&amp;TEXT(N($N756)/N($K756),"0%"),"部分开票"))))</f>
        <v/>
      </c>
      <c r="P756" s="40" t="str">
        <f aca="false">IF($C756="","",ROUND($V756+MIN($W756,MAX(0,(SUMIF(收款键,$D756,收款金额)-SUMIFS(收款金额,收款键,$D756,收款关联,"&lt;&gt;"))-($X756-$W756))),2))</f>
        <v/>
      </c>
      <c r="Q756" s="41" t="str">
        <f aca="false">IF($C756="","",ROUND(N($K756)-N($P756),2))</f>
        <v/>
      </c>
      <c r="R756" s="29" t="str">
        <f aca="false">IF($C756="","",YEAR($C756))</f>
        <v/>
      </c>
      <c r="S756" s="24"/>
      <c r="T756" s="35" t="str">
        <f aca="false">IF($C756="","",IF($D756="","★没选客户项目",IF(COUNTIF(合同键,$D756)=0,"★《维保合同》里没这个项目",IF(N($K756)&lt;=0,"★应收金额要填",IF(ROUND(N($N756)-N($K756),2)&gt;0.001,"★开票金额大于应收",IF(AND($L756&lt;&gt;"",N($N756)&lt;=0),"★填了开票日期没填开票金额",IF(AND($I756&lt;&gt;"",$J756&lt;&gt;"",$J756&lt;$I756),"★计费期间起止反了","OK")))))))</f>
        <v/>
      </c>
      <c r="U756" s="29" t="str">
        <f aca="false">IF($L756="","",YEAR($L756))</f>
        <v/>
      </c>
      <c r="V756" s="40" t="str">
        <f aca="false">IF($C756="","",ROUND(SUMIF(收款关联,$B756,收款金额),2))</f>
        <v/>
      </c>
      <c r="W756" s="40" t="str">
        <f aca="false">IF($C756="","",MAX(0,ROUND(N($K756)-N($V756),2)))</f>
        <v/>
      </c>
      <c r="X756" s="40" t="str">
        <f aca="false">IF($C756="","",ROUND(SUMIFS(应收净额,应收键,$D756,应收行号,"&lt;="&amp;ROW()),2))</f>
        <v/>
      </c>
      <c r="Y756" s="29" t="str">
        <f aca="false">IF($C756="","",ROW())</f>
        <v/>
      </c>
    </row>
    <row r="757" customFormat="false" ht="15" hidden="false" customHeight="false" outlineLevel="0" collapsed="false">
      <c r="A757" s="29" t="str">
        <f aca="false">IF($C757="","",ROW()-4)</f>
        <v/>
      </c>
      <c r="B757" s="35" t="str">
        <f aca="false">IF($C757="","","YS"&amp;TEXT($C757,"yyyymm")&amp;"-"&amp;TEXT(ROW()-4,"0000"))</f>
        <v/>
      </c>
      <c r="C757" s="33"/>
      <c r="D757" s="24"/>
      <c r="E757" s="30" t="str">
        <f aca="false">IF($D757="","",IFERROR(INDEX(合同单位,MATCH($D757,合同键,0)),IFERROR(TRIM(LEFT($D757,FIND("｜",$D757)-1)),$D757)))</f>
        <v/>
      </c>
      <c r="F757" s="30" t="str">
        <f aca="false">IF($D757="","",IFERROR(INDEX(合同项目,MATCH($D757,合同键,0)),IFERROR(TRIM(MID($D757,FIND("｜",$D757)+1,99)),"")))</f>
        <v/>
      </c>
      <c r="G757" s="24"/>
      <c r="H757" s="35" t="str">
        <f aca="false">IF($G757="","",IFERROR(INDEX(费用款别,MATCH($G757,费用类别表,0)),"合同外款"))</f>
        <v/>
      </c>
      <c r="I757" s="33"/>
      <c r="J757" s="33"/>
      <c r="K757" s="39"/>
      <c r="L757" s="33"/>
      <c r="M757" s="25"/>
      <c r="N757" s="39"/>
      <c r="O757" s="35" t="str">
        <f aca="false">IF($C757="","",IF(N($N757)&lt;=0,"未开票",IF(ROUND(N($N757)-N($K757),2)&gt;=0,"已开票",IFERROR("部分开票 "&amp;TEXT(N($N757)/N($K757),"0%"),"部分开票"))))</f>
        <v/>
      </c>
      <c r="P757" s="40" t="str">
        <f aca="false">IF($C757="","",ROUND($V757+MIN($W757,MAX(0,(SUMIF(收款键,$D757,收款金额)-SUMIFS(收款金额,收款键,$D757,收款关联,"&lt;&gt;"))-($X757-$W757))),2))</f>
        <v/>
      </c>
      <c r="Q757" s="41" t="str">
        <f aca="false">IF($C757="","",ROUND(N($K757)-N($P757),2))</f>
        <v/>
      </c>
      <c r="R757" s="29" t="str">
        <f aca="false">IF($C757="","",YEAR($C757))</f>
        <v/>
      </c>
      <c r="S757" s="24"/>
      <c r="T757" s="35" t="str">
        <f aca="false">IF($C757="","",IF($D757="","★没选客户项目",IF(COUNTIF(合同键,$D757)=0,"★《维保合同》里没这个项目",IF(N($K757)&lt;=0,"★应收金额要填",IF(ROUND(N($N757)-N($K757),2)&gt;0.001,"★开票金额大于应收",IF(AND($L757&lt;&gt;"",N($N757)&lt;=0),"★填了开票日期没填开票金额",IF(AND($I757&lt;&gt;"",$J757&lt;&gt;"",$J757&lt;$I757),"★计费期间起止反了","OK")))))))</f>
        <v/>
      </c>
      <c r="U757" s="29" t="str">
        <f aca="false">IF($L757="","",YEAR($L757))</f>
        <v/>
      </c>
      <c r="V757" s="40" t="str">
        <f aca="false">IF($C757="","",ROUND(SUMIF(收款关联,$B757,收款金额),2))</f>
        <v/>
      </c>
      <c r="W757" s="40" t="str">
        <f aca="false">IF($C757="","",MAX(0,ROUND(N($K757)-N($V757),2)))</f>
        <v/>
      </c>
      <c r="X757" s="40" t="str">
        <f aca="false">IF($C757="","",ROUND(SUMIFS(应收净额,应收键,$D757,应收行号,"&lt;="&amp;ROW()),2))</f>
        <v/>
      </c>
      <c r="Y757" s="29" t="str">
        <f aca="false">IF($C757="","",ROW())</f>
        <v/>
      </c>
    </row>
    <row r="758" customFormat="false" ht="15" hidden="false" customHeight="false" outlineLevel="0" collapsed="false">
      <c r="A758" s="29" t="str">
        <f aca="false">IF($C758="","",ROW()-4)</f>
        <v/>
      </c>
      <c r="B758" s="35" t="str">
        <f aca="false">IF($C758="","","YS"&amp;TEXT($C758,"yyyymm")&amp;"-"&amp;TEXT(ROW()-4,"0000"))</f>
        <v/>
      </c>
      <c r="C758" s="33"/>
      <c r="D758" s="24"/>
      <c r="E758" s="30" t="str">
        <f aca="false">IF($D758="","",IFERROR(INDEX(合同单位,MATCH($D758,合同键,0)),IFERROR(TRIM(LEFT($D758,FIND("｜",$D758)-1)),$D758)))</f>
        <v/>
      </c>
      <c r="F758" s="30" t="str">
        <f aca="false">IF($D758="","",IFERROR(INDEX(合同项目,MATCH($D758,合同键,0)),IFERROR(TRIM(MID($D758,FIND("｜",$D758)+1,99)),"")))</f>
        <v/>
      </c>
      <c r="G758" s="24"/>
      <c r="H758" s="35" t="str">
        <f aca="false">IF($G758="","",IFERROR(INDEX(费用款别,MATCH($G758,费用类别表,0)),"合同外款"))</f>
        <v/>
      </c>
      <c r="I758" s="33"/>
      <c r="J758" s="33"/>
      <c r="K758" s="39"/>
      <c r="L758" s="33"/>
      <c r="M758" s="25"/>
      <c r="N758" s="39"/>
      <c r="O758" s="35" t="str">
        <f aca="false">IF($C758="","",IF(N($N758)&lt;=0,"未开票",IF(ROUND(N($N758)-N($K758),2)&gt;=0,"已开票",IFERROR("部分开票 "&amp;TEXT(N($N758)/N($K758),"0%"),"部分开票"))))</f>
        <v/>
      </c>
      <c r="P758" s="40" t="str">
        <f aca="false">IF($C758="","",ROUND($V758+MIN($W758,MAX(0,(SUMIF(收款键,$D758,收款金额)-SUMIFS(收款金额,收款键,$D758,收款关联,"&lt;&gt;"))-($X758-$W758))),2))</f>
        <v/>
      </c>
      <c r="Q758" s="41" t="str">
        <f aca="false">IF($C758="","",ROUND(N($K758)-N($P758),2))</f>
        <v/>
      </c>
      <c r="R758" s="29" t="str">
        <f aca="false">IF($C758="","",YEAR($C758))</f>
        <v/>
      </c>
      <c r="S758" s="24"/>
      <c r="T758" s="35" t="str">
        <f aca="false">IF($C758="","",IF($D758="","★没选客户项目",IF(COUNTIF(合同键,$D758)=0,"★《维保合同》里没这个项目",IF(N($K758)&lt;=0,"★应收金额要填",IF(ROUND(N($N758)-N($K758),2)&gt;0.001,"★开票金额大于应收",IF(AND($L758&lt;&gt;"",N($N758)&lt;=0),"★填了开票日期没填开票金额",IF(AND($I758&lt;&gt;"",$J758&lt;&gt;"",$J758&lt;$I758),"★计费期间起止反了","OK")))))))</f>
        <v/>
      </c>
      <c r="U758" s="29" t="str">
        <f aca="false">IF($L758="","",YEAR($L758))</f>
        <v/>
      </c>
      <c r="V758" s="40" t="str">
        <f aca="false">IF($C758="","",ROUND(SUMIF(收款关联,$B758,收款金额),2))</f>
        <v/>
      </c>
      <c r="W758" s="40" t="str">
        <f aca="false">IF($C758="","",MAX(0,ROUND(N($K758)-N($V758),2)))</f>
        <v/>
      </c>
      <c r="X758" s="40" t="str">
        <f aca="false">IF($C758="","",ROUND(SUMIFS(应收净额,应收键,$D758,应收行号,"&lt;="&amp;ROW()),2))</f>
        <v/>
      </c>
      <c r="Y758" s="29" t="str">
        <f aca="false">IF($C758="","",ROW())</f>
        <v/>
      </c>
    </row>
    <row r="759" customFormat="false" ht="15" hidden="false" customHeight="false" outlineLevel="0" collapsed="false">
      <c r="A759" s="29" t="str">
        <f aca="false">IF($C759="","",ROW()-4)</f>
        <v/>
      </c>
      <c r="B759" s="35" t="str">
        <f aca="false">IF($C759="","","YS"&amp;TEXT($C759,"yyyymm")&amp;"-"&amp;TEXT(ROW()-4,"0000"))</f>
        <v/>
      </c>
      <c r="C759" s="33"/>
      <c r="D759" s="24"/>
      <c r="E759" s="30" t="str">
        <f aca="false">IF($D759="","",IFERROR(INDEX(合同单位,MATCH($D759,合同键,0)),IFERROR(TRIM(LEFT($D759,FIND("｜",$D759)-1)),$D759)))</f>
        <v/>
      </c>
      <c r="F759" s="30" t="str">
        <f aca="false">IF($D759="","",IFERROR(INDEX(合同项目,MATCH($D759,合同键,0)),IFERROR(TRIM(MID($D759,FIND("｜",$D759)+1,99)),"")))</f>
        <v/>
      </c>
      <c r="G759" s="24"/>
      <c r="H759" s="35" t="str">
        <f aca="false">IF($G759="","",IFERROR(INDEX(费用款别,MATCH($G759,费用类别表,0)),"合同外款"))</f>
        <v/>
      </c>
      <c r="I759" s="33"/>
      <c r="J759" s="33"/>
      <c r="K759" s="39"/>
      <c r="L759" s="33"/>
      <c r="M759" s="25"/>
      <c r="N759" s="39"/>
      <c r="O759" s="35" t="str">
        <f aca="false">IF($C759="","",IF(N($N759)&lt;=0,"未开票",IF(ROUND(N($N759)-N($K759),2)&gt;=0,"已开票",IFERROR("部分开票 "&amp;TEXT(N($N759)/N($K759),"0%"),"部分开票"))))</f>
        <v/>
      </c>
      <c r="P759" s="40" t="str">
        <f aca="false">IF($C759="","",ROUND($V759+MIN($W759,MAX(0,(SUMIF(收款键,$D759,收款金额)-SUMIFS(收款金额,收款键,$D759,收款关联,"&lt;&gt;"))-($X759-$W759))),2))</f>
        <v/>
      </c>
      <c r="Q759" s="41" t="str">
        <f aca="false">IF($C759="","",ROUND(N($K759)-N($P759),2))</f>
        <v/>
      </c>
      <c r="R759" s="29" t="str">
        <f aca="false">IF($C759="","",YEAR($C759))</f>
        <v/>
      </c>
      <c r="S759" s="24"/>
      <c r="T759" s="35" t="str">
        <f aca="false">IF($C759="","",IF($D759="","★没选客户项目",IF(COUNTIF(合同键,$D759)=0,"★《维保合同》里没这个项目",IF(N($K759)&lt;=0,"★应收金额要填",IF(ROUND(N($N759)-N($K759),2)&gt;0.001,"★开票金额大于应收",IF(AND($L759&lt;&gt;"",N($N759)&lt;=0),"★填了开票日期没填开票金额",IF(AND($I759&lt;&gt;"",$J759&lt;&gt;"",$J759&lt;$I759),"★计费期间起止反了","OK")))))))</f>
        <v/>
      </c>
      <c r="U759" s="29" t="str">
        <f aca="false">IF($L759="","",YEAR($L759))</f>
        <v/>
      </c>
      <c r="V759" s="40" t="str">
        <f aca="false">IF($C759="","",ROUND(SUMIF(收款关联,$B759,收款金额),2))</f>
        <v/>
      </c>
      <c r="W759" s="40" t="str">
        <f aca="false">IF($C759="","",MAX(0,ROUND(N($K759)-N($V759),2)))</f>
        <v/>
      </c>
      <c r="X759" s="40" t="str">
        <f aca="false">IF($C759="","",ROUND(SUMIFS(应收净额,应收键,$D759,应收行号,"&lt;="&amp;ROW()),2))</f>
        <v/>
      </c>
      <c r="Y759" s="29" t="str">
        <f aca="false">IF($C759="","",ROW())</f>
        <v/>
      </c>
    </row>
    <row r="760" customFormat="false" ht="15" hidden="false" customHeight="false" outlineLevel="0" collapsed="false">
      <c r="A760" s="29" t="str">
        <f aca="false">IF($C760="","",ROW()-4)</f>
        <v/>
      </c>
      <c r="B760" s="35" t="str">
        <f aca="false">IF($C760="","","YS"&amp;TEXT($C760,"yyyymm")&amp;"-"&amp;TEXT(ROW()-4,"0000"))</f>
        <v/>
      </c>
      <c r="C760" s="33"/>
      <c r="D760" s="24"/>
      <c r="E760" s="30" t="str">
        <f aca="false">IF($D760="","",IFERROR(INDEX(合同单位,MATCH($D760,合同键,0)),IFERROR(TRIM(LEFT($D760,FIND("｜",$D760)-1)),$D760)))</f>
        <v/>
      </c>
      <c r="F760" s="30" t="str">
        <f aca="false">IF($D760="","",IFERROR(INDEX(合同项目,MATCH($D760,合同键,0)),IFERROR(TRIM(MID($D760,FIND("｜",$D760)+1,99)),"")))</f>
        <v/>
      </c>
      <c r="G760" s="24"/>
      <c r="H760" s="35" t="str">
        <f aca="false">IF($G760="","",IFERROR(INDEX(费用款别,MATCH($G760,费用类别表,0)),"合同外款"))</f>
        <v/>
      </c>
      <c r="I760" s="33"/>
      <c r="J760" s="33"/>
      <c r="K760" s="39"/>
      <c r="L760" s="33"/>
      <c r="M760" s="25"/>
      <c r="N760" s="39"/>
      <c r="O760" s="35" t="str">
        <f aca="false">IF($C760="","",IF(N($N760)&lt;=0,"未开票",IF(ROUND(N($N760)-N($K760),2)&gt;=0,"已开票",IFERROR("部分开票 "&amp;TEXT(N($N760)/N($K760),"0%"),"部分开票"))))</f>
        <v/>
      </c>
      <c r="P760" s="40" t="str">
        <f aca="false">IF($C760="","",ROUND($V760+MIN($W760,MAX(0,(SUMIF(收款键,$D760,收款金额)-SUMIFS(收款金额,收款键,$D760,收款关联,"&lt;&gt;"))-($X760-$W760))),2))</f>
        <v/>
      </c>
      <c r="Q760" s="41" t="str">
        <f aca="false">IF($C760="","",ROUND(N($K760)-N($P760),2))</f>
        <v/>
      </c>
      <c r="R760" s="29" t="str">
        <f aca="false">IF($C760="","",YEAR($C760))</f>
        <v/>
      </c>
      <c r="S760" s="24"/>
      <c r="T760" s="35" t="str">
        <f aca="false">IF($C760="","",IF($D760="","★没选客户项目",IF(COUNTIF(合同键,$D760)=0,"★《维保合同》里没这个项目",IF(N($K760)&lt;=0,"★应收金额要填",IF(ROUND(N($N760)-N($K760),2)&gt;0.001,"★开票金额大于应收",IF(AND($L760&lt;&gt;"",N($N760)&lt;=0),"★填了开票日期没填开票金额",IF(AND($I760&lt;&gt;"",$J760&lt;&gt;"",$J760&lt;$I760),"★计费期间起止反了","OK")))))))</f>
        <v/>
      </c>
      <c r="U760" s="29" t="str">
        <f aca="false">IF($L760="","",YEAR($L760))</f>
        <v/>
      </c>
      <c r="V760" s="40" t="str">
        <f aca="false">IF($C760="","",ROUND(SUMIF(收款关联,$B760,收款金额),2))</f>
        <v/>
      </c>
      <c r="W760" s="40" t="str">
        <f aca="false">IF($C760="","",MAX(0,ROUND(N($K760)-N($V760),2)))</f>
        <v/>
      </c>
      <c r="X760" s="40" t="str">
        <f aca="false">IF($C760="","",ROUND(SUMIFS(应收净额,应收键,$D760,应收行号,"&lt;="&amp;ROW()),2))</f>
        <v/>
      </c>
      <c r="Y760" s="29" t="str">
        <f aca="false">IF($C760="","",ROW())</f>
        <v/>
      </c>
    </row>
    <row r="761" customFormat="false" ht="15" hidden="false" customHeight="false" outlineLevel="0" collapsed="false">
      <c r="A761" s="29" t="str">
        <f aca="false">IF($C761="","",ROW()-4)</f>
        <v/>
      </c>
      <c r="B761" s="35" t="str">
        <f aca="false">IF($C761="","","YS"&amp;TEXT($C761,"yyyymm")&amp;"-"&amp;TEXT(ROW()-4,"0000"))</f>
        <v/>
      </c>
      <c r="C761" s="33"/>
      <c r="D761" s="24"/>
      <c r="E761" s="30" t="str">
        <f aca="false">IF($D761="","",IFERROR(INDEX(合同单位,MATCH($D761,合同键,0)),IFERROR(TRIM(LEFT($D761,FIND("｜",$D761)-1)),$D761)))</f>
        <v/>
      </c>
      <c r="F761" s="30" t="str">
        <f aca="false">IF($D761="","",IFERROR(INDEX(合同项目,MATCH($D761,合同键,0)),IFERROR(TRIM(MID($D761,FIND("｜",$D761)+1,99)),"")))</f>
        <v/>
      </c>
      <c r="G761" s="24"/>
      <c r="H761" s="35" t="str">
        <f aca="false">IF($G761="","",IFERROR(INDEX(费用款别,MATCH($G761,费用类别表,0)),"合同外款"))</f>
        <v/>
      </c>
      <c r="I761" s="33"/>
      <c r="J761" s="33"/>
      <c r="K761" s="39"/>
      <c r="L761" s="33"/>
      <c r="M761" s="25"/>
      <c r="N761" s="39"/>
      <c r="O761" s="35" t="str">
        <f aca="false">IF($C761="","",IF(N($N761)&lt;=0,"未开票",IF(ROUND(N($N761)-N($K761),2)&gt;=0,"已开票",IFERROR("部分开票 "&amp;TEXT(N($N761)/N($K761),"0%"),"部分开票"))))</f>
        <v/>
      </c>
      <c r="P761" s="40" t="str">
        <f aca="false">IF($C761="","",ROUND($V761+MIN($W761,MAX(0,(SUMIF(收款键,$D761,收款金额)-SUMIFS(收款金额,收款键,$D761,收款关联,"&lt;&gt;"))-($X761-$W761))),2))</f>
        <v/>
      </c>
      <c r="Q761" s="41" t="str">
        <f aca="false">IF($C761="","",ROUND(N($K761)-N($P761),2))</f>
        <v/>
      </c>
      <c r="R761" s="29" t="str">
        <f aca="false">IF($C761="","",YEAR($C761))</f>
        <v/>
      </c>
      <c r="S761" s="24"/>
      <c r="T761" s="35" t="str">
        <f aca="false">IF($C761="","",IF($D761="","★没选客户项目",IF(COUNTIF(合同键,$D761)=0,"★《维保合同》里没这个项目",IF(N($K761)&lt;=0,"★应收金额要填",IF(ROUND(N($N761)-N($K761),2)&gt;0.001,"★开票金额大于应收",IF(AND($L761&lt;&gt;"",N($N761)&lt;=0),"★填了开票日期没填开票金额",IF(AND($I761&lt;&gt;"",$J761&lt;&gt;"",$J761&lt;$I761),"★计费期间起止反了","OK")))))))</f>
        <v/>
      </c>
      <c r="U761" s="29" t="str">
        <f aca="false">IF($L761="","",YEAR($L761))</f>
        <v/>
      </c>
      <c r="V761" s="40" t="str">
        <f aca="false">IF($C761="","",ROUND(SUMIF(收款关联,$B761,收款金额),2))</f>
        <v/>
      </c>
      <c r="W761" s="40" t="str">
        <f aca="false">IF($C761="","",MAX(0,ROUND(N($K761)-N($V761),2)))</f>
        <v/>
      </c>
      <c r="X761" s="40" t="str">
        <f aca="false">IF($C761="","",ROUND(SUMIFS(应收净额,应收键,$D761,应收行号,"&lt;="&amp;ROW()),2))</f>
        <v/>
      </c>
      <c r="Y761" s="29" t="str">
        <f aca="false">IF($C761="","",ROW())</f>
        <v/>
      </c>
    </row>
    <row r="762" customFormat="false" ht="15" hidden="false" customHeight="false" outlineLevel="0" collapsed="false">
      <c r="A762" s="29" t="str">
        <f aca="false">IF($C762="","",ROW()-4)</f>
        <v/>
      </c>
      <c r="B762" s="35" t="str">
        <f aca="false">IF($C762="","","YS"&amp;TEXT($C762,"yyyymm")&amp;"-"&amp;TEXT(ROW()-4,"0000"))</f>
        <v/>
      </c>
      <c r="C762" s="33"/>
      <c r="D762" s="24"/>
      <c r="E762" s="30" t="str">
        <f aca="false">IF($D762="","",IFERROR(INDEX(合同单位,MATCH($D762,合同键,0)),IFERROR(TRIM(LEFT($D762,FIND("｜",$D762)-1)),$D762)))</f>
        <v/>
      </c>
      <c r="F762" s="30" t="str">
        <f aca="false">IF($D762="","",IFERROR(INDEX(合同项目,MATCH($D762,合同键,0)),IFERROR(TRIM(MID($D762,FIND("｜",$D762)+1,99)),"")))</f>
        <v/>
      </c>
      <c r="G762" s="24"/>
      <c r="H762" s="35" t="str">
        <f aca="false">IF($G762="","",IFERROR(INDEX(费用款别,MATCH($G762,费用类别表,0)),"合同外款"))</f>
        <v/>
      </c>
      <c r="I762" s="33"/>
      <c r="J762" s="33"/>
      <c r="K762" s="39"/>
      <c r="L762" s="33"/>
      <c r="M762" s="25"/>
      <c r="N762" s="39"/>
      <c r="O762" s="35" t="str">
        <f aca="false">IF($C762="","",IF(N($N762)&lt;=0,"未开票",IF(ROUND(N($N762)-N($K762),2)&gt;=0,"已开票",IFERROR("部分开票 "&amp;TEXT(N($N762)/N($K762),"0%"),"部分开票"))))</f>
        <v/>
      </c>
      <c r="P762" s="40" t="str">
        <f aca="false">IF($C762="","",ROUND($V762+MIN($W762,MAX(0,(SUMIF(收款键,$D762,收款金额)-SUMIFS(收款金额,收款键,$D762,收款关联,"&lt;&gt;"))-($X762-$W762))),2))</f>
        <v/>
      </c>
      <c r="Q762" s="41" t="str">
        <f aca="false">IF($C762="","",ROUND(N($K762)-N($P762),2))</f>
        <v/>
      </c>
      <c r="R762" s="29" t="str">
        <f aca="false">IF($C762="","",YEAR($C762))</f>
        <v/>
      </c>
      <c r="S762" s="24"/>
      <c r="T762" s="35" t="str">
        <f aca="false">IF($C762="","",IF($D762="","★没选客户项目",IF(COUNTIF(合同键,$D762)=0,"★《维保合同》里没这个项目",IF(N($K762)&lt;=0,"★应收金额要填",IF(ROUND(N($N762)-N($K762),2)&gt;0.001,"★开票金额大于应收",IF(AND($L762&lt;&gt;"",N($N762)&lt;=0),"★填了开票日期没填开票金额",IF(AND($I762&lt;&gt;"",$J762&lt;&gt;"",$J762&lt;$I762),"★计费期间起止反了","OK")))))))</f>
        <v/>
      </c>
      <c r="U762" s="29" t="str">
        <f aca="false">IF($L762="","",YEAR($L762))</f>
        <v/>
      </c>
      <c r="V762" s="40" t="str">
        <f aca="false">IF($C762="","",ROUND(SUMIF(收款关联,$B762,收款金额),2))</f>
        <v/>
      </c>
      <c r="W762" s="40" t="str">
        <f aca="false">IF($C762="","",MAX(0,ROUND(N($K762)-N($V762),2)))</f>
        <v/>
      </c>
      <c r="X762" s="40" t="str">
        <f aca="false">IF($C762="","",ROUND(SUMIFS(应收净额,应收键,$D762,应收行号,"&lt;="&amp;ROW()),2))</f>
        <v/>
      </c>
      <c r="Y762" s="29" t="str">
        <f aca="false">IF($C762="","",ROW())</f>
        <v/>
      </c>
    </row>
    <row r="763" customFormat="false" ht="15" hidden="false" customHeight="false" outlineLevel="0" collapsed="false">
      <c r="A763" s="29" t="str">
        <f aca="false">IF($C763="","",ROW()-4)</f>
        <v/>
      </c>
      <c r="B763" s="35" t="str">
        <f aca="false">IF($C763="","","YS"&amp;TEXT($C763,"yyyymm")&amp;"-"&amp;TEXT(ROW()-4,"0000"))</f>
        <v/>
      </c>
      <c r="C763" s="33"/>
      <c r="D763" s="24"/>
      <c r="E763" s="30" t="str">
        <f aca="false">IF($D763="","",IFERROR(INDEX(合同单位,MATCH($D763,合同键,0)),IFERROR(TRIM(LEFT($D763,FIND("｜",$D763)-1)),$D763)))</f>
        <v/>
      </c>
      <c r="F763" s="30" t="str">
        <f aca="false">IF($D763="","",IFERROR(INDEX(合同项目,MATCH($D763,合同键,0)),IFERROR(TRIM(MID($D763,FIND("｜",$D763)+1,99)),"")))</f>
        <v/>
      </c>
      <c r="G763" s="24"/>
      <c r="H763" s="35" t="str">
        <f aca="false">IF($G763="","",IFERROR(INDEX(费用款别,MATCH($G763,费用类别表,0)),"合同外款"))</f>
        <v/>
      </c>
      <c r="I763" s="33"/>
      <c r="J763" s="33"/>
      <c r="K763" s="39"/>
      <c r="L763" s="33"/>
      <c r="M763" s="25"/>
      <c r="N763" s="39"/>
      <c r="O763" s="35" t="str">
        <f aca="false">IF($C763="","",IF(N($N763)&lt;=0,"未开票",IF(ROUND(N($N763)-N($K763),2)&gt;=0,"已开票",IFERROR("部分开票 "&amp;TEXT(N($N763)/N($K763),"0%"),"部分开票"))))</f>
        <v/>
      </c>
      <c r="P763" s="40" t="str">
        <f aca="false">IF($C763="","",ROUND($V763+MIN($W763,MAX(0,(SUMIF(收款键,$D763,收款金额)-SUMIFS(收款金额,收款键,$D763,收款关联,"&lt;&gt;"))-($X763-$W763))),2))</f>
        <v/>
      </c>
      <c r="Q763" s="41" t="str">
        <f aca="false">IF($C763="","",ROUND(N($K763)-N($P763),2))</f>
        <v/>
      </c>
      <c r="R763" s="29" t="str">
        <f aca="false">IF($C763="","",YEAR($C763))</f>
        <v/>
      </c>
      <c r="S763" s="24"/>
      <c r="T763" s="35" t="str">
        <f aca="false">IF($C763="","",IF($D763="","★没选客户项目",IF(COUNTIF(合同键,$D763)=0,"★《维保合同》里没这个项目",IF(N($K763)&lt;=0,"★应收金额要填",IF(ROUND(N($N763)-N($K763),2)&gt;0.001,"★开票金额大于应收",IF(AND($L763&lt;&gt;"",N($N763)&lt;=0),"★填了开票日期没填开票金额",IF(AND($I763&lt;&gt;"",$J763&lt;&gt;"",$J763&lt;$I763),"★计费期间起止反了","OK")))))))</f>
        <v/>
      </c>
      <c r="U763" s="29" t="str">
        <f aca="false">IF($L763="","",YEAR($L763))</f>
        <v/>
      </c>
      <c r="V763" s="40" t="str">
        <f aca="false">IF($C763="","",ROUND(SUMIF(收款关联,$B763,收款金额),2))</f>
        <v/>
      </c>
      <c r="W763" s="40" t="str">
        <f aca="false">IF($C763="","",MAX(0,ROUND(N($K763)-N($V763),2)))</f>
        <v/>
      </c>
      <c r="X763" s="40" t="str">
        <f aca="false">IF($C763="","",ROUND(SUMIFS(应收净额,应收键,$D763,应收行号,"&lt;="&amp;ROW()),2))</f>
        <v/>
      </c>
      <c r="Y763" s="29" t="str">
        <f aca="false">IF($C763="","",ROW())</f>
        <v/>
      </c>
    </row>
    <row r="764" customFormat="false" ht="15" hidden="false" customHeight="false" outlineLevel="0" collapsed="false">
      <c r="A764" s="29" t="str">
        <f aca="false">IF($C764="","",ROW()-4)</f>
        <v/>
      </c>
      <c r="B764" s="35" t="str">
        <f aca="false">IF($C764="","","YS"&amp;TEXT($C764,"yyyymm")&amp;"-"&amp;TEXT(ROW()-4,"0000"))</f>
        <v/>
      </c>
      <c r="C764" s="33"/>
      <c r="D764" s="24"/>
      <c r="E764" s="30" t="str">
        <f aca="false">IF($D764="","",IFERROR(INDEX(合同单位,MATCH($D764,合同键,0)),IFERROR(TRIM(LEFT($D764,FIND("｜",$D764)-1)),$D764)))</f>
        <v/>
      </c>
      <c r="F764" s="30" t="str">
        <f aca="false">IF($D764="","",IFERROR(INDEX(合同项目,MATCH($D764,合同键,0)),IFERROR(TRIM(MID($D764,FIND("｜",$D764)+1,99)),"")))</f>
        <v/>
      </c>
      <c r="G764" s="24"/>
      <c r="H764" s="35" t="str">
        <f aca="false">IF($G764="","",IFERROR(INDEX(费用款别,MATCH($G764,费用类别表,0)),"合同外款"))</f>
        <v/>
      </c>
      <c r="I764" s="33"/>
      <c r="J764" s="33"/>
      <c r="K764" s="39"/>
      <c r="L764" s="33"/>
      <c r="M764" s="25"/>
      <c r="N764" s="39"/>
      <c r="O764" s="35" t="str">
        <f aca="false">IF($C764="","",IF(N($N764)&lt;=0,"未开票",IF(ROUND(N($N764)-N($K764),2)&gt;=0,"已开票",IFERROR("部分开票 "&amp;TEXT(N($N764)/N($K764),"0%"),"部分开票"))))</f>
        <v/>
      </c>
      <c r="P764" s="40" t="str">
        <f aca="false">IF($C764="","",ROUND($V764+MIN($W764,MAX(0,(SUMIF(收款键,$D764,收款金额)-SUMIFS(收款金额,收款键,$D764,收款关联,"&lt;&gt;"))-($X764-$W764))),2))</f>
        <v/>
      </c>
      <c r="Q764" s="41" t="str">
        <f aca="false">IF($C764="","",ROUND(N($K764)-N($P764),2))</f>
        <v/>
      </c>
      <c r="R764" s="29" t="str">
        <f aca="false">IF($C764="","",YEAR($C764))</f>
        <v/>
      </c>
      <c r="S764" s="24"/>
      <c r="T764" s="35" t="str">
        <f aca="false">IF($C764="","",IF($D764="","★没选客户项目",IF(COUNTIF(合同键,$D764)=0,"★《维保合同》里没这个项目",IF(N($K764)&lt;=0,"★应收金额要填",IF(ROUND(N($N764)-N($K764),2)&gt;0.001,"★开票金额大于应收",IF(AND($L764&lt;&gt;"",N($N764)&lt;=0),"★填了开票日期没填开票金额",IF(AND($I764&lt;&gt;"",$J764&lt;&gt;"",$J764&lt;$I764),"★计费期间起止反了","OK")))))))</f>
        <v/>
      </c>
      <c r="U764" s="29" t="str">
        <f aca="false">IF($L764="","",YEAR($L764))</f>
        <v/>
      </c>
      <c r="V764" s="40" t="str">
        <f aca="false">IF($C764="","",ROUND(SUMIF(收款关联,$B764,收款金额),2))</f>
        <v/>
      </c>
      <c r="W764" s="40" t="str">
        <f aca="false">IF($C764="","",MAX(0,ROUND(N($K764)-N($V764),2)))</f>
        <v/>
      </c>
      <c r="X764" s="40" t="str">
        <f aca="false">IF($C764="","",ROUND(SUMIFS(应收净额,应收键,$D764,应收行号,"&lt;="&amp;ROW()),2))</f>
        <v/>
      </c>
      <c r="Y764" s="29" t="str">
        <f aca="false">IF($C764="","",ROW())</f>
        <v/>
      </c>
    </row>
    <row r="765" customFormat="false" ht="15" hidden="false" customHeight="false" outlineLevel="0" collapsed="false">
      <c r="A765" s="29" t="str">
        <f aca="false">IF($C765="","",ROW()-4)</f>
        <v/>
      </c>
      <c r="B765" s="35" t="str">
        <f aca="false">IF($C765="","","YS"&amp;TEXT($C765,"yyyymm")&amp;"-"&amp;TEXT(ROW()-4,"0000"))</f>
        <v/>
      </c>
      <c r="C765" s="33"/>
      <c r="D765" s="24"/>
      <c r="E765" s="30" t="str">
        <f aca="false">IF($D765="","",IFERROR(INDEX(合同单位,MATCH($D765,合同键,0)),IFERROR(TRIM(LEFT($D765,FIND("｜",$D765)-1)),$D765)))</f>
        <v/>
      </c>
      <c r="F765" s="30" t="str">
        <f aca="false">IF($D765="","",IFERROR(INDEX(合同项目,MATCH($D765,合同键,0)),IFERROR(TRIM(MID($D765,FIND("｜",$D765)+1,99)),"")))</f>
        <v/>
      </c>
      <c r="G765" s="24"/>
      <c r="H765" s="35" t="str">
        <f aca="false">IF($G765="","",IFERROR(INDEX(费用款别,MATCH($G765,费用类别表,0)),"合同外款"))</f>
        <v/>
      </c>
      <c r="I765" s="33"/>
      <c r="J765" s="33"/>
      <c r="K765" s="39"/>
      <c r="L765" s="33"/>
      <c r="M765" s="25"/>
      <c r="N765" s="39"/>
      <c r="O765" s="35" t="str">
        <f aca="false">IF($C765="","",IF(N($N765)&lt;=0,"未开票",IF(ROUND(N($N765)-N($K765),2)&gt;=0,"已开票",IFERROR("部分开票 "&amp;TEXT(N($N765)/N($K765),"0%"),"部分开票"))))</f>
        <v/>
      </c>
      <c r="P765" s="40" t="str">
        <f aca="false">IF($C765="","",ROUND($V765+MIN($W765,MAX(0,(SUMIF(收款键,$D765,收款金额)-SUMIFS(收款金额,收款键,$D765,收款关联,"&lt;&gt;"))-($X765-$W765))),2))</f>
        <v/>
      </c>
      <c r="Q765" s="41" t="str">
        <f aca="false">IF($C765="","",ROUND(N($K765)-N($P765),2))</f>
        <v/>
      </c>
      <c r="R765" s="29" t="str">
        <f aca="false">IF($C765="","",YEAR($C765))</f>
        <v/>
      </c>
      <c r="S765" s="24"/>
      <c r="T765" s="35" t="str">
        <f aca="false">IF($C765="","",IF($D765="","★没选客户项目",IF(COUNTIF(合同键,$D765)=0,"★《维保合同》里没这个项目",IF(N($K765)&lt;=0,"★应收金额要填",IF(ROUND(N($N765)-N($K765),2)&gt;0.001,"★开票金额大于应收",IF(AND($L765&lt;&gt;"",N($N765)&lt;=0),"★填了开票日期没填开票金额",IF(AND($I765&lt;&gt;"",$J765&lt;&gt;"",$J765&lt;$I765),"★计费期间起止反了","OK")))))))</f>
        <v/>
      </c>
      <c r="U765" s="29" t="str">
        <f aca="false">IF($L765="","",YEAR($L765))</f>
        <v/>
      </c>
      <c r="V765" s="40" t="str">
        <f aca="false">IF($C765="","",ROUND(SUMIF(收款关联,$B765,收款金额),2))</f>
        <v/>
      </c>
      <c r="W765" s="40" t="str">
        <f aca="false">IF($C765="","",MAX(0,ROUND(N($K765)-N($V765),2)))</f>
        <v/>
      </c>
      <c r="X765" s="40" t="str">
        <f aca="false">IF($C765="","",ROUND(SUMIFS(应收净额,应收键,$D765,应收行号,"&lt;="&amp;ROW()),2))</f>
        <v/>
      </c>
      <c r="Y765" s="29" t="str">
        <f aca="false">IF($C765="","",ROW())</f>
        <v/>
      </c>
    </row>
    <row r="766" customFormat="false" ht="15" hidden="false" customHeight="false" outlineLevel="0" collapsed="false">
      <c r="A766" s="29" t="str">
        <f aca="false">IF($C766="","",ROW()-4)</f>
        <v/>
      </c>
      <c r="B766" s="35" t="str">
        <f aca="false">IF($C766="","","YS"&amp;TEXT($C766,"yyyymm")&amp;"-"&amp;TEXT(ROW()-4,"0000"))</f>
        <v/>
      </c>
      <c r="C766" s="33"/>
      <c r="D766" s="24"/>
      <c r="E766" s="30" t="str">
        <f aca="false">IF($D766="","",IFERROR(INDEX(合同单位,MATCH($D766,合同键,0)),IFERROR(TRIM(LEFT($D766,FIND("｜",$D766)-1)),$D766)))</f>
        <v/>
      </c>
      <c r="F766" s="30" t="str">
        <f aca="false">IF($D766="","",IFERROR(INDEX(合同项目,MATCH($D766,合同键,0)),IFERROR(TRIM(MID($D766,FIND("｜",$D766)+1,99)),"")))</f>
        <v/>
      </c>
      <c r="G766" s="24"/>
      <c r="H766" s="35" t="str">
        <f aca="false">IF($G766="","",IFERROR(INDEX(费用款别,MATCH($G766,费用类别表,0)),"合同外款"))</f>
        <v/>
      </c>
      <c r="I766" s="33"/>
      <c r="J766" s="33"/>
      <c r="K766" s="39"/>
      <c r="L766" s="33"/>
      <c r="M766" s="25"/>
      <c r="N766" s="39"/>
      <c r="O766" s="35" t="str">
        <f aca="false">IF($C766="","",IF(N($N766)&lt;=0,"未开票",IF(ROUND(N($N766)-N($K766),2)&gt;=0,"已开票",IFERROR("部分开票 "&amp;TEXT(N($N766)/N($K766),"0%"),"部分开票"))))</f>
        <v/>
      </c>
      <c r="P766" s="40" t="str">
        <f aca="false">IF($C766="","",ROUND($V766+MIN($W766,MAX(0,(SUMIF(收款键,$D766,收款金额)-SUMIFS(收款金额,收款键,$D766,收款关联,"&lt;&gt;"))-($X766-$W766))),2))</f>
        <v/>
      </c>
      <c r="Q766" s="41" t="str">
        <f aca="false">IF($C766="","",ROUND(N($K766)-N($P766),2))</f>
        <v/>
      </c>
      <c r="R766" s="29" t="str">
        <f aca="false">IF($C766="","",YEAR($C766))</f>
        <v/>
      </c>
      <c r="S766" s="24"/>
      <c r="T766" s="35" t="str">
        <f aca="false">IF($C766="","",IF($D766="","★没选客户项目",IF(COUNTIF(合同键,$D766)=0,"★《维保合同》里没这个项目",IF(N($K766)&lt;=0,"★应收金额要填",IF(ROUND(N($N766)-N($K766),2)&gt;0.001,"★开票金额大于应收",IF(AND($L766&lt;&gt;"",N($N766)&lt;=0),"★填了开票日期没填开票金额",IF(AND($I766&lt;&gt;"",$J766&lt;&gt;"",$J766&lt;$I766),"★计费期间起止反了","OK")))))))</f>
        <v/>
      </c>
      <c r="U766" s="29" t="str">
        <f aca="false">IF($L766="","",YEAR($L766))</f>
        <v/>
      </c>
      <c r="V766" s="40" t="str">
        <f aca="false">IF($C766="","",ROUND(SUMIF(收款关联,$B766,收款金额),2))</f>
        <v/>
      </c>
      <c r="W766" s="40" t="str">
        <f aca="false">IF($C766="","",MAX(0,ROUND(N($K766)-N($V766),2)))</f>
        <v/>
      </c>
      <c r="X766" s="40" t="str">
        <f aca="false">IF($C766="","",ROUND(SUMIFS(应收净额,应收键,$D766,应收行号,"&lt;="&amp;ROW()),2))</f>
        <v/>
      </c>
      <c r="Y766" s="29" t="str">
        <f aca="false">IF($C766="","",ROW())</f>
        <v/>
      </c>
    </row>
    <row r="767" customFormat="false" ht="15" hidden="false" customHeight="false" outlineLevel="0" collapsed="false">
      <c r="A767" s="29" t="str">
        <f aca="false">IF($C767="","",ROW()-4)</f>
        <v/>
      </c>
      <c r="B767" s="35" t="str">
        <f aca="false">IF($C767="","","YS"&amp;TEXT($C767,"yyyymm")&amp;"-"&amp;TEXT(ROW()-4,"0000"))</f>
        <v/>
      </c>
      <c r="C767" s="33"/>
      <c r="D767" s="24"/>
      <c r="E767" s="30" t="str">
        <f aca="false">IF($D767="","",IFERROR(INDEX(合同单位,MATCH($D767,合同键,0)),IFERROR(TRIM(LEFT($D767,FIND("｜",$D767)-1)),$D767)))</f>
        <v/>
      </c>
      <c r="F767" s="30" t="str">
        <f aca="false">IF($D767="","",IFERROR(INDEX(合同项目,MATCH($D767,合同键,0)),IFERROR(TRIM(MID($D767,FIND("｜",$D767)+1,99)),"")))</f>
        <v/>
      </c>
      <c r="G767" s="24"/>
      <c r="H767" s="35" t="str">
        <f aca="false">IF($G767="","",IFERROR(INDEX(费用款别,MATCH($G767,费用类别表,0)),"合同外款"))</f>
        <v/>
      </c>
      <c r="I767" s="33"/>
      <c r="J767" s="33"/>
      <c r="K767" s="39"/>
      <c r="L767" s="33"/>
      <c r="M767" s="25"/>
      <c r="N767" s="39"/>
      <c r="O767" s="35" t="str">
        <f aca="false">IF($C767="","",IF(N($N767)&lt;=0,"未开票",IF(ROUND(N($N767)-N($K767),2)&gt;=0,"已开票",IFERROR("部分开票 "&amp;TEXT(N($N767)/N($K767),"0%"),"部分开票"))))</f>
        <v/>
      </c>
      <c r="P767" s="40" t="str">
        <f aca="false">IF($C767="","",ROUND($V767+MIN($W767,MAX(0,(SUMIF(收款键,$D767,收款金额)-SUMIFS(收款金额,收款键,$D767,收款关联,"&lt;&gt;"))-($X767-$W767))),2))</f>
        <v/>
      </c>
      <c r="Q767" s="41" t="str">
        <f aca="false">IF($C767="","",ROUND(N($K767)-N($P767),2))</f>
        <v/>
      </c>
      <c r="R767" s="29" t="str">
        <f aca="false">IF($C767="","",YEAR($C767))</f>
        <v/>
      </c>
      <c r="S767" s="24"/>
      <c r="T767" s="35" t="str">
        <f aca="false">IF($C767="","",IF($D767="","★没选客户项目",IF(COUNTIF(合同键,$D767)=0,"★《维保合同》里没这个项目",IF(N($K767)&lt;=0,"★应收金额要填",IF(ROUND(N($N767)-N($K767),2)&gt;0.001,"★开票金额大于应收",IF(AND($L767&lt;&gt;"",N($N767)&lt;=0),"★填了开票日期没填开票金额",IF(AND($I767&lt;&gt;"",$J767&lt;&gt;"",$J767&lt;$I767),"★计费期间起止反了","OK")))))))</f>
        <v/>
      </c>
      <c r="U767" s="29" t="str">
        <f aca="false">IF($L767="","",YEAR($L767))</f>
        <v/>
      </c>
      <c r="V767" s="40" t="str">
        <f aca="false">IF($C767="","",ROUND(SUMIF(收款关联,$B767,收款金额),2))</f>
        <v/>
      </c>
      <c r="W767" s="40" t="str">
        <f aca="false">IF($C767="","",MAX(0,ROUND(N($K767)-N($V767),2)))</f>
        <v/>
      </c>
      <c r="X767" s="40" t="str">
        <f aca="false">IF($C767="","",ROUND(SUMIFS(应收净额,应收键,$D767,应收行号,"&lt;="&amp;ROW()),2))</f>
        <v/>
      </c>
      <c r="Y767" s="29" t="str">
        <f aca="false">IF($C767="","",ROW())</f>
        <v/>
      </c>
    </row>
    <row r="768" customFormat="false" ht="15" hidden="false" customHeight="false" outlineLevel="0" collapsed="false">
      <c r="A768" s="29" t="str">
        <f aca="false">IF($C768="","",ROW()-4)</f>
        <v/>
      </c>
      <c r="B768" s="35" t="str">
        <f aca="false">IF($C768="","","YS"&amp;TEXT($C768,"yyyymm")&amp;"-"&amp;TEXT(ROW()-4,"0000"))</f>
        <v/>
      </c>
      <c r="C768" s="33"/>
      <c r="D768" s="24"/>
      <c r="E768" s="30" t="str">
        <f aca="false">IF($D768="","",IFERROR(INDEX(合同单位,MATCH($D768,合同键,0)),IFERROR(TRIM(LEFT($D768,FIND("｜",$D768)-1)),$D768)))</f>
        <v/>
      </c>
      <c r="F768" s="30" t="str">
        <f aca="false">IF($D768="","",IFERROR(INDEX(合同项目,MATCH($D768,合同键,0)),IFERROR(TRIM(MID($D768,FIND("｜",$D768)+1,99)),"")))</f>
        <v/>
      </c>
      <c r="G768" s="24"/>
      <c r="H768" s="35" t="str">
        <f aca="false">IF($G768="","",IFERROR(INDEX(费用款别,MATCH($G768,费用类别表,0)),"合同外款"))</f>
        <v/>
      </c>
      <c r="I768" s="33"/>
      <c r="J768" s="33"/>
      <c r="K768" s="39"/>
      <c r="L768" s="33"/>
      <c r="M768" s="25"/>
      <c r="N768" s="39"/>
      <c r="O768" s="35" t="str">
        <f aca="false">IF($C768="","",IF(N($N768)&lt;=0,"未开票",IF(ROUND(N($N768)-N($K768),2)&gt;=0,"已开票",IFERROR("部分开票 "&amp;TEXT(N($N768)/N($K768),"0%"),"部分开票"))))</f>
        <v/>
      </c>
      <c r="P768" s="40" t="str">
        <f aca="false">IF($C768="","",ROUND($V768+MIN($W768,MAX(0,(SUMIF(收款键,$D768,收款金额)-SUMIFS(收款金额,收款键,$D768,收款关联,"&lt;&gt;"))-($X768-$W768))),2))</f>
        <v/>
      </c>
      <c r="Q768" s="41" t="str">
        <f aca="false">IF($C768="","",ROUND(N($K768)-N($P768),2))</f>
        <v/>
      </c>
      <c r="R768" s="29" t="str">
        <f aca="false">IF($C768="","",YEAR($C768))</f>
        <v/>
      </c>
      <c r="S768" s="24"/>
      <c r="T768" s="35" t="str">
        <f aca="false">IF($C768="","",IF($D768="","★没选客户项目",IF(COUNTIF(合同键,$D768)=0,"★《维保合同》里没这个项目",IF(N($K768)&lt;=0,"★应收金额要填",IF(ROUND(N($N768)-N($K768),2)&gt;0.001,"★开票金额大于应收",IF(AND($L768&lt;&gt;"",N($N768)&lt;=0),"★填了开票日期没填开票金额",IF(AND($I768&lt;&gt;"",$J768&lt;&gt;"",$J768&lt;$I768),"★计费期间起止反了","OK")))))))</f>
        <v/>
      </c>
      <c r="U768" s="29" t="str">
        <f aca="false">IF($L768="","",YEAR($L768))</f>
        <v/>
      </c>
      <c r="V768" s="40" t="str">
        <f aca="false">IF($C768="","",ROUND(SUMIF(收款关联,$B768,收款金额),2))</f>
        <v/>
      </c>
      <c r="W768" s="40" t="str">
        <f aca="false">IF($C768="","",MAX(0,ROUND(N($K768)-N($V768),2)))</f>
        <v/>
      </c>
      <c r="X768" s="40" t="str">
        <f aca="false">IF($C768="","",ROUND(SUMIFS(应收净额,应收键,$D768,应收行号,"&lt;="&amp;ROW()),2))</f>
        <v/>
      </c>
      <c r="Y768" s="29" t="str">
        <f aca="false">IF($C768="","",ROW())</f>
        <v/>
      </c>
    </row>
    <row r="769" customFormat="false" ht="15" hidden="false" customHeight="false" outlineLevel="0" collapsed="false">
      <c r="A769" s="29" t="str">
        <f aca="false">IF($C769="","",ROW()-4)</f>
        <v/>
      </c>
      <c r="B769" s="35" t="str">
        <f aca="false">IF($C769="","","YS"&amp;TEXT($C769,"yyyymm")&amp;"-"&amp;TEXT(ROW()-4,"0000"))</f>
        <v/>
      </c>
      <c r="C769" s="33"/>
      <c r="D769" s="24"/>
      <c r="E769" s="30" t="str">
        <f aca="false">IF($D769="","",IFERROR(INDEX(合同单位,MATCH($D769,合同键,0)),IFERROR(TRIM(LEFT($D769,FIND("｜",$D769)-1)),$D769)))</f>
        <v/>
      </c>
      <c r="F769" s="30" t="str">
        <f aca="false">IF($D769="","",IFERROR(INDEX(合同项目,MATCH($D769,合同键,0)),IFERROR(TRIM(MID($D769,FIND("｜",$D769)+1,99)),"")))</f>
        <v/>
      </c>
      <c r="G769" s="24"/>
      <c r="H769" s="35" t="str">
        <f aca="false">IF($G769="","",IFERROR(INDEX(费用款别,MATCH($G769,费用类别表,0)),"合同外款"))</f>
        <v/>
      </c>
      <c r="I769" s="33"/>
      <c r="J769" s="33"/>
      <c r="K769" s="39"/>
      <c r="L769" s="33"/>
      <c r="M769" s="25"/>
      <c r="N769" s="39"/>
      <c r="O769" s="35" t="str">
        <f aca="false">IF($C769="","",IF(N($N769)&lt;=0,"未开票",IF(ROUND(N($N769)-N($K769),2)&gt;=0,"已开票",IFERROR("部分开票 "&amp;TEXT(N($N769)/N($K769),"0%"),"部分开票"))))</f>
        <v/>
      </c>
      <c r="P769" s="40" t="str">
        <f aca="false">IF($C769="","",ROUND($V769+MIN($W769,MAX(0,(SUMIF(收款键,$D769,收款金额)-SUMIFS(收款金额,收款键,$D769,收款关联,"&lt;&gt;"))-($X769-$W769))),2))</f>
        <v/>
      </c>
      <c r="Q769" s="41" t="str">
        <f aca="false">IF($C769="","",ROUND(N($K769)-N($P769),2))</f>
        <v/>
      </c>
      <c r="R769" s="29" t="str">
        <f aca="false">IF($C769="","",YEAR($C769))</f>
        <v/>
      </c>
      <c r="S769" s="24"/>
      <c r="T769" s="35" t="str">
        <f aca="false">IF($C769="","",IF($D769="","★没选客户项目",IF(COUNTIF(合同键,$D769)=0,"★《维保合同》里没这个项目",IF(N($K769)&lt;=0,"★应收金额要填",IF(ROUND(N($N769)-N($K769),2)&gt;0.001,"★开票金额大于应收",IF(AND($L769&lt;&gt;"",N($N769)&lt;=0),"★填了开票日期没填开票金额",IF(AND($I769&lt;&gt;"",$J769&lt;&gt;"",$J769&lt;$I769),"★计费期间起止反了","OK")))))))</f>
        <v/>
      </c>
      <c r="U769" s="29" t="str">
        <f aca="false">IF($L769="","",YEAR($L769))</f>
        <v/>
      </c>
      <c r="V769" s="40" t="str">
        <f aca="false">IF($C769="","",ROUND(SUMIF(收款关联,$B769,收款金额),2))</f>
        <v/>
      </c>
      <c r="W769" s="40" t="str">
        <f aca="false">IF($C769="","",MAX(0,ROUND(N($K769)-N($V769),2)))</f>
        <v/>
      </c>
      <c r="X769" s="40" t="str">
        <f aca="false">IF($C769="","",ROUND(SUMIFS(应收净额,应收键,$D769,应收行号,"&lt;="&amp;ROW()),2))</f>
        <v/>
      </c>
      <c r="Y769" s="29" t="str">
        <f aca="false">IF($C769="","",ROW())</f>
        <v/>
      </c>
    </row>
    <row r="770" customFormat="false" ht="15" hidden="false" customHeight="false" outlineLevel="0" collapsed="false">
      <c r="A770" s="29" t="str">
        <f aca="false">IF($C770="","",ROW()-4)</f>
        <v/>
      </c>
      <c r="B770" s="35" t="str">
        <f aca="false">IF($C770="","","YS"&amp;TEXT($C770,"yyyymm")&amp;"-"&amp;TEXT(ROW()-4,"0000"))</f>
        <v/>
      </c>
      <c r="C770" s="33"/>
      <c r="D770" s="24"/>
      <c r="E770" s="30" t="str">
        <f aca="false">IF($D770="","",IFERROR(INDEX(合同单位,MATCH($D770,合同键,0)),IFERROR(TRIM(LEFT($D770,FIND("｜",$D770)-1)),$D770)))</f>
        <v/>
      </c>
      <c r="F770" s="30" t="str">
        <f aca="false">IF($D770="","",IFERROR(INDEX(合同项目,MATCH($D770,合同键,0)),IFERROR(TRIM(MID($D770,FIND("｜",$D770)+1,99)),"")))</f>
        <v/>
      </c>
      <c r="G770" s="24"/>
      <c r="H770" s="35" t="str">
        <f aca="false">IF($G770="","",IFERROR(INDEX(费用款别,MATCH($G770,费用类别表,0)),"合同外款"))</f>
        <v/>
      </c>
      <c r="I770" s="33"/>
      <c r="J770" s="33"/>
      <c r="K770" s="39"/>
      <c r="L770" s="33"/>
      <c r="M770" s="25"/>
      <c r="N770" s="39"/>
      <c r="O770" s="35" t="str">
        <f aca="false">IF($C770="","",IF(N($N770)&lt;=0,"未开票",IF(ROUND(N($N770)-N($K770),2)&gt;=0,"已开票",IFERROR("部分开票 "&amp;TEXT(N($N770)/N($K770),"0%"),"部分开票"))))</f>
        <v/>
      </c>
      <c r="P770" s="40" t="str">
        <f aca="false">IF($C770="","",ROUND($V770+MIN($W770,MAX(0,(SUMIF(收款键,$D770,收款金额)-SUMIFS(收款金额,收款键,$D770,收款关联,"&lt;&gt;"))-($X770-$W770))),2))</f>
        <v/>
      </c>
      <c r="Q770" s="41" t="str">
        <f aca="false">IF($C770="","",ROUND(N($K770)-N($P770),2))</f>
        <v/>
      </c>
      <c r="R770" s="29" t="str">
        <f aca="false">IF($C770="","",YEAR($C770))</f>
        <v/>
      </c>
      <c r="S770" s="24"/>
      <c r="T770" s="35" t="str">
        <f aca="false">IF($C770="","",IF($D770="","★没选客户项目",IF(COUNTIF(合同键,$D770)=0,"★《维保合同》里没这个项目",IF(N($K770)&lt;=0,"★应收金额要填",IF(ROUND(N($N770)-N($K770),2)&gt;0.001,"★开票金额大于应收",IF(AND($L770&lt;&gt;"",N($N770)&lt;=0),"★填了开票日期没填开票金额",IF(AND($I770&lt;&gt;"",$J770&lt;&gt;"",$J770&lt;$I770),"★计费期间起止反了","OK")))))))</f>
        <v/>
      </c>
      <c r="U770" s="29" t="str">
        <f aca="false">IF($L770="","",YEAR($L770))</f>
        <v/>
      </c>
      <c r="V770" s="40" t="str">
        <f aca="false">IF($C770="","",ROUND(SUMIF(收款关联,$B770,收款金额),2))</f>
        <v/>
      </c>
      <c r="W770" s="40" t="str">
        <f aca="false">IF($C770="","",MAX(0,ROUND(N($K770)-N($V770),2)))</f>
        <v/>
      </c>
      <c r="X770" s="40" t="str">
        <f aca="false">IF($C770="","",ROUND(SUMIFS(应收净额,应收键,$D770,应收行号,"&lt;="&amp;ROW()),2))</f>
        <v/>
      </c>
      <c r="Y770" s="29" t="str">
        <f aca="false">IF($C770="","",ROW())</f>
        <v/>
      </c>
    </row>
    <row r="771" customFormat="false" ht="15" hidden="false" customHeight="false" outlineLevel="0" collapsed="false">
      <c r="A771" s="29" t="str">
        <f aca="false">IF($C771="","",ROW()-4)</f>
        <v/>
      </c>
      <c r="B771" s="35" t="str">
        <f aca="false">IF($C771="","","YS"&amp;TEXT($C771,"yyyymm")&amp;"-"&amp;TEXT(ROW()-4,"0000"))</f>
        <v/>
      </c>
      <c r="C771" s="33"/>
      <c r="D771" s="24"/>
      <c r="E771" s="30" t="str">
        <f aca="false">IF($D771="","",IFERROR(INDEX(合同单位,MATCH($D771,合同键,0)),IFERROR(TRIM(LEFT($D771,FIND("｜",$D771)-1)),$D771)))</f>
        <v/>
      </c>
      <c r="F771" s="30" t="str">
        <f aca="false">IF($D771="","",IFERROR(INDEX(合同项目,MATCH($D771,合同键,0)),IFERROR(TRIM(MID($D771,FIND("｜",$D771)+1,99)),"")))</f>
        <v/>
      </c>
      <c r="G771" s="24"/>
      <c r="H771" s="35" t="str">
        <f aca="false">IF($G771="","",IFERROR(INDEX(费用款别,MATCH($G771,费用类别表,0)),"合同外款"))</f>
        <v/>
      </c>
      <c r="I771" s="33"/>
      <c r="J771" s="33"/>
      <c r="K771" s="39"/>
      <c r="L771" s="33"/>
      <c r="M771" s="25"/>
      <c r="N771" s="39"/>
      <c r="O771" s="35" t="str">
        <f aca="false">IF($C771="","",IF(N($N771)&lt;=0,"未开票",IF(ROUND(N($N771)-N($K771),2)&gt;=0,"已开票",IFERROR("部分开票 "&amp;TEXT(N($N771)/N($K771),"0%"),"部分开票"))))</f>
        <v/>
      </c>
      <c r="P771" s="40" t="str">
        <f aca="false">IF($C771="","",ROUND($V771+MIN($W771,MAX(0,(SUMIF(收款键,$D771,收款金额)-SUMIFS(收款金额,收款键,$D771,收款关联,"&lt;&gt;"))-($X771-$W771))),2))</f>
        <v/>
      </c>
      <c r="Q771" s="41" t="str">
        <f aca="false">IF($C771="","",ROUND(N($K771)-N($P771),2))</f>
        <v/>
      </c>
      <c r="R771" s="29" t="str">
        <f aca="false">IF($C771="","",YEAR($C771))</f>
        <v/>
      </c>
      <c r="S771" s="24"/>
      <c r="T771" s="35" t="str">
        <f aca="false">IF($C771="","",IF($D771="","★没选客户项目",IF(COUNTIF(合同键,$D771)=0,"★《维保合同》里没这个项目",IF(N($K771)&lt;=0,"★应收金额要填",IF(ROUND(N($N771)-N($K771),2)&gt;0.001,"★开票金额大于应收",IF(AND($L771&lt;&gt;"",N($N771)&lt;=0),"★填了开票日期没填开票金额",IF(AND($I771&lt;&gt;"",$J771&lt;&gt;"",$J771&lt;$I771),"★计费期间起止反了","OK")))))))</f>
        <v/>
      </c>
      <c r="U771" s="29" t="str">
        <f aca="false">IF($L771="","",YEAR($L771))</f>
        <v/>
      </c>
      <c r="V771" s="40" t="str">
        <f aca="false">IF($C771="","",ROUND(SUMIF(收款关联,$B771,收款金额),2))</f>
        <v/>
      </c>
      <c r="W771" s="40" t="str">
        <f aca="false">IF($C771="","",MAX(0,ROUND(N($K771)-N($V771),2)))</f>
        <v/>
      </c>
      <c r="X771" s="40" t="str">
        <f aca="false">IF($C771="","",ROUND(SUMIFS(应收净额,应收键,$D771,应收行号,"&lt;="&amp;ROW()),2))</f>
        <v/>
      </c>
      <c r="Y771" s="29" t="str">
        <f aca="false">IF($C771="","",ROW())</f>
        <v/>
      </c>
    </row>
    <row r="772" customFormat="false" ht="15" hidden="false" customHeight="false" outlineLevel="0" collapsed="false">
      <c r="A772" s="29" t="str">
        <f aca="false">IF($C772="","",ROW()-4)</f>
        <v/>
      </c>
      <c r="B772" s="35" t="str">
        <f aca="false">IF($C772="","","YS"&amp;TEXT($C772,"yyyymm")&amp;"-"&amp;TEXT(ROW()-4,"0000"))</f>
        <v/>
      </c>
      <c r="C772" s="33"/>
      <c r="D772" s="24"/>
      <c r="E772" s="30" t="str">
        <f aca="false">IF($D772="","",IFERROR(INDEX(合同单位,MATCH($D772,合同键,0)),IFERROR(TRIM(LEFT($D772,FIND("｜",$D772)-1)),$D772)))</f>
        <v/>
      </c>
      <c r="F772" s="30" t="str">
        <f aca="false">IF($D772="","",IFERROR(INDEX(合同项目,MATCH($D772,合同键,0)),IFERROR(TRIM(MID($D772,FIND("｜",$D772)+1,99)),"")))</f>
        <v/>
      </c>
      <c r="G772" s="24"/>
      <c r="H772" s="35" t="str">
        <f aca="false">IF($G772="","",IFERROR(INDEX(费用款别,MATCH($G772,费用类别表,0)),"合同外款"))</f>
        <v/>
      </c>
      <c r="I772" s="33"/>
      <c r="J772" s="33"/>
      <c r="K772" s="39"/>
      <c r="L772" s="33"/>
      <c r="M772" s="25"/>
      <c r="N772" s="39"/>
      <c r="O772" s="35" t="str">
        <f aca="false">IF($C772="","",IF(N($N772)&lt;=0,"未开票",IF(ROUND(N($N772)-N($K772),2)&gt;=0,"已开票",IFERROR("部分开票 "&amp;TEXT(N($N772)/N($K772),"0%"),"部分开票"))))</f>
        <v/>
      </c>
      <c r="P772" s="40" t="str">
        <f aca="false">IF($C772="","",ROUND($V772+MIN($W772,MAX(0,(SUMIF(收款键,$D772,收款金额)-SUMIFS(收款金额,收款键,$D772,收款关联,"&lt;&gt;"))-($X772-$W772))),2))</f>
        <v/>
      </c>
      <c r="Q772" s="41" t="str">
        <f aca="false">IF($C772="","",ROUND(N($K772)-N($P772),2))</f>
        <v/>
      </c>
      <c r="R772" s="29" t="str">
        <f aca="false">IF($C772="","",YEAR($C772))</f>
        <v/>
      </c>
      <c r="S772" s="24"/>
      <c r="T772" s="35" t="str">
        <f aca="false">IF($C772="","",IF($D772="","★没选客户项目",IF(COUNTIF(合同键,$D772)=0,"★《维保合同》里没这个项目",IF(N($K772)&lt;=0,"★应收金额要填",IF(ROUND(N($N772)-N($K772),2)&gt;0.001,"★开票金额大于应收",IF(AND($L772&lt;&gt;"",N($N772)&lt;=0),"★填了开票日期没填开票金额",IF(AND($I772&lt;&gt;"",$J772&lt;&gt;"",$J772&lt;$I772),"★计费期间起止反了","OK")))))))</f>
        <v/>
      </c>
      <c r="U772" s="29" t="str">
        <f aca="false">IF($L772="","",YEAR($L772))</f>
        <v/>
      </c>
      <c r="V772" s="40" t="str">
        <f aca="false">IF($C772="","",ROUND(SUMIF(收款关联,$B772,收款金额),2))</f>
        <v/>
      </c>
      <c r="W772" s="40" t="str">
        <f aca="false">IF($C772="","",MAX(0,ROUND(N($K772)-N($V772),2)))</f>
        <v/>
      </c>
      <c r="X772" s="40" t="str">
        <f aca="false">IF($C772="","",ROUND(SUMIFS(应收净额,应收键,$D772,应收行号,"&lt;="&amp;ROW()),2))</f>
        <v/>
      </c>
      <c r="Y772" s="29" t="str">
        <f aca="false">IF($C772="","",ROW())</f>
        <v/>
      </c>
    </row>
    <row r="773" customFormat="false" ht="15" hidden="false" customHeight="false" outlineLevel="0" collapsed="false">
      <c r="A773" s="29" t="str">
        <f aca="false">IF($C773="","",ROW()-4)</f>
        <v/>
      </c>
      <c r="B773" s="35" t="str">
        <f aca="false">IF($C773="","","YS"&amp;TEXT($C773,"yyyymm")&amp;"-"&amp;TEXT(ROW()-4,"0000"))</f>
        <v/>
      </c>
      <c r="C773" s="33"/>
      <c r="D773" s="24"/>
      <c r="E773" s="30" t="str">
        <f aca="false">IF($D773="","",IFERROR(INDEX(合同单位,MATCH($D773,合同键,0)),IFERROR(TRIM(LEFT($D773,FIND("｜",$D773)-1)),$D773)))</f>
        <v/>
      </c>
      <c r="F773" s="30" t="str">
        <f aca="false">IF($D773="","",IFERROR(INDEX(合同项目,MATCH($D773,合同键,0)),IFERROR(TRIM(MID($D773,FIND("｜",$D773)+1,99)),"")))</f>
        <v/>
      </c>
      <c r="G773" s="24"/>
      <c r="H773" s="35" t="str">
        <f aca="false">IF($G773="","",IFERROR(INDEX(费用款别,MATCH($G773,费用类别表,0)),"合同外款"))</f>
        <v/>
      </c>
      <c r="I773" s="33"/>
      <c r="J773" s="33"/>
      <c r="K773" s="39"/>
      <c r="L773" s="33"/>
      <c r="M773" s="25"/>
      <c r="N773" s="39"/>
      <c r="O773" s="35" t="str">
        <f aca="false">IF($C773="","",IF(N($N773)&lt;=0,"未开票",IF(ROUND(N($N773)-N($K773),2)&gt;=0,"已开票",IFERROR("部分开票 "&amp;TEXT(N($N773)/N($K773),"0%"),"部分开票"))))</f>
        <v/>
      </c>
      <c r="P773" s="40" t="str">
        <f aca="false">IF($C773="","",ROUND($V773+MIN($W773,MAX(0,(SUMIF(收款键,$D773,收款金额)-SUMIFS(收款金额,收款键,$D773,收款关联,"&lt;&gt;"))-($X773-$W773))),2))</f>
        <v/>
      </c>
      <c r="Q773" s="41" t="str">
        <f aca="false">IF($C773="","",ROUND(N($K773)-N($P773),2))</f>
        <v/>
      </c>
      <c r="R773" s="29" t="str">
        <f aca="false">IF($C773="","",YEAR($C773))</f>
        <v/>
      </c>
      <c r="S773" s="24"/>
      <c r="T773" s="35" t="str">
        <f aca="false">IF($C773="","",IF($D773="","★没选客户项目",IF(COUNTIF(合同键,$D773)=0,"★《维保合同》里没这个项目",IF(N($K773)&lt;=0,"★应收金额要填",IF(ROUND(N($N773)-N($K773),2)&gt;0.001,"★开票金额大于应收",IF(AND($L773&lt;&gt;"",N($N773)&lt;=0),"★填了开票日期没填开票金额",IF(AND($I773&lt;&gt;"",$J773&lt;&gt;"",$J773&lt;$I773),"★计费期间起止反了","OK")))))))</f>
        <v/>
      </c>
      <c r="U773" s="29" t="str">
        <f aca="false">IF($L773="","",YEAR($L773))</f>
        <v/>
      </c>
      <c r="V773" s="40" t="str">
        <f aca="false">IF($C773="","",ROUND(SUMIF(收款关联,$B773,收款金额),2))</f>
        <v/>
      </c>
      <c r="W773" s="40" t="str">
        <f aca="false">IF($C773="","",MAX(0,ROUND(N($K773)-N($V773),2)))</f>
        <v/>
      </c>
      <c r="X773" s="40" t="str">
        <f aca="false">IF($C773="","",ROUND(SUMIFS(应收净额,应收键,$D773,应收行号,"&lt;="&amp;ROW()),2))</f>
        <v/>
      </c>
      <c r="Y773" s="29" t="str">
        <f aca="false">IF($C773="","",ROW())</f>
        <v/>
      </c>
    </row>
    <row r="774" customFormat="false" ht="15" hidden="false" customHeight="false" outlineLevel="0" collapsed="false">
      <c r="A774" s="29" t="str">
        <f aca="false">IF($C774="","",ROW()-4)</f>
        <v/>
      </c>
      <c r="B774" s="35" t="str">
        <f aca="false">IF($C774="","","YS"&amp;TEXT($C774,"yyyymm")&amp;"-"&amp;TEXT(ROW()-4,"0000"))</f>
        <v/>
      </c>
      <c r="C774" s="33"/>
      <c r="D774" s="24"/>
      <c r="E774" s="30" t="str">
        <f aca="false">IF($D774="","",IFERROR(INDEX(合同单位,MATCH($D774,合同键,0)),IFERROR(TRIM(LEFT($D774,FIND("｜",$D774)-1)),$D774)))</f>
        <v/>
      </c>
      <c r="F774" s="30" t="str">
        <f aca="false">IF($D774="","",IFERROR(INDEX(合同项目,MATCH($D774,合同键,0)),IFERROR(TRIM(MID($D774,FIND("｜",$D774)+1,99)),"")))</f>
        <v/>
      </c>
      <c r="G774" s="24"/>
      <c r="H774" s="35" t="str">
        <f aca="false">IF($G774="","",IFERROR(INDEX(费用款别,MATCH($G774,费用类别表,0)),"合同外款"))</f>
        <v/>
      </c>
      <c r="I774" s="33"/>
      <c r="J774" s="33"/>
      <c r="K774" s="39"/>
      <c r="L774" s="33"/>
      <c r="M774" s="25"/>
      <c r="N774" s="39"/>
      <c r="O774" s="35" t="str">
        <f aca="false">IF($C774="","",IF(N($N774)&lt;=0,"未开票",IF(ROUND(N($N774)-N($K774),2)&gt;=0,"已开票",IFERROR("部分开票 "&amp;TEXT(N($N774)/N($K774),"0%"),"部分开票"))))</f>
        <v/>
      </c>
      <c r="P774" s="40" t="str">
        <f aca="false">IF($C774="","",ROUND($V774+MIN($W774,MAX(0,(SUMIF(收款键,$D774,收款金额)-SUMIFS(收款金额,收款键,$D774,收款关联,"&lt;&gt;"))-($X774-$W774))),2))</f>
        <v/>
      </c>
      <c r="Q774" s="41" t="str">
        <f aca="false">IF($C774="","",ROUND(N($K774)-N($P774),2))</f>
        <v/>
      </c>
      <c r="R774" s="29" t="str">
        <f aca="false">IF($C774="","",YEAR($C774))</f>
        <v/>
      </c>
      <c r="S774" s="24"/>
      <c r="T774" s="35" t="str">
        <f aca="false">IF($C774="","",IF($D774="","★没选客户项目",IF(COUNTIF(合同键,$D774)=0,"★《维保合同》里没这个项目",IF(N($K774)&lt;=0,"★应收金额要填",IF(ROUND(N($N774)-N($K774),2)&gt;0.001,"★开票金额大于应收",IF(AND($L774&lt;&gt;"",N($N774)&lt;=0),"★填了开票日期没填开票金额",IF(AND($I774&lt;&gt;"",$J774&lt;&gt;"",$J774&lt;$I774),"★计费期间起止反了","OK")))))))</f>
        <v/>
      </c>
      <c r="U774" s="29" t="str">
        <f aca="false">IF($L774="","",YEAR($L774))</f>
        <v/>
      </c>
      <c r="V774" s="40" t="str">
        <f aca="false">IF($C774="","",ROUND(SUMIF(收款关联,$B774,收款金额),2))</f>
        <v/>
      </c>
      <c r="W774" s="40" t="str">
        <f aca="false">IF($C774="","",MAX(0,ROUND(N($K774)-N($V774),2)))</f>
        <v/>
      </c>
      <c r="X774" s="40" t="str">
        <f aca="false">IF($C774="","",ROUND(SUMIFS(应收净额,应收键,$D774,应收行号,"&lt;="&amp;ROW()),2))</f>
        <v/>
      </c>
      <c r="Y774" s="29" t="str">
        <f aca="false">IF($C774="","",ROW())</f>
        <v/>
      </c>
    </row>
    <row r="775" customFormat="false" ht="15" hidden="false" customHeight="false" outlineLevel="0" collapsed="false">
      <c r="A775" s="29" t="str">
        <f aca="false">IF($C775="","",ROW()-4)</f>
        <v/>
      </c>
      <c r="B775" s="35" t="str">
        <f aca="false">IF($C775="","","YS"&amp;TEXT($C775,"yyyymm")&amp;"-"&amp;TEXT(ROW()-4,"0000"))</f>
        <v/>
      </c>
      <c r="C775" s="33"/>
      <c r="D775" s="24"/>
      <c r="E775" s="30" t="str">
        <f aca="false">IF($D775="","",IFERROR(INDEX(合同单位,MATCH($D775,合同键,0)),IFERROR(TRIM(LEFT($D775,FIND("｜",$D775)-1)),$D775)))</f>
        <v/>
      </c>
      <c r="F775" s="30" t="str">
        <f aca="false">IF($D775="","",IFERROR(INDEX(合同项目,MATCH($D775,合同键,0)),IFERROR(TRIM(MID($D775,FIND("｜",$D775)+1,99)),"")))</f>
        <v/>
      </c>
      <c r="G775" s="24"/>
      <c r="H775" s="35" t="str">
        <f aca="false">IF($G775="","",IFERROR(INDEX(费用款别,MATCH($G775,费用类别表,0)),"合同外款"))</f>
        <v/>
      </c>
      <c r="I775" s="33"/>
      <c r="J775" s="33"/>
      <c r="K775" s="39"/>
      <c r="L775" s="33"/>
      <c r="M775" s="25"/>
      <c r="N775" s="39"/>
      <c r="O775" s="35" t="str">
        <f aca="false">IF($C775="","",IF(N($N775)&lt;=0,"未开票",IF(ROUND(N($N775)-N($K775),2)&gt;=0,"已开票",IFERROR("部分开票 "&amp;TEXT(N($N775)/N($K775),"0%"),"部分开票"))))</f>
        <v/>
      </c>
      <c r="P775" s="40" t="str">
        <f aca="false">IF($C775="","",ROUND($V775+MIN($W775,MAX(0,(SUMIF(收款键,$D775,收款金额)-SUMIFS(收款金额,收款键,$D775,收款关联,"&lt;&gt;"))-($X775-$W775))),2))</f>
        <v/>
      </c>
      <c r="Q775" s="41" t="str">
        <f aca="false">IF($C775="","",ROUND(N($K775)-N($P775),2))</f>
        <v/>
      </c>
      <c r="R775" s="29" t="str">
        <f aca="false">IF($C775="","",YEAR($C775))</f>
        <v/>
      </c>
      <c r="S775" s="24"/>
      <c r="T775" s="35" t="str">
        <f aca="false">IF($C775="","",IF($D775="","★没选客户项目",IF(COUNTIF(合同键,$D775)=0,"★《维保合同》里没这个项目",IF(N($K775)&lt;=0,"★应收金额要填",IF(ROUND(N($N775)-N($K775),2)&gt;0.001,"★开票金额大于应收",IF(AND($L775&lt;&gt;"",N($N775)&lt;=0),"★填了开票日期没填开票金额",IF(AND($I775&lt;&gt;"",$J775&lt;&gt;"",$J775&lt;$I775),"★计费期间起止反了","OK")))))))</f>
        <v/>
      </c>
      <c r="U775" s="29" t="str">
        <f aca="false">IF($L775="","",YEAR($L775))</f>
        <v/>
      </c>
      <c r="V775" s="40" t="str">
        <f aca="false">IF($C775="","",ROUND(SUMIF(收款关联,$B775,收款金额),2))</f>
        <v/>
      </c>
      <c r="W775" s="40" t="str">
        <f aca="false">IF($C775="","",MAX(0,ROUND(N($K775)-N($V775),2)))</f>
        <v/>
      </c>
      <c r="X775" s="40" t="str">
        <f aca="false">IF($C775="","",ROUND(SUMIFS(应收净额,应收键,$D775,应收行号,"&lt;="&amp;ROW()),2))</f>
        <v/>
      </c>
      <c r="Y775" s="29" t="str">
        <f aca="false">IF($C775="","",ROW())</f>
        <v/>
      </c>
    </row>
    <row r="776" customFormat="false" ht="15" hidden="false" customHeight="false" outlineLevel="0" collapsed="false">
      <c r="A776" s="29" t="str">
        <f aca="false">IF($C776="","",ROW()-4)</f>
        <v/>
      </c>
      <c r="B776" s="35" t="str">
        <f aca="false">IF($C776="","","YS"&amp;TEXT($C776,"yyyymm")&amp;"-"&amp;TEXT(ROW()-4,"0000"))</f>
        <v/>
      </c>
      <c r="C776" s="33"/>
      <c r="D776" s="24"/>
      <c r="E776" s="30" t="str">
        <f aca="false">IF($D776="","",IFERROR(INDEX(合同单位,MATCH($D776,合同键,0)),IFERROR(TRIM(LEFT($D776,FIND("｜",$D776)-1)),$D776)))</f>
        <v/>
      </c>
      <c r="F776" s="30" t="str">
        <f aca="false">IF($D776="","",IFERROR(INDEX(合同项目,MATCH($D776,合同键,0)),IFERROR(TRIM(MID($D776,FIND("｜",$D776)+1,99)),"")))</f>
        <v/>
      </c>
      <c r="G776" s="24"/>
      <c r="H776" s="35" t="str">
        <f aca="false">IF($G776="","",IFERROR(INDEX(费用款别,MATCH($G776,费用类别表,0)),"合同外款"))</f>
        <v/>
      </c>
      <c r="I776" s="33"/>
      <c r="J776" s="33"/>
      <c r="K776" s="39"/>
      <c r="L776" s="33"/>
      <c r="M776" s="25"/>
      <c r="N776" s="39"/>
      <c r="O776" s="35" t="str">
        <f aca="false">IF($C776="","",IF(N($N776)&lt;=0,"未开票",IF(ROUND(N($N776)-N($K776),2)&gt;=0,"已开票",IFERROR("部分开票 "&amp;TEXT(N($N776)/N($K776),"0%"),"部分开票"))))</f>
        <v/>
      </c>
      <c r="P776" s="40" t="str">
        <f aca="false">IF($C776="","",ROUND($V776+MIN($W776,MAX(0,(SUMIF(收款键,$D776,收款金额)-SUMIFS(收款金额,收款键,$D776,收款关联,"&lt;&gt;"))-($X776-$W776))),2))</f>
        <v/>
      </c>
      <c r="Q776" s="41" t="str">
        <f aca="false">IF($C776="","",ROUND(N($K776)-N($P776),2))</f>
        <v/>
      </c>
      <c r="R776" s="29" t="str">
        <f aca="false">IF($C776="","",YEAR($C776))</f>
        <v/>
      </c>
      <c r="S776" s="24"/>
      <c r="T776" s="35" t="str">
        <f aca="false">IF($C776="","",IF($D776="","★没选客户项目",IF(COUNTIF(合同键,$D776)=0,"★《维保合同》里没这个项目",IF(N($K776)&lt;=0,"★应收金额要填",IF(ROUND(N($N776)-N($K776),2)&gt;0.001,"★开票金额大于应收",IF(AND($L776&lt;&gt;"",N($N776)&lt;=0),"★填了开票日期没填开票金额",IF(AND($I776&lt;&gt;"",$J776&lt;&gt;"",$J776&lt;$I776),"★计费期间起止反了","OK")))))))</f>
        <v/>
      </c>
      <c r="U776" s="29" t="str">
        <f aca="false">IF($L776="","",YEAR($L776))</f>
        <v/>
      </c>
      <c r="V776" s="40" t="str">
        <f aca="false">IF($C776="","",ROUND(SUMIF(收款关联,$B776,收款金额),2))</f>
        <v/>
      </c>
      <c r="W776" s="40" t="str">
        <f aca="false">IF($C776="","",MAX(0,ROUND(N($K776)-N($V776),2)))</f>
        <v/>
      </c>
      <c r="X776" s="40" t="str">
        <f aca="false">IF($C776="","",ROUND(SUMIFS(应收净额,应收键,$D776,应收行号,"&lt;="&amp;ROW()),2))</f>
        <v/>
      </c>
      <c r="Y776" s="29" t="str">
        <f aca="false">IF($C776="","",ROW())</f>
        <v/>
      </c>
    </row>
    <row r="777" customFormat="false" ht="15" hidden="false" customHeight="false" outlineLevel="0" collapsed="false">
      <c r="A777" s="29" t="str">
        <f aca="false">IF($C777="","",ROW()-4)</f>
        <v/>
      </c>
      <c r="B777" s="35" t="str">
        <f aca="false">IF($C777="","","YS"&amp;TEXT($C777,"yyyymm")&amp;"-"&amp;TEXT(ROW()-4,"0000"))</f>
        <v/>
      </c>
      <c r="C777" s="33"/>
      <c r="D777" s="24"/>
      <c r="E777" s="30" t="str">
        <f aca="false">IF($D777="","",IFERROR(INDEX(合同单位,MATCH($D777,合同键,0)),IFERROR(TRIM(LEFT($D777,FIND("｜",$D777)-1)),$D777)))</f>
        <v/>
      </c>
      <c r="F777" s="30" t="str">
        <f aca="false">IF($D777="","",IFERROR(INDEX(合同项目,MATCH($D777,合同键,0)),IFERROR(TRIM(MID($D777,FIND("｜",$D777)+1,99)),"")))</f>
        <v/>
      </c>
      <c r="G777" s="24"/>
      <c r="H777" s="35" t="str">
        <f aca="false">IF($G777="","",IFERROR(INDEX(费用款别,MATCH($G777,费用类别表,0)),"合同外款"))</f>
        <v/>
      </c>
      <c r="I777" s="33"/>
      <c r="J777" s="33"/>
      <c r="K777" s="39"/>
      <c r="L777" s="33"/>
      <c r="M777" s="25"/>
      <c r="N777" s="39"/>
      <c r="O777" s="35" t="str">
        <f aca="false">IF($C777="","",IF(N($N777)&lt;=0,"未开票",IF(ROUND(N($N777)-N($K777),2)&gt;=0,"已开票",IFERROR("部分开票 "&amp;TEXT(N($N777)/N($K777),"0%"),"部分开票"))))</f>
        <v/>
      </c>
      <c r="P777" s="40" t="str">
        <f aca="false">IF($C777="","",ROUND($V777+MIN($W777,MAX(0,(SUMIF(收款键,$D777,收款金额)-SUMIFS(收款金额,收款键,$D777,收款关联,"&lt;&gt;"))-($X777-$W777))),2))</f>
        <v/>
      </c>
      <c r="Q777" s="41" t="str">
        <f aca="false">IF($C777="","",ROUND(N($K777)-N($P777),2))</f>
        <v/>
      </c>
      <c r="R777" s="29" t="str">
        <f aca="false">IF($C777="","",YEAR($C777))</f>
        <v/>
      </c>
      <c r="S777" s="24"/>
      <c r="T777" s="35" t="str">
        <f aca="false">IF($C777="","",IF($D777="","★没选客户项目",IF(COUNTIF(合同键,$D777)=0,"★《维保合同》里没这个项目",IF(N($K777)&lt;=0,"★应收金额要填",IF(ROUND(N($N777)-N($K777),2)&gt;0.001,"★开票金额大于应收",IF(AND($L777&lt;&gt;"",N($N777)&lt;=0),"★填了开票日期没填开票金额",IF(AND($I777&lt;&gt;"",$J777&lt;&gt;"",$J777&lt;$I777),"★计费期间起止反了","OK")))))))</f>
        <v/>
      </c>
      <c r="U777" s="29" t="str">
        <f aca="false">IF($L777="","",YEAR($L777))</f>
        <v/>
      </c>
      <c r="V777" s="40" t="str">
        <f aca="false">IF($C777="","",ROUND(SUMIF(收款关联,$B777,收款金额),2))</f>
        <v/>
      </c>
      <c r="W777" s="40" t="str">
        <f aca="false">IF($C777="","",MAX(0,ROUND(N($K777)-N($V777),2)))</f>
        <v/>
      </c>
      <c r="X777" s="40" t="str">
        <f aca="false">IF($C777="","",ROUND(SUMIFS(应收净额,应收键,$D777,应收行号,"&lt;="&amp;ROW()),2))</f>
        <v/>
      </c>
      <c r="Y777" s="29" t="str">
        <f aca="false">IF($C777="","",ROW())</f>
        <v/>
      </c>
    </row>
    <row r="778" customFormat="false" ht="15" hidden="false" customHeight="false" outlineLevel="0" collapsed="false">
      <c r="A778" s="29" t="str">
        <f aca="false">IF($C778="","",ROW()-4)</f>
        <v/>
      </c>
      <c r="B778" s="35" t="str">
        <f aca="false">IF($C778="","","YS"&amp;TEXT($C778,"yyyymm")&amp;"-"&amp;TEXT(ROW()-4,"0000"))</f>
        <v/>
      </c>
      <c r="C778" s="33"/>
      <c r="D778" s="24"/>
      <c r="E778" s="30" t="str">
        <f aca="false">IF($D778="","",IFERROR(INDEX(合同单位,MATCH($D778,合同键,0)),IFERROR(TRIM(LEFT($D778,FIND("｜",$D778)-1)),$D778)))</f>
        <v/>
      </c>
      <c r="F778" s="30" t="str">
        <f aca="false">IF($D778="","",IFERROR(INDEX(合同项目,MATCH($D778,合同键,0)),IFERROR(TRIM(MID($D778,FIND("｜",$D778)+1,99)),"")))</f>
        <v/>
      </c>
      <c r="G778" s="24"/>
      <c r="H778" s="35" t="str">
        <f aca="false">IF($G778="","",IFERROR(INDEX(费用款别,MATCH($G778,费用类别表,0)),"合同外款"))</f>
        <v/>
      </c>
      <c r="I778" s="33"/>
      <c r="J778" s="33"/>
      <c r="K778" s="39"/>
      <c r="L778" s="33"/>
      <c r="M778" s="25"/>
      <c r="N778" s="39"/>
      <c r="O778" s="35" t="str">
        <f aca="false">IF($C778="","",IF(N($N778)&lt;=0,"未开票",IF(ROUND(N($N778)-N($K778),2)&gt;=0,"已开票",IFERROR("部分开票 "&amp;TEXT(N($N778)/N($K778),"0%"),"部分开票"))))</f>
        <v/>
      </c>
      <c r="P778" s="40" t="str">
        <f aca="false">IF($C778="","",ROUND($V778+MIN($W778,MAX(0,(SUMIF(收款键,$D778,收款金额)-SUMIFS(收款金额,收款键,$D778,收款关联,"&lt;&gt;"))-($X778-$W778))),2))</f>
        <v/>
      </c>
      <c r="Q778" s="41" t="str">
        <f aca="false">IF($C778="","",ROUND(N($K778)-N($P778),2))</f>
        <v/>
      </c>
      <c r="R778" s="29" t="str">
        <f aca="false">IF($C778="","",YEAR($C778))</f>
        <v/>
      </c>
      <c r="S778" s="24"/>
      <c r="T778" s="35" t="str">
        <f aca="false">IF($C778="","",IF($D778="","★没选客户项目",IF(COUNTIF(合同键,$D778)=0,"★《维保合同》里没这个项目",IF(N($K778)&lt;=0,"★应收金额要填",IF(ROUND(N($N778)-N($K778),2)&gt;0.001,"★开票金额大于应收",IF(AND($L778&lt;&gt;"",N($N778)&lt;=0),"★填了开票日期没填开票金额",IF(AND($I778&lt;&gt;"",$J778&lt;&gt;"",$J778&lt;$I778),"★计费期间起止反了","OK")))))))</f>
        <v/>
      </c>
      <c r="U778" s="29" t="str">
        <f aca="false">IF($L778="","",YEAR($L778))</f>
        <v/>
      </c>
      <c r="V778" s="40" t="str">
        <f aca="false">IF($C778="","",ROUND(SUMIF(收款关联,$B778,收款金额),2))</f>
        <v/>
      </c>
      <c r="W778" s="40" t="str">
        <f aca="false">IF($C778="","",MAX(0,ROUND(N($K778)-N($V778),2)))</f>
        <v/>
      </c>
      <c r="X778" s="40" t="str">
        <f aca="false">IF($C778="","",ROUND(SUMIFS(应收净额,应收键,$D778,应收行号,"&lt;="&amp;ROW()),2))</f>
        <v/>
      </c>
      <c r="Y778" s="29" t="str">
        <f aca="false">IF($C778="","",ROW())</f>
        <v/>
      </c>
    </row>
    <row r="779" customFormat="false" ht="15" hidden="false" customHeight="false" outlineLevel="0" collapsed="false">
      <c r="A779" s="29" t="str">
        <f aca="false">IF($C779="","",ROW()-4)</f>
        <v/>
      </c>
      <c r="B779" s="35" t="str">
        <f aca="false">IF($C779="","","YS"&amp;TEXT($C779,"yyyymm")&amp;"-"&amp;TEXT(ROW()-4,"0000"))</f>
        <v/>
      </c>
      <c r="C779" s="33"/>
      <c r="D779" s="24"/>
      <c r="E779" s="30" t="str">
        <f aca="false">IF($D779="","",IFERROR(INDEX(合同单位,MATCH($D779,合同键,0)),IFERROR(TRIM(LEFT($D779,FIND("｜",$D779)-1)),$D779)))</f>
        <v/>
      </c>
      <c r="F779" s="30" t="str">
        <f aca="false">IF($D779="","",IFERROR(INDEX(合同项目,MATCH($D779,合同键,0)),IFERROR(TRIM(MID($D779,FIND("｜",$D779)+1,99)),"")))</f>
        <v/>
      </c>
      <c r="G779" s="24"/>
      <c r="H779" s="35" t="str">
        <f aca="false">IF($G779="","",IFERROR(INDEX(费用款别,MATCH($G779,费用类别表,0)),"合同外款"))</f>
        <v/>
      </c>
      <c r="I779" s="33"/>
      <c r="J779" s="33"/>
      <c r="K779" s="39"/>
      <c r="L779" s="33"/>
      <c r="M779" s="25"/>
      <c r="N779" s="39"/>
      <c r="O779" s="35" t="str">
        <f aca="false">IF($C779="","",IF(N($N779)&lt;=0,"未开票",IF(ROUND(N($N779)-N($K779),2)&gt;=0,"已开票",IFERROR("部分开票 "&amp;TEXT(N($N779)/N($K779),"0%"),"部分开票"))))</f>
        <v/>
      </c>
      <c r="P779" s="40" t="str">
        <f aca="false">IF($C779="","",ROUND($V779+MIN($W779,MAX(0,(SUMIF(收款键,$D779,收款金额)-SUMIFS(收款金额,收款键,$D779,收款关联,"&lt;&gt;"))-($X779-$W779))),2))</f>
        <v/>
      </c>
      <c r="Q779" s="41" t="str">
        <f aca="false">IF($C779="","",ROUND(N($K779)-N($P779),2))</f>
        <v/>
      </c>
      <c r="R779" s="29" t="str">
        <f aca="false">IF($C779="","",YEAR($C779))</f>
        <v/>
      </c>
      <c r="S779" s="24"/>
      <c r="T779" s="35" t="str">
        <f aca="false">IF($C779="","",IF($D779="","★没选客户项目",IF(COUNTIF(合同键,$D779)=0,"★《维保合同》里没这个项目",IF(N($K779)&lt;=0,"★应收金额要填",IF(ROUND(N($N779)-N($K779),2)&gt;0.001,"★开票金额大于应收",IF(AND($L779&lt;&gt;"",N($N779)&lt;=0),"★填了开票日期没填开票金额",IF(AND($I779&lt;&gt;"",$J779&lt;&gt;"",$J779&lt;$I779),"★计费期间起止反了","OK")))))))</f>
        <v/>
      </c>
      <c r="U779" s="29" t="str">
        <f aca="false">IF($L779="","",YEAR($L779))</f>
        <v/>
      </c>
      <c r="V779" s="40" t="str">
        <f aca="false">IF($C779="","",ROUND(SUMIF(收款关联,$B779,收款金额),2))</f>
        <v/>
      </c>
      <c r="W779" s="40" t="str">
        <f aca="false">IF($C779="","",MAX(0,ROUND(N($K779)-N($V779),2)))</f>
        <v/>
      </c>
      <c r="X779" s="40" t="str">
        <f aca="false">IF($C779="","",ROUND(SUMIFS(应收净额,应收键,$D779,应收行号,"&lt;="&amp;ROW()),2))</f>
        <v/>
      </c>
      <c r="Y779" s="29" t="str">
        <f aca="false">IF($C779="","",ROW())</f>
        <v/>
      </c>
    </row>
    <row r="780" customFormat="false" ht="15" hidden="false" customHeight="false" outlineLevel="0" collapsed="false">
      <c r="A780" s="29" t="str">
        <f aca="false">IF($C780="","",ROW()-4)</f>
        <v/>
      </c>
      <c r="B780" s="35" t="str">
        <f aca="false">IF($C780="","","YS"&amp;TEXT($C780,"yyyymm")&amp;"-"&amp;TEXT(ROW()-4,"0000"))</f>
        <v/>
      </c>
      <c r="C780" s="33"/>
      <c r="D780" s="24"/>
      <c r="E780" s="30" t="str">
        <f aca="false">IF($D780="","",IFERROR(INDEX(合同单位,MATCH($D780,合同键,0)),IFERROR(TRIM(LEFT($D780,FIND("｜",$D780)-1)),$D780)))</f>
        <v/>
      </c>
      <c r="F780" s="30" t="str">
        <f aca="false">IF($D780="","",IFERROR(INDEX(合同项目,MATCH($D780,合同键,0)),IFERROR(TRIM(MID($D780,FIND("｜",$D780)+1,99)),"")))</f>
        <v/>
      </c>
      <c r="G780" s="24"/>
      <c r="H780" s="35" t="str">
        <f aca="false">IF($G780="","",IFERROR(INDEX(费用款别,MATCH($G780,费用类别表,0)),"合同外款"))</f>
        <v/>
      </c>
      <c r="I780" s="33"/>
      <c r="J780" s="33"/>
      <c r="K780" s="39"/>
      <c r="L780" s="33"/>
      <c r="M780" s="25"/>
      <c r="N780" s="39"/>
      <c r="O780" s="35" t="str">
        <f aca="false">IF($C780="","",IF(N($N780)&lt;=0,"未开票",IF(ROUND(N($N780)-N($K780),2)&gt;=0,"已开票",IFERROR("部分开票 "&amp;TEXT(N($N780)/N($K780),"0%"),"部分开票"))))</f>
        <v/>
      </c>
      <c r="P780" s="40" t="str">
        <f aca="false">IF($C780="","",ROUND($V780+MIN($W780,MAX(0,(SUMIF(收款键,$D780,收款金额)-SUMIFS(收款金额,收款键,$D780,收款关联,"&lt;&gt;"))-($X780-$W780))),2))</f>
        <v/>
      </c>
      <c r="Q780" s="41" t="str">
        <f aca="false">IF($C780="","",ROUND(N($K780)-N($P780),2))</f>
        <v/>
      </c>
      <c r="R780" s="29" t="str">
        <f aca="false">IF($C780="","",YEAR($C780))</f>
        <v/>
      </c>
      <c r="S780" s="24"/>
      <c r="T780" s="35" t="str">
        <f aca="false">IF($C780="","",IF($D780="","★没选客户项目",IF(COUNTIF(合同键,$D780)=0,"★《维保合同》里没这个项目",IF(N($K780)&lt;=0,"★应收金额要填",IF(ROUND(N($N780)-N($K780),2)&gt;0.001,"★开票金额大于应收",IF(AND($L780&lt;&gt;"",N($N780)&lt;=0),"★填了开票日期没填开票金额",IF(AND($I780&lt;&gt;"",$J780&lt;&gt;"",$J780&lt;$I780),"★计费期间起止反了","OK")))))))</f>
        <v/>
      </c>
      <c r="U780" s="29" t="str">
        <f aca="false">IF($L780="","",YEAR($L780))</f>
        <v/>
      </c>
      <c r="V780" s="40" t="str">
        <f aca="false">IF($C780="","",ROUND(SUMIF(收款关联,$B780,收款金额),2))</f>
        <v/>
      </c>
      <c r="W780" s="40" t="str">
        <f aca="false">IF($C780="","",MAX(0,ROUND(N($K780)-N($V780),2)))</f>
        <v/>
      </c>
      <c r="X780" s="40" t="str">
        <f aca="false">IF($C780="","",ROUND(SUMIFS(应收净额,应收键,$D780,应收行号,"&lt;="&amp;ROW()),2))</f>
        <v/>
      </c>
      <c r="Y780" s="29" t="str">
        <f aca="false">IF($C780="","",ROW())</f>
        <v/>
      </c>
    </row>
    <row r="781" customFormat="false" ht="15" hidden="false" customHeight="false" outlineLevel="0" collapsed="false">
      <c r="A781" s="29" t="str">
        <f aca="false">IF($C781="","",ROW()-4)</f>
        <v/>
      </c>
      <c r="B781" s="35" t="str">
        <f aca="false">IF($C781="","","YS"&amp;TEXT($C781,"yyyymm")&amp;"-"&amp;TEXT(ROW()-4,"0000"))</f>
        <v/>
      </c>
      <c r="C781" s="33"/>
      <c r="D781" s="24"/>
      <c r="E781" s="30" t="str">
        <f aca="false">IF($D781="","",IFERROR(INDEX(合同单位,MATCH($D781,合同键,0)),IFERROR(TRIM(LEFT($D781,FIND("｜",$D781)-1)),$D781)))</f>
        <v/>
      </c>
      <c r="F781" s="30" t="str">
        <f aca="false">IF($D781="","",IFERROR(INDEX(合同项目,MATCH($D781,合同键,0)),IFERROR(TRIM(MID($D781,FIND("｜",$D781)+1,99)),"")))</f>
        <v/>
      </c>
      <c r="G781" s="24"/>
      <c r="H781" s="35" t="str">
        <f aca="false">IF($G781="","",IFERROR(INDEX(费用款别,MATCH($G781,费用类别表,0)),"合同外款"))</f>
        <v/>
      </c>
      <c r="I781" s="33"/>
      <c r="J781" s="33"/>
      <c r="K781" s="39"/>
      <c r="L781" s="33"/>
      <c r="M781" s="25"/>
      <c r="N781" s="39"/>
      <c r="O781" s="35" t="str">
        <f aca="false">IF($C781="","",IF(N($N781)&lt;=0,"未开票",IF(ROUND(N($N781)-N($K781),2)&gt;=0,"已开票",IFERROR("部分开票 "&amp;TEXT(N($N781)/N($K781),"0%"),"部分开票"))))</f>
        <v/>
      </c>
      <c r="P781" s="40" t="str">
        <f aca="false">IF($C781="","",ROUND($V781+MIN($W781,MAX(0,(SUMIF(收款键,$D781,收款金额)-SUMIFS(收款金额,收款键,$D781,收款关联,"&lt;&gt;"))-($X781-$W781))),2))</f>
        <v/>
      </c>
      <c r="Q781" s="41" t="str">
        <f aca="false">IF($C781="","",ROUND(N($K781)-N($P781),2))</f>
        <v/>
      </c>
      <c r="R781" s="29" t="str">
        <f aca="false">IF($C781="","",YEAR($C781))</f>
        <v/>
      </c>
      <c r="S781" s="24"/>
      <c r="T781" s="35" t="str">
        <f aca="false">IF($C781="","",IF($D781="","★没选客户项目",IF(COUNTIF(合同键,$D781)=0,"★《维保合同》里没这个项目",IF(N($K781)&lt;=0,"★应收金额要填",IF(ROUND(N($N781)-N($K781),2)&gt;0.001,"★开票金额大于应收",IF(AND($L781&lt;&gt;"",N($N781)&lt;=0),"★填了开票日期没填开票金额",IF(AND($I781&lt;&gt;"",$J781&lt;&gt;"",$J781&lt;$I781),"★计费期间起止反了","OK")))))))</f>
        <v/>
      </c>
      <c r="U781" s="29" t="str">
        <f aca="false">IF($L781="","",YEAR($L781))</f>
        <v/>
      </c>
      <c r="V781" s="40" t="str">
        <f aca="false">IF($C781="","",ROUND(SUMIF(收款关联,$B781,收款金额),2))</f>
        <v/>
      </c>
      <c r="W781" s="40" t="str">
        <f aca="false">IF($C781="","",MAX(0,ROUND(N($K781)-N($V781),2)))</f>
        <v/>
      </c>
      <c r="X781" s="40" t="str">
        <f aca="false">IF($C781="","",ROUND(SUMIFS(应收净额,应收键,$D781,应收行号,"&lt;="&amp;ROW()),2))</f>
        <v/>
      </c>
      <c r="Y781" s="29" t="str">
        <f aca="false">IF($C781="","",ROW())</f>
        <v/>
      </c>
    </row>
    <row r="782" customFormat="false" ht="15" hidden="false" customHeight="false" outlineLevel="0" collapsed="false">
      <c r="A782" s="29" t="str">
        <f aca="false">IF($C782="","",ROW()-4)</f>
        <v/>
      </c>
      <c r="B782" s="35" t="str">
        <f aca="false">IF($C782="","","YS"&amp;TEXT($C782,"yyyymm")&amp;"-"&amp;TEXT(ROW()-4,"0000"))</f>
        <v/>
      </c>
      <c r="C782" s="33"/>
      <c r="D782" s="24"/>
      <c r="E782" s="30" t="str">
        <f aca="false">IF($D782="","",IFERROR(INDEX(合同单位,MATCH($D782,合同键,0)),IFERROR(TRIM(LEFT($D782,FIND("｜",$D782)-1)),$D782)))</f>
        <v/>
      </c>
      <c r="F782" s="30" t="str">
        <f aca="false">IF($D782="","",IFERROR(INDEX(合同项目,MATCH($D782,合同键,0)),IFERROR(TRIM(MID($D782,FIND("｜",$D782)+1,99)),"")))</f>
        <v/>
      </c>
      <c r="G782" s="24"/>
      <c r="H782" s="35" t="str">
        <f aca="false">IF($G782="","",IFERROR(INDEX(费用款别,MATCH($G782,费用类别表,0)),"合同外款"))</f>
        <v/>
      </c>
      <c r="I782" s="33"/>
      <c r="J782" s="33"/>
      <c r="K782" s="39"/>
      <c r="L782" s="33"/>
      <c r="M782" s="25"/>
      <c r="N782" s="39"/>
      <c r="O782" s="35" t="str">
        <f aca="false">IF($C782="","",IF(N($N782)&lt;=0,"未开票",IF(ROUND(N($N782)-N($K782),2)&gt;=0,"已开票",IFERROR("部分开票 "&amp;TEXT(N($N782)/N($K782),"0%"),"部分开票"))))</f>
        <v/>
      </c>
      <c r="P782" s="40" t="str">
        <f aca="false">IF($C782="","",ROUND($V782+MIN($W782,MAX(0,(SUMIF(收款键,$D782,收款金额)-SUMIFS(收款金额,收款键,$D782,收款关联,"&lt;&gt;"))-($X782-$W782))),2))</f>
        <v/>
      </c>
      <c r="Q782" s="41" t="str">
        <f aca="false">IF($C782="","",ROUND(N($K782)-N($P782),2))</f>
        <v/>
      </c>
      <c r="R782" s="29" t="str">
        <f aca="false">IF($C782="","",YEAR($C782))</f>
        <v/>
      </c>
      <c r="S782" s="24"/>
      <c r="T782" s="35" t="str">
        <f aca="false">IF($C782="","",IF($D782="","★没选客户项目",IF(COUNTIF(合同键,$D782)=0,"★《维保合同》里没这个项目",IF(N($K782)&lt;=0,"★应收金额要填",IF(ROUND(N($N782)-N($K782),2)&gt;0.001,"★开票金额大于应收",IF(AND($L782&lt;&gt;"",N($N782)&lt;=0),"★填了开票日期没填开票金额",IF(AND($I782&lt;&gt;"",$J782&lt;&gt;"",$J782&lt;$I782),"★计费期间起止反了","OK")))))))</f>
        <v/>
      </c>
      <c r="U782" s="29" t="str">
        <f aca="false">IF($L782="","",YEAR($L782))</f>
        <v/>
      </c>
      <c r="V782" s="40" t="str">
        <f aca="false">IF($C782="","",ROUND(SUMIF(收款关联,$B782,收款金额),2))</f>
        <v/>
      </c>
      <c r="W782" s="40" t="str">
        <f aca="false">IF($C782="","",MAX(0,ROUND(N($K782)-N($V782),2)))</f>
        <v/>
      </c>
      <c r="X782" s="40" t="str">
        <f aca="false">IF($C782="","",ROUND(SUMIFS(应收净额,应收键,$D782,应收行号,"&lt;="&amp;ROW()),2))</f>
        <v/>
      </c>
      <c r="Y782" s="29" t="str">
        <f aca="false">IF($C782="","",ROW())</f>
        <v/>
      </c>
    </row>
    <row r="783" customFormat="false" ht="15" hidden="false" customHeight="false" outlineLevel="0" collapsed="false">
      <c r="A783" s="29" t="str">
        <f aca="false">IF($C783="","",ROW()-4)</f>
        <v/>
      </c>
      <c r="B783" s="35" t="str">
        <f aca="false">IF($C783="","","YS"&amp;TEXT($C783,"yyyymm")&amp;"-"&amp;TEXT(ROW()-4,"0000"))</f>
        <v/>
      </c>
      <c r="C783" s="33"/>
      <c r="D783" s="24"/>
      <c r="E783" s="30" t="str">
        <f aca="false">IF($D783="","",IFERROR(INDEX(合同单位,MATCH($D783,合同键,0)),IFERROR(TRIM(LEFT($D783,FIND("｜",$D783)-1)),$D783)))</f>
        <v/>
      </c>
      <c r="F783" s="30" t="str">
        <f aca="false">IF($D783="","",IFERROR(INDEX(合同项目,MATCH($D783,合同键,0)),IFERROR(TRIM(MID($D783,FIND("｜",$D783)+1,99)),"")))</f>
        <v/>
      </c>
      <c r="G783" s="24"/>
      <c r="H783" s="35" t="str">
        <f aca="false">IF($G783="","",IFERROR(INDEX(费用款别,MATCH($G783,费用类别表,0)),"合同外款"))</f>
        <v/>
      </c>
      <c r="I783" s="33"/>
      <c r="J783" s="33"/>
      <c r="K783" s="39"/>
      <c r="L783" s="33"/>
      <c r="M783" s="25"/>
      <c r="N783" s="39"/>
      <c r="O783" s="35" t="str">
        <f aca="false">IF($C783="","",IF(N($N783)&lt;=0,"未开票",IF(ROUND(N($N783)-N($K783),2)&gt;=0,"已开票",IFERROR("部分开票 "&amp;TEXT(N($N783)/N($K783),"0%"),"部分开票"))))</f>
        <v/>
      </c>
      <c r="P783" s="40" t="str">
        <f aca="false">IF($C783="","",ROUND($V783+MIN($W783,MAX(0,(SUMIF(收款键,$D783,收款金额)-SUMIFS(收款金额,收款键,$D783,收款关联,"&lt;&gt;"))-($X783-$W783))),2))</f>
        <v/>
      </c>
      <c r="Q783" s="41" t="str">
        <f aca="false">IF($C783="","",ROUND(N($K783)-N($P783),2))</f>
        <v/>
      </c>
      <c r="R783" s="29" t="str">
        <f aca="false">IF($C783="","",YEAR($C783))</f>
        <v/>
      </c>
      <c r="S783" s="24"/>
      <c r="T783" s="35" t="str">
        <f aca="false">IF($C783="","",IF($D783="","★没选客户项目",IF(COUNTIF(合同键,$D783)=0,"★《维保合同》里没这个项目",IF(N($K783)&lt;=0,"★应收金额要填",IF(ROUND(N($N783)-N($K783),2)&gt;0.001,"★开票金额大于应收",IF(AND($L783&lt;&gt;"",N($N783)&lt;=0),"★填了开票日期没填开票金额",IF(AND($I783&lt;&gt;"",$J783&lt;&gt;"",$J783&lt;$I783),"★计费期间起止反了","OK")))))))</f>
        <v/>
      </c>
      <c r="U783" s="29" t="str">
        <f aca="false">IF($L783="","",YEAR($L783))</f>
        <v/>
      </c>
      <c r="V783" s="40" t="str">
        <f aca="false">IF($C783="","",ROUND(SUMIF(收款关联,$B783,收款金额),2))</f>
        <v/>
      </c>
      <c r="W783" s="40" t="str">
        <f aca="false">IF($C783="","",MAX(0,ROUND(N($K783)-N($V783),2)))</f>
        <v/>
      </c>
      <c r="X783" s="40" t="str">
        <f aca="false">IF($C783="","",ROUND(SUMIFS(应收净额,应收键,$D783,应收行号,"&lt;="&amp;ROW()),2))</f>
        <v/>
      </c>
      <c r="Y783" s="29" t="str">
        <f aca="false">IF($C783="","",ROW())</f>
        <v/>
      </c>
    </row>
    <row r="784" customFormat="false" ht="15" hidden="false" customHeight="false" outlineLevel="0" collapsed="false">
      <c r="A784" s="29" t="str">
        <f aca="false">IF($C784="","",ROW()-4)</f>
        <v/>
      </c>
      <c r="B784" s="35" t="str">
        <f aca="false">IF($C784="","","YS"&amp;TEXT($C784,"yyyymm")&amp;"-"&amp;TEXT(ROW()-4,"0000"))</f>
        <v/>
      </c>
      <c r="C784" s="33"/>
      <c r="D784" s="24"/>
      <c r="E784" s="30" t="str">
        <f aca="false">IF($D784="","",IFERROR(INDEX(合同单位,MATCH($D784,合同键,0)),IFERROR(TRIM(LEFT($D784,FIND("｜",$D784)-1)),$D784)))</f>
        <v/>
      </c>
      <c r="F784" s="30" t="str">
        <f aca="false">IF($D784="","",IFERROR(INDEX(合同项目,MATCH($D784,合同键,0)),IFERROR(TRIM(MID($D784,FIND("｜",$D784)+1,99)),"")))</f>
        <v/>
      </c>
      <c r="G784" s="24"/>
      <c r="H784" s="35" t="str">
        <f aca="false">IF($G784="","",IFERROR(INDEX(费用款别,MATCH($G784,费用类别表,0)),"合同外款"))</f>
        <v/>
      </c>
      <c r="I784" s="33"/>
      <c r="J784" s="33"/>
      <c r="K784" s="39"/>
      <c r="L784" s="33"/>
      <c r="M784" s="25"/>
      <c r="N784" s="39"/>
      <c r="O784" s="35" t="str">
        <f aca="false">IF($C784="","",IF(N($N784)&lt;=0,"未开票",IF(ROUND(N($N784)-N($K784),2)&gt;=0,"已开票",IFERROR("部分开票 "&amp;TEXT(N($N784)/N($K784),"0%"),"部分开票"))))</f>
        <v/>
      </c>
      <c r="P784" s="40" t="str">
        <f aca="false">IF($C784="","",ROUND($V784+MIN($W784,MAX(0,(SUMIF(收款键,$D784,收款金额)-SUMIFS(收款金额,收款键,$D784,收款关联,"&lt;&gt;"))-($X784-$W784))),2))</f>
        <v/>
      </c>
      <c r="Q784" s="41" t="str">
        <f aca="false">IF($C784="","",ROUND(N($K784)-N($P784),2))</f>
        <v/>
      </c>
      <c r="R784" s="29" t="str">
        <f aca="false">IF($C784="","",YEAR($C784))</f>
        <v/>
      </c>
      <c r="S784" s="24"/>
      <c r="T784" s="35" t="str">
        <f aca="false">IF($C784="","",IF($D784="","★没选客户项目",IF(COUNTIF(合同键,$D784)=0,"★《维保合同》里没这个项目",IF(N($K784)&lt;=0,"★应收金额要填",IF(ROUND(N($N784)-N($K784),2)&gt;0.001,"★开票金额大于应收",IF(AND($L784&lt;&gt;"",N($N784)&lt;=0),"★填了开票日期没填开票金额",IF(AND($I784&lt;&gt;"",$J784&lt;&gt;"",$J784&lt;$I784),"★计费期间起止反了","OK")))))))</f>
        <v/>
      </c>
      <c r="U784" s="29" t="str">
        <f aca="false">IF($L784="","",YEAR($L784))</f>
        <v/>
      </c>
      <c r="V784" s="40" t="str">
        <f aca="false">IF($C784="","",ROUND(SUMIF(收款关联,$B784,收款金额),2))</f>
        <v/>
      </c>
      <c r="W784" s="40" t="str">
        <f aca="false">IF($C784="","",MAX(0,ROUND(N($K784)-N($V784),2)))</f>
        <v/>
      </c>
      <c r="X784" s="40" t="str">
        <f aca="false">IF($C784="","",ROUND(SUMIFS(应收净额,应收键,$D784,应收行号,"&lt;="&amp;ROW()),2))</f>
        <v/>
      </c>
      <c r="Y784" s="29" t="str">
        <f aca="false">IF($C784="","",ROW())</f>
        <v/>
      </c>
    </row>
    <row r="785" customFormat="false" ht="15" hidden="false" customHeight="false" outlineLevel="0" collapsed="false">
      <c r="A785" s="29" t="str">
        <f aca="false">IF($C785="","",ROW()-4)</f>
        <v/>
      </c>
      <c r="B785" s="35" t="str">
        <f aca="false">IF($C785="","","YS"&amp;TEXT($C785,"yyyymm")&amp;"-"&amp;TEXT(ROW()-4,"0000"))</f>
        <v/>
      </c>
      <c r="C785" s="33"/>
      <c r="D785" s="24"/>
      <c r="E785" s="30" t="str">
        <f aca="false">IF($D785="","",IFERROR(INDEX(合同单位,MATCH($D785,合同键,0)),IFERROR(TRIM(LEFT($D785,FIND("｜",$D785)-1)),$D785)))</f>
        <v/>
      </c>
      <c r="F785" s="30" t="str">
        <f aca="false">IF($D785="","",IFERROR(INDEX(合同项目,MATCH($D785,合同键,0)),IFERROR(TRIM(MID($D785,FIND("｜",$D785)+1,99)),"")))</f>
        <v/>
      </c>
      <c r="G785" s="24"/>
      <c r="H785" s="35" t="str">
        <f aca="false">IF($G785="","",IFERROR(INDEX(费用款别,MATCH($G785,费用类别表,0)),"合同外款"))</f>
        <v/>
      </c>
      <c r="I785" s="33"/>
      <c r="J785" s="33"/>
      <c r="K785" s="39"/>
      <c r="L785" s="33"/>
      <c r="M785" s="25"/>
      <c r="N785" s="39"/>
      <c r="O785" s="35" t="str">
        <f aca="false">IF($C785="","",IF(N($N785)&lt;=0,"未开票",IF(ROUND(N($N785)-N($K785),2)&gt;=0,"已开票",IFERROR("部分开票 "&amp;TEXT(N($N785)/N($K785),"0%"),"部分开票"))))</f>
        <v/>
      </c>
      <c r="P785" s="40" t="str">
        <f aca="false">IF($C785="","",ROUND($V785+MIN($W785,MAX(0,(SUMIF(收款键,$D785,收款金额)-SUMIFS(收款金额,收款键,$D785,收款关联,"&lt;&gt;"))-($X785-$W785))),2))</f>
        <v/>
      </c>
      <c r="Q785" s="41" t="str">
        <f aca="false">IF($C785="","",ROUND(N($K785)-N($P785),2))</f>
        <v/>
      </c>
      <c r="R785" s="29" t="str">
        <f aca="false">IF($C785="","",YEAR($C785))</f>
        <v/>
      </c>
      <c r="S785" s="24"/>
      <c r="T785" s="35" t="str">
        <f aca="false">IF($C785="","",IF($D785="","★没选客户项目",IF(COUNTIF(合同键,$D785)=0,"★《维保合同》里没这个项目",IF(N($K785)&lt;=0,"★应收金额要填",IF(ROUND(N($N785)-N($K785),2)&gt;0.001,"★开票金额大于应收",IF(AND($L785&lt;&gt;"",N($N785)&lt;=0),"★填了开票日期没填开票金额",IF(AND($I785&lt;&gt;"",$J785&lt;&gt;"",$J785&lt;$I785),"★计费期间起止反了","OK")))))))</f>
        <v/>
      </c>
      <c r="U785" s="29" t="str">
        <f aca="false">IF($L785="","",YEAR($L785))</f>
        <v/>
      </c>
      <c r="V785" s="40" t="str">
        <f aca="false">IF($C785="","",ROUND(SUMIF(收款关联,$B785,收款金额),2))</f>
        <v/>
      </c>
      <c r="W785" s="40" t="str">
        <f aca="false">IF($C785="","",MAX(0,ROUND(N($K785)-N($V785),2)))</f>
        <v/>
      </c>
      <c r="X785" s="40" t="str">
        <f aca="false">IF($C785="","",ROUND(SUMIFS(应收净额,应收键,$D785,应收行号,"&lt;="&amp;ROW()),2))</f>
        <v/>
      </c>
      <c r="Y785" s="29" t="str">
        <f aca="false">IF($C785="","",ROW())</f>
        <v/>
      </c>
    </row>
    <row r="786" customFormat="false" ht="15" hidden="false" customHeight="false" outlineLevel="0" collapsed="false">
      <c r="A786" s="29" t="str">
        <f aca="false">IF($C786="","",ROW()-4)</f>
        <v/>
      </c>
      <c r="B786" s="35" t="str">
        <f aca="false">IF($C786="","","YS"&amp;TEXT($C786,"yyyymm")&amp;"-"&amp;TEXT(ROW()-4,"0000"))</f>
        <v/>
      </c>
      <c r="C786" s="33"/>
      <c r="D786" s="24"/>
      <c r="E786" s="30" t="str">
        <f aca="false">IF($D786="","",IFERROR(INDEX(合同单位,MATCH($D786,合同键,0)),IFERROR(TRIM(LEFT($D786,FIND("｜",$D786)-1)),$D786)))</f>
        <v/>
      </c>
      <c r="F786" s="30" t="str">
        <f aca="false">IF($D786="","",IFERROR(INDEX(合同项目,MATCH($D786,合同键,0)),IFERROR(TRIM(MID($D786,FIND("｜",$D786)+1,99)),"")))</f>
        <v/>
      </c>
      <c r="G786" s="24"/>
      <c r="H786" s="35" t="str">
        <f aca="false">IF($G786="","",IFERROR(INDEX(费用款别,MATCH($G786,费用类别表,0)),"合同外款"))</f>
        <v/>
      </c>
      <c r="I786" s="33"/>
      <c r="J786" s="33"/>
      <c r="K786" s="39"/>
      <c r="L786" s="33"/>
      <c r="M786" s="25"/>
      <c r="N786" s="39"/>
      <c r="O786" s="35" t="str">
        <f aca="false">IF($C786="","",IF(N($N786)&lt;=0,"未开票",IF(ROUND(N($N786)-N($K786),2)&gt;=0,"已开票",IFERROR("部分开票 "&amp;TEXT(N($N786)/N($K786),"0%"),"部分开票"))))</f>
        <v/>
      </c>
      <c r="P786" s="40" t="str">
        <f aca="false">IF($C786="","",ROUND($V786+MIN($W786,MAX(0,(SUMIF(收款键,$D786,收款金额)-SUMIFS(收款金额,收款键,$D786,收款关联,"&lt;&gt;"))-($X786-$W786))),2))</f>
        <v/>
      </c>
      <c r="Q786" s="41" t="str">
        <f aca="false">IF($C786="","",ROUND(N($K786)-N($P786),2))</f>
        <v/>
      </c>
      <c r="R786" s="29" t="str">
        <f aca="false">IF($C786="","",YEAR($C786))</f>
        <v/>
      </c>
      <c r="S786" s="24"/>
      <c r="T786" s="35" t="str">
        <f aca="false">IF($C786="","",IF($D786="","★没选客户项目",IF(COUNTIF(合同键,$D786)=0,"★《维保合同》里没这个项目",IF(N($K786)&lt;=0,"★应收金额要填",IF(ROUND(N($N786)-N($K786),2)&gt;0.001,"★开票金额大于应收",IF(AND($L786&lt;&gt;"",N($N786)&lt;=0),"★填了开票日期没填开票金额",IF(AND($I786&lt;&gt;"",$J786&lt;&gt;"",$J786&lt;$I786),"★计费期间起止反了","OK")))))))</f>
        <v/>
      </c>
      <c r="U786" s="29" t="str">
        <f aca="false">IF($L786="","",YEAR($L786))</f>
        <v/>
      </c>
      <c r="V786" s="40" t="str">
        <f aca="false">IF($C786="","",ROUND(SUMIF(收款关联,$B786,收款金额),2))</f>
        <v/>
      </c>
      <c r="W786" s="40" t="str">
        <f aca="false">IF($C786="","",MAX(0,ROUND(N($K786)-N($V786),2)))</f>
        <v/>
      </c>
      <c r="X786" s="40" t="str">
        <f aca="false">IF($C786="","",ROUND(SUMIFS(应收净额,应收键,$D786,应收行号,"&lt;="&amp;ROW()),2))</f>
        <v/>
      </c>
      <c r="Y786" s="29" t="str">
        <f aca="false">IF($C786="","",ROW())</f>
        <v/>
      </c>
    </row>
    <row r="787" customFormat="false" ht="15" hidden="false" customHeight="false" outlineLevel="0" collapsed="false">
      <c r="A787" s="29" t="str">
        <f aca="false">IF($C787="","",ROW()-4)</f>
        <v/>
      </c>
      <c r="B787" s="35" t="str">
        <f aca="false">IF($C787="","","YS"&amp;TEXT($C787,"yyyymm")&amp;"-"&amp;TEXT(ROW()-4,"0000"))</f>
        <v/>
      </c>
      <c r="C787" s="33"/>
      <c r="D787" s="24"/>
      <c r="E787" s="30" t="str">
        <f aca="false">IF($D787="","",IFERROR(INDEX(合同单位,MATCH($D787,合同键,0)),IFERROR(TRIM(LEFT($D787,FIND("｜",$D787)-1)),$D787)))</f>
        <v/>
      </c>
      <c r="F787" s="30" t="str">
        <f aca="false">IF($D787="","",IFERROR(INDEX(合同项目,MATCH($D787,合同键,0)),IFERROR(TRIM(MID($D787,FIND("｜",$D787)+1,99)),"")))</f>
        <v/>
      </c>
      <c r="G787" s="24"/>
      <c r="H787" s="35" t="str">
        <f aca="false">IF($G787="","",IFERROR(INDEX(费用款别,MATCH($G787,费用类别表,0)),"合同外款"))</f>
        <v/>
      </c>
      <c r="I787" s="33"/>
      <c r="J787" s="33"/>
      <c r="K787" s="39"/>
      <c r="L787" s="33"/>
      <c r="M787" s="25"/>
      <c r="N787" s="39"/>
      <c r="O787" s="35" t="str">
        <f aca="false">IF($C787="","",IF(N($N787)&lt;=0,"未开票",IF(ROUND(N($N787)-N($K787),2)&gt;=0,"已开票",IFERROR("部分开票 "&amp;TEXT(N($N787)/N($K787),"0%"),"部分开票"))))</f>
        <v/>
      </c>
      <c r="P787" s="40" t="str">
        <f aca="false">IF($C787="","",ROUND($V787+MIN($W787,MAX(0,(SUMIF(收款键,$D787,收款金额)-SUMIFS(收款金额,收款键,$D787,收款关联,"&lt;&gt;"))-($X787-$W787))),2))</f>
        <v/>
      </c>
      <c r="Q787" s="41" t="str">
        <f aca="false">IF($C787="","",ROUND(N($K787)-N($P787),2))</f>
        <v/>
      </c>
      <c r="R787" s="29" t="str">
        <f aca="false">IF($C787="","",YEAR($C787))</f>
        <v/>
      </c>
      <c r="S787" s="24"/>
      <c r="T787" s="35" t="str">
        <f aca="false">IF($C787="","",IF($D787="","★没选客户项目",IF(COUNTIF(合同键,$D787)=0,"★《维保合同》里没这个项目",IF(N($K787)&lt;=0,"★应收金额要填",IF(ROUND(N($N787)-N($K787),2)&gt;0.001,"★开票金额大于应收",IF(AND($L787&lt;&gt;"",N($N787)&lt;=0),"★填了开票日期没填开票金额",IF(AND($I787&lt;&gt;"",$J787&lt;&gt;"",$J787&lt;$I787),"★计费期间起止反了","OK")))))))</f>
        <v/>
      </c>
      <c r="U787" s="29" t="str">
        <f aca="false">IF($L787="","",YEAR($L787))</f>
        <v/>
      </c>
      <c r="V787" s="40" t="str">
        <f aca="false">IF($C787="","",ROUND(SUMIF(收款关联,$B787,收款金额),2))</f>
        <v/>
      </c>
      <c r="W787" s="40" t="str">
        <f aca="false">IF($C787="","",MAX(0,ROUND(N($K787)-N($V787),2)))</f>
        <v/>
      </c>
      <c r="X787" s="40" t="str">
        <f aca="false">IF($C787="","",ROUND(SUMIFS(应收净额,应收键,$D787,应收行号,"&lt;="&amp;ROW()),2))</f>
        <v/>
      </c>
      <c r="Y787" s="29" t="str">
        <f aca="false">IF($C787="","",ROW())</f>
        <v/>
      </c>
    </row>
    <row r="788" customFormat="false" ht="15" hidden="false" customHeight="false" outlineLevel="0" collapsed="false">
      <c r="A788" s="29" t="str">
        <f aca="false">IF($C788="","",ROW()-4)</f>
        <v/>
      </c>
      <c r="B788" s="35" t="str">
        <f aca="false">IF($C788="","","YS"&amp;TEXT($C788,"yyyymm")&amp;"-"&amp;TEXT(ROW()-4,"0000"))</f>
        <v/>
      </c>
      <c r="C788" s="33"/>
      <c r="D788" s="24"/>
      <c r="E788" s="30" t="str">
        <f aca="false">IF($D788="","",IFERROR(INDEX(合同单位,MATCH($D788,合同键,0)),IFERROR(TRIM(LEFT($D788,FIND("｜",$D788)-1)),$D788)))</f>
        <v/>
      </c>
      <c r="F788" s="30" t="str">
        <f aca="false">IF($D788="","",IFERROR(INDEX(合同项目,MATCH($D788,合同键,0)),IFERROR(TRIM(MID($D788,FIND("｜",$D788)+1,99)),"")))</f>
        <v/>
      </c>
      <c r="G788" s="24"/>
      <c r="H788" s="35" t="str">
        <f aca="false">IF($G788="","",IFERROR(INDEX(费用款别,MATCH($G788,费用类别表,0)),"合同外款"))</f>
        <v/>
      </c>
      <c r="I788" s="33"/>
      <c r="J788" s="33"/>
      <c r="K788" s="39"/>
      <c r="L788" s="33"/>
      <c r="M788" s="25"/>
      <c r="N788" s="39"/>
      <c r="O788" s="35" t="str">
        <f aca="false">IF($C788="","",IF(N($N788)&lt;=0,"未开票",IF(ROUND(N($N788)-N($K788),2)&gt;=0,"已开票",IFERROR("部分开票 "&amp;TEXT(N($N788)/N($K788),"0%"),"部分开票"))))</f>
        <v/>
      </c>
      <c r="P788" s="40" t="str">
        <f aca="false">IF($C788="","",ROUND($V788+MIN($W788,MAX(0,(SUMIF(收款键,$D788,收款金额)-SUMIFS(收款金额,收款键,$D788,收款关联,"&lt;&gt;"))-($X788-$W788))),2))</f>
        <v/>
      </c>
      <c r="Q788" s="41" t="str">
        <f aca="false">IF($C788="","",ROUND(N($K788)-N($P788),2))</f>
        <v/>
      </c>
      <c r="R788" s="29" t="str">
        <f aca="false">IF($C788="","",YEAR($C788))</f>
        <v/>
      </c>
      <c r="S788" s="24"/>
      <c r="T788" s="35" t="str">
        <f aca="false">IF($C788="","",IF($D788="","★没选客户项目",IF(COUNTIF(合同键,$D788)=0,"★《维保合同》里没这个项目",IF(N($K788)&lt;=0,"★应收金额要填",IF(ROUND(N($N788)-N($K788),2)&gt;0.001,"★开票金额大于应收",IF(AND($L788&lt;&gt;"",N($N788)&lt;=0),"★填了开票日期没填开票金额",IF(AND($I788&lt;&gt;"",$J788&lt;&gt;"",$J788&lt;$I788),"★计费期间起止反了","OK")))))))</f>
        <v/>
      </c>
      <c r="U788" s="29" t="str">
        <f aca="false">IF($L788="","",YEAR($L788))</f>
        <v/>
      </c>
      <c r="V788" s="40" t="str">
        <f aca="false">IF($C788="","",ROUND(SUMIF(收款关联,$B788,收款金额),2))</f>
        <v/>
      </c>
      <c r="W788" s="40" t="str">
        <f aca="false">IF($C788="","",MAX(0,ROUND(N($K788)-N($V788),2)))</f>
        <v/>
      </c>
      <c r="X788" s="40" t="str">
        <f aca="false">IF($C788="","",ROUND(SUMIFS(应收净额,应收键,$D788,应收行号,"&lt;="&amp;ROW()),2))</f>
        <v/>
      </c>
      <c r="Y788" s="29" t="str">
        <f aca="false">IF($C788="","",ROW())</f>
        <v/>
      </c>
    </row>
    <row r="789" customFormat="false" ht="15" hidden="false" customHeight="false" outlineLevel="0" collapsed="false">
      <c r="A789" s="29" t="str">
        <f aca="false">IF($C789="","",ROW()-4)</f>
        <v/>
      </c>
      <c r="B789" s="35" t="str">
        <f aca="false">IF($C789="","","YS"&amp;TEXT($C789,"yyyymm")&amp;"-"&amp;TEXT(ROW()-4,"0000"))</f>
        <v/>
      </c>
      <c r="C789" s="33"/>
      <c r="D789" s="24"/>
      <c r="E789" s="30" t="str">
        <f aca="false">IF($D789="","",IFERROR(INDEX(合同单位,MATCH($D789,合同键,0)),IFERROR(TRIM(LEFT($D789,FIND("｜",$D789)-1)),$D789)))</f>
        <v/>
      </c>
      <c r="F789" s="30" t="str">
        <f aca="false">IF($D789="","",IFERROR(INDEX(合同项目,MATCH($D789,合同键,0)),IFERROR(TRIM(MID($D789,FIND("｜",$D789)+1,99)),"")))</f>
        <v/>
      </c>
      <c r="G789" s="24"/>
      <c r="H789" s="35" t="str">
        <f aca="false">IF($G789="","",IFERROR(INDEX(费用款别,MATCH($G789,费用类别表,0)),"合同外款"))</f>
        <v/>
      </c>
      <c r="I789" s="33"/>
      <c r="J789" s="33"/>
      <c r="K789" s="39"/>
      <c r="L789" s="33"/>
      <c r="M789" s="25"/>
      <c r="N789" s="39"/>
      <c r="O789" s="35" t="str">
        <f aca="false">IF($C789="","",IF(N($N789)&lt;=0,"未开票",IF(ROUND(N($N789)-N($K789),2)&gt;=0,"已开票",IFERROR("部分开票 "&amp;TEXT(N($N789)/N($K789),"0%"),"部分开票"))))</f>
        <v/>
      </c>
      <c r="P789" s="40" t="str">
        <f aca="false">IF($C789="","",ROUND($V789+MIN($W789,MAX(0,(SUMIF(收款键,$D789,收款金额)-SUMIFS(收款金额,收款键,$D789,收款关联,"&lt;&gt;"))-($X789-$W789))),2))</f>
        <v/>
      </c>
      <c r="Q789" s="41" t="str">
        <f aca="false">IF($C789="","",ROUND(N($K789)-N($P789),2))</f>
        <v/>
      </c>
      <c r="R789" s="29" t="str">
        <f aca="false">IF($C789="","",YEAR($C789))</f>
        <v/>
      </c>
      <c r="S789" s="24"/>
      <c r="T789" s="35" t="str">
        <f aca="false">IF($C789="","",IF($D789="","★没选客户项目",IF(COUNTIF(合同键,$D789)=0,"★《维保合同》里没这个项目",IF(N($K789)&lt;=0,"★应收金额要填",IF(ROUND(N($N789)-N($K789),2)&gt;0.001,"★开票金额大于应收",IF(AND($L789&lt;&gt;"",N($N789)&lt;=0),"★填了开票日期没填开票金额",IF(AND($I789&lt;&gt;"",$J789&lt;&gt;"",$J789&lt;$I789),"★计费期间起止反了","OK")))))))</f>
        <v/>
      </c>
      <c r="U789" s="29" t="str">
        <f aca="false">IF($L789="","",YEAR($L789))</f>
        <v/>
      </c>
      <c r="V789" s="40" t="str">
        <f aca="false">IF($C789="","",ROUND(SUMIF(收款关联,$B789,收款金额),2))</f>
        <v/>
      </c>
      <c r="W789" s="40" t="str">
        <f aca="false">IF($C789="","",MAX(0,ROUND(N($K789)-N($V789),2)))</f>
        <v/>
      </c>
      <c r="X789" s="40" t="str">
        <f aca="false">IF($C789="","",ROUND(SUMIFS(应收净额,应收键,$D789,应收行号,"&lt;="&amp;ROW()),2))</f>
        <v/>
      </c>
      <c r="Y789" s="29" t="str">
        <f aca="false">IF($C789="","",ROW())</f>
        <v/>
      </c>
    </row>
    <row r="790" customFormat="false" ht="15" hidden="false" customHeight="false" outlineLevel="0" collapsed="false">
      <c r="A790" s="29" t="str">
        <f aca="false">IF($C790="","",ROW()-4)</f>
        <v/>
      </c>
      <c r="B790" s="35" t="str">
        <f aca="false">IF($C790="","","YS"&amp;TEXT($C790,"yyyymm")&amp;"-"&amp;TEXT(ROW()-4,"0000"))</f>
        <v/>
      </c>
      <c r="C790" s="33"/>
      <c r="D790" s="24"/>
      <c r="E790" s="30" t="str">
        <f aca="false">IF($D790="","",IFERROR(INDEX(合同单位,MATCH($D790,合同键,0)),IFERROR(TRIM(LEFT($D790,FIND("｜",$D790)-1)),$D790)))</f>
        <v/>
      </c>
      <c r="F790" s="30" t="str">
        <f aca="false">IF($D790="","",IFERROR(INDEX(合同项目,MATCH($D790,合同键,0)),IFERROR(TRIM(MID($D790,FIND("｜",$D790)+1,99)),"")))</f>
        <v/>
      </c>
      <c r="G790" s="24"/>
      <c r="H790" s="35" t="str">
        <f aca="false">IF($G790="","",IFERROR(INDEX(费用款别,MATCH($G790,费用类别表,0)),"合同外款"))</f>
        <v/>
      </c>
      <c r="I790" s="33"/>
      <c r="J790" s="33"/>
      <c r="K790" s="39"/>
      <c r="L790" s="33"/>
      <c r="M790" s="25"/>
      <c r="N790" s="39"/>
      <c r="O790" s="35" t="str">
        <f aca="false">IF($C790="","",IF(N($N790)&lt;=0,"未开票",IF(ROUND(N($N790)-N($K790),2)&gt;=0,"已开票",IFERROR("部分开票 "&amp;TEXT(N($N790)/N($K790),"0%"),"部分开票"))))</f>
        <v/>
      </c>
      <c r="P790" s="40" t="str">
        <f aca="false">IF($C790="","",ROUND($V790+MIN($W790,MAX(0,(SUMIF(收款键,$D790,收款金额)-SUMIFS(收款金额,收款键,$D790,收款关联,"&lt;&gt;"))-($X790-$W790))),2))</f>
        <v/>
      </c>
      <c r="Q790" s="41" t="str">
        <f aca="false">IF($C790="","",ROUND(N($K790)-N($P790),2))</f>
        <v/>
      </c>
      <c r="R790" s="29" t="str">
        <f aca="false">IF($C790="","",YEAR($C790))</f>
        <v/>
      </c>
      <c r="S790" s="24"/>
      <c r="T790" s="35" t="str">
        <f aca="false">IF($C790="","",IF($D790="","★没选客户项目",IF(COUNTIF(合同键,$D790)=0,"★《维保合同》里没这个项目",IF(N($K790)&lt;=0,"★应收金额要填",IF(ROUND(N($N790)-N($K790),2)&gt;0.001,"★开票金额大于应收",IF(AND($L790&lt;&gt;"",N($N790)&lt;=0),"★填了开票日期没填开票金额",IF(AND($I790&lt;&gt;"",$J790&lt;&gt;"",$J790&lt;$I790),"★计费期间起止反了","OK")))))))</f>
        <v/>
      </c>
      <c r="U790" s="29" t="str">
        <f aca="false">IF($L790="","",YEAR($L790))</f>
        <v/>
      </c>
      <c r="V790" s="40" t="str">
        <f aca="false">IF($C790="","",ROUND(SUMIF(收款关联,$B790,收款金额),2))</f>
        <v/>
      </c>
      <c r="W790" s="40" t="str">
        <f aca="false">IF($C790="","",MAX(0,ROUND(N($K790)-N($V790),2)))</f>
        <v/>
      </c>
      <c r="X790" s="40" t="str">
        <f aca="false">IF($C790="","",ROUND(SUMIFS(应收净额,应收键,$D790,应收行号,"&lt;="&amp;ROW()),2))</f>
        <v/>
      </c>
      <c r="Y790" s="29" t="str">
        <f aca="false">IF($C790="","",ROW())</f>
        <v/>
      </c>
    </row>
    <row r="791" customFormat="false" ht="15" hidden="false" customHeight="false" outlineLevel="0" collapsed="false">
      <c r="A791" s="29" t="str">
        <f aca="false">IF($C791="","",ROW()-4)</f>
        <v/>
      </c>
      <c r="B791" s="35" t="str">
        <f aca="false">IF($C791="","","YS"&amp;TEXT($C791,"yyyymm")&amp;"-"&amp;TEXT(ROW()-4,"0000"))</f>
        <v/>
      </c>
      <c r="C791" s="33"/>
      <c r="D791" s="24"/>
      <c r="E791" s="30" t="str">
        <f aca="false">IF($D791="","",IFERROR(INDEX(合同单位,MATCH($D791,合同键,0)),IFERROR(TRIM(LEFT($D791,FIND("｜",$D791)-1)),$D791)))</f>
        <v/>
      </c>
      <c r="F791" s="30" t="str">
        <f aca="false">IF($D791="","",IFERROR(INDEX(合同项目,MATCH($D791,合同键,0)),IFERROR(TRIM(MID($D791,FIND("｜",$D791)+1,99)),"")))</f>
        <v/>
      </c>
      <c r="G791" s="24"/>
      <c r="H791" s="35" t="str">
        <f aca="false">IF($G791="","",IFERROR(INDEX(费用款别,MATCH($G791,费用类别表,0)),"合同外款"))</f>
        <v/>
      </c>
      <c r="I791" s="33"/>
      <c r="J791" s="33"/>
      <c r="K791" s="39"/>
      <c r="L791" s="33"/>
      <c r="M791" s="25"/>
      <c r="N791" s="39"/>
      <c r="O791" s="35" t="str">
        <f aca="false">IF($C791="","",IF(N($N791)&lt;=0,"未开票",IF(ROUND(N($N791)-N($K791),2)&gt;=0,"已开票",IFERROR("部分开票 "&amp;TEXT(N($N791)/N($K791),"0%"),"部分开票"))))</f>
        <v/>
      </c>
      <c r="P791" s="40" t="str">
        <f aca="false">IF($C791="","",ROUND($V791+MIN($W791,MAX(0,(SUMIF(收款键,$D791,收款金额)-SUMIFS(收款金额,收款键,$D791,收款关联,"&lt;&gt;"))-($X791-$W791))),2))</f>
        <v/>
      </c>
      <c r="Q791" s="41" t="str">
        <f aca="false">IF($C791="","",ROUND(N($K791)-N($P791),2))</f>
        <v/>
      </c>
      <c r="R791" s="29" t="str">
        <f aca="false">IF($C791="","",YEAR($C791))</f>
        <v/>
      </c>
      <c r="S791" s="24"/>
      <c r="T791" s="35" t="str">
        <f aca="false">IF($C791="","",IF($D791="","★没选客户项目",IF(COUNTIF(合同键,$D791)=0,"★《维保合同》里没这个项目",IF(N($K791)&lt;=0,"★应收金额要填",IF(ROUND(N($N791)-N($K791),2)&gt;0.001,"★开票金额大于应收",IF(AND($L791&lt;&gt;"",N($N791)&lt;=0),"★填了开票日期没填开票金额",IF(AND($I791&lt;&gt;"",$J791&lt;&gt;"",$J791&lt;$I791),"★计费期间起止反了","OK")))))))</f>
        <v/>
      </c>
      <c r="U791" s="29" t="str">
        <f aca="false">IF($L791="","",YEAR($L791))</f>
        <v/>
      </c>
      <c r="V791" s="40" t="str">
        <f aca="false">IF($C791="","",ROUND(SUMIF(收款关联,$B791,收款金额),2))</f>
        <v/>
      </c>
      <c r="W791" s="40" t="str">
        <f aca="false">IF($C791="","",MAX(0,ROUND(N($K791)-N($V791),2)))</f>
        <v/>
      </c>
      <c r="X791" s="40" t="str">
        <f aca="false">IF($C791="","",ROUND(SUMIFS(应收净额,应收键,$D791,应收行号,"&lt;="&amp;ROW()),2))</f>
        <v/>
      </c>
      <c r="Y791" s="29" t="str">
        <f aca="false">IF($C791="","",ROW())</f>
        <v/>
      </c>
    </row>
    <row r="792" customFormat="false" ht="15" hidden="false" customHeight="false" outlineLevel="0" collapsed="false">
      <c r="A792" s="29" t="str">
        <f aca="false">IF($C792="","",ROW()-4)</f>
        <v/>
      </c>
      <c r="B792" s="35" t="str">
        <f aca="false">IF($C792="","","YS"&amp;TEXT($C792,"yyyymm")&amp;"-"&amp;TEXT(ROW()-4,"0000"))</f>
        <v/>
      </c>
      <c r="C792" s="33"/>
      <c r="D792" s="24"/>
      <c r="E792" s="30" t="str">
        <f aca="false">IF($D792="","",IFERROR(INDEX(合同单位,MATCH($D792,合同键,0)),IFERROR(TRIM(LEFT($D792,FIND("｜",$D792)-1)),$D792)))</f>
        <v/>
      </c>
      <c r="F792" s="30" t="str">
        <f aca="false">IF($D792="","",IFERROR(INDEX(合同项目,MATCH($D792,合同键,0)),IFERROR(TRIM(MID($D792,FIND("｜",$D792)+1,99)),"")))</f>
        <v/>
      </c>
      <c r="G792" s="24"/>
      <c r="H792" s="35" t="str">
        <f aca="false">IF($G792="","",IFERROR(INDEX(费用款别,MATCH($G792,费用类别表,0)),"合同外款"))</f>
        <v/>
      </c>
      <c r="I792" s="33"/>
      <c r="J792" s="33"/>
      <c r="K792" s="39"/>
      <c r="L792" s="33"/>
      <c r="M792" s="25"/>
      <c r="N792" s="39"/>
      <c r="O792" s="35" t="str">
        <f aca="false">IF($C792="","",IF(N($N792)&lt;=0,"未开票",IF(ROUND(N($N792)-N($K792),2)&gt;=0,"已开票",IFERROR("部分开票 "&amp;TEXT(N($N792)/N($K792),"0%"),"部分开票"))))</f>
        <v/>
      </c>
      <c r="P792" s="40" t="str">
        <f aca="false">IF($C792="","",ROUND($V792+MIN($W792,MAX(0,(SUMIF(收款键,$D792,收款金额)-SUMIFS(收款金额,收款键,$D792,收款关联,"&lt;&gt;"))-($X792-$W792))),2))</f>
        <v/>
      </c>
      <c r="Q792" s="41" t="str">
        <f aca="false">IF($C792="","",ROUND(N($K792)-N($P792),2))</f>
        <v/>
      </c>
      <c r="R792" s="29" t="str">
        <f aca="false">IF($C792="","",YEAR($C792))</f>
        <v/>
      </c>
      <c r="S792" s="24"/>
      <c r="T792" s="35" t="str">
        <f aca="false">IF($C792="","",IF($D792="","★没选客户项目",IF(COUNTIF(合同键,$D792)=0,"★《维保合同》里没这个项目",IF(N($K792)&lt;=0,"★应收金额要填",IF(ROUND(N($N792)-N($K792),2)&gt;0.001,"★开票金额大于应收",IF(AND($L792&lt;&gt;"",N($N792)&lt;=0),"★填了开票日期没填开票金额",IF(AND($I792&lt;&gt;"",$J792&lt;&gt;"",$J792&lt;$I792),"★计费期间起止反了","OK")))))))</f>
        <v/>
      </c>
      <c r="U792" s="29" t="str">
        <f aca="false">IF($L792="","",YEAR($L792))</f>
        <v/>
      </c>
      <c r="V792" s="40" t="str">
        <f aca="false">IF($C792="","",ROUND(SUMIF(收款关联,$B792,收款金额),2))</f>
        <v/>
      </c>
      <c r="W792" s="40" t="str">
        <f aca="false">IF($C792="","",MAX(0,ROUND(N($K792)-N($V792),2)))</f>
        <v/>
      </c>
      <c r="X792" s="40" t="str">
        <f aca="false">IF($C792="","",ROUND(SUMIFS(应收净额,应收键,$D792,应收行号,"&lt;="&amp;ROW()),2))</f>
        <v/>
      </c>
      <c r="Y792" s="29" t="str">
        <f aca="false">IF($C792="","",ROW())</f>
        <v/>
      </c>
    </row>
    <row r="793" customFormat="false" ht="15" hidden="false" customHeight="false" outlineLevel="0" collapsed="false">
      <c r="A793" s="29" t="str">
        <f aca="false">IF($C793="","",ROW()-4)</f>
        <v/>
      </c>
      <c r="B793" s="35" t="str">
        <f aca="false">IF($C793="","","YS"&amp;TEXT($C793,"yyyymm")&amp;"-"&amp;TEXT(ROW()-4,"0000"))</f>
        <v/>
      </c>
      <c r="C793" s="33"/>
      <c r="D793" s="24"/>
      <c r="E793" s="30" t="str">
        <f aca="false">IF($D793="","",IFERROR(INDEX(合同单位,MATCH($D793,合同键,0)),IFERROR(TRIM(LEFT($D793,FIND("｜",$D793)-1)),$D793)))</f>
        <v/>
      </c>
      <c r="F793" s="30" t="str">
        <f aca="false">IF($D793="","",IFERROR(INDEX(合同项目,MATCH($D793,合同键,0)),IFERROR(TRIM(MID($D793,FIND("｜",$D793)+1,99)),"")))</f>
        <v/>
      </c>
      <c r="G793" s="24"/>
      <c r="H793" s="35" t="str">
        <f aca="false">IF($G793="","",IFERROR(INDEX(费用款别,MATCH($G793,费用类别表,0)),"合同外款"))</f>
        <v/>
      </c>
      <c r="I793" s="33"/>
      <c r="J793" s="33"/>
      <c r="K793" s="39"/>
      <c r="L793" s="33"/>
      <c r="M793" s="25"/>
      <c r="N793" s="39"/>
      <c r="O793" s="35" t="str">
        <f aca="false">IF($C793="","",IF(N($N793)&lt;=0,"未开票",IF(ROUND(N($N793)-N($K793),2)&gt;=0,"已开票",IFERROR("部分开票 "&amp;TEXT(N($N793)/N($K793),"0%"),"部分开票"))))</f>
        <v/>
      </c>
      <c r="P793" s="40" t="str">
        <f aca="false">IF($C793="","",ROUND($V793+MIN($W793,MAX(0,(SUMIF(收款键,$D793,收款金额)-SUMIFS(收款金额,收款键,$D793,收款关联,"&lt;&gt;"))-($X793-$W793))),2))</f>
        <v/>
      </c>
      <c r="Q793" s="41" t="str">
        <f aca="false">IF($C793="","",ROUND(N($K793)-N($P793),2))</f>
        <v/>
      </c>
      <c r="R793" s="29" t="str">
        <f aca="false">IF($C793="","",YEAR($C793))</f>
        <v/>
      </c>
      <c r="S793" s="24"/>
      <c r="T793" s="35" t="str">
        <f aca="false">IF($C793="","",IF($D793="","★没选客户项目",IF(COUNTIF(合同键,$D793)=0,"★《维保合同》里没这个项目",IF(N($K793)&lt;=0,"★应收金额要填",IF(ROUND(N($N793)-N($K793),2)&gt;0.001,"★开票金额大于应收",IF(AND($L793&lt;&gt;"",N($N793)&lt;=0),"★填了开票日期没填开票金额",IF(AND($I793&lt;&gt;"",$J793&lt;&gt;"",$J793&lt;$I793),"★计费期间起止反了","OK")))))))</f>
        <v/>
      </c>
      <c r="U793" s="29" t="str">
        <f aca="false">IF($L793="","",YEAR($L793))</f>
        <v/>
      </c>
      <c r="V793" s="40" t="str">
        <f aca="false">IF($C793="","",ROUND(SUMIF(收款关联,$B793,收款金额),2))</f>
        <v/>
      </c>
      <c r="W793" s="40" t="str">
        <f aca="false">IF($C793="","",MAX(0,ROUND(N($K793)-N($V793),2)))</f>
        <v/>
      </c>
      <c r="X793" s="40" t="str">
        <f aca="false">IF($C793="","",ROUND(SUMIFS(应收净额,应收键,$D793,应收行号,"&lt;="&amp;ROW()),2))</f>
        <v/>
      </c>
      <c r="Y793" s="29" t="str">
        <f aca="false">IF($C793="","",ROW())</f>
        <v/>
      </c>
    </row>
    <row r="794" customFormat="false" ht="15" hidden="false" customHeight="false" outlineLevel="0" collapsed="false">
      <c r="A794" s="29" t="str">
        <f aca="false">IF($C794="","",ROW()-4)</f>
        <v/>
      </c>
      <c r="B794" s="35" t="str">
        <f aca="false">IF($C794="","","YS"&amp;TEXT($C794,"yyyymm")&amp;"-"&amp;TEXT(ROW()-4,"0000"))</f>
        <v/>
      </c>
      <c r="C794" s="33"/>
      <c r="D794" s="24"/>
      <c r="E794" s="30" t="str">
        <f aca="false">IF($D794="","",IFERROR(INDEX(合同单位,MATCH($D794,合同键,0)),IFERROR(TRIM(LEFT($D794,FIND("｜",$D794)-1)),$D794)))</f>
        <v/>
      </c>
      <c r="F794" s="30" t="str">
        <f aca="false">IF($D794="","",IFERROR(INDEX(合同项目,MATCH($D794,合同键,0)),IFERROR(TRIM(MID($D794,FIND("｜",$D794)+1,99)),"")))</f>
        <v/>
      </c>
      <c r="G794" s="24"/>
      <c r="H794" s="35" t="str">
        <f aca="false">IF($G794="","",IFERROR(INDEX(费用款别,MATCH($G794,费用类别表,0)),"合同外款"))</f>
        <v/>
      </c>
      <c r="I794" s="33"/>
      <c r="J794" s="33"/>
      <c r="K794" s="39"/>
      <c r="L794" s="33"/>
      <c r="M794" s="25"/>
      <c r="N794" s="39"/>
      <c r="O794" s="35" t="str">
        <f aca="false">IF($C794="","",IF(N($N794)&lt;=0,"未开票",IF(ROUND(N($N794)-N($K794),2)&gt;=0,"已开票",IFERROR("部分开票 "&amp;TEXT(N($N794)/N($K794),"0%"),"部分开票"))))</f>
        <v/>
      </c>
      <c r="P794" s="40" t="str">
        <f aca="false">IF($C794="","",ROUND($V794+MIN($W794,MAX(0,(SUMIF(收款键,$D794,收款金额)-SUMIFS(收款金额,收款键,$D794,收款关联,"&lt;&gt;"))-($X794-$W794))),2))</f>
        <v/>
      </c>
      <c r="Q794" s="41" t="str">
        <f aca="false">IF($C794="","",ROUND(N($K794)-N($P794),2))</f>
        <v/>
      </c>
      <c r="R794" s="29" t="str">
        <f aca="false">IF($C794="","",YEAR($C794))</f>
        <v/>
      </c>
      <c r="S794" s="24"/>
      <c r="T794" s="35" t="str">
        <f aca="false">IF($C794="","",IF($D794="","★没选客户项目",IF(COUNTIF(合同键,$D794)=0,"★《维保合同》里没这个项目",IF(N($K794)&lt;=0,"★应收金额要填",IF(ROUND(N($N794)-N($K794),2)&gt;0.001,"★开票金额大于应收",IF(AND($L794&lt;&gt;"",N($N794)&lt;=0),"★填了开票日期没填开票金额",IF(AND($I794&lt;&gt;"",$J794&lt;&gt;"",$J794&lt;$I794),"★计费期间起止反了","OK")))))))</f>
        <v/>
      </c>
      <c r="U794" s="29" t="str">
        <f aca="false">IF($L794="","",YEAR($L794))</f>
        <v/>
      </c>
      <c r="V794" s="40" t="str">
        <f aca="false">IF($C794="","",ROUND(SUMIF(收款关联,$B794,收款金额),2))</f>
        <v/>
      </c>
      <c r="W794" s="40" t="str">
        <f aca="false">IF($C794="","",MAX(0,ROUND(N($K794)-N($V794),2)))</f>
        <v/>
      </c>
      <c r="X794" s="40" t="str">
        <f aca="false">IF($C794="","",ROUND(SUMIFS(应收净额,应收键,$D794,应收行号,"&lt;="&amp;ROW()),2))</f>
        <v/>
      </c>
      <c r="Y794" s="29" t="str">
        <f aca="false">IF($C794="","",ROW())</f>
        <v/>
      </c>
    </row>
    <row r="795" customFormat="false" ht="15" hidden="false" customHeight="false" outlineLevel="0" collapsed="false">
      <c r="A795" s="29" t="str">
        <f aca="false">IF($C795="","",ROW()-4)</f>
        <v/>
      </c>
      <c r="B795" s="35" t="str">
        <f aca="false">IF($C795="","","YS"&amp;TEXT($C795,"yyyymm")&amp;"-"&amp;TEXT(ROW()-4,"0000"))</f>
        <v/>
      </c>
      <c r="C795" s="33"/>
      <c r="D795" s="24"/>
      <c r="E795" s="30" t="str">
        <f aca="false">IF($D795="","",IFERROR(INDEX(合同单位,MATCH($D795,合同键,0)),IFERROR(TRIM(LEFT($D795,FIND("｜",$D795)-1)),$D795)))</f>
        <v/>
      </c>
      <c r="F795" s="30" t="str">
        <f aca="false">IF($D795="","",IFERROR(INDEX(合同项目,MATCH($D795,合同键,0)),IFERROR(TRIM(MID($D795,FIND("｜",$D795)+1,99)),"")))</f>
        <v/>
      </c>
      <c r="G795" s="24"/>
      <c r="H795" s="35" t="str">
        <f aca="false">IF($G795="","",IFERROR(INDEX(费用款别,MATCH($G795,费用类别表,0)),"合同外款"))</f>
        <v/>
      </c>
      <c r="I795" s="33"/>
      <c r="J795" s="33"/>
      <c r="K795" s="39"/>
      <c r="L795" s="33"/>
      <c r="M795" s="25"/>
      <c r="N795" s="39"/>
      <c r="O795" s="35" t="str">
        <f aca="false">IF($C795="","",IF(N($N795)&lt;=0,"未开票",IF(ROUND(N($N795)-N($K795),2)&gt;=0,"已开票",IFERROR("部分开票 "&amp;TEXT(N($N795)/N($K795),"0%"),"部分开票"))))</f>
        <v/>
      </c>
      <c r="P795" s="40" t="str">
        <f aca="false">IF($C795="","",ROUND($V795+MIN($W795,MAX(0,(SUMIF(收款键,$D795,收款金额)-SUMIFS(收款金额,收款键,$D795,收款关联,"&lt;&gt;"))-($X795-$W795))),2))</f>
        <v/>
      </c>
      <c r="Q795" s="41" t="str">
        <f aca="false">IF($C795="","",ROUND(N($K795)-N($P795),2))</f>
        <v/>
      </c>
      <c r="R795" s="29" t="str">
        <f aca="false">IF($C795="","",YEAR($C795))</f>
        <v/>
      </c>
      <c r="S795" s="24"/>
      <c r="T795" s="35" t="str">
        <f aca="false">IF($C795="","",IF($D795="","★没选客户项目",IF(COUNTIF(合同键,$D795)=0,"★《维保合同》里没这个项目",IF(N($K795)&lt;=0,"★应收金额要填",IF(ROUND(N($N795)-N($K795),2)&gt;0.001,"★开票金额大于应收",IF(AND($L795&lt;&gt;"",N($N795)&lt;=0),"★填了开票日期没填开票金额",IF(AND($I795&lt;&gt;"",$J795&lt;&gt;"",$J795&lt;$I795),"★计费期间起止反了","OK")))))))</f>
        <v/>
      </c>
      <c r="U795" s="29" t="str">
        <f aca="false">IF($L795="","",YEAR($L795))</f>
        <v/>
      </c>
      <c r="V795" s="40" t="str">
        <f aca="false">IF($C795="","",ROUND(SUMIF(收款关联,$B795,收款金额),2))</f>
        <v/>
      </c>
      <c r="W795" s="40" t="str">
        <f aca="false">IF($C795="","",MAX(0,ROUND(N($K795)-N($V795),2)))</f>
        <v/>
      </c>
      <c r="X795" s="40" t="str">
        <f aca="false">IF($C795="","",ROUND(SUMIFS(应收净额,应收键,$D795,应收行号,"&lt;="&amp;ROW()),2))</f>
        <v/>
      </c>
      <c r="Y795" s="29" t="str">
        <f aca="false">IF($C795="","",ROW())</f>
        <v/>
      </c>
    </row>
    <row r="796" customFormat="false" ht="15" hidden="false" customHeight="false" outlineLevel="0" collapsed="false">
      <c r="A796" s="29" t="str">
        <f aca="false">IF($C796="","",ROW()-4)</f>
        <v/>
      </c>
      <c r="B796" s="35" t="str">
        <f aca="false">IF($C796="","","YS"&amp;TEXT($C796,"yyyymm")&amp;"-"&amp;TEXT(ROW()-4,"0000"))</f>
        <v/>
      </c>
      <c r="C796" s="33"/>
      <c r="D796" s="24"/>
      <c r="E796" s="30" t="str">
        <f aca="false">IF($D796="","",IFERROR(INDEX(合同单位,MATCH($D796,合同键,0)),IFERROR(TRIM(LEFT($D796,FIND("｜",$D796)-1)),$D796)))</f>
        <v/>
      </c>
      <c r="F796" s="30" t="str">
        <f aca="false">IF($D796="","",IFERROR(INDEX(合同项目,MATCH($D796,合同键,0)),IFERROR(TRIM(MID($D796,FIND("｜",$D796)+1,99)),"")))</f>
        <v/>
      </c>
      <c r="G796" s="24"/>
      <c r="H796" s="35" t="str">
        <f aca="false">IF($G796="","",IFERROR(INDEX(费用款别,MATCH($G796,费用类别表,0)),"合同外款"))</f>
        <v/>
      </c>
      <c r="I796" s="33"/>
      <c r="J796" s="33"/>
      <c r="K796" s="39"/>
      <c r="L796" s="33"/>
      <c r="M796" s="25"/>
      <c r="N796" s="39"/>
      <c r="O796" s="35" t="str">
        <f aca="false">IF($C796="","",IF(N($N796)&lt;=0,"未开票",IF(ROUND(N($N796)-N($K796),2)&gt;=0,"已开票",IFERROR("部分开票 "&amp;TEXT(N($N796)/N($K796),"0%"),"部分开票"))))</f>
        <v/>
      </c>
      <c r="P796" s="40" t="str">
        <f aca="false">IF($C796="","",ROUND($V796+MIN($W796,MAX(0,(SUMIF(收款键,$D796,收款金额)-SUMIFS(收款金额,收款键,$D796,收款关联,"&lt;&gt;"))-($X796-$W796))),2))</f>
        <v/>
      </c>
      <c r="Q796" s="41" t="str">
        <f aca="false">IF($C796="","",ROUND(N($K796)-N($P796),2))</f>
        <v/>
      </c>
      <c r="R796" s="29" t="str">
        <f aca="false">IF($C796="","",YEAR($C796))</f>
        <v/>
      </c>
      <c r="S796" s="24"/>
      <c r="T796" s="35" t="str">
        <f aca="false">IF($C796="","",IF($D796="","★没选客户项目",IF(COUNTIF(合同键,$D796)=0,"★《维保合同》里没这个项目",IF(N($K796)&lt;=0,"★应收金额要填",IF(ROUND(N($N796)-N($K796),2)&gt;0.001,"★开票金额大于应收",IF(AND($L796&lt;&gt;"",N($N796)&lt;=0),"★填了开票日期没填开票金额",IF(AND($I796&lt;&gt;"",$J796&lt;&gt;"",$J796&lt;$I796),"★计费期间起止反了","OK")))))))</f>
        <v/>
      </c>
      <c r="U796" s="29" t="str">
        <f aca="false">IF($L796="","",YEAR($L796))</f>
        <v/>
      </c>
      <c r="V796" s="40" t="str">
        <f aca="false">IF($C796="","",ROUND(SUMIF(收款关联,$B796,收款金额),2))</f>
        <v/>
      </c>
      <c r="W796" s="40" t="str">
        <f aca="false">IF($C796="","",MAX(0,ROUND(N($K796)-N($V796),2)))</f>
        <v/>
      </c>
      <c r="X796" s="40" t="str">
        <f aca="false">IF($C796="","",ROUND(SUMIFS(应收净额,应收键,$D796,应收行号,"&lt;="&amp;ROW()),2))</f>
        <v/>
      </c>
      <c r="Y796" s="29" t="str">
        <f aca="false">IF($C796="","",ROW())</f>
        <v/>
      </c>
    </row>
    <row r="797" customFormat="false" ht="15" hidden="false" customHeight="false" outlineLevel="0" collapsed="false">
      <c r="A797" s="29" t="str">
        <f aca="false">IF($C797="","",ROW()-4)</f>
        <v/>
      </c>
      <c r="B797" s="35" t="str">
        <f aca="false">IF($C797="","","YS"&amp;TEXT($C797,"yyyymm")&amp;"-"&amp;TEXT(ROW()-4,"0000"))</f>
        <v/>
      </c>
      <c r="C797" s="33"/>
      <c r="D797" s="24"/>
      <c r="E797" s="30" t="str">
        <f aca="false">IF($D797="","",IFERROR(INDEX(合同单位,MATCH($D797,合同键,0)),IFERROR(TRIM(LEFT($D797,FIND("｜",$D797)-1)),$D797)))</f>
        <v/>
      </c>
      <c r="F797" s="30" t="str">
        <f aca="false">IF($D797="","",IFERROR(INDEX(合同项目,MATCH($D797,合同键,0)),IFERROR(TRIM(MID($D797,FIND("｜",$D797)+1,99)),"")))</f>
        <v/>
      </c>
      <c r="G797" s="24"/>
      <c r="H797" s="35" t="str">
        <f aca="false">IF($G797="","",IFERROR(INDEX(费用款别,MATCH($G797,费用类别表,0)),"合同外款"))</f>
        <v/>
      </c>
      <c r="I797" s="33"/>
      <c r="J797" s="33"/>
      <c r="K797" s="39"/>
      <c r="L797" s="33"/>
      <c r="M797" s="25"/>
      <c r="N797" s="39"/>
      <c r="O797" s="35" t="str">
        <f aca="false">IF($C797="","",IF(N($N797)&lt;=0,"未开票",IF(ROUND(N($N797)-N($K797),2)&gt;=0,"已开票",IFERROR("部分开票 "&amp;TEXT(N($N797)/N($K797),"0%"),"部分开票"))))</f>
        <v/>
      </c>
      <c r="P797" s="40" t="str">
        <f aca="false">IF($C797="","",ROUND($V797+MIN($W797,MAX(0,(SUMIF(收款键,$D797,收款金额)-SUMIFS(收款金额,收款键,$D797,收款关联,"&lt;&gt;"))-($X797-$W797))),2))</f>
        <v/>
      </c>
      <c r="Q797" s="41" t="str">
        <f aca="false">IF($C797="","",ROUND(N($K797)-N($P797),2))</f>
        <v/>
      </c>
      <c r="R797" s="29" t="str">
        <f aca="false">IF($C797="","",YEAR($C797))</f>
        <v/>
      </c>
      <c r="S797" s="24"/>
      <c r="T797" s="35" t="str">
        <f aca="false">IF($C797="","",IF($D797="","★没选客户项目",IF(COUNTIF(合同键,$D797)=0,"★《维保合同》里没这个项目",IF(N($K797)&lt;=0,"★应收金额要填",IF(ROUND(N($N797)-N($K797),2)&gt;0.001,"★开票金额大于应收",IF(AND($L797&lt;&gt;"",N($N797)&lt;=0),"★填了开票日期没填开票金额",IF(AND($I797&lt;&gt;"",$J797&lt;&gt;"",$J797&lt;$I797),"★计费期间起止反了","OK")))))))</f>
        <v/>
      </c>
      <c r="U797" s="29" t="str">
        <f aca="false">IF($L797="","",YEAR($L797))</f>
        <v/>
      </c>
      <c r="V797" s="40" t="str">
        <f aca="false">IF($C797="","",ROUND(SUMIF(收款关联,$B797,收款金额),2))</f>
        <v/>
      </c>
      <c r="W797" s="40" t="str">
        <f aca="false">IF($C797="","",MAX(0,ROUND(N($K797)-N($V797),2)))</f>
        <v/>
      </c>
      <c r="X797" s="40" t="str">
        <f aca="false">IF($C797="","",ROUND(SUMIFS(应收净额,应收键,$D797,应收行号,"&lt;="&amp;ROW()),2))</f>
        <v/>
      </c>
      <c r="Y797" s="29" t="str">
        <f aca="false">IF($C797="","",ROW())</f>
        <v/>
      </c>
    </row>
    <row r="798" customFormat="false" ht="15" hidden="false" customHeight="false" outlineLevel="0" collapsed="false">
      <c r="A798" s="29" t="str">
        <f aca="false">IF($C798="","",ROW()-4)</f>
        <v/>
      </c>
      <c r="B798" s="35" t="str">
        <f aca="false">IF($C798="","","YS"&amp;TEXT($C798,"yyyymm")&amp;"-"&amp;TEXT(ROW()-4,"0000"))</f>
        <v/>
      </c>
      <c r="C798" s="33"/>
      <c r="D798" s="24"/>
      <c r="E798" s="30" t="str">
        <f aca="false">IF($D798="","",IFERROR(INDEX(合同单位,MATCH($D798,合同键,0)),IFERROR(TRIM(LEFT($D798,FIND("｜",$D798)-1)),$D798)))</f>
        <v/>
      </c>
      <c r="F798" s="30" t="str">
        <f aca="false">IF($D798="","",IFERROR(INDEX(合同项目,MATCH($D798,合同键,0)),IFERROR(TRIM(MID($D798,FIND("｜",$D798)+1,99)),"")))</f>
        <v/>
      </c>
      <c r="G798" s="24"/>
      <c r="H798" s="35" t="str">
        <f aca="false">IF($G798="","",IFERROR(INDEX(费用款别,MATCH($G798,费用类别表,0)),"合同外款"))</f>
        <v/>
      </c>
      <c r="I798" s="33"/>
      <c r="J798" s="33"/>
      <c r="K798" s="39"/>
      <c r="L798" s="33"/>
      <c r="M798" s="25"/>
      <c r="N798" s="39"/>
      <c r="O798" s="35" t="str">
        <f aca="false">IF($C798="","",IF(N($N798)&lt;=0,"未开票",IF(ROUND(N($N798)-N($K798),2)&gt;=0,"已开票",IFERROR("部分开票 "&amp;TEXT(N($N798)/N($K798),"0%"),"部分开票"))))</f>
        <v/>
      </c>
      <c r="P798" s="40" t="str">
        <f aca="false">IF($C798="","",ROUND($V798+MIN($W798,MAX(0,(SUMIF(收款键,$D798,收款金额)-SUMIFS(收款金额,收款键,$D798,收款关联,"&lt;&gt;"))-($X798-$W798))),2))</f>
        <v/>
      </c>
      <c r="Q798" s="41" t="str">
        <f aca="false">IF($C798="","",ROUND(N($K798)-N($P798),2))</f>
        <v/>
      </c>
      <c r="R798" s="29" t="str">
        <f aca="false">IF($C798="","",YEAR($C798))</f>
        <v/>
      </c>
      <c r="S798" s="24"/>
      <c r="T798" s="35" t="str">
        <f aca="false">IF($C798="","",IF($D798="","★没选客户项目",IF(COUNTIF(合同键,$D798)=0,"★《维保合同》里没这个项目",IF(N($K798)&lt;=0,"★应收金额要填",IF(ROUND(N($N798)-N($K798),2)&gt;0.001,"★开票金额大于应收",IF(AND($L798&lt;&gt;"",N($N798)&lt;=0),"★填了开票日期没填开票金额",IF(AND($I798&lt;&gt;"",$J798&lt;&gt;"",$J798&lt;$I798),"★计费期间起止反了","OK")))))))</f>
        <v/>
      </c>
      <c r="U798" s="29" t="str">
        <f aca="false">IF($L798="","",YEAR($L798))</f>
        <v/>
      </c>
      <c r="V798" s="40" t="str">
        <f aca="false">IF($C798="","",ROUND(SUMIF(收款关联,$B798,收款金额),2))</f>
        <v/>
      </c>
      <c r="W798" s="40" t="str">
        <f aca="false">IF($C798="","",MAX(0,ROUND(N($K798)-N($V798),2)))</f>
        <v/>
      </c>
      <c r="X798" s="40" t="str">
        <f aca="false">IF($C798="","",ROUND(SUMIFS(应收净额,应收键,$D798,应收行号,"&lt;="&amp;ROW()),2))</f>
        <v/>
      </c>
      <c r="Y798" s="29" t="str">
        <f aca="false">IF($C798="","",ROW())</f>
        <v/>
      </c>
    </row>
    <row r="799" customFormat="false" ht="15" hidden="false" customHeight="false" outlineLevel="0" collapsed="false">
      <c r="A799" s="29" t="str">
        <f aca="false">IF($C799="","",ROW()-4)</f>
        <v/>
      </c>
      <c r="B799" s="35" t="str">
        <f aca="false">IF($C799="","","YS"&amp;TEXT($C799,"yyyymm")&amp;"-"&amp;TEXT(ROW()-4,"0000"))</f>
        <v/>
      </c>
      <c r="C799" s="33"/>
      <c r="D799" s="24"/>
      <c r="E799" s="30" t="str">
        <f aca="false">IF($D799="","",IFERROR(INDEX(合同单位,MATCH($D799,合同键,0)),IFERROR(TRIM(LEFT($D799,FIND("｜",$D799)-1)),$D799)))</f>
        <v/>
      </c>
      <c r="F799" s="30" t="str">
        <f aca="false">IF($D799="","",IFERROR(INDEX(合同项目,MATCH($D799,合同键,0)),IFERROR(TRIM(MID($D799,FIND("｜",$D799)+1,99)),"")))</f>
        <v/>
      </c>
      <c r="G799" s="24"/>
      <c r="H799" s="35" t="str">
        <f aca="false">IF($G799="","",IFERROR(INDEX(费用款别,MATCH($G799,费用类别表,0)),"合同外款"))</f>
        <v/>
      </c>
      <c r="I799" s="33"/>
      <c r="J799" s="33"/>
      <c r="K799" s="39"/>
      <c r="L799" s="33"/>
      <c r="M799" s="25"/>
      <c r="N799" s="39"/>
      <c r="O799" s="35" t="str">
        <f aca="false">IF($C799="","",IF(N($N799)&lt;=0,"未开票",IF(ROUND(N($N799)-N($K799),2)&gt;=0,"已开票",IFERROR("部分开票 "&amp;TEXT(N($N799)/N($K799),"0%"),"部分开票"))))</f>
        <v/>
      </c>
      <c r="P799" s="40" t="str">
        <f aca="false">IF($C799="","",ROUND($V799+MIN($W799,MAX(0,(SUMIF(收款键,$D799,收款金额)-SUMIFS(收款金额,收款键,$D799,收款关联,"&lt;&gt;"))-($X799-$W799))),2))</f>
        <v/>
      </c>
      <c r="Q799" s="41" t="str">
        <f aca="false">IF($C799="","",ROUND(N($K799)-N($P799),2))</f>
        <v/>
      </c>
      <c r="R799" s="29" t="str">
        <f aca="false">IF($C799="","",YEAR($C799))</f>
        <v/>
      </c>
      <c r="S799" s="24"/>
      <c r="T799" s="35" t="str">
        <f aca="false">IF($C799="","",IF($D799="","★没选客户项目",IF(COUNTIF(合同键,$D799)=0,"★《维保合同》里没这个项目",IF(N($K799)&lt;=0,"★应收金额要填",IF(ROUND(N($N799)-N($K799),2)&gt;0.001,"★开票金额大于应收",IF(AND($L799&lt;&gt;"",N($N799)&lt;=0),"★填了开票日期没填开票金额",IF(AND($I799&lt;&gt;"",$J799&lt;&gt;"",$J799&lt;$I799),"★计费期间起止反了","OK")))))))</f>
        <v/>
      </c>
      <c r="U799" s="29" t="str">
        <f aca="false">IF($L799="","",YEAR($L799))</f>
        <v/>
      </c>
      <c r="V799" s="40" t="str">
        <f aca="false">IF($C799="","",ROUND(SUMIF(收款关联,$B799,收款金额),2))</f>
        <v/>
      </c>
      <c r="W799" s="40" t="str">
        <f aca="false">IF($C799="","",MAX(0,ROUND(N($K799)-N($V799),2)))</f>
        <v/>
      </c>
      <c r="X799" s="40" t="str">
        <f aca="false">IF($C799="","",ROUND(SUMIFS(应收净额,应收键,$D799,应收行号,"&lt;="&amp;ROW()),2))</f>
        <v/>
      </c>
      <c r="Y799" s="29" t="str">
        <f aca="false">IF($C799="","",ROW())</f>
        <v/>
      </c>
    </row>
    <row r="800" customFormat="false" ht="15" hidden="false" customHeight="false" outlineLevel="0" collapsed="false">
      <c r="A800" s="29" t="str">
        <f aca="false">IF($C800="","",ROW()-4)</f>
        <v/>
      </c>
      <c r="B800" s="35" t="str">
        <f aca="false">IF($C800="","","YS"&amp;TEXT($C800,"yyyymm")&amp;"-"&amp;TEXT(ROW()-4,"0000"))</f>
        <v/>
      </c>
      <c r="C800" s="33"/>
      <c r="D800" s="24"/>
      <c r="E800" s="30" t="str">
        <f aca="false">IF($D800="","",IFERROR(INDEX(合同单位,MATCH($D800,合同键,0)),IFERROR(TRIM(LEFT($D800,FIND("｜",$D800)-1)),$D800)))</f>
        <v/>
      </c>
      <c r="F800" s="30" t="str">
        <f aca="false">IF($D800="","",IFERROR(INDEX(合同项目,MATCH($D800,合同键,0)),IFERROR(TRIM(MID($D800,FIND("｜",$D800)+1,99)),"")))</f>
        <v/>
      </c>
      <c r="G800" s="24"/>
      <c r="H800" s="35" t="str">
        <f aca="false">IF($G800="","",IFERROR(INDEX(费用款别,MATCH($G800,费用类别表,0)),"合同外款"))</f>
        <v/>
      </c>
      <c r="I800" s="33"/>
      <c r="J800" s="33"/>
      <c r="K800" s="39"/>
      <c r="L800" s="33"/>
      <c r="M800" s="25"/>
      <c r="N800" s="39"/>
      <c r="O800" s="35" t="str">
        <f aca="false">IF($C800="","",IF(N($N800)&lt;=0,"未开票",IF(ROUND(N($N800)-N($K800),2)&gt;=0,"已开票",IFERROR("部分开票 "&amp;TEXT(N($N800)/N($K800),"0%"),"部分开票"))))</f>
        <v/>
      </c>
      <c r="P800" s="40" t="str">
        <f aca="false">IF($C800="","",ROUND($V800+MIN($W800,MAX(0,(SUMIF(收款键,$D800,收款金额)-SUMIFS(收款金额,收款键,$D800,收款关联,"&lt;&gt;"))-($X800-$W800))),2))</f>
        <v/>
      </c>
      <c r="Q800" s="41" t="str">
        <f aca="false">IF($C800="","",ROUND(N($K800)-N($P800),2))</f>
        <v/>
      </c>
      <c r="R800" s="29" t="str">
        <f aca="false">IF($C800="","",YEAR($C800))</f>
        <v/>
      </c>
      <c r="S800" s="24"/>
      <c r="T800" s="35" t="str">
        <f aca="false">IF($C800="","",IF($D800="","★没选客户项目",IF(COUNTIF(合同键,$D800)=0,"★《维保合同》里没这个项目",IF(N($K800)&lt;=0,"★应收金额要填",IF(ROUND(N($N800)-N($K800),2)&gt;0.001,"★开票金额大于应收",IF(AND($L800&lt;&gt;"",N($N800)&lt;=0),"★填了开票日期没填开票金额",IF(AND($I800&lt;&gt;"",$J800&lt;&gt;"",$J800&lt;$I800),"★计费期间起止反了","OK")))))))</f>
        <v/>
      </c>
      <c r="U800" s="29" t="str">
        <f aca="false">IF($L800="","",YEAR($L800))</f>
        <v/>
      </c>
      <c r="V800" s="40" t="str">
        <f aca="false">IF($C800="","",ROUND(SUMIF(收款关联,$B800,收款金额),2))</f>
        <v/>
      </c>
      <c r="W800" s="40" t="str">
        <f aca="false">IF($C800="","",MAX(0,ROUND(N($K800)-N($V800),2)))</f>
        <v/>
      </c>
      <c r="X800" s="40" t="str">
        <f aca="false">IF($C800="","",ROUND(SUMIFS(应收净额,应收键,$D800,应收行号,"&lt;="&amp;ROW()),2))</f>
        <v/>
      </c>
      <c r="Y800" s="29" t="str">
        <f aca="false">IF($C800="","",ROW())</f>
        <v/>
      </c>
    </row>
    <row r="801" customFormat="false" ht="15" hidden="false" customHeight="false" outlineLevel="0" collapsed="false">
      <c r="A801" s="29" t="str">
        <f aca="false">IF($C801="","",ROW()-4)</f>
        <v/>
      </c>
      <c r="B801" s="35" t="str">
        <f aca="false">IF($C801="","","YS"&amp;TEXT($C801,"yyyymm")&amp;"-"&amp;TEXT(ROW()-4,"0000"))</f>
        <v/>
      </c>
      <c r="C801" s="33"/>
      <c r="D801" s="24"/>
      <c r="E801" s="30" t="str">
        <f aca="false">IF($D801="","",IFERROR(INDEX(合同单位,MATCH($D801,合同键,0)),IFERROR(TRIM(LEFT($D801,FIND("｜",$D801)-1)),$D801)))</f>
        <v/>
      </c>
      <c r="F801" s="30" t="str">
        <f aca="false">IF($D801="","",IFERROR(INDEX(合同项目,MATCH($D801,合同键,0)),IFERROR(TRIM(MID($D801,FIND("｜",$D801)+1,99)),"")))</f>
        <v/>
      </c>
      <c r="G801" s="24"/>
      <c r="H801" s="35" t="str">
        <f aca="false">IF($G801="","",IFERROR(INDEX(费用款别,MATCH($G801,费用类别表,0)),"合同外款"))</f>
        <v/>
      </c>
      <c r="I801" s="33"/>
      <c r="J801" s="33"/>
      <c r="K801" s="39"/>
      <c r="L801" s="33"/>
      <c r="M801" s="25"/>
      <c r="N801" s="39"/>
      <c r="O801" s="35" t="str">
        <f aca="false">IF($C801="","",IF(N($N801)&lt;=0,"未开票",IF(ROUND(N($N801)-N($K801),2)&gt;=0,"已开票",IFERROR("部分开票 "&amp;TEXT(N($N801)/N($K801),"0%"),"部分开票"))))</f>
        <v/>
      </c>
      <c r="P801" s="40" t="str">
        <f aca="false">IF($C801="","",ROUND($V801+MIN($W801,MAX(0,(SUMIF(收款键,$D801,收款金额)-SUMIFS(收款金额,收款键,$D801,收款关联,"&lt;&gt;"))-($X801-$W801))),2))</f>
        <v/>
      </c>
      <c r="Q801" s="41" t="str">
        <f aca="false">IF($C801="","",ROUND(N($K801)-N($P801),2))</f>
        <v/>
      </c>
      <c r="R801" s="29" t="str">
        <f aca="false">IF($C801="","",YEAR($C801))</f>
        <v/>
      </c>
      <c r="S801" s="24"/>
      <c r="T801" s="35" t="str">
        <f aca="false">IF($C801="","",IF($D801="","★没选客户项目",IF(COUNTIF(合同键,$D801)=0,"★《维保合同》里没这个项目",IF(N($K801)&lt;=0,"★应收金额要填",IF(ROUND(N($N801)-N($K801),2)&gt;0.001,"★开票金额大于应收",IF(AND($L801&lt;&gt;"",N($N801)&lt;=0),"★填了开票日期没填开票金额",IF(AND($I801&lt;&gt;"",$J801&lt;&gt;"",$J801&lt;$I801),"★计费期间起止反了","OK")))))))</f>
        <v/>
      </c>
      <c r="U801" s="29" t="str">
        <f aca="false">IF($L801="","",YEAR($L801))</f>
        <v/>
      </c>
      <c r="V801" s="40" t="str">
        <f aca="false">IF($C801="","",ROUND(SUMIF(收款关联,$B801,收款金额),2))</f>
        <v/>
      </c>
      <c r="W801" s="40" t="str">
        <f aca="false">IF($C801="","",MAX(0,ROUND(N($K801)-N($V801),2)))</f>
        <v/>
      </c>
      <c r="X801" s="40" t="str">
        <f aca="false">IF($C801="","",ROUND(SUMIFS(应收净额,应收键,$D801,应收行号,"&lt;="&amp;ROW()),2))</f>
        <v/>
      </c>
      <c r="Y801" s="29" t="str">
        <f aca="false">IF($C801="","",ROW())</f>
        <v/>
      </c>
    </row>
    <row r="802" customFormat="false" ht="15" hidden="false" customHeight="false" outlineLevel="0" collapsed="false">
      <c r="A802" s="29" t="str">
        <f aca="false">IF($C802="","",ROW()-4)</f>
        <v/>
      </c>
      <c r="B802" s="35" t="str">
        <f aca="false">IF($C802="","","YS"&amp;TEXT($C802,"yyyymm")&amp;"-"&amp;TEXT(ROW()-4,"0000"))</f>
        <v/>
      </c>
      <c r="C802" s="33"/>
      <c r="D802" s="24"/>
      <c r="E802" s="30" t="str">
        <f aca="false">IF($D802="","",IFERROR(INDEX(合同单位,MATCH($D802,合同键,0)),IFERROR(TRIM(LEFT($D802,FIND("｜",$D802)-1)),$D802)))</f>
        <v/>
      </c>
      <c r="F802" s="30" t="str">
        <f aca="false">IF($D802="","",IFERROR(INDEX(合同项目,MATCH($D802,合同键,0)),IFERROR(TRIM(MID($D802,FIND("｜",$D802)+1,99)),"")))</f>
        <v/>
      </c>
      <c r="G802" s="24"/>
      <c r="H802" s="35" t="str">
        <f aca="false">IF($G802="","",IFERROR(INDEX(费用款别,MATCH($G802,费用类别表,0)),"合同外款"))</f>
        <v/>
      </c>
      <c r="I802" s="33"/>
      <c r="J802" s="33"/>
      <c r="K802" s="39"/>
      <c r="L802" s="33"/>
      <c r="M802" s="25"/>
      <c r="N802" s="39"/>
      <c r="O802" s="35" t="str">
        <f aca="false">IF($C802="","",IF(N($N802)&lt;=0,"未开票",IF(ROUND(N($N802)-N($K802),2)&gt;=0,"已开票",IFERROR("部分开票 "&amp;TEXT(N($N802)/N($K802),"0%"),"部分开票"))))</f>
        <v/>
      </c>
      <c r="P802" s="40" t="str">
        <f aca="false">IF($C802="","",ROUND($V802+MIN($W802,MAX(0,(SUMIF(收款键,$D802,收款金额)-SUMIFS(收款金额,收款键,$D802,收款关联,"&lt;&gt;"))-($X802-$W802))),2))</f>
        <v/>
      </c>
      <c r="Q802" s="41" t="str">
        <f aca="false">IF($C802="","",ROUND(N($K802)-N($P802),2))</f>
        <v/>
      </c>
      <c r="R802" s="29" t="str">
        <f aca="false">IF($C802="","",YEAR($C802))</f>
        <v/>
      </c>
      <c r="S802" s="24"/>
      <c r="T802" s="35" t="str">
        <f aca="false">IF($C802="","",IF($D802="","★没选客户项目",IF(COUNTIF(合同键,$D802)=0,"★《维保合同》里没这个项目",IF(N($K802)&lt;=0,"★应收金额要填",IF(ROUND(N($N802)-N($K802),2)&gt;0.001,"★开票金额大于应收",IF(AND($L802&lt;&gt;"",N($N802)&lt;=0),"★填了开票日期没填开票金额",IF(AND($I802&lt;&gt;"",$J802&lt;&gt;"",$J802&lt;$I802),"★计费期间起止反了","OK")))))))</f>
        <v/>
      </c>
      <c r="U802" s="29" t="str">
        <f aca="false">IF($L802="","",YEAR($L802))</f>
        <v/>
      </c>
      <c r="V802" s="40" t="str">
        <f aca="false">IF($C802="","",ROUND(SUMIF(收款关联,$B802,收款金额),2))</f>
        <v/>
      </c>
      <c r="W802" s="40" t="str">
        <f aca="false">IF($C802="","",MAX(0,ROUND(N($K802)-N($V802),2)))</f>
        <v/>
      </c>
      <c r="X802" s="40" t="str">
        <f aca="false">IF($C802="","",ROUND(SUMIFS(应收净额,应收键,$D802,应收行号,"&lt;="&amp;ROW()),2))</f>
        <v/>
      </c>
      <c r="Y802" s="29" t="str">
        <f aca="false">IF($C802="","",ROW())</f>
        <v/>
      </c>
    </row>
    <row r="803" customFormat="false" ht="15" hidden="false" customHeight="false" outlineLevel="0" collapsed="false">
      <c r="A803" s="29" t="str">
        <f aca="false">IF($C803="","",ROW()-4)</f>
        <v/>
      </c>
      <c r="B803" s="35" t="str">
        <f aca="false">IF($C803="","","YS"&amp;TEXT($C803,"yyyymm")&amp;"-"&amp;TEXT(ROW()-4,"0000"))</f>
        <v/>
      </c>
      <c r="C803" s="33"/>
      <c r="D803" s="24"/>
      <c r="E803" s="30" t="str">
        <f aca="false">IF($D803="","",IFERROR(INDEX(合同单位,MATCH($D803,合同键,0)),IFERROR(TRIM(LEFT($D803,FIND("｜",$D803)-1)),$D803)))</f>
        <v/>
      </c>
      <c r="F803" s="30" t="str">
        <f aca="false">IF($D803="","",IFERROR(INDEX(合同项目,MATCH($D803,合同键,0)),IFERROR(TRIM(MID($D803,FIND("｜",$D803)+1,99)),"")))</f>
        <v/>
      </c>
      <c r="G803" s="24"/>
      <c r="H803" s="35" t="str">
        <f aca="false">IF($G803="","",IFERROR(INDEX(费用款别,MATCH($G803,费用类别表,0)),"合同外款"))</f>
        <v/>
      </c>
      <c r="I803" s="33"/>
      <c r="J803" s="33"/>
      <c r="K803" s="39"/>
      <c r="L803" s="33"/>
      <c r="M803" s="25"/>
      <c r="N803" s="39"/>
      <c r="O803" s="35" t="str">
        <f aca="false">IF($C803="","",IF(N($N803)&lt;=0,"未开票",IF(ROUND(N($N803)-N($K803),2)&gt;=0,"已开票",IFERROR("部分开票 "&amp;TEXT(N($N803)/N($K803),"0%"),"部分开票"))))</f>
        <v/>
      </c>
      <c r="P803" s="40" t="str">
        <f aca="false">IF($C803="","",ROUND($V803+MIN($W803,MAX(0,(SUMIF(收款键,$D803,收款金额)-SUMIFS(收款金额,收款键,$D803,收款关联,"&lt;&gt;"))-($X803-$W803))),2))</f>
        <v/>
      </c>
      <c r="Q803" s="41" t="str">
        <f aca="false">IF($C803="","",ROUND(N($K803)-N($P803),2))</f>
        <v/>
      </c>
      <c r="R803" s="29" t="str">
        <f aca="false">IF($C803="","",YEAR($C803))</f>
        <v/>
      </c>
      <c r="S803" s="24"/>
      <c r="T803" s="35" t="str">
        <f aca="false">IF($C803="","",IF($D803="","★没选客户项目",IF(COUNTIF(合同键,$D803)=0,"★《维保合同》里没这个项目",IF(N($K803)&lt;=0,"★应收金额要填",IF(ROUND(N($N803)-N($K803),2)&gt;0.001,"★开票金额大于应收",IF(AND($L803&lt;&gt;"",N($N803)&lt;=0),"★填了开票日期没填开票金额",IF(AND($I803&lt;&gt;"",$J803&lt;&gt;"",$J803&lt;$I803),"★计费期间起止反了","OK")))))))</f>
        <v/>
      </c>
      <c r="U803" s="29" t="str">
        <f aca="false">IF($L803="","",YEAR($L803))</f>
        <v/>
      </c>
      <c r="V803" s="40" t="str">
        <f aca="false">IF($C803="","",ROUND(SUMIF(收款关联,$B803,收款金额),2))</f>
        <v/>
      </c>
      <c r="W803" s="40" t="str">
        <f aca="false">IF($C803="","",MAX(0,ROUND(N($K803)-N($V803),2)))</f>
        <v/>
      </c>
      <c r="X803" s="40" t="str">
        <f aca="false">IF($C803="","",ROUND(SUMIFS(应收净额,应收键,$D803,应收行号,"&lt;="&amp;ROW()),2))</f>
        <v/>
      </c>
      <c r="Y803" s="29" t="str">
        <f aca="false">IF($C803="","",ROW())</f>
        <v/>
      </c>
    </row>
    <row r="804" customFormat="false" ht="15" hidden="false" customHeight="false" outlineLevel="0" collapsed="false">
      <c r="A804" s="29" t="str">
        <f aca="false">IF($C804="","",ROW()-4)</f>
        <v/>
      </c>
      <c r="B804" s="35" t="str">
        <f aca="false">IF($C804="","","YS"&amp;TEXT($C804,"yyyymm")&amp;"-"&amp;TEXT(ROW()-4,"0000"))</f>
        <v/>
      </c>
      <c r="C804" s="33"/>
      <c r="D804" s="24"/>
      <c r="E804" s="30" t="str">
        <f aca="false">IF($D804="","",IFERROR(INDEX(合同单位,MATCH($D804,合同键,0)),IFERROR(TRIM(LEFT($D804,FIND("｜",$D804)-1)),$D804)))</f>
        <v/>
      </c>
      <c r="F804" s="30" t="str">
        <f aca="false">IF($D804="","",IFERROR(INDEX(合同项目,MATCH($D804,合同键,0)),IFERROR(TRIM(MID($D804,FIND("｜",$D804)+1,99)),"")))</f>
        <v/>
      </c>
      <c r="G804" s="24"/>
      <c r="H804" s="35" t="str">
        <f aca="false">IF($G804="","",IFERROR(INDEX(费用款别,MATCH($G804,费用类别表,0)),"合同外款"))</f>
        <v/>
      </c>
      <c r="I804" s="33"/>
      <c r="J804" s="33"/>
      <c r="K804" s="39"/>
      <c r="L804" s="33"/>
      <c r="M804" s="25"/>
      <c r="N804" s="39"/>
      <c r="O804" s="35" t="str">
        <f aca="false">IF($C804="","",IF(N($N804)&lt;=0,"未开票",IF(ROUND(N($N804)-N($K804),2)&gt;=0,"已开票",IFERROR("部分开票 "&amp;TEXT(N($N804)/N($K804),"0%"),"部分开票"))))</f>
        <v/>
      </c>
      <c r="P804" s="40" t="str">
        <f aca="false">IF($C804="","",ROUND($V804+MIN($W804,MAX(0,(SUMIF(收款键,$D804,收款金额)-SUMIFS(收款金额,收款键,$D804,收款关联,"&lt;&gt;"))-($X804-$W804))),2))</f>
        <v/>
      </c>
      <c r="Q804" s="41" t="str">
        <f aca="false">IF($C804="","",ROUND(N($K804)-N($P804),2))</f>
        <v/>
      </c>
      <c r="R804" s="29" t="str">
        <f aca="false">IF($C804="","",YEAR($C804))</f>
        <v/>
      </c>
      <c r="S804" s="24"/>
      <c r="T804" s="35" t="str">
        <f aca="false">IF($C804="","",IF($D804="","★没选客户项目",IF(COUNTIF(合同键,$D804)=0,"★《维保合同》里没这个项目",IF(N($K804)&lt;=0,"★应收金额要填",IF(ROUND(N($N804)-N($K804),2)&gt;0.001,"★开票金额大于应收",IF(AND($L804&lt;&gt;"",N($N804)&lt;=0),"★填了开票日期没填开票金额",IF(AND($I804&lt;&gt;"",$J804&lt;&gt;"",$J804&lt;$I804),"★计费期间起止反了","OK")))))))</f>
        <v/>
      </c>
      <c r="U804" s="29" t="str">
        <f aca="false">IF($L804="","",YEAR($L804))</f>
        <v/>
      </c>
      <c r="V804" s="40" t="str">
        <f aca="false">IF($C804="","",ROUND(SUMIF(收款关联,$B804,收款金额),2))</f>
        <v/>
      </c>
      <c r="W804" s="40" t="str">
        <f aca="false">IF($C804="","",MAX(0,ROUND(N($K804)-N($V804),2)))</f>
        <v/>
      </c>
      <c r="X804" s="40" t="str">
        <f aca="false">IF($C804="","",ROUND(SUMIFS(应收净额,应收键,$D804,应收行号,"&lt;="&amp;ROW()),2))</f>
        <v/>
      </c>
      <c r="Y804" s="29" t="str">
        <f aca="false">IF($C804="","",ROW())</f>
        <v/>
      </c>
    </row>
    <row r="805" customFormat="false" ht="15" hidden="false" customHeight="false" outlineLevel="0" collapsed="false">
      <c r="A805" s="29" t="str">
        <f aca="false">IF($C805="","",ROW()-4)</f>
        <v/>
      </c>
      <c r="B805" s="35" t="str">
        <f aca="false">IF($C805="","","YS"&amp;TEXT($C805,"yyyymm")&amp;"-"&amp;TEXT(ROW()-4,"0000"))</f>
        <v/>
      </c>
      <c r="C805" s="33"/>
      <c r="D805" s="24"/>
      <c r="E805" s="30" t="str">
        <f aca="false">IF($D805="","",IFERROR(INDEX(合同单位,MATCH($D805,合同键,0)),IFERROR(TRIM(LEFT($D805,FIND("｜",$D805)-1)),$D805)))</f>
        <v/>
      </c>
      <c r="F805" s="30" t="str">
        <f aca="false">IF($D805="","",IFERROR(INDEX(合同项目,MATCH($D805,合同键,0)),IFERROR(TRIM(MID($D805,FIND("｜",$D805)+1,99)),"")))</f>
        <v/>
      </c>
      <c r="G805" s="24"/>
      <c r="H805" s="35" t="str">
        <f aca="false">IF($G805="","",IFERROR(INDEX(费用款别,MATCH($G805,费用类别表,0)),"合同外款"))</f>
        <v/>
      </c>
      <c r="I805" s="33"/>
      <c r="J805" s="33"/>
      <c r="K805" s="39"/>
      <c r="L805" s="33"/>
      <c r="M805" s="25"/>
      <c r="N805" s="39"/>
      <c r="O805" s="35" t="str">
        <f aca="false">IF($C805="","",IF(N($N805)&lt;=0,"未开票",IF(ROUND(N($N805)-N($K805),2)&gt;=0,"已开票",IFERROR("部分开票 "&amp;TEXT(N($N805)/N($K805),"0%"),"部分开票"))))</f>
        <v/>
      </c>
      <c r="P805" s="40" t="str">
        <f aca="false">IF($C805="","",ROUND($V805+MIN($W805,MAX(0,(SUMIF(收款键,$D805,收款金额)-SUMIFS(收款金额,收款键,$D805,收款关联,"&lt;&gt;"))-($X805-$W805))),2))</f>
        <v/>
      </c>
      <c r="Q805" s="41" t="str">
        <f aca="false">IF($C805="","",ROUND(N($K805)-N($P805),2))</f>
        <v/>
      </c>
      <c r="R805" s="29" t="str">
        <f aca="false">IF($C805="","",YEAR($C805))</f>
        <v/>
      </c>
      <c r="S805" s="24"/>
      <c r="T805" s="35" t="str">
        <f aca="false">IF($C805="","",IF($D805="","★没选客户项目",IF(COUNTIF(合同键,$D805)=0,"★《维保合同》里没这个项目",IF(N($K805)&lt;=0,"★应收金额要填",IF(ROUND(N($N805)-N($K805),2)&gt;0.001,"★开票金额大于应收",IF(AND($L805&lt;&gt;"",N($N805)&lt;=0),"★填了开票日期没填开票金额",IF(AND($I805&lt;&gt;"",$J805&lt;&gt;"",$J805&lt;$I805),"★计费期间起止反了","OK")))))))</f>
        <v/>
      </c>
      <c r="U805" s="29" t="str">
        <f aca="false">IF($L805="","",YEAR($L805))</f>
        <v/>
      </c>
      <c r="V805" s="40" t="str">
        <f aca="false">IF($C805="","",ROUND(SUMIF(收款关联,$B805,收款金额),2))</f>
        <v/>
      </c>
      <c r="W805" s="40" t="str">
        <f aca="false">IF($C805="","",MAX(0,ROUND(N($K805)-N($V805),2)))</f>
        <v/>
      </c>
      <c r="X805" s="40" t="str">
        <f aca="false">IF($C805="","",ROUND(SUMIFS(应收净额,应收键,$D805,应收行号,"&lt;="&amp;ROW()),2))</f>
        <v/>
      </c>
      <c r="Y805" s="29" t="str">
        <f aca="false">IF($C805="","",ROW())</f>
        <v/>
      </c>
    </row>
    <row r="806" customFormat="false" ht="15" hidden="false" customHeight="false" outlineLevel="0" collapsed="false">
      <c r="A806" s="29" t="str">
        <f aca="false">IF($C806="","",ROW()-4)</f>
        <v/>
      </c>
      <c r="B806" s="35" t="str">
        <f aca="false">IF($C806="","","YS"&amp;TEXT($C806,"yyyymm")&amp;"-"&amp;TEXT(ROW()-4,"0000"))</f>
        <v/>
      </c>
      <c r="C806" s="33"/>
      <c r="D806" s="24"/>
      <c r="E806" s="30" t="str">
        <f aca="false">IF($D806="","",IFERROR(INDEX(合同单位,MATCH($D806,合同键,0)),IFERROR(TRIM(LEFT($D806,FIND("｜",$D806)-1)),$D806)))</f>
        <v/>
      </c>
      <c r="F806" s="30" t="str">
        <f aca="false">IF($D806="","",IFERROR(INDEX(合同项目,MATCH($D806,合同键,0)),IFERROR(TRIM(MID($D806,FIND("｜",$D806)+1,99)),"")))</f>
        <v/>
      </c>
      <c r="G806" s="24"/>
      <c r="H806" s="35" t="str">
        <f aca="false">IF($G806="","",IFERROR(INDEX(费用款别,MATCH($G806,费用类别表,0)),"合同外款"))</f>
        <v/>
      </c>
      <c r="I806" s="33"/>
      <c r="J806" s="33"/>
      <c r="K806" s="39"/>
      <c r="L806" s="33"/>
      <c r="M806" s="25"/>
      <c r="N806" s="39"/>
      <c r="O806" s="35" t="str">
        <f aca="false">IF($C806="","",IF(N($N806)&lt;=0,"未开票",IF(ROUND(N($N806)-N($K806),2)&gt;=0,"已开票",IFERROR("部分开票 "&amp;TEXT(N($N806)/N($K806),"0%"),"部分开票"))))</f>
        <v/>
      </c>
      <c r="P806" s="40" t="str">
        <f aca="false">IF($C806="","",ROUND($V806+MIN($W806,MAX(0,(SUMIF(收款键,$D806,收款金额)-SUMIFS(收款金额,收款键,$D806,收款关联,"&lt;&gt;"))-($X806-$W806))),2))</f>
        <v/>
      </c>
      <c r="Q806" s="41" t="str">
        <f aca="false">IF($C806="","",ROUND(N($K806)-N($P806),2))</f>
        <v/>
      </c>
      <c r="R806" s="29" t="str">
        <f aca="false">IF($C806="","",YEAR($C806))</f>
        <v/>
      </c>
      <c r="S806" s="24"/>
      <c r="T806" s="35" t="str">
        <f aca="false">IF($C806="","",IF($D806="","★没选客户项目",IF(COUNTIF(合同键,$D806)=0,"★《维保合同》里没这个项目",IF(N($K806)&lt;=0,"★应收金额要填",IF(ROUND(N($N806)-N($K806),2)&gt;0.001,"★开票金额大于应收",IF(AND($L806&lt;&gt;"",N($N806)&lt;=0),"★填了开票日期没填开票金额",IF(AND($I806&lt;&gt;"",$J806&lt;&gt;"",$J806&lt;$I806),"★计费期间起止反了","OK")))))))</f>
        <v/>
      </c>
      <c r="U806" s="29" t="str">
        <f aca="false">IF($L806="","",YEAR($L806))</f>
        <v/>
      </c>
      <c r="V806" s="40" t="str">
        <f aca="false">IF($C806="","",ROUND(SUMIF(收款关联,$B806,收款金额),2))</f>
        <v/>
      </c>
      <c r="W806" s="40" t="str">
        <f aca="false">IF($C806="","",MAX(0,ROUND(N($K806)-N($V806),2)))</f>
        <v/>
      </c>
      <c r="X806" s="40" t="str">
        <f aca="false">IF($C806="","",ROUND(SUMIFS(应收净额,应收键,$D806,应收行号,"&lt;="&amp;ROW()),2))</f>
        <v/>
      </c>
      <c r="Y806" s="29" t="str">
        <f aca="false">IF($C806="","",ROW())</f>
        <v/>
      </c>
    </row>
    <row r="807" customFormat="false" ht="15" hidden="false" customHeight="false" outlineLevel="0" collapsed="false">
      <c r="A807" s="29" t="str">
        <f aca="false">IF($C807="","",ROW()-4)</f>
        <v/>
      </c>
      <c r="B807" s="35" t="str">
        <f aca="false">IF($C807="","","YS"&amp;TEXT($C807,"yyyymm")&amp;"-"&amp;TEXT(ROW()-4,"0000"))</f>
        <v/>
      </c>
      <c r="C807" s="33"/>
      <c r="D807" s="24"/>
      <c r="E807" s="30" t="str">
        <f aca="false">IF($D807="","",IFERROR(INDEX(合同单位,MATCH($D807,合同键,0)),IFERROR(TRIM(LEFT($D807,FIND("｜",$D807)-1)),$D807)))</f>
        <v/>
      </c>
      <c r="F807" s="30" t="str">
        <f aca="false">IF($D807="","",IFERROR(INDEX(合同项目,MATCH($D807,合同键,0)),IFERROR(TRIM(MID($D807,FIND("｜",$D807)+1,99)),"")))</f>
        <v/>
      </c>
      <c r="G807" s="24"/>
      <c r="H807" s="35" t="str">
        <f aca="false">IF($G807="","",IFERROR(INDEX(费用款别,MATCH($G807,费用类别表,0)),"合同外款"))</f>
        <v/>
      </c>
      <c r="I807" s="33"/>
      <c r="J807" s="33"/>
      <c r="K807" s="39"/>
      <c r="L807" s="33"/>
      <c r="M807" s="25"/>
      <c r="N807" s="39"/>
      <c r="O807" s="35" t="str">
        <f aca="false">IF($C807="","",IF(N($N807)&lt;=0,"未开票",IF(ROUND(N($N807)-N($K807),2)&gt;=0,"已开票",IFERROR("部分开票 "&amp;TEXT(N($N807)/N($K807),"0%"),"部分开票"))))</f>
        <v/>
      </c>
      <c r="P807" s="40" t="str">
        <f aca="false">IF($C807="","",ROUND($V807+MIN($W807,MAX(0,(SUMIF(收款键,$D807,收款金额)-SUMIFS(收款金额,收款键,$D807,收款关联,"&lt;&gt;"))-($X807-$W807))),2))</f>
        <v/>
      </c>
      <c r="Q807" s="41" t="str">
        <f aca="false">IF($C807="","",ROUND(N($K807)-N($P807),2))</f>
        <v/>
      </c>
      <c r="R807" s="29" t="str">
        <f aca="false">IF($C807="","",YEAR($C807))</f>
        <v/>
      </c>
      <c r="S807" s="24"/>
      <c r="T807" s="35" t="str">
        <f aca="false">IF($C807="","",IF($D807="","★没选客户项目",IF(COUNTIF(合同键,$D807)=0,"★《维保合同》里没这个项目",IF(N($K807)&lt;=0,"★应收金额要填",IF(ROUND(N($N807)-N($K807),2)&gt;0.001,"★开票金额大于应收",IF(AND($L807&lt;&gt;"",N($N807)&lt;=0),"★填了开票日期没填开票金额",IF(AND($I807&lt;&gt;"",$J807&lt;&gt;"",$J807&lt;$I807),"★计费期间起止反了","OK")))))))</f>
        <v/>
      </c>
      <c r="U807" s="29" t="str">
        <f aca="false">IF($L807="","",YEAR($L807))</f>
        <v/>
      </c>
      <c r="V807" s="40" t="str">
        <f aca="false">IF($C807="","",ROUND(SUMIF(收款关联,$B807,收款金额),2))</f>
        <v/>
      </c>
      <c r="W807" s="40" t="str">
        <f aca="false">IF($C807="","",MAX(0,ROUND(N($K807)-N($V807),2)))</f>
        <v/>
      </c>
      <c r="X807" s="40" t="str">
        <f aca="false">IF($C807="","",ROUND(SUMIFS(应收净额,应收键,$D807,应收行号,"&lt;="&amp;ROW()),2))</f>
        <v/>
      </c>
      <c r="Y807" s="29" t="str">
        <f aca="false">IF($C807="","",ROW())</f>
        <v/>
      </c>
    </row>
    <row r="808" customFormat="false" ht="15" hidden="false" customHeight="false" outlineLevel="0" collapsed="false">
      <c r="A808" s="29" t="str">
        <f aca="false">IF($C808="","",ROW()-4)</f>
        <v/>
      </c>
      <c r="B808" s="35" t="str">
        <f aca="false">IF($C808="","","YS"&amp;TEXT($C808,"yyyymm")&amp;"-"&amp;TEXT(ROW()-4,"0000"))</f>
        <v/>
      </c>
      <c r="C808" s="33"/>
      <c r="D808" s="24"/>
      <c r="E808" s="30" t="str">
        <f aca="false">IF($D808="","",IFERROR(INDEX(合同单位,MATCH($D808,合同键,0)),IFERROR(TRIM(LEFT($D808,FIND("｜",$D808)-1)),$D808)))</f>
        <v/>
      </c>
      <c r="F808" s="30" t="str">
        <f aca="false">IF($D808="","",IFERROR(INDEX(合同项目,MATCH($D808,合同键,0)),IFERROR(TRIM(MID($D808,FIND("｜",$D808)+1,99)),"")))</f>
        <v/>
      </c>
      <c r="G808" s="24"/>
      <c r="H808" s="35" t="str">
        <f aca="false">IF($G808="","",IFERROR(INDEX(费用款别,MATCH($G808,费用类别表,0)),"合同外款"))</f>
        <v/>
      </c>
      <c r="I808" s="33"/>
      <c r="J808" s="33"/>
      <c r="K808" s="39"/>
      <c r="L808" s="33"/>
      <c r="M808" s="25"/>
      <c r="N808" s="39"/>
      <c r="O808" s="35" t="str">
        <f aca="false">IF($C808="","",IF(N($N808)&lt;=0,"未开票",IF(ROUND(N($N808)-N($K808),2)&gt;=0,"已开票",IFERROR("部分开票 "&amp;TEXT(N($N808)/N($K808),"0%"),"部分开票"))))</f>
        <v/>
      </c>
      <c r="P808" s="40" t="str">
        <f aca="false">IF($C808="","",ROUND($V808+MIN($W808,MAX(0,(SUMIF(收款键,$D808,收款金额)-SUMIFS(收款金额,收款键,$D808,收款关联,"&lt;&gt;"))-($X808-$W808))),2))</f>
        <v/>
      </c>
      <c r="Q808" s="41" t="str">
        <f aca="false">IF($C808="","",ROUND(N($K808)-N($P808),2))</f>
        <v/>
      </c>
      <c r="R808" s="29" t="str">
        <f aca="false">IF($C808="","",YEAR($C808))</f>
        <v/>
      </c>
      <c r="S808" s="24"/>
      <c r="T808" s="35" t="str">
        <f aca="false">IF($C808="","",IF($D808="","★没选客户项目",IF(COUNTIF(合同键,$D808)=0,"★《维保合同》里没这个项目",IF(N($K808)&lt;=0,"★应收金额要填",IF(ROUND(N($N808)-N($K808),2)&gt;0.001,"★开票金额大于应收",IF(AND($L808&lt;&gt;"",N($N808)&lt;=0),"★填了开票日期没填开票金额",IF(AND($I808&lt;&gt;"",$J808&lt;&gt;"",$J808&lt;$I808),"★计费期间起止反了","OK")))))))</f>
        <v/>
      </c>
      <c r="U808" s="29" t="str">
        <f aca="false">IF($L808="","",YEAR($L808))</f>
        <v/>
      </c>
      <c r="V808" s="40" t="str">
        <f aca="false">IF($C808="","",ROUND(SUMIF(收款关联,$B808,收款金额),2))</f>
        <v/>
      </c>
      <c r="W808" s="40" t="str">
        <f aca="false">IF($C808="","",MAX(0,ROUND(N($K808)-N($V808),2)))</f>
        <v/>
      </c>
      <c r="X808" s="40" t="str">
        <f aca="false">IF($C808="","",ROUND(SUMIFS(应收净额,应收键,$D808,应收行号,"&lt;="&amp;ROW()),2))</f>
        <v/>
      </c>
      <c r="Y808" s="29" t="str">
        <f aca="false">IF($C808="","",ROW())</f>
        <v/>
      </c>
    </row>
    <row r="809" customFormat="false" ht="15" hidden="false" customHeight="false" outlineLevel="0" collapsed="false">
      <c r="A809" s="29" t="str">
        <f aca="false">IF($C809="","",ROW()-4)</f>
        <v/>
      </c>
      <c r="B809" s="35" t="str">
        <f aca="false">IF($C809="","","YS"&amp;TEXT($C809,"yyyymm")&amp;"-"&amp;TEXT(ROW()-4,"0000"))</f>
        <v/>
      </c>
      <c r="C809" s="33"/>
      <c r="D809" s="24"/>
      <c r="E809" s="30" t="str">
        <f aca="false">IF($D809="","",IFERROR(INDEX(合同单位,MATCH($D809,合同键,0)),IFERROR(TRIM(LEFT($D809,FIND("｜",$D809)-1)),$D809)))</f>
        <v/>
      </c>
      <c r="F809" s="30" t="str">
        <f aca="false">IF($D809="","",IFERROR(INDEX(合同项目,MATCH($D809,合同键,0)),IFERROR(TRIM(MID($D809,FIND("｜",$D809)+1,99)),"")))</f>
        <v/>
      </c>
      <c r="G809" s="24"/>
      <c r="H809" s="35" t="str">
        <f aca="false">IF($G809="","",IFERROR(INDEX(费用款别,MATCH($G809,费用类别表,0)),"合同外款"))</f>
        <v/>
      </c>
      <c r="I809" s="33"/>
      <c r="J809" s="33"/>
      <c r="K809" s="39"/>
      <c r="L809" s="33"/>
      <c r="M809" s="25"/>
      <c r="N809" s="39"/>
      <c r="O809" s="35" t="str">
        <f aca="false">IF($C809="","",IF(N($N809)&lt;=0,"未开票",IF(ROUND(N($N809)-N($K809),2)&gt;=0,"已开票",IFERROR("部分开票 "&amp;TEXT(N($N809)/N($K809),"0%"),"部分开票"))))</f>
        <v/>
      </c>
      <c r="P809" s="40" t="str">
        <f aca="false">IF($C809="","",ROUND($V809+MIN($W809,MAX(0,(SUMIF(收款键,$D809,收款金额)-SUMIFS(收款金额,收款键,$D809,收款关联,"&lt;&gt;"))-($X809-$W809))),2))</f>
        <v/>
      </c>
      <c r="Q809" s="41" t="str">
        <f aca="false">IF($C809="","",ROUND(N($K809)-N($P809),2))</f>
        <v/>
      </c>
      <c r="R809" s="29" t="str">
        <f aca="false">IF($C809="","",YEAR($C809))</f>
        <v/>
      </c>
      <c r="S809" s="24"/>
      <c r="T809" s="35" t="str">
        <f aca="false">IF($C809="","",IF($D809="","★没选客户项目",IF(COUNTIF(合同键,$D809)=0,"★《维保合同》里没这个项目",IF(N($K809)&lt;=0,"★应收金额要填",IF(ROUND(N($N809)-N($K809),2)&gt;0.001,"★开票金额大于应收",IF(AND($L809&lt;&gt;"",N($N809)&lt;=0),"★填了开票日期没填开票金额",IF(AND($I809&lt;&gt;"",$J809&lt;&gt;"",$J809&lt;$I809),"★计费期间起止反了","OK")))))))</f>
        <v/>
      </c>
      <c r="U809" s="29" t="str">
        <f aca="false">IF($L809="","",YEAR($L809))</f>
        <v/>
      </c>
      <c r="V809" s="40" t="str">
        <f aca="false">IF($C809="","",ROUND(SUMIF(收款关联,$B809,收款金额),2))</f>
        <v/>
      </c>
      <c r="W809" s="40" t="str">
        <f aca="false">IF($C809="","",MAX(0,ROUND(N($K809)-N($V809),2)))</f>
        <v/>
      </c>
      <c r="X809" s="40" t="str">
        <f aca="false">IF($C809="","",ROUND(SUMIFS(应收净额,应收键,$D809,应收行号,"&lt;="&amp;ROW()),2))</f>
        <v/>
      </c>
      <c r="Y809" s="29" t="str">
        <f aca="false">IF($C809="","",ROW())</f>
        <v/>
      </c>
    </row>
    <row r="810" customFormat="false" ht="15" hidden="false" customHeight="false" outlineLevel="0" collapsed="false">
      <c r="A810" s="29" t="str">
        <f aca="false">IF($C810="","",ROW()-4)</f>
        <v/>
      </c>
      <c r="B810" s="35" t="str">
        <f aca="false">IF($C810="","","YS"&amp;TEXT($C810,"yyyymm")&amp;"-"&amp;TEXT(ROW()-4,"0000"))</f>
        <v/>
      </c>
      <c r="C810" s="33"/>
      <c r="D810" s="24"/>
      <c r="E810" s="30" t="str">
        <f aca="false">IF($D810="","",IFERROR(INDEX(合同单位,MATCH($D810,合同键,0)),IFERROR(TRIM(LEFT($D810,FIND("｜",$D810)-1)),$D810)))</f>
        <v/>
      </c>
      <c r="F810" s="30" t="str">
        <f aca="false">IF($D810="","",IFERROR(INDEX(合同项目,MATCH($D810,合同键,0)),IFERROR(TRIM(MID($D810,FIND("｜",$D810)+1,99)),"")))</f>
        <v/>
      </c>
      <c r="G810" s="24"/>
      <c r="H810" s="35" t="str">
        <f aca="false">IF($G810="","",IFERROR(INDEX(费用款别,MATCH($G810,费用类别表,0)),"合同外款"))</f>
        <v/>
      </c>
      <c r="I810" s="33"/>
      <c r="J810" s="33"/>
      <c r="K810" s="39"/>
      <c r="L810" s="33"/>
      <c r="M810" s="25"/>
      <c r="N810" s="39"/>
      <c r="O810" s="35" t="str">
        <f aca="false">IF($C810="","",IF(N($N810)&lt;=0,"未开票",IF(ROUND(N($N810)-N($K810),2)&gt;=0,"已开票",IFERROR("部分开票 "&amp;TEXT(N($N810)/N($K810),"0%"),"部分开票"))))</f>
        <v/>
      </c>
      <c r="P810" s="40" t="str">
        <f aca="false">IF($C810="","",ROUND($V810+MIN($W810,MAX(0,(SUMIF(收款键,$D810,收款金额)-SUMIFS(收款金额,收款键,$D810,收款关联,"&lt;&gt;"))-($X810-$W810))),2))</f>
        <v/>
      </c>
      <c r="Q810" s="41" t="str">
        <f aca="false">IF($C810="","",ROUND(N($K810)-N($P810),2))</f>
        <v/>
      </c>
      <c r="R810" s="29" t="str">
        <f aca="false">IF($C810="","",YEAR($C810))</f>
        <v/>
      </c>
      <c r="S810" s="24"/>
      <c r="T810" s="35" t="str">
        <f aca="false">IF($C810="","",IF($D810="","★没选客户项目",IF(COUNTIF(合同键,$D810)=0,"★《维保合同》里没这个项目",IF(N($K810)&lt;=0,"★应收金额要填",IF(ROUND(N($N810)-N($K810),2)&gt;0.001,"★开票金额大于应收",IF(AND($L810&lt;&gt;"",N($N810)&lt;=0),"★填了开票日期没填开票金额",IF(AND($I810&lt;&gt;"",$J810&lt;&gt;"",$J810&lt;$I810),"★计费期间起止反了","OK")))))))</f>
        <v/>
      </c>
      <c r="U810" s="29" t="str">
        <f aca="false">IF($L810="","",YEAR($L810))</f>
        <v/>
      </c>
      <c r="V810" s="40" t="str">
        <f aca="false">IF($C810="","",ROUND(SUMIF(收款关联,$B810,收款金额),2))</f>
        <v/>
      </c>
      <c r="W810" s="40" t="str">
        <f aca="false">IF($C810="","",MAX(0,ROUND(N($K810)-N($V810),2)))</f>
        <v/>
      </c>
      <c r="X810" s="40" t="str">
        <f aca="false">IF($C810="","",ROUND(SUMIFS(应收净额,应收键,$D810,应收行号,"&lt;="&amp;ROW()),2))</f>
        <v/>
      </c>
      <c r="Y810" s="29" t="str">
        <f aca="false">IF($C810="","",ROW())</f>
        <v/>
      </c>
    </row>
    <row r="811" customFormat="false" ht="15" hidden="false" customHeight="false" outlineLevel="0" collapsed="false">
      <c r="A811" s="29" t="str">
        <f aca="false">IF($C811="","",ROW()-4)</f>
        <v/>
      </c>
      <c r="B811" s="35" t="str">
        <f aca="false">IF($C811="","","YS"&amp;TEXT($C811,"yyyymm")&amp;"-"&amp;TEXT(ROW()-4,"0000"))</f>
        <v/>
      </c>
      <c r="C811" s="33"/>
      <c r="D811" s="24"/>
      <c r="E811" s="30" t="str">
        <f aca="false">IF($D811="","",IFERROR(INDEX(合同单位,MATCH($D811,合同键,0)),IFERROR(TRIM(LEFT($D811,FIND("｜",$D811)-1)),$D811)))</f>
        <v/>
      </c>
      <c r="F811" s="30" t="str">
        <f aca="false">IF($D811="","",IFERROR(INDEX(合同项目,MATCH($D811,合同键,0)),IFERROR(TRIM(MID($D811,FIND("｜",$D811)+1,99)),"")))</f>
        <v/>
      </c>
      <c r="G811" s="24"/>
      <c r="H811" s="35" t="str">
        <f aca="false">IF($G811="","",IFERROR(INDEX(费用款别,MATCH($G811,费用类别表,0)),"合同外款"))</f>
        <v/>
      </c>
      <c r="I811" s="33"/>
      <c r="J811" s="33"/>
      <c r="K811" s="39"/>
      <c r="L811" s="33"/>
      <c r="M811" s="25"/>
      <c r="N811" s="39"/>
      <c r="O811" s="35" t="str">
        <f aca="false">IF($C811="","",IF(N($N811)&lt;=0,"未开票",IF(ROUND(N($N811)-N($K811),2)&gt;=0,"已开票",IFERROR("部分开票 "&amp;TEXT(N($N811)/N($K811),"0%"),"部分开票"))))</f>
        <v/>
      </c>
      <c r="P811" s="40" t="str">
        <f aca="false">IF($C811="","",ROUND($V811+MIN($W811,MAX(0,(SUMIF(收款键,$D811,收款金额)-SUMIFS(收款金额,收款键,$D811,收款关联,"&lt;&gt;"))-($X811-$W811))),2))</f>
        <v/>
      </c>
      <c r="Q811" s="41" t="str">
        <f aca="false">IF($C811="","",ROUND(N($K811)-N($P811),2))</f>
        <v/>
      </c>
      <c r="R811" s="29" t="str">
        <f aca="false">IF($C811="","",YEAR($C811))</f>
        <v/>
      </c>
      <c r="S811" s="24"/>
      <c r="T811" s="35" t="str">
        <f aca="false">IF($C811="","",IF($D811="","★没选客户项目",IF(COUNTIF(合同键,$D811)=0,"★《维保合同》里没这个项目",IF(N($K811)&lt;=0,"★应收金额要填",IF(ROUND(N($N811)-N($K811),2)&gt;0.001,"★开票金额大于应收",IF(AND($L811&lt;&gt;"",N($N811)&lt;=0),"★填了开票日期没填开票金额",IF(AND($I811&lt;&gt;"",$J811&lt;&gt;"",$J811&lt;$I811),"★计费期间起止反了","OK")))))))</f>
        <v/>
      </c>
      <c r="U811" s="29" t="str">
        <f aca="false">IF($L811="","",YEAR($L811))</f>
        <v/>
      </c>
      <c r="V811" s="40" t="str">
        <f aca="false">IF($C811="","",ROUND(SUMIF(收款关联,$B811,收款金额),2))</f>
        <v/>
      </c>
      <c r="W811" s="40" t="str">
        <f aca="false">IF($C811="","",MAX(0,ROUND(N($K811)-N($V811),2)))</f>
        <v/>
      </c>
      <c r="X811" s="40" t="str">
        <f aca="false">IF($C811="","",ROUND(SUMIFS(应收净额,应收键,$D811,应收行号,"&lt;="&amp;ROW()),2))</f>
        <v/>
      </c>
      <c r="Y811" s="29" t="str">
        <f aca="false">IF($C811="","",ROW())</f>
        <v/>
      </c>
    </row>
    <row r="812" customFormat="false" ht="15" hidden="false" customHeight="false" outlineLevel="0" collapsed="false">
      <c r="A812" s="29" t="str">
        <f aca="false">IF($C812="","",ROW()-4)</f>
        <v/>
      </c>
      <c r="B812" s="35" t="str">
        <f aca="false">IF($C812="","","YS"&amp;TEXT($C812,"yyyymm")&amp;"-"&amp;TEXT(ROW()-4,"0000"))</f>
        <v/>
      </c>
      <c r="C812" s="33"/>
      <c r="D812" s="24"/>
      <c r="E812" s="30" t="str">
        <f aca="false">IF($D812="","",IFERROR(INDEX(合同单位,MATCH($D812,合同键,0)),IFERROR(TRIM(LEFT($D812,FIND("｜",$D812)-1)),$D812)))</f>
        <v/>
      </c>
      <c r="F812" s="30" t="str">
        <f aca="false">IF($D812="","",IFERROR(INDEX(合同项目,MATCH($D812,合同键,0)),IFERROR(TRIM(MID($D812,FIND("｜",$D812)+1,99)),"")))</f>
        <v/>
      </c>
      <c r="G812" s="24"/>
      <c r="H812" s="35" t="str">
        <f aca="false">IF($G812="","",IFERROR(INDEX(费用款别,MATCH($G812,费用类别表,0)),"合同外款"))</f>
        <v/>
      </c>
      <c r="I812" s="33"/>
      <c r="J812" s="33"/>
      <c r="K812" s="39"/>
      <c r="L812" s="33"/>
      <c r="M812" s="25"/>
      <c r="N812" s="39"/>
      <c r="O812" s="35" t="str">
        <f aca="false">IF($C812="","",IF(N($N812)&lt;=0,"未开票",IF(ROUND(N($N812)-N($K812),2)&gt;=0,"已开票",IFERROR("部分开票 "&amp;TEXT(N($N812)/N($K812),"0%"),"部分开票"))))</f>
        <v/>
      </c>
      <c r="P812" s="40" t="str">
        <f aca="false">IF($C812="","",ROUND($V812+MIN($W812,MAX(0,(SUMIF(收款键,$D812,收款金额)-SUMIFS(收款金额,收款键,$D812,收款关联,"&lt;&gt;"))-($X812-$W812))),2))</f>
        <v/>
      </c>
      <c r="Q812" s="41" t="str">
        <f aca="false">IF($C812="","",ROUND(N($K812)-N($P812),2))</f>
        <v/>
      </c>
      <c r="R812" s="29" t="str">
        <f aca="false">IF($C812="","",YEAR($C812))</f>
        <v/>
      </c>
      <c r="S812" s="24"/>
      <c r="T812" s="35" t="str">
        <f aca="false">IF($C812="","",IF($D812="","★没选客户项目",IF(COUNTIF(合同键,$D812)=0,"★《维保合同》里没这个项目",IF(N($K812)&lt;=0,"★应收金额要填",IF(ROUND(N($N812)-N($K812),2)&gt;0.001,"★开票金额大于应收",IF(AND($L812&lt;&gt;"",N($N812)&lt;=0),"★填了开票日期没填开票金额",IF(AND($I812&lt;&gt;"",$J812&lt;&gt;"",$J812&lt;$I812),"★计费期间起止反了","OK")))))))</f>
        <v/>
      </c>
      <c r="U812" s="29" t="str">
        <f aca="false">IF($L812="","",YEAR($L812))</f>
        <v/>
      </c>
      <c r="V812" s="40" t="str">
        <f aca="false">IF($C812="","",ROUND(SUMIF(收款关联,$B812,收款金额),2))</f>
        <v/>
      </c>
      <c r="W812" s="40" t="str">
        <f aca="false">IF($C812="","",MAX(0,ROUND(N($K812)-N($V812),2)))</f>
        <v/>
      </c>
      <c r="X812" s="40" t="str">
        <f aca="false">IF($C812="","",ROUND(SUMIFS(应收净额,应收键,$D812,应收行号,"&lt;="&amp;ROW()),2))</f>
        <v/>
      </c>
      <c r="Y812" s="29" t="str">
        <f aca="false">IF($C812="","",ROW())</f>
        <v/>
      </c>
    </row>
    <row r="813" customFormat="false" ht="15" hidden="false" customHeight="false" outlineLevel="0" collapsed="false">
      <c r="A813" s="29" t="str">
        <f aca="false">IF($C813="","",ROW()-4)</f>
        <v/>
      </c>
      <c r="B813" s="35" t="str">
        <f aca="false">IF($C813="","","YS"&amp;TEXT($C813,"yyyymm")&amp;"-"&amp;TEXT(ROW()-4,"0000"))</f>
        <v/>
      </c>
      <c r="C813" s="33"/>
      <c r="D813" s="24"/>
      <c r="E813" s="30" t="str">
        <f aca="false">IF($D813="","",IFERROR(INDEX(合同单位,MATCH($D813,合同键,0)),IFERROR(TRIM(LEFT($D813,FIND("｜",$D813)-1)),$D813)))</f>
        <v/>
      </c>
      <c r="F813" s="30" t="str">
        <f aca="false">IF($D813="","",IFERROR(INDEX(合同项目,MATCH($D813,合同键,0)),IFERROR(TRIM(MID($D813,FIND("｜",$D813)+1,99)),"")))</f>
        <v/>
      </c>
      <c r="G813" s="24"/>
      <c r="H813" s="35" t="str">
        <f aca="false">IF($G813="","",IFERROR(INDEX(费用款别,MATCH($G813,费用类别表,0)),"合同外款"))</f>
        <v/>
      </c>
      <c r="I813" s="33"/>
      <c r="J813" s="33"/>
      <c r="K813" s="39"/>
      <c r="L813" s="33"/>
      <c r="M813" s="25"/>
      <c r="N813" s="39"/>
      <c r="O813" s="35" t="str">
        <f aca="false">IF($C813="","",IF(N($N813)&lt;=0,"未开票",IF(ROUND(N($N813)-N($K813),2)&gt;=0,"已开票",IFERROR("部分开票 "&amp;TEXT(N($N813)/N($K813),"0%"),"部分开票"))))</f>
        <v/>
      </c>
      <c r="P813" s="40" t="str">
        <f aca="false">IF($C813="","",ROUND($V813+MIN($W813,MAX(0,(SUMIF(收款键,$D813,收款金额)-SUMIFS(收款金额,收款键,$D813,收款关联,"&lt;&gt;"))-($X813-$W813))),2))</f>
        <v/>
      </c>
      <c r="Q813" s="41" t="str">
        <f aca="false">IF($C813="","",ROUND(N($K813)-N($P813),2))</f>
        <v/>
      </c>
      <c r="R813" s="29" t="str">
        <f aca="false">IF($C813="","",YEAR($C813))</f>
        <v/>
      </c>
      <c r="S813" s="24"/>
      <c r="T813" s="35" t="str">
        <f aca="false">IF($C813="","",IF($D813="","★没选客户项目",IF(COUNTIF(合同键,$D813)=0,"★《维保合同》里没这个项目",IF(N($K813)&lt;=0,"★应收金额要填",IF(ROUND(N($N813)-N($K813),2)&gt;0.001,"★开票金额大于应收",IF(AND($L813&lt;&gt;"",N($N813)&lt;=0),"★填了开票日期没填开票金额",IF(AND($I813&lt;&gt;"",$J813&lt;&gt;"",$J813&lt;$I813),"★计费期间起止反了","OK")))))))</f>
        <v/>
      </c>
      <c r="U813" s="29" t="str">
        <f aca="false">IF($L813="","",YEAR($L813))</f>
        <v/>
      </c>
      <c r="V813" s="40" t="str">
        <f aca="false">IF($C813="","",ROUND(SUMIF(收款关联,$B813,收款金额),2))</f>
        <v/>
      </c>
      <c r="W813" s="40" t="str">
        <f aca="false">IF($C813="","",MAX(0,ROUND(N($K813)-N($V813),2)))</f>
        <v/>
      </c>
      <c r="X813" s="40" t="str">
        <f aca="false">IF($C813="","",ROUND(SUMIFS(应收净额,应收键,$D813,应收行号,"&lt;="&amp;ROW()),2))</f>
        <v/>
      </c>
      <c r="Y813" s="29" t="str">
        <f aca="false">IF($C813="","",ROW())</f>
        <v/>
      </c>
    </row>
    <row r="814" customFormat="false" ht="15" hidden="false" customHeight="false" outlineLevel="0" collapsed="false">
      <c r="A814" s="29" t="str">
        <f aca="false">IF($C814="","",ROW()-4)</f>
        <v/>
      </c>
      <c r="B814" s="35" t="str">
        <f aca="false">IF($C814="","","YS"&amp;TEXT($C814,"yyyymm")&amp;"-"&amp;TEXT(ROW()-4,"0000"))</f>
        <v/>
      </c>
      <c r="C814" s="33"/>
      <c r="D814" s="24"/>
      <c r="E814" s="30" t="str">
        <f aca="false">IF($D814="","",IFERROR(INDEX(合同单位,MATCH($D814,合同键,0)),IFERROR(TRIM(LEFT($D814,FIND("｜",$D814)-1)),$D814)))</f>
        <v/>
      </c>
      <c r="F814" s="30" t="str">
        <f aca="false">IF($D814="","",IFERROR(INDEX(合同项目,MATCH($D814,合同键,0)),IFERROR(TRIM(MID($D814,FIND("｜",$D814)+1,99)),"")))</f>
        <v/>
      </c>
      <c r="G814" s="24"/>
      <c r="H814" s="35" t="str">
        <f aca="false">IF($G814="","",IFERROR(INDEX(费用款别,MATCH($G814,费用类别表,0)),"合同外款"))</f>
        <v/>
      </c>
      <c r="I814" s="33"/>
      <c r="J814" s="33"/>
      <c r="K814" s="39"/>
      <c r="L814" s="33"/>
      <c r="M814" s="25"/>
      <c r="N814" s="39"/>
      <c r="O814" s="35" t="str">
        <f aca="false">IF($C814="","",IF(N($N814)&lt;=0,"未开票",IF(ROUND(N($N814)-N($K814),2)&gt;=0,"已开票",IFERROR("部分开票 "&amp;TEXT(N($N814)/N($K814),"0%"),"部分开票"))))</f>
        <v/>
      </c>
      <c r="P814" s="40" t="str">
        <f aca="false">IF($C814="","",ROUND($V814+MIN($W814,MAX(0,(SUMIF(收款键,$D814,收款金额)-SUMIFS(收款金额,收款键,$D814,收款关联,"&lt;&gt;"))-($X814-$W814))),2))</f>
        <v/>
      </c>
      <c r="Q814" s="41" t="str">
        <f aca="false">IF($C814="","",ROUND(N($K814)-N($P814),2))</f>
        <v/>
      </c>
      <c r="R814" s="29" t="str">
        <f aca="false">IF($C814="","",YEAR($C814))</f>
        <v/>
      </c>
      <c r="S814" s="24"/>
      <c r="T814" s="35" t="str">
        <f aca="false">IF($C814="","",IF($D814="","★没选客户项目",IF(COUNTIF(合同键,$D814)=0,"★《维保合同》里没这个项目",IF(N($K814)&lt;=0,"★应收金额要填",IF(ROUND(N($N814)-N($K814),2)&gt;0.001,"★开票金额大于应收",IF(AND($L814&lt;&gt;"",N($N814)&lt;=0),"★填了开票日期没填开票金额",IF(AND($I814&lt;&gt;"",$J814&lt;&gt;"",$J814&lt;$I814),"★计费期间起止反了","OK")))))))</f>
        <v/>
      </c>
      <c r="U814" s="29" t="str">
        <f aca="false">IF($L814="","",YEAR($L814))</f>
        <v/>
      </c>
      <c r="V814" s="40" t="str">
        <f aca="false">IF($C814="","",ROUND(SUMIF(收款关联,$B814,收款金额),2))</f>
        <v/>
      </c>
      <c r="W814" s="40" t="str">
        <f aca="false">IF($C814="","",MAX(0,ROUND(N($K814)-N($V814),2)))</f>
        <v/>
      </c>
      <c r="X814" s="40" t="str">
        <f aca="false">IF($C814="","",ROUND(SUMIFS(应收净额,应收键,$D814,应收行号,"&lt;="&amp;ROW()),2))</f>
        <v/>
      </c>
      <c r="Y814" s="29" t="str">
        <f aca="false">IF($C814="","",ROW())</f>
        <v/>
      </c>
    </row>
    <row r="815" customFormat="false" ht="15" hidden="false" customHeight="false" outlineLevel="0" collapsed="false">
      <c r="A815" s="29" t="str">
        <f aca="false">IF($C815="","",ROW()-4)</f>
        <v/>
      </c>
      <c r="B815" s="35" t="str">
        <f aca="false">IF($C815="","","YS"&amp;TEXT($C815,"yyyymm")&amp;"-"&amp;TEXT(ROW()-4,"0000"))</f>
        <v/>
      </c>
      <c r="C815" s="33"/>
      <c r="D815" s="24"/>
      <c r="E815" s="30" t="str">
        <f aca="false">IF($D815="","",IFERROR(INDEX(合同单位,MATCH($D815,合同键,0)),IFERROR(TRIM(LEFT($D815,FIND("｜",$D815)-1)),$D815)))</f>
        <v/>
      </c>
      <c r="F815" s="30" t="str">
        <f aca="false">IF($D815="","",IFERROR(INDEX(合同项目,MATCH($D815,合同键,0)),IFERROR(TRIM(MID($D815,FIND("｜",$D815)+1,99)),"")))</f>
        <v/>
      </c>
      <c r="G815" s="24"/>
      <c r="H815" s="35" t="str">
        <f aca="false">IF($G815="","",IFERROR(INDEX(费用款别,MATCH($G815,费用类别表,0)),"合同外款"))</f>
        <v/>
      </c>
      <c r="I815" s="33"/>
      <c r="J815" s="33"/>
      <c r="K815" s="39"/>
      <c r="L815" s="33"/>
      <c r="M815" s="25"/>
      <c r="N815" s="39"/>
      <c r="O815" s="35" t="str">
        <f aca="false">IF($C815="","",IF(N($N815)&lt;=0,"未开票",IF(ROUND(N($N815)-N($K815),2)&gt;=0,"已开票",IFERROR("部分开票 "&amp;TEXT(N($N815)/N($K815),"0%"),"部分开票"))))</f>
        <v/>
      </c>
      <c r="P815" s="40" t="str">
        <f aca="false">IF($C815="","",ROUND($V815+MIN($W815,MAX(0,(SUMIF(收款键,$D815,收款金额)-SUMIFS(收款金额,收款键,$D815,收款关联,"&lt;&gt;"))-($X815-$W815))),2))</f>
        <v/>
      </c>
      <c r="Q815" s="41" t="str">
        <f aca="false">IF($C815="","",ROUND(N($K815)-N($P815),2))</f>
        <v/>
      </c>
      <c r="R815" s="29" t="str">
        <f aca="false">IF($C815="","",YEAR($C815))</f>
        <v/>
      </c>
      <c r="S815" s="24"/>
      <c r="T815" s="35" t="str">
        <f aca="false">IF($C815="","",IF($D815="","★没选客户项目",IF(COUNTIF(合同键,$D815)=0,"★《维保合同》里没这个项目",IF(N($K815)&lt;=0,"★应收金额要填",IF(ROUND(N($N815)-N($K815),2)&gt;0.001,"★开票金额大于应收",IF(AND($L815&lt;&gt;"",N($N815)&lt;=0),"★填了开票日期没填开票金额",IF(AND($I815&lt;&gt;"",$J815&lt;&gt;"",$J815&lt;$I815),"★计费期间起止反了","OK")))))))</f>
        <v/>
      </c>
      <c r="U815" s="29" t="str">
        <f aca="false">IF($L815="","",YEAR($L815))</f>
        <v/>
      </c>
      <c r="V815" s="40" t="str">
        <f aca="false">IF($C815="","",ROUND(SUMIF(收款关联,$B815,收款金额),2))</f>
        <v/>
      </c>
      <c r="W815" s="40" t="str">
        <f aca="false">IF($C815="","",MAX(0,ROUND(N($K815)-N($V815),2)))</f>
        <v/>
      </c>
      <c r="X815" s="40" t="str">
        <f aca="false">IF($C815="","",ROUND(SUMIFS(应收净额,应收键,$D815,应收行号,"&lt;="&amp;ROW()),2))</f>
        <v/>
      </c>
      <c r="Y815" s="29" t="str">
        <f aca="false">IF($C815="","",ROW())</f>
        <v/>
      </c>
    </row>
    <row r="816" customFormat="false" ht="15" hidden="false" customHeight="false" outlineLevel="0" collapsed="false">
      <c r="A816" s="29" t="str">
        <f aca="false">IF($C816="","",ROW()-4)</f>
        <v/>
      </c>
      <c r="B816" s="35" t="str">
        <f aca="false">IF($C816="","","YS"&amp;TEXT($C816,"yyyymm")&amp;"-"&amp;TEXT(ROW()-4,"0000"))</f>
        <v/>
      </c>
      <c r="C816" s="33"/>
      <c r="D816" s="24"/>
      <c r="E816" s="30" t="str">
        <f aca="false">IF($D816="","",IFERROR(INDEX(合同单位,MATCH($D816,合同键,0)),IFERROR(TRIM(LEFT($D816,FIND("｜",$D816)-1)),$D816)))</f>
        <v/>
      </c>
      <c r="F816" s="30" t="str">
        <f aca="false">IF($D816="","",IFERROR(INDEX(合同项目,MATCH($D816,合同键,0)),IFERROR(TRIM(MID($D816,FIND("｜",$D816)+1,99)),"")))</f>
        <v/>
      </c>
      <c r="G816" s="24"/>
      <c r="H816" s="35" t="str">
        <f aca="false">IF($G816="","",IFERROR(INDEX(费用款别,MATCH($G816,费用类别表,0)),"合同外款"))</f>
        <v/>
      </c>
      <c r="I816" s="33"/>
      <c r="J816" s="33"/>
      <c r="K816" s="39"/>
      <c r="L816" s="33"/>
      <c r="M816" s="25"/>
      <c r="N816" s="39"/>
      <c r="O816" s="35" t="str">
        <f aca="false">IF($C816="","",IF(N($N816)&lt;=0,"未开票",IF(ROUND(N($N816)-N($K816),2)&gt;=0,"已开票",IFERROR("部分开票 "&amp;TEXT(N($N816)/N($K816),"0%"),"部分开票"))))</f>
        <v/>
      </c>
      <c r="P816" s="40" t="str">
        <f aca="false">IF($C816="","",ROUND($V816+MIN($W816,MAX(0,(SUMIF(收款键,$D816,收款金额)-SUMIFS(收款金额,收款键,$D816,收款关联,"&lt;&gt;"))-($X816-$W816))),2))</f>
        <v/>
      </c>
      <c r="Q816" s="41" t="str">
        <f aca="false">IF($C816="","",ROUND(N($K816)-N($P816),2))</f>
        <v/>
      </c>
      <c r="R816" s="29" t="str">
        <f aca="false">IF($C816="","",YEAR($C816))</f>
        <v/>
      </c>
      <c r="S816" s="24"/>
      <c r="T816" s="35" t="str">
        <f aca="false">IF($C816="","",IF($D816="","★没选客户项目",IF(COUNTIF(合同键,$D816)=0,"★《维保合同》里没这个项目",IF(N($K816)&lt;=0,"★应收金额要填",IF(ROUND(N($N816)-N($K816),2)&gt;0.001,"★开票金额大于应收",IF(AND($L816&lt;&gt;"",N($N816)&lt;=0),"★填了开票日期没填开票金额",IF(AND($I816&lt;&gt;"",$J816&lt;&gt;"",$J816&lt;$I816),"★计费期间起止反了","OK")))))))</f>
        <v/>
      </c>
      <c r="U816" s="29" t="str">
        <f aca="false">IF($L816="","",YEAR($L816))</f>
        <v/>
      </c>
      <c r="V816" s="40" t="str">
        <f aca="false">IF($C816="","",ROUND(SUMIF(收款关联,$B816,收款金额),2))</f>
        <v/>
      </c>
      <c r="W816" s="40" t="str">
        <f aca="false">IF($C816="","",MAX(0,ROUND(N($K816)-N($V816),2)))</f>
        <v/>
      </c>
      <c r="X816" s="40" t="str">
        <f aca="false">IF($C816="","",ROUND(SUMIFS(应收净额,应收键,$D816,应收行号,"&lt;="&amp;ROW()),2))</f>
        <v/>
      </c>
      <c r="Y816" s="29" t="str">
        <f aca="false">IF($C816="","",ROW())</f>
        <v/>
      </c>
    </row>
    <row r="817" customFormat="false" ht="15" hidden="false" customHeight="false" outlineLevel="0" collapsed="false">
      <c r="A817" s="29" t="str">
        <f aca="false">IF($C817="","",ROW()-4)</f>
        <v/>
      </c>
      <c r="B817" s="35" t="str">
        <f aca="false">IF($C817="","","YS"&amp;TEXT($C817,"yyyymm")&amp;"-"&amp;TEXT(ROW()-4,"0000"))</f>
        <v/>
      </c>
      <c r="C817" s="33"/>
      <c r="D817" s="24"/>
      <c r="E817" s="30" t="str">
        <f aca="false">IF($D817="","",IFERROR(INDEX(合同单位,MATCH($D817,合同键,0)),IFERROR(TRIM(LEFT($D817,FIND("｜",$D817)-1)),$D817)))</f>
        <v/>
      </c>
      <c r="F817" s="30" t="str">
        <f aca="false">IF($D817="","",IFERROR(INDEX(合同项目,MATCH($D817,合同键,0)),IFERROR(TRIM(MID($D817,FIND("｜",$D817)+1,99)),"")))</f>
        <v/>
      </c>
      <c r="G817" s="24"/>
      <c r="H817" s="35" t="str">
        <f aca="false">IF($G817="","",IFERROR(INDEX(费用款别,MATCH($G817,费用类别表,0)),"合同外款"))</f>
        <v/>
      </c>
      <c r="I817" s="33"/>
      <c r="J817" s="33"/>
      <c r="K817" s="39"/>
      <c r="L817" s="33"/>
      <c r="M817" s="25"/>
      <c r="N817" s="39"/>
      <c r="O817" s="35" t="str">
        <f aca="false">IF($C817="","",IF(N($N817)&lt;=0,"未开票",IF(ROUND(N($N817)-N($K817),2)&gt;=0,"已开票",IFERROR("部分开票 "&amp;TEXT(N($N817)/N($K817),"0%"),"部分开票"))))</f>
        <v/>
      </c>
      <c r="P817" s="40" t="str">
        <f aca="false">IF($C817="","",ROUND($V817+MIN($W817,MAX(0,(SUMIF(收款键,$D817,收款金额)-SUMIFS(收款金额,收款键,$D817,收款关联,"&lt;&gt;"))-($X817-$W817))),2))</f>
        <v/>
      </c>
      <c r="Q817" s="41" t="str">
        <f aca="false">IF($C817="","",ROUND(N($K817)-N($P817),2))</f>
        <v/>
      </c>
      <c r="R817" s="29" t="str">
        <f aca="false">IF($C817="","",YEAR($C817))</f>
        <v/>
      </c>
      <c r="S817" s="24"/>
      <c r="T817" s="35" t="str">
        <f aca="false">IF($C817="","",IF($D817="","★没选客户项目",IF(COUNTIF(合同键,$D817)=0,"★《维保合同》里没这个项目",IF(N($K817)&lt;=0,"★应收金额要填",IF(ROUND(N($N817)-N($K817),2)&gt;0.001,"★开票金额大于应收",IF(AND($L817&lt;&gt;"",N($N817)&lt;=0),"★填了开票日期没填开票金额",IF(AND($I817&lt;&gt;"",$J817&lt;&gt;"",$J817&lt;$I817),"★计费期间起止反了","OK")))))))</f>
        <v/>
      </c>
      <c r="U817" s="29" t="str">
        <f aca="false">IF($L817="","",YEAR($L817))</f>
        <v/>
      </c>
      <c r="V817" s="40" t="str">
        <f aca="false">IF($C817="","",ROUND(SUMIF(收款关联,$B817,收款金额),2))</f>
        <v/>
      </c>
      <c r="W817" s="40" t="str">
        <f aca="false">IF($C817="","",MAX(0,ROUND(N($K817)-N($V817),2)))</f>
        <v/>
      </c>
      <c r="X817" s="40" t="str">
        <f aca="false">IF($C817="","",ROUND(SUMIFS(应收净额,应收键,$D817,应收行号,"&lt;="&amp;ROW()),2))</f>
        <v/>
      </c>
      <c r="Y817" s="29" t="str">
        <f aca="false">IF($C817="","",ROW())</f>
        <v/>
      </c>
    </row>
    <row r="818" customFormat="false" ht="15" hidden="false" customHeight="false" outlineLevel="0" collapsed="false">
      <c r="A818" s="29" t="str">
        <f aca="false">IF($C818="","",ROW()-4)</f>
        <v/>
      </c>
      <c r="B818" s="35" t="str">
        <f aca="false">IF($C818="","","YS"&amp;TEXT($C818,"yyyymm")&amp;"-"&amp;TEXT(ROW()-4,"0000"))</f>
        <v/>
      </c>
      <c r="C818" s="33"/>
      <c r="D818" s="24"/>
      <c r="E818" s="30" t="str">
        <f aca="false">IF($D818="","",IFERROR(INDEX(合同单位,MATCH($D818,合同键,0)),IFERROR(TRIM(LEFT($D818,FIND("｜",$D818)-1)),$D818)))</f>
        <v/>
      </c>
      <c r="F818" s="30" t="str">
        <f aca="false">IF($D818="","",IFERROR(INDEX(合同项目,MATCH($D818,合同键,0)),IFERROR(TRIM(MID($D818,FIND("｜",$D818)+1,99)),"")))</f>
        <v/>
      </c>
      <c r="G818" s="24"/>
      <c r="H818" s="35" t="str">
        <f aca="false">IF($G818="","",IFERROR(INDEX(费用款别,MATCH($G818,费用类别表,0)),"合同外款"))</f>
        <v/>
      </c>
      <c r="I818" s="33"/>
      <c r="J818" s="33"/>
      <c r="K818" s="39"/>
      <c r="L818" s="33"/>
      <c r="M818" s="25"/>
      <c r="N818" s="39"/>
      <c r="O818" s="35" t="str">
        <f aca="false">IF($C818="","",IF(N($N818)&lt;=0,"未开票",IF(ROUND(N($N818)-N($K818),2)&gt;=0,"已开票",IFERROR("部分开票 "&amp;TEXT(N($N818)/N($K818),"0%"),"部分开票"))))</f>
        <v/>
      </c>
      <c r="P818" s="40" t="str">
        <f aca="false">IF($C818="","",ROUND($V818+MIN($W818,MAX(0,(SUMIF(收款键,$D818,收款金额)-SUMIFS(收款金额,收款键,$D818,收款关联,"&lt;&gt;"))-($X818-$W818))),2))</f>
        <v/>
      </c>
      <c r="Q818" s="41" t="str">
        <f aca="false">IF($C818="","",ROUND(N($K818)-N($P818),2))</f>
        <v/>
      </c>
      <c r="R818" s="29" t="str">
        <f aca="false">IF($C818="","",YEAR($C818))</f>
        <v/>
      </c>
      <c r="S818" s="24"/>
      <c r="T818" s="35" t="str">
        <f aca="false">IF($C818="","",IF($D818="","★没选客户项目",IF(COUNTIF(合同键,$D818)=0,"★《维保合同》里没这个项目",IF(N($K818)&lt;=0,"★应收金额要填",IF(ROUND(N($N818)-N($K818),2)&gt;0.001,"★开票金额大于应收",IF(AND($L818&lt;&gt;"",N($N818)&lt;=0),"★填了开票日期没填开票金额",IF(AND($I818&lt;&gt;"",$J818&lt;&gt;"",$J818&lt;$I818),"★计费期间起止反了","OK")))))))</f>
        <v/>
      </c>
      <c r="U818" s="29" t="str">
        <f aca="false">IF($L818="","",YEAR($L818))</f>
        <v/>
      </c>
      <c r="V818" s="40" t="str">
        <f aca="false">IF($C818="","",ROUND(SUMIF(收款关联,$B818,收款金额),2))</f>
        <v/>
      </c>
      <c r="W818" s="40" t="str">
        <f aca="false">IF($C818="","",MAX(0,ROUND(N($K818)-N($V818),2)))</f>
        <v/>
      </c>
      <c r="X818" s="40" t="str">
        <f aca="false">IF($C818="","",ROUND(SUMIFS(应收净额,应收键,$D818,应收行号,"&lt;="&amp;ROW()),2))</f>
        <v/>
      </c>
      <c r="Y818" s="29" t="str">
        <f aca="false">IF($C818="","",ROW())</f>
        <v/>
      </c>
    </row>
    <row r="819" customFormat="false" ht="15" hidden="false" customHeight="false" outlineLevel="0" collapsed="false">
      <c r="A819" s="29" t="str">
        <f aca="false">IF($C819="","",ROW()-4)</f>
        <v/>
      </c>
      <c r="B819" s="35" t="str">
        <f aca="false">IF($C819="","","YS"&amp;TEXT($C819,"yyyymm")&amp;"-"&amp;TEXT(ROW()-4,"0000"))</f>
        <v/>
      </c>
      <c r="C819" s="33"/>
      <c r="D819" s="24"/>
      <c r="E819" s="30" t="str">
        <f aca="false">IF($D819="","",IFERROR(INDEX(合同单位,MATCH($D819,合同键,0)),IFERROR(TRIM(LEFT($D819,FIND("｜",$D819)-1)),$D819)))</f>
        <v/>
      </c>
      <c r="F819" s="30" t="str">
        <f aca="false">IF($D819="","",IFERROR(INDEX(合同项目,MATCH($D819,合同键,0)),IFERROR(TRIM(MID($D819,FIND("｜",$D819)+1,99)),"")))</f>
        <v/>
      </c>
      <c r="G819" s="24"/>
      <c r="H819" s="35" t="str">
        <f aca="false">IF($G819="","",IFERROR(INDEX(费用款别,MATCH($G819,费用类别表,0)),"合同外款"))</f>
        <v/>
      </c>
      <c r="I819" s="33"/>
      <c r="J819" s="33"/>
      <c r="K819" s="39"/>
      <c r="L819" s="33"/>
      <c r="M819" s="25"/>
      <c r="N819" s="39"/>
      <c r="O819" s="35" t="str">
        <f aca="false">IF($C819="","",IF(N($N819)&lt;=0,"未开票",IF(ROUND(N($N819)-N($K819),2)&gt;=0,"已开票",IFERROR("部分开票 "&amp;TEXT(N($N819)/N($K819),"0%"),"部分开票"))))</f>
        <v/>
      </c>
      <c r="P819" s="40" t="str">
        <f aca="false">IF($C819="","",ROUND($V819+MIN($W819,MAX(0,(SUMIF(收款键,$D819,收款金额)-SUMIFS(收款金额,收款键,$D819,收款关联,"&lt;&gt;"))-($X819-$W819))),2))</f>
        <v/>
      </c>
      <c r="Q819" s="41" t="str">
        <f aca="false">IF($C819="","",ROUND(N($K819)-N($P819),2))</f>
        <v/>
      </c>
      <c r="R819" s="29" t="str">
        <f aca="false">IF($C819="","",YEAR($C819))</f>
        <v/>
      </c>
      <c r="S819" s="24"/>
      <c r="T819" s="35" t="str">
        <f aca="false">IF($C819="","",IF($D819="","★没选客户项目",IF(COUNTIF(合同键,$D819)=0,"★《维保合同》里没这个项目",IF(N($K819)&lt;=0,"★应收金额要填",IF(ROUND(N($N819)-N($K819),2)&gt;0.001,"★开票金额大于应收",IF(AND($L819&lt;&gt;"",N($N819)&lt;=0),"★填了开票日期没填开票金额",IF(AND($I819&lt;&gt;"",$J819&lt;&gt;"",$J819&lt;$I819),"★计费期间起止反了","OK")))))))</f>
        <v/>
      </c>
      <c r="U819" s="29" t="str">
        <f aca="false">IF($L819="","",YEAR($L819))</f>
        <v/>
      </c>
      <c r="V819" s="40" t="str">
        <f aca="false">IF($C819="","",ROUND(SUMIF(收款关联,$B819,收款金额),2))</f>
        <v/>
      </c>
      <c r="W819" s="40" t="str">
        <f aca="false">IF($C819="","",MAX(0,ROUND(N($K819)-N($V819),2)))</f>
        <v/>
      </c>
      <c r="X819" s="40" t="str">
        <f aca="false">IF($C819="","",ROUND(SUMIFS(应收净额,应收键,$D819,应收行号,"&lt;="&amp;ROW()),2))</f>
        <v/>
      </c>
      <c r="Y819" s="29" t="str">
        <f aca="false">IF($C819="","",ROW())</f>
        <v/>
      </c>
    </row>
    <row r="820" customFormat="false" ht="15" hidden="false" customHeight="false" outlineLevel="0" collapsed="false">
      <c r="A820" s="29" t="str">
        <f aca="false">IF($C820="","",ROW()-4)</f>
        <v/>
      </c>
      <c r="B820" s="35" t="str">
        <f aca="false">IF($C820="","","YS"&amp;TEXT($C820,"yyyymm")&amp;"-"&amp;TEXT(ROW()-4,"0000"))</f>
        <v/>
      </c>
      <c r="C820" s="33"/>
      <c r="D820" s="24"/>
      <c r="E820" s="30" t="str">
        <f aca="false">IF($D820="","",IFERROR(INDEX(合同单位,MATCH($D820,合同键,0)),IFERROR(TRIM(LEFT($D820,FIND("｜",$D820)-1)),$D820)))</f>
        <v/>
      </c>
      <c r="F820" s="30" t="str">
        <f aca="false">IF($D820="","",IFERROR(INDEX(合同项目,MATCH($D820,合同键,0)),IFERROR(TRIM(MID($D820,FIND("｜",$D820)+1,99)),"")))</f>
        <v/>
      </c>
      <c r="G820" s="24"/>
      <c r="H820" s="35" t="str">
        <f aca="false">IF($G820="","",IFERROR(INDEX(费用款别,MATCH($G820,费用类别表,0)),"合同外款"))</f>
        <v/>
      </c>
      <c r="I820" s="33"/>
      <c r="J820" s="33"/>
      <c r="K820" s="39"/>
      <c r="L820" s="33"/>
      <c r="M820" s="25"/>
      <c r="N820" s="39"/>
      <c r="O820" s="35" t="str">
        <f aca="false">IF($C820="","",IF(N($N820)&lt;=0,"未开票",IF(ROUND(N($N820)-N($K820),2)&gt;=0,"已开票",IFERROR("部分开票 "&amp;TEXT(N($N820)/N($K820),"0%"),"部分开票"))))</f>
        <v/>
      </c>
      <c r="P820" s="40" t="str">
        <f aca="false">IF($C820="","",ROUND($V820+MIN($W820,MAX(0,(SUMIF(收款键,$D820,收款金额)-SUMIFS(收款金额,收款键,$D820,收款关联,"&lt;&gt;"))-($X820-$W820))),2))</f>
        <v/>
      </c>
      <c r="Q820" s="41" t="str">
        <f aca="false">IF($C820="","",ROUND(N($K820)-N($P820),2))</f>
        <v/>
      </c>
      <c r="R820" s="29" t="str">
        <f aca="false">IF($C820="","",YEAR($C820))</f>
        <v/>
      </c>
      <c r="S820" s="24"/>
      <c r="T820" s="35" t="str">
        <f aca="false">IF($C820="","",IF($D820="","★没选客户项目",IF(COUNTIF(合同键,$D820)=0,"★《维保合同》里没这个项目",IF(N($K820)&lt;=0,"★应收金额要填",IF(ROUND(N($N820)-N($K820),2)&gt;0.001,"★开票金额大于应收",IF(AND($L820&lt;&gt;"",N($N820)&lt;=0),"★填了开票日期没填开票金额",IF(AND($I820&lt;&gt;"",$J820&lt;&gt;"",$J820&lt;$I820),"★计费期间起止反了","OK")))))))</f>
        <v/>
      </c>
      <c r="U820" s="29" t="str">
        <f aca="false">IF($L820="","",YEAR($L820))</f>
        <v/>
      </c>
      <c r="V820" s="40" t="str">
        <f aca="false">IF($C820="","",ROUND(SUMIF(收款关联,$B820,收款金额),2))</f>
        <v/>
      </c>
      <c r="W820" s="40" t="str">
        <f aca="false">IF($C820="","",MAX(0,ROUND(N($K820)-N($V820),2)))</f>
        <v/>
      </c>
      <c r="X820" s="40" t="str">
        <f aca="false">IF($C820="","",ROUND(SUMIFS(应收净额,应收键,$D820,应收行号,"&lt;="&amp;ROW()),2))</f>
        <v/>
      </c>
      <c r="Y820" s="29" t="str">
        <f aca="false">IF($C820="","",ROW())</f>
        <v/>
      </c>
    </row>
    <row r="821" customFormat="false" ht="15" hidden="false" customHeight="false" outlineLevel="0" collapsed="false">
      <c r="A821" s="29" t="str">
        <f aca="false">IF($C821="","",ROW()-4)</f>
        <v/>
      </c>
      <c r="B821" s="35" t="str">
        <f aca="false">IF($C821="","","YS"&amp;TEXT($C821,"yyyymm")&amp;"-"&amp;TEXT(ROW()-4,"0000"))</f>
        <v/>
      </c>
      <c r="C821" s="33"/>
      <c r="D821" s="24"/>
      <c r="E821" s="30" t="str">
        <f aca="false">IF($D821="","",IFERROR(INDEX(合同单位,MATCH($D821,合同键,0)),IFERROR(TRIM(LEFT($D821,FIND("｜",$D821)-1)),$D821)))</f>
        <v/>
      </c>
      <c r="F821" s="30" t="str">
        <f aca="false">IF($D821="","",IFERROR(INDEX(合同项目,MATCH($D821,合同键,0)),IFERROR(TRIM(MID($D821,FIND("｜",$D821)+1,99)),"")))</f>
        <v/>
      </c>
      <c r="G821" s="24"/>
      <c r="H821" s="35" t="str">
        <f aca="false">IF($G821="","",IFERROR(INDEX(费用款别,MATCH($G821,费用类别表,0)),"合同外款"))</f>
        <v/>
      </c>
      <c r="I821" s="33"/>
      <c r="J821" s="33"/>
      <c r="K821" s="39"/>
      <c r="L821" s="33"/>
      <c r="M821" s="25"/>
      <c r="N821" s="39"/>
      <c r="O821" s="35" t="str">
        <f aca="false">IF($C821="","",IF(N($N821)&lt;=0,"未开票",IF(ROUND(N($N821)-N($K821),2)&gt;=0,"已开票",IFERROR("部分开票 "&amp;TEXT(N($N821)/N($K821),"0%"),"部分开票"))))</f>
        <v/>
      </c>
      <c r="P821" s="40" t="str">
        <f aca="false">IF($C821="","",ROUND($V821+MIN($W821,MAX(0,(SUMIF(收款键,$D821,收款金额)-SUMIFS(收款金额,收款键,$D821,收款关联,"&lt;&gt;"))-($X821-$W821))),2))</f>
        <v/>
      </c>
      <c r="Q821" s="41" t="str">
        <f aca="false">IF($C821="","",ROUND(N($K821)-N($P821),2))</f>
        <v/>
      </c>
      <c r="R821" s="29" t="str">
        <f aca="false">IF($C821="","",YEAR($C821))</f>
        <v/>
      </c>
      <c r="S821" s="24"/>
      <c r="T821" s="35" t="str">
        <f aca="false">IF($C821="","",IF($D821="","★没选客户项目",IF(COUNTIF(合同键,$D821)=0,"★《维保合同》里没这个项目",IF(N($K821)&lt;=0,"★应收金额要填",IF(ROUND(N($N821)-N($K821),2)&gt;0.001,"★开票金额大于应收",IF(AND($L821&lt;&gt;"",N($N821)&lt;=0),"★填了开票日期没填开票金额",IF(AND($I821&lt;&gt;"",$J821&lt;&gt;"",$J821&lt;$I821),"★计费期间起止反了","OK")))))))</f>
        <v/>
      </c>
      <c r="U821" s="29" t="str">
        <f aca="false">IF($L821="","",YEAR($L821))</f>
        <v/>
      </c>
      <c r="V821" s="40" t="str">
        <f aca="false">IF($C821="","",ROUND(SUMIF(收款关联,$B821,收款金额),2))</f>
        <v/>
      </c>
      <c r="W821" s="40" t="str">
        <f aca="false">IF($C821="","",MAX(0,ROUND(N($K821)-N($V821),2)))</f>
        <v/>
      </c>
      <c r="X821" s="40" t="str">
        <f aca="false">IF($C821="","",ROUND(SUMIFS(应收净额,应收键,$D821,应收行号,"&lt;="&amp;ROW()),2))</f>
        <v/>
      </c>
      <c r="Y821" s="29" t="str">
        <f aca="false">IF($C821="","",ROW())</f>
        <v/>
      </c>
    </row>
    <row r="822" customFormat="false" ht="15" hidden="false" customHeight="false" outlineLevel="0" collapsed="false">
      <c r="A822" s="29" t="str">
        <f aca="false">IF($C822="","",ROW()-4)</f>
        <v/>
      </c>
      <c r="B822" s="35" t="str">
        <f aca="false">IF($C822="","","YS"&amp;TEXT($C822,"yyyymm")&amp;"-"&amp;TEXT(ROW()-4,"0000"))</f>
        <v/>
      </c>
      <c r="C822" s="33"/>
      <c r="D822" s="24"/>
      <c r="E822" s="30" t="str">
        <f aca="false">IF($D822="","",IFERROR(INDEX(合同单位,MATCH($D822,合同键,0)),IFERROR(TRIM(LEFT($D822,FIND("｜",$D822)-1)),$D822)))</f>
        <v/>
      </c>
      <c r="F822" s="30" t="str">
        <f aca="false">IF($D822="","",IFERROR(INDEX(合同项目,MATCH($D822,合同键,0)),IFERROR(TRIM(MID($D822,FIND("｜",$D822)+1,99)),"")))</f>
        <v/>
      </c>
      <c r="G822" s="24"/>
      <c r="H822" s="35" t="str">
        <f aca="false">IF($G822="","",IFERROR(INDEX(费用款别,MATCH($G822,费用类别表,0)),"合同外款"))</f>
        <v/>
      </c>
      <c r="I822" s="33"/>
      <c r="J822" s="33"/>
      <c r="K822" s="39"/>
      <c r="L822" s="33"/>
      <c r="M822" s="25"/>
      <c r="N822" s="39"/>
      <c r="O822" s="35" t="str">
        <f aca="false">IF($C822="","",IF(N($N822)&lt;=0,"未开票",IF(ROUND(N($N822)-N($K822),2)&gt;=0,"已开票",IFERROR("部分开票 "&amp;TEXT(N($N822)/N($K822),"0%"),"部分开票"))))</f>
        <v/>
      </c>
      <c r="P822" s="40" t="str">
        <f aca="false">IF($C822="","",ROUND($V822+MIN($W822,MAX(0,(SUMIF(收款键,$D822,收款金额)-SUMIFS(收款金额,收款键,$D822,收款关联,"&lt;&gt;"))-($X822-$W822))),2))</f>
        <v/>
      </c>
      <c r="Q822" s="41" t="str">
        <f aca="false">IF($C822="","",ROUND(N($K822)-N($P822),2))</f>
        <v/>
      </c>
      <c r="R822" s="29" t="str">
        <f aca="false">IF($C822="","",YEAR($C822))</f>
        <v/>
      </c>
      <c r="S822" s="24"/>
      <c r="T822" s="35" t="str">
        <f aca="false">IF($C822="","",IF($D822="","★没选客户项目",IF(COUNTIF(合同键,$D822)=0,"★《维保合同》里没这个项目",IF(N($K822)&lt;=0,"★应收金额要填",IF(ROUND(N($N822)-N($K822),2)&gt;0.001,"★开票金额大于应收",IF(AND($L822&lt;&gt;"",N($N822)&lt;=0),"★填了开票日期没填开票金额",IF(AND($I822&lt;&gt;"",$J822&lt;&gt;"",$J822&lt;$I822),"★计费期间起止反了","OK")))))))</f>
        <v/>
      </c>
      <c r="U822" s="29" t="str">
        <f aca="false">IF($L822="","",YEAR($L822))</f>
        <v/>
      </c>
      <c r="V822" s="40" t="str">
        <f aca="false">IF($C822="","",ROUND(SUMIF(收款关联,$B822,收款金额),2))</f>
        <v/>
      </c>
      <c r="W822" s="40" t="str">
        <f aca="false">IF($C822="","",MAX(0,ROUND(N($K822)-N($V822),2)))</f>
        <v/>
      </c>
      <c r="X822" s="40" t="str">
        <f aca="false">IF($C822="","",ROUND(SUMIFS(应收净额,应收键,$D822,应收行号,"&lt;="&amp;ROW()),2))</f>
        <v/>
      </c>
      <c r="Y822" s="29" t="str">
        <f aca="false">IF($C822="","",ROW())</f>
        <v/>
      </c>
    </row>
    <row r="823" customFormat="false" ht="15" hidden="false" customHeight="false" outlineLevel="0" collapsed="false">
      <c r="A823" s="29" t="str">
        <f aca="false">IF($C823="","",ROW()-4)</f>
        <v/>
      </c>
      <c r="B823" s="35" t="str">
        <f aca="false">IF($C823="","","YS"&amp;TEXT($C823,"yyyymm")&amp;"-"&amp;TEXT(ROW()-4,"0000"))</f>
        <v/>
      </c>
      <c r="C823" s="33"/>
      <c r="D823" s="24"/>
      <c r="E823" s="30" t="str">
        <f aca="false">IF($D823="","",IFERROR(INDEX(合同单位,MATCH($D823,合同键,0)),IFERROR(TRIM(LEFT($D823,FIND("｜",$D823)-1)),$D823)))</f>
        <v/>
      </c>
      <c r="F823" s="30" t="str">
        <f aca="false">IF($D823="","",IFERROR(INDEX(合同项目,MATCH($D823,合同键,0)),IFERROR(TRIM(MID($D823,FIND("｜",$D823)+1,99)),"")))</f>
        <v/>
      </c>
      <c r="G823" s="24"/>
      <c r="H823" s="35" t="str">
        <f aca="false">IF($G823="","",IFERROR(INDEX(费用款别,MATCH($G823,费用类别表,0)),"合同外款"))</f>
        <v/>
      </c>
      <c r="I823" s="33"/>
      <c r="J823" s="33"/>
      <c r="K823" s="39"/>
      <c r="L823" s="33"/>
      <c r="M823" s="25"/>
      <c r="N823" s="39"/>
      <c r="O823" s="35" t="str">
        <f aca="false">IF($C823="","",IF(N($N823)&lt;=0,"未开票",IF(ROUND(N($N823)-N($K823),2)&gt;=0,"已开票",IFERROR("部分开票 "&amp;TEXT(N($N823)/N($K823),"0%"),"部分开票"))))</f>
        <v/>
      </c>
      <c r="P823" s="40" t="str">
        <f aca="false">IF($C823="","",ROUND($V823+MIN($W823,MAX(0,(SUMIF(收款键,$D823,收款金额)-SUMIFS(收款金额,收款键,$D823,收款关联,"&lt;&gt;"))-($X823-$W823))),2))</f>
        <v/>
      </c>
      <c r="Q823" s="41" t="str">
        <f aca="false">IF($C823="","",ROUND(N($K823)-N($P823),2))</f>
        <v/>
      </c>
      <c r="R823" s="29" t="str">
        <f aca="false">IF($C823="","",YEAR($C823))</f>
        <v/>
      </c>
      <c r="S823" s="24"/>
      <c r="T823" s="35" t="str">
        <f aca="false">IF($C823="","",IF($D823="","★没选客户项目",IF(COUNTIF(合同键,$D823)=0,"★《维保合同》里没这个项目",IF(N($K823)&lt;=0,"★应收金额要填",IF(ROUND(N($N823)-N($K823),2)&gt;0.001,"★开票金额大于应收",IF(AND($L823&lt;&gt;"",N($N823)&lt;=0),"★填了开票日期没填开票金额",IF(AND($I823&lt;&gt;"",$J823&lt;&gt;"",$J823&lt;$I823),"★计费期间起止反了","OK")))))))</f>
        <v/>
      </c>
      <c r="U823" s="29" t="str">
        <f aca="false">IF($L823="","",YEAR($L823))</f>
        <v/>
      </c>
      <c r="V823" s="40" t="str">
        <f aca="false">IF($C823="","",ROUND(SUMIF(收款关联,$B823,收款金额),2))</f>
        <v/>
      </c>
      <c r="W823" s="40" t="str">
        <f aca="false">IF($C823="","",MAX(0,ROUND(N($K823)-N($V823),2)))</f>
        <v/>
      </c>
      <c r="X823" s="40" t="str">
        <f aca="false">IF($C823="","",ROUND(SUMIFS(应收净额,应收键,$D823,应收行号,"&lt;="&amp;ROW()),2))</f>
        <v/>
      </c>
      <c r="Y823" s="29" t="str">
        <f aca="false">IF($C823="","",ROW())</f>
        <v/>
      </c>
    </row>
    <row r="824" customFormat="false" ht="15" hidden="false" customHeight="false" outlineLevel="0" collapsed="false">
      <c r="A824" s="29" t="str">
        <f aca="false">IF($C824="","",ROW()-4)</f>
        <v/>
      </c>
      <c r="B824" s="35" t="str">
        <f aca="false">IF($C824="","","YS"&amp;TEXT($C824,"yyyymm")&amp;"-"&amp;TEXT(ROW()-4,"0000"))</f>
        <v/>
      </c>
      <c r="C824" s="33"/>
      <c r="D824" s="24"/>
      <c r="E824" s="30" t="str">
        <f aca="false">IF($D824="","",IFERROR(INDEX(合同单位,MATCH($D824,合同键,0)),IFERROR(TRIM(LEFT($D824,FIND("｜",$D824)-1)),$D824)))</f>
        <v/>
      </c>
      <c r="F824" s="30" t="str">
        <f aca="false">IF($D824="","",IFERROR(INDEX(合同项目,MATCH($D824,合同键,0)),IFERROR(TRIM(MID($D824,FIND("｜",$D824)+1,99)),"")))</f>
        <v/>
      </c>
      <c r="G824" s="24"/>
      <c r="H824" s="35" t="str">
        <f aca="false">IF($G824="","",IFERROR(INDEX(费用款别,MATCH($G824,费用类别表,0)),"合同外款"))</f>
        <v/>
      </c>
      <c r="I824" s="33"/>
      <c r="J824" s="33"/>
      <c r="K824" s="39"/>
      <c r="L824" s="33"/>
      <c r="M824" s="25"/>
      <c r="N824" s="39"/>
      <c r="O824" s="35" t="str">
        <f aca="false">IF($C824="","",IF(N($N824)&lt;=0,"未开票",IF(ROUND(N($N824)-N($K824),2)&gt;=0,"已开票",IFERROR("部分开票 "&amp;TEXT(N($N824)/N($K824),"0%"),"部分开票"))))</f>
        <v/>
      </c>
      <c r="P824" s="40" t="str">
        <f aca="false">IF($C824="","",ROUND($V824+MIN($W824,MAX(0,(SUMIF(收款键,$D824,收款金额)-SUMIFS(收款金额,收款键,$D824,收款关联,"&lt;&gt;"))-($X824-$W824))),2))</f>
        <v/>
      </c>
      <c r="Q824" s="41" t="str">
        <f aca="false">IF($C824="","",ROUND(N($K824)-N($P824),2))</f>
        <v/>
      </c>
      <c r="R824" s="29" t="str">
        <f aca="false">IF($C824="","",YEAR($C824))</f>
        <v/>
      </c>
      <c r="S824" s="24"/>
      <c r="T824" s="35" t="str">
        <f aca="false">IF($C824="","",IF($D824="","★没选客户项目",IF(COUNTIF(合同键,$D824)=0,"★《维保合同》里没这个项目",IF(N($K824)&lt;=0,"★应收金额要填",IF(ROUND(N($N824)-N($K824),2)&gt;0.001,"★开票金额大于应收",IF(AND($L824&lt;&gt;"",N($N824)&lt;=0),"★填了开票日期没填开票金额",IF(AND($I824&lt;&gt;"",$J824&lt;&gt;"",$J824&lt;$I824),"★计费期间起止反了","OK")))))))</f>
        <v/>
      </c>
      <c r="U824" s="29" t="str">
        <f aca="false">IF($L824="","",YEAR($L824))</f>
        <v/>
      </c>
      <c r="V824" s="40" t="str">
        <f aca="false">IF($C824="","",ROUND(SUMIF(收款关联,$B824,收款金额),2))</f>
        <v/>
      </c>
      <c r="W824" s="40" t="str">
        <f aca="false">IF($C824="","",MAX(0,ROUND(N($K824)-N($V824),2)))</f>
        <v/>
      </c>
      <c r="X824" s="40" t="str">
        <f aca="false">IF($C824="","",ROUND(SUMIFS(应收净额,应收键,$D824,应收行号,"&lt;="&amp;ROW()),2))</f>
        <v/>
      </c>
      <c r="Y824" s="29" t="str">
        <f aca="false">IF($C824="","",ROW())</f>
        <v/>
      </c>
    </row>
    <row r="825" customFormat="false" ht="15" hidden="false" customHeight="false" outlineLevel="0" collapsed="false">
      <c r="A825" s="29" t="str">
        <f aca="false">IF($C825="","",ROW()-4)</f>
        <v/>
      </c>
      <c r="B825" s="35" t="str">
        <f aca="false">IF($C825="","","YS"&amp;TEXT($C825,"yyyymm")&amp;"-"&amp;TEXT(ROW()-4,"0000"))</f>
        <v/>
      </c>
      <c r="C825" s="33"/>
      <c r="D825" s="24"/>
      <c r="E825" s="30" t="str">
        <f aca="false">IF($D825="","",IFERROR(INDEX(合同单位,MATCH($D825,合同键,0)),IFERROR(TRIM(LEFT($D825,FIND("｜",$D825)-1)),$D825)))</f>
        <v/>
      </c>
      <c r="F825" s="30" t="str">
        <f aca="false">IF($D825="","",IFERROR(INDEX(合同项目,MATCH($D825,合同键,0)),IFERROR(TRIM(MID($D825,FIND("｜",$D825)+1,99)),"")))</f>
        <v/>
      </c>
      <c r="G825" s="24"/>
      <c r="H825" s="35" t="str">
        <f aca="false">IF($G825="","",IFERROR(INDEX(费用款别,MATCH($G825,费用类别表,0)),"合同外款"))</f>
        <v/>
      </c>
      <c r="I825" s="33"/>
      <c r="J825" s="33"/>
      <c r="K825" s="39"/>
      <c r="L825" s="33"/>
      <c r="M825" s="25"/>
      <c r="N825" s="39"/>
      <c r="O825" s="35" t="str">
        <f aca="false">IF($C825="","",IF(N($N825)&lt;=0,"未开票",IF(ROUND(N($N825)-N($K825),2)&gt;=0,"已开票",IFERROR("部分开票 "&amp;TEXT(N($N825)/N($K825),"0%"),"部分开票"))))</f>
        <v/>
      </c>
      <c r="P825" s="40" t="str">
        <f aca="false">IF($C825="","",ROUND($V825+MIN($W825,MAX(0,(SUMIF(收款键,$D825,收款金额)-SUMIFS(收款金额,收款键,$D825,收款关联,"&lt;&gt;"))-($X825-$W825))),2))</f>
        <v/>
      </c>
      <c r="Q825" s="41" t="str">
        <f aca="false">IF($C825="","",ROUND(N($K825)-N($P825),2))</f>
        <v/>
      </c>
      <c r="R825" s="29" t="str">
        <f aca="false">IF($C825="","",YEAR($C825))</f>
        <v/>
      </c>
      <c r="S825" s="24"/>
      <c r="T825" s="35" t="str">
        <f aca="false">IF($C825="","",IF($D825="","★没选客户项目",IF(COUNTIF(合同键,$D825)=0,"★《维保合同》里没这个项目",IF(N($K825)&lt;=0,"★应收金额要填",IF(ROUND(N($N825)-N($K825),2)&gt;0.001,"★开票金额大于应收",IF(AND($L825&lt;&gt;"",N($N825)&lt;=0),"★填了开票日期没填开票金额",IF(AND($I825&lt;&gt;"",$J825&lt;&gt;"",$J825&lt;$I825),"★计费期间起止反了","OK")))))))</f>
        <v/>
      </c>
      <c r="U825" s="29" t="str">
        <f aca="false">IF($L825="","",YEAR($L825))</f>
        <v/>
      </c>
      <c r="V825" s="40" t="str">
        <f aca="false">IF($C825="","",ROUND(SUMIF(收款关联,$B825,收款金额),2))</f>
        <v/>
      </c>
      <c r="W825" s="40" t="str">
        <f aca="false">IF($C825="","",MAX(0,ROUND(N($K825)-N($V825),2)))</f>
        <v/>
      </c>
      <c r="X825" s="40" t="str">
        <f aca="false">IF($C825="","",ROUND(SUMIFS(应收净额,应收键,$D825,应收行号,"&lt;="&amp;ROW()),2))</f>
        <v/>
      </c>
      <c r="Y825" s="29" t="str">
        <f aca="false">IF($C825="","",ROW())</f>
        <v/>
      </c>
    </row>
    <row r="826" customFormat="false" ht="15" hidden="false" customHeight="false" outlineLevel="0" collapsed="false">
      <c r="A826" s="29" t="str">
        <f aca="false">IF($C826="","",ROW()-4)</f>
        <v/>
      </c>
      <c r="B826" s="35" t="str">
        <f aca="false">IF($C826="","","YS"&amp;TEXT($C826,"yyyymm")&amp;"-"&amp;TEXT(ROW()-4,"0000"))</f>
        <v/>
      </c>
      <c r="C826" s="33"/>
      <c r="D826" s="24"/>
      <c r="E826" s="30" t="str">
        <f aca="false">IF($D826="","",IFERROR(INDEX(合同单位,MATCH($D826,合同键,0)),IFERROR(TRIM(LEFT($D826,FIND("｜",$D826)-1)),$D826)))</f>
        <v/>
      </c>
      <c r="F826" s="30" t="str">
        <f aca="false">IF($D826="","",IFERROR(INDEX(合同项目,MATCH($D826,合同键,0)),IFERROR(TRIM(MID($D826,FIND("｜",$D826)+1,99)),"")))</f>
        <v/>
      </c>
      <c r="G826" s="24"/>
      <c r="H826" s="35" t="str">
        <f aca="false">IF($G826="","",IFERROR(INDEX(费用款别,MATCH($G826,费用类别表,0)),"合同外款"))</f>
        <v/>
      </c>
      <c r="I826" s="33"/>
      <c r="J826" s="33"/>
      <c r="K826" s="39"/>
      <c r="L826" s="33"/>
      <c r="M826" s="25"/>
      <c r="N826" s="39"/>
      <c r="O826" s="35" t="str">
        <f aca="false">IF($C826="","",IF(N($N826)&lt;=0,"未开票",IF(ROUND(N($N826)-N($K826),2)&gt;=0,"已开票",IFERROR("部分开票 "&amp;TEXT(N($N826)/N($K826),"0%"),"部分开票"))))</f>
        <v/>
      </c>
      <c r="P826" s="40" t="str">
        <f aca="false">IF($C826="","",ROUND($V826+MIN($W826,MAX(0,(SUMIF(收款键,$D826,收款金额)-SUMIFS(收款金额,收款键,$D826,收款关联,"&lt;&gt;"))-($X826-$W826))),2))</f>
        <v/>
      </c>
      <c r="Q826" s="41" t="str">
        <f aca="false">IF($C826="","",ROUND(N($K826)-N($P826),2))</f>
        <v/>
      </c>
      <c r="R826" s="29" t="str">
        <f aca="false">IF($C826="","",YEAR($C826))</f>
        <v/>
      </c>
      <c r="S826" s="24"/>
      <c r="T826" s="35" t="str">
        <f aca="false">IF($C826="","",IF($D826="","★没选客户项目",IF(COUNTIF(合同键,$D826)=0,"★《维保合同》里没这个项目",IF(N($K826)&lt;=0,"★应收金额要填",IF(ROUND(N($N826)-N($K826),2)&gt;0.001,"★开票金额大于应收",IF(AND($L826&lt;&gt;"",N($N826)&lt;=0),"★填了开票日期没填开票金额",IF(AND($I826&lt;&gt;"",$J826&lt;&gt;"",$J826&lt;$I826),"★计费期间起止反了","OK")))))))</f>
        <v/>
      </c>
      <c r="U826" s="29" t="str">
        <f aca="false">IF($L826="","",YEAR($L826))</f>
        <v/>
      </c>
      <c r="V826" s="40" t="str">
        <f aca="false">IF($C826="","",ROUND(SUMIF(收款关联,$B826,收款金额),2))</f>
        <v/>
      </c>
      <c r="W826" s="40" t="str">
        <f aca="false">IF($C826="","",MAX(0,ROUND(N($K826)-N($V826),2)))</f>
        <v/>
      </c>
      <c r="X826" s="40" t="str">
        <f aca="false">IF($C826="","",ROUND(SUMIFS(应收净额,应收键,$D826,应收行号,"&lt;="&amp;ROW()),2))</f>
        <v/>
      </c>
      <c r="Y826" s="29" t="str">
        <f aca="false">IF($C826="","",ROW())</f>
        <v/>
      </c>
    </row>
    <row r="827" customFormat="false" ht="15" hidden="false" customHeight="false" outlineLevel="0" collapsed="false">
      <c r="A827" s="29" t="str">
        <f aca="false">IF($C827="","",ROW()-4)</f>
        <v/>
      </c>
      <c r="B827" s="35" t="str">
        <f aca="false">IF($C827="","","YS"&amp;TEXT($C827,"yyyymm")&amp;"-"&amp;TEXT(ROW()-4,"0000"))</f>
        <v/>
      </c>
      <c r="C827" s="33"/>
      <c r="D827" s="24"/>
      <c r="E827" s="30" t="str">
        <f aca="false">IF($D827="","",IFERROR(INDEX(合同单位,MATCH($D827,合同键,0)),IFERROR(TRIM(LEFT($D827,FIND("｜",$D827)-1)),$D827)))</f>
        <v/>
      </c>
      <c r="F827" s="30" t="str">
        <f aca="false">IF($D827="","",IFERROR(INDEX(合同项目,MATCH($D827,合同键,0)),IFERROR(TRIM(MID($D827,FIND("｜",$D827)+1,99)),"")))</f>
        <v/>
      </c>
      <c r="G827" s="24"/>
      <c r="H827" s="35" t="str">
        <f aca="false">IF($G827="","",IFERROR(INDEX(费用款别,MATCH($G827,费用类别表,0)),"合同外款"))</f>
        <v/>
      </c>
      <c r="I827" s="33"/>
      <c r="J827" s="33"/>
      <c r="K827" s="39"/>
      <c r="L827" s="33"/>
      <c r="M827" s="25"/>
      <c r="N827" s="39"/>
      <c r="O827" s="35" t="str">
        <f aca="false">IF($C827="","",IF(N($N827)&lt;=0,"未开票",IF(ROUND(N($N827)-N($K827),2)&gt;=0,"已开票",IFERROR("部分开票 "&amp;TEXT(N($N827)/N($K827),"0%"),"部分开票"))))</f>
        <v/>
      </c>
      <c r="P827" s="40" t="str">
        <f aca="false">IF($C827="","",ROUND($V827+MIN($W827,MAX(0,(SUMIF(收款键,$D827,收款金额)-SUMIFS(收款金额,收款键,$D827,收款关联,"&lt;&gt;"))-($X827-$W827))),2))</f>
        <v/>
      </c>
      <c r="Q827" s="41" t="str">
        <f aca="false">IF($C827="","",ROUND(N($K827)-N($P827),2))</f>
        <v/>
      </c>
      <c r="R827" s="29" t="str">
        <f aca="false">IF($C827="","",YEAR($C827))</f>
        <v/>
      </c>
      <c r="S827" s="24"/>
      <c r="T827" s="35" t="str">
        <f aca="false">IF($C827="","",IF($D827="","★没选客户项目",IF(COUNTIF(合同键,$D827)=0,"★《维保合同》里没这个项目",IF(N($K827)&lt;=0,"★应收金额要填",IF(ROUND(N($N827)-N($K827),2)&gt;0.001,"★开票金额大于应收",IF(AND($L827&lt;&gt;"",N($N827)&lt;=0),"★填了开票日期没填开票金额",IF(AND($I827&lt;&gt;"",$J827&lt;&gt;"",$J827&lt;$I827),"★计费期间起止反了","OK")))))))</f>
        <v/>
      </c>
      <c r="U827" s="29" t="str">
        <f aca="false">IF($L827="","",YEAR($L827))</f>
        <v/>
      </c>
      <c r="V827" s="40" t="str">
        <f aca="false">IF($C827="","",ROUND(SUMIF(收款关联,$B827,收款金额),2))</f>
        <v/>
      </c>
      <c r="W827" s="40" t="str">
        <f aca="false">IF($C827="","",MAX(0,ROUND(N($K827)-N($V827),2)))</f>
        <v/>
      </c>
      <c r="X827" s="40" t="str">
        <f aca="false">IF($C827="","",ROUND(SUMIFS(应收净额,应收键,$D827,应收行号,"&lt;="&amp;ROW()),2))</f>
        <v/>
      </c>
      <c r="Y827" s="29" t="str">
        <f aca="false">IF($C827="","",ROW())</f>
        <v/>
      </c>
    </row>
    <row r="828" customFormat="false" ht="15" hidden="false" customHeight="false" outlineLevel="0" collapsed="false">
      <c r="A828" s="29" t="str">
        <f aca="false">IF($C828="","",ROW()-4)</f>
        <v/>
      </c>
      <c r="B828" s="35" t="str">
        <f aca="false">IF($C828="","","YS"&amp;TEXT($C828,"yyyymm")&amp;"-"&amp;TEXT(ROW()-4,"0000"))</f>
        <v/>
      </c>
      <c r="C828" s="33"/>
      <c r="D828" s="24"/>
      <c r="E828" s="30" t="str">
        <f aca="false">IF($D828="","",IFERROR(INDEX(合同单位,MATCH($D828,合同键,0)),IFERROR(TRIM(LEFT($D828,FIND("｜",$D828)-1)),$D828)))</f>
        <v/>
      </c>
      <c r="F828" s="30" t="str">
        <f aca="false">IF($D828="","",IFERROR(INDEX(合同项目,MATCH($D828,合同键,0)),IFERROR(TRIM(MID($D828,FIND("｜",$D828)+1,99)),"")))</f>
        <v/>
      </c>
      <c r="G828" s="24"/>
      <c r="H828" s="35" t="str">
        <f aca="false">IF($G828="","",IFERROR(INDEX(费用款别,MATCH($G828,费用类别表,0)),"合同外款"))</f>
        <v/>
      </c>
      <c r="I828" s="33"/>
      <c r="J828" s="33"/>
      <c r="K828" s="39"/>
      <c r="L828" s="33"/>
      <c r="M828" s="25"/>
      <c r="N828" s="39"/>
      <c r="O828" s="35" t="str">
        <f aca="false">IF($C828="","",IF(N($N828)&lt;=0,"未开票",IF(ROUND(N($N828)-N($K828),2)&gt;=0,"已开票",IFERROR("部分开票 "&amp;TEXT(N($N828)/N($K828),"0%"),"部分开票"))))</f>
        <v/>
      </c>
      <c r="P828" s="40" t="str">
        <f aca="false">IF($C828="","",ROUND($V828+MIN($W828,MAX(0,(SUMIF(收款键,$D828,收款金额)-SUMIFS(收款金额,收款键,$D828,收款关联,"&lt;&gt;"))-($X828-$W828))),2))</f>
        <v/>
      </c>
      <c r="Q828" s="41" t="str">
        <f aca="false">IF($C828="","",ROUND(N($K828)-N($P828),2))</f>
        <v/>
      </c>
      <c r="R828" s="29" t="str">
        <f aca="false">IF($C828="","",YEAR($C828))</f>
        <v/>
      </c>
      <c r="S828" s="24"/>
      <c r="T828" s="35" t="str">
        <f aca="false">IF($C828="","",IF($D828="","★没选客户项目",IF(COUNTIF(合同键,$D828)=0,"★《维保合同》里没这个项目",IF(N($K828)&lt;=0,"★应收金额要填",IF(ROUND(N($N828)-N($K828),2)&gt;0.001,"★开票金额大于应收",IF(AND($L828&lt;&gt;"",N($N828)&lt;=0),"★填了开票日期没填开票金额",IF(AND($I828&lt;&gt;"",$J828&lt;&gt;"",$J828&lt;$I828),"★计费期间起止反了","OK")))))))</f>
        <v/>
      </c>
      <c r="U828" s="29" t="str">
        <f aca="false">IF($L828="","",YEAR($L828))</f>
        <v/>
      </c>
      <c r="V828" s="40" t="str">
        <f aca="false">IF($C828="","",ROUND(SUMIF(收款关联,$B828,收款金额),2))</f>
        <v/>
      </c>
      <c r="W828" s="40" t="str">
        <f aca="false">IF($C828="","",MAX(0,ROUND(N($K828)-N($V828),2)))</f>
        <v/>
      </c>
      <c r="X828" s="40" t="str">
        <f aca="false">IF($C828="","",ROUND(SUMIFS(应收净额,应收键,$D828,应收行号,"&lt;="&amp;ROW()),2))</f>
        <v/>
      </c>
      <c r="Y828" s="29" t="str">
        <f aca="false">IF($C828="","",ROW())</f>
        <v/>
      </c>
    </row>
    <row r="829" customFormat="false" ht="15" hidden="false" customHeight="false" outlineLevel="0" collapsed="false">
      <c r="A829" s="29" t="str">
        <f aca="false">IF($C829="","",ROW()-4)</f>
        <v/>
      </c>
      <c r="B829" s="35" t="str">
        <f aca="false">IF($C829="","","YS"&amp;TEXT($C829,"yyyymm")&amp;"-"&amp;TEXT(ROW()-4,"0000"))</f>
        <v/>
      </c>
      <c r="C829" s="33"/>
      <c r="D829" s="24"/>
      <c r="E829" s="30" t="str">
        <f aca="false">IF($D829="","",IFERROR(INDEX(合同单位,MATCH($D829,合同键,0)),IFERROR(TRIM(LEFT($D829,FIND("｜",$D829)-1)),$D829)))</f>
        <v/>
      </c>
      <c r="F829" s="30" t="str">
        <f aca="false">IF($D829="","",IFERROR(INDEX(合同项目,MATCH($D829,合同键,0)),IFERROR(TRIM(MID($D829,FIND("｜",$D829)+1,99)),"")))</f>
        <v/>
      </c>
      <c r="G829" s="24"/>
      <c r="H829" s="35" t="str">
        <f aca="false">IF($G829="","",IFERROR(INDEX(费用款别,MATCH($G829,费用类别表,0)),"合同外款"))</f>
        <v/>
      </c>
      <c r="I829" s="33"/>
      <c r="J829" s="33"/>
      <c r="K829" s="39"/>
      <c r="L829" s="33"/>
      <c r="M829" s="25"/>
      <c r="N829" s="39"/>
      <c r="O829" s="35" t="str">
        <f aca="false">IF($C829="","",IF(N($N829)&lt;=0,"未开票",IF(ROUND(N($N829)-N($K829),2)&gt;=0,"已开票",IFERROR("部分开票 "&amp;TEXT(N($N829)/N($K829),"0%"),"部分开票"))))</f>
        <v/>
      </c>
      <c r="P829" s="40" t="str">
        <f aca="false">IF($C829="","",ROUND($V829+MIN($W829,MAX(0,(SUMIF(收款键,$D829,收款金额)-SUMIFS(收款金额,收款键,$D829,收款关联,"&lt;&gt;"))-($X829-$W829))),2))</f>
        <v/>
      </c>
      <c r="Q829" s="41" t="str">
        <f aca="false">IF($C829="","",ROUND(N($K829)-N($P829),2))</f>
        <v/>
      </c>
      <c r="R829" s="29" t="str">
        <f aca="false">IF($C829="","",YEAR($C829))</f>
        <v/>
      </c>
      <c r="S829" s="24"/>
      <c r="T829" s="35" t="str">
        <f aca="false">IF($C829="","",IF($D829="","★没选客户项目",IF(COUNTIF(合同键,$D829)=0,"★《维保合同》里没这个项目",IF(N($K829)&lt;=0,"★应收金额要填",IF(ROUND(N($N829)-N($K829),2)&gt;0.001,"★开票金额大于应收",IF(AND($L829&lt;&gt;"",N($N829)&lt;=0),"★填了开票日期没填开票金额",IF(AND($I829&lt;&gt;"",$J829&lt;&gt;"",$J829&lt;$I829),"★计费期间起止反了","OK")))))))</f>
        <v/>
      </c>
      <c r="U829" s="29" t="str">
        <f aca="false">IF($L829="","",YEAR($L829))</f>
        <v/>
      </c>
      <c r="V829" s="40" t="str">
        <f aca="false">IF($C829="","",ROUND(SUMIF(收款关联,$B829,收款金额),2))</f>
        <v/>
      </c>
      <c r="W829" s="40" t="str">
        <f aca="false">IF($C829="","",MAX(0,ROUND(N($K829)-N($V829),2)))</f>
        <v/>
      </c>
      <c r="X829" s="40" t="str">
        <f aca="false">IF($C829="","",ROUND(SUMIFS(应收净额,应收键,$D829,应收行号,"&lt;="&amp;ROW()),2))</f>
        <v/>
      </c>
      <c r="Y829" s="29" t="str">
        <f aca="false">IF($C829="","",ROW())</f>
        <v/>
      </c>
    </row>
    <row r="830" customFormat="false" ht="15" hidden="false" customHeight="false" outlineLevel="0" collapsed="false">
      <c r="A830" s="29" t="str">
        <f aca="false">IF($C830="","",ROW()-4)</f>
        <v/>
      </c>
      <c r="B830" s="35" t="str">
        <f aca="false">IF($C830="","","YS"&amp;TEXT($C830,"yyyymm")&amp;"-"&amp;TEXT(ROW()-4,"0000"))</f>
        <v/>
      </c>
      <c r="C830" s="33"/>
      <c r="D830" s="24"/>
      <c r="E830" s="30" t="str">
        <f aca="false">IF($D830="","",IFERROR(INDEX(合同单位,MATCH($D830,合同键,0)),IFERROR(TRIM(LEFT($D830,FIND("｜",$D830)-1)),$D830)))</f>
        <v/>
      </c>
      <c r="F830" s="30" t="str">
        <f aca="false">IF($D830="","",IFERROR(INDEX(合同项目,MATCH($D830,合同键,0)),IFERROR(TRIM(MID($D830,FIND("｜",$D830)+1,99)),"")))</f>
        <v/>
      </c>
      <c r="G830" s="24"/>
      <c r="H830" s="35" t="str">
        <f aca="false">IF($G830="","",IFERROR(INDEX(费用款别,MATCH($G830,费用类别表,0)),"合同外款"))</f>
        <v/>
      </c>
      <c r="I830" s="33"/>
      <c r="J830" s="33"/>
      <c r="K830" s="39"/>
      <c r="L830" s="33"/>
      <c r="M830" s="25"/>
      <c r="N830" s="39"/>
      <c r="O830" s="35" t="str">
        <f aca="false">IF($C830="","",IF(N($N830)&lt;=0,"未开票",IF(ROUND(N($N830)-N($K830),2)&gt;=0,"已开票",IFERROR("部分开票 "&amp;TEXT(N($N830)/N($K830),"0%"),"部分开票"))))</f>
        <v/>
      </c>
      <c r="P830" s="40" t="str">
        <f aca="false">IF($C830="","",ROUND($V830+MIN($W830,MAX(0,(SUMIF(收款键,$D830,收款金额)-SUMIFS(收款金额,收款键,$D830,收款关联,"&lt;&gt;"))-($X830-$W830))),2))</f>
        <v/>
      </c>
      <c r="Q830" s="41" t="str">
        <f aca="false">IF($C830="","",ROUND(N($K830)-N($P830),2))</f>
        <v/>
      </c>
      <c r="R830" s="29" t="str">
        <f aca="false">IF($C830="","",YEAR($C830))</f>
        <v/>
      </c>
      <c r="S830" s="24"/>
      <c r="T830" s="35" t="str">
        <f aca="false">IF($C830="","",IF($D830="","★没选客户项目",IF(COUNTIF(合同键,$D830)=0,"★《维保合同》里没这个项目",IF(N($K830)&lt;=0,"★应收金额要填",IF(ROUND(N($N830)-N($K830),2)&gt;0.001,"★开票金额大于应收",IF(AND($L830&lt;&gt;"",N($N830)&lt;=0),"★填了开票日期没填开票金额",IF(AND($I830&lt;&gt;"",$J830&lt;&gt;"",$J830&lt;$I830),"★计费期间起止反了","OK")))))))</f>
        <v/>
      </c>
      <c r="U830" s="29" t="str">
        <f aca="false">IF($L830="","",YEAR($L830))</f>
        <v/>
      </c>
      <c r="V830" s="40" t="str">
        <f aca="false">IF($C830="","",ROUND(SUMIF(收款关联,$B830,收款金额),2))</f>
        <v/>
      </c>
      <c r="W830" s="40" t="str">
        <f aca="false">IF($C830="","",MAX(0,ROUND(N($K830)-N($V830),2)))</f>
        <v/>
      </c>
      <c r="X830" s="40" t="str">
        <f aca="false">IF($C830="","",ROUND(SUMIFS(应收净额,应收键,$D830,应收行号,"&lt;="&amp;ROW()),2))</f>
        <v/>
      </c>
      <c r="Y830" s="29" t="str">
        <f aca="false">IF($C830="","",ROW())</f>
        <v/>
      </c>
    </row>
    <row r="831" customFormat="false" ht="15" hidden="false" customHeight="false" outlineLevel="0" collapsed="false">
      <c r="A831" s="29" t="str">
        <f aca="false">IF($C831="","",ROW()-4)</f>
        <v/>
      </c>
      <c r="B831" s="35" t="str">
        <f aca="false">IF($C831="","","YS"&amp;TEXT($C831,"yyyymm")&amp;"-"&amp;TEXT(ROW()-4,"0000"))</f>
        <v/>
      </c>
      <c r="C831" s="33"/>
      <c r="D831" s="24"/>
      <c r="E831" s="30" t="str">
        <f aca="false">IF($D831="","",IFERROR(INDEX(合同单位,MATCH($D831,合同键,0)),IFERROR(TRIM(LEFT($D831,FIND("｜",$D831)-1)),$D831)))</f>
        <v/>
      </c>
      <c r="F831" s="30" t="str">
        <f aca="false">IF($D831="","",IFERROR(INDEX(合同项目,MATCH($D831,合同键,0)),IFERROR(TRIM(MID($D831,FIND("｜",$D831)+1,99)),"")))</f>
        <v/>
      </c>
      <c r="G831" s="24"/>
      <c r="H831" s="35" t="str">
        <f aca="false">IF($G831="","",IFERROR(INDEX(费用款别,MATCH($G831,费用类别表,0)),"合同外款"))</f>
        <v/>
      </c>
      <c r="I831" s="33"/>
      <c r="J831" s="33"/>
      <c r="K831" s="39"/>
      <c r="L831" s="33"/>
      <c r="M831" s="25"/>
      <c r="N831" s="39"/>
      <c r="O831" s="35" t="str">
        <f aca="false">IF($C831="","",IF(N($N831)&lt;=0,"未开票",IF(ROUND(N($N831)-N($K831),2)&gt;=0,"已开票",IFERROR("部分开票 "&amp;TEXT(N($N831)/N($K831),"0%"),"部分开票"))))</f>
        <v/>
      </c>
      <c r="P831" s="40" t="str">
        <f aca="false">IF($C831="","",ROUND($V831+MIN($W831,MAX(0,(SUMIF(收款键,$D831,收款金额)-SUMIFS(收款金额,收款键,$D831,收款关联,"&lt;&gt;"))-($X831-$W831))),2))</f>
        <v/>
      </c>
      <c r="Q831" s="41" t="str">
        <f aca="false">IF($C831="","",ROUND(N($K831)-N($P831),2))</f>
        <v/>
      </c>
      <c r="R831" s="29" t="str">
        <f aca="false">IF($C831="","",YEAR($C831))</f>
        <v/>
      </c>
      <c r="S831" s="24"/>
      <c r="T831" s="35" t="str">
        <f aca="false">IF($C831="","",IF($D831="","★没选客户项目",IF(COUNTIF(合同键,$D831)=0,"★《维保合同》里没这个项目",IF(N($K831)&lt;=0,"★应收金额要填",IF(ROUND(N($N831)-N($K831),2)&gt;0.001,"★开票金额大于应收",IF(AND($L831&lt;&gt;"",N($N831)&lt;=0),"★填了开票日期没填开票金额",IF(AND($I831&lt;&gt;"",$J831&lt;&gt;"",$J831&lt;$I831),"★计费期间起止反了","OK")))))))</f>
        <v/>
      </c>
      <c r="U831" s="29" t="str">
        <f aca="false">IF($L831="","",YEAR($L831))</f>
        <v/>
      </c>
      <c r="V831" s="40" t="str">
        <f aca="false">IF($C831="","",ROUND(SUMIF(收款关联,$B831,收款金额),2))</f>
        <v/>
      </c>
      <c r="W831" s="40" t="str">
        <f aca="false">IF($C831="","",MAX(0,ROUND(N($K831)-N($V831),2)))</f>
        <v/>
      </c>
      <c r="X831" s="40" t="str">
        <f aca="false">IF($C831="","",ROUND(SUMIFS(应收净额,应收键,$D831,应收行号,"&lt;="&amp;ROW()),2))</f>
        <v/>
      </c>
      <c r="Y831" s="29" t="str">
        <f aca="false">IF($C831="","",ROW())</f>
        <v/>
      </c>
    </row>
    <row r="832" customFormat="false" ht="15" hidden="false" customHeight="false" outlineLevel="0" collapsed="false">
      <c r="A832" s="29" t="str">
        <f aca="false">IF($C832="","",ROW()-4)</f>
        <v/>
      </c>
      <c r="B832" s="35" t="str">
        <f aca="false">IF($C832="","","YS"&amp;TEXT($C832,"yyyymm")&amp;"-"&amp;TEXT(ROW()-4,"0000"))</f>
        <v/>
      </c>
      <c r="C832" s="33"/>
      <c r="D832" s="24"/>
      <c r="E832" s="30" t="str">
        <f aca="false">IF($D832="","",IFERROR(INDEX(合同单位,MATCH($D832,合同键,0)),IFERROR(TRIM(LEFT($D832,FIND("｜",$D832)-1)),$D832)))</f>
        <v/>
      </c>
      <c r="F832" s="30" t="str">
        <f aca="false">IF($D832="","",IFERROR(INDEX(合同项目,MATCH($D832,合同键,0)),IFERROR(TRIM(MID($D832,FIND("｜",$D832)+1,99)),"")))</f>
        <v/>
      </c>
      <c r="G832" s="24"/>
      <c r="H832" s="35" t="str">
        <f aca="false">IF($G832="","",IFERROR(INDEX(费用款别,MATCH($G832,费用类别表,0)),"合同外款"))</f>
        <v/>
      </c>
      <c r="I832" s="33"/>
      <c r="J832" s="33"/>
      <c r="K832" s="39"/>
      <c r="L832" s="33"/>
      <c r="M832" s="25"/>
      <c r="N832" s="39"/>
      <c r="O832" s="35" t="str">
        <f aca="false">IF($C832="","",IF(N($N832)&lt;=0,"未开票",IF(ROUND(N($N832)-N($K832),2)&gt;=0,"已开票",IFERROR("部分开票 "&amp;TEXT(N($N832)/N($K832),"0%"),"部分开票"))))</f>
        <v/>
      </c>
      <c r="P832" s="40" t="str">
        <f aca="false">IF($C832="","",ROUND($V832+MIN($W832,MAX(0,(SUMIF(收款键,$D832,收款金额)-SUMIFS(收款金额,收款键,$D832,收款关联,"&lt;&gt;"))-($X832-$W832))),2))</f>
        <v/>
      </c>
      <c r="Q832" s="41" t="str">
        <f aca="false">IF($C832="","",ROUND(N($K832)-N($P832),2))</f>
        <v/>
      </c>
      <c r="R832" s="29" t="str">
        <f aca="false">IF($C832="","",YEAR($C832))</f>
        <v/>
      </c>
      <c r="S832" s="24"/>
      <c r="T832" s="35" t="str">
        <f aca="false">IF($C832="","",IF($D832="","★没选客户项目",IF(COUNTIF(合同键,$D832)=0,"★《维保合同》里没这个项目",IF(N($K832)&lt;=0,"★应收金额要填",IF(ROUND(N($N832)-N($K832),2)&gt;0.001,"★开票金额大于应收",IF(AND($L832&lt;&gt;"",N($N832)&lt;=0),"★填了开票日期没填开票金额",IF(AND($I832&lt;&gt;"",$J832&lt;&gt;"",$J832&lt;$I832),"★计费期间起止反了","OK")))))))</f>
        <v/>
      </c>
      <c r="U832" s="29" t="str">
        <f aca="false">IF($L832="","",YEAR($L832))</f>
        <v/>
      </c>
      <c r="V832" s="40" t="str">
        <f aca="false">IF($C832="","",ROUND(SUMIF(收款关联,$B832,收款金额),2))</f>
        <v/>
      </c>
      <c r="W832" s="40" t="str">
        <f aca="false">IF($C832="","",MAX(0,ROUND(N($K832)-N($V832),2)))</f>
        <v/>
      </c>
      <c r="X832" s="40" t="str">
        <f aca="false">IF($C832="","",ROUND(SUMIFS(应收净额,应收键,$D832,应收行号,"&lt;="&amp;ROW()),2))</f>
        <v/>
      </c>
      <c r="Y832" s="29" t="str">
        <f aca="false">IF($C832="","",ROW())</f>
        <v/>
      </c>
    </row>
    <row r="833" customFormat="false" ht="15" hidden="false" customHeight="false" outlineLevel="0" collapsed="false">
      <c r="A833" s="29" t="str">
        <f aca="false">IF($C833="","",ROW()-4)</f>
        <v/>
      </c>
      <c r="B833" s="35" t="str">
        <f aca="false">IF($C833="","","YS"&amp;TEXT($C833,"yyyymm")&amp;"-"&amp;TEXT(ROW()-4,"0000"))</f>
        <v/>
      </c>
      <c r="C833" s="33"/>
      <c r="D833" s="24"/>
      <c r="E833" s="30" t="str">
        <f aca="false">IF($D833="","",IFERROR(INDEX(合同单位,MATCH($D833,合同键,0)),IFERROR(TRIM(LEFT($D833,FIND("｜",$D833)-1)),$D833)))</f>
        <v/>
      </c>
      <c r="F833" s="30" t="str">
        <f aca="false">IF($D833="","",IFERROR(INDEX(合同项目,MATCH($D833,合同键,0)),IFERROR(TRIM(MID($D833,FIND("｜",$D833)+1,99)),"")))</f>
        <v/>
      </c>
      <c r="G833" s="24"/>
      <c r="H833" s="35" t="str">
        <f aca="false">IF($G833="","",IFERROR(INDEX(费用款别,MATCH($G833,费用类别表,0)),"合同外款"))</f>
        <v/>
      </c>
      <c r="I833" s="33"/>
      <c r="J833" s="33"/>
      <c r="K833" s="39"/>
      <c r="L833" s="33"/>
      <c r="M833" s="25"/>
      <c r="N833" s="39"/>
      <c r="O833" s="35" t="str">
        <f aca="false">IF($C833="","",IF(N($N833)&lt;=0,"未开票",IF(ROUND(N($N833)-N($K833),2)&gt;=0,"已开票",IFERROR("部分开票 "&amp;TEXT(N($N833)/N($K833),"0%"),"部分开票"))))</f>
        <v/>
      </c>
      <c r="P833" s="40" t="str">
        <f aca="false">IF($C833="","",ROUND($V833+MIN($W833,MAX(0,(SUMIF(收款键,$D833,收款金额)-SUMIFS(收款金额,收款键,$D833,收款关联,"&lt;&gt;"))-($X833-$W833))),2))</f>
        <v/>
      </c>
      <c r="Q833" s="41" t="str">
        <f aca="false">IF($C833="","",ROUND(N($K833)-N($P833),2))</f>
        <v/>
      </c>
      <c r="R833" s="29" t="str">
        <f aca="false">IF($C833="","",YEAR($C833))</f>
        <v/>
      </c>
      <c r="S833" s="24"/>
      <c r="T833" s="35" t="str">
        <f aca="false">IF($C833="","",IF($D833="","★没选客户项目",IF(COUNTIF(合同键,$D833)=0,"★《维保合同》里没这个项目",IF(N($K833)&lt;=0,"★应收金额要填",IF(ROUND(N($N833)-N($K833),2)&gt;0.001,"★开票金额大于应收",IF(AND($L833&lt;&gt;"",N($N833)&lt;=0),"★填了开票日期没填开票金额",IF(AND($I833&lt;&gt;"",$J833&lt;&gt;"",$J833&lt;$I833),"★计费期间起止反了","OK")))))))</f>
        <v/>
      </c>
      <c r="U833" s="29" t="str">
        <f aca="false">IF($L833="","",YEAR($L833))</f>
        <v/>
      </c>
      <c r="V833" s="40" t="str">
        <f aca="false">IF($C833="","",ROUND(SUMIF(收款关联,$B833,收款金额),2))</f>
        <v/>
      </c>
      <c r="W833" s="40" t="str">
        <f aca="false">IF($C833="","",MAX(0,ROUND(N($K833)-N($V833),2)))</f>
        <v/>
      </c>
      <c r="X833" s="40" t="str">
        <f aca="false">IF($C833="","",ROUND(SUMIFS(应收净额,应收键,$D833,应收行号,"&lt;="&amp;ROW()),2))</f>
        <v/>
      </c>
      <c r="Y833" s="29" t="str">
        <f aca="false">IF($C833="","",ROW())</f>
        <v/>
      </c>
    </row>
    <row r="834" customFormat="false" ht="15" hidden="false" customHeight="false" outlineLevel="0" collapsed="false">
      <c r="A834" s="29" t="str">
        <f aca="false">IF($C834="","",ROW()-4)</f>
        <v/>
      </c>
      <c r="B834" s="35" t="str">
        <f aca="false">IF($C834="","","YS"&amp;TEXT($C834,"yyyymm")&amp;"-"&amp;TEXT(ROW()-4,"0000"))</f>
        <v/>
      </c>
      <c r="C834" s="33"/>
      <c r="D834" s="24"/>
      <c r="E834" s="30" t="str">
        <f aca="false">IF($D834="","",IFERROR(INDEX(合同单位,MATCH($D834,合同键,0)),IFERROR(TRIM(LEFT($D834,FIND("｜",$D834)-1)),$D834)))</f>
        <v/>
      </c>
      <c r="F834" s="30" t="str">
        <f aca="false">IF($D834="","",IFERROR(INDEX(合同项目,MATCH($D834,合同键,0)),IFERROR(TRIM(MID($D834,FIND("｜",$D834)+1,99)),"")))</f>
        <v/>
      </c>
      <c r="G834" s="24"/>
      <c r="H834" s="35" t="str">
        <f aca="false">IF($G834="","",IFERROR(INDEX(费用款别,MATCH($G834,费用类别表,0)),"合同外款"))</f>
        <v/>
      </c>
      <c r="I834" s="33"/>
      <c r="J834" s="33"/>
      <c r="K834" s="39"/>
      <c r="L834" s="33"/>
      <c r="M834" s="25"/>
      <c r="N834" s="39"/>
      <c r="O834" s="35" t="str">
        <f aca="false">IF($C834="","",IF(N($N834)&lt;=0,"未开票",IF(ROUND(N($N834)-N($K834),2)&gt;=0,"已开票",IFERROR("部分开票 "&amp;TEXT(N($N834)/N($K834),"0%"),"部分开票"))))</f>
        <v/>
      </c>
      <c r="P834" s="40" t="str">
        <f aca="false">IF($C834="","",ROUND($V834+MIN($W834,MAX(0,(SUMIF(收款键,$D834,收款金额)-SUMIFS(收款金额,收款键,$D834,收款关联,"&lt;&gt;"))-($X834-$W834))),2))</f>
        <v/>
      </c>
      <c r="Q834" s="41" t="str">
        <f aca="false">IF($C834="","",ROUND(N($K834)-N($P834),2))</f>
        <v/>
      </c>
      <c r="R834" s="29" t="str">
        <f aca="false">IF($C834="","",YEAR($C834))</f>
        <v/>
      </c>
      <c r="S834" s="24"/>
      <c r="T834" s="35" t="str">
        <f aca="false">IF($C834="","",IF($D834="","★没选客户项目",IF(COUNTIF(合同键,$D834)=0,"★《维保合同》里没这个项目",IF(N($K834)&lt;=0,"★应收金额要填",IF(ROUND(N($N834)-N($K834),2)&gt;0.001,"★开票金额大于应收",IF(AND($L834&lt;&gt;"",N($N834)&lt;=0),"★填了开票日期没填开票金额",IF(AND($I834&lt;&gt;"",$J834&lt;&gt;"",$J834&lt;$I834),"★计费期间起止反了","OK")))))))</f>
        <v/>
      </c>
      <c r="U834" s="29" t="str">
        <f aca="false">IF($L834="","",YEAR($L834))</f>
        <v/>
      </c>
      <c r="V834" s="40" t="str">
        <f aca="false">IF($C834="","",ROUND(SUMIF(收款关联,$B834,收款金额),2))</f>
        <v/>
      </c>
      <c r="W834" s="40" t="str">
        <f aca="false">IF($C834="","",MAX(0,ROUND(N($K834)-N($V834),2)))</f>
        <v/>
      </c>
      <c r="X834" s="40" t="str">
        <f aca="false">IF($C834="","",ROUND(SUMIFS(应收净额,应收键,$D834,应收行号,"&lt;="&amp;ROW()),2))</f>
        <v/>
      </c>
      <c r="Y834" s="29" t="str">
        <f aca="false">IF($C834="","",ROW())</f>
        <v/>
      </c>
    </row>
    <row r="835" customFormat="false" ht="15" hidden="false" customHeight="false" outlineLevel="0" collapsed="false">
      <c r="A835" s="29" t="str">
        <f aca="false">IF($C835="","",ROW()-4)</f>
        <v/>
      </c>
      <c r="B835" s="35" t="str">
        <f aca="false">IF($C835="","","YS"&amp;TEXT($C835,"yyyymm")&amp;"-"&amp;TEXT(ROW()-4,"0000"))</f>
        <v/>
      </c>
      <c r="C835" s="33"/>
      <c r="D835" s="24"/>
      <c r="E835" s="30" t="str">
        <f aca="false">IF($D835="","",IFERROR(INDEX(合同单位,MATCH($D835,合同键,0)),IFERROR(TRIM(LEFT($D835,FIND("｜",$D835)-1)),$D835)))</f>
        <v/>
      </c>
      <c r="F835" s="30" t="str">
        <f aca="false">IF($D835="","",IFERROR(INDEX(合同项目,MATCH($D835,合同键,0)),IFERROR(TRIM(MID($D835,FIND("｜",$D835)+1,99)),"")))</f>
        <v/>
      </c>
      <c r="G835" s="24"/>
      <c r="H835" s="35" t="str">
        <f aca="false">IF($G835="","",IFERROR(INDEX(费用款别,MATCH($G835,费用类别表,0)),"合同外款"))</f>
        <v/>
      </c>
      <c r="I835" s="33"/>
      <c r="J835" s="33"/>
      <c r="K835" s="39"/>
      <c r="L835" s="33"/>
      <c r="M835" s="25"/>
      <c r="N835" s="39"/>
      <c r="O835" s="35" t="str">
        <f aca="false">IF($C835="","",IF(N($N835)&lt;=0,"未开票",IF(ROUND(N($N835)-N($K835),2)&gt;=0,"已开票",IFERROR("部分开票 "&amp;TEXT(N($N835)/N($K835),"0%"),"部分开票"))))</f>
        <v/>
      </c>
      <c r="P835" s="40" t="str">
        <f aca="false">IF($C835="","",ROUND($V835+MIN($W835,MAX(0,(SUMIF(收款键,$D835,收款金额)-SUMIFS(收款金额,收款键,$D835,收款关联,"&lt;&gt;"))-($X835-$W835))),2))</f>
        <v/>
      </c>
      <c r="Q835" s="41" t="str">
        <f aca="false">IF($C835="","",ROUND(N($K835)-N($P835),2))</f>
        <v/>
      </c>
      <c r="R835" s="29" t="str">
        <f aca="false">IF($C835="","",YEAR($C835))</f>
        <v/>
      </c>
      <c r="S835" s="24"/>
      <c r="T835" s="35" t="str">
        <f aca="false">IF($C835="","",IF($D835="","★没选客户项目",IF(COUNTIF(合同键,$D835)=0,"★《维保合同》里没这个项目",IF(N($K835)&lt;=0,"★应收金额要填",IF(ROUND(N($N835)-N($K835),2)&gt;0.001,"★开票金额大于应收",IF(AND($L835&lt;&gt;"",N($N835)&lt;=0),"★填了开票日期没填开票金额",IF(AND($I835&lt;&gt;"",$J835&lt;&gt;"",$J835&lt;$I835),"★计费期间起止反了","OK")))))))</f>
        <v/>
      </c>
      <c r="U835" s="29" t="str">
        <f aca="false">IF($L835="","",YEAR($L835))</f>
        <v/>
      </c>
      <c r="V835" s="40" t="str">
        <f aca="false">IF($C835="","",ROUND(SUMIF(收款关联,$B835,收款金额),2))</f>
        <v/>
      </c>
      <c r="W835" s="40" t="str">
        <f aca="false">IF($C835="","",MAX(0,ROUND(N($K835)-N($V835),2)))</f>
        <v/>
      </c>
      <c r="X835" s="40" t="str">
        <f aca="false">IF($C835="","",ROUND(SUMIFS(应收净额,应收键,$D835,应收行号,"&lt;="&amp;ROW()),2))</f>
        <v/>
      </c>
      <c r="Y835" s="29" t="str">
        <f aca="false">IF($C835="","",ROW())</f>
        <v/>
      </c>
    </row>
    <row r="836" customFormat="false" ht="15" hidden="false" customHeight="false" outlineLevel="0" collapsed="false">
      <c r="A836" s="29" t="str">
        <f aca="false">IF($C836="","",ROW()-4)</f>
        <v/>
      </c>
      <c r="B836" s="35" t="str">
        <f aca="false">IF($C836="","","YS"&amp;TEXT($C836,"yyyymm")&amp;"-"&amp;TEXT(ROW()-4,"0000"))</f>
        <v/>
      </c>
      <c r="C836" s="33"/>
      <c r="D836" s="24"/>
      <c r="E836" s="30" t="str">
        <f aca="false">IF($D836="","",IFERROR(INDEX(合同单位,MATCH($D836,合同键,0)),IFERROR(TRIM(LEFT($D836,FIND("｜",$D836)-1)),$D836)))</f>
        <v/>
      </c>
      <c r="F836" s="30" t="str">
        <f aca="false">IF($D836="","",IFERROR(INDEX(合同项目,MATCH($D836,合同键,0)),IFERROR(TRIM(MID($D836,FIND("｜",$D836)+1,99)),"")))</f>
        <v/>
      </c>
      <c r="G836" s="24"/>
      <c r="H836" s="35" t="str">
        <f aca="false">IF($G836="","",IFERROR(INDEX(费用款别,MATCH($G836,费用类别表,0)),"合同外款"))</f>
        <v/>
      </c>
      <c r="I836" s="33"/>
      <c r="J836" s="33"/>
      <c r="K836" s="39"/>
      <c r="L836" s="33"/>
      <c r="M836" s="25"/>
      <c r="N836" s="39"/>
      <c r="O836" s="35" t="str">
        <f aca="false">IF($C836="","",IF(N($N836)&lt;=0,"未开票",IF(ROUND(N($N836)-N($K836),2)&gt;=0,"已开票",IFERROR("部分开票 "&amp;TEXT(N($N836)/N($K836),"0%"),"部分开票"))))</f>
        <v/>
      </c>
      <c r="P836" s="40" t="str">
        <f aca="false">IF($C836="","",ROUND($V836+MIN($W836,MAX(0,(SUMIF(收款键,$D836,收款金额)-SUMIFS(收款金额,收款键,$D836,收款关联,"&lt;&gt;"))-($X836-$W836))),2))</f>
        <v/>
      </c>
      <c r="Q836" s="41" t="str">
        <f aca="false">IF($C836="","",ROUND(N($K836)-N($P836),2))</f>
        <v/>
      </c>
      <c r="R836" s="29" t="str">
        <f aca="false">IF($C836="","",YEAR($C836))</f>
        <v/>
      </c>
      <c r="S836" s="24"/>
      <c r="T836" s="35" t="str">
        <f aca="false">IF($C836="","",IF($D836="","★没选客户项目",IF(COUNTIF(合同键,$D836)=0,"★《维保合同》里没这个项目",IF(N($K836)&lt;=0,"★应收金额要填",IF(ROUND(N($N836)-N($K836),2)&gt;0.001,"★开票金额大于应收",IF(AND($L836&lt;&gt;"",N($N836)&lt;=0),"★填了开票日期没填开票金额",IF(AND($I836&lt;&gt;"",$J836&lt;&gt;"",$J836&lt;$I836),"★计费期间起止反了","OK")))))))</f>
        <v/>
      </c>
      <c r="U836" s="29" t="str">
        <f aca="false">IF($L836="","",YEAR($L836))</f>
        <v/>
      </c>
      <c r="V836" s="40" t="str">
        <f aca="false">IF($C836="","",ROUND(SUMIF(收款关联,$B836,收款金额),2))</f>
        <v/>
      </c>
      <c r="W836" s="40" t="str">
        <f aca="false">IF($C836="","",MAX(0,ROUND(N($K836)-N($V836),2)))</f>
        <v/>
      </c>
      <c r="X836" s="40" t="str">
        <f aca="false">IF($C836="","",ROUND(SUMIFS(应收净额,应收键,$D836,应收行号,"&lt;="&amp;ROW()),2))</f>
        <v/>
      </c>
      <c r="Y836" s="29" t="str">
        <f aca="false">IF($C836="","",ROW())</f>
        <v/>
      </c>
    </row>
    <row r="837" customFormat="false" ht="15" hidden="false" customHeight="false" outlineLevel="0" collapsed="false">
      <c r="A837" s="29" t="str">
        <f aca="false">IF($C837="","",ROW()-4)</f>
        <v/>
      </c>
      <c r="B837" s="35" t="str">
        <f aca="false">IF($C837="","","YS"&amp;TEXT($C837,"yyyymm")&amp;"-"&amp;TEXT(ROW()-4,"0000"))</f>
        <v/>
      </c>
      <c r="C837" s="33"/>
      <c r="D837" s="24"/>
      <c r="E837" s="30" t="str">
        <f aca="false">IF($D837="","",IFERROR(INDEX(合同单位,MATCH($D837,合同键,0)),IFERROR(TRIM(LEFT($D837,FIND("｜",$D837)-1)),$D837)))</f>
        <v/>
      </c>
      <c r="F837" s="30" t="str">
        <f aca="false">IF($D837="","",IFERROR(INDEX(合同项目,MATCH($D837,合同键,0)),IFERROR(TRIM(MID($D837,FIND("｜",$D837)+1,99)),"")))</f>
        <v/>
      </c>
      <c r="G837" s="24"/>
      <c r="H837" s="35" t="str">
        <f aca="false">IF($G837="","",IFERROR(INDEX(费用款别,MATCH($G837,费用类别表,0)),"合同外款"))</f>
        <v/>
      </c>
      <c r="I837" s="33"/>
      <c r="J837" s="33"/>
      <c r="K837" s="39"/>
      <c r="L837" s="33"/>
      <c r="M837" s="25"/>
      <c r="N837" s="39"/>
      <c r="O837" s="35" t="str">
        <f aca="false">IF($C837="","",IF(N($N837)&lt;=0,"未开票",IF(ROUND(N($N837)-N($K837),2)&gt;=0,"已开票",IFERROR("部分开票 "&amp;TEXT(N($N837)/N($K837),"0%"),"部分开票"))))</f>
        <v/>
      </c>
      <c r="P837" s="40" t="str">
        <f aca="false">IF($C837="","",ROUND($V837+MIN($W837,MAX(0,(SUMIF(收款键,$D837,收款金额)-SUMIFS(收款金额,收款键,$D837,收款关联,"&lt;&gt;"))-($X837-$W837))),2))</f>
        <v/>
      </c>
      <c r="Q837" s="41" t="str">
        <f aca="false">IF($C837="","",ROUND(N($K837)-N($P837),2))</f>
        <v/>
      </c>
      <c r="R837" s="29" t="str">
        <f aca="false">IF($C837="","",YEAR($C837))</f>
        <v/>
      </c>
      <c r="S837" s="24"/>
      <c r="T837" s="35" t="str">
        <f aca="false">IF($C837="","",IF($D837="","★没选客户项目",IF(COUNTIF(合同键,$D837)=0,"★《维保合同》里没这个项目",IF(N($K837)&lt;=0,"★应收金额要填",IF(ROUND(N($N837)-N($K837),2)&gt;0.001,"★开票金额大于应收",IF(AND($L837&lt;&gt;"",N($N837)&lt;=0),"★填了开票日期没填开票金额",IF(AND($I837&lt;&gt;"",$J837&lt;&gt;"",$J837&lt;$I837),"★计费期间起止反了","OK")))))))</f>
        <v/>
      </c>
      <c r="U837" s="29" t="str">
        <f aca="false">IF($L837="","",YEAR($L837))</f>
        <v/>
      </c>
      <c r="V837" s="40" t="str">
        <f aca="false">IF($C837="","",ROUND(SUMIF(收款关联,$B837,收款金额),2))</f>
        <v/>
      </c>
      <c r="W837" s="40" t="str">
        <f aca="false">IF($C837="","",MAX(0,ROUND(N($K837)-N($V837),2)))</f>
        <v/>
      </c>
      <c r="X837" s="40" t="str">
        <f aca="false">IF($C837="","",ROUND(SUMIFS(应收净额,应收键,$D837,应收行号,"&lt;="&amp;ROW()),2))</f>
        <v/>
      </c>
      <c r="Y837" s="29" t="str">
        <f aca="false">IF($C837="","",ROW())</f>
        <v/>
      </c>
    </row>
    <row r="838" customFormat="false" ht="15" hidden="false" customHeight="false" outlineLevel="0" collapsed="false">
      <c r="A838" s="29" t="str">
        <f aca="false">IF($C838="","",ROW()-4)</f>
        <v/>
      </c>
      <c r="B838" s="35" t="str">
        <f aca="false">IF($C838="","","YS"&amp;TEXT($C838,"yyyymm")&amp;"-"&amp;TEXT(ROW()-4,"0000"))</f>
        <v/>
      </c>
      <c r="C838" s="33"/>
      <c r="D838" s="24"/>
      <c r="E838" s="30" t="str">
        <f aca="false">IF($D838="","",IFERROR(INDEX(合同单位,MATCH($D838,合同键,0)),IFERROR(TRIM(LEFT($D838,FIND("｜",$D838)-1)),$D838)))</f>
        <v/>
      </c>
      <c r="F838" s="30" t="str">
        <f aca="false">IF($D838="","",IFERROR(INDEX(合同项目,MATCH($D838,合同键,0)),IFERROR(TRIM(MID($D838,FIND("｜",$D838)+1,99)),"")))</f>
        <v/>
      </c>
      <c r="G838" s="24"/>
      <c r="H838" s="35" t="str">
        <f aca="false">IF($G838="","",IFERROR(INDEX(费用款别,MATCH($G838,费用类别表,0)),"合同外款"))</f>
        <v/>
      </c>
      <c r="I838" s="33"/>
      <c r="J838" s="33"/>
      <c r="K838" s="39"/>
      <c r="L838" s="33"/>
      <c r="M838" s="25"/>
      <c r="N838" s="39"/>
      <c r="O838" s="35" t="str">
        <f aca="false">IF($C838="","",IF(N($N838)&lt;=0,"未开票",IF(ROUND(N($N838)-N($K838),2)&gt;=0,"已开票",IFERROR("部分开票 "&amp;TEXT(N($N838)/N($K838),"0%"),"部分开票"))))</f>
        <v/>
      </c>
      <c r="P838" s="40" t="str">
        <f aca="false">IF($C838="","",ROUND($V838+MIN($W838,MAX(0,(SUMIF(收款键,$D838,收款金额)-SUMIFS(收款金额,收款键,$D838,收款关联,"&lt;&gt;"))-($X838-$W838))),2))</f>
        <v/>
      </c>
      <c r="Q838" s="41" t="str">
        <f aca="false">IF($C838="","",ROUND(N($K838)-N($P838),2))</f>
        <v/>
      </c>
      <c r="R838" s="29" t="str">
        <f aca="false">IF($C838="","",YEAR($C838))</f>
        <v/>
      </c>
      <c r="S838" s="24"/>
      <c r="T838" s="35" t="str">
        <f aca="false">IF($C838="","",IF($D838="","★没选客户项目",IF(COUNTIF(合同键,$D838)=0,"★《维保合同》里没这个项目",IF(N($K838)&lt;=0,"★应收金额要填",IF(ROUND(N($N838)-N($K838),2)&gt;0.001,"★开票金额大于应收",IF(AND($L838&lt;&gt;"",N($N838)&lt;=0),"★填了开票日期没填开票金额",IF(AND($I838&lt;&gt;"",$J838&lt;&gt;"",$J838&lt;$I838),"★计费期间起止反了","OK")))))))</f>
        <v/>
      </c>
      <c r="U838" s="29" t="str">
        <f aca="false">IF($L838="","",YEAR($L838))</f>
        <v/>
      </c>
      <c r="V838" s="40" t="str">
        <f aca="false">IF($C838="","",ROUND(SUMIF(收款关联,$B838,收款金额),2))</f>
        <v/>
      </c>
      <c r="W838" s="40" t="str">
        <f aca="false">IF($C838="","",MAX(0,ROUND(N($K838)-N($V838),2)))</f>
        <v/>
      </c>
      <c r="X838" s="40" t="str">
        <f aca="false">IF($C838="","",ROUND(SUMIFS(应收净额,应收键,$D838,应收行号,"&lt;="&amp;ROW()),2))</f>
        <v/>
      </c>
      <c r="Y838" s="29" t="str">
        <f aca="false">IF($C838="","",ROW())</f>
        <v/>
      </c>
    </row>
    <row r="839" customFormat="false" ht="15" hidden="false" customHeight="false" outlineLevel="0" collapsed="false">
      <c r="A839" s="29" t="str">
        <f aca="false">IF($C839="","",ROW()-4)</f>
        <v/>
      </c>
      <c r="B839" s="35" t="str">
        <f aca="false">IF($C839="","","YS"&amp;TEXT($C839,"yyyymm")&amp;"-"&amp;TEXT(ROW()-4,"0000"))</f>
        <v/>
      </c>
      <c r="C839" s="33"/>
      <c r="D839" s="24"/>
      <c r="E839" s="30" t="str">
        <f aca="false">IF($D839="","",IFERROR(INDEX(合同单位,MATCH($D839,合同键,0)),IFERROR(TRIM(LEFT($D839,FIND("｜",$D839)-1)),$D839)))</f>
        <v/>
      </c>
      <c r="F839" s="30" t="str">
        <f aca="false">IF($D839="","",IFERROR(INDEX(合同项目,MATCH($D839,合同键,0)),IFERROR(TRIM(MID($D839,FIND("｜",$D839)+1,99)),"")))</f>
        <v/>
      </c>
      <c r="G839" s="24"/>
      <c r="H839" s="35" t="str">
        <f aca="false">IF($G839="","",IFERROR(INDEX(费用款别,MATCH($G839,费用类别表,0)),"合同外款"))</f>
        <v/>
      </c>
      <c r="I839" s="33"/>
      <c r="J839" s="33"/>
      <c r="K839" s="39"/>
      <c r="L839" s="33"/>
      <c r="M839" s="25"/>
      <c r="N839" s="39"/>
      <c r="O839" s="35" t="str">
        <f aca="false">IF($C839="","",IF(N($N839)&lt;=0,"未开票",IF(ROUND(N($N839)-N($K839),2)&gt;=0,"已开票",IFERROR("部分开票 "&amp;TEXT(N($N839)/N($K839),"0%"),"部分开票"))))</f>
        <v/>
      </c>
      <c r="P839" s="40" t="str">
        <f aca="false">IF($C839="","",ROUND($V839+MIN($W839,MAX(0,(SUMIF(收款键,$D839,收款金额)-SUMIFS(收款金额,收款键,$D839,收款关联,"&lt;&gt;"))-($X839-$W839))),2))</f>
        <v/>
      </c>
      <c r="Q839" s="41" t="str">
        <f aca="false">IF($C839="","",ROUND(N($K839)-N($P839),2))</f>
        <v/>
      </c>
      <c r="R839" s="29" t="str">
        <f aca="false">IF($C839="","",YEAR($C839))</f>
        <v/>
      </c>
      <c r="S839" s="24"/>
      <c r="T839" s="35" t="str">
        <f aca="false">IF($C839="","",IF($D839="","★没选客户项目",IF(COUNTIF(合同键,$D839)=0,"★《维保合同》里没这个项目",IF(N($K839)&lt;=0,"★应收金额要填",IF(ROUND(N($N839)-N($K839),2)&gt;0.001,"★开票金额大于应收",IF(AND($L839&lt;&gt;"",N($N839)&lt;=0),"★填了开票日期没填开票金额",IF(AND($I839&lt;&gt;"",$J839&lt;&gt;"",$J839&lt;$I839),"★计费期间起止反了","OK")))))))</f>
        <v/>
      </c>
      <c r="U839" s="29" t="str">
        <f aca="false">IF($L839="","",YEAR($L839))</f>
        <v/>
      </c>
      <c r="V839" s="40" t="str">
        <f aca="false">IF($C839="","",ROUND(SUMIF(收款关联,$B839,收款金额),2))</f>
        <v/>
      </c>
      <c r="W839" s="40" t="str">
        <f aca="false">IF($C839="","",MAX(0,ROUND(N($K839)-N($V839),2)))</f>
        <v/>
      </c>
      <c r="X839" s="40" t="str">
        <f aca="false">IF($C839="","",ROUND(SUMIFS(应收净额,应收键,$D839,应收行号,"&lt;="&amp;ROW()),2))</f>
        <v/>
      </c>
      <c r="Y839" s="29" t="str">
        <f aca="false">IF($C839="","",ROW())</f>
        <v/>
      </c>
    </row>
    <row r="840" customFormat="false" ht="15" hidden="false" customHeight="false" outlineLevel="0" collapsed="false">
      <c r="A840" s="29" t="str">
        <f aca="false">IF($C840="","",ROW()-4)</f>
        <v/>
      </c>
      <c r="B840" s="35" t="str">
        <f aca="false">IF($C840="","","YS"&amp;TEXT($C840,"yyyymm")&amp;"-"&amp;TEXT(ROW()-4,"0000"))</f>
        <v/>
      </c>
      <c r="C840" s="33"/>
      <c r="D840" s="24"/>
      <c r="E840" s="30" t="str">
        <f aca="false">IF($D840="","",IFERROR(INDEX(合同单位,MATCH($D840,合同键,0)),IFERROR(TRIM(LEFT($D840,FIND("｜",$D840)-1)),$D840)))</f>
        <v/>
      </c>
      <c r="F840" s="30" t="str">
        <f aca="false">IF($D840="","",IFERROR(INDEX(合同项目,MATCH($D840,合同键,0)),IFERROR(TRIM(MID($D840,FIND("｜",$D840)+1,99)),"")))</f>
        <v/>
      </c>
      <c r="G840" s="24"/>
      <c r="H840" s="35" t="str">
        <f aca="false">IF($G840="","",IFERROR(INDEX(费用款别,MATCH($G840,费用类别表,0)),"合同外款"))</f>
        <v/>
      </c>
      <c r="I840" s="33"/>
      <c r="J840" s="33"/>
      <c r="K840" s="39"/>
      <c r="L840" s="33"/>
      <c r="M840" s="25"/>
      <c r="N840" s="39"/>
      <c r="O840" s="35" t="str">
        <f aca="false">IF($C840="","",IF(N($N840)&lt;=0,"未开票",IF(ROUND(N($N840)-N($K840),2)&gt;=0,"已开票",IFERROR("部分开票 "&amp;TEXT(N($N840)/N($K840),"0%"),"部分开票"))))</f>
        <v/>
      </c>
      <c r="P840" s="40" t="str">
        <f aca="false">IF($C840="","",ROUND($V840+MIN($W840,MAX(0,(SUMIF(收款键,$D840,收款金额)-SUMIFS(收款金额,收款键,$D840,收款关联,"&lt;&gt;"))-($X840-$W840))),2))</f>
        <v/>
      </c>
      <c r="Q840" s="41" t="str">
        <f aca="false">IF($C840="","",ROUND(N($K840)-N($P840),2))</f>
        <v/>
      </c>
      <c r="R840" s="29" t="str">
        <f aca="false">IF($C840="","",YEAR($C840))</f>
        <v/>
      </c>
      <c r="S840" s="24"/>
      <c r="T840" s="35" t="str">
        <f aca="false">IF($C840="","",IF($D840="","★没选客户项目",IF(COUNTIF(合同键,$D840)=0,"★《维保合同》里没这个项目",IF(N($K840)&lt;=0,"★应收金额要填",IF(ROUND(N($N840)-N($K840),2)&gt;0.001,"★开票金额大于应收",IF(AND($L840&lt;&gt;"",N($N840)&lt;=0),"★填了开票日期没填开票金额",IF(AND($I840&lt;&gt;"",$J840&lt;&gt;"",$J840&lt;$I840),"★计费期间起止反了","OK")))))))</f>
        <v/>
      </c>
      <c r="U840" s="29" t="str">
        <f aca="false">IF($L840="","",YEAR($L840))</f>
        <v/>
      </c>
      <c r="V840" s="40" t="str">
        <f aca="false">IF($C840="","",ROUND(SUMIF(收款关联,$B840,收款金额),2))</f>
        <v/>
      </c>
      <c r="W840" s="40" t="str">
        <f aca="false">IF($C840="","",MAX(0,ROUND(N($K840)-N($V840),2)))</f>
        <v/>
      </c>
      <c r="X840" s="40" t="str">
        <f aca="false">IF($C840="","",ROUND(SUMIFS(应收净额,应收键,$D840,应收行号,"&lt;="&amp;ROW()),2))</f>
        <v/>
      </c>
      <c r="Y840" s="29" t="str">
        <f aca="false">IF($C840="","",ROW())</f>
        <v/>
      </c>
    </row>
    <row r="841" customFormat="false" ht="15" hidden="false" customHeight="false" outlineLevel="0" collapsed="false">
      <c r="A841" s="29" t="str">
        <f aca="false">IF($C841="","",ROW()-4)</f>
        <v/>
      </c>
      <c r="B841" s="35" t="str">
        <f aca="false">IF($C841="","","YS"&amp;TEXT($C841,"yyyymm")&amp;"-"&amp;TEXT(ROW()-4,"0000"))</f>
        <v/>
      </c>
      <c r="C841" s="33"/>
      <c r="D841" s="24"/>
      <c r="E841" s="30" t="str">
        <f aca="false">IF($D841="","",IFERROR(INDEX(合同单位,MATCH($D841,合同键,0)),IFERROR(TRIM(LEFT($D841,FIND("｜",$D841)-1)),$D841)))</f>
        <v/>
      </c>
      <c r="F841" s="30" t="str">
        <f aca="false">IF($D841="","",IFERROR(INDEX(合同项目,MATCH($D841,合同键,0)),IFERROR(TRIM(MID($D841,FIND("｜",$D841)+1,99)),"")))</f>
        <v/>
      </c>
      <c r="G841" s="24"/>
      <c r="H841" s="35" t="str">
        <f aca="false">IF($G841="","",IFERROR(INDEX(费用款别,MATCH($G841,费用类别表,0)),"合同外款"))</f>
        <v/>
      </c>
      <c r="I841" s="33"/>
      <c r="J841" s="33"/>
      <c r="K841" s="39"/>
      <c r="L841" s="33"/>
      <c r="M841" s="25"/>
      <c r="N841" s="39"/>
      <c r="O841" s="35" t="str">
        <f aca="false">IF($C841="","",IF(N($N841)&lt;=0,"未开票",IF(ROUND(N($N841)-N($K841),2)&gt;=0,"已开票",IFERROR("部分开票 "&amp;TEXT(N($N841)/N($K841),"0%"),"部分开票"))))</f>
        <v/>
      </c>
      <c r="P841" s="40" t="str">
        <f aca="false">IF($C841="","",ROUND($V841+MIN($W841,MAX(0,(SUMIF(收款键,$D841,收款金额)-SUMIFS(收款金额,收款键,$D841,收款关联,"&lt;&gt;"))-($X841-$W841))),2))</f>
        <v/>
      </c>
      <c r="Q841" s="41" t="str">
        <f aca="false">IF($C841="","",ROUND(N($K841)-N($P841),2))</f>
        <v/>
      </c>
      <c r="R841" s="29" t="str">
        <f aca="false">IF($C841="","",YEAR($C841))</f>
        <v/>
      </c>
      <c r="S841" s="24"/>
      <c r="T841" s="35" t="str">
        <f aca="false">IF($C841="","",IF($D841="","★没选客户项目",IF(COUNTIF(合同键,$D841)=0,"★《维保合同》里没这个项目",IF(N($K841)&lt;=0,"★应收金额要填",IF(ROUND(N($N841)-N($K841),2)&gt;0.001,"★开票金额大于应收",IF(AND($L841&lt;&gt;"",N($N841)&lt;=0),"★填了开票日期没填开票金额",IF(AND($I841&lt;&gt;"",$J841&lt;&gt;"",$J841&lt;$I841),"★计费期间起止反了","OK")))))))</f>
        <v/>
      </c>
      <c r="U841" s="29" t="str">
        <f aca="false">IF($L841="","",YEAR($L841))</f>
        <v/>
      </c>
      <c r="V841" s="40" t="str">
        <f aca="false">IF($C841="","",ROUND(SUMIF(收款关联,$B841,收款金额),2))</f>
        <v/>
      </c>
      <c r="W841" s="40" t="str">
        <f aca="false">IF($C841="","",MAX(0,ROUND(N($K841)-N($V841),2)))</f>
        <v/>
      </c>
      <c r="X841" s="40" t="str">
        <f aca="false">IF($C841="","",ROUND(SUMIFS(应收净额,应收键,$D841,应收行号,"&lt;="&amp;ROW()),2))</f>
        <v/>
      </c>
      <c r="Y841" s="29" t="str">
        <f aca="false">IF($C841="","",ROW())</f>
        <v/>
      </c>
    </row>
    <row r="842" customFormat="false" ht="15" hidden="false" customHeight="false" outlineLevel="0" collapsed="false">
      <c r="A842" s="29" t="str">
        <f aca="false">IF($C842="","",ROW()-4)</f>
        <v/>
      </c>
      <c r="B842" s="35" t="str">
        <f aca="false">IF($C842="","","YS"&amp;TEXT($C842,"yyyymm")&amp;"-"&amp;TEXT(ROW()-4,"0000"))</f>
        <v/>
      </c>
      <c r="C842" s="33"/>
      <c r="D842" s="24"/>
      <c r="E842" s="30" t="str">
        <f aca="false">IF($D842="","",IFERROR(INDEX(合同单位,MATCH($D842,合同键,0)),IFERROR(TRIM(LEFT($D842,FIND("｜",$D842)-1)),$D842)))</f>
        <v/>
      </c>
      <c r="F842" s="30" t="str">
        <f aca="false">IF($D842="","",IFERROR(INDEX(合同项目,MATCH($D842,合同键,0)),IFERROR(TRIM(MID($D842,FIND("｜",$D842)+1,99)),"")))</f>
        <v/>
      </c>
      <c r="G842" s="24"/>
      <c r="H842" s="35" t="str">
        <f aca="false">IF($G842="","",IFERROR(INDEX(费用款别,MATCH($G842,费用类别表,0)),"合同外款"))</f>
        <v/>
      </c>
      <c r="I842" s="33"/>
      <c r="J842" s="33"/>
      <c r="K842" s="39"/>
      <c r="L842" s="33"/>
      <c r="M842" s="25"/>
      <c r="N842" s="39"/>
      <c r="O842" s="35" t="str">
        <f aca="false">IF($C842="","",IF(N($N842)&lt;=0,"未开票",IF(ROUND(N($N842)-N($K842),2)&gt;=0,"已开票",IFERROR("部分开票 "&amp;TEXT(N($N842)/N($K842),"0%"),"部分开票"))))</f>
        <v/>
      </c>
      <c r="P842" s="40" t="str">
        <f aca="false">IF($C842="","",ROUND($V842+MIN($W842,MAX(0,(SUMIF(收款键,$D842,收款金额)-SUMIFS(收款金额,收款键,$D842,收款关联,"&lt;&gt;"))-($X842-$W842))),2))</f>
        <v/>
      </c>
      <c r="Q842" s="41" t="str">
        <f aca="false">IF($C842="","",ROUND(N($K842)-N($P842),2))</f>
        <v/>
      </c>
      <c r="R842" s="29" t="str">
        <f aca="false">IF($C842="","",YEAR($C842))</f>
        <v/>
      </c>
      <c r="S842" s="24"/>
      <c r="T842" s="35" t="str">
        <f aca="false">IF($C842="","",IF($D842="","★没选客户项目",IF(COUNTIF(合同键,$D842)=0,"★《维保合同》里没这个项目",IF(N($K842)&lt;=0,"★应收金额要填",IF(ROUND(N($N842)-N($K842),2)&gt;0.001,"★开票金额大于应收",IF(AND($L842&lt;&gt;"",N($N842)&lt;=0),"★填了开票日期没填开票金额",IF(AND($I842&lt;&gt;"",$J842&lt;&gt;"",$J842&lt;$I842),"★计费期间起止反了","OK")))))))</f>
        <v/>
      </c>
      <c r="U842" s="29" t="str">
        <f aca="false">IF($L842="","",YEAR($L842))</f>
        <v/>
      </c>
      <c r="V842" s="40" t="str">
        <f aca="false">IF($C842="","",ROUND(SUMIF(收款关联,$B842,收款金额),2))</f>
        <v/>
      </c>
      <c r="W842" s="40" t="str">
        <f aca="false">IF($C842="","",MAX(0,ROUND(N($K842)-N($V842),2)))</f>
        <v/>
      </c>
      <c r="X842" s="40" t="str">
        <f aca="false">IF($C842="","",ROUND(SUMIFS(应收净额,应收键,$D842,应收行号,"&lt;="&amp;ROW()),2))</f>
        <v/>
      </c>
      <c r="Y842" s="29" t="str">
        <f aca="false">IF($C842="","",ROW())</f>
        <v/>
      </c>
    </row>
    <row r="843" customFormat="false" ht="15" hidden="false" customHeight="false" outlineLevel="0" collapsed="false">
      <c r="A843" s="29" t="str">
        <f aca="false">IF($C843="","",ROW()-4)</f>
        <v/>
      </c>
      <c r="B843" s="35" t="str">
        <f aca="false">IF($C843="","","YS"&amp;TEXT($C843,"yyyymm")&amp;"-"&amp;TEXT(ROW()-4,"0000"))</f>
        <v/>
      </c>
      <c r="C843" s="33"/>
      <c r="D843" s="24"/>
      <c r="E843" s="30" t="str">
        <f aca="false">IF($D843="","",IFERROR(INDEX(合同单位,MATCH($D843,合同键,0)),IFERROR(TRIM(LEFT($D843,FIND("｜",$D843)-1)),$D843)))</f>
        <v/>
      </c>
      <c r="F843" s="30" t="str">
        <f aca="false">IF($D843="","",IFERROR(INDEX(合同项目,MATCH($D843,合同键,0)),IFERROR(TRIM(MID($D843,FIND("｜",$D843)+1,99)),"")))</f>
        <v/>
      </c>
      <c r="G843" s="24"/>
      <c r="H843" s="35" t="str">
        <f aca="false">IF($G843="","",IFERROR(INDEX(费用款别,MATCH($G843,费用类别表,0)),"合同外款"))</f>
        <v/>
      </c>
      <c r="I843" s="33"/>
      <c r="J843" s="33"/>
      <c r="K843" s="39"/>
      <c r="L843" s="33"/>
      <c r="M843" s="25"/>
      <c r="N843" s="39"/>
      <c r="O843" s="35" t="str">
        <f aca="false">IF($C843="","",IF(N($N843)&lt;=0,"未开票",IF(ROUND(N($N843)-N($K843),2)&gt;=0,"已开票",IFERROR("部分开票 "&amp;TEXT(N($N843)/N($K843),"0%"),"部分开票"))))</f>
        <v/>
      </c>
      <c r="P843" s="40" t="str">
        <f aca="false">IF($C843="","",ROUND($V843+MIN($W843,MAX(0,(SUMIF(收款键,$D843,收款金额)-SUMIFS(收款金额,收款键,$D843,收款关联,"&lt;&gt;"))-($X843-$W843))),2))</f>
        <v/>
      </c>
      <c r="Q843" s="41" t="str">
        <f aca="false">IF($C843="","",ROUND(N($K843)-N($P843),2))</f>
        <v/>
      </c>
      <c r="R843" s="29" t="str">
        <f aca="false">IF($C843="","",YEAR($C843))</f>
        <v/>
      </c>
      <c r="S843" s="24"/>
      <c r="T843" s="35" t="str">
        <f aca="false">IF($C843="","",IF($D843="","★没选客户项目",IF(COUNTIF(合同键,$D843)=0,"★《维保合同》里没这个项目",IF(N($K843)&lt;=0,"★应收金额要填",IF(ROUND(N($N843)-N($K843),2)&gt;0.001,"★开票金额大于应收",IF(AND($L843&lt;&gt;"",N($N843)&lt;=0),"★填了开票日期没填开票金额",IF(AND($I843&lt;&gt;"",$J843&lt;&gt;"",$J843&lt;$I843),"★计费期间起止反了","OK")))))))</f>
        <v/>
      </c>
      <c r="U843" s="29" t="str">
        <f aca="false">IF($L843="","",YEAR($L843))</f>
        <v/>
      </c>
      <c r="V843" s="40" t="str">
        <f aca="false">IF($C843="","",ROUND(SUMIF(收款关联,$B843,收款金额),2))</f>
        <v/>
      </c>
      <c r="W843" s="40" t="str">
        <f aca="false">IF($C843="","",MAX(0,ROUND(N($K843)-N($V843),2)))</f>
        <v/>
      </c>
      <c r="X843" s="40" t="str">
        <f aca="false">IF($C843="","",ROUND(SUMIFS(应收净额,应收键,$D843,应收行号,"&lt;="&amp;ROW()),2))</f>
        <v/>
      </c>
      <c r="Y843" s="29" t="str">
        <f aca="false">IF($C843="","",ROW())</f>
        <v/>
      </c>
    </row>
    <row r="844" customFormat="false" ht="15" hidden="false" customHeight="false" outlineLevel="0" collapsed="false">
      <c r="A844" s="29" t="str">
        <f aca="false">IF($C844="","",ROW()-4)</f>
        <v/>
      </c>
      <c r="B844" s="35" t="str">
        <f aca="false">IF($C844="","","YS"&amp;TEXT($C844,"yyyymm")&amp;"-"&amp;TEXT(ROW()-4,"0000"))</f>
        <v/>
      </c>
      <c r="C844" s="33"/>
      <c r="D844" s="24"/>
      <c r="E844" s="30" t="str">
        <f aca="false">IF($D844="","",IFERROR(INDEX(合同单位,MATCH($D844,合同键,0)),IFERROR(TRIM(LEFT($D844,FIND("｜",$D844)-1)),$D844)))</f>
        <v/>
      </c>
      <c r="F844" s="30" t="str">
        <f aca="false">IF($D844="","",IFERROR(INDEX(合同项目,MATCH($D844,合同键,0)),IFERROR(TRIM(MID($D844,FIND("｜",$D844)+1,99)),"")))</f>
        <v/>
      </c>
      <c r="G844" s="24"/>
      <c r="H844" s="35" t="str">
        <f aca="false">IF($G844="","",IFERROR(INDEX(费用款别,MATCH($G844,费用类别表,0)),"合同外款"))</f>
        <v/>
      </c>
      <c r="I844" s="33"/>
      <c r="J844" s="33"/>
      <c r="K844" s="39"/>
      <c r="L844" s="33"/>
      <c r="M844" s="25"/>
      <c r="N844" s="39"/>
      <c r="O844" s="35" t="str">
        <f aca="false">IF($C844="","",IF(N($N844)&lt;=0,"未开票",IF(ROUND(N($N844)-N($K844),2)&gt;=0,"已开票",IFERROR("部分开票 "&amp;TEXT(N($N844)/N($K844),"0%"),"部分开票"))))</f>
        <v/>
      </c>
      <c r="P844" s="40" t="str">
        <f aca="false">IF($C844="","",ROUND($V844+MIN($W844,MAX(0,(SUMIF(收款键,$D844,收款金额)-SUMIFS(收款金额,收款键,$D844,收款关联,"&lt;&gt;"))-($X844-$W844))),2))</f>
        <v/>
      </c>
      <c r="Q844" s="41" t="str">
        <f aca="false">IF($C844="","",ROUND(N($K844)-N($P844),2))</f>
        <v/>
      </c>
      <c r="R844" s="29" t="str">
        <f aca="false">IF($C844="","",YEAR($C844))</f>
        <v/>
      </c>
      <c r="S844" s="24"/>
      <c r="T844" s="35" t="str">
        <f aca="false">IF($C844="","",IF($D844="","★没选客户项目",IF(COUNTIF(合同键,$D844)=0,"★《维保合同》里没这个项目",IF(N($K844)&lt;=0,"★应收金额要填",IF(ROUND(N($N844)-N($K844),2)&gt;0.001,"★开票金额大于应收",IF(AND($L844&lt;&gt;"",N($N844)&lt;=0),"★填了开票日期没填开票金额",IF(AND($I844&lt;&gt;"",$J844&lt;&gt;"",$J844&lt;$I844),"★计费期间起止反了","OK")))))))</f>
        <v/>
      </c>
      <c r="U844" s="29" t="str">
        <f aca="false">IF($L844="","",YEAR($L844))</f>
        <v/>
      </c>
      <c r="V844" s="40" t="str">
        <f aca="false">IF($C844="","",ROUND(SUMIF(收款关联,$B844,收款金额),2))</f>
        <v/>
      </c>
      <c r="W844" s="40" t="str">
        <f aca="false">IF($C844="","",MAX(0,ROUND(N($K844)-N($V844),2)))</f>
        <v/>
      </c>
      <c r="X844" s="40" t="str">
        <f aca="false">IF($C844="","",ROUND(SUMIFS(应收净额,应收键,$D844,应收行号,"&lt;="&amp;ROW()),2))</f>
        <v/>
      </c>
      <c r="Y844" s="29" t="str">
        <f aca="false">IF($C844="","",ROW())</f>
        <v/>
      </c>
    </row>
    <row r="845" customFormat="false" ht="15" hidden="false" customHeight="false" outlineLevel="0" collapsed="false">
      <c r="A845" s="29" t="str">
        <f aca="false">IF($C845="","",ROW()-4)</f>
        <v/>
      </c>
      <c r="B845" s="35" t="str">
        <f aca="false">IF($C845="","","YS"&amp;TEXT($C845,"yyyymm")&amp;"-"&amp;TEXT(ROW()-4,"0000"))</f>
        <v/>
      </c>
      <c r="C845" s="33"/>
      <c r="D845" s="24"/>
      <c r="E845" s="30" t="str">
        <f aca="false">IF($D845="","",IFERROR(INDEX(合同单位,MATCH($D845,合同键,0)),IFERROR(TRIM(LEFT($D845,FIND("｜",$D845)-1)),$D845)))</f>
        <v/>
      </c>
      <c r="F845" s="30" t="str">
        <f aca="false">IF($D845="","",IFERROR(INDEX(合同项目,MATCH($D845,合同键,0)),IFERROR(TRIM(MID($D845,FIND("｜",$D845)+1,99)),"")))</f>
        <v/>
      </c>
      <c r="G845" s="24"/>
      <c r="H845" s="35" t="str">
        <f aca="false">IF($G845="","",IFERROR(INDEX(费用款别,MATCH($G845,费用类别表,0)),"合同外款"))</f>
        <v/>
      </c>
      <c r="I845" s="33"/>
      <c r="J845" s="33"/>
      <c r="K845" s="39"/>
      <c r="L845" s="33"/>
      <c r="M845" s="25"/>
      <c r="N845" s="39"/>
      <c r="O845" s="35" t="str">
        <f aca="false">IF($C845="","",IF(N($N845)&lt;=0,"未开票",IF(ROUND(N($N845)-N($K845),2)&gt;=0,"已开票",IFERROR("部分开票 "&amp;TEXT(N($N845)/N($K845),"0%"),"部分开票"))))</f>
        <v/>
      </c>
      <c r="P845" s="40" t="str">
        <f aca="false">IF($C845="","",ROUND($V845+MIN($W845,MAX(0,(SUMIF(收款键,$D845,收款金额)-SUMIFS(收款金额,收款键,$D845,收款关联,"&lt;&gt;"))-($X845-$W845))),2))</f>
        <v/>
      </c>
      <c r="Q845" s="41" t="str">
        <f aca="false">IF($C845="","",ROUND(N($K845)-N($P845),2))</f>
        <v/>
      </c>
      <c r="R845" s="29" t="str">
        <f aca="false">IF($C845="","",YEAR($C845))</f>
        <v/>
      </c>
      <c r="S845" s="24"/>
      <c r="T845" s="35" t="str">
        <f aca="false">IF($C845="","",IF($D845="","★没选客户项目",IF(COUNTIF(合同键,$D845)=0,"★《维保合同》里没这个项目",IF(N($K845)&lt;=0,"★应收金额要填",IF(ROUND(N($N845)-N($K845),2)&gt;0.001,"★开票金额大于应收",IF(AND($L845&lt;&gt;"",N($N845)&lt;=0),"★填了开票日期没填开票金额",IF(AND($I845&lt;&gt;"",$J845&lt;&gt;"",$J845&lt;$I845),"★计费期间起止反了","OK")))))))</f>
        <v/>
      </c>
      <c r="U845" s="29" t="str">
        <f aca="false">IF($L845="","",YEAR($L845))</f>
        <v/>
      </c>
      <c r="V845" s="40" t="str">
        <f aca="false">IF($C845="","",ROUND(SUMIF(收款关联,$B845,收款金额),2))</f>
        <v/>
      </c>
      <c r="W845" s="40" t="str">
        <f aca="false">IF($C845="","",MAX(0,ROUND(N($K845)-N($V845),2)))</f>
        <v/>
      </c>
      <c r="X845" s="40" t="str">
        <f aca="false">IF($C845="","",ROUND(SUMIFS(应收净额,应收键,$D845,应收行号,"&lt;="&amp;ROW()),2))</f>
        <v/>
      </c>
      <c r="Y845" s="29" t="str">
        <f aca="false">IF($C845="","",ROW())</f>
        <v/>
      </c>
    </row>
    <row r="846" customFormat="false" ht="15" hidden="false" customHeight="false" outlineLevel="0" collapsed="false">
      <c r="A846" s="29" t="str">
        <f aca="false">IF($C846="","",ROW()-4)</f>
        <v/>
      </c>
      <c r="B846" s="35" t="str">
        <f aca="false">IF($C846="","","YS"&amp;TEXT($C846,"yyyymm")&amp;"-"&amp;TEXT(ROW()-4,"0000"))</f>
        <v/>
      </c>
      <c r="C846" s="33"/>
      <c r="D846" s="24"/>
      <c r="E846" s="30" t="str">
        <f aca="false">IF($D846="","",IFERROR(INDEX(合同单位,MATCH($D846,合同键,0)),IFERROR(TRIM(LEFT($D846,FIND("｜",$D846)-1)),$D846)))</f>
        <v/>
      </c>
      <c r="F846" s="30" t="str">
        <f aca="false">IF($D846="","",IFERROR(INDEX(合同项目,MATCH($D846,合同键,0)),IFERROR(TRIM(MID($D846,FIND("｜",$D846)+1,99)),"")))</f>
        <v/>
      </c>
      <c r="G846" s="24"/>
      <c r="H846" s="35" t="str">
        <f aca="false">IF($G846="","",IFERROR(INDEX(费用款别,MATCH($G846,费用类别表,0)),"合同外款"))</f>
        <v/>
      </c>
      <c r="I846" s="33"/>
      <c r="J846" s="33"/>
      <c r="K846" s="39"/>
      <c r="L846" s="33"/>
      <c r="M846" s="25"/>
      <c r="N846" s="39"/>
      <c r="O846" s="35" t="str">
        <f aca="false">IF($C846="","",IF(N($N846)&lt;=0,"未开票",IF(ROUND(N($N846)-N($K846),2)&gt;=0,"已开票",IFERROR("部分开票 "&amp;TEXT(N($N846)/N($K846),"0%"),"部分开票"))))</f>
        <v/>
      </c>
      <c r="P846" s="40" t="str">
        <f aca="false">IF($C846="","",ROUND($V846+MIN($W846,MAX(0,(SUMIF(收款键,$D846,收款金额)-SUMIFS(收款金额,收款键,$D846,收款关联,"&lt;&gt;"))-($X846-$W846))),2))</f>
        <v/>
      </c>
      <c r="Q846" s="41" t="str">
        <f aca="false">IF($C846="","",ROUND(N($K846)-N($P846),2))</f>
        <v/>
      </c>
      <c r="R846" s="29" t="str">
        <f aca="false">IF($C846="","",YEAR($C846))</f>
        <v/>
      </c>
      <c r="S846" s="24"/>
      <c r="T846" s="35" t="str">
        <f aca="false">IF($C846="","",IF($D846="","★没选客户项目",IF(COUNTIF(合同键,$D846)=0,"★《维保合同》里没这个项目",IF(N($K846)&lt;=0,"★应收金额要填",IF(ROUND(N($N846)-N($K846),2)&gt;0.001,"★开票金额大于应收",IF(AND($L846&lt;&gt;"",N($N846)&lt;=0),"★填了开票日期没填开票金额",IF(AND($I846&lt;&gt;"",$J846&lt;&gt;"",$J846&lt;$I846),"★计费期间起止反了","OK")))))))</f>
        <v/>
      </c>
      <c r="U846" s="29" t="str">
        <f aca="false">IF($L846="","",YEAR($L846))</f>
        <v/>
      </c>
      <c r="V846" s="40" t="str">
        <f aca="false">IF($C846="","",ROUND(SUMIF(收款关联,$B846,收款金额),2))</f>
        <v/>
      </c>
      <c r="W846" s="40" t="str">
        <f aca="false">IF($C846="","",MAX(0,ROUND(N($K846)-N($V846),2)))</f>
        <v/>
      </c>
      <c r="X846" s="40" t="str">
        <f aca="false">IF($C846="","",ROUND(SUMIFS(应收净额,应收键,$D846,应收行号,"&lt;="&amp;ROW()),2))</f>
        <v/>
      </c>
      <c r="Y846" s="29" t="str">
        <f aca="false">IF($C846="","",ROW())</f>
        <v/>
      </c>
    </row>
    <row r="847" customFormat="false" ht="15" hidden="false" customHeight="false" outlineLevel="0" collapsed="false">
      <c r="A847" s="29" t="str">
        <f aca="false">IF($C847="","",ROW()-4)</f>
        <v/>
      </c>
      <c r="B847" s="35" t="str">
        <f aca="false">IF($C847="","","YS"&amp;TEXT($C847,"yyyymm")&amp;"-"&amp;TEXT(ROW()-4,"0000"))</f>
        <v/>
      </c>
      <c r="C847" s="33"/>
      <c r="D847" s="24"/>
      <c r="E847" s="30" t="str">
        <f aca="false">IF($D847="","",IFERROR(INDEX(合同单位,MATCH($D847,合同键,0)),IFERROR(TRIM(LEFT($D847,FIND("｜",$D847)-1)),$D847)))</f>
        <v/>
      </c>
      <c r="F847" s="30" t="str">
        <f aca="false">IF($D847="","",IFERROR(INDEX(合同项目,MATCH($D847,合同键,0)),IFERROR(TRIM(MID($D847,FIND("｜",$D847)+1,99)),"")))</f>
        <v/>
      </c>
      <c r="G847" s="24"/>
      <c r="H847" s="35" t="str">
        <f aca="false">IF($G847="","",IFERROR(INDEX(费用款别,MATCH($G847,费用类别表,0)),"合同外款"))</f>
        <v/>
      </c>
      <c r="I847" s="33"/>
      <c r="J847" s="33"/>
      <c r="K847" s="39"/>
      <c r="L847" s="33"/>
      <c r="M847" s="25"/>
      <c r="N847" s="39"/>
      <c r="O847" s="35" t="str">
        <f aca="false">IF($C847="","",IF(N($N847)&lt;=0,"未开票",IF(ROUND(N($N847)-N($K847),2)&gt;=0,"已开票",IFERROR("部分开票 "&amp;TEXT(N($N847)/N($K847),"0%"),"部分开票"))))</f>
        <v/>
      </c>
      <c r="P847" s="40" t="str">
        <f aca="false">IF($C847="","",ROUND($V847+MIN($W847,MAX(0,(SUMIF(收款键,$D847,收款金额)-SUMIFS(收款金额,收款键,$D847,收款关联,"&lt;&gt;"))-($X847-$W847))),2))</f>
        <v/>
      </c>
      <c r="Q847" s="41" t="str">
        <f aca="false">IF($C847="","",ROUND(N($K847)-N($P847),2))</f>
        <v/>
      </c>
      <c r="R847" s="29" t="str">
        <f aca="false">IF($C847="","",YEAR($C847))</f>
        <v/>
      </c>
      <c r="S847" s="24"/>
      <c r="T847" s="35" t="str">
        <f aca="false">IF($C847="","",IF($D847="","★没选客户项目",IF(COUNTIF(合同键,$D847)=0,"★《维保合同》里没这个项目",IF(N($K847)&lt;=0,"★应收金额要填",IF(ROUND(N($N847)-N($K847),2)&gt;0.001,"★开票金额大于应收",IF(AND($L847&lt;&gt;"",N($N847)&lt;=0),"★填了开票日期没填开票金额",IF(AND($I847&lt;&gt;"",$J847&lt;&gt;"",$J847&lt;$I847),"★计费期间起止反了","OK")))))))</f>
        <v/>
      </c>
      <c r="U847" s="29" t="str">
        <f aca="false">IF($L847="","",YEAR($L847))</f>
        <v/>
      </c>
      <c r="V847" s="40" t="str">
        <f aca="false">IF($C847="","",ROUND(SUMIF(收款关联,$B847,收款金额),2))</f>
        <v/>
      </c>
      <c r="W847" s="40" t="str">
        <f aca="false">IF($C847="","",MAX(0,ROUND(N($K847)-N($V847),2)))</f>
        <v/>
      </c>
      <c r="X847" s="40" t="str">
        <f aca="false">IF($C847="","",ROUND(SUMIFS(应收净额,应收键,$D847,应收行号,"&lt;="&amp;ROW()),2))</f>
        <v/>
      </c>
      <c r="Y847" s="29" t="str">
        <f aca="false">IF($C847="","",ROW())</f>
        <v/>
      </c>
    </row>
    <row r="848" customFormat="false" ht="15" hidden="false" customHeight="false" outlineLevel="0" collapsed="false">
      <c r="A848" s="29" t="str">
        <f aca="false">IF($C848="","",ROW()-4)</f>
        <v/>
      </c>
      <c r="B848" s="35" t="str">
        <f aca="false">IF($C848="","","YS"&amp;TEXT($C848,"yyyymm")&amp;"-"&amp;TEXT(ROW()-4,"0000"))</f>
        <v/>
      </c>
      <c r="C848" s="33"/>
      <c r="D848" s="24"/>
      <c r="E848" s="30" t="str">
        <f aca="false">IF($D848="","",IFERROR(INDEX(合同单位,MATCH($D848,合同键,0)),IFERROR(TRIM(LEFT($D848,FIND("｜",$D848)-1)),$D848)))</f>
        <v/>
      </c>
      <c r="F848" s="30" t="str">
        <f aca="false">IF($D848="","",IFERROR(INDEX(合同项目,MATCH($D848,合同键,0)),IFERROR(TRIM(MID($D848,FIND("｜",$D848)+1,99)),"")))</f>
        <v/>
      </c>
      <c r="G848" s="24"/>
      <c r="H848" s="35" t="str">
        <f aca="false">IF($G848="","",IFERROR(INDEX(费用款别,MATCH($G848,费用类别表,0)),"合同外款"))</f>
        <v/>
      </c>
      <c r="I848" s="33"/>
      <c r="J848" s="33"/>
      <c r="K848" s="39"/>
      <c r="L848" s="33"/>
      <c r="M848" s="25"/>
      <c r="N848" s="39"/>
      <c r="O848" s="35" t="str">
        <f aca="false">IF($C848="","",IF(N($N848)&lt;=0,"未开票",IF(ROUND(N($N848)-N($K848),2)&gt;=0,"已开票",IFERROR("部分开票 "&amp;TEXT(N($N848)/N($K848),"0%"),"部分开票"))))</f>
        <v/>
      </c>
      <c r="P848" s="40" t="str">
        <f aca="false">IF($C848="","",ROUND($V848+MIN($W848,MAX(0,(SUMIF(收款键,$D848,收款金额)-SUMIFS(收款金额,收款键,$D848,收款关联,"&lt;&gt;"))-($X848-$W848))),2))</f>
        <v/>
      </c>
      <c r="Q848" s="41" t="str">
        <f aca="false">IF($C848="","",ROUND(N($K848)-N($P848),2))</f>
        <v/>
      </c>
      <c r="R848" s="29" t="str">
        <f aca="false">IF($C848="","",YEAR($C848))</f>
        <v/>
      </c>
      <c r="S848" s="24"/>
      <c r="T848" s="35" t="str">
        <f aca="false">IF($C848="","",IF($D848="","★没选客户项目",IF(COUNTIF(合同键,$D848)=0,"★《维保合同》里没这个项目",IF(N($K848)&lt;=0,"★应收金额要填",IF(ROUND(N($N848)-N($K848),2)&gt;0.001,"★开票金额大于应收",IF(AND($L848&lt;&gt;"",N($N848)&lt;=0),"★填了开票日期没填开票金额",IF(AND($I848&lt;&gt;"",$J848&lt;&gt;"",$J848&lt;$I848),"★计费期间起止反了","OK")))))))</f>
        <v/>
      </c>
      <c r="U848" s="29" t="str">
        <f aca="false">IF($L848="","",YEAR($L848))</f>
        <v/>
      </c>
      <c r="V848" s="40" t="str">
        <f aca="false">IF($C848="","",ROUND(SUMIF(收款关联,$B848,收款金额),2))</f>
        <v/>
      </c>
      <c r="W848" s="40" t="str">
        <f aca="false">IF($C848="","",MAX(0,ROUND(N($K848)-N($V848),2)))</f>
        <v/>
      </c>
      <c r="X848" s="40" t="str">
        <f aca="false">IF($C848="","",ROUND(SUMIFS(应收净额,应收键,$D848,应收行号,"&lt;="&amp;ROW()),2))</f>
        <v/>
      </c>
      <c r="Y848" s="29" t="str">
        <f aca="false">IF($C848="","",ROW())</f>
        <v/>
      </c>
    </row>
    <row r="849" customFormat="false" ht="15" hidden="false" customHeight="false" outlineLevel="0" collapsed="false">
      <c r="A849" s="29" t="str">
        <f aca="false">IF($C849="","",ROW()-4)</f>
        <v/>
      </c>
      <c r="B849" s="35" t="str">
        <f aca="false">IF($C849="","","YS"&amp;TEXT($C849,"yyyymm")&amp;"-"&amp;TEXT(ROW()-4,"0000"))</f>
        <v/>
      </c>
      <c r="C849" s="33"/>
      <c r="D849" s="24"/>
      <c r="E849" s="30" t="str">
        <f aca="false">IF($D849="","",IFERROR(INDEX(合同单位,MATCH($D849,合同键,0)),IFERROR(TRIM(LEFT($D849,FIND("｜",$D849)-1)),$D849)))</f>
        <v/>
      </c>
      <c r="F849" s="30" t="str">
        <f aca="false">IF($D849="","",IFERROR(INDEX(合同项目,MATCH($D849,合同键,0)),IFERROR(TRIM(MID($D849,FIND("｜",$D849)+1,99)),"")))</f>
        <v/>
      </c>
      <c r="G849" s="24"/>
      <c r="H849" s="35" t="str">
        <f aca="false">IF($G849="","",IFERROR(INDEX(费用款别,MATCH($G849,费用类别表,0)),"合同外款"))</f>
        <v/>
      </c>
      <c r="I849" s="33"/>
      <c r="J849" s="33"/>
      <c r="K849" s="39"/>
      <c r="L849" s="33"/>
      <c r="M849" s="25"/>
      <c r="N849" s="39"/>
      <c r="O849" s="35" t="str">
        <f aca="false">IF($C849="","",IF(N($N849)&lt;=0,"未开票",IF(ROUND(N($N849)-N($K849),2)&gt;=0,"已开票",IFERROR("部分开票 "&amp;TEXT(N($N849)/N($K849),"0%"),"部分开票"))))</f>
        <v/>
      </c>
      <c r="P849" s="40" t="str">
        <f aca="false">IF($C849="","",ROUND($V849+MIN($W849,MAX(0,(SUMIF(收款键,$D849,收款金额)-SUMIFS(收款金额,收款键,$D849,收款关联,"&lt;&gt;"))-($X849-$W849))),2))</f>
        <v/>
      </c>
      <c r="Q849" s="41" t="str">
        <f aca="false">IF($C849="","",ROUND(N($K849)-N($P849),2))</f>
        <v/>
      </c>
      <c r="R849" s="29" t="str">
        <f aca="false">IF($C849="","",YEAR($C849))</f>
        <v/>
      </c>
      <c r="S849" s="24"/>
      <c r="T849" s="35" t="str">
        <f aca="false">IF($C849="","",IF($D849="","★没选客户项目",IF(COUNTIF(合同键,$D849)=0,"★《维保合同》里没这个项目",IF(N($K849)&lt;=0,"★应收金额要填",IF(ROUND(N($N849)-N($K849),2)&gt;0.001,"★开票金额大于应收",IF(AND($L849&lt;&gt;"",N($N849)&lt;=0),"★填了开票日期没填开票金额",IF(AND($I849&lt;&gt;"",$J849&lt;&gt;"",$J849&lt;$I849),"★计费期间起止反了","OK")))))))</f>
        <v/>
      </c>
      <c r="U849" s="29" t="str">
        <f aca="false">IF($L849="","",YEAR($L849))</f>
        <v/>
      </c>
      <c r="V849" s="40" t="str">
        <f aca="false">IF($C849="","",ROUND(SUMIF(收款关联,$B849,收款金额),2))</f>
        <v/>
      </c>
      <c r="W849" s="40" t="str">
        <f aca="false">IF($C849="","",MAX(0,ROUND(N($K849)-N($V849),2)))</f>
        <v/>
      </c>
      <c r="X849" s="40" t="str">
        <f aca="false">IF($C849="","",ROUND(SUMIFS(应收净额,应收键,$D849,应收行号,"&lt;="&amp;ROW()),2))</f>
        <v/>
      </c>
      <c r="Y849" s="29" t="str">
        <f aca="false">IF($C849="","",ROW())</f>
        <v/>
      </c>
    </row>
    <row r="850" customFormat="false" ht="15" hidden="false" customHeight="false" outlineLevel="0" collapsed="false">
      <c r="A850" s="29" t="str">
        <f aca="false">IF($C850="","",ROW()-4)</f>
        <v/>
      </c>
      <c r="B850" s="35" t="str">
        <f aca="false">IF($C850="","","YS"&amp;TEXT($C850,"yyyymm")&amp;"-"&amp;TEXT(ROW()-4,"0000"))</f>
        <v/>
      </c>
      <c r="C850" s="33"/>
      <c r="D850" s="24"/>
      <c r="E850" s="30" t="str">
        <f aca="false">IF($D850="","",IFERROR(INDEX(合同单位,MATCH($D850,合同键,0)),IFERROR(TRIM(LEFT($D850,FIND("｜",$D850)-1)),$D850)))</f>
        <v/>
      </c>
      <c r="F850" s="30" t="str">
        <f aca="false">IF($D850="","",IFERROR(INDEX(合同项目,MATCH($D850,合同键,0)),IFERROR(TRIM(MID($D850,FIND("｜",$D850)+1,99)),"")))</f>
        <v/>
      </c>
      <c r="G850" s="24"/>
      <c r="H850" s="35" t="str">
        <f aca="false">IF($G850="","",IFERROR(INDEX(费用款别,MATCH($G850,费用类别表,0)),"合同外款"))</f>
        <v/>
      </c>
      <c r="I850" s="33"/>
      <c r="J850" s="33"/>
      <c r="K850" s="39"/>
      <c r="L850" s="33"/>
      <c r="M850" s="25"/>
      <c r="N850" s="39"/>
      <c r="O850" s="35" t="str">
        <f aca="false">IF($C850="","",IF(N($N850)&lt;=0,"未开票",IF(ROUND(N($N850)-N($K850),2)&gt;=0,"已开票",IFERROR("部分开票 "&amp;TEXT(N($N850)/N($K850),"0%"),"部分开票"))))</f>
        <v/>
      </c>
      <c r="P850" s="40" t="str">
        <f aca="false">IF($C850="","",ROUND($V850+MIN($W850,MAX(0,(SUMIF(收款键,$D850,收款金额)-SUMIFS(收款金额,收款键,$D850,收款关联,"&lt;&gt;"))-($X850-$W850))),2))</f>
        <v/>
      </c>
      <c r="Q850" s="41" t="str">
        <f aca="false">IF($C850="","",ROUND(N($K850)-N($P850),2))</f>
        <v/>
      </c>
      <c r="R850" s="29" t="str">
        <f aca="false">IF($C850="","",YEAR($C850))</f>
        <v/>
      </c>
      <c r="S850" s="24"/>
      <c r="T850" s="35" t="str">
        <f aca="false">IF($C850="","",IF($D850="","★没选客户项目",IF(COUNTIF(合同键,$D850)=0,"★《维保合同》里没这个项目",IF(N($K850)&lt;=0,"★应收金额要填",IF(ROUND(N($N850)-N($K850),2)&gt;0.001,"★开票金额大于应收",IF(AND($L850&lt;&gt;"",N($N850)&lt;=0),"★填了开票日期没填开票金额",IF(AND($I850&lt;&gt;"",$J850&lt;&gt;"",$J850&lt;$I850),"★计费期间起止反了","OK")))))))</f>
        <v/>
      </c>
      <c r="U850" s="29" t="str">
        <f aca="false">IF($L850="","",YEAR($L850))</f>
        <v/>
      </c>
      <c r="V850" s="40" t="str">
        <f aca="false">IF($C850="","",ROUND(SUMIF(收款关联,$B850,收款金额),2))</f>
        <v/>
      </c>
      <c r="W850" s="40" t="str">
        <f aca="false">IF($C850="","",MAX(0,ROUND(N($K850)-N($V850),2)))</f>
        <v/>
      </c>
      <c r="X850" s="40" t="str">
        <f aca="false">IF($C850="","",ROUND(SUMIFS(应收净额,应收键,$D850,应收行号,"&lt;="&amp;ROW()),2))</f>
        <v/>
      </c>
      <c r="Y850" s="29" t="str">
        <f aca="false">IF($C850="","",ROW())</f>
        <v/>
      </c>
    </row>
    <row r="851" customFormat="false" ht="15" hidden="false" customHeight="false" outlineLevel="0" collapsed="false">
      <c r="A851" s="29" t="str">
        <f aca="false">IF($C851="","",ROW()-4)</f>
        <v/>
      </c>
      <c r="B851" s="35" t="str">
        <f aca="false">IF($C851="","","YS"&amp;TEXT($C851,"yyyymm")&amp;"-"&amp;TEXT(ROW()-4,"0000"))</f>
        <v/>
      </c>
      <c r="C851" s="33"/>
      <c r="D851" s="24"/>
      <c r="E851" s="30" t="str">
        <f aca="false">IF($D851="","",IFERROR(INDEX(合同单位,MATCH($D851,合同键,0)),IFERROR(TRIM(LEFT($D851,FIND("｜",$D851)-1)),$D851)))</f>
        <v/>
      </c>
      <c r="F851" s="30" t="str">
        <f aca="false">IF($D851="","",IFERROR(INDEX(合同项目,MATCH($D851,合同键,0)),IFERROR(TRIM(MID($D851,FIND("｜",$D851)+1,99)),"")))</f>
        <v/>
      </c>
      <c r="G851" s="24"/>
      <c r="H851" s="35" t="str">
        <f aca="false">IF($G851="","",IFERROR(INDEX(费用款别,MATCH($G851,费用类别表,0)),"合同外款"))</f>
        <v/>
      </c>
      <c r="I851" s="33"/>
      <c r="J851" s="33"/>
      <c r="K851" s="39"/>
      <c r="L851" s="33"/>
      <c r="M851" s="25"/>
      <c r="N851" s="39"/>
      <c r="O851" s="35" t="str">
        <f aca="false">IF($C851="","",IF(N($N851)&lt;=0,"未开票",IF(ROUND(N($N851)-N($K851),2)&gt;=0,"已开票",IFERROR("部分开票 "&amp;TEXT(N($N851)/N($K851),"0%"),"部分开票"))))</f>
        <v/>
      </c>
      <c r="P851" s="40" t="str">
        <f aca="false">IF($C851="","",ROUND($V851+MIN($W851,MAX(0,(SUMIF(收款键,$D851,收款金额)-SUMIFS(收款金额,收款键,$D851,收款关联,"&lt;&gt;"))-($X851-$W851))),2))</f>
        <v/>
      </c>
      <c r="Q851" s="41" t="str">
        <f aca="false">IF($C851="","",ROUND(N($K851)-N($P851),2))</f>
        <v/>
      </c>
      <c r="R851" s="29" t="str">
        <f aca="false">IF($C851="","",YEAR($C851))</f>
        <v/>
      </c>
      <c r="S851" s="24"/>
      <c r="T851" s="35" t="str">
        <f aca="false">IF($C851="","",IF($D851="","★没选客户项目",IF(COUNTIF(合同键,$D851)=0,"★《维保合同》里没这个项目",IF(N($K851)&lt;=0,"★应收金额要填",IF(ROUND(N($N851)-N($K851),2)&gt;0.001,"★开票金额大于应收",IF(AND($L851&lt;&gt;"",N($N851)&lt;=0),"★填了开票日期没填开票金额",IF(AND($I851&lt;&gt;"",$J851&lt;&gt;"",$J851&lt;$I851),"★计费期间起止反了","OK")))))))</f>
        <v/>
      </c>
      <c r="U851" s="29" t="str">
        <f aca="false">IF($L851="","",YEAR($L851))</f>
        <v/>
      </c>
      <c r="V851" s="40" t="str">
        <f aca="false">IF($C851="","",ROUND(SUMIF(收款关联,$B851,收款金额),2))</f>
        <v/>
      </c>
      <c r="W851" s="40" t="str">
        <f aca="false">IF($C851="","",MAX(0,ROUND(N($K851)-N($V851),2)))</f>
        <v/>
      </c>
      <c r="X851" s="40" t="str">
        <f aca="false">IF($C851="","",ROUND(SUMIFS(应收净额,应收键,$D851,应收行号,"&lt;="&amp;ROW()),2))</f>
        <v/>
      </c>
      <c r="Y851" s="29" t="str">
        <f aca="false">IF($C851="","",ROW())</f>
        <v/>
      </c>
    </row>
    <row r="852" customFormat="false" ht="15" hidden="false" customHeight="false" outlineLevel="0" collapsed="false">
      <c r="A852" s="29" t="str">
        <f aca="false">IF($C852="","",ROW()-4)</f>
        <v/>
      </c>
      <c r="B852" s="35" t="str">
        <f aca="false">IF($C852="","","YS"&amp;TEXT($C852,"yyyymm")&amp;"-"&amp;TEXT(ROW()-4,"0000"))</f>
        <v/>
      </c>
      <c r="C852" s="33"/>
      <c r="D852" s="24"/>
      <c r="E852" s="30" t="str">
        <f aca="false">IF($D852="","",IFERROR(INDEX(合同单位,MATCH($D852,合同键,0)),IFERROR(TRIM(LEFT($D852,FIND("｜",$D852)-1)),$D852)))</f>
        <v/>
      </c>
      <c r="F852" s="30" t="str">
        <f aca="false">IF($D852="","",IFERROR(INDEX(合同项目,MATCH($D852,合同键,0)),IFERROR(TRIM(MID($D852,FIND("｜",$D852)+1,99)),"")))</f>
        <v/>
      </c>
      <c r="G852" s="24"/>
      <c r="H852" s="35" t="str">
        <f aca="false">IF($G852="","",IFERROR(INDEX(费用款别,MATCH($G852,费用类别表,0)),"合同外款"))</f>
        <v/>
      </c>
      <c r="I852" s="33"/>
      <c r="J852" s="33"/>
      <c r="K852" s="39"/>
      <c r="L852" s="33"/>
      <c r="M852" s="25"/>
      <c r="N852" s="39"/>
      <c r="O852" s="35" t="str">
        <f aca="false">IF($C852="","",IF(N($N852)&lt;=0,"未开票",IF(ROUND(N($N852)-N($K852),2)&gt;=0,"已开票",IFERROR("部分开票 "&amp;TEXT(N($N852)/N($K852),"0%"),"部分开票"))))</f>
        <v/>
      </c>
      <c r="P852" s="40" t="str">
        <f aca="false">IF($C852="","",ROUND($V852+MIN($W852,MAX(0,(SUMIF(收款键,$D852,收款金额)-SUMIFS(收款金额,收款键,$D852,收款关联,"&lt;&gt;"))-($X852-$W852))),2))</f>
        <v/>
      </c>
      <c r="Q852" s="41" t="str">
        <f aca="false">IF($C852="","",ROUND(N($K852)-N($P852),2))</f>
        <v/>
      </c>
      <c r="R852" s="29" t="str">
        <f aca="false">IF($C852="","",YEAR($C852))</f>
        <v/>
      </c>
      <c r="S852" s="24"/>
      <c r="T852" s="35" t="str">
        <f aca="false">IF($C852="","",IF($D852="","★没选客户项目",IF(COUNTIF(合同键,$D852)=0,"★《维保合同》里没这个项目",IF(N($K852)&lt;=0,"★应收金额要填",IF(ROUND(N($N852)-N($K852),2)&gt;0.001,"★开票金额大于应收",IF(AND($L852&lt;&gt;"",N($N852)&lt;=0),"★填了开票日期没填开票金额",IF(AND($I852&lt;&gt;"",$J852&lt;&gt;"",$J852&lt;$I852),"★计费期间起止反了","OK")))))))</f>
        <v/>
      </c>
      <c r="U852" s="29" t="str">
        <f aca="false">IF($L852="","",YEAR($L852))</f>
        <v/>
      </c>
      <c r="V852" s="40" t="str">
        <f aca="false">IF($C852="","",ROUND(SUMIF(收款关联,$B852,收款金额),2))</f>
        <v/>
      </c>
      <c r="W852" s="40" t="str">
        <f aca="false">IF($C852="","",MAX(0,ROUND(N($K852)-N($V852),2)))</f>
        <v/>
      </c>
      <c r="X852" s="40" t="str">
        <f aca="false">IF($C852="","",ROUND(SUMIFS(应收净额,应收键,$D852,应收行号,"&lt;="&amp;ROW()),2))</f>
        <v/>
      </c>
      <c r="Y852" s="29" t="str">
        <f aca="false">IF($C852="","",ROW())</f>
        <v/>
      </c>
    </row>
    <row r="853" customFormat="false" ht="15" hidden="false" customHeight="false" outlineLevel="0" collapsed="false">
      <c r="A853" s="29" t="str">
        <f aca="false">IF($C853="","",ROW()-4)</f>
        <v/>
      </c>
      <c r="B853" s="35" t="str">
        <f aca="false">IF($C853="","","YS"&amp;TEXT($C853,"yyyymm")&amp;"-"&amp;TEXT(ROW()-4,"0000"))</f>
        <v/>
      </c>
      <c r="C853" s="33"/>
      <c r="D853" s="24"/>
      <c r="E853" s="30" t="str">
        <f aca="false">IF($D853="","",IFERROR(INDEX(合同单位,MATCH($D853,合同键,0)),IFERROR(TRIM(LEFT($D853,FIND("｜",$D853)-1)),$D853)))</f>
        <v/>
      </c>
      <c r="F853" s="30" t="str">
        <f aca="false">IF($D853="","",IFERROR(INDEX(合同项目,MATCH($D853,合同键,0)),IFERROR(TRIM(MID($D853,FIND("｜",$D853)+1,99)),"")))</f>
        <v/>
      </c>
      <c r="G853" s="24"/>
      <c r="H853" s="35" t="str">
        <f aca="false">IF($G853="","",IFERROR(INDEX(费用款别,MATCH($G853,费用类别表,0)),"合同外款"))</f>
        <v/>
      </c>
      <c r="I853" s="33"/>
      <c r="J853" s="33"/>
      <c r="K853" s="39"/>
      <c r="L853" s="33"/>
      <c r="M853" s="25"/>
      <c r="N853" s="39"/>
      <c r="O853" s="35" t="str">
        <f aca="false">IF($C853="","",IF(N($N853)&lt;=0,"未开票",IF(ROUND(N($N853)-N($K853),2)&gt;=0,"已开票",IFERROR("部分开票 "&amp;TEXT(N($N853)/N($K853),"0%"),"部分开票"))))</f>
        <v/>
      </c>
      <c r="P853" s="40" t="str">
        <f aca="false">IF($C853="","",ROUND($V853+MIN($W853,MAX(0,(SUMIF(收款键,$D853,收款金额)-SUMIFS(收款金额,收款键,$D853,收款关联,"&lt;&gt;"))-($X853-$W853))),2))</f>
        <v/>
      </c>
      <c r="Q853" s="41" t="str">
        <f aca="false">IF($C853="","",ROUND(N($K853)-N($P853),2))</f>
        <v/>
      </c>
      <c r="R853" s="29" t="str">
        <f aca="false">IF($C853="","",YEAR($C853))</f>
        <v/>
      </c>
      <c r="S853" s="24"/>
      <c r="T853" s="35" t="str">
        <f aca="false">IF($C853="","",IF($D853="","★没选客户项目",IF(COUNTIF(合同键,$D853)=0,"★《维保合同》里没这个项目",IF(N($K853)&lt;=0,"★应收金额要填",IF(ROUND(N($N853)-N($K853),2)&gt;0.001,"★开票金额大于应收",IF(AND($L853&lt;&gt;"",N($N853)&lt;=0),"★填了开票日期没填开票金额",IF(AND($I853&lt;&gt;"",$J853&lt;&gt;"",$J853&lt;$I853),"★计费期间起止反了","OK")))))))</f>
        <v/>
      </c>
      <c r="U853" s="29" t="str">
        <f aca="false">IF($L853="","",YEAR($L853))</f>
        <v/>
      </c>
      <c r="V853" s="40" t="str">
        <f aca="false">IF($C853="","",ROUND(SUMIF(收款关联,$B853,收款金额),2))</f>
        <v/>
      </c>
      <c r="W853" s="40" t="str">
        <f aca="false">IF($C853="","",MAX(0,ROUND(N($K853)-N($V853),2)))</f>
        <v/>
      </c>
      <c r="X853" s="40" t="str">
        <f aca="false">IF($C853="","",ROUND(SUMIFS(应收净额,应收键,$D853,应收行号,"&lt;="&amp;ROW()),2))</f>
        <v/>
      </c>
      <c r="Y853" s="29" t="str">
        <f aca="false">IF($C853="","",ROW())</f>
        <v/>
      </c>
    </row>
    <row r="854" customFormat="false" ht="15" hidden="false" customHeight="false" outlineLevel="0" collapsed="false">
      <c r="A854" s="29" t="str">
        <f aca="false">IF($C854="","",ROW()-4)</f>
        <v/>
      </c>
      <c r="B854" s="35" t="str">
        <f aca="false">IF($C854="","","YS"&amp;TEXT($C854,"yyyymm")&amp;"-"&amp;TEXT(ROW()-4,"0000"))</f>
        <v/>
      </c>
      <c r="C854" s="33"/>
      <c r="D854" s="24"/>
      <c r="E854" s="30" t="str">
        <f aca="false">IF($D854="","",IFERROR(INDEX(合同单位,MATCH($D854,合同键,0)),IFERROR(TRIM(LEFT($D854,FIND("｜",$D854)-1)),$D854)))</f>
        <v/>
      </c>
      <c r="F854" s="30" t="str">
        <f aca="false">IF($D854="","",IFERROR(INDEX(合同项目,MATCH($D854,合同键,0)),IFERROR(TRIM(MID($D854,FIND("｜",$D854)+1,99)),"")))</f>
        <v/>
      </c>
      <c r="G854" s="24"/>
      <c r="H854" s="35" t="str">
        <f aca="false">IF($G854="","",IFERROR(INDEX(费用款别,MATCH($G854,费用类别表,0)),"合同外款"))</f>
        <v/>
      </c>
      <c r="I854" s="33"/>
      <c r="J854" s="33"/>
      <c r="K854" s="39"/>
      <c r="L854" s="33"/>
      <c r="M854" s="25"/>
      <c r="N854" s="39"/>
      <c r="O854" s="35" t="str">
        <f aca="false">IF($C854="","",IF(N($N854)&lt;=0,"未开票",IF(ROUND(N($N854)-N($K854),2)&gt;=0,"已开票",IFERROR("部分开票 "&amp;TEXT(N($N854)/N($K854),"0%"),"部分开票"))))</f>
        <v/>
      </c>
      <c r="P854" s="40" t="str">
        <f aca="false">IF($C854="","",ROUND($V854+MIN($W854,MAX(0,(SUMIF(收款键,$D854,收款金额)-SUMIFS(收款金额,收款键,$D854,收款关联,"&lt;&gt;"))-($X854-$W854))),2))</f>
        <v/>
      </c>
      <c r="Q854" s="41" t="str">
        <f aca="false">IF($C854="","",ROUND(N($K854)-N($P854),2))</f>
        <v/>
      </c>
      <c r="R854" s="29" t="str">
        <f aca="false">IF($C854="","",YEAR($C854))</f>
        <v/>
      </c>
      <c r="S854" s="24"/>
      <c r="T854" s="35" t="str">
        <f aca="false">IF($C854="","",IF($D854="","★没选客户项目",IF(COUNTIF(合同键,$D854)=0,"★《维保合同》里没这个项目",IF(N($K854)&lt;=0,"★应收金额要填",IF(ROUND(N($N854)-N($K854),2)&gt;0.001,"★开票金额大于应收",IF(AND($L854&lt;&gt;"",N($N854)&lt;=0),"★填了开票日期没填开票金额",IF(AND($I854&lt;&gt;"",$J854&lt;&gt;"",$J854&lt;$I854),"★计费期间起止反了","OK")))))))</f>
        <v/>
      </c>
      <c r="U854" s="29" t="str">
        <f aca="false">IF($L854="","",YEAR($L854))</f>
        <v/>
      </c>
      <c r="V854" s="40" t="str">
        <f aca="false">IF($C854="","",ROUND(SUMIF(收款关联,$B854,收款金额),2))</f>
        <v/>
      </c>
      <c r="W854" s="40" t="str">
        <f aca="false">IF($C854="","",MAX(0,ROUND(N($K854)-N($V854),2)))</f>
        <v/>
      </c>
      <c r="X854" s="40" t="str">
        <f aca="false">IF($C854="","",ROUND(SUMIFS(应收净额,应收键,$D854,应收行号,"&lt;="&amp;ROW()),2))</f>
        <v/>
      </c>
      <c r="Y854" s="29" t="str">
        <f aca="false">IF($C854="","",ROW())</f>
        <v/>
      </c>
    </row>
    <row r="855" customFormat="false" ht="15" hidden="false" customHeight="false" outlineLevel="0" collapsed="false">
      <c r="A855" s="29" t="str">
        <f aca="false">IF($C855="","",ROW()-4)</f>
        <v/>
      </c>
      <c r="B855" s="35" t="str">
        <f aca="false">IF($C855="","","YS"&amp;TEXT($C855,"yyyymm")&amp;"-"&amp;TEXT(ROW()-4,"0000"))</f>
        <v/>
      </c>
      <c r="C855" s="33"/>
      <c r="D855" s="24"/>
      <c r="E855" s="30" t="str">
        <f aca="false">IF($D855="","",IFERROR(INDEX(合同单位,MATCH($D855,合同键,0)),IFERROR(TRIM(LEFT($D855,FIND("｜",$D855)-1)),$D855)))</f>
        <v/>
      </c>
      <c r="F855" s="30" t="str">
        <f aca="false">IF($D855="","",IFERROR(INDEX(合同项目,MATCH($D855,合同键,0)),IFERROR(TRIM(MID($D855,FIND("｜",$D855)+1,99)),"")))</f>
        <v/>
      </c>
      <c r="G855" s="24"/>
      <c r="H855" s="35" t="str">
        <f aca="false">IF($G855="","",IFERROR(INDEX(费用款别,MATCH($G855,费用类别表,0)),"合同外款"))</f>
        <v/>
      </c>
      <c r="I855" s="33"/>
      <c r="J855" s="33"/>
      <c r="K855" s="39"/>
      <c r="L855" s="33"/>
      <c r="M855" s="25"/>
      <c r="N855" s="39"/>
      <c r="O855" s="35" t="str">
        <f aca="false">IF($C855="","",IF(N($N855)&lt;=0,"未开票",IF(ROUND(N($N855)-N($K855),2)&gt;=0,"已开票",IFERROR("部分开票 "&amp;TEXT(N($N855)/N($K855),"0%"),"部分开票"))))</f>
        <v/>
      </c>
      <c r="P855" s="40" t="str">
        <f aca="false">IF($C855="","",ROUND($V855+MIN($W855,MAX(0,(SUMIF(收款键,$D855,收款金额)-SUMIFS(收款金额,收款键,$D855,收款关联,"&lt;&gt;"))-($X855-$W855))),2))</f>
        <v/>
      </c>
      <c r="Q855" s="41" t="str">
        <f aca="false">IF($C855="","",ROUND(N($K855)-N($P855),2))</f>
        <v/>
      </c>
      <c r="R855" s="29" t="str">
        <f aca="false">IF($C855="","",YEAR($C855))</f>
        <v/>
      </c>
      <c r="S855" s="24"/>
      <c r="T855" s="35" t="str">
        <f aca="false">IF($C855="","",IF($D855="","★没选客户项目",IF(COUNTIF(合同键,$D855)=0,"★《维保合同》里没这个项目",IF(N($K855)&lt;=0,"★应收金额要填",IF(ROUND(N($N855)-N($K855),2)&gt;0.001,"★开票金额大于应收",IF(AND($L855&lt;&gt;"",N($N855)&lt;=0),"★填了开票日期没填开票金额",IF(AND($I855&lt;&gt;"",$J855&lt;&gt;"",$J855&lt;$I855),"★计费期间起止反了","OK")))))))</f>
        <v/>
      </c>
      <c r="U855" s="29" t="str">
        <f aca="false">IF($L855="","",YEAR($L855))</f>
        <v/>
      </c>
      <c r="V855" s="40" t="str">
        <f aca="false">IF($C855="","",ROUND(SUMIF(收款关联,$B855,收款金额),2))</f>
        <v/>
      </c>
      <c r="W855" s="40" t="str">
        <f aca="false">IF($C855="","",MAX(0,ROUND(N($K855)-N($V855),2)))</f>
        <v/>
      </c>
      <c r="X855" s="40" t="str">
        <f aca="false">IF($C855="","",ROUND(SUMIFS(应收净额,应收键,$D855,应收行号,"&lt;="&amp;ROW()),2))</f>
        <v/>
      </c>
      <c r="Y855" s="29" t="str">
        <f aca="false">IF($C855="","",ROW())</f>
        <v/>
      </c>
    </row>
    <row r="856" customFormat="false" ht="15" hidden="false" customHeight="false" outlineLevel="0" collapsed="false">
      <c r="A856" s="29" t="str">
        <f aca="false">IF($C856="","",ROW()-4)</f>
        <v/>
      </c>
      <c r="B856" s="35" t="str">
        <f aca="false">IF($C856="","","YS"&amp;TEXT($C856,"yyyymm")&amp;"-"&amp;TEXT(ROW()-4,"0000"))</f>
        <v/>
      </c>
      <c r="C856" s="33"/>
      <c r="D856" s="24"/>
      <c r="E856" s="30" t="str">
        <f aca="false">IF($D856="","",IFERROR(INDEX(合同单位,MATCH($D856,合同键,0)),IFERROR(TRIM(LEFT($D856,FIND("｜",$D856)-1)),$D856)))</f>
        <v/>
      </c>
      <c r="F856" s="30" t="str">
        <f aca="false">IF($D856="","",IFERROR(INDEX(合同项目,MATCH($D856,合同键,0)),IFERROR(TRIM(MID($D856,FIND("｜",$D856)+1,99)),"")))</f>
        <v/>
      </c>
      <c r="G856" s="24"/>
      <c r="H856" s="35" t="str">
        <f aca="false">IF($G856="","",IFERROR(INDEX(费用款别,MATCH($G856,费用类别表,0)),"合同外款"))</f>
        <v/>
      </c>
      <c r="I856" s="33"/>
      <c r="J856" s="33"/>
      <c r="K856" s="39"/>
      <c r="L856" s="33"/>
      <c r="M856" s="25"/>
      <c r="N856" s="39"/>
      <c r="O856" s="35" t="str">
        <f aca="false">IF($C856="","",IF(N($N856)&lt;=0,"未开票",IF(ROUND(N($N856)-N($K856),2)&gt;=0,"已开票",IFERROR("部分开票 "&amp;TEXT(N($N856)/N($K856),"0%"),"部分开票"))))</f>
        <v/>
      </c>
      <c r="P856" s="40" t="str">
        <f aca="false">IF($C856="","",ROUND($V856+MIN($W856,MAX(0,(SUMIF(收款键,$D856,收款金额)-SUMIFS(收款金额,收款键,$D856,收款关联,"&lt;&gt;"))-($X856-$W856))),2))</f>
        <v/>
      </c>
      <c r="Q856" s="41" t="str">
        <f aca="false">IF($C856="","",ROUND(N($K856)-N($P856),2))</f>
        <v/>
      </c>
      <c r="R856" s="29" t="str">
        <f aca="false">IF($C856="","",YEAR($C856))</f>
        <v/>
      </c>
      <c r="S856" s="24"/>
      <c r="T856" s="35" t="str">
        <f aca="false">IF($C856="","",IF($D856="","★没选客户项目",IF(COUNTIF(合同键,$D856)=0,"★《维保合同》里没这个项目",IF(N($K856)&lt;=0,"★应收金额要填",IF(ROUND(N($N856)-N($K856),2)&gt;0.001,"★开票金额大于应收",IF(AND($L856&lt;&gt;"",N($N856)&lt;=0),"★填了开票日期没填开票金额",IF(AND($I856&lt;&gt;"",$J856&lt;&gt;"",$J856&lt;$I856),"★计费期间起止反了","OK")))))))</f>
        <v/>
      </c>
      <c r="U856" s="29" t="str">
        <f aca="false">IF($L856="","",YEAR($L856))</f>
        <v/>
      </c>
      <c r="V856" s="40" t="str">
        <f aca="false">IF($C856="","",ROUND(SUMIF(收款关联,$B856,收款金额),2))</f>
        <v/>
      </c>
      <c r="W856" s="40" t="str">
        <f aca="false">IF($C856="","",MAX(0,ROUND(N($K856)-N($V856),2)))</f>
        <v/>
      </c>
      <c r="X856" s="40" t="str">
        <f aca="false">IF($C856="","",ROUND(SUMIFS(应收净额,应收键,$D856,应收行号,"&lt;="&amp;ROW()),2))</f>
        <v/>
      </c>
      <c r="Y856" s="29" t="str">
        <f aca="false">IF($C856="","",ROW())</f>
        <v/>
      </c>
    </row>
    <row r="857" customFormat="false" ht="15" hidden="false" customHeight="false" outlineLevel="0" collapsed="false">
      <c r="A857" s="29" t="str">
        <f aca="false">IF($C857="","",ROW()-4)</f>
        <v/>
      </c>
      <c r="B857" s="35" t="str">
        <f aca="false">IF($C857="","","YS"&amp;TEXT($C857,"yyyymm")&amp;"-"&amp;TEXT(ROW()-4,"0000"))</f>
        <v/>
      </c>
      <c r="C857" s="33"/>
      <c r="D857" s="24"/>
      <c r="E857" s="30" t="str">
        <f aca="false">IF($D857="","",IFERROR(INDEX(合同单位,MATCH($D857,合同键,0)),IFERROR(TRIM(LEFT($D857,FIND("｜",$D857)-1)),$D857)))</f>
        <v/>
      </c>
      <c r="F857" s="30" t="str">
        <f aca="false">IF($D857="","",IFERROR(INDEX(合同项目,MATCH($D857,合同键,0)),IFERROR(TRIM(MID($D857,FIND("｜",$D857)+1,99)),"")))</f>
        <v/>
      </c>
      <c r="G857" s="24"/>
      <c r="H857" s="35" t="str">
        <f aca="false">IF($G857="","",IFERROR(INDEX(费用款别,MATCH($G857,费用类别表,0)),"合同外款"))</f>
        <v/>
      </c>
      <c r="I857" s="33"/>
      <c r="J857" s="33"/>
      <c r="K857" s="39"/>
      <c r="L857" s="33"/>
      <c r="M857" s="25"/>
      <c r="N857" s="39"/>
      <c r="O857" s="35" t="str">
        <f aca="false">IF($C857="","",IF(N($N857)&lt;=0,"未开票",IF(ROUND(N($N857)-N($K857),2)&gt;=0,"已开票",IFERROR("部分开票 "&amp;TEXT(N($N857)/N($K857),"0%"),"部分开票"))))</f>
        <v/>
      </c>
      <c r="P857" s="40" t="str">
        <f aca="false">IF($C857="","",ROUND($V857+MIN($W857,MAX(0,(SUMIF(收款键,$D857,收款金额)-SUMIFS(收款金额,收款键,$D857,收款关联,"&lt;&gt;"))-($X857-$W857))),2))</f>
        <v/>
      </c>
      <c r="Q857" s="41" t="str">
        <f aca="false">IF($C857="","",ROUND(N($K857)-N($P857),2))</f>
        <v/>
      </c>
      <c r="R857" s="29" t="str">
        <f aca="false">IF($C857="","",YEAR($C857))</f>
        <v/>
      </c>
      <c r="S857" s="24"/>
      <c r="T857" s="35" t="str">
        <f aca="false">IF($C857="","",IF($D857="","★没选客户项目",IF(COUNTIF(合同键,$D857)=0,"★《维保合同》里没这个项目",IF(N($K857)&lt;=0,"★应收金额要填",IF(ROUND(N($N857)-N($K857),2)&gt;0.001,"★开票金额大于应收",IF(AND($L857&lt;&gt;"",N($N857)&lt;=0),"★填了开票日期没填开票金额",IF(AND($I857&lt;&gt;"",$J857&lt;&gt;"",$J857&lt;$I857),"★计费期间起止反了","OK")))))))</f>
        <v/>
      </c>
      <c r="U857" s="29" t="str">
        <f aca="false">IF($L857="","",YEAR($L857))</f>
        <v/>
      </c>
      <c r="V857" s="40" t="str">
        <f aca="false">IF($C857="","",ROUND(SUMIF(收款关联,$B857,收款金额),2))</f>
        <v/>
      </c>
      <c r="W857" s="40" t="str">
        <f aca="false">IF($C857="","",MAX(0,ROUND(N($K857)-N($V857),2)))</f>
        <v/>
      </c>
      <c r="X857" s="40" t="str">
        <f aca="false">IF($C857="","",ROUND(SUMIFS(应收净额,应收键,$D857,应收行号,"&lt;="&amp;ROW()),2))</f>
        <v/>
      </c>
      <c r="Y857" s="29" t="str">
        <f aca="false">IF($C857="","",ROW())</f>
        <v/>
      </c>
    </row>
    <row r="858" customFormat="false" ht="15" hidden="false" customHeight="false" outlineLevel="0" collapsed="false">
      <c r="A858" s="29" t="str">
        <f aca="false">IF($C858="","",ROW()-4)</f>
        <v/>
      </c>
      <c r="B858" s="35" t="str">
        <f aca="false">IF($C858="","","YS"&amp;TEXT($C858,"yyyymm")&amp;"-"&amp;TEXT(ROW()-4,"0000"))</f>
        <v/>
      </c>
      <c r="C858" s="33"/>
      <c r="D858" s="24"/>
      <c r="E858" s="30" t="str">
        <f aca="false">IF($D858="","",IFERROR(INDEX(合同单位,MATCH($D858,合同键,0)),IFERROR(TRIM(LEFT($D858,FIND("｜",$D858)-1)),$D858)))</f>
        <v/>
      </c>
      <c r="F858" s="30" t="str">
        <f aca="false">IF($D858="","",IFERROR(INDEX(合同项目,MATCH($D858,合同键,0)),IFERROR(TRIM(MID($D858,FIND("｜",$D858)+1,99)),"")))</f>
        <v/>
      </c>
      <c r="G858" s="24"/>
      <c r="H858" s="35" t="str">
        <f aca="false">IF($G858="","",IFERROR(INDEX(费用款别,MATCH($G858,费用类别表,0)),"合同外款"))</f>
        <v/>
      </c>
      <c r="I858" s="33"/>
      <c r="J858" s="33"/>
      <c r="K858" s="39"/>
      <c r="L858" s="33"/>
      <c r="M858" s="25"/>
      <c r="N858" s="39"/>
      <c r="O858" s="35" t="str">
        <f aca="false">IF($C858="","",IF(N($N858)&lt;=0,"未开票",IF(ROUND(N($N858)-N($K858),2)&gt;=0,"已开票",IFERROR("部分开票 "&amp;TEXT(N($N858)/N($K858),"0%"),"部分开票"))))</f>
        <v/>
      </c>
      <c r="P858" s="40" t="str">
        <f aca="false">IF($C858="","",ROUND($V858+MIN($W858,MAX(0,(SUMIF(收款键,$D858,收款金额)-SUMIFS(收款金额,收款键,$D858,收款关联,"&lt;&gt;"))-($X858-$W858))),2))</f>
        <v/>
      </c>
      <c r="Q858" s="41" t="str">
        <f aca="false">IF($C858="","",ROUND(N($K858)-N($P858),2))</f>
        <v/>
      </c>
      <c r="R858" s="29" t="str">
        <f aca="false">IF($C858="","",YEAR($C858))</f>
        <v/>
      </c>
      <c r="S858" s="24"/>
      <c r="T858" s="35" t="str">
        <f aca="false">IF($C858="","",IF($D858="","★没选客户项目",IF(COUNTIF(合同键,$D858)=0,"★《维保合同》里没这个项目",IF(N($K858)&lt;=0,"★应收金额要填",IF(ROUND(N($N858)-N($K858),2)&gt;0.001,"★开票金额大于应收",IF(AND($L858&lt;&gt;"",N($N858)&lt;=0),"★填了开票日期没填开票金额",IF(AND($I858&lt;&gt;"",$J858&lt;&gt;"",$J858&lt;$I858),"★计费期间起止反了","OK")))))))</f>
        <v/>
      </c>
      <c r="U858" s="29" t="str">
        <f aca="false">IF($L858="","",YEAR($L858))</f>
        <v/>
      </c>
      <c r="V858" s="40" t="str">
        <f aca="false">IF($C858="","",ROUND(SUMIF(收款关联,$B858,收款金额),2))</f>
        <v/>
      </c>
      <c r="W858" s="40" t="str">
        <f aca="false">IF($C858="","",MAX(0,ROUND(N($K858)-N($V858),2)))</f>
        <v/>
      </c>
      <c r="X858" s="40" t="str">
        <f aca="false">IF($C858="","",ROUND(SUMIFS(应收净额,应收键,$D858,应收行号,"&lt;="&amp;ROW()),2))</f>
        <v/>
      </c>
      <c r="Y858" s="29" t="str">
        <f aca="false">IF($C858="","",ROW())</f>
        <v/>
      </c>
    </row>
    <row r="859" customFormat="false" ht="15" hidden="false" customHeight="false" outlineLevel="0" collapsed="false">
      <c r="A859" s="29" t="str">
        <f aca="false">IF($C859="","",ROW()-4)</f>
        <v/>
      </c>
      <c r="B859" s="35" t="str">
        <f aca="false">IF($C859="","","YS"&amp;TEXT($C859,"yyyymm")&amp;"-"&amp;TEXT(ROW()-4,"0000"))</f>
        <v/>
      </c>
      <c r="C859" s="33"/>
      <c r="D859" s="24"/>
      <c r="E859" s="30" t="str">
        <f aca="false">IF($D859="","",IFERROR(INDEX(合同单位,MATCH($D859,合同键,0)),IFERROR(TRIM(LEFT($D859,FIND("｜",$D859)-1)),$D859)))</f>
        <v/>
      </c>
      <c r="F859" s="30" t="str">
        <f aca="false">IF($D859="","",IFERROR(INDEX(合同项目,MATCH($D859,合同键,0)),IFERROR(TRIM(MID($D859,FIND("｜",$D859)+1,99)),"")))</f>
        <v/>
      </c>
      <c r="G859" s="24"/>
      <c r="H859" s="35" t="str">
        <f aca="false">IF($G859="","",IFERROR(INDEX(费用款别,MATCH($G859,费用类别表,0)),"合同外款"))</f>
        <v/>
      </c>
      <c r="I859" s="33"/>
      <c r="J859" s="33"/>
      <c r="K859" s="39"/>
      <c r="L859" s="33"/>
      <c r="M859" s="25"/>
      <c r="N859" s="39"/>
      <c r="O859" s="35" t="str">
        <f aca="false">IF($C859="","",IF(N($N859)&lt;=0,"未开票",IF(ROUND(N($N859)-N($K859),2)&gt;=0,"已开票",IFERROR("部分开票 "&amp;TEXT(N($N859)/N($K859),"0%"),"部分开票"))))</f>
        <v/>
      </c>
      <c r="P859" s="40" t="str">
        <f aca="false">IF($C859="","",ROUND($V859+MIN($W859,MAX(0,(SUMIF(收款键,$D859,收款金额)-SUMIFS(收款金额,收款键,$D859,收款关联,"&lt;&gt;"))-($X859-$W859))),2))</f>
        <v/>
      </c>
      <c r="Q859" s="41" t="str">
        <f aca="false">IF($C859="","",ROUND(N($K859)-N($P859),2))</f>
        <v/>
      </c>
      <c r="R859" s="29" t="str">
        <f aca="false">IF($C859="","",YEAR($C859))</f>
        <v/>
      </c>
      <c r="S859" s="24"/>
      <c r="T859" s="35" t="str">
        <f aca="false">IF($C859="","",IF($D859="","★没选客户项目",IF(COUNTIF(合同键,$D859)=0,"★《维保合同》里没这个项目",IF(N($K859)&lt;=0,"★应收金额要填",IF(ROUND(N($N859)-N($K859),2)&gt;0.001,"★开票金额大于应收",IF(AND($L859&lt;&gt;"",N($N859)&lt;=0),"★填了开票日期没填开票金额",IF(AND($I859&lt;&gt;"",$J859&lt;&gt;"",$J859&lt;$I859),"★计费期间起止反了","OK")))))))</f>
        <v/>
      </c>
      <c r="U859" s="29" t="str">
        <f aca="false">IF($L859="","",YEAR($L859))</f>
        <v/>
      </c>
      <c r="V859" s="40" t="str">
        <f aca="false">IF($C859="","",ROUND(SUMIF(收款关联,$B859,收款金额),2))</f>
        <v/>
      </c>
      <c r="W859" s="40" t="str">
        <f aca="false">IF($C859="","",MAX(0,ROUND(N($K859)-N($V859),2)))</f>
        <v/>
      </c>
      <c r="X859" s="40" t="str">
        <f aca="false">IF($C859="","",ROUND(SUMIFS(应收净额,应收键,$D859,应收行号,"&lt;="&amp;ROW()),2))</f>
        <v/>
      </c>
      <c r="Y859" s="29" t="str">
        <f aca="false">IF($C859="","",ROW())</f>
        <v/>
      </c>
    </row>
    <row r="860" customFormat="false" ht="15" hidden="false" customHeight="false" outlineLevel="0" collapsed="false">
      <c r="A860" s="29" t="str">
        <f aca="false">IF($C860="","",ROW()-4)</f>
        <v/>
      </c>
      <c r="B860" s="35" t="str">
        <f aca="false">IF($C860="","","YS"&amp;TEXT($C860,"yyyymm")&amp;"-"&amp;TEXT(ROW()-4,"0000"))</f>
        <v/>
      </c>
      <c r="C860" s="33"/>
      <c r="D860" s="24"/>
      <c r="E860" s="30" t="str">
        <f aca="false">IF($D860="","",IFERROR(INDEX(合同单位,MATCH($D860,合同键,0)),IFERROR(TRIM(LEFT($D860,FIND("｜",$D860)-1)),$D860)))</f>
        <v/>
      </c>
      <c r="F860" s="30" t="str">
        <f aca="false">IF($D860="","",IFERROR(INDEX(合同项目,MATCH($D860,合同键,0)),IFERROR(TRIM(MID($D860,FIND("｜",$D860)+1,99)),"")))</f>
        <v/>
      </c>
      <c r="G860" s="24"/>
      <c r="H860" s="35" t="str">
        <f aca="false">IF($G860="","",IFERROR(INDEX(费用款别,MATCH($G860,费用类别表,0)),"合同外款"))</f>
        <v/>
      </c>
      <c r="I860" s="33"/>
      <c r="J860" s="33"/>
      <c r="K860" s="39"/>
      <c r="L860" s="33"/>
      <c r="M860" s="25"/>
      <c r="N860" s="39"/>
      <c r="O860" s="35" t="str">
        <f aca="false">IF($C860="","",IF(N($N860)&lt;=0,"未开票",IF(ROUND(N($N860)-N($K860),2)&gt;=0,"已开票",IFERROR("部分开票 "&amp;TEXT(N($N860)/N($K860),"0%"),"部分开票"))))</f>
        <v/>
      </c>
      <c r="P860" s="40" t="str">
        <f aca="false">IF($C860="","",ROUND($V860+MIN($W860,MAX(0,(SUMIF(收款键,$D860,收款金额)-SUMIFS(收款金额,收款键,$D860,收款关联,"&lt;&gt;"))-($X860-$W860))),2))</f>
        <v/>
      </c>
      <c r="Q860" s="41" t="str">
        <f aca="false">IF($C860="","",ROUND(N($K860)-N($P860),2))</f>
        <v/>
      </c>
      <c r="R860" s="29" t="str">
        <f aca="false">IF($C860="","",YEAR($C860))</f>
        <v/>
      </c>
      <c r="S860" s="24"/>
      <c r="T860" s="35" t="str">
        <f aca="false">IF($C860="","",IF($D860="","★没选客户项目",IF(COUNTIF(合同键,$D860)=0,"★《维保合同》里没这个项目",IF(N($K860)&lt;=0,"★应收金额要填",IF(ROUND(N($N860)-N($K860),2)&gt;0.001,"★开票金额大于应收",IF(AND($L860&lt;&gt;"",N($N860)&lt;=0),"★填了开票日期没填开票金额",IF(AND($I860&lt;&gt;"",$J860&lt;&gt;"",$J860&lt;$I860),"★计费期间起止反了","OK")))))))</f>
        <v/>
      </c>
      <c r="U860" s="29" t="str">
        <f aca="false">IF($L860="","",YEAR($L860))</f>
        <v/>
      </c>
      <c r="V860" s="40" t="str">
        <f aca="false">IF($C860="","",ROUND(SUMIF(收款关联,$B860,收款金额),2))</f>
        <v/>
      </c>
      <c r="W860" s="40" t="str">
        <f aca="false">IF($C860="","",MAX(0,ROUND(N($K860)-N($V860),2)))</f>
        <v/>
      </c>
      <c r="X860" s="40" t="str">
        <f aca="false">IF($C860="","",ROUND(SUMIFS(应收净额,应收键,$D860,应收行号,"&lt;="&amp;ROW()),2))</f>
        <v/>
      </c>
      <c r="Y860" s="29" t="str">
        <f aca="false">IF($C860="","",ROW())</f>
        <v/>
      </c>
    </row>
    <row r="861" customFormat="false" ht="15" hidden="false" customHeight="false" outlineLevel="0" collapsed="false">
      <c r="A861" s="29" t="str">
        <f aca="false">IF($C861="","",ROW()-4)</f>
        <v/>
      </c>
      <c r="B861" s="35" t="str">
        <f aca="false">IF($C861="","","YS"&amp;TEXT($C861,"yyyymm")&amp;"-"&amp;TEXT(ROW()-4,"0000"))</f>
        <v/>
      </c>
      <c r="C861" s="33"/>
      <c r="D861" s="24"/>
      <c r="E861" s="30" t="str">
        <f aca="false">IF($D861="","",IFERROR(INDEX(合同单位,MATCH($D861,合同键,0)),IFERROR(TRIM(LEFT($D861,FIND("｜",$D861)-1)),$D861)))</f>
        <v/>
      </c>
      <c r="F861" s="30" t="str">
        <f aca="false">IF($D861="","",IFERROR(INDEX(合同项目,MATCH($D861,合同键,0)),IFERROR(TRIM(MID($D861,FIND("｜",$D861)+1,99)),"")))</f>
        <v/>
      </c>
      <c r="G861" s="24"/>
      <c r="H861" s="35" t="str">
        <f aca="false">IF($G861="","",IFERROR(INDEX(费用款别,MATCH($G861,费用类别表,0)),"合同外款"))</f>
        <v/>
      </c>
      <c r="I861" s="33"/>
      <c r="J861" s="33"/>
      <c r="K861" s="39"/>
      <c r="L861" s="33"/>
      <c r="M861" s="25"/>
      <c r="N861" s="39"/>
      <c r="O861" s="35" t="str">
        <f aca="false">IF($C861="","",IF(N($N861)&lt;=0,"未开票",IF(ROUND(N($N861)-N($K861),2)&gt;=0,"已开票",IFERROR("部分开票 "&amp;TEXT(N($N861)/N($K861),"0%"),"部分开票"))))</f>
        <v/>
      </c>
      <c r="P861" s="40" t="str">
        <f aca="false">IF($C861="","",ROUND($V861+MIN($W861,MAX(0,(SUMIF(收款键,$D861,收款金额)-SUMIFS(收款金额,收款键,$D861,收款关联,"&lt;&gt;"))-($X861-$W861))),2))</f>
        <v/>
      </c>
      <c r="Q861" s="41" t="str">
        <f aca="false">IF($C861="","",ROUND(N($K861)-N($P861),2))</f>
        <v/>
      </c>
      <c r="R861" s="29" t="str">
        <f aca="false">IF($C861="","",YEAR($C861))</f>
        <v/>
      </c>
      <c r="S861" s="24"/>
      <c r="T861" s="35" t="str">
        <f aca="false">IF($C861="","",IF($D861="","★没选客户项目",IF(COUNTIF(合同键,$D861)=0,"★《维保合同》里没这个项目",IF(N($K861)&lt;=0,"★应收金额要填",IF(ROUND(N($N861)-N($K861),2)&gt;0.001,"★开票金额大于应收",IF(AND($L861&lt;&gt;"",N($N861)&lt;=0),"★填了开票日期没填开票金额",IF(AND($I861&lt;&gt;"",$J861&lt;&gt;"",$J861&lt;$I861),"★计费期间起止反了","OK")))))))</f>
        <v/>
      </c>
      <c r="U861" s="29" t="str">
        <f aca="false">IF($L861="","",YEAR($L861))</f>
        <v/>
      </c>
      <c r="V861" s="40" t="str">
        <f aca="false">IF($C861="","",ROUND(SUMIF(收款关联,$B861,收款金额),2))</f>
        <v/>
      </c>
      <c r="W861" s="40" t="str">
        <f aca="false">IF($C861="","",MAX(0,ROUND(N($K861)-N($V861),2)))</f>
        <v/>
      </c>
      <c r="X861" s="40" t="str">
        <f aca="false">IF($C861="","",ROUND(SUMIFS(应收净额,应收键,$D861,应收行号,"&lt;="&amp;ROW()),2))</f>
        <v/>
      </c>
      <c r="Y861" s="29" t="str">
        <f aca="false">IF($C861="","",ROW())</f>
        <v/>
      </c>
    </row>
    <row r="862" customFormat="false" ht="15" hidden="false" customHeight="false" outlineLevel="0" collapsed="false">
      <c r="A862" s="29" t="str">
        <f aca="false">IF($C862="","",ROW()-4)</f>
        <v/>
      </c>
      <c r="B862" s="35" t="str">
        <f aca="false">IF($C862="","","YS"&amp;TEXT($C862,"yyyymm")&amp;"-"&amp;TEXT(ROW()-4,"0000"))</f>
        <v/>
      </c>
      <c r="C862" s="33"/>
      <c r="D862" s="24"/>
      <c r="E862" s="30" t="str">
        <f aca="false">IF($D862="","",IFERROR(INDEX(合同单位,MATCH($D862,合同键,0)),IFERROR(TRIM(LEFT($D862,FIND("｜",$D862)-1)),$D862)))</f>
        <v/>
      </c>
      <c r="F862" s="30" t="str">
        <f aca="false">IF($D862="","",IFERROR(INDEX(合同项目,MATCH($D862,合同键,0)),IFERROR(TRIM(MID($D862,FIND("｜",$D862)+1,99)),"")))</f>
        <v/>
      </c>
      <c r="G862" s="24"/>
      <c r="H862" s="35" t="str">
        <f aca="false">IF($G862="","",IFERROR(INDEX(费用款别,MATCH($G862,费用类别表,0)),"合同外款"))</f>
        <v/>
      </c>
      <c r="I862" s="33"/>
      <c r="J862" s="33"/>
      <c r="K862" s="39"/>
      <c r="L862" s="33"/>
      <c r="M862" s="25"/>
      <c r="N862" s="39"/>
      <c r="O862" s="35" t="str">
        <f aca="false">IF($C862="","",IF(N($N862)&lt;=0,"未开票",IF(ROUND(N($N862)-N($K862),2)&gt;=0,"已开票",IFERROR("部分开票 "&amp;TEXT(N($N862)/N($K862),"0%"),"部分开票"))))</f>
        <v/>
      </c>
      <c r="P862" s="40" t="str">
        <f aca="false">IF($C862="","",ROUND($V862+MIN($W862,MAX(0,(SUMIF(收款键,$D862,收款金额)-SUMIFS(收款金额,收款键,$D862,收款关联,"&lt;&gt;"))-($X862-$W862))),2))</f>
        <v/>
      </c>
      <c r="Q862" s="41" t="str">
        <f aca="false">IF($C862="","",ROUND(N($K862)-N($P862),2))</f>
        <v/>
      </c>
      <c r="R862" s="29" t="str">
        <f aca="false">IF($C862="","",YEAR($C862))</f>
        <v/>
      </c>
      <c r="S862" s="24"/>
      <c r="T862" s="35" t="str">
        <f aca="false">IF($C862="","",IF($D862="","★没选客户项目",IF(COUNTIF(合同键,$D862)=0,"★《维保合同》里没这个项目",IF(N($K862)&lt;=0,"★应收金额要填",IF(ROUND(N($N862)-N($K862),2)&gt;0.001,"★开票金额大于应收",IF(AND($L862&lt;&gt;"",N($N862)&lt;=0),"★填了开票日期没填开票金额",IF(AND($I862&lt;&gt;"",$J862&lt;&gt;"",$J862&lt;$I862),"★计费期间起止反了","OK")))))))</f>
        <v/>
      </c>
      <c r="U862" s="29" t="str">
        <f aca="false">IF($L862="","",YEAR($L862))</f>
        <v/>
      </c>
      <c r="V862" s="40" t="str">
        <f aca="false">IF($C862="","",ROUND(SUMIF(收款关联,$B862,收款金额),2))</f>
        <v/>
      </c>
      <c r="W862" s="40" t="str">
        <f aca="false">IF($C862="","",MAX(0,ROUND(N($K862)-N($V862),2)))</f>
        <v/>
      </c>
      <c r="X862" s="40" t="str">
        <f aca="false">IF($C862="","",ROUND(SUMIFS(应收净额,应收键,$D862,应收行号,"&lt;="&amp;ROW()),2))</f>
        <v/>
      </c>
      <c r="Y862" s="29" t="str">
        <f aca="false">IF($C862="","",ROW())</f>
        <v/>
      </c>
    </row>
    <row r="863" customFormat="false" ht="15" hidden="false" customHeight="false" outlineLevel="0" collapsed="false">
      <c r="A863" s="29" t="str">
        <f aca="false">IF($C863="","",ROW()-4)</f>
        <v/>
      </c>
      <c r="B863" s="35" t="str">
        <f aca="false">IF($C863="","","YS"&amp;TEXT($C863,"yyyymm")&amp;"-"&amp;TEXT(ROW()-4,"0000"))</f>
        <v/>
      </c>
      <c r="C863" s="33"/>
      <c r="D863" s="24"/>
      <c r="E863" s="30" t="str">
        <f aca="false">IF($D863="","",IFERROR(INDEX(合同单位,MATCH($D863,合同键,0)),IFERROR(TRIM(LEFT($D863,FIND("｜",$D863)-1)),$D863)))</f>
        <v/>
      </c>
      <c r="F863" s="30" t="str">
        <f aca="false">IF($D863="","",IFERROR(INDEX(合同项目,MATCH($D863,合同键,0)),IFERROR(TRIM(MID($D863,FIND("｜",$D863)+1,99)),"")))</f>
        <v/>
      </c>
      <c r="G863" s="24"/>
      <c r="H863" s="35" t="str">
        <f aca="false">IF($G863="","",IFERROR(INDEX(费用款别,MATCH($G863,费用类别表,0)),"合同外款"))</f>
        <v/>
      </c>
      <c r="I863" s="33"/>
      <c r="J863" s="33"/>
      <c r="K863" s="39"/>
      <c r="L863" s="33"/>
      <c r="M863" s="25"/>
      <c r="N863" s="39"/>
      <c r="O863" s="35" t="str">
        <f aca="false">IF($C863="","",IF(N($N863)&lt;=0,"未开票",IF(ROUND(N($N863)-N($K863),2)&gt;=0,"已开票",IFERROR("部分开票 "&amp;TEXT(N($N863)/N($K863),"0%"),"部分开票"))))</f>
        <v/>
      </c>
      <c r="P863" s="40" t="str">
        <f aca="false">IF($C863="","",ROUND($V863+MIN($W863,MAX(0,(SUMIF(收款键,$D863,收款金额)-SUMIFS(收款金额,收款键,$D863,收款关联,"&lt;&gt;"))-($X863-$W863))),2))</f>
        <v/>
      </c>
      <c r="Q863" s="41" t="str">
        <f aca="false">IF($C863="","",ROUND(N($K863)-N($P863),2))</f>
        <v/>
      </c>
      <c r="R863" s="29" t="str">
        <f aca="false">IF($C863="","",YEAR($C863))</f>
        <v/>
      </c>
      <c r="S863" s="24"/>
      <c r="T863" s="35" t="str">
        <f aca="false">IF($C863="","",IF($D863="","★没选客户项目",IF(COUNTIF(合同键,$D863)=0,"★《维保合同》里没这个项目",IF(N($K863)&lt;=0,"★应收金额要填",IF(ROUND(N($N863)-N($K863),2)&gt;0.001,"★开票金额大于应收",IF(AND($L863&lt;&gt;"",N($N863)&lt;=0),"★填了开票日期没填开票金额",IF(AND($I863&lt;&gt;"",$J863&lt;&gt;"",$J863&lt;$I863),"★计费期间起止反了","OK")))))))</f>
        <v/>
      </c>
      <c r="U863" s="29" t="str">
        <f aca="false">IF($L863="","",YEAR($L863))</f>
        <v/>
      </c>
      <c r="V863" s="40" t="str">
        <f aca="false">IF($C863="","",ROUND(SUMIF(收款关联,$B863,收款金额),2))</f>
        <v/>
      </c>
      <c r="W863" s="40" t="str">
        <f aca="false">IF($C863="","",MAX(0,ROUND(N($K863)-N($V863),2)))</f>
        <v/>
      </c>
      <c r="X863" s="40" t="str">
        <f aca="false">IF($C863="","",ROUND(SUMIFS(应收净额,应收键,$D863,应收行号,"&lt;="&amp;ROW()),2))</f>
        <v/>
      </c>
      <c r="Y863" s="29" t="str">
        <f aca="false">IF($C863="","",ROW())</f>
        <v/>
      </c>
    </row>
    <row r="864" customFormat="false" ht="15" hidden="false" customHeight="false" outlineLevel="0" collapsed="false">
      <c r="A864" s="29" t="str">
        <f aca="false">IF($C864="","",ROW()-4)</f>
        <v/>
      </c>
      <c r="B864" s="35" t="str">
        <f aca="false">IF($C864="","","YS"&amp;TEXT($C864,"yyyymm")&amp;"-"&amp;TEXT(ROW()-4,"0000"))</f>
        <v/>
      </c>
      <c r="C864" s="33"/>
      <c r="D864" s="24"/>
      <c r="E864" s="30" t="str">
        <f aca="false">IF($D864="","",IFERROR(INDEX(合同单位,MATCH($D864,合同键,0)),IFERROR(TRIM(LEFT($D864,FIND("｜",$D864)-1)),$D864)))</f>
        <v/>
      </c>
      <c r="F864" s="30" t="str">
        <f aca="false">IF($D864="","",IFERROR(INDEX(合同项目,MATCH($D864,合同键,0)),IFERROR(TRIM(MID($D864,FIND("｜",$D864)+1,99)),"")))</f>
        <v/>
      </c>
      <c r="G864" s="24"/>
      <c r="H864" s="35" t="str">
        <f aca="false">IF($G864="","",IFERROR(INDEX(费用款别,MATCH($G864,费用类别表,0)),"合同外款"))</f>
        <v/>
      </c>
      <c r="I864" s="33"/>
      <c r="J864" s="33"/>
      <c r="K864" s="39"/>
      <c r="L864" s="33"/>
      <c r="M864" s="25"/>
      <c r="N864" s="39"/>
      <c r="O864" s="35" t="str">
        <f aca="false">IF($C864="","",IF(N($N864)&lt;=0,"未开票",IF(ROUND(N($N864)-N($K864),2)&gt;=0,"已开票",IFERROR("部分开票 "&amp;TEXT(N($N864)/N($K864),"0%"),"部分开票"))))</f>
        <v/>
      </c>
      <c r="P864" s="40" t="str">
        <f aca="false">IF($C864="","",ROUND($V864+MIN($W864,MAX(0,(SUMIF(收款键,$D864,收款金额)-SUMIFS(收款金额,收款键,$D864,收款关联,"&lt;&gt;"))-($X864-$W864))),2))</f>
        <v/>
      </c>
      <c r="Q864" s="41" t="str">
        <f aca="false">IF($C864="","",ROUND(N($K864)-N($P864),2))</f>
        <v/>
      </c>
      <c r="R864" s="29" t="str">
        <f aca="false">IF($C864="","",YEAR($C864))</f>
        <v/>
      </c>
      <c r="S864" s="24"/>
      <c r="T864" s="35" t="str">
        <f aca="false">IF($C864="","",IF($D864="","★没选客户项目",IF(COUNTIF(合同键,$D864)=0,"★《维保合同》里没这个项目",IF(N($K864)&lt;=0,"★应收金额要填",IF(ROUND(N($N864)-N($K864),2)&gt;0.001,"★开票金额大于应收",IF(AND($L864&lt;&gt;"",N($N864)&lt;=0),"★填了开票日期没填开票金额",IF(AND($I864&lt;&gt;"",$J864&lt;&gt;"",$J864&lt;$I864),"★计费期间起止反了","OK")))))))</f>
        <v/>
      </c>
      <c r="U864" s="29" t="str">
        <f aca="false">IF($L864="","",YEAR($L864))</f>
        <v/>
      </c>
      <c r="V864" s="40" t="str">
        <f aca="false">IF($C864="","",ROUND(SUMIF(收款关联,$B864,收款金额),2))</f>
        <v/>
      </c>
      <c r="W864" s="40" t="str">
        <f aca="false">IF($C864="","",MAX(0,ROUND(N($K864)-N($V864),2)))</f>
        <v/>
      </c>
      <c r="X864" s="40" t="str">
        <f aca="false">IF($C864="","",ROUND(SUMIFS(应收净额,应收键,$D864,应收行号,"&lt;="&amp;ROW()),2))</f>
        <v/>
      </c>
      <c r="Y864" s="29" t="str">
        <f aca="false">IF($C864="","",ROW())</f>
        <v/>
      </c>
    </row>
    <row r="865" customFormat="false" ht="15" hidden="false" customHeight="false" outlineLevel="0" collapsed="false">
      <c r="A865" s="29" t="str">
        <f aca="false">IF($C865="","",ROW()-4)</f>
        <v/>
      </c>
      <c r="B865" s="35" t="str">
        <f aca="false">IF($C865="","","YS"&amp;TEXT($C865,"yyyymm")&amp;"-"&amp;TEXT(ROW()-4,"0000"))</f>
        <v/>
      </c>
      <c r="C865" s="33"/>
      <c r="D865" s="24"/>
      <c r="E865" s="30" t="str">
        <f aca="false">IF($D865="","",IFERROR(INDEX(合同单位,MATCH($D865,合同键,0)),IFERROR(TRIM(LEFT($D865,FIND("｜",$D865)-1)),$D865)))</f>
        <v/>
      </c>
      <c r="F865" s="30" t="str">
        <f aca="false">IF($D865="","",IFERROR(INDEX(合同项目,MATCH($D865,合同键,0)),IFERROR(TRIM(MID($D865,FIND("｜",$D865)+1,99)),"")))</f>
        <v/>
      </c>
      <c r="G865" s="24"/>
      <c r="H865" s="35" t="str">
        <f aca="false">IF($G865="","",IFERROR(INDEX(费用款别,MATCH($G865,费用类别表,0)),"合同外款"))</f>
        <v/>
      </c>
      <c r="I865" s="33"/>
      <c r="J865" s="33"/>
      <c r="K865" s="39"/>
      <c r="L865" s="33"/>
      <c r="M865" s="25"/>
      <c r="N865" s="39"/>
      <c r="O865" s="35" t="str">
        <f aca="false">IF($C865="","",IF(N($N865)&lt;=0,"未开票",IF(ROUND(N($N865)-N($K865),2)&gt;=0,"已开票",IFERROR("部分开票 "&amp;TEXT(N($N865)/N($K865),"0%"),"部分开票"))))</f>
        <v/>
      </c>
      <c r="P865" s="40" t="str">
        <f aca="false">IF($C865="","",ROUND($V865+MIN($W865,MAX(0,(SUMIF(收款键,$D865,收款金额)-SUMIFS(收款金额,收款键,$D865,收款关联,"&lt;&gt;"))-($X865-$W865))),2))</f>
        <v/>
      </c>
      <c r="Q865" s="41" t="str">
        <f aca="false">IF($C865="","",ROUND(N($K865)-N($P865),2))</f>
        <v/>
      </c>
      <c r="R865" s="29" t="str">
        <f aca="false">IF($C865="","",YEAR($C865))</f>
        <v/>
      </c>
      <c r="S865" s="24"/>
      <c r="T865" s="35" t="str">
        <f aca="false">IF($C865="","",IF($D865="","★没选客户项目",IF(COUNTIF(合同键,$D865)=0,"★《维保合同》里没这个项目",IF(N($K865)&lt;=0,"★应收金额要填",IF(ROUND(N($N865)-N($K865),2)&gt;0.001,"★开票金额大于应收",IF(AND($L865&lt;&gt;"",N($N865)&lt;=0),"★填了开票日期没填开票金额",IF(AND($I865&lt;&gt;"",$J865&lt;&gt;"",$J865&lt;$I865),"★计费期间起止反了","OK")))))))</f>
        <v/>
      </c>
      <c r="U865" s="29" t="str">
        <f aca="false">IF($L865="","",YEAR($L865))</f>
        <v/>
      </c>
      <c r="V865" s="40" t="str">
        <f aca="false">IF($C865="","",ROUND(SUMIF(收款关联,$B865,收款金额),2))</f>
        <v/>
      </c>
      <c r="W865" s="40" t="str">
        <f aca="false">IF($C865="","",MAX(0,ROUND(N($K865)-N($V865),2)))</f>
        <v/>
      </c>
      <c r="X865" s="40" t="str">
        <f aca="false">IF($C865="","",ROUND(SUMIFS(应收净额,应收键,$D865,应收行号,"&lt;="&amp;ROW()),2))</f>
        <v/>
      </c>
      <c r="Y865" s="29" t="str">
        <f aca="false">IF($C865="","",ROW())</f>
        <v/>
      </c>
    </row>
    <row r="866" customFormat="false" ht="15" hidden="false" customHeight="false" outlineLevel="0" collapsed="false">
      <c r="A866" s="29" t="str">
        <f aca="false">IF($C866="","",ROW()-4)</f>
        <v/>
      </c>
      <c r="B866" s="35" t="str">
        <f aca="false">IF($C866="","","YS"&amp;TEXT($C866,"yyyymm")&amp;"-"&amp;TEXT(ROW()-4,"0000"))</f>
        <v/>
      </c>
      <c r="C866" s="33"/>
      <c r="D866" s="24"/>
      <c r="E866" s="30" t="str">
        <f aca="false">IF($D866="","",IFERROR(INDEX(合同单位,MATCH($D866,合同键,0)),IFERROR(TRIM(LEFT($D866,FIND("｜",$D866)-1)),$D866)))</f>
        <v/>
      </c>
      <c r="F866" s="30" t="str">
        <f aca="false">IF($D866="","",IFERROR(INDEX(合同项目,MATCH($D866,合同键,0)),IFERROR(TRIM(MID($D866,FIND("｜",$D866)+1,99)),"")))</f>
        <v/>
      </c>
      <c r="G866" s="24"/>
      <c r="H866" s="35" t="str">
        <f aca="false">IF($G866="","",IFERROR(INDEX(费用款别,MATCH($G866,费用类别表,0)),"合同外款"))</f>
        <v/>
      </c>
      <c r="I866" s="33"/>
      <c r="J866" s="33"/>
      <c r="K866" s="39"/>
      <c r="L866" s="33"/>
      <c r="M866" s="25"/>
      <c r="N866" s="39"/>
      <c r="O866" s="35" t="str">
        <f aca="false">IF($C866="","",IF(N($N866)&lt;=0,"未开票",IF(ROUND(N($N866)-N($K866),2)&gt;=0,"已开票",IFERROR("部分开票 "&amp;TEXT(N($N866)/N($K866),"0%"),"部分开票"))))</f>
        <v/>
      </c>
      <c r="P866" s="40" t="str">
        <f aca="false">IF($C866="","",ROUND($V866+MIN($W866,MAX(0,(SUMIF(收款键,$D866,收款金额)-SUMIFS(收款金额,收款键,$D866,收款关联,"&lt;&gt;"))-($X866-$W866))),2))</f>
        <v/>
      </c>
      <c r="Q866" s="41" t="str">
        <f aca="false">IF($C866="","",ROUND(N($K866)-N($P866),2))</f>
        <v/>
      </c>
      <c r="R866" s="29" t="str">
        <f aca="false">IF($C866="","",YEAR($C866))</f>
        <v/>
      </c>
      <c r="S866" s="24"/>
      <c r="T866" s="35" t="str">
        <f aca="false">IF($C866="","",IF($D866="","★没选客户项目",IF(COUNTIF(合同键,$D866)=0,"★《维保合同》里没这个项目",IF(N($K866)&lt;=0,"★应收金额要填",IF(ROUND(N($N866)-N($K866),2)&gt;0.001,"★开票金额大于应收",IF(AND($L866&lt;&gt;"",N($N866)&lt;=0),"★填了开票日期没填开票金额",IF(AND($I866&lt;&gt;"",$J866&lt;&gt;"",$J866&lt;$I866),"★计费期间起止反了","OK")))))))</f>
        <v/>
      </c>
      <c r="U866" s="29" t="str">
        <f aca="false">IF($L866="","",YEAR($L866))</f>
        <v/>
      </c>
      <c r="V866" s="40" t="str">
        <f aca="false">IF($C866="","",ROUND(SUMIF(收款关联,$B866,收款金额),2))</f>
        <v/>
      </c>
      <c r="W866" s="40" t="str">
        <f aca="false">IF($C866="","",MAX(0,ROUND(N($K866)-N($V866),2)))</f>
        <v/>
      </c>
      <c r="X866" s="40" t="str">
        <f aca="false">IF($C866="","",ROUND(SUMIFS(应收净额,应收键,$D866,应收行号,"&lt;="&amp;ROW()),2))</f>
        <v/>
      </c>
      <c r="Y866" s="29" t="str">
        <f aca="false">IF($C866="","",ROW())</f>
        <v/>
      </c>
    </row>
    <row r="867" customFormat="false" ht="15" hidden="false" customHeight="false" outlineLevel="0" collapsed="false">
      <c r="A867" s="29" t="str">
        <f aca="false">IF($C867="","",ROW()-4)</f>
        <v/>
      </c>
      <c r="B867" s="35" t="str">
        <f aca="false">IF($C867="","","YS"&amp;TEXT($C867,"yyyymm")&amp;"-"&amp;TEXT(ROW()-4,"0000"))</f>
        <v/>
      </c>
      <c r="C867" s="33"/>
      <c r="D867" s="24"/>
      <c r="E867" s="30" t="str">
        <f aca="false">IF($D867="","",IFERROR(INDEX(合同单位,MATCH($D867,合同键,0)),IFERROR(TRIM(LEFT($D867,FIND("｜",$D867)-1)),$D867)))</f>
        <v/>
      </c>
      <c r="F867" s="30" t="str">
        <f aca="false">IF($D867="","",IFERROR(INDEX(合同项目,MATCH($D867,合同键,0)),IFERROR(TRIM(MID($D867,FIND("｜",$D867)+1,99)),"")))</f>
        <v/>
      </c>
      <c r="G867" s="24"/>
      <c r="H867" s="35" t="str">
        <f aca="false">IF($G867="","",IFERROR(INDEX(费用款别,MATCH($G867,费用类别表,0)),"合同外款"))</f>
        <v/>
      </c>
      <c r="I867" s="33"/>
      <c r="J867" s="33"/>
      <c r="K867" s="39"/>
      <c r="L867" s="33"/>
      <c r="M867" s="25"/>
      <c r="N867" s="39"/>
      <c r="O867" s="35" t="str">
        <f aca="false">IF($C867="","",IF(N($N867)&lt;=0,"未开票",IF(ROUND(N($N867)-N($K867),2)&gt;=0,"已开票",IFERROR("部分开票 "&amp;TEXT(N($N867)/N($K867),"0%"),"部分开票"))))</f>
        <v/>
      </c>
      <c r="P867" s="40" t="str">
        <f aca="false">IF($C867="","",ROUND($V867+MIN($W867,MAX(0,(SUMIF(收款键,$D867,收款金额)-SUMIFS(收款金额,收款键,$D867,收款关联,"&lt;&gt;"))-($X867-$W867))),2))</f>
        <v/>
      </c>
      <c r="Q867" s="41" t="str">
        <f aca="false">IF($C867="","",ROUND(N($K867)-N($P867),2))</f>
        <v/>
      </c>
      <c r="R867" s="29" t="str">
        <f aca="false">IF($C867="","",YEAR($C867))</f>
        <v/>
      </c>
      <c r="S867" s="24"/>
      <c r="T867" s="35" t="str">
        <f aca="false">IF($C867="","",IF($D867="","★没选客户项目",IF(COUNTIF(合同键,$D867)=0,"★《维保合同》里没这个项目",IF(N($K867)&lt;=0,"★应收金额要填",IF(ROUND(N($N867)-N($K867),2)&gt;0.001,"★开票金额大于应收",IF(AND($L867&lt;&gt;"",N($N867)&lt;=0),"★填了开票日期没填开票金额",IF(AND($I867&lt;&gt;"",$J867&lt;&gt;"",$J867&lt;$I867),"★计费期间起止反了","OK")))))))</f>
        <v/>
      </c>
      <c r="U867" s="29" t="str">
        <f aca="false">IF($L867="","",YEAR($L867))</f>
        <v/>
      </c>
      <c r="V867" s="40" t="str">
        <f aca="false">IF($C867="","",ROUND(SUMIF(收款关联,$B867,收款金额),2))</f>
        <v/>
      </c>
      <c r="W867" s="40" t="str">
        <f aca="false">IF($C867="","",MAX(0,ROUND(N($K867)-N($V867),2)))</f>
        <v/>
      </c>
      <c r="X867" s="40" t="str">
        <f aca="false">IF($C867="","",ROUND(SUMIFS(应收净额,应收键,$D867,应收行号,"&lt;="&amp;ROW()),2))</f>
        <v/>
      </c>
      <c r="Y867" s="29" t="str">
        <f aca="false">IF($C867="","",ROW())</f>
        <v/>
      </c>
    </row>
    <row r="868" customFormat="false" ht="15" hidden="false" customHeight="false" outlineLevel="0" collapsed="false">
      <c r="A868" s="29" t="str">
        <f aca="false">IF($C868="","",ROW()-4)</f>
        <v/>
      </c>
      <c r="B868" s="35" t="str">
        <f aca="false">IF($C868="","","YS"&amp;TEXT($C868,"yyyymm")&amp;"-"&amp;TEXT(ROW()-4,"0000"))</f>
        <v/>
      </c>
      <c r="C868" s="33"/>
      <c r="D868" s="24"/>
      <c r="E868" s="30" t="str">
        <f aca="false">IF($D868="","",IFERROR(INDEX(合同单位,MATCH($D868,合同键,0)),IFERROR(TRIM(LEFT($D868,FIND("｜",$D868)-1)),$D868)))</f>
        <v/>
      </c>
      <c r="F868" s="30" t="str">
        <f aca="false">IF($D868="","",IFERROR(INDEX(合同项目,MATCH($D868,合同键,0)),IFERROR(TRIM(MID($D868,FIND("｜",$D868)+1,99)),"")))</f>
        <v/>
      </c>
      <c r="G868" s="24"/>
      <c r="H868" s="35" t="str">
        <f aca="false">IF($G868="","",IFERROR(INDEX(费用款别,MATCH($G868,费用类别表,0)),"合同外款"))</f>
        <v/>
      </c>
      <c r="I868" s="33"/>
      <c r="J868" s="33"/>
      <c r="K868" s="39"/>
      <c r="L868" s="33"/>
      <c r="M868" s="25"/>
      <c r="N868" s="39"/>
      <c r="O868" s="35" t="str">
        <f aca="false">IF($C868="","",IF(N($N868)&lt;=0,"未开票",IF(ROUND(N($N868)-N($K868),2)&gt;=0,"已开票",IFERROR("部分开票 "&amp;TEXT(N($N868)/N($K868),"0%"),"部分开票"))))</f>
        <v/>
      </c>
      <c r="P868" s="40" t="str">
        <f aca="false">IF($C868="","",ROUND($V868+MIN($W868,MAX(0,(SUMIF(收款键,$D868,收款金额)-SUMIFS(收款金额,收款键,$D868,收款关联,"&lt;&gt;"))-($X868-$W868))),2))</f>
        <v/>
      </c>
      <c r="Q868" s="41" t="str">
        <f aca="false">IF($C868="","",ROUND(N($K868)-N($P868),2))</f>
        <v/>
      </c>
      <c r="R868" s="29" t="str">
        <f aca="false">IF($C868="","",YEAR($C868))</f>
        <v/>
      </c>
      <c r="S868" s="24"/>
      <c r="T868" s="35" t="str">
        <f aca="false">IF($C868="","",IF($D868="","★没选客户项目",IF(COUNTIF(合同键,$D868)=0,"★《维保合同》里没这个项目",IF(N($K868)&lt;=0,"★应收金额要填",IF(ROUND(N($N868)-N($K868),2)&gt;0.001,"★开票金额大于应收",IF(AND($L868&lt;&gt;"",N($N868)&lt;=0),"★填了开票日期没填开票金额",IF(AND($I868&lt;&gt;"",$J868&lt;&gt;"",$J868&lt;$I868),"★计费期间起止反了","OK")))))))</f>
        <v/>
      </c>
      <c r="U868" s="29" t="str">
        <f aca="false">IF($L868="","",YEAR($L868))</f>
        <v/>
      </c>
      <c r="V868" s="40" t="str">
        <f aca="false">IF($C868="","",ROUND(SUMIF(收款关联,$B868,收款金额),2))</f>
        <v/>
      </c>
      <c r="W868" s="40" t="str">
        <f aca="false">IF($C868="","",MAX(0,ROUND(N($K868)-N($V868),2)))</f>
        <v/>
      </c>
      <c r="X868" s="40" t="str">
        <f aca="false">IF($C868="","",ROUND(SUMIFS(应收净额,应收键,$D868,应收行号,"&lt;="&amp;ROW()),2))</f>
        <v/>
      </c>
      <c r="Y868" s="29" t="str">
        <f aca="false">IF($C868="","",ROW())</f>
        <v/>
      </c>
    </row>
    <row r="869" customFormat="false" ht="15" hidden="false" customHeight="false" outlineLevel="0" collapsed="false">
      <c r="A869" s="29" t="str">
        <f aca="false">IF($C869="","",ROW()-4)</f>
        <v/>
      </c>
      <c r="B869" s="35" t="str">
        <f aca="false">IF($C869="","","YS"&amp;TEXT($C869,"yyyymm")&amp;"-"&amp;TEXT(ROW()-4,"0000"))</f>
        <v/>
      </c>
      <c r="C869" s="33"/>
      <c r="D869" s="24"/>
      <c r="E869" s="30" t="str">
        <f aca="false">IF($D869="","",IFERROR(INDEX(合同单位,MATCH($D869,合同键,0)),IFERROR(TRIM(LEFT($D869,FIND("｜",$D869)-1)),$D869)))</f>
        <v/>
      </c>
      <c r="F869" s="30" t="str">
        <f aca="false">IF($D869="","",IFERROR(INDEX(合同项目,MATCH($D869,合同键,0)),IFERROR(TRIM(MID($D869,FIND("｜",$D869)+1,99)),"")))</f>
        <v/>
      </c>
      <c r="G869" s="24"/>
      <c r="H869" s="35" t="str">
        <f aca="false">IF($G869="","",IFERROR(INDEX(费用款别,MATCH($G869,费用类别表,0)),"合同外款"))</f>
        <v/>
      </c>
      <c r="I869" s="33"/>
      <c r="J869" s="33"/>
      <c r="K869" s="39"/>
      <c r="L869" s="33"/>
      <c r="M869" s="25"/>
      <c r="N869" s="39"/>
      <c r="O869" s="35" t="str">
        <f aca="false">IF($C869="","",IF(N($N869)&lt;=0,"未开票",IF(ROUND(N($N869)-N($K869),2)&gt;=0,"已开票",IFERROR("部分开票 "&amp;TEXT(N($N869)/N($K869),"0%"),"部分开票"))))</f>
        <v/>
      </c>
      <c r="P869" s="40" t="str">
        <f aca="false">IF($C869="","",ROUND($V869+MIN($W869,MAX(0,(SUMIF(收款键,$D869,收款金额)-SUMIFS(收款金额,收款键,$D869,收款关联,"&lt;&gt;"))-($X869-$W869))),2))</f>
        <v/>
      </c>
      <c r="Q869" s="41" t="str">
        <f aca="false">IF($C869="","",ROUND(N($K869)-N($P869),2))</f>
        <v/>
      </c>
      <c r="R869" s="29" t="str">
        <f aca="false">IF($C869="","",YEAR($C869))</f>
        <v/>
      </c>
      <c r="S869" s="24"/>
      <c r="T869" s="35" t="str">
        <f aca="false">IF($C869="","",IF($D869="","★没选客户项目",IF(COUNTIF(合同键,$D869)=0,"★《维保合同》里没这个项目",IF(N($K869)&lt;=0,"★应收金额要填",IF(ROUND(N($N869)-N($K869),2)&gt;0.001,"★开票金额大于应收",IF(AND($L869&lt;&gt;"",N($N869)&lt;=0),"★填了开票日期没填开票金额",IF(AND($I869&lt;&gt;"",$J869&lt;&gt;"",$J869&lt;$I869),"★计费期间起止反了","OK")))))))</f>
        <v/>
      </c>
      <c r="U869" s="29" t="str">
        <f aca="false">IF($L869="","",YEAR($L869))</f>
        <v/>
      </c>
      <c r="V869" s="40" t="str">
        <f aca="false">IF($C869="","",ROUND(SUMIF(收款关联,$B869,收款金额),2))</f>
        <v/>
      </c>
      <c r="W869" s="40" t="str">
        <f aca="false">IF($C869="","",MAX(0,ROUND(N($K869)-N($V869),2)))</f>
        <v/>
      </c>
      <c r="X869" s="40" t="str">
        <f aca="false">IF($C869="","",ROUND(SUMIFS(应收净额,应收键,$D869,应收行号,"&lt;="&amp;ROW()),2))</f>
        <v/>
      </c>
      <c r="Y869" s="29" t="str">
        <f aca="false">IF($C869="","",ROW())</f>
        <v/>
      </c>
    </row>
    <row r="870" customFormat="false" ht="15" hidden="false" customHeight="false" outlineLevel="0" collapsed="false">
      <c r="A870" s="29" t="str">
        <f aca="false">IF($C870="","",ROW()-4)</f>
        <v/>
      </c>
      <c r="B870" s="35" t="str">
        <f aca="false">IF($C870="","","YS"&amp;TEXT($C870,"yyyymm")&amp;"-"&amp;TEXT(ROW()-4,"0000"))</f>
        <v/>
      </c>
      <c r="C870" s="33"/>
      <c r="D870" s="24"/>
      <c r="E870" s="30" t="str">
        <f aca="false">IF($D870="","",IFERROR(INDEX(合同单位,MATCH($D870,合同键,0)),IFERROR(TRIM(LEFT($D870,FIND("｜",$D870)-1)),$D870)))</f>
        <v/>
      </c>
      <c r="F870" s="30" t="str">
        <f aca="false">IF($D870="","",IFERROR(INDEX(合同项目,MATCH($D870,合同键,0)),IFERROR(TRIM(MID($D870,FIND("｜",$D870)+1,99)),"")))</f>
        <v/>
      </c>
      <c r="G870" s="24"/>
      <c r="H870" s="35" t="str">
        <f aca="false">IF($G870="","",IFERROR(INDEX(费用款别,MATCH($G870,费用类别表,0)),"合同外款"))</f>
        <v/>
      </c>
      <c r="I870" s="33"/>
      <c r="J870" s="33"/>
      <c r="K870" s="39"/>
      <c r="L870" s="33"/>
      <c r="M870" s="25"/>
      <c r="N870" s="39"/>
      <c r="O870" s="35" t="str">
        <f aca="false">IF($C870="","",IF(N($N870)&lt;=0,"未开票",IF(ROUND(N($N870)-N($K870),2)&gt;=0,"已开票",IFERROR("部分开票 "&amp;TEXT(N($N870)/N($K870),"0%"),"部分开票"))))</f>
        <v/>
      </c>
      <c r="P870" s="40" t="str">
        <f aca="false">IF($C870="","",ROUND($V870+MIN($W870,MAX(0,(SUMIF(收款键,$D870,收款金额)-SUMIFS(收款金额,收款键,$D870,收款关联,"&lt;&gt;"))-($X870-$W870))),2))</f>
        <v/>
      </c>
      <c r="Q870" s="41" t="str">
        <f aca="false">IF($C870="","",ROUND(N($K870)-N($P870),2))</f>
        <v/>
      </c>
      <c r="R870" s="29" t="str">
        <f aca="false">IF($C870="","",YEAR($C870))</f>
        <v/>
      </c>
      <c r="S870" s="24"/>
      <c r="T870" s="35" t="str">
        <f aca="false">IF($C870="","",IF($D870="","★没选客户项目",IF(COUNTIF(合同键,$D870)=0,"★《维保合同》里没这个项目",IF(N($K870)&lt;=0,"★应收金额要填",IF(ROUND(N($N870)-N($K870),2)&gt;0.001,"★开票金额大于应收",IF(AND($L870&lt;&gt;"",N($N870)&lt;=0),"★填了开票日期没填开票金额",IF(AND($I870&lt;&gt;"",$J870&lt;&gt;"",$J870&lt;$I870),"★计费期间起止反了","OK")))))))</f>
        <v/>
      </c>
      <c r="U870" s="29" t="str">
        <f aca="false">IF($L870="","",YEAR($L870))</f>
        <v/>
      </c>
      <c r="V870" s="40" t="str">
        <f aca="false">IF($C870="","",ROUND(SUMIF(收款关联,$B870,收款金额),2))</f>
        <v/>
      </c>
      <c r="W870" s="40" t="str">
        <f aca="false">IF($C870="","",MAX(0,ROUND(N($K870)-N($V870),2)))</f>
        <v/>
      </c>
      <c r="X870" s="40" t="str">
        <f aca="false">IF($C870="","",ROUND(SUMIFS(应收净额,应收键,$D870,应收行号,"&lt;="&amp;ROW()),2))</f>
        <v/>
      </c>
      <c r="Y870" s="29" t="str">
        <f aca="false">IF($C870="","",ROW())</f>
        <v/>
      </c>
    </row>
    <row r="871" customFormat="false" ht="15" hidden="false" customHeight="false" outlineLevel="0" collapsed="false">
      <c r="A871" s="29" t="str">
        <f aca="false">IF($C871="","",ROW()-4)</f>
        <v/>
      </c>
      <c r="B871" s="35" t="str">
        <f aca="false">IF($C871="","","YS"&amp;TEXT($C871,"yyyymm")&amp;"-"&amp;TEXT(ROW()-4,"0000"))</f>
        <v/>
      </c>
      <c r="C871" s="33"/>
      <c r="D871" s="24"/>
      <c r="E871" s="30" t="str">
        <f aca="false">IF($D871="","",IFERROR(INDEX(合同单位,MATCH($D871,合同键,0)),IFERROR(TRIM(LEFT($D871,FIND("｜",$D871)-1)),$D871)))</f>
        <v/>
      </c>
      <c r="F871" s="30" t="str">
        <f aca="false">IF($D871="","",IFERROR(INDEX(合同项目,MATCH($D871,合同键,0)),IFERROR(TRIM(MID($D871,FIND("｜",$D871)+1,99)),"")))</f>
        <v/>
      </c>
      <c r="G871" s="24"/>
      <c r="H871" s="35" t="str">
        <f aca="false">IF($G871="","",IFERROR(INDEX(费用款别,MATCH($G871,费用类别表,0)),"合同外款"))</f>
        <v/>
      </c>
      <c r="I871" s="33"/>
      <c r="J871" s="33"/>
      <c r="K871" s="39"/>
      <c r="L871" s="33"/>
      <c r="M871" s="25"/>
      <c r="N871" s="39"/>
      <c r="O871" s="35" t="str">
        <f aca="false">IF($C871="","",IF(N($N871)&lt;=0,"未开票",IF(ROUND(N($N871)-N($K871),2)&gt;=0,"已开票",IFERROR("部分开票 "&amp;TEXT(N($N871)/N($K871),"0%"),"部分开票"))))</f>
        <v/>
      </c>
      <c r="P871" s="40" t="str">
        <f aca="false">IF($C871="","",ROUND($V871+MIN($W871,MAX(0,(SUMIF(收款键,$D871,收款金额)-SUMIFS(收款金额,收款键,$D871,收款关联,"&lt;&gt;"))-($X871-$W871))),2))</f>
        <v/>
      </c>
      <c r="Q871" s="41" t="str">
        <f aca="false">IF($C871="","",ROUND(N($K871)-N($P871),2))</f>
        <v/>
      </c>
      <c r="R871" s="29" t="str">
        <f aca="false">IF($C871="","",YEAR($C871))</f>
        <v/>
      </c>
      <c r="S871" s="24"/>
      <c r="T871" s="35" t="str">
        <f aca="false">IF($C871="","",IF($D871="","★没选客户项目",IF(COUNTIF(合同键,$D871)=0,"★《维保合同》里没这个项目",IF(N($K871)&lt;=0,"★应收金额要填",IF(ROUND(N($N871)-N($K871),2)&gt;0.001,"★开票金额大于应收",IF(AND($L871&lt;&gt;"",N($N871)&lt;=0),"★填了开票日期没填开票金额",IF(AND($I871&lt;&gt;"",$J871&lt;&gt;"",$J871&lt;$I871),"★计费期间起止反了","OK")))))))</f>
        <v/>
      </c>
      <c r="U871" s="29" t="str">
        <f aca="false">IF($L871="","",YEAR($L871))</f>
        <v/>
      </c>
      <c r="V871" s="40" t="str">
        <f aca="false">IF($C871="","",ROUND(SUMIF(收款关联,$B871,收款金额),2))</f>
        <v/>
      </c>
      <c r="W871" s="40" t="str">
        <f aca="false">IF($C871="","",MAX(0,ROUND(N($K871)-N($V871),2)))</f>
        <v/>
      </c>
      <c r="X871" s="40" t="str">
        <f aca="false">IF($C871="","",ROUND(SUMIFS(应收净额,应收键,$D871,应收行号,"&lt;="&amp;ROW()),2))</f>
        <v/>
      </c>
      <c r="Y871" s="29" t="str">
        <f aca="false">IF($C871="","",ROW())</f>
        <v/>
      </c>
    </row>
    <row r="872" customFormat="false" ht="15" hidden="false" customHeight="false" outlineLevel="0" collapsed="false">
      <c r="A872" s="29" t="str">
        <f aca="false">IF($C872="","",ROW()-4)</f>
        <v/>
      </c>
      <c r="B872" s="35" t="str">
        <f aca="false">IF($C872="","","YS"&amp;TEXT($C872,"yyyymm")&amp;"-"&amp;TEXT(ROW()-4,"0000"))</f>
        <v/>
      </c>
      <c r="C872" s="33"/>
      <c r="D872" s="24"/>
      <c r="E872" s="30" t="str">
        <f aca="false">IF($D872="","",IFERROR(INDEX(合同单位,MATCH($D872,合同键,0)),IFERROR(TRIM(LEFT($D872,FIND("｜",$D872)-1)),$D872)))</f>
        <v/>
      </c>
      <c r="F872" s="30" t="str">
        <f aca="false">IF($D872="","",IFERROR(INDEX(合同项目,MATCH($D872,合同键,0)),IFERROR(TRIM(MID($D872,FIND("｜",$D872)+1,99)),"")))</f>
        <v/>
      </c>
      <c r="G872" s="24"/>
      <c r="H872" s="35" t="str">
        <f aca="false">IF($G872="","",IFERROR(INDEX(费用款别,MATCH($G872,费用类别表,0)),"合同外款"))</f>
        <v/>
      </c>
      <c r="I872" s="33"/>
      <c r="J872" s="33"/>
      <c r="K872" s="39"/>
      <c r="L872" s="33"/>
      <c r="M872" s="25"/>
      <c r="N872" s="39"/>
      <c r="O872" s="35" t="str">
        <f aca="false">IF($C872="","",IF(N($N872)&lt;=0,"未开票",IF(ROUND(N($N872)-N($K872),2)&gt;=0,"已开票",IFERROR("部分开票 "&amp;TEXT(N($N872)/N($K872),"0%"),"部分开票"))))</f>
        <v/>
      </c>
      <c r="P872" s="40" t="str">
        <f aca="false">IF($C872="","",ROUND($V872+MIN($W872,MAX(0,(SUMIF(收款键,$D872,收款金额)-SUMIFS(收款金额,收款键,$D872,收款关联,"&lt;&gt;"))-($X872-$W872))),2))</f>
        <v/>
      </c>
      <c r="Q872" s="41" t="str">
        <f aca="false">IF($C872="","",ROUND(N($K872)-N($P872),2))</f>
        <v/>
      </c>
      <c r="R872" s="29" t="str">
        <f aca="false">IF($C872="","",YEAR($C872))</f>
        <v/>
      </c>
      <c r="S872" s="24"/>
      <c r="T872" s="35" t="str">
        <f aca="false">IF($C872="","",IF($D872="","★没选客户项目",IF(COUNTIF(合同键,$D872)=0,"★《维保合同》里没这个项目",IF(N($K872)&lt;=0,"★应收金额要填",IF(ROUND(N($N872)-N($K872),2)&gt;0.001,"★开票金额大于应收",IF(AND($L872&lt;&gt;"",N($N872)&lt;=0),"★填了开票日期没填开票金额",IF(AND($I872&lt;&gt;"",$J872&lt;&gt;"",$J872&lt;$I872),"★计费期间起止反了","OK")))))))</f>
        <v/>
      </c>
      <c r="U872" s="29" t="str">
        <f aca="false">IF($L872="","",YEAR($L872))</f>
        <v/>
      </c>
      <c r="V872" s="40" t="str">
        <f aca="false">IF($C872="","",ROUND(SUMIF(收款关联,$B872,收款金额),2))</f>
        <v/>
      </c>
      <c r="W872" s="40" t="str">
        <f aca="false">IF($C872="","",MAX(0,ROUND(N($K872)-N($V872),2)))</f>
        <v/>
      </c>
      <c r="X872" s="40" t="str">
        <f aca="false">IF($C872="","",ROUND(SUMIFS(应收净额,应收键,$D872,应收行号,"&lt;="&amp;ROW()),2))</f>
        <v/>
      </c>
      <c r="Y872" s="29" t="str">
        <f aca="false">IF($C872="","",ROW())</f>
        <v/>
      </c>
    </row>
    <row r="873" customFormat="false" ht="15" hidden="false" customHeight="false" outlineLevel="0" collapsed="false">
      <c r="A873" s="29" t="str">
        <f aca="false">IF($C873="","",ROW()-4)</f>
        <v/>
      </c>
      <c r="B873" s="35" t="str">
        <f aca="false">IF($C873="","","YS"&amp;TEXT($C873,"yyyymm")&amp;"-"&amp;TEXT(ROW()-4,"0000"))</f>
        <v/>
      </c>
      <c r="C873" s="33"/>
      <c r="D873" s="24"/>
      <c r="E873" s="30" t="str">
        <f aca="false">IF($D873="","",IFERROR(INDEX(合同单位,MATCH($D873,合同键,0)),IFERROR(TRIM(LEFT($D873,FIND("｜",$D873)-1)),$D873)))</f>
        <v/>
      </c>
      <c r="F873" s="30" t="str">
        <f aca="false">IF($D873="","",IFERROR(INDEX(合同项目,MATCH($D873,合同键,0)),IFERROR(TRIM(MID($D873,FIND("｜",$D873)+1,99)),"")))</f>
        <v/>
      </c>
      <c r="G873" s="24"/>
      <c r="H873" s="35" t="str">
        <f aca="false">IF($G873="","",IFERROR(INDEX(费用款别,MATCH($G873,费用类别表,0)),"合同外款"))</f>
        <v/>
      </c>
      <c r="I873" s="33"/>
      <c r="J873" s="33"/>
      <c r="K873" s="39"/>
      <c r="L873" s="33"/>
      <c r="M873" s="25"/>
      <c r="N873" s="39"/>
      <c r="O873" s="35" t="str">
        <f aca="false">IF($C873="","",IF(N($N873)&lt;=0,"未开票",IF(ROUND(N($N873)-N($K873),2)&gt;=0,"已开票",IFERROR("部分开票 "&amp;TEXT(N($N873)/N($K873),"0%"),"部分开票"))))</f>
        <v/>
      </c>
      <c r="P873" s="40" t="str">
        <f aca="false">IF($C873="","",ROUND($V873+MIN($W873,MAX(0,(SUMIF(收款键,$D873,收款金额)-SUMIFS(收款金额,收款键,$D873,收款关联,"&lt;&gt;"))-($X873-$W873))),2))</f>
        <v/>
      </c>
      <c r="Q873" s="41" t="str">
        <f aca="false">IF($C873="","",ROUND(N($K873)-N($P873),2))</f>
        <v/>
      </c>
      <c r="R873" s="29" t="str">
        <f aca="false">IF($C873="","",YEAR($C873))</f>
        <v/>
      </c>
      <c r="S873" s="24"/>
      <c r="T873" s="35" t="str">
        <f aca="false">IF($C873="","",IF($D873="","★没选客户项目",IF(COUNTIF(合同键,$D873)=0,"★《维保合同》里没这个项目",IF(N($K873)&lt;=0,"★应收金额要填",IF(ROUND(N($N873)-N($K873),2)&gt;0.001,"★开票金额大于应收",IF(AND($L873&lt;&gt;"",N($N873)&lt;=0),"★填了开票日期没填开票金额",IF(AND($I873&lt;&gt;"",$J873&lt;&gt;"",$J873&lt;$I873),"★计费期间起止反了","OK")))))))</f>
        <v/>
      </c>
      <c r="U873" s="29" t="str">
        <f aca="false">IF($L873="","",YEAR($L873))</f>
        <v/>
      </c>
      <c r="V873" s="40" t="str">
        <f aca="false">IF($C873="","",ROUND(SUMIF(收款关联,$B873,收款金额),2))</f>
        <v/>
      </c>
      <c r="W873" s="40" t="str">
        <f aca="false">IF($C873="","",MAX(0,ROUND(N($K873)-N($V873),2)))</f>
        <v/>
      </c>
      <c r="X873" s="40" t="str">
        <f aca="false">IF($C873="","",ROUND(SUMIFS(应收净额,应收键,$D873,应收行号,"&lt;="&amp;ROW()),2))</f>
        <v/>
      </c>
      <c r="Y873" s="29" t="str">
        <f aca="false">IF($C873="","",ROW())</f>
        <v/>
      </c>
    </row>
    <row r="874" customFormat="false" ht="15" hidden="false" customHeight="false" outlineLevel="0" collapsed="false">
      <c r="A874" s="29" t="str">
        <f aca="false">IF($C874="","",ROW()-4)</f>
        <v/>
      </c>
      <c r="B874" s="35" t="str">
        <f aca="false">IF($C874="","","YS"&amp;TEXT($C874,"yyyymm")&amp;"-"&amp;TEXT(ROW()-4,"0000"))</f>
        <v/>
      </c>
      <c r="C874" s="33"/>
      <c r="D874" s="24"/>
      <c r="E874" s="30" t="str">
        <f aca="false">IF($D874="","",IFERROR(INDEX(合同单位,MATCH($D874,合同键,0)),IFERROR(TRIM(LEFT($D874,FIND("｜",$D874)-1)),$D874)))</f>
        <v/>
      </c>
      <c r="F874" s="30" t="str">
        <f aca="false">IF($D874="","",IFERROR(INDEX(合同项目,MATCH($D874,合同键,0)),IFERROR(TRIM(MID($D874,FIND("｜",$D874)+1,99)),"")))</f>
        <v/>
      </c>
      <c r="G874" s="24"/>
      <c r="H874" s="35" t="str">
        <f aca="false">IF($G874="","",IFERROR(INDEX(费用款别,MATCH($G874,费用类别表,0)),"合同外款"))</f>
        <v/>
      </c>
      <c r="I874" s="33"/>
      <c r="J874" s="33"/>
      <c r="K874" s="39"/>
      <c r="L874" s="33"/>
      <c r="M874" s="25"/>
      <c r="N874" s="39"/>
      <c r="O874" s="35" t="str">
        <f aca="false">IF($C874="","",IF(N($N874)&lt;=0,"未开票",IF(ROUND(N($N874)-N($K874),2)&gt;=0,"已开票",IFERROR("部分开票 "&amp;TEXT(N($N874)/N($K874),"0%"),"部分开票"))))</f>
        <v/>
      </c>
      <c r="P874" s="40" t="str">
        <f aca="false">IF($C874="","",ROUND($V874+MIN($W874,MAX(0,(SUMIF(收款键,$D874,收款金额)-SUMIFS(收款金额,收款键,$D874,收款关联,"&lt;&gt;"))-($X874-$W874))),2))</f>
        <v/>
      </c>
      <c r="Q874" s="41" t="str">
        <f aca="false">IF($C874="","",ROUND(N($K874)-N($P874),2))</f>
        <v/>
      </c>
      <c r="R874" s="29" t="str">
        <f aca="false">IF($C874="","",YEAR($C874))</f>
        <v/>
      </c>
      <c r="S874" s="24"/>
      <c r="T874" s="35" t="str">
        <f aca="false">IF($C874="","",IF($D874="","★没选客户项目",IF(COUNTIF(合同键,$D874)=0,"★《维保合同》里没这个项目",IF(N($K874)&lt;=0,"★应收金额要填",IF(ROUND(N($N874)-N($K874),2)&gt;0.001,"★开票金额大于应收",IF(AND($L874&lt;&gt;"",N($N874)&lt;=0),"★填了开票日期没填开票金额",IF(AND($I874&lt;&gt;"",$J874&lt;&gt;"",$J874&lt;$I874),"★计费期间起止反了","OK")))))))</f>
        <v/>
      </c>
      <c r="U874" s="29" t="str">
        <f aca="false">IF($L874="","",YEAR($L874))</f>
        <v/>
      </c>
      <c r="V874" s="40" t="str">
        <f aca="false">IF($C874="","",ROUND(SUMIF(收款关联,$B874,收款金额),2))</f>
        <v/>
      </c>
      <c r="W874" s="40" t="str">
        <f aca="false">IF($C874="","",MAX(0,ROUND(N($K874)-N($V874),2)))</f>
        <v/>
      </c>
      <c r="X874" s="40" t="str">
        <f aca="false">IF($C874="","",ROUND(SUMIFS(应收净额,应收键,$D874,应收行号,"&lt;="&amp;ROW()),2))</f>
        <v/>
      </c>
      <c r="Y874" s="29" t="str">
        <f aca="false">IF($C874="","",ROW())</f>
        <v/>
      </c>
    </row>
    <row r="875" customFormat="false" ht="15" hidden="false" customHeight="false" outlineLevel="0" collapsed="false">
      <c r="A875" s="29" t="str">
        <f aca="false">IF($C875="","",ROW()-4)</f>
        <v/>
      </c>
      <c r="B875" s="35" t="str">
        <f aca="false">IF($C875="","","YS"&amp;TEXT($C875,"yyyymm")&amp;"-"&amp;TEXT(ROW()-4,"0000"))</f>
        <v/>
      </c>
      <c r="C875" s="33"/>
      <c r="D875" s="24"/>
      <c r="E875" s="30" t="str">
        <f aca="false">IF($D875="","",IFERROR(INDEX(合同单位,MATCH($D875,合同键,0)),IFERROR(TRIM(LEFT($D875,FIND("｜",$D875)-1)),$D875)))</f>
        <v/>
      </c>
      <c r="F875" s="30" t="str">
        <f aca="false">IF($D875="","",IFERROR(INDEX(合同项目,MATCH($D875,合同键,0)),IFERROR(TRIM(MID($D875,FIND("｜",$D875)+1,99)),"")))</f>
        <v/>
      </c>
      <c r="G875" s="24"/>
      <c r="H875" s="35" t="str">
        <f aca="false">IF($G875="","",IFERROR(INDEX(费用款别,MATCH($G875,费用类别表,0)),"合同外款"))</f>
        <v/>
      </c>
      <c r="I875" s="33"/>
      <c r="J875" s="33"/>
      <c r="K875" s="39"/>
      <c r="L875" s="33"/>
      <c r="M875" s="25"/>
      <c r="N875" s="39"/>
      <c r="O875" s="35" t="str">
        <f aca="false">IF($C875="","",IF(N($N875)&lt;=0,"未开票",IF(ROUND(N($N875)-N($K875),2)&gt;=0,"已开票",IFERROR("部分开票 "&amp;TEXT(N($N875)/N($K875),"0%"),"部分开票"))))</f>
        <v/>
      </c>
      <c r="P875" s="40" t="str">
        <f aca="false">IF($C875="","",ROUND($V875+MIN($W875,MAX(0,(SUMIF(收款键,$D875,收款金额)-SUMIFS(收款金额,收款键,$D875,收款关联,"&lt;&gt;"))-($X875-$W875))),2))</f>
        <v/>
      </c>
      <c r="Q875" s="41" t="str">
        <f aca="false">IF($C875="","",ROUND(N($K875)-N($P875),2))</f>
        <v/>
      </c>
      <c r="R875" s="29" t="str">
        <f aca="false">IF($C875="","",YEAR($C875))</f>
        <v/>
      </c>
      <c r="S875" s="24"/>
      <c r="T875" s="35" t="str">
        <f aca="false">IF($C875="","",IF($D875="","★没选客户项目",IF(COUNTIF(合同键,$D875)=0,"★《维保合同》里没这个项目",IF(N($K875)&lt;=0,"★应收金额要填",IF(ROUND(N($N875)-N($K875),2)&gt;0.001,"★开票金额大于应收",IF(AND($L875&lt;&gt;"",N($N875)&lt;=0),"★填了开票日期没填开票金额",IF(AND($I875&lt;&gt;"",$J875&lt;&gt;"",$J875&lt;$I875),"★计费期间起止反了","OK")))))))</f>
        <v/>
      </c>
      <c r="U875" s="29" t="str">
        <f aca="false">IF($L875="","",YEAR($L875))</f>
        <v/>
      </c>
      <c r="V875" s="40" t="str">
        <f aca="false">IF($C875="","",ROUND(SUMIF(收款关联,$B875,收款金额),2))</f>
        <v/>
      </c>
      <c r="W875" s="40" t="str">
        <f aca="false">IF($C875="","",MAX(0,ROUND(N($K875)-N($V875),2)))</f>
        <v/>
      </c>
      <c r="X875" s="40" t="str">
        <f aca="false">IF($C875="","",ROUND(SUMIFS(应收净额,应收键,$D875,应收行号,"&lt;="&amp;ROW()),2))</f>
        <v/>
      </c>
      <c r="Y875" s="29" t="str">
        <f aca="false">IF($C875="","",ROW())</f>
        <v/>
      </c>
    </row>
    <row r="876" customFormat="false" ht="15" hidden="false" customHeight="false" outlineLevel="0" collapsed="false">
      <c r="A876" s="29" t="str">
        <f aca="false">IF($C876="","",ROW()-4)</f>
        <v/>
      </c>
      <c r="B876" s="35" t="str">
        <f aca="false">IF($C876="","","YS"&amp;TEXT($C876,"yyyymm")&amp;"-"&amp;TEXT(ROW()-4,"0000"))</f>
        <v/>
      </c>
      <c r="C876" s="33"/>
      <c r="D876" s="24"/>
      <c r="E876" s="30" t="str">
        <f aca="false">IF($D876="","",IFERROR(INDEX(合同单位,MATCH($D876,合同键,0)),IFERROR(TRIM(LEFT($D876,FIND("｜",$D876)-1)),$D876)))</f>
        <v/>
      </c>
      <c r="F876" s="30" t="str">
        <f aca="false">IF($D876="","",IFERROR(INDEX(合同项目,MATCH($D876,合同键,0)),IFERROR(TRIM(MID($D876,FIND("｜",$D876)+1,99)),"")))</f>
        <v/>
      </c>
      <c r="G876" s="24"/>
      <c r="H876" s="35" t="str">
        <f aca="false">IF($G876="","",IFERROR(INDEX(费用款别,MATCH($G876,费用类别表,0)),"合同外款"))</f>
        <v/>
      </c>
      <c r="I876" s="33"/>
      <c r="J876" s="33"/>
      <c r="K876" s="39"/>
      <c r="L876" s="33"/>
      <c r="M876" s="25"/>
      <c r="N876" s="39"/>
      <c r="O876" s="35" t="str">
        <f aca="false">IF($C876="","",IF(N($N876)&lt;=0,"未开票",IF(ROUND(N($N876)-N($K876),2)&gt;=0,"已开票",IFERROR("部分开票 "&amp;TEXT(N($N876)/N($K876),"0%"),"部分开票"))))</f>
        <v/>
      </c>
      <c r="P876" s="40" t="str">
        <f aca="false">IF($C876="","",ROUND($V876+MIN($W876,MAX(0,(SUMIF(收款键,$D876,收款金额)-SUMIFS(收款金额,收款键,$D876,收款关联,"&lt;&gt;"))-($X876-$W876))),2))</f>
        <v/>
      </c>
      <c r="Q876" s="41" t="str">
        <f aca="false">IF($C876="","",ROUND(N($K876)-N($P876),2))</f>
        <v/>
      </c>
      <c r="R876" s="29" t="str">
        <f aca="false">IF($C876="","",YEAR($C876))</f>
        <v/>
      </c>
      <c r="S876" s="24"/>
      <c r="T876" s="35" t="str">
        <f aca="false">IF($C876="","",IF($D876="","★没选客户项目",IF(COUNTIF(合同键,$D876)=0,"★《维保合同》里没这个项目",IF(N($K876)&lt;=0,"★应收金额要填",IF(ROUND(N($N876)-N($K876),2)&gt;0.001,"★开票金额大于应收",IF(AND($L876&lt;&gt;"",N($N876)&lt;=0),"★填了开票日期没填开票金额",IF(AND($I876&lt;&gt;"",$J876&lt;&gt;"",$J876&lt;$I876),"★计费期间起止反了","OK")))))))</f>
        <v/>
      </c>
      <c r="U876" s="29" t="str">
        <f aca="false">IF($L876="","",YEAR($L876))</f>
        <v/>
      </c>
      <c r="V876" s="40" t="str">
        <f aca="false">IF($C876="","",ROUND(SUMIF(收款关联,$B876,收款金额),2))</f>
        <v/>
      </c>
      <c r="W876" s="40" t="str">
        <f aca="false">IF($C876="","",MAX(0,ROUND(N($K876)-N($V876),2)))</f>
        <v/>
      </c>
      <c r="X876" s="40" t="str">
        <f aca="false">IF($C876="","",ROUND(SUMIFS(应收净额,应收键,$D876,应收行号,"&lt;="&amp;ROW()),2))</f>
        <v/>
      </c>
      <c r="Y876" s="29" t="str">
        <f aca="false">IF($C876="","",ROW())</f>
        <v/>
      </c>
    </row>
    <row r="877" customFormat="false" ht="15" hidden="false" customHeight="false" outlineLevel="0" collapsed="false">
      <c r="A877" s="29" t="str">
        <f aca="false">IF($C877="","",ROW()-4)</f>
        <v/>
      </c>
      <c r="B877" s="35" t="str">
        <f aca="false">IF($C877="","","YS"&amp;TEXT($C877,"yyyymm")&amp;"-"&amp;TEXT(ROW()-4,"0000"))</f>
        <v/>
      </c>
      <c r="C877" s="33"/>
      <c r="D877" s="24"/>
      <c r="E877" s="30" t="str">
        <f aca="false">IF($D877="","",IFERROR(INDEX(合同单位,MATCH($D877,合同键,0)),IFERROR(TRIM(LEFT($D877,FIND("｜",$D877)-1)),$D877)))</f>
        <v/>
      </c>
      <c r="F877" s="30" t="str">
        <f aca="false">IF($D877="","",IFERROR(INDEX(合同项目,MATCH($D877,合同键,0)),IFERROR(TRIM(MID($D877,FIND("｜",$D877)+1,99)),"")))</f>
        <v/>
      </c>
      <c r="G877" s="24"/>
      <c r="H877" s="35" t="str">
        <f aca="false">IF($G877="","",IFERROR(INDEX(费用款别,MATCH($G877,费用类别表,0)),"合同外款"))</f>
        <v/>
      </c>
      <c r="I877" s="33"/>
      <c r="J877" s="33"/>
      <c r="K877" s="39"/>
      <c r="L877" s="33"/>
      <c r="M877" s="25"/>
      <c r="N877" s="39"/>
      <c r="O877" s="35" t="str">
        <f aca="false">IF($C877="","",IF(N($N877)&lt;=0,"未开票",IF(ROUND(N($N877)-N($K877),2)&gt;=0,"已开票",IFERROR("部分开票 "&amp;TEXT(N($N877)/N($K877),"0%"),"部分开票"))))</f>
        <v/>
      </c>
      <c r="P877" s="40" t="str">
        <f aca="false">IF($C877="","",ROUND($V877+MIN($W877,MAX(0,(SUMIF(收款键,$D877,收款金额)-SUMIFS(收款金额,收款键,$D877,收款关联,"&lt;&gt;"))-($X877-$W877))),2))</f>
        <v/>
      </c>
      <c r="Q877" s="41" t="str">
        <f aca="false">IF($C877="","",ROUND(N($K877)-N($P877),2))</f>
        <v/>
      </c>
      <c r="R877" s="29" t="str">
        <f aca="false">IF($C877="","",YEAR($C877))</f>
        <v/>
      </c>
      <c r="S877" s="24"/>
      <c r="T877" s="35" t="str">
        <f aca="false">IF($C877="","",IF($D877="","★没选客户项目",IF(COUNTIF(合同键,$D877)=0,"★《维保合同》里没这个项目",IF(N($K877)&lt;=0,"★应收金额要填",IF(ROUND(N($N877)-N($K877),2)&gt;0.001,"★开票金额大于应收",IF(AND($L877&lt;&gt;"",N($N877)&lt;=0),"★填了开票日期没填开票金额",IF(AND($I877&lt;&gt;"",$J877&lt;&gt;"",$J877&lt;$I877),"★计费期间起止反了","OK")))))))</f>
        <v/>
      </c>
      <c r="U877" s="29" t="str">
        <f aca="false">IF($L877="","",YEAR($L877))</f>
        <v/>
      </c>
      <c r="V877" s="40" t="str">
        <f aca="false">IF($C877="","",ROUND(SUMIF(收款关联,$B877,收款金额),2))</f>
        <v/>
      </c>
      <c r="W877" s="40" t="str">
        <f aca="false">IF($C877="","",MAX(0,ROUND(N($K877)-N($V877),2)))</f>
        <v/>
      </c>
      <c r="X877" s="40" t="str">
        <f aca="false">IF($C877="","",ROUND(SUMIFS(应收净额,应收键,$D877,应收行号,"&lt;="&amp;ROW()),2))</f>
        <v/>
      </c>
      <c r="Y877" s="29" t="str">
        <f aca="false">IF($C877="","",ROW())</f>
        <v/>
      </c>
    </row>
    <row r="878" customFormat="false" ht="15" hidden="false" customHeight="false" outlineLevel="0" collapsed="false">
      <c r="A878" s="29" t="str">
        <f aca="false">IF($C878="","",ROW()-4)</f>
        <v/>
      </c>
      <c r="B878" s="35" t="str">
        <f aca="false">IF($C878="","","YS"&amp;TEXT($C878,"yyyymm")&amp;"-"&amp;TEXT(ROW()-4,"0000"))</f>
        <v/>
      </c>
      <c r="C878" s="33"/>
      <c r="D878" s="24"/>
      <c r="E878" s="30" t="str">
        <f aca="false">IF($D878="","",IFERROR(INDEX(合同单位,MATCH($D878,合同键,0)),IFERROR(TRIM(LEFT($D878,FIND("｜",$D878)-1)),$D878)))</f>
        <v/>
      </c>
      <c r="F878" s="30" t="str">
        <f aca="false">IF($D878="","",IFERROR(INDEX(合同项目,MATCH($D878,合同键,0)),IFERROR(TRIM(MID($D878,FIND("｜",$D878)+1,99)),"")))</f>
        <v/>
      </c>
      <c r="G878" s="24"/>
      <c r="H878" s="35" t="str">
        <f aca="false">IF($G878="","",IFERROR(INDEX(费用款别,MATCH($G878,费用类别表,0)),"合同外款"))</f>
        <v/>
      </c>
      <c r="I878" s="33"/>
      <c r="J878" s="33"/>
      <c r="K878" s="39"/>
      <c r="L878" s="33"/>
      <c r="M878" s="25"/>
      <c r="N878" s="39"/>
      <c r="O878" s="35" t="str">
        <f aca="false">IF($C878="","",IF(N($N878)&lt;=0,"未开票",IF(ROUND(N($N878)-N($K878),2)&gt;=0,"已开票",IFERROR("部分开票 "&amp;TEXT(N($N878)/N($K878),"0%"),"部分开票"))))</f>
        <v/>
      </c>
      <c r="P878" s="40" t="str">
        <f aca="false">IF($C878="","",ROUND($V878+MIN($W878,MAX(0,(SUMIF(收款键,$D878,收款金额)-SUMIFS(收款金额,收款键,$D878,收款关联,"&lt;&gt;"))-($X878-$W878))),2))</f>
        <v/>
      </c>
      <c r="Q878" s="41" t="str">
        <f aca="false">IF($C878="","",ROUND(N($K878)-N($P878),2))</f>
        <v/>
      </c>
      <c r="R878" s="29" t="str">
        <f aca="false">IF($C878="","",YEAR($C878))</f>
        <v/>
      </c>
      <c r="S878" s="24"/>
      <c r="T878" s="35" t="str">
        <f aca="false">IF($C878="","",IF($D878="","★没选客户项目",IF(COUNTIF(合同键,$D878)=0,"★《维保合同》里没这个项目",IF(N($K878)&lt;=0,"★应收金额要填",IF(ROUND(N($N878)-N($K878),2)&gt;0.001,"★开票金额大于应收",IF(AND($L878&lt;&gt;"",N($N878)&lt;=0),"★填了开票日期没填开票金额",IF(AND($I878&lt;&gt;"",$J878&lt;&gt;"",$J878&lt;$I878),"★计费期间起止反了","OK")))))))</f>
        <v/>
      </c>
      <c r="U878" s="29" t="str">
        <f aca="false">IF($L878="","",YEAR($L878))</f>
        <v/>
      </c>
      <c r="V878" s="40" t="str">
        <f aca="false">IF($C878="","",ROUND(SUMIF(收款关联,$B878,收款金额),2))</f>
        <v/>
      </c>
      <c r="W878" s="40" t="str">
        <f aca="false">IF($C878="","",MAX(0,ROUND(N($K878)-N($V878),2)))</f>
        <v/>
      </c>
      <c r="X878" s="40" t="str">
        <f aca="false">IF($C878="","",ROUND(SUMIFS(应收净额,应收键,$D878,应收行号,"&lt;="&amp;ROW()),2))</f>
        <v/>
      </c>
      <c r="Y878" s="29" t="str">
        <f aca="false">IF($C878="","",ROW())</f>
        <v/>
      </c>
    </row>
    <row r="879" customFormat="false" ht="15" hidden="false" customHeight="false" outlineLevel="0" collapsed="false">
      <c r="A879" s="29" t="str">
        <f aca="false">IF($C879="","",ROW()-4)</f>
        <v/>
      </c>
      <c r="B879" s="35" t="str">
        <f aca="false">IF($C879="","","YS"&amp;TEXT($C879,"yyyymm")&amp;"-"&amp;TEXT(ROW()-4,"0000"))</f>
        <v/>
      </c>
      <c r="C879" s="33"/>
      <c r="D879" s="24"/>
      <c r="E879" s="30" t="str">
        <f aca="false">IF($D879="","",IFERROR(INDEX(合同单位,MATCH($D879,合同键,0)),IFERROR(TRIM(LEFT($D879,FIND("｜",$D879)-1)),$D879)))</f>
        <v/>
      </c>
      <c r="F879" s="30" t="str">
        <f aca="false">IF($D879="","",IFERROR(INDEX(合同项目,MATCH($D879,合同键,0)),IFERROR(TRIM(MID($D879,FIND("｜",$D879)+1,99)),"")))</f>
        <v/>
      </c>
      <c r="G879" s="24"/>
      <c r="H879" s="35" t="str">
        <f aca="false">IF($G879="","",IFERROR(INDEX(费用款别,MATCH($G879,费用类别表,0)),"合同外款"))</f>
        <v/>
      </c>
      <c r="I879" s="33"/>
      <c r="J879" s="33"/>
      <c r="K879" s="39"/>
      <c r="L879" s="33"/>
      <c r="M879" s="25"/>
      <c r="N879" s="39"/>
      <c r="O879" s="35" t="str">
        <f aca="false">IF($C879="","",IF(N($N879)&lt;=0,"未开票",IF(ROUND(N($N879)-N($K879),2)&gt;=0,"已开票",IFERROR("部分开票 "&amp;TEXT(N($N879)/N($K879),"0%"),"部分开票"))))</f>
        <v/>
      </c>
      <c r="P879" s="40" t="str">
        <f aca="false">IF($C879="","",ROUND($V879+MIN($W879,MAX(0,(SUMIF(收款键,$D879,收款金额)-SUMIFS(收款金额,收款键,$D879,收款关联,"&lt;&gt;"))-($X879-$W879))),2))</f>
        <v/>
      </c>
      <c r="Q879" s="41" t="str">
        <f aca="false">IF($C879="","",ROUND(N($K879)-N($P879),2))</f>
        <v/>
      </c>
      <c r="R879" s="29" t="str">
        <f aca="false">IF($C879="","",YEAR($C879))</f>
        <v/>
      </c>
      <c r="S879" s="24"/>
      <c r="T879" s="35" t="str">
        <f aca="false">IF($C879="","",IF($D879="","★没选客户项目",IF(COUNTIF(合同键,$D879)=0,"★《维保合同》里没这个项目",IF(N($K879)&lt;=0,"★应收金额要填",IF(ROUND(N($N879)-N($K879),2)&gt;0.001,"★开票金额大于应收",IF(AND($L879&lt;&gt;"",N($N879)&lt;=0),"★填了开票日期没填开票金额",IF(AND($I879&lt;&gt;"",$J879&lt;&gt;"",$J879&lt;$I879),"★计费期间起止反了","OK")))))))</f>
        <v/>
      </c>
      <c r="U879" s="29" t="str">
        <f aca="false">IF($L879="","",YEAR($L879))</f>
        <v/>
      </c>
      <c r="V879" s="40" t="str">
        <f aca="false">IF($C879="","",ROUND(SUMIF(收款关联,$B879,收款金额),2))</f>
        <v/>
      </c>
      <c r="W879" s="40" t="str">
        <f aca="false">IF($C879="","",MAX(0,ROUND(N($K879)-N($V879),2)))</f>
        <v/>
      </c>
      <c r="X879" s="40" t="str">
        <f aca="false">IF($C879="","",ROUND(SUMIFS(应收净额,应收键,$D879,应收行号,"&lt;="&amp;ROW()),2))</f>
        <v/>
      </c>
      <c r="Y879" s="29" t="str">
        <f aca="false">IF($C879="","",ROW())</f>
        <v/>
      </c>
    </row>
    <row r="880" customFormat="false" ht="15" hidden="false" customHeight="false" outlineLevel="0" collapsed="false">
      <c r="A880" s="29" t="str">
        <f aca="false">IF($C880="","",ROW()-4)</f>
        <v/>
      </c>
      <c r="B880" s="35" t="str">
        <f aca="false">IF($C880="","","YS"&amp;TEXT($C880,"yyyymm")&amp;"-"&amp;TEXT(ROW()-4,"0000"))</f>
        <v/>
      </c>
      <c r="C880" s="33"/>
      <c r="D880" s="24"/>
      <c r="E880" s="30" t="str">
        <f aca="false">IF($D880="","",IFERROR(INDEX(合同单位,MATCH($D880,合同键,0)),IFERROR(TRIM(LEFT($D880,FIND("｜",$D880)-1)),$D880)))</f>
        <v/>
      </c>
      <c r="F880" s="30" t="str">
        <f aca="false">IF($D880="","",IFERROR(INDEX(合同项目,MATCH($D880,合同键,0)),IFERROR(TRIM(MID($D880,FIND("｜",$D880)+1,99)),"")))</f>
        <v/>
      </c>
      <c r="G880" s="24"/>
      <c r="H880" s="35" t="str">
        <f aca="false">IF($G880="","",IFERROR(INDEX(费用款别,MATCH($G880,费用类别表,0)),"合同外款"))</f>
        <v/>
      </c>
      <c r="I880" s="33"/>
      <c r="J880" s="33"/>
      <c r="K880" s="39"/>
      <c r="L880" s="33"/>
      <c r="M880" s="25"/>
      <c r="N880" s="39"/>
      <c r="O880" s="35" t="str">
        <f aca="false">IF($C880="","",IF(N($N880)&lt;=0,"未开票",IF(ROUND(N($N880)-N($K880),2)&gt;=0,"已开票",IFERROR("部分开票 "&amp;TEXT(N($N880)/N($K880),"0%"),"部分开票"))))</f>
        <v/>
      </c>
      <c r="P880" s="40" t="str">
        <f aca="false">IF($C880="","",ROUND($V880+MIN($W880,MAX(0,(SUMIF(收款键,$D880,收款金额)-SUMIFS(收款金额,收款键,$D880,收款关联,"&lt;&gt;"))-($X880-$W880))),2))</f>
        <v/>
      </c>
      <c r="Q880" s="41" t="str">
        <f aca="false">IF($C880="","",ROUND(N($K880)-N($P880),2))</f>
        <v/>
      </c>
      <c r="R880" s="29" t="str">
        <f aca="false">IF($C880="","",YEAR($C880))</f>
        <v/>
      </c>
      <c r="S880" s="24"/>
      <c r="T880" s="35" t="str">
        <f aca="false">IF($C880="","",IF($D880="","★没选客户项目",IF(COUNTIF(合同键,$D880)=0,"★《维保合同》里没这个项目",IF(N($K880)&lt;=0,"★应收金额要填",IF(ROUND(N($N880)-N($K880),2)&gt;0.001,"★开票金额大于应收",IF(AND($L880&lt;&gt;"",N($N880)&lt;=0),"★填了开票日期没填开票金额",IF(AND($I880&lt;&gt;"",$J880&lt;&gt;"",$J880&lt;$I880),"★计费期间起止反了","OK")))))))</f>
        <v/>
      </c>
      <c r="U880" s="29" t="str">
        <f aca="false">IF($L880="","",YEAR($L880))</f>
        <v/>
      </c>
      <c r="V880" s="40" t="str">
        <f aca="false">IF($C880="","",ROUND(SUMIF(收款关联,$B880,收款金额),2))</f>
        <v/>
      </c>
      <c r="W880" s="40" t="str">
        <f aca="false">IF($C880="","",MAX(0,ROUND(N($K880)-N($V880),2)))</f>
        <v/>
      </c>
      <c r="X880" s="40" t="str">
        <f aca="false">IF($C880="","",ROUND(SUMIFS(应收净额,应收键,$D880,应收行号,"&lt;="&amp;ROW()),2))</f>
        <v/>
      </c>
      <c r="Y880" s="29" t="str">
        <f aca="false">IF($C880="","",ROW())</f>
        <v/>
      </c>
    </row>
    <row r="881" customFormat="false" ht="15" hidden="false" customHeight="false" outlineLevel="0" collapsed="false">
      <c r="A881" s="29" t="str">
        <f aca="false">IF($C881="","",ROW()-4)</f>
        <v/>
      </c>
      <c r="B881" s="35" t="str">
        <f aca="false">IF($C881="","","YS"&amp;TEXT($C881,"yyyymm")&amp;"-"&amp;TEXT(ROW()-4,"0000"))</f>
        <v/>
      </c>
      <c r="C881" s="33"/>
      <c r="D881" s="24"/>
      <c r="E881" s="30" t="str">
        <f aca="false">IF($D881="","",IFERROR(INDEX(合同单位,MATCH($D881,合同键,0)),IFERROR(TRIM(LEFT($D881,FIND("｜",$D881)-1)),$D881)))</f>
        <v/>
      </c>
      <c r="F881" s="30" t="str">
        <f aca="false">IF($D881="","",IFERROR(INDEX(合同项目,MATCH($D881,合同键,0)),IFERROR(TRIM(MID($D881,FIND("｜",$D881)+1,99)),"")))</f>
        <v/>
      </c>
      <c r="G881" s="24"/>
      <c r="H881" s="35" t="str">
        <f aca="false">IF($G881="","",IFERROR(INDEX(费用款别,MATCH($G881,费用类别表,0)),"合同外款"))</f>
        <v/>
      </c>
      <c r="I881" s="33"/>
      <c r="J881" s="33"/>
      <c r="K881" s="39"/>
      <c r="L881" s="33"/>
      <c r="M881" s="25"/>
      <c r="N881" s="39"/>
      <c r="O881" s="35" t="str">
        <f aca="false">IF($C881="","",IF(N($N881)&lt;=0,"未开票",IF(ROUND(N($N881)-N($K881),2)&gt;=0,"已开票",IFERROR("部分开票 "&amp;TEXT(N($N881)/N($K881),"0%"),"部分开票"))))</f>
        <v/>
      </c>
      <c r="P881" s="40" t="str">
        <f aca="false">IF($C881="","",ROUND($V881+MIN($W881,MAX(0,(SUMIF(收款键,$D881,收款金额)-SUMIFS(收款金额,收款键,$D881,收款关联,"&lt;&gt;"))-($X881-$W881))),2))</f>
        <v/>
      </c>
      <c r="Q881" s="41" t="str">
        <f aca="false">IF($C881="","",ROUND(N($K881)-N($P881),2))</f>
        <v/>
      </c>
      <c r="R881" s="29" t="str">
        <f aca="false">IF($C881="","",YEAR($C881))</f>
        <v/>
      </c>
      <c r="S881" s="24"/>
      <c r="T881" s="35" t="str">
        <f aca="false">IF($C881="","",IF($D881="","★没选客户项目",IF(COUNTIF(合同键,$D881)=0,"★《维保合同》里没这个项目",IF(N($K881)&lt;=0,"★应收金额要填",IF(ROUND(N($N881)-N($K881),2)&gt;0.001,"★开票金额大于应收",IF(AND($L881&lt;&gt;"",N($N881)&lt;=0),"★填了开票日期没填开票金额",IF(AND($I881&lt;&gt;"",$J881&lt;&gt;"",$J881&lt;$I881),"★计费期间起止反了","OK")))))))</f>
        <v/>
      </c>
      <c r="U881" s="29" t="str">
        <f aca="false">IF($L881="","",YEAR($L881))</f>
        <v/>
      </c>
      <c r="V881" s="40" t="str">
        <f aca="false">IF($C881="","",ROUND(SUMIF(收款关联,$B881,收款金额),2))</f>
        <v/>
      </c>
      <c r="W881" s="40" t="str">
        <f aca="false">IF($C881="","",MAX(0,ROUND(N($K881)-N($V881),2)))</f>
        <v/>
      </c>
      <c r="X881" s="40" t="str">
        <f aca="false">IF($C881="","",ROUND(SUMIFS(应收净额,应收键,$D881,应收行号,"&lt;="&amp;ROW()),2))</f>
        <v/>
      </c>
      <c r="Y881" s="29" t="str">
        <f aca="false">IF($C881="","",ROW())</f>
        <v/>
      </c>
    </row>
    <row r="882" customFormat="false" ht="15" hidden="false" customHeight="false" outlineLevel="0" collapsed="false">
      <c r="A882" s="29" t="str">
        <f aca="false">IF($C882="","",ROW()-4)</f>
        <v/>
      </c>
      <c r="B882" s="35" t="str">
        <f aca="false">IF($C882="","","YS"&amp;TEXT($C882,"yyyymm")&amp;"-"&amp;TEXT(ROW()-4,"0000"))</f>
        <v/>
      </c>
      <c r="C882" s="33"/>
      <c r="D882" s="24"/>
      <c r="E882" s="30" t="str">
        <f aca="false">IF($D882="","",IFERROR(INDEX(合同单位,MATCH($D882,合同键,0)),IFERROR(TRIM(LEFT($D882,FIND("｜",$D882)-1)),$D882)))</f>
        <v/>
      </c>
      <c r="F882" s="30" t="str">
        <f aca="false">IF($D882="","",IFERROR(INDEX(合同项目,MATCH($D882,合同键,0)),IFERROR(TRIM(MID($D882,FIND("｜",$D882)+1,99)),"")))</f>
        <v/>
      </c>
      <c r="G882" s="24"/>
      <c r="H882" s="35" t="str">
        <f aca="false">IF($G882="","",IFERROR(INDEX(费用款别,MATCH($G882,费用类别表,0)),"合同外款"))</f>
        <v/>
      </c>
      <c r="I882" s="33"/>
      <c r="J882" s="33"/>
      <c r="K882" s="39"/>
      <c r="L882" s="33"/>
      <c r="M882" s="25"/>
      <c r="N882" s="39"/>
      <c r="O882" s="35" t="str">
        <f aca="false">IF($C882="","",IF(N($N882)&lt;=0,"未开票",IF(ROUND(N($N882)-N($K882),2)&gt;=0,"已开票",IFERROR("部分开票 "&amp;TEXT(N($N882)/N($K882),"0%"),"部分开票"))))</f>
        <v/>
      </c>
      <c r="P882" s="40" t="str">
        <f aca="false">IF($C882="","",ROUND($V882+MIN($W882,MAX(0,(SUMIF(收款键,$D882,收款金额)-SUMIFS(收款金额,收款键,$D882,收款关联,"&lt;&gt;"))-($X882-$W882))),2))</f>
        <v/>
      </c>
      <c r="Q882" s="41" t="str">
        <f aca="false">IF($C882="","",ROUND(N($K882)-N($P882),2))</f>
        <v/>
      </c>
      <c r="R882" s="29" t="str">
        <f aca="false">IF($C882="","",YEAR($C882))</f>
        <v/>
      </c>
      <c r="S882" s="24"/>
      <c r="T882" s="35" t="str">
        <f aca="false">IF($C882="","",IF($D882="","★没选客户项目",IF(COUNTIF(合同键,$D882)=0,"★《维保合同》里没这个项目",IF(N($K882)&lt;=0,"★应收金额要填",IF(ROUND(N($N882)-N($K882),2)&gt;0.001,"★开票金额大于应收",IF(AND($L882&lt;&gt;"",N($N882)&lt;=0),"★填了开票日期没填开票金额",IF(AND($I882&lt;&gt;"",$J882&lt;&gt;"",$J882&lt;$I882),"★计费期间起止反了","OK")))))))</f>
        <v/>
      </c>
      <c r="U882" s="29" t="str">
        <f aca="false">IF($L882="","",YEAR($L882))</f>
        <v/>
      </c>
      <c r="V882" s="40" t="str">
        <f aca="false">IF($C882="","",ROUND(SUMIF(收款关联,$B882,收款金额),2))</f>
        <v/>
      </c>
      <c r="W882" s="40" t="str">
        <f aca="false">IF($C882="","",MAX(0,ROUND(N($K882)-N($V882),2)))</f>
        <v/>
      </c>
      <c r="X882" s="40" t="str">
        <f aca="false">IF($C882="","",ROUND(SUMIFS(应收净额,应收键,$D882,应收行号,"&lt;="&amp;ROW()),2))</f>
        <v/>
      </c>
      <c r="Y882" s="29" t="str">
        <f aca="false">IF($C882="","",ROW())</f>
        <v/>
      </c>
    </row>
    <row r="883" customFormat="false" ht="15" hidden="false" customHeight="false" outlineLevel="0" collapsed="false">
      <c r="A883" s="29" t="str">
        <f aca="false">IF($C883="","",ROW()-4)</f>
        <v/>
      </c>
      <c r="B883" s="35" t="str">
        <f aca="false">IF($C883="","","YS"&amp;TEXT($C883,"yyyymm")&amp;"-"&amp;TEXT(ROW()-4,"0000"))</f>
        <v/>
      </c>
      <c r="C883" s="33"/>
      <c r="D883" s="24"/>
      <c r="E883" s="30" t="str">
        <f aca="false">IF($D883="","",IFERROR(INDEX(合同单位,MATCH($D883,合同键,0)),IFERROR(TRIM(LEFT($D883,FIND("｜",$D883)-1)),$D883)))</f>
        <v/>
      </c>
      <c r="F883" s="30" t="str">
        <f aca="false">IF($D883="","",IFERROR(INDEX(合同项目,MATCH($D883,合同键,0)),IFERROR(TRIM(MID($D883,FIND("｜",$D883)+1,99)),"")))</f>
        <v/>
      </c>
      <c r="G883" s="24"/>
      <c r="H883" s="35" t="str">
        <f aca="false">IF($G883="","",IFERROR(INDEX(费用款别,MATCH($G883,费用类别表,0)),"合同外款"))</f>
        <v/>
      </c>
      <c r="I883" s="33"/>
      <c r="J883" s="33"/>
      <c r="K883" s="39"/>
      <c r="L883" s="33"/>
      <c r="M883" s="25"/>
      <c r="N883" s="39"/>
      <c r="O883" s="35" t="str">
        <f aca="false">IF($C883="","",IF(N($N883)&lt;=0,"未开票",IF(ROUND(N($N883)-N($K883),2)&gt;=0,"已开票",IFERROR("部分开票 "&amp;TEXT(N($N883)/N($K883),"0%"),"部分开票"))))</f>
        <v/>
      </c>
      <c r="P883" s="40" t="str">
        <f aca="false">IF($C883="","",ROUND($V883+MIN($W883,MAX(0,(SUMIF(收款键,$D883,收款金额)-SUMIFS(收款金额,收款键,$D883,收款关联,"&lt;&gt;"))-($X883-$W883))),2))</f>
        <v/>
      </c>
      <c r="Q883" s="41" t="str">
        <f aca="false">IF($C883="","",ROUND(N($K883)-N($P883),2))</f>
        <v/>
      </c>
      <c r="R883" s="29" t="str">
        <f aca="false">IF($C883="","",YEAR($C883))</f>
        <v/>
      </c>
      <c r="S883" s="24"/>
      <c r="T883" s="35" t="str">
        <f aca="false">IF($C883="","",IF($D883="","★没选客户项目",IF(COUNTIF(合同键,$D883)=0,"★《维保合同》里没这个项目",IF(N($K883)&lt;=0,"★应收金额要填",IF(ROUND(N($N883)-N($K883),2)&gt;0.001,"★开票金额大于应收",IF(AND($L883&lt;&gt;"",N($N883)&lt;=0),"★填了开票日期没填开票金额",IF(AND($I883&lt;&gt;"",$J883&lt;&gt;"",$J883&lt;$I883),"★计费期间起止反了","OK")))))))</f>
        <v/>
      </c>
      <c r="U883" s="29" t="str">
        <f aca="false">IF($L883="","",YEAR($L883))</f>
        <v/>
      </c>
      <c r="V883" s="40" t="str">
        <f aca="false">IF($C883="","",ROUND(SUMIF(收款关联,$B883,收款金额),2))</f>
        <v/>
      </c>
      <c r="W883" s="40" t="str">
        <f aca="false">IF($C883="","",MAX(0,ROUND(N($K883)-N($V883),2)))</f>
        <v/>
      </c>
      <c r="X883" s="40" t="str">
        <f aca="false">IF($C883="","",ROUND(SUMIFS(应收净额,应收键,$D883,应收行号,"&lt;="&amp;ROW()),2))</f>
        <v/>
      </c>
      <c r="Y883" s="29" t="str">
        <f aca="false">IF($C883="","",ROW())</f>
        <v/>
      </c>
    </row>
    <row r="884" customFormat="false" ht="15" hidden="false" customHeight="false" outlineLevel="0" collapsed="false">
      <c r="A884" s="29" t="str">
        <f aca="false">IF($C884="","",ROW()-4)</f>
        <v/>
      </c>
      <c r="B884" s="35" t="str">
        <f aca="false">IF($C884="","","YS"&amp;TEXT($C884,"yyyymm")&amp;"-"&amp;TEXT(ROW()-4,"0000"))</f>
        <v/>
      </c>
      <c r="C884" s="33"/>
      <c r="D884" s="24"/>
      <c r="E884" s="30" t="str">
        <f aca="false">IF($D884="","",IFERROR(INDEX(合同单位,MATCH($D884,合同键,0)),IFERROR(TRIM(LEFT($D884,FIND("｜",$D884)-1)),$D884)))</f>
        <v/>
      </c>
      <c r="F884" s="30" t="str">
        <f aca="false">IF($D884="","",IFERROR(INDEX(合同项目,MATCH($D884,合同键,0)),IFERROR(TRIM(MID($D884,FIND("｜",$D884)+1,99)),"")))</f>
        <v/>
      </c>
      <c r="G884" s="24"/>
      <c r="H884" s="35" t="str">
        <f aca="false">IF($G884="","",IFERROR(INDEX(费用款别,MATCH($G884,费用类别表,0)),"合同外款"))</f>
        <v/>
      </c>
      <c r="I884" s="33"/>
      <c r="J884" s="33"/>
      <c r="K884" s="39"/>
      <c r="L884" s="33"/>
      <c r="M884" s="25"/>
      <c r="N884" s="39"/>
      <c r="O884" s="35" t="str">
        <f aca="false">IF($C884="","",IF(N($N884)&lt;=0,"未开票",IF(ROUND(N($N884)-N($K884),2)&gt;=0,"已开票",IFERROR("部分开票 "&amp;TEXT(N($N884)/N($K884),"0%"),"部分开票"))))</f>
        <v/>
      </c>
      <c r="P884" s="40" t="str">
        <f aca="false">IF($C884="","",ROUND($V884+MIN($W884,MAX(0,(SUMIF(收款键,$D884,收款金额)-SUMIFS(收款金额,收款键,$D884,收款关联,"&lt;&gt;"))-($X884-$W884))),2))</f>
        <v/>
      </c>
      <c r="Q884" s="41" t="str">
        <f aca="false">IF($C884="","",ROUND(N($K884)-N($P884),2))</f>
        <v/>
      </c>
      <c r="R884" s="29" t="str">
        <f aca="false">IF($C884="","",YEAR($C884))</f>
        <v/>
      </c>
      <c r="S884" s="24"/>
      <c r="T884" s="35" t="str">
        <f aca="false">IF($C884="","",IF($D884="","★没选客户项目",IF(COUNTIF(合同键,$D884)=0,"★《维保合同》里没这个项目",IF(N($K884)&lt;=0,"★应收金额要填",IF(ROUND(N($N884)-N($K884),2)&gt;0.001,"★开票金额大于应收",IF(AND($L884&lt;&gt;"",N($N884)&lt;=0),"★填了开票日期没填开票金额",IF(AND($I884&lt;&gt;"",$J884&lt;&gt;"",$J884&lt;$I884),"★计费期间起止反了","OK")))))))</f>
        <v/>
      </c>
      <c r="U884" s="29" t="str">
        <f aca="false">IF($L884="","",YEAR($L884))</f>
        <v/>
      </c>
      <c r="V884" s="40" t="str">
        <f aca="false">IF($C884="","",ROUND(SUMIF(收款关联,$B884,收款金额),2))</f>
        <v/>
      </c>
      <c r="W884" s="40" t="str">
        <f aca="false">IF($C884="","",MAX(0,ROUND(N($K884)-N($V884),2)))</f>
        <v/>
      </c>
      <c r="X884" s="40" t="str">
        <f aca="false">IF($C884="","",ROUND(SUMIFS(应收净额,应收键,$D884,应收行号,"&lt;="&amp;ROW()),2))</f>
        <v/>
      </c>
      <c r="Y884" s="29" t="str">
        <f aca="false">IF($C884="","",ROW())</f>
        <v/>
      </c>
    </row>
    <row r="885" customFormat="false" ht="15" hidden="false" customHeight="false" outlineLevel="0" collapsed="false">
      <c r="A885" s="29" t="str">
        <f aca="false">IF($C885="","",ROW()-4)</f>
        <v/>
      </c>
      <c r="B885" s="35" t="str">
        <f aca="false">IF($C885="","","YS"&amp;TEXT($C885,"yyyymm")&amp;"-"&amp;TEXT(ROW()-4,"0000"))</f>
        <v/>
      </c>
      <c r="C885" s="33"/>
      <c r="D885" s="24"/>
      <c r="E885" s="30" t="str">
        <f aca="false">IF($D885="","",IFERROR(INDEX(合同单位,MATCH($D885,合同键,0)),IFERROR(TRIM(LEFT($D885,FIND("｜",$D885)-1)),$D885)))</f>
        <v/>
      </c>
      <c r="F885" s="30" t="str">
        <f aca="false">IF($D885="","",IFERROR(INDEX(合同项目,MATCH($D885,合同键,0)),IFERROR(TRIM(MID($D885,FIND("｜",$D885)+1,99)),"")))</f>
        <v/>
      </c>
      <c r="G885" s="24"/>
      <c r="H885" s="35" t="str">
        <f aca="false">IF($G885="","",IFERROR(INDEX(费用款别,MATCH($G885,费用类别表,0)),"合同外款"))</f>
        <v/>
      </c>
      <c r="I885" s="33"/>
      <c r="J885" s="33"/>
      <c r="K885" s="39"/>
      <c r="L885" s="33"/>
      <c r="M885" s="25"/>
      <c r="N885" s="39"/>
      <c r="O885" s="35" t="str">
        <f aca="false">IF($C885="","",IF(N($N885)&lt;=0,"未开票",IF(ROUND(N($N885)-N($K885),2)&gt;=0,"已开票",IFERROR("部分开票 "&amp;TEXT(N($N885)/N($K885),"0%"),"部分开票"))))</f>
        <v/>
      </c>
      <c r="P885" s="40" t="str">
        <f aca="false">IF($C885="","",ROUND($V885+MIN($W885,MAX(0,(SUMIF(收款键,$D885,收款金额)-SUMIFS(收款金额,收款键,$D885,收款关联,"&lt;&gt;"))-($X885-$W885))),2))</f>
        <v/>
      </c>
      <c r="Q885" s="41" t="str">
        <f aca="false">IF($C885="","",ROUND(N($K885)-N($P885),2))</f>
        <v/>
      </c>
      <c r="R885" s="29" t="str">
        <f aca="false">IF($C885="","",YEAR($C885))</f>
        <v/>
      </c>
      <c r="S885" s="24"/>
      <c r="T885" s="35" t="str">
        <f aca="false">IF($C885="","",IF($D885="","★没选客户项目",IF(COUNTIF(合同键,$D885)=0,"★《维保合同》里没这个项目",IF(N($K885)&lt;=0,"★应收金额要填",IF(ROUND(N($N885)-N($K885),2)&gt;0.001,"★开票金额大于应收",IF(AND($L885&lt;&gt;"",N($N885)&lt;=0),"★填了开票日期没填开票金额",IF(AND($I885&lt;&gt;"",$J885&lt;&gt;"",$J885&lt;$I885),"★计费期间起止反了","OK")))))))</f>
        <v/>
      </c>
      <c r="U885" s="29" t="str">
        <f aca="false">IF($L885="","",YEAR($L885))</f>
        <v/>
      </c>
      <c r="V885" s="40" t="str">
        <f aca="false">IF($C885="","",ROUND(SUMIF(收款关联,$B885,收款金额),2))</f>
        <v/>
      </c>
      <c r="W885" s="40" t="str">
        <f aca="false">IF($C885="","",MAX(0,ROUND(N($K885)-N($V885),2)))</f>
        <v/>
      </c>
      <c r="X885" s="40" t="str">
        <f aca="false">IF($C885="","",ROUND(SUMIFS(应收净额,应收键,$D885,应收行号,"&lt;="&amp;ROW()),2))</f>
        <v/>
      </c>
      <c r="Y885" s="29" t="str">
        <f aca="false">IF($C885="","",ROW())</f>
        <v/>
      </c>
    </row>
    <row r="886" customFormat="false" ht="15" hidden="false" customHeight="false" outlineLevel="0" collapsed="false">
      <c r="A886" s="29" t="str">
        <f aca="false">IF($C886="","",ROW()-4)</f>
        <v/>
      </c>
      <c r="B886" s="35" t="str">
        <f aca="false">IF($C886="","","YS"&amp;TEXT($C886,"yyyymm")&amp;"-"&amp;TEXT(ROW()-4,"0000"))</f>
        <v/>
      </c>
      <c r="C886" s="33"/>
      <c r="D886" s="24"/>
      <c r="E886" s="30" t="str">
        <f aca="false">IF($D886="","",IFERROR(INDEX(合同单位,MATCH($D886,合同键,0)),IFERROR(TRIM(LEFT($D886,FIND("｜",$D886)-1)),$D886)))</f>
        <v/>
      </c>
      <c r="F886" s="30" t="str">
        <f aca="false">IF($D886="","",IFERROR(INDEX(合同项目,MATCH($D886,合同键,0)),IFERROR(TRIM(MID($D886,FIND("｜",$D886)+1,99)),"")))</f>
        <v/>
      </c>
      <c r="G886" s="24"/>
      <c r="H886" s="35" t="str">
        <f aca="false">IF($G886="","",IFERROR(INDEX(费用款别,MATCH($G886,费用类别表,0)),"合同外款"))</f>
        <v/>
      </c>
      <c r="I886" s="33"/>
      <c r="J886" s="33"/>
      <c r="K886" s="39"/>
      <c r="L886" s="33"/>
      <c r="M886" s="25"/>
      <c r="N886" s="39"/>
      <c r="O886" s="35" t="str">
        <f aca="false">IF($C886="","",IF(N($N886)&lt;=0,"未开票",IF(ROUND(N($N886)-N($K886),2)&gt;=0,"已开票",IFERROR("部分开票 "&amp;TEXT(N($N886)/N($K886),"0%"),"部分开票"))))</f>
        <v/>
      </c>
      <c r="P886" s="40" t="str">
        <f aca="false">IF($C886="","",ROUND($V886+MIN($W886,MAX(0,(SUMIF(收款键,$D886,收款金额)-SUMIFS(收款金额,收款键,$D886,收款关联,"&lt;&gt;"))-($X886-$W886))),2))</f>
        <v/>
      </c>
      <c r="Q886" s="41" t="str">
        <f aca="false">IF($C886="","",ROUND(N($K886)-N($P886),2))</f>
        <v/>
      </c>
      <c r="R886" s="29" t="str">
        <f aca="false">IF($C886="","",YEAR($C886))</f>
        <v/>
      </c>
      <c r="S886" s="24"/>
      <c r="T886" s="35" t="str">
        <f aca="false">IF($C886="","",IF($D886="","★没选客户项目",IF(COUNTIF(合同键,$D886)=0,"★《维保合同》里没这个项目",IF(N($K886)&lt;=0,"★应收金额要填",IF(ROUND(N($N886)-N($K886),2)&gt;0.001,"★开票金额大于应收",IF(AND($L886&lt;&gt;"",N($N886)&lt;=0),"★填了开票日期没填开票金额",IF(AND($I886&lt;&gt;"",$J886&lt;&gt;"",$J886&lt;$I886),"★计费期间起止反了","OK")))))))</f>
        <v/>
      </c>
      <c r="U886" s="29" t="str">
        <f aca="false">IF($L886="","",YEAR($L886))</f>
        <v/>
      </c>
      <c r="V886" s="40" t="str">
        <f aca="false">IF($C886="","",ROUND(SUMIF(收款关联,$B886,收款金额),2))</f>
        <v/>
      </c>
      <c r="W886" s="40" t="str">
        <f aca="false">IF($C886="","",MAX(0,ROUND(N($K886)-N($V886),2)))</f>
        <v/>
      </c>
      <c r="X886" s="40" t="str">
        <f aca="false">IF($C886="","",ROUND(SUMIFS(应收净额,应收键,$D886,应收行号,"&lt;="&amp;ROW()),2))</f>
        <v/>
      </c>
      <c r="Y886" s="29" t="str">
        <f aca="false">IF($C886="","",ROW())</f>
        <v/>
      </c>
    </row>
    <row r="887" customFormat="false" ht="15" hidden="false" customHeight="false" outlineLevel="0" collapsed="false">
      <c r="A887" s="29" t="str">
        <f aca="false">IF($C887="","",ROW()-4)</f>
        <v/>
      </c>
      <c r="B887" s="35" t="str">
        <f aca="false">IF($C887="","","YS"&amp;TEXT($C887,"yyyymm")&amp;"-"&amp;TEXT(ROW()-4,"0000"))</f>
        <v/>
      </c>
      <c r="C887" s="33"/>
      <c r="D887" s="24"/>
      <c r="E887" s="30" t="str">
        <f aca="false">IF($D887="","",IFERROR(INDEX(合同单位,MATCH($D887,合同键,0)),IFERROR(TRIM(LEFT($D887,FIND("｜",$D887)-1)),$D887)))</f>
        <v/>
      </c>
      <c r="F887" s="30" t="str">
        <f aca="false">IF($D887="","",IFERROR(INDEX(合同项目,MATCH($D887,合同键,0)),IFERROR(TRIM(MID($D887,FIND("｜",$D887)+1,99)),"")))</f>
        <v/>
      </c>
      <c r="G887" s="24"/>
      <c r="H887" s="35" t="str">
        <f aca="false">IF($G887="","",IFERROR(INDEX(费用款别,MATCH($G887,费用类别表,0)),"合同外款"))</f>
        <v/>
      </c>
      <c r="I887" s="33"/>
      <c r="J887" s="33"/>
      <c r="K887" s="39"/>
      <c r="L887" s="33"/>
      <c r="M887" s="25"/>
      <c r="N887" s="39"/>
      <c r="O887" s="35" t="str">
        <f aca="false">IF($C887="","",IF(N($N887)&lt;=0,"未开票",IF(ROUND(N($N887)-N($K887),2)&gt;=0,"已开票",IFERROR("部分开票 "&amp;TEXT(N($N887)/N($K887),"0%"),"部分开票"))))</f>
        <v/>
      </c>
      <c r="P887" s="40" t="str">
        <f aca="false">IF($C887="","",ROUND($V887+MIN($W887,MAX(0,(SUMIF(收款键,$D887,收款金额)-SUMIFS(收款金额,收款键,$D887,收款关联,"&lt;&gt;"))-($X887-$W887))),2))</f>
        <v/>
      </c>
      <c r="Q887" s="41" t="str">
        <f aca="false">IF($C887="","",ROUND(N($K887)-N($P887),2))</f>
        <v/>
      </c>
      <c r="R887" s="29" t="str">
        <f aca="false">IF($C887="","",YEAR($C887))</f>
        <v/>
      </c>
      <c r="S887" s="24"/>
      <c r="T887" s="35" t="str">
        <f aca="false">IF($C887="","",IF($D887="","★没选客户项目",IF(COUNTIF(合同键,$D887)=0,"★《维保合同》里没这个项目",IF(N($K887)&lt;=0,"★应收金额要填",IF(ROUND(N($N887)-N($K887),2)&gt;0.001,"★开票金额大于应收",IF(AND($L887&lt;&gt;"",N($N887)&lt;=0),"★填了开票日期没填开票金额",IF(AND($I887&lt;&gt;"",$J887&lt;&gt;"",$J887&lt;$I887),"★计费期间起止反了","OK")))))))</f>
        <v/>
      </c>
      <c r="U887" s="29" t="str">
        <f aca="false">IF($L887="","",YEAR($L887))</f>
        <v/>
      </c>
      <c r="V887" s="40" t="str">
        <f aca="false">IF($C887="","",ROUND(SUMIF(收款关联,$B887,收款金额),2))</f>
        <v/>
      </c>
      <c r="W887" s="40" t="str">
        <f aca="false">IF($C887="","",MAX(0,ROUND(N($K887)-N($V887),2)))</f>
        <v/>
      </c>
      <c r="X887" s="40" t="str">
        <f aca="false">IF($C887="","",ROUND(SUMIFS(应收净额,应收键,$D887,应收行号,"&lt;="&amp;ROW()),2))</f>
        <v/>
      </c>
      <c r="Y887" s="29" t="str">
        <f aca="false">IF($C887="","",ROW())</f>
        <v/>
      </c>
    </row>
    <row r="888" customFormat="false" ht="15" hidden="false" customHeight="false" outlineLevel="0" collapsed="false">
      <c r="A888" s="29" t="str">
        <f aca="false">IF($C888="","",ROW()-4)</f>
        <v/>
      </c>
      <c r="B888" s="35" t="str">
        <f aca="false">IF($C888="","","YS"&amp;TEXT($C888,"yyyymm")&amp;"-"&amp;TEXT(ROW()-4,"0000"))</f>
        <v/>
      </c>
      <c r="C888" s="33"/>
      <c r="D888" s="24"/>
      <c r="E888" s="30" t="str">
        <f aca="false">IF($D888="","",IFERROR(INDEX(合同单位,MATCH($D888,合同键,0)),IFERROR(TRIM(LEFT($D888,FIND("｜",$D888)-1)),$D888)))</f>
        <v/>
      </c>
      <c r="F888" s="30" t="str">
        <f aca="false">IF($D888="","",IFERROR(INDEX(合同项目,MATCH($D888,合同键,0)),IFERROR(TRIM(MID($D888,FIND("｜",$D888)+1,99)),"")))</f>
        <v/>
      </c>
      <c r="G888" s="24"/>
      <c r="H888" s="35" t="str">
        <f aca="false">IF($G888="","",IFERROR(INDEX(费用款别,MATCH($G888,费用类别表,0)),"合同外款"))</f>
        <v/>
      </c>
      <c r="I888" s="33"/>
      <c r="J888" s="33"/>
      <c r="K888" s="39"/>
      <c r="L888" s="33"/>
      <c r="M888" s="25"/>
      <c r="N888" s="39"/>
      <c r="O888" s="35" t="str">
        <f aca="false">IF($C888="","",IF(N($N888)&lt;=0,"未开票",IF(ROUND(N($N888)-N($K888),2)&gt;=0,"已开票",IFERROR("部分开票 "&amp;TEXT(N($N888)/N($K888),"0%"),"部分开票"))))</f>
        <v/>
      </c>
      <c r="P888" s="40" t="str">
        <f aca="false">IF($C888="","",ROUND($V888+MIN($W888,MAX(0,(SUMIF(收款键,$D888,收款金额)-SUMIFS(收款金额,收款键,$D888,收款关联,"&lt;&gt;"))-($X888-$W888))),2))</f>
        <v/>
      </c>
      <c r="Q888" s="41" t="str">
        <f aca="false">IF($C888="","",ROUND(N($K888)-N($P888),2))</f>
        <v/>
      </c>
      <c r="R888" s="29" t="str">
        <f aca="false">IF($C888="","",YEAR($C888))</f>
        <v/>
      </c>
      <c r="S888" s="24"/>
      <c r="T888" s="35" t="str">
        <f aca="false">IF($C888="","",IF($D888="","★没选客户项目",IF(COUNTIF(合同键,$D888)=0,"★《维保合同》里没这个项目",IF(N($K888)&lt;=0,"★应收金额要填",IF(ROUND(N($N888)-N($K888),2)&gt;0.001,"★开票金额大于应收",IF(AND($L888&lt;&gt;"",N($N888)&lt;=0),"★填了开票日期没填开票金额",IF(AND($I888&lt;&gt;"",$J888&lt;&gt;"",$J888&lt;$I888),"★计费期间起止反了","OK")))))))</f>
        <v/>
      </c>
      <c r="U888" s="29" t="str">
        <f aca="false">IF($L888="","",YEAR($L888))</f>
        <v/>
      </c>
      <c r="V888" s="40" t="str">
        <f aca="false">IF($C888="","",ROUND(SUMIF(收款关联,$B888,收款金额),2))</f>
        <v/>
      </c>
      <c r="W888" s="40" t="str">
        <f aca="false">IF($C888="","",MAX(0,ROUND(N($K888)-N($V888),2)))</f>
        <v/>
      </c>
      <c r="X888" s="40" t="str">
        <f aca="false">IF($C888="","",ROUND(SUMIFS(应收净额,应收键,$D888,应收行号,"&lt;="&amp;ROW()),2))</f>
        <v/>
      </c>
      <c r="Y888" s="29" t="str">
        <f aca="false">IF($C888="","",ROW())</f>
        <v/>
      </c>
    </row>
    <row r="889" customFormat="false" ht="15" hidden="false" customHeight="false" outlineLevel="0" collapsed="false">
      <c r="A889" s="29" t="str">
        <f aca="false">IF($C889="","",ROW()-4)</f>
        <v/>
      </c>
      <c r="B889" s="35" t="str">
        <f aca="false">IF($C889="","","YS"&amp;TEXT($C889,"yyyymm")&amp;"-"&amp;TEXT(ROW()-4,"0000"))</f>
        <v/>
      </c>
      <c r="C889" s="33"/>
      <c r="D889" s="24"/>
      <c r="E889" s="30" t="str">
        <f aca="false">IF($D889="","",IFERROR(INDEX(合同单位,MATCH($D889,合同键,0)),IFERROR(TRIM(LEFT($D889,FIND("｜",$D889)-1)),$D889)))</f>
        <v/>
      </c>
      <c r="F889" s="30" t="str">
        <f aca="false">IF($D889="","",IFERROR(INDEX(合同项目,MATCH($D889,合同键,0)),IFERROR(TRIM(MID($D889,FIND("｜",$D889)+1,99)),"")))</f>
        <v/>
      </c>
      <c r="G889" s="24"/>
      <c r="H889" s="35" t="str">
        <f aca="false">IF($G889="","",IFERROR(INDEX(费用款别,MATCH($G889,费用类别表,0)),"合同外款"))</f>
        <v/>
      </c>
      <c r="I889" s="33"/>
      <c r="J889" s="33"/>
      <c r="K889" s="39"/>
      <c r="L889" s="33"/>
      <c r="M889" s="25"/>
      <c r="N889" s="39"/>
      <c r="O889" s="35" t="str">
        <f aca="false">IF($C889="","",IF(N($N889)&lt;=0,"未开票",IF(ROUND(N($N889)-N($K889),2)&gt;=0,"已开票",IFERROR("部分开票 "&amp;TEXT(N($N889)/N($K889),"0%"),"部分开票"))))</f>
        <v/>
      </c>
      <c r="P889" s="40" t="str">
        <f aca="false">IF($C889="","",ROUND($V889+MIN($W889,MAX(0,(SUMIF(收款键,$D889,收款金额)-SUMIFS(收款金额,收款键,$D889,收款关联,"&lt;&gt;"))-($X889-$W889))),2))</f>
        <v/>
      </c>
      <c r="Q889" s="41" t="str">
        <f aca="false">IF($C889="","",ROUND(N($K889)-N($P889),2))</f>
        <v/>
      </c>
      <c r="R889" s="29" t="str">
        <f aca="false">IF($C889="","",YEAR($C889))</f>
        <v/>
      </c>
      <c r="S889" s="24"/>
      <c r="T889" s="35" t="str">
        <f aca="false">IF($C889="","",IF($D889="","★没选客户项目",IF(COUNTIF(合同键,$D889)=0,"★《维保合同》里没这个项目",IF(N($K889)&lt;=0,"★应收金额要填",IF(ROUND(N($N889)-N($K889),2)&gt;0.001,"★开票金额大于应收",IF(AND($L889&lt;&gt;"",N($N889)&lt;=0),"★填了开票日期没填开票金额",IF(AND($I889&lt;&gt;"",$J889&lt;&gt;"",$J889&lt;$I889),"★计费期间起止反了","OK")))))))</f>
        <v/>
      </c>
      <c r="U889" s="29" t="str">
        <f aca="false">IF($L889="","",YEAR($L889))</f>
        <v/>
      </c>
      <c r="V889" s="40" t="str">
        <f aca="false">IF($C889="","",ROUND(SUMIF(收款关联,$B889,收款金额),2))</f>
        <v/>
      </c>
      <c r="W889" s="40" t="str">
        <f aca="false">IF($C889="","",MAX(0,ROUND(N($K889)-N($V889),2)))</f>
        <v/>
      </c>
      <c r="X889" s="40" t="str">
        <f aca="false">IF($C889="","",ROUND(SUMIFS(应收净额,应收键,$D889,应收行号,"&lt;="&amp;ROW()),2))</f>
        <v/>
      </c>
      <c r="Y889" s="29" t="str">
        <f aca="false">IF($C889="","",ROW())</f>
        <v/>
      </c>
    </row>
    <row r="890" customFormat="false" ht="15" hidden="false" customHeight="false" outlineLevel="0" collapsed="false">
      <c r="A890" s="29" t="str">
        <f aca="false">IF($C890="","",ROW()-4)</f>
        <v/>
      </c>
      <c r="B890" s="35" t="str">
        <f aca="false">IF($C890="","","YS"&amp;TEXT($C890,"yyyymm")&amp;"-"&amp;TEXT(ROW()-4,"0000"))</f>
        <v/>
      </c>
      <c r="C890" s="33"/>
      <c r="D890" s="24"/>
      <c r="E890" s="30" t="str">
        <f aca="false">IF($D890="","",IFERROR(INDEX(合同单位,MATCH($D890,合同键,0)),IFERROR(TRIM(LEFT($D890,FIND("｜",$D890)-1)),$D890)))</f>
        <v/>
      </c>
      <c r="F890" s="30" t="str">
        <f aca="false">IF($D890="","",IFERROR(INDEX(合同项目,MATCH($D890,合同键,0)),IFERROR(TRIM(MID($D890,FIND("｜",$D890)+1,99)),"")))</f>
        <v/>
      </c>
      <c r="G890" s="24"/>
      <c r="H890" s="35" t="str">
        <f aca="false">IF($G890="","",IFERROR(INDEX(费用款别,MATCH($G890,费用类别表,0)),"合同外款"))</f>
        <v/>
      </c>
      <c r="I890" s="33"/>
      <c r="J890" s="33"/>
      <c r="K890" s="39"/>
      <c r="L890" s="33"/>
      <c r="M890" s="25"/>
      <c r="N890" s="39"/>
      <c r="O890" s="35" t="str">
        <f aca="false">IF($C890="","",IF(N($N890)&lt;=0,"未开票",IF(ROUND(N($N890)-N($K890),2)&gt;=0,"已开票",IFERROR("部分开票 "&amp;TEXT(N($N890)/N($K890),"0%"),"部分开票"))))</f>
        <v/>
      </c>
      <c r="P890" s="40" t="str">
        <f aca="false">IF($C890="","",ROUND($V890+MIN($W890,MAX(0,(SUMIF(收款键,$D890,收款金额)-SUMIFS(收款金额,收款键,$D890,收款关联,"&lt;&gt;"))-($X890-$W890))),2))</f>
        <v/>
      </c>
      <c r="Q890" s="41" t="str">
        <f aca="false">IF($C890="","",ROUND(N($K890)-N($P890),2))</f>
        <v/>
      </c>
      <c r="R890" s="29" t="str">
        <f aca="false">IF($C890="","",YEAR($C890))</f>
        <v/>
      </c>
      <c r="S890" s="24"/>
      <c r="T890" s="35" t="str">
        <f aca="false">IF($C890="","",IF($D890="","★没选客户项目",IF(COUNTIF(合同键,$D890)=0,"★《维保合同》里没这个项目",IF(N($K890)&lt;=0,"★应收金额要填",IF(ROUND(N($N890)-N($K890),2)&gt;0.001,"★开票金额大于应收",IF(AND($L890&lt;&gt;"",N($N890)&lt;=0),"★填了开票日期没填开票金额",IF(AND($I890&lt;&gt;"",$J890&lt;&gt;"",$J890&lt;$I890),"★计费期间起止反了","OK")))))))</f>
        <v/>
      </c>
      <c r="U890" s="29" t="str">
        <f aca="false">IF($L890="","",YEAR($L890))</f>
        <v/>
      </c>
      <c r="V890" s="40" t="str">
        <f aca="false">IF($C890="","",ROUND(SUMIF(收款关联,$B890,收款金额),2))</f>
        <v/>
      </c>
      <c r="W890" s="40" t="str">
        <f aca="false">IF($C890="","",MAX(0,ROUND(N($K890)-N($V890),2)))</f>
        <v/>
      </c>
      <c r="X890" s="40" t="str">
        <f aca="false">IF($C890="","",ROUND(SUMIFS(应收净额,应收键,$D890,应收行号,"&lt;="&amp;ROW()),2))</f>
        <v/>
      </c>
      <c r="Y890" s="29" t="str">
        <f aca="false">IF($C890="","",ROW())</f>
        <v/>
      </c>
    </row>
    <row r="891" customFormat="false" ht="15" hidden="false" customHeight="false" outlineLevel="0" collapsed="false">
      <c r="A891" s="29" t="str">
        <f aca="false">IF($C891="","",ROW()-4)</f>
        <v/>
      </c>
      <c r="B891" s="35" t="str">
        <f aca="false">IF($C891="","","YS"&amp;TEXT($C891,"yyyymm")&amp;"-"&amp;TEXT(ROW()-4,"0000"))</f>
        <v/>
      </c>
      <c r="C891" s="33"/>
      <c r="D891" s="24"/>
      <c r="E891" s="30" t="str">
        <f aca="false">IF($D891="","",IFERROR(INDEX(合同单位,MATCH($D891,合同键,0)),IFERROR(TRIM(LEFT($D891,FIND("｜",$D891)-1)),$D891)))</f>
        <v/>
      </c>
      <c r="F891" s="30" t="str">
        <f aca="false">IF($D891="","",IFERROR(INDEX(合同项目,MATCH($D891,合同键,0)),IFERROR(TRIM(MID($D891,FIND("｜",$D891)+1,99)),"")))</f>
        <v/>
      </c>
      <c r="G891" s="24"/>
      <c r="H891" s="35" t="str">
        <f aca="false">IF($G891="","",IFERROR(INDEX(费用款别,MATCH($G891,费用类别表,0)),"合同外款"))</f>
        <v/>
      </c>
      <c r="I891" s="33"/>
      <c r="J891" s="33"/>
      <c r="K891" s="39"/>
      <c r="L891" s="33"/>
      <c r="M891" s="25"/>
      <c r="N891" s="39"/>
      <c r="O891" s="35" t="str">
        <f aca="false">IF($C891="","",IF(N($N891)&lt;=0,"未开票",IF(ROUND(N($N891)-N($K891),2)&gt;=0,"已开票",IFERROR("部分开票 "&amp;TEXT(N($N891)/N($K891),"0%"),"部分开票"))))</f>
        <v/>
      </c>
      <c r="P891" s="40" t="str">
        <f aca="false">IF($C891="","",ROUND($V891+MIN($W891,MAX(0,(SUMIF(收款键,$D891,收款金额)-SUMIFS(收款金额,收款键,$D891,收款关联,"&lt;&gt;"))-($X891-$W891))),2))</f>
        <v/>
      </c>
      <c r="Q891" s="41" t="str">
        <f aca="false">IF($C891="","",ROUND(N($K891)-N($P891),2))</f>
        <v/>
      </c>
      <c r="R891" s="29" t="str">
        <f aca="false">IF($C891="","",YEAR($C891))</f>
        <v/>
      </c>
      <c r="S891" s="24"/>
      <c r="T891" s="35" t="str">
        <f aca="false">IF($C891="","",IF($D891="","★没选客户项目",IF(COUNTIF(合同键,$D891)=0,"★《维保合同》里没这个项目",IF(N($K891)&lt;=0,"★应收金额要填",IF(ROUND(N($N891)-N($K891),2)&gt;0.001,"★开票金额大于应收",IF(AND($L891&lt;&gt;"",N($N891)&lt;=0),"★填了开票日期没填开票金额",IF(AND($I891&lt;&gt;"",$J891&lt;&gt;"",$J891&lt;$I891),"★计费期间起止反了","OK")))))))</f>
        <v/>
      </c>
      <c r="U891" s="29" t="str">
        <f aca="false">IF($L891="","",YEAR($L891))</f>
        <v/>
      </c>
      <c r="V891" s="40" t="str">
        <f aca="false">IF($C891="","",ROUND(SUMIF(收款关联,$B891,收款金额),2))</f>
        <v/>
      </c>
      <c r="W891" s="40" t="str">
        <f aca="false">IF($C891="","",MAX(0,ROUND(N($K891)-N($V891),2)))</f>
        <v/>
      </c>
      <c r="X891" s="40" t="str">
        <f aca="false">IF($C891="","",ROUND(SUMIFS(应收净额,应收键,$D891,应收行号,"&lt;="&amp;ROW()),2))</f>
        <v/>
      </c>
      <c r="Y891" s="29" t="str">
        <f aca="false">IF($C891="","",ROW())</f>
        <v/>
      </c>
    </row>
    <row r="892" customFormat="false" ht="15" hidden="false" customHeight="false" outlineLevel="0" collapsed="false">
      <c r="A892" s="29" t="str">
        <f aca="false">IF($C892="","",ROW()-4)</f>
        <v/>
      </c>
      <c r="B892" s="35" t="str">
        <f aca="false">IF($C892="","","YS"&amp;TEXT($C892,"yyyymm")&amp;"-"&amp;TEXT(ROW()-4,"0000"))</f>
        <v/>
      </c>
      <c r="C892" s="33"/>
      <c r="D892" s="24"/>
      <c r="E892" s="30" t="str">
        <f aca="false">IF($D892="","",IFERROR(INDEX(合同单位,MATCH($D892,合同键,0)),IFERROR(TRIM(LEFT($D892,FIND("｜",$D892)-1)),$D892)))</f>
        <v/>
      </c>
      <c r="F892" s="30" t="str">
        <f aca="false">IF($D892="","",IFERROR(INDEX(合同项目,MATCH($D892,合同键,0)),IFERROR(TRIM(MID($D892,FIND("｜",$D892)+1,99)),"")))</f>
        <v/>
      </c>
      <c r="G892" s="24"/>
      <c r="H892" s="35" t="str">
        <f aca="false">IF($G892="","",IFERROR(INDEX(费用款别,MATCH($G892,费用类别表,0)),"合同外款"))</f>
        <v/>
      </c>
      <c r="I892" s="33"/>
      <c r="J892" s="33"/>
      <c r="K892" s="39"/>
      <c r="L892" s="33"/>
      <c r="M892" s="25"/>
      <c r="N892" s="39"/>
      <c r="O892" s="35" t="str">
        <f aca="false">IF($C892="","",IF(N($N892)&lt;=0,"未开票",IF(ROUND(N($N892)-N($K892),2)&gt;=0,"已开票",IFERROR("部分开票 "&amp;TEXT(N($N892)/N($K892),"0%"),"部分开票"))))</f>
        <v/>
      </c>
      <c r="P892" s="40" t="str">
        <f aca="false">IF($C892="","",ROUND($V892+MIN($W892,MAX(0,(SUMIF(收款键,$D892,收款金额)-SUMIFS(收款金额,收款键,$D892,收款关联,"&lt;&gt;"))-($X892-$W892))),2))</f>
        <v/>
      </c>
      <c r="Q892" s="41" t="str">
        <f aca="false">IF($C892="","",ROUND(N($K892)-N($P892),2))</f>
        <v/>
      </c>
      <c r="R892" s="29" t="str">
        <f aca="false">IF($C892="","",YEAR($C892))</f>
        <v/>
      </c>
      <c r="S892" s="24"/>
      <c r="T892" s="35" t="str">
        <f aca="false">IF($C892="","",IF($D892="","★没选客户项目",IF(COUNTIF(合同键,$D892)=0,"★《维保合同》里没这个项目",IF(N($K892)&lt;=0,"★应收金额要填",IF(ROUND(N($N892)-N($K892),2)&gt;0.001,"★开票金额大于应收",IF(AND($L892&lt;&gt;"",N($N892)&lt;=0),"★填了开票日期没填开票金额",IF(AND($I892&lt;&gt;"",$J892&lt;&gt;"",$J892&lt;$I892),"★计费期间起止反了","OK")))))))</f>
        <v/>
      </c>
      <c r="U892" s="29" t="str">
        <f aca="false">IF($L892="","",YEAR($L892))</f>
        <v/>
      </c>
      <c r="V892" s="40" t="str">
        <f aca="false">IF($C892="","",ROUND(SUMIF(收款关联,$B892,收款金额),2))</f>
        <v/>
      </c>
      <c r="W892" s="40" t="str">
        <f aca="false">IF($C892="","",MAX(0,ROUND(N($K892)-N($V892),2)))</f>
        <v/>
      </c>
      <c r="X892" s="40" t="str">
        <f aca="false">IF($C892="","",ROUND(SUMIFS(应收净额,应收键,$D892,应收行号,"&lt;="&amp;ROW()),2))</f>
        <v/>
      </c>
      <c r="Y892" s="29" t="str">
        <f aca="false">IF($C892="","",ROW())</f>
        <v/>
      </c>
    </row>
    <row r="893" customFormat="false" ht="15" hidden="false" customHeight="false" outlineLevel="0" collapsed="false">
      <c r="A893" s="29" t="str">
        <f aca="false">IF($C893="","",ROW()-4)</f>
        <v/>
      </c>
      <c r="B893" s="35" t="str">
        <f aca="false">IF($C893="","","YS"&amp;TEXT($C893,"yyyymm")&amp;"-"&amp;TEXT(ROW()-4,"0000"))</f>
        <v/>
      </c>
      <c r="C893" s="33"/>
      <c r="D893" s="24"/>
      <c r="E893" s="30" t="str">
        <f aca="false">IF($D893="","",IFERROR(INDEX(合同单位,MATCH($D893,合同键,0)),IFERROR(TRIM(LEFT($D893,FIND("｜",$D893)-1)),$D893)))</f>
        <v/>
      </c>
      <c r="F893" s="30" t="str">
        <f aca="false">IF($D893="","",IFERROR(INDEX(合同项目,MATCH($D893,合同键,0)),IFERROR(TRIM(MID($D893,FIND("｜",$D893)+1,99)),"")))</f>
        <v/>
      </c>
      <c r="G893" s="24"/>
      <c r="H893" s="35" t="str">
        <f aca="false">IF($G893="","",IFERROR(INDEX(费用款别,MATCH($G893,费用类别表,0)),"合同外款"))</f>
        <v/>
      </c>
      <c r="I893" s="33"/>
      <c r="J893" s="33"/>
      <c r="K893" s="39"/>
      <c r="L893" s="33"/>
      <c r="M893" s="25"/>
      <c r="N893" s="39"/>
      <c r="O893" s="35" t="str">
        <f aca="false">IF($C893="","",IF(N($N893)&lt;=0,"未开票",IF(ROUND(N($N893)-N($K893),2)&gt;=0,"已开票",IFERROR("部分开票 "&amp;TEXT(N($N893)/N($K893),"0%"),"部分开票"))))</f>
        <v/>
      </c>
      <c r="P893" s="40" t="str">
        <f aca="false">IF($C893="","",ROUND($V893+MIN($W893,MAX(0,(SUMIF(收款键,$D893,收款金额)-SUMIFS(收款金额,收款键,$D893,收款关联,"&lt;&gt;"))-($X893-$W893))),2))</f>
        <v/>
      </c>
      <c r="Q893" s="41" t="str">
        <f aca="false">IF($C893="","",ROUND(N($K893)-N($P893),2))</f>
        <v/>
      </c>
      <c r="R893" s="29" t="str">
        <f aca="false">IF($C893="","",YEAR($C893))</f>
        <v/>
      </c>
      <c r="S893" s="24"/>
      <c r="T893" s="35" t="str">
        <f aca="false">IF($C893="","",IF($D893="","★没选客户项目",IF(COUNTIF(合同键,$D893)=0,"★《维保合同》里没这个项目",IF(N($K893)&lt;=0,"★应收金额要填",IF(ROUND(N($N893)-N($K893),2)&gt;0.001,"★开票金额大于应收",IF(AND($L893&lt;&gt;"",N($N893)&lt;=0),"★填了开票日期没填开票金额",IF(AND($I893&lt;&gt;"",$J893&lt;&gt;"",$J893&lt;$I893),"★计费期间起止反了","OK")))))))</f>
        <v/>
      </c>
      <c r="U893" s="29" t="str">
        <f aca="false">IF($L893="","",YEAR($L893))</f>
        <v/>
      </c>
      <c r="V893" s="40" t="str">
        <f aca="false">IF($C893="","",ROUND(SUMIF(收款关联,$B893,收款金额),2))</f>
        <v/>
      </c>
      <c r="W893" s="40" t="str">
        <f aca="false">IF($C893="","",MAX(0,ROUND(N($K893)-N($V893),2)))</f>
        <v/>
      </c>
      <c r="X893" s="40" t="str">
        <f aca="false">IF($C893="","",ROUND(SUMIFS(应收净额,应收键,$D893,应收行号,"&lt;="&amp;ROW()),2))</f>
        <v/>
      </c>
      <c r="Y893" s="29" t="str">
        <f aca="false">IF($C893="","",ROW())</f>
        <v/>
      </c>
    </row>
    <row r="894" customFormat="false" ht="15" hidden="false" customHeight="false" outlineLevel="0" collapsed="false">
      <c r="A894" s="29" t="str">
        <f aca="false">IF($C894="","",ROW()-4)</f>
        <v/>
      </c>
      <c r="B894" s="35" t="str">
        <f aca="false">IF($C894="","","YS"&amp;TEXT($C894,"yyyymm")&amp;"-"&amp;TEXT(ROW()-4,"0000"))</f>
        <v/>
      </c>
      <c r="C894" s="33"/>
      <c r="D894" s="24"/>
      <c r="E894" s="30" t="str">
        <f aca="false">IF($D894="","",IFERROR(INDEX(合同单位,MATCH($D894,合同键,0)),IFERROR(TRIM(LEFT($D894,FIND("｜",$D894)-1)),$D894)))</f>
        <v/>
      </c>
      <c r="F894" s="30" t="str">
        <f aca="false">IF($D894="","",IFERROR(INDEX(合同项目,MATCH($D894,合同键,0)),IFERROR(TRIM(MID($D894,FIND("｜",$D894)+1,99)),"")))</f>
        <v/>
      </c>
      <c r="G894" s="24"/>
      <c r="H894" s="35" t="str">
        <f aca="false">IF($G894="","",IFERROR(INDEX(费用款别,MATCH($G894,费用类别表,0)),"合同外款"))</f>
        <v/>
      </c>
      <c r="I894" s="33"/>
      <c r="J894" s="33"/>
      <c r="K894" s="39"/>
      <c r="L894" s="33"/>
      <c r="M894" s="25"/>
      <c r="N894" s="39"/>
      <c r="O894" s="35" t="str">
        <f aca="false">IF($C894="","",IF(N($N894)&lt;=0,"未开票",IF(ROUND(N($N894)-N($K894),2)&gt;=0,"已开票",IFERROR("部分开票 "&amp;TEXT(N($N894)/N($K894),"0%"),"部分开票"))))</f>
        <v/>
      </c>
      <c r="P894" s="40" t="str">
        <f aca="false">IF($C894="","",ROUND($V894+MIN($W894,MAX(0,(SUMIF(收款键,$D894,收款金额)-SUMIFS(收款金额,收款键,$D894,收款关联,"&lt;&gt;"))-($X894-$W894))),2))</f>
        <v/>
      </c>
      <c r="Q894" s="41" t="str">
        <f aca="false">IF($C894="","",ROUND(N($K894)-N($P894),2))</f>
        <v/>
      </c>
      <c r="R894" s="29" t="str">
        <f aca="false">IF($C894="","",YEAR($C894))</f>
        <v/>
      </c>
      <c r="S894" s="24"/>
      <c r="T894" s="35" t="str">
        <f aca="false">IF($C894="","",IF($D894="","★没选客户项目",IF(COUNTIF(合同键,$D894)=0,"★《维保合同》里没这个项目",IF(N($K894)&lt;=0,"★应收金额要填",IF(ROUND(N($N894)-N($K894),2)&gt;0.001,"★开票金额大于应收",IF(AND($L894&lt;&gt;"",N($N894)&lt;=0),"★填了开票日期没填开票金额",IF(AND($I894&lt;&gt;"",$J894&lt;&gt;"",$J894&lt;$I894),"★计费期间起止反了","OK")))))))</f>
        <v/>
      </c>
      <c r="U894" s="29" t="str">
        <f aca="false">IF($L894="","",YEAR($L894))</f>
        <v/>
      </c>
      <c r="V894" s="40" t="str">
        <f aca="false">IF($C894="","",ROUND(SUMIF(收款关联,$B894,收款金额),2))</f>
        <v/>
      </c>
      <c r="W894" s="40" t="str">
        <f aca="false">IF($C894="","",MAX(0,ROUND(N($K894)-N($V894),2)))</f>
        <v/>
      </c>
      <c r="X894" s="40" t="str">
        <f aca="false">IF($C894="","",ROUND(SUMIFS(应收净额,应收键,$D894,应收行号,"&lt;="&amp;ROW()),2))</f>
        <v/>
      </c>
      <c r="Y894" s="29" t="str">
        <f aca="false">IF($C894="","",ROW())</f>
        <v/>
      </c>
    </row>
    <row r="895" customFormat="false" ht="15" hidden="false" customHeight="false" outlineLevel="0" collapsed="false">
      <c r="A895" s="29" t="str">
        <f aca="false">IF($C895="","",ROW()-4)</f>
        <v/>
      </c>
      <c r="B895" s="35" t="str">
        <f aca="false">IF($C895="","","YS"&amp;TEXT($C895,"yyyymm")&amp;"-"&amp;TEXT(ROW()-4,"0000"))</f>
        <v/>
      </c>
      <c r="C895" s="33"/>
      <c r="D895" s="24"/>
      <c r="E895" s="30" t="str">
        <f aca="false">IF($D895="","",IFERROR(INDEX(合同单位,MATCH($D895,合同键,0)),IFERROR(TRIM(LEFT($D895,FIND("｜",$D895)-1)),$D895)))</f>
        <v/>
      </c>
      <c r="F895" s="30" t="str">
        <f aca="false">IF($D895="","",IFERROR(INDEX(合同项目,MATCH($D895,合同键,0)),IFERROR(TRIM(MID($D895,FIND("｜",$D895)+1,99)),"")))</f>
        <v/>
      </c>
      <c r="G895" s="24"/>
      <c r="H895" s="35" t="str">
        <f aca="false">IF($G895="","",IFERROR(INDEX(费用款别,MATCH($G895,费用类别表,0)),"合同外款"))</f>
        <v/>
      </c>
      <c r="I895" s="33"/>
      <c r="J895" s="33"/>
      <c r="K895" s="39"/>
      <c r="L895" s="33"/>
      <c r="M895" s="25"/>
      <c r="N895" s="39"/>
      <c r="O895" s="35" t="str">
        <f aca="false">IF($C895="","",IF(N($N895)&lt;=0,"未开票",IF(ROUND(N($N895)-N($K895),2)&gt;=0,"已开票",IFERROR("部分开票 "&amp;TEXT(N($N895)/N($K895),"0%"),"部分开票"))))</f>
        <v/>
      </c>
      <c r="P895" s="40" t="str">
        <f aca="false">IF($C895="","",ROUND($V895+MIN($W895,MAX(0,(SUMIF(收款键,$D895,收款金额)-SUMIFS(收款金额,收款键,$D895,收款关联,"&lt;&gt;"))-($X895-$W895))),2))</f>
        <v/>
      </c>
      <c r="Q895" s="41" t="str">
        <f aca="false">IF($C895="","",ROUND(N($K895)-N($P895),2))</f>
        <v/>
      </c>
      <c r="R895" s="29" t="str">
        <f aca="false">IF($C895="","",YEAR($C895))</f>
        <v/>
      </c>
      <c r="S895" s="24"/>
      <c r="T895" s="35" t="str">
        <f aca="false">IF($C895="","",IF($D895="","★没选客户项目",IF(COUNTIF(合同键,$D895)=0,"★《维保合同》里没这个项目",IF(N($K895)&lt;=0,"★应收金额要填",IF(ROUND(N($N895)-N($K895),2)&gt;0.001,"★开票金额大于应收",IF(AND($L895&lt;&gt;"",N($N895)&lt;=0),"★填了开票日期没填开票金额",IF(AND($I895&lt;&gt;"",$J895&lt;&gt;"",$J895&lt;$I895),"★计费期间起止反了","OK")))))))</f>
        <v/>
      </c>
      <c r="U895" s="29" t="str">
        <f aca="false">IF($L895="","",YEAR($L895))</f>
        <v/>
      </c>
      <c r="V895" s="40" t="str">
        <f aca="false">IF($C895="","",ROUND(SUMIF(收款关联,$B895,收款金额),2))</f>
        <v/>
      </c>
      <c r="W895" s="40" t="str">
        <f aca="false">IF($C895="","",MAX(0,ROUND(N($K895)-N($V895),2)))</f>
        <v/>
      </c>
      <c r="X895" s="40" t="str">
        <f aca="false">IF($C895="","",ROUND(SUMIFS(应收净额,应收键,$D895,应收行号,"&lt;="&amp;ROW()),2))</f>
        <v/>
      </c>
      <c r="Y895" s="29" t="str">
        <f aca="false">IF($C895="","",ROW())</f>
        <v/>
      </c>
    </row>
    <row r="896" customFormat="false" ht="15" hidden="false" customHeight="false" outlineLevel="0" collapsed="false">
      <c r="A896" s="29" t="str">
        <f aca="false">IF($C896="","",ROW()-4)</f>
        <v/>
      </c>
      <c r="B896" s="35" t="str">
        <f aca="false">IF($C896="","","YS"&amp;TEXT($C896,"yyyymm")&amp;"-"&amp;TEXT(ROW()-4,"0000"))</f>
        <v/>
      </c>
      <c r="C896" s="33"/>
      <c r="D896" s="24"/>
      <c r="E896" s="30" t="str">
        <f aca="false">IF($D896="","",IFERROR(INDEX(合同单位,MATCH($D896,合同键,0)),IFERROR(TRIM(LEFT($D896,FIND("｜",$D896)-1)),$D896)))</f>
        <v/>
      </c>
      <c r="F896" s="30" t="str">
        <f aca="false">IF($D896="","",IFERROR(INDEX(合同项目,MATCH($D896,合同键,0)),IFERROR(TRIM(MID($D896,FIND("｜",$D896)+1,99)),"")))</f>
        <v/>
      </c>
      <c r="G896" s="24"/>
      <c r="H896" s="35" t="str">
        <f aca="false">IF($G896="","",IFERROR(INDEX(费用款别,MATCH($G896,费用类别表,0)),"合同外款"))</f>
        <v/>
      </c>
      <c r="I896" s="33"/>
      <c r="J896" s="33"/>
      <c r="K896" s="39"/>
      <c r="L896" s="33"/>
      <c r="M896" s="25"/>
      <c r="N896" s="39"/>
      <c r="O896" s="35" t="str">
        <f aca="false">IF($C896="","",IF(N($N896)&lt;=0,"未开票",IF(ROUND(N($N896)-N($K896),2)&gt;=0,"已开票",IFERROR("部分开票 "&amp;TEXT(N($N896)/N($K896),"0%"),"部分开票"))))</f>
        <v/>
      </c>
      <c r="P896" s="40" t="str">
        <f aca="false">IF($C896="","",ROUND($V896+MIN($W896,MAX(0,(SUMIF(收款键,$D896,收款金额)-SUMIFS(收款金额,收款键,$D896,收款关联,"&lt;&gt;"))-($X896-$W896))),2))</f>
        <v/>
      </c>
      <c r="Q896" s="41" t="str">
        <f aca="false">IF($C896="","",ROUND(N($K896)-N($P896),2))</f>
        <v/>
      </c>
      <c r="R896" s="29" t="str">
        <f aca="false">IF($C896="","",YEAR($C896))</f>
        <v/>
      </c>
      <c r="S896" s="24"/>
      <c r="T896" s="35" t="str">
        <f aca="false">IF($C896="","",IF($D896="","★没选客户项目",IF(COUNTIF(合同键,$D896)=0,"★《维保合同》里没这个项目",IF(N($K896)&lt;=0,"★应收金额要填",IF(ROUND(N($N896)-N($K896),2)&gt;0.001,"★开票金额大于应收",IF(AND($L896&lt;&gt;"",N($N896)&lt;=0),"★填了开票日期没填开票金额",IF(AND($I896&lt;&gt;"",$J896&lt;&gt;"",$J896&lt;$I896),"★计费期间起止反了","OK")))))))</f>
        <v/>
      </c>
      <c r="U896" s="29" t="str">
        <f aca="false">IF($L896="","",YEAR($L896))</f>
        <v/>
      </c>
      <c r="V896" s="40" t="str">
        <f aca="false">IF($C896="","",ROUND(SUMIF(收款关联,$B896,收款金额),2))</f>
        <v/>
      </c>
      <c r="W896" s="40" t="str">
        <f aca="false">IF($C896="","",MAX(0,ROUND(N($K896)-N($V896),2)))</f>
        <v/>
      </c>
      <c r="X896" s="40" t="str">
        <f aca="false">IF($C896="","",ROUND(SUMIFS(应收净额,应收键,$D896,应收行号,"&lt;="&amp;ROW()),2))</f>
        <v/>
      </c>
      <c r="Y896" s="29" t="str">
        <f aca="false">IF($C896="","",ROW())</f>
        <v/>
      </c>
    </row>
    <row r="897" customFormat="false" ht="15" hidden="false" customHeight="false" outlineLevel="0" collapsed="false">
      <c r="A897" s="29" t="str">
        <f aca="false">IF($C897="","",ROW()-4)</f>
        <v/>
      </c>
      <c r="B897" s="35" t="str">
        <f aca="false">IF($C897="","","YS"&amp;TEXT($C897,"yyyymm")&amp;"-"&amp;TEXT(ROW()-4,"0000"))</f>
        <v/>
      </c>
      <c r="C897" s="33"/>
      <c r="D897" s="24"/>
      <c r="E897" s="30" t="str">
        <f aca="false">IF($D897="","",IFERROR(INDEX(合同单位,MATCH($D897,合同键,0)),IFERROR(TRIM(LEFT($D897,FIND("｜",$D897)-1)),$D897)))</f>
        <v/>
      </c>
      <c r="F897" s="30" t="str">
        <f aca="false">IF($D897="","",IFERROR(INDEX(合同项目,MATCH($D897,合同键,0)),IFERROR(TRIM(MID($D897,FIND("｜",$D897)+1,99)),"")))</f>
        <v/>
      </c>
      <c r="G897" s="24"/>
      <c r="H897" s="35" t="str">
        <f aca="false">IF($G897="","",IFERROR(INDEX(费用款别,MATCH($G897,费用类别表,0)),"合同外款"))</f>
        <v/>
      </c>
      <c r="I897" s="33"/>
      <c r="J897" s="33"/>
      <c r="K897" s="39"/>
      <c r="L897" s="33"/>
      <c r="M897" s="25"/>
      <c r="N897" s="39"/>
      <c r="O897" s="35" t="str">
        <f aca="false">IF($C897="","",IF(N($N897)&lt;=0,"未开票",IF(ROUND(N($N897)-N($K897),2)&gt;=0,"已开票",IFERROR("部分开票 "&amp;TEXT(N($N897)/N($K897),"0%"),"部分开票"))))</f>
        <v/>
      </c>
      <c r="P897" s="40" t="str">
        <f aca="false">IF($C897="","",ROUND($V897+MIN($W897,MAX(0,(SUMIF(收款键,$D897,收款金额)-SUMIFS(收款金额,收款键,$D897,收款关联,"&lt;&gt;"))-($X897-$W897))),2))</f>
        <v/>
      </c>
      <c r="Q897" s="41" t="str">
        <f aca="false">IF($C897="","",ROUND(N($K897)-N($P897),2))</f>
        <v/>
      </c>
      <c r="R897" s="29" t="str">
        <f aca="false">IF($C897="","",YEAR($C897))</f>
        <v/>
      </c>
      <c r="S897" s="24"/>
      <c r="T897" s="35" t="str">
        <f aca="false">IF($C897="","",IF($D897="","★没选客户项目",IF(COUNTIF(合同键,$D897)=0,"★《维保合同》里没这个项目",IF(N($K897)&lt;=0,"★应收金额要填",IF(ROUND(N($N897)-N($K897),2)&gt;0.001,"★开票金额大于应收",IF(AND($L897&lt;&gt;"",N($N897)&lt;=0),"★填了开票日期没填开票金额",IF(AND($I897&lt;&gt;"",$J897&lt;&gt;"",$J897&lt;$I897),"★计费期间起止反了","OK")))))))</f>
        <v/>
      </c>
      <c r="U897" s="29" t="str">
        <f aca="false">IF($L897="","",YEAR($L897))</f>
        <v/>
      </c>
      <c r="V897" s="40" t="str">
        <f aca="false">IF($C897="","",ROUND(SUMIF(收款关联,$B897,收款金额),2))</f>
        <v/>
      </c>
      <c r="W897" s="40" t="str">
        <f aca="false">IF($C897="","",MAX(0,ROUND(N($K897)-N($V897),2)))</f>
        <v/>
      </c>
      <c r="X897" s="40" t="str">
        <f aca="false">IF($C897="","",ROUND(SUMIFS(应收净额,应收键,$D897,应收行号,"&lt;="&amp;ROW()),2))</f>
        <v/>
      </c>
      <c r="Y897" s="29" t="str">
        <f aca="false">IF($C897="","",ROW())</f>
        <v/>
      </c>
    </row>
    <row r="898" customFormat="false" ht="15" hidden="false" customHeight="false" outlineLevel="0" collapsed="false">
      <c r="A898" s="29" t="str">
        <f aca="false">IF($C898="","",ROW()-4)</f>
        <v/>
      </c>
      <c r="B898" s="35" t="str">
        <f aca="false">IF($C898="","","YS"&amp;TEXT($C898,"yyyymm")&amp;"-"&amp;TEXT(ROW()-4,"0000"))</f>
        <v/>
      </c>
      <c r="C898" s="33"/>
      <c r="D898" s="24"/>
      <c r="E898" s="30" t="str">
        <f aca="false">IF($D898="","",IFERROR(INDEX(合同单位,MATCH($D898,合同键,0)),IFERROR(TRIM(LEFT($D898,FIND("｜",$D898)-1)),$D898)))</f>
        <v/>
      </c>
      <c r="F898" s="30" t="str">
        <f aca="false">IF($D898="","",IFERROR(INDEX(合同项目,MATCH($D898,合同键,0)),IFERROR(TRIM(MID($D898,FIND("｜",$D898)+1,99)),"")))</f>
        <v/>
      </c>
      <c r="G898" s="24"/>
      <c r="H898" s="35" t="str">
        <f aca="false">IF($G898="","",IFERROR(INDEX(费用款别,MATCH($G898,费用类别表,0)),"合同外款"))</f>
        <v/>
      </c>
      <c r="I898" s="33"/>
      <c r="J898" s="33"/>
      <c r="K898" s="39"/>
      <c r="L898" s="33"/>
      <c r="M898" s="25"/>
      <c r="N898" s="39"/>
      <c r="O898" s="35" t="str">
        <f aca="false">IF($C898="","",IF(N($N898)&lt;=0,"未开票",IF(ROUND(N($N898)-N($K898),2)&gt;=0,"已开票",IFERROR("部分开票 "&amp;TEXT(N($N898)/N($K898),"0%"),"部分开票"))))</f>
        <v/>
      </c>
      <c r="P898" s="40" t="str">
        <f aca="false">IF($C898="","",ROUND($V898+MIN($W898,MAX(0,(SUMIF(收款键,$D898,收款金额)-SUMIFS(收款金额,收款键,$D898,收款关联,"&lt;&gt;"))-($X898-$W898))),2))</f>
        <v/>
      </c>
      <c r="Q898" s="41" t="str">
        <f aca="false">IF($C898="","",ROUND(N($K898)-N($P898),2))</f>
        <v/>
      </c>
      <c r="R898" s="29" t="str">
        <f aca="false">IF($C898="","",YEAR($C898))</f>
        <v/>
      </c>
      <c r="S898" s="24"/>
      <c r="T898" s="35" t="str">
        <f aca="false">IF($C898="","",IF($D898="","★没选客户项目",IF(COUNTIF(合同键,$D898)=0,"★《维保合同》里没这个项目",IF(N($K898)&lt;=0,"★应收金额要填",IF(ROUND(N($N898)-N($K898),2)&gt;0.001,"★开票金额大于应收",IF(AND($L898&lt;&gt;"",N($N898)&lt;=0),"★填了开票日期没填开票金额",IF(AND($I898&lt;&gt;"",$J898&lt;&gt;"",$J898&lt;$I898),"★计费期间起止反了","OK")))))))</f>
        <v/>
      </c>
      <c r="U898" s="29" t="str">
        <f aca="false">IF($L898="","",YEAR($L898))</f>
        <v/>
      </c>
      <c r="V898" s="40" t="str">
        <f aca="false">IF($C898="","",ROUND(SUMIF(收款关联,$B898,收款金额),2))</f>
        <v/>
      </c>
      <c r="W898" s="40" t="str">
        <f aca="false">IF($C898="","",MAX(0,ROUND(N($K898)-N($V898),2)))</f>
        <v/>
      </c>
      <c r="X898" s="40" t="str">
        <f aca="false">IF($C898="","",ROUND(SUMIFS(应收净额,应收键,$D898,应收行号,"&lt;="&amp;ROW()),2))</f>
        <v/>
      </c>
      <c r="Y898" s="29" t="str">
        <f aca="false">IF($C898="","",ROW())</f>
        <v/>
      </c>
    </row>
    <row r="899" customFormat="false" ht="15" hidden="false" customHeight="false" outlineLevel="0" collapsed="false">
      <c r="A899" s="29" t="str">
        <f aca="false">IF($C899="","",ROW()-4)</f>
        <v/>
      </c>
      <c r="B899" s="35" t="str">
        <f aca="false">IF($C899="","","YS"&amp;TEXT($C899,"yyyymm")&amp;"-"&amp;TEXT(ROW()-4,"0000"))</f>
        <v/>
      </c>
      <c r="C899" s="33"/>
      <c r="D899" s="24"/>
      <c r="E899" s="30" t="str">
        <f aca="false">IF($D899="","",IFERROR(INDEX(合同单位,MATCH($D899,合同键,0)),IFERROR(TRIM(LEFT($D899,FIND("｜",$D899)-1)),$D899)))</f>
        <v/>
      </c>
      <c r="F899" s="30" t="str">
        <f aca="false">IF($D899="","",IFERROR(INDEX(合同项目,MATCH($D899,合同键,0)),IFERROR(TRIM(MID($D899,FIND("｜",$D899)+1,99)),"")))</f>
        <v/>
      </c>
      <c r="G899" s="24"/>
      <c r="H899" s="35" t="str">
        <f aca="false">IF($G899="","",IFERROR(INDEX(费用款别,MATCH($G899,费用类别表,0)),"合同外款"))</f>
        <v/>
      </c>
      <c r="I899" s="33"/>
      <c r="J899" s="33"/>
      <c r="K899" s="39"/>
      <c r="L899" s="33"/>
      <c r="M899" s="25"/>
      <c r="N899" s="39"/>
      <c r="O899" s="35" t="str">
        <f aca="false">IF($C899="","",IF(N($N899)&lt;=0,"未开票",IF(ROUND(N($N899)-N($K899),2)&gt;=0,"已开票",IFERROR("部分开票 "&amp;TEXT(N($N899)/N($K899),"0%"),"部分开票"))))</f>
        <v/>
      </c>
      <c r="P899" s="40" t="str">
        <f aca="false">IF($C899="","",ROUND($V899+MIN($W899,MAX(0,(SUMIF(收款键,$D899,收款金额)-SUMIFS(收款金额,收款键,$D899,收款关联,"&lt;&gt;"))-($X899-$W899))),2))</f>
        <v/>
      </c>
      <c r="Q899" s="41" t="str">
        <f aca="false">IF($C899="","",ROUND(N($K899)-N($P899),2))</f>
        <v/>
      </c>
      <c r="R899" s="29" t="str">
        <f aca="false">IF($C899="","",YEAR($C899))</f>
        <v/>
      </c>
      <c r="S899" s="24"/>
      <c r="T899" s="35" t="str">
        <f aca="false">IF($C899="","",IF($D899="","★没选客户项目",IF(COUNTIF(合同键,$D899)=0,"★《维保合同》里没这个项目",IF(N($K899)&lt;=0,"★应收金额要填",IF(ROUND(N($N899)-N($K899),2)&gt;0.001,"★开票金额大于应收",IF(AND($L899&lt;&gt;"",N($N899)&lt;=0),"★填了开票日期没填开票金额",IF(AND($I899&lt;&gt;"",$J899&lt;&gt;"",$J899&lt;$I899),"★计费期间起止反了","OK")))))))</f>
        <v/>
      </c>
      <c r="U899" s="29" t="str">
        <f aca="false">IF($L899="","",YEAR($L899))</f>
        <v/>
      </c>
      <c r="V899" s="40" t="str">
        <f aca="false">IF($C899="","",ROUND(SUMIF(收款关联,$B899,收款金额),2))</f>
        <v/>
      </c>
      <c r="W899" s="40" t="str">
        <f aca="false">IF($C899="","",MAX(0,ROUND(N($K899)-N($V899),2)))</f>
        <v/>
      </c>
      <c r="X899" s="40" t="str">
        <f aca="false">IF($C899="","",ROUND(SUMIFS(应收净额,应收键,$D899,应收行号,"&lt;="&amp;ROW()),2))</f>
        <v/>
      </c>
      <c r="Y899" s="29" t="str">
        <f aca="false">IF($C899="","",ROW())</f>
        <v/>
      </c>
    </row>
    <row r="900" customFormat="false" ht="15" hidden="false" customHeight="false" outlineLevel="0" collapsed="false">
      <c r="A900" s="29" t="str">
        <f aca="false">IF($C900="","",ROW()-4)</f>
        <v/>
      </c>
      <c r="B900" s="35" t="str">
        <f aca="false">IF($C900="","","YS"&amp;TEXT($C900,"yyyymm")&amp;"-"&amp;TEXT(ROW()-4,"0000"))</f>
        <v/>
      </c>
      <c r="C900" s="33"/>
      <c r="D900" s="24"/>
      <c r="E900" s="30" t="str">
        <f aca="false">IF($D900="","",IFERROR(INDEX(合同单位,MATCH($D900,合同键,0)),IFERROR(TRIM(LEFT($D900,FIND("｜",$D900)-1)),$D900)))</f>
        <v/>
      </c>
      <c r="F900" s="30" t="str">
        <f aca="false">IF($D900="","",IFERROR(INDEX(合同项目,MATCH($D900,合同键,0)),IFERROR(TRIM(MID($D900,FIND("｜",$D900)+1,99)),"")))</f>
        <v/>
      </c>
      <c r="G900" s="24"/>
      <c r="H900" s="35" t="str">
        <f aca="false">IF($G900="","",IFERROR(INDEX(费用款别,MATCH($G900,费用类别表,0)),"合同外款"))</f>
        <v/>
      </c>
      <c r="I900" s="33"/>
      <c r="J900" s="33"/>
      <c r="K900" s="39"/>
      <c r="L900" s="33"/>
      <c r="M900" s="25"/>
      <c r="N900" s="39"/>
      <c r="O900" s="35" t="str">
        <f aca="false">IF($C900="","",IF(N($N900)&lt;=0,"未开票",IF(ROUND(N($N900)-N($K900),2)&gt;=0,"已开票",IFERROR("部分开票 "&amp;TEXT(N($N900)/N($K900),"0%"),"部分开票"))))</f>
        <v/>
      </c>
      <c r="P900" s="40" t="str">
        <f aca="false">IF($C900="","",ROUND($V900+MIN($W900,MAX(0,(SUMIF(收款键,$D900,收款金额)-SUMIFS(收款金额,收款键,$D900,收款关联,"&lt;&gt;"))-($X900-$W900))),2))</f>
        <v/>
      </c>
      <c r="Q900" s="41" t="str">
        <f aca="false">IF($C900="","",ROUND(N($K900)-N($P900),2))</f>
        <v/>
      </c>
      <c r="R900" s="29" t="str">
        <f aca="false">IF($C900="","",YEAR($C900))</f>
        <v/>
      </c>
      <c r="S900" s="24"/>
      <c r="T900" s="35" t="str">
        <f aca="false">IF($C900="","",IF($D900="","★没选客户项目",IF(COUNTIF(合同键,$D900)=0,"★《维保合同》里没这个项目",IF(N($K900)&lt;=0,"★应收金额要填",IF(ROUND(N($N900)-N($K900),2)&gt;0.001,"★开票金额大于应收",IF(AND($L900&lt;&gt;"",N($N900)&lt;=0),"★填了开票日期没填开票金额",IF(AND($I900&lt;&gt;"",$J900&lt;&gt;"",$J900&lt;$I900),"★计费期间起止反了","OK")))))))</f>
        <v/>
      </c>
      <c r="U900" s="29" t="str">
        <f aca="false">IF($L900="","",YEAR($L900))</f>
        <v/>
      </c>
      <c r="V900" s="40" t="str">
        <f aca="false">IF($C900="","",ROUND(SUMIF(收款关联,$B900,收款金额),2))</f>
        <v/>
      </c>
      <c r="W900" s="40" t="str">
        <f aca="false">IF($C900="","",MAX(0,ROUND(N($K900)-N($V900),2)))</f>
        <v/>
      </c>
      <c r="X900" s="40" t="str">
        <f aca="false">IF($C900="","",ROUND(SUMIFS(应收净额,应收键,$D900,应收行号,"&lt;="&amp;ROW()),2))</f>
        <v/>
      </c>
      <c r="Y900" s="29" t="str">
        <f aca="false">IF($C900="","",ROW())</f>
        <v/>
      </c>
    </row>
    <row r="901" customFormat="false" ht="15" hidden="false" customHeight="false" outlineLevel="0" collapsed="false">
      <c r="A901" s="29" t="str">
        <f aca="false">IF($C901="","",ROW()-4)</f>
        <v/>
      </c>
      <c r="B901" s="35" t="str">
        <f aca="false">IF($C901="","","YS"&amp;TEXT($C901,"yyyymm")&amp;"-"&amp;TEXT(ROW()-4,"0000"))</f>
        <v/>
      </c>
      <c r="C901" s="33"/>
      <c r="D901" s="24"/>
      <c r="E901" s="30" t="str">
        <f aca="false">IF($D901="","",IFERROR(INDEX(合同单位,MATCH($D901,合同键,0)),IFERROR(TRIM(LEFT($D901,FIND("｜",$D901)-1)),$D901)))</f>
        <v/>
      </c>
      <c r="F901" s="30" t="str">
        <f aca="false">IF($D901="","",IFERROR(INDEX(合同项目,MATCH($D901,合同键,0)),IFERROR(TRIM(MID($D901,FIND("｜",$D901)+1,99)),"")))</f>
        <v/>
      </c>
      <c r="G901" s="24"/>
      <c r="H901" s="35" t="str">
        <f aca="false">IF($G901="","",IFERROR(INDEX(费用款别,MATCH($G901,费用类别表,0)),"合同外款"))</f>
        <v/>
      </c>
      <c r="I901" s="33"/>
      <c r="J901" s="33"/>
      <c r="K901" s="39"/>
      <c r="L901" s="33"/>
      <c r="M901" s="25"/>
      <c r="N901" s="39"/>
      <c r="O901" s="35" t="str">
        <f aca="false">IF($C901="","",IF(N($N901)&lt;=0,"未开票",IF(ROUND(N($N901)-N($K901),2)&gt;=0,"已开票",IFERROR("部分开票 "&amp;TEXT(N($N901)/N($K901),"0%"),"部分开票"))))</f>
        <v/>
      </c>
      <c r="P901" s="40" t="str">
        <f aca="false">IF($C901="","",ROUND($V901+MIN($W901,MAX(0,(SUMIF(收款键,$D901,收款金额)-SUMIFS(收款金额,收款键,$D901,收款关联,"&lt;&gt;"))-($X901-$W901))),2))</f>
        <v/>
      </c>
      <c r="Q901" s="41" t="str">
        <f aca="false">IF($C901="","",ROUND(N($K901)-N($P901),2))</f>
        <v/>
      </c>
      <c r="R901" s="29" t="str">
        <f aca="false">IF($C901="","",YEAR($C901))</f>
        <v/>
      </c>
      <c r="S901" s="24"/>
      <c r="T901" s="35" t="str">
        <f aca="false">IF($C901="","",IF($D901="","★没选客户项目",IF(COUNTIF(合同键,$D901)=0,"★《维保合同》里没这个项目",IF(N($K901)&lt;=0,"★应收金额要填",IF(ROUND(N($N901)-N($K901),2)&gt;0.001,"★开票金额大于应收",IF(AND($L901&lt;&gt;"",N($N901)&lt;=0),"★填了开票日期没填开票金额",IF(AND($I901&lt;&gt;"",$J901&lt;&gt;"",$J901&lt;$I901),"★计费期间起止反了","OK")))))))</f>
        <v/>
      </c>
      <c r="U901" s="29" t="str">
        <f aca="false">IF($L901="","",YEAR($L901))</f>
        <v/>
      </c>
      <c r="V901" s="40" t="str">
        <f aca="false">IF($C901="","",ROUND(SUMIF(收款关联,$B901,收款金额),2))</f>
        <v/>
      </c>
      <c r="W901" s="40" t="str">
        <f aca="false">IF($C901="","",MAX(0,ROUND(N($K901)-N($V901),2)))</f>
        <v/>
      </c>
      <c r="X901" s="40" t="str">
        <f aca="false">IF($C901="","",ROUND(SUMIFS(应收净额,应收键,$D901,应收行号,"&lt;="&amp;ROW()),2))</f>
        <v/>
      </c>
      <c r="Y901" s="29" t="str">
        <f aca="false">IF($C901="","",ROW())</f>
        <v/>
      </c>
    </row>
    <row r="902" customFormat="false" ht="15" hidden="false" customHeight="false" outlineLevel="0" collapsed="false">
      <c r="A902" s="29" t="str">
        <f aca="false">IF($C902="","",ROW()-4)</f>
        <v/>
      </c>
      <c r="B902" s="35" t="str">
        <f aca="false">IF($C902="","","YS"&amp;TEXT($C902,"yyyymm")&amp;"-"&amp;TEXT(ROW()-4,"0000"))</f>
        <v/>
      </c>
      <c r="C902" s="33"/>
      <c r="D902" s="24"/>
      <c r="E902" s="30" t="str">
        <f aca="false">IF($D902="","",IFERROR(INDEX(合同单位,MATCH($D902,合同键,0)),IFERROR(TRIM(LEFT($D902,FIND("｜",$D902)-1)),$D902)))</f>
        <v/>
      </c>
      <c r="F902" s="30" t="str">
        <f aca="false">IF($D902="","",IFERROR(INDEX(合同项目,MATCH($D902,合同键,0)),IFERROR(TRIM(MID($D902,FIND("｜",$D902)+1,99)),"")))</f>
        <v/>
      </c>
      <c r="G902" s="24"/>
      <c r="H902" s="35" t="str">
        <f aca="false">IF($G902="","",IFERROR(INDEX(费用款别,MATCH($G902,费用类别表,0)),"合同外款"))</f>
        <v/>
      </c>
      <c r="I902" s="33"/>
      <c r="J902" s="33"/>
      <c r="K902" s="39"/>
      <c r="L902" s="33"/>
      <c r="M902" s="25"/>
      <c r="N902" s="39"/>
      <c r="O902" s="35" t="str">
        <f aca="false">IF($C902="","",IF(N($N902)&lt;=0,"未开票",IF(ROUND(N($N902)-N($K902),2)&gt;=0,"已开票",IFERROR("部分开票 "&amp;TEXT(N($N902)/N($K902),"0%"),"部分开票"))))</f>
        <v/>
      </c>
      <c r="P902" s="40" t="str">
        <f aca="false">IF($C902="","",ROUND($V902+MIN($W902,MAX(0,(SUMIF(收款键,$D902,收款金额)-SUMIFS(收款金额,收款键,$D902,收款关联,"&lt;&gt;"))-($X902-$W902))),2))</f>
        <v/>
      </c>
      <c r="Q902" s="41" t="str">
        <f aca="false">IF($C902="","",ROUND(N($K902)-N($P902),2))</f>
        <v/>
      </c>
      <c r="R902" s="29" t="str">
        <f aca="false">IF($C902="","",YEAR($C902))</f>
        <v/>
      </c>
      <c r="S902" s="24"/>
      <c r="T902" s="35" t="str">
        <f aca="false">IF($C902="","",IF($D902="","★没选客户项目",IF(COUNTIF(合同键,$D902)=0,"★《维保合同》里没这个项目",IF(N($K902)&lt;=0,"★应收金额要填",IF(ROUND(N($N902)-N($K902),2)&gt;0.001,"★开票金额大于应收",IF(AND($L902&lt;&gt;"",N($N902)&lt;=0),"★填了开票日期没填开票金额",IF(AND($I902&lt;&gt;"",$J902&lt;&gt;"",$J902&lt;$I902),"★计费期间起止反了","OK")))))))</f>
        <v/>
      </c>
      <c r="U902" s="29" t="str">
        <f aca="false">IF($L902="","",YEAR($L902))</f>
        <v/>
      </c>
      <c r="V902" s="40" t="str">
        <f aca="false">IF($C902="","",ROUND(SUMIF(收款关联,$B902,收款金额),2))</f>
        <v/>
      </c>
      <c r="W902" s="40" t="str">
        <f aca="false">IF($C902="","",MAX(0,ROUND(N($K902)-N($V902),2)))</f>
        <v/>
      </c>
      <c r="X902" s="40" t="str">
        <f aca="false">IF($C902="","",ROUND(SUMIFS(应收净额,应收键,$D902,应收行号,"&lt;="&amp;ROW()),2))</f>
        <v/>
      </c>
      <c r="Y902" s="29" t="str">
        <f aca="false">IF($C902="","",ROW())</f>
        <v/>
      </c>
    </row>
    <row r="903" customFormat="false" ht="15" hidden="false" customHeight="false" outlineLevel="0" collapsed="false">
      <c r="A903" s="29" t="str">
        <f aca="false">IF($C903="","",ROW()-4)</f>
        <v/>
      </c>
      <c r="B903" s="35" t="str">
        <f aca="false">IF($C903="","","YS"&amp;TEXT($C903,"yyyymm")&amp;"-"&amp;TEXT(ROW()-4,"0000"))</f>
        <v/>
      </c>
      <c r="C903" s="33"/>
      <c r="D903" s="24"/>
      <c r="E903" s="30" t="str">
        <f aca="false">IF($D903="","",IFERROR(INDEX(合同单位,MATCH($D903,合同键,0)),IFERROR(TRIM(LEFT($D903,FIND("｜",$D903)-1)),$D903)))</f>
        <v/>
      </c>
      <c r="F903" s="30" t="str">
        <f aca="false">IF($D903="","",IFERROR(INDEX(合同项目,MATCH($D903,合同键,0)),IFERROR(TRIM(MID($D903,FIND("｜",$D903)+1,99)),"")))</f>
        <v/>
      </c>
      <c r="G903" s="24"/>
      <c r="H903" s="35" t="str">
        <f aca="false">IF($G903="","",IFERROR(INDEX(费用款别,MATCH($G903,费用类别表,0)),"合同外款"))</f>
        <v/>
      </c>
      <c r="I903" s="33"/>
      <c r="J903" s="33"/>
      <c r="K903" s="39"/>
      <c r="L903" s="33"/>
      <c r="M903" s="25"/>
      <c r="N903" s="39"/>
      <c r="O903" s="35" t="str">
        <f aca="false">IF($C903="","",IF(N($N903)&lt;=0,"未开票",IF(ROUND(N($N903)-N($K903),2)&gt;=0,"已开票",IFERROR("部分开票 "&amp;TEXT(N($N903)/N($K903),"0%"),"部分开票"))))</f>
        <v/>
      </c>
      <c r="P903" s="40" t="str">
        <f aca="false">IF($C903="","",ROUND($V903+MIN($W903,MAX(0,(SUMIF(收款键,$D903,收款金额)-SUMIFS(收款金额,收款键,$D903,收款关联,"&lt;&gt;"))-($X903-$W903))),2))</f>
        <v/>
      </c>
      <c r="Q903" s="41" t="str">
        <f aca="false">IF($C903="","",ROUND(N($K903)-N($P903),2))</f>
        <v/>
      </c>
      <c r="R903" s="29" t="str">
        <f aca="false">IF($C903="","",YEAR($C903))</f>
        <v/>
      </c>
      <c r="S903" s="24"/>
      <c r="T903" s="35" t="str">
        <f aca="false">IF($C903="","",IF($D903="","★没选客户项目",IF(COUNTIF(合同键,$D903)=0,"★《维保合同》里没这个项目",IF(N($K903)&lt;=0,"★应收金额要填",IF(ROUND(N($N903)-N($K903),2)&gt;0.001,"★开票金额大于应收",IF(AND($L903&lt;&gt;"",N($N903)&lt;=0),"★填了开票日期没填开票金额",IF(AND($I903&lt;&gt;"",$J903&lt;&gt;"",$J903&lt;$I903),"★计费期间起止反了","OK")))))))</f>
        <v/>
      </c>
      <c r="U903" s="29" t="str">
        <f aca="false">IF($L903="","",YEAR($L903))</f>
        <v/>
      </c>
      <c r="V903" s="40" t="str">
        <f aca="false">IF($C903="","",ROUND(SUMIF(收款关联,$B903,收款金额),2))</f>
        <v/>
      </c>
      <c r="W903" s="40" t="str">
        <f aca="false">IF($C903="","",MAX(0,ROUND(N($K903)-N($V903),2)))</f>
        <v/>
      </c>
      <c r="X903" s="40" t="str">
        <f aca="false">IF($C903="","",ROUND(SUMIFS(应收净额,应收键,$D903,应收行号,"&lt;="&amp;ROW()),2))</f>
        <v/>
      </c>
      <c r="Y903" s="29" t="str">
        <f aca="false">IF($C903="","",ROW())</f>
        <v/>
      </c>
    </row>
    <row r="904" customFormat="false" ht="15" hidden="false" customHeight="false" outlineLevel="0" collapsed="false">
      <c r="A904" s="29" t="str">
        <f aca="false">IF($C904="","",ROW()-4)</f>
        <v/>
      </c>
      <c r="B904" s="35" t="str">
        <f aca="false">IF($C904="","","YS"&amp;TEXT($C904,"yyyymm")&amp;"-"&amp;TEXT(ROW()-4,"0000"))</f>
        <v/>
      </c>
      <c r="C904" s="33"/>
      <c r="D904" s="24"/>
      <c r="E904" s="30" t="str">
        <f aca="false">IF($D904="","",IFERROR(INDEX(合同单位,MATCH($D904,合同键,0)),IFERROR(TRIM(LEFT($D904,FIND("｜",$D904)-1)),$D904)))</f>
        <v/>
      </c>
      <c r="F904" s="30" t="str">
        <f aca="false">IF($D904="","",IFERROR(INDEX(合同项目,MATCH($D904,合同键,0)),IFERROR(TRIM(MID($D904,FIND("｜",$D904)+1,99)),"")))</f>
        <v/>
      </c>
      <c r="G904" s="24"/>
      <c r="H904" s="35" t="str">
        <f aca="false">IF($G904="","",IFERROR(INDEX(费用款别,MATCH($G904,费用类别表,0)),"合同外款"))</f>
        <v/>
      </c>
      <c r="I904" s="33"/>
      <c r="J904" s="33"/>
      <c r="K904" s="39"/>
      <c r="L904" s="33"/>
      <c r="M904" s="25"/>
      <c r="N904" s="39"/>
      <c r="O904" s="35" t="str">
        <f aca="false">IF($C904="","",IF(N($N904)&lt;=0,"未开票",IF(ROUND(N($N904)-N($K904),2)&gt;=0,"已开票",IFERROR("部分开票 "&amp;TEXT(N($N904)/N($K904),"0%"),"部分开票"))))</f>
        <v/>
      </c>
      <c r="P904" s="40" t="str">
        <f aca="false">IF($C904="","",ROUND($V904+MIN($W904,MAX(0,(SUMIF(收款键,$D904,收款金额)-SUMIFS(收款金额,收款键,$D904,收款关联,"&lt;&gt;"))-($X904-$W904))),2))</f>
        <v/>
      </c>
      <c r="Q904" s="41" t="str">
        <f aca="false">IF($C904="","",ROUND(N($K904)-N($P904),2))</f>
        <v/>
      </c>
      <c r="R904" s="29" t="str">
        <f aca="false">IF($C904="","",YEAR($C904))</f>
        <v/>
      </c>
      <c r="S904" s="24"/>
      <c r="T904" s="35" t="str">
        <f aca="false">IF($C904="","",IF($D904="","★没选客户项目",IF(COUNTIF(合同键,$D904)=0,"★《维保合同》里没这个项目",IF(N($K904)&lt;=0,"★应收金额要填",IF(ROUND(N($N904)-N($K904),2)&gt;0.001,"★开票金额大于应收",IF(AND($L904&lt;&gt;"",N($N904)&lt;=0),"★填了开票日期没填开票金额",IF(AND($I904&lt;&gt;"",$J904&lt;&gt;"",$J904&lt;$I904),"★计费期间起止反了","OK")))))))</f>
        <v/>
      </c>
      <c r="U904" s="29" t="str">
        <f aca="false">IF($L904="","",YEAR($L904))</f>
        <v/>
      </c>
      <c r="V904" s="40" t="str">
        <f aca="false">IF($C904="","",ROUND(SUMIF(收款关联,$B904,收款金额),2))</f>
        <v/>
      </c>
      <c r="W904" s="40" t="str">
        <f aca="false">IF($C904="","",MAX(0,ROUND(N($K904)-N($V904),2)))</f>
        <v/>
      </c>
      <c r="X904" s="40" t="str">
        <f aca="false">IF($C904="","",ROUND(SUMIFS(应收净额,应收键,$D904,应收行号,"&lt;="&amp;ROW()),2))</f>
        <v/>
      </c>
      <c r="Y904" s="29" t="str">
        <f aca="false">IF($C904="","",ROW())</f>
        <v/>
      </c>
    </row>
    <row r="905" customFormat="false" ht="15" hidden="false" customHeight="false" outlineLevel="0" collapsed="false">
      <c r="A905" s="29" t="str">
        <f aca="false">IF($C905="","",ROW()-4)</f>
        <v/>
      </c>
      <c r="B905" s="35" t="str">
        <f aca="false">IF($C905="","","YS"&amp;TEXT($C905,"yyyymm")&amp;"-"&amp;TEXT(ROW()-4,"0000"))</f>
        <v/>
      </c>
      <c r="C905" s="33"/>
      <c r="D905" s="24"/>
      <c r="E905" s="30" t="str">
        <f aca="false">IF($D905="","",IFERROR(INDEX(合同单位,MATCH($D905,合同键,0)),IFERROR(TRIM(LEFT($D905,FIND("｜",$D905)-1)),$D905)))</f>
        <v/>
      </c>
      <c r="F905" s="30" t="str">
        <f aca="false">IF($D905="","",IFERROR(INDEX(合同项目,MATCH($D905,合同键,0)),IFERROR(TRIM(MID($D905,FIND("｜",$D905)+1,99)),"")))</f>
        <v/>
      </c>
      <c r="G905" s="24"/>
      <c r="H905" s="35" t="str">
        <f aca="false">IF($G905="","",IFERROR(INDEX(费用款别,MATCH($G905,费用类别表,0)),"合同外款"))</f>
        <v/>
      </c>
      <c r="I905" s="33"/>
      <c r="J905" s="33"/>
      <c r="K905" s="39"/>
      <c r="L905" s="33"/>
      <c r="M905" s="25"/>
      <c r="N905" s="39"/>
      <c r="O905" s="35" t="str">
        <f aca="false">IF($C905="","",IF(N($N905)&lt;=0,"未开票",IF(ROUND(N($N905)-N($K905),2)&gt;=0,"已开票",IFERROR("部分开票 "&amp;TEXT(N($N905)/N($K905),"0%"),"部分开票"))))</f>
        <v/>
      </c>
      <c r="P905" s="40" t="str">
        <f aca="false">IF($C905="","",ROUND($V905+MIN($W905,MAX(0,(SUMIF(收款键,$D905,收款金额)-SUMIFS(收款金额,收款键,$D905,收款关联,"&lt;&gt;"))-($X905-$W905))),2))</f>
        <v/>
      </c>
      <c r="Q905" s="41" t="str">
        <f aca="false">IF($C905="","",ROUND(N($K905)-N($P905),2))</f>
        <v/>
      </c>
      <c r="R905" s="29" t="str">
        <f aca="false">IF($C905="","",YEAR($C905))</f>
        <v/>
      </c>
      <c r="S905" s="24"/>
      <c r="T905" s="35" t="str">
        <f aca="false">IF($C905="","",IF($D905="","★没选客户项目",IF(COUNTIF(合同键,$D905)=0,"★《维保合同》里没这个项目",IF(N($K905)&lt;=0,"★应收金额要填",IF(ROUND(N($N905)-N($K905),2)&gt;0.001,"★开票金额大于应收",IF(AND($L905&lt;&gt;"",N($N905)&lt;=0),"★填了开票日期没填开票金额",IF(AND($I905&lt;&gt;"",$J905&lt;&gt;"",$J905&lt;$I905),"★计费期间起止反了","OK")))))))</f>
        <v/>
      </c>
      <c r="U905" s="29" t="str">
        <f aca="false">IF($L905="","",YEAR($L905))</f>
        <v/>
      </c>
      <c r="V905" s="40" t="str">
        <f aca="false">IF($C905="","",ROUND(SUMIF(收款关联,$B905,收款金额),2))</f>
        <v/>
      </c>
      <c r="W905" s="40" t="str">
        <f aca="false">IF($C905="","",MAX(0,ROUND(N($K905)-N($V905),2)))</f>
        <v/>
      </c>
      <c r="X905" s="40" t="str">
        <f aca="false">IF($C905="","",ROUND(SUMIFS(应收净额,应收键,$D905,应收行号,"&lt;="&amp;ROW()),2))</f>
        <v/>
      </c>
      <c r="Y905" s="29" t="str">
        <f aca="false">IF($C905="","",ROW())</f>
        <v/>
      </c>
    </row>
    <row r="906" customFormat="false" ht="15" hidden="false" customHeight="false" outlineLevel="0" collapsed="false">
      <c r="A906" s="29" t="str">
        <f aca="false">IF($C906="","",ROW()-4)</f>
        <v/>
      </c>
      <c r="B906" s="35" t="str">
        <f aca="false">IF($C906="","","YS"&amp;TEXT($C906,"yyyymm")&amp;"-"&amp;TEXT(ROW()-4,"0000"))</f>
        <v/>
      </c>
      <c r="C906" s="33"/>
      <c r="D906" s="24"/>
      <c r="E906" s="30" t="str">
        <f aca="false">IF($D906="","",IFERROR(INDEX(合同单位,MATCH($D906,合同键,0)),IFERROR(TRIM(LEFT($D906,FIND("｜",$D906)-1)),$D906)))</f>
        <v/>
      </c>
      <c r="F906" s="30" t="str">
        <f aca="false">IF($D906="","",IFERROR(INDEX(合同项目,MATCH($D906,合同键,0)),IFERROR(TRIM(MID($D906,FIND("｜",$D906)+1,99)),"")))</f>
        <v/>
      </c>
      <c r="G906" s="24"/>
      <c r="H906" s="35" t="str">
        <f aca="false">IF($G906="","",IFERROR(INDEX(费用款别,MATCH($G906,费用类别表,0)),"合同外款"))</f>
        <v/>
      </c>
      <c r="I906" s="33"/>
      <c r="J906" s="33"/>
      <c r="K906" s="39"/>
      <c r="L906" s="33"/>
      <c r="M906" s="25"/>
      <c r="N906" s="39"/>
      <c r="O906" s="35" t="str">
        <f aca="false">IF($C906="","",IF(N($N906)&lt;=0,"未开票",IF(ROUND(N($N906)-N($K906),2)&gt;=0,"已开票",IFERROR("部分开票 "&amp;TEXT(N($N906)/N($K906),"0%"),"部分开票"))))</f>
        <v/>
      </c>
      <c r="P906" s="40" t="str">
        <f aca="false">IF($C906="","",ROUND($V906+MIN($W906,MAX(0,(SUMIF(收款键,$D906,收款金额)-SUMIFS(收款金额,收款键,$D906,收款关联,"&lt;&gt;"))-($X906-$W906))),2))</f>
        <v/>
      </c>
      <c r="Q906" s="41" t="str">
        <f aca="false">IF($C906="","",ROUND(N($K906)-N($P906),2))</f>
        <v/>
      </c>
      <c r="R906" s="29" t="str">
        <f aca="false">IF($C906="","",YEAR($C906))</f>
        <v/>
      </c>
      <c r="S906" s="24"/>
      <c r="T906" s="35" t="str">
        <f aca="false">IF($C906="","",IF($D906="","★没选客户项目",IF(COUNTIF(合同键,$D906)=0,"★《维保合同》里没这个项目",IF(N($K906)&lt;=0,"★应收金额要填",IF(ROUND(N($N906)-N($K906),2)&gt;0.001,"★开票金额大于应收",IF(AND($L906&lt;&gt;"",N($N906)&lt;=0),"★填了开票日期没填开票金额",IF(AND($I906&lt;&gt;"",$J906&lt;&gt;"",$J906&lt;$I906),"★计费期间起止反了","OK")))))))</f>
        <v/>
      </c>
      <c r="U906" s="29" t="str">
        <f aca="false">IF($L906="","",YEAR($L906))</f>
        <v/>
      </c>
      <c r="V906" s="40" t="str">
        <f aca="false">IF($C906="","",ROUND(SUMIF(收款关联,$B906,收款金额),2))</f>
        <v/>
      </c>
      <c r="W906" s="40" t="str">
        <f aca="false">IF($C906="","",MAX(0,ROUND(N($K906)-N($V906),2)))</f>
        <v/>
      </c>
      <c r="X906" s="40" t="str">
        <f aca="false">IF($C906="","",ROUND(SUMIFS(应收净额,应收键,$D906,应收行号,"&lt;="&amp;ROW()),2))</f>
        <v/>
      </c>
      <c r="Y906" s="29" t="str">
        <f aca="false">IF($C906="","",ROW())</f>
        <v/>
      </c>
    </row>
    <row r="907" customFormat="false" ht="15" hidden="false" customHeight="false" outlineLevel="0" collapsed="false">
      <c r="A907" s="29" t="str">
        <f aca="false">IF($C907="","",ROW()-4)</f>
        <v/>
      </c>
      <c r="B907" s="35" t="str">
        <f aca="false">IF($C907="","","YS"&amp;TEXT($C907,"yyyymm")&amp;"-"&amp;TEXT(ROW()-4,"0000"))</f>
        <v/>
      </c>
      <c r="C907" s="33"/>
      <c r="D907" s="24"/>
      <c r="E907" s="30" t="str">
        <f aca="false">IF($D907="","",IFERROR(INDEX(合同单位,MATCH($D907,合同键,0)),IFERROR(TRIM(LEFT($D907,FIND("｜",$D907)-1)),$D907)))</f>
        <v/>
      </c>
      <c r="F907" s="30" t="str">
        <f aca="false">IF($D907="","",IFERROR(INDEX(合同项目,MATCH($D907,合同键,0)),IFERROR(TRIM(MID($D907,FIND("｜",$D907)+1,99)),"")))</f>
        <v/>
      </c>
      <c r="G907" s="24"/>
      <c r="H907" s="35" t="str">
        <f aca="false">IF($G907="","",IFERROR(INDEX(费用款别,MATCH($G907,费用类别表,0)),"合同外款"))</f>
        <v/>
      </c>
      <c r="I907" s="33"/>
      <c r="J907" s="33"/>
      <c r="K907" s="39"/>
      <c r="L907" s="33"/>
      <c r="M907" s="25"/>
      <c r="N907" s="39"/>
      <c r="O907" s="35" t="str">
        <f aca="false">IF($C907="","",IF(N($N907)&lt;=0,"未开票",IF(ROUND(N($N907)-N($K907),2)&gt;=0,"已开票",IFERROR("部分开票 "&amp;TEXT(N($N907)/N($K907),"0%"),"部分开票"))))</f>
        <v/>
      </c>
      <c r="P907" s="40" t="str">
        <f aca="false">IF($C907="","",ROUND($V907+MIN($W907,MAX(0,(SUMIF(收款键,$D907,收款金额)-SUMIFS(收款金额,收款键,$D907,收款关联,"&lt;&gt;"))-($X907-$W907))),2))</f>
        <v/>
      </c>
      <c r="Q907" s="41" t="str">
        <f aca="false">IF($C907="","",ROUND(N($K907)-N($P907),2))</f>
        <v/>
      </c>
      <c r="R907" s="29" t="str">
        <f aca="false">IF($C907="","",YEAR($C907))</f>
        <v/>
      </c>
      <c r="S907" s="24"/>
      <c r="T907" s="35" t="str">
        <f aca="false">IF($C907="","",IF($D907="","★没选客户项目",IF(COUNTIF(合同键,$D907)=0,"★《维保合同》里没这个项目",IF(N($K907)&lt;=0,"★应收金额要填",IF(ROUND(N($N907)-N($K907),2)&gt;0.001,"★开票金额大于应收",IF(AND($L907&lt;&gt;"",N($N907)&lt;=0),"★填了开票日期没填开票金额",IF(AND($I907&lt;&gt;"",$J907&lt;&gt;"",$J907&lt;$I907),"★计费期间起止反了","OK")))))))</f>
        <v/>
      </c>
      <c r="U907" s="29" t="str">
        <f aca="false">IF($L907="","",YEAR($L907))</f>
        <v/>
      </c>
      <c r="V907" s="40" t="str">
        <f aca="false">IF($C907="","",ROUND(SUMIF(收款关联,$B907,收款金额),2))</f>
        <v/>
      </c>
      <c r="W907" s="40" t="str">
        <f aca="false">IF($C907="","",MAX(0,ROUND(N($K907)-N($V907),2)))</f>
        <v/>
      </c>
      <c r="X907" s="40" t="str">
        <f aca="false">IF($C907="","",ROUND(SUMIFS(应收净额,应收键,$D907,应收行号,"&lt;="&amp;ROW()),2))</f>
        <v/>
      </c>
      <c r="Y907" s="29" t="str">
        <f aca="false">IF($C907="","",ROW())</f>
        <v/>
      </c>
    </row>
    <row r="908" customFormat="false" ht="15" hidden="false" customHeight="false" outlineLevel="0" collapsed="false">
      <c r="A908" s="29" t="str">
        <f aca="false">IF($C908="","",ROW()-4)</f>
        <v/>
      </c>
      <c r="B908" s="35" t="str">
        <f aca="false">IF($C908="","","YS"&amp;TEXT($C908,"yyyymm")&amp;"-"&amp;TEXT(ROW()-4,"0000"))</f>
        <v/>
      </c>
      <c r="C908" s="33"/>
      <c r="D908" s="24"/>
      <c r="E908" s="30" t="str">
        <f aca="false">IF($D908="","",IFERROR(INDEX(合同单位,MATCH($D908,合同键,0)),IFERROR(TRIM(LEFT($D908,FIND("｜",$D908)-1)),$D908)))</f>
        <v/>
      </c>
      <c r="F908" s="30" t="str">
        <f aca="false">IF($D908="","",IFERROR(INDEX(合同项目,MATCH($D908,合同键,0)),IFERROR(TRIM(MID($D908,FIND("｜",$D908)+1,99)),"")))</f>
        <v/>
      </c>
      <c r="G908" s="24"/>
      <c r="H908" s="35" t="str">
        <f aca="false">IF($G908="","",IFERROR(INDEX(费用款别,MATCH($G908,费用类别表,0)),"合同外款"))</f>
        <v/>
      </c>
      <c r="I908" s="33"/>
      <c r="J908" s="33"/>
      <c r="K908" s="39"/>
      <c r="L908" s="33"/>
      <c r="M908" s="25"/>
      <c r="N908" s="39"/>
      <c r="O908" s="35" t="str">
        <f aca="false">IF($C908="","",IF(N($N908)&lt;=0,"未开票",IF(ROUND(N($N908)-N($K908),2)&gt;=0,"已开票",IFERROR("部分开票 "&amp;TEXT(N($N908)/N($K908),"0%"),"部分开票"))))</f>
        <v/>
      </c>
      <c r="P908" s="40" t="str">
        <f aca="false">IF($C908="","",ROUND($V908+MIN($W908,MAX(0,(SUMIF(收款键,$D908,收款金额)-SUMIFS(收款金额,收款键,$D908,收款关联,"&lt;&gt;"))-($X908-$W908))),2))</f>
        <v/>
      </c>
      <c r="Q908" s="41" t="str">
        <f aca="false">IF($C908="","",ROUND(N($K908)-N($P908),2))</f>
        <v/>
      </c>
      <c r="R908" s="29" t="str">
        <f aca="false">IF($C908="","",YEAR($C908))</f>
        <v/>
      </c>
      <c r="S908" s="24"/>
      <c r="T908" s="35" t="str">
        <f aca="false">IF($C908="","",IF($D908="","★没选客户项目",IF(COUNTIF(合同键,$D908)=0,"★《维保合同》里没这个项目",IF(N($K908)&lt;=0,"★应收金额要填",IF(ROUND(N($N908)-N($K908),2)&gt;0.001,"★开票金额大于应收",IF(AND($L908&lt;&gt;"",N($N908)&lt;=0),"★填了开票日期没填开票金额",IF(AND($I908&lt;&gt;"",$J908&lt;&gt;"",$J908&lt;$I908),"★计费期间起止反了","OK")))))))</f>
        <v/>
      </c>
      <c r="U908" s="29" t="str">
        <f aca="false">IF($L908="","",YEAR($L908))</f>
        <v/>
      </c>
      <c r="V908" s="40" t="str">
        <f aca="false">IF($C908="","",ROUND(SUMIF(收款关联,$B908,收款金额),2))</f>
        <v/>
      </c>
      <c r="W908" s="40" t="str">
        <f aca="false">IF($C908="","",MAX(0,ROUND(N($K908)-N($V908),2)))</f>
        <v/>
      </c>
      <c r="X908" s="40" t="str">
        <f aca="false">IF($C908="","",ROUND(SUMIFS(应收净额,应收键,$D908,应收行号,"&lt;="&amp;ROW()),2))</f>
        <v/>
      </c>
      <c r="Y908" s="29" t="str">
        <f aca="false">IF($C908="","",ROW())</f>
        <v/>
      </c>
    </row>
    <row r="909" customFormat="false" ht="15" hidden="false" customHeight="false" outlineLevel="0" collapsed="false">
      <c r="A909" s="29" t="str">
        <f aca="false">IF($C909="","",ROW()-4)</f>
        <v/>
      </c>
      <c r="B909" s="35" t="str">
        <f aca="false">IF($C909="","","YS"&amp;TEXT($C909,"yyyymm")&amp;"-"&amp;TEXT(ROW()-4,"0000"))</f>
        <v/>
      </c>
      <c r="C909" s="33"/>
      <c r="D909" s="24"/>
      <c r="E909" s="30" t="str">
        <f aca="false">IF($D909="","",IFERROR(INDEX(合同单位,MATCH($D909,合同键,0)),IFERROR(TRIM(LEFT($D909,FIND("｜",$D909)-1)),$D909)))</f>
        <v/>
      </c>
      <c r="F909" s="30" t="str">
        <f aca="false">IF($D909="","",IFERROR(INDEX(合同项目,MATCH($D909,合同键,0)),IFERROR(TRIM(MID($D909,FIND("｜",$D909)+1,99)),"")))</f>
        <v/>
      </c>
      <c r="G909" s="24"/>
      <c r="H909" s="35" t="str">
        <f aca="false">IF($G909="","",IFERROR(INDEX(费用款别,MATCH($G909,费用类别表,0)),"合同外款"))</f>
        <v/>
      </c>
      <c r="I909" s="33"/>
      <c r="J909" s="33"/>
      <c r="K909" s="39"/>
      <c r="L909" s="33"/>
      <c r="M909" s="25"/>
      <c r="N909" s="39"/>
      <c r="O909" s="35" t="str">
        <f aca="false">IF($C909="","",IF(N($N909)&lt;=0,"未开票",IF(ROUND(N($N909)-N($K909),2)&gt;=0,"已开票",IFERROR("部分开票 "&amp;TEXT(N($N909)/N($K909),"0%"),"部分开票"))))</f>
        <v/>
      </c>
      <c r="P909" s="40" t="str">
        <f aca="false">IF($C909="","",ROUND($V909+MIN($W909,MAX(0,(SUMIF(收款键,$D909,收款金额)-SUMIFS(收款金额,收款键,$D909,收款关联,"&lt;&gt;"))-($X909-$W909))),2))</f>
        <v/>
      </c>
      <c r="Q909" s="41" t="str">
        <f aca="false">IF($C909="","",ROUND(N($K909)-N($P909),2))</f>
        <v/>
      </c>
      <c r="R909" s="29" t="str">
        <f aca="false">IF($C909="","",YEAR($C909))</f>
        <v/>
      </c>
      <c r="S909" s="24"/>
      <c r="T909" s="35" t="str">
        <f aca="false">IF($C909="","",IF($D909="","★没选客户项目",IF(COUNTIF(合同键,$D909)=0,"★《维保合同》里没这个项目",IF(N($K909)&lt;=0,"★应收金额要填",IF(ROUND(N($N909)-N($K909),2)&gt;0.001,"★开票金额大于应收",IF(AND($L909&lt;&gt;"",N($N909)&lt;=0),"★填了开票日期没填开票金额",IF(AND($I909&lt;&gt;"",$J909&lt;&gt;"",$J909&lt;$I909),"★计费期间起止反了","OK")))))))</f>
        <v/>
      </c>
      <c r="U909" s="29" t="str">
        <f aca="false">IF($L909="","",YEAR($L909))</f>
        <v/>
      </c>
      <c r="V909" s="40" t="str">
        <f aca="false">IF($C909="","",ROUND(SUMIF(收款关联,$B909,收款金额),2))</f>
        <v/>
      </c>
      <c r="W909" s="40" t="str">
        <f aca="false">IF($C909="","",MAX(0,ROUND(N($K909)-N($V909),2)))</f>
        <v/>
      </c>
      <c r="X909" s="40" t="str">
        <f aca="false">IF($C909="","",ROUND(SUMIFS(应收净额,应收键,$D909,应收行号,"&lt;="&amp;ROW()),2))</f>
        <v/>
      </c>
      <c r="Y909" s="29" t="str">
        <f aca="false">IF($C909="","",ROW())</f>
        <v/>
      </c>
    </row>
    <row r="910" customFormat="false" ht="15" hidden="false" customHeight="false" outlineLevel="0" collapsed="false">
      <c r="A910" s="29" t="str">
        <f aca="false">IF($C910="","",ROW()-4)</f>
        <v/>
      </c>
      <c r="B910" s="35" t="str">
        <f aca="false">IF($C910="","","YS"&amp;TEXT($C910,"yyyymm")&amp;"-"&amp;TEXT(ROW()-4,"0000"))</f>
        <v/>
      </c>
      <c r="C910" s="33"/>
      <c r="D910" s="24"/>
      <c r="E910" s="30" t="str">
        <f aca="false">IF($D910="","",IFERROR(INDEX(合同单位,MATCH($D910,合同键,0)),IFERROR(TRIM(LEFT($D910,FIND("｜",$D910)-1)),$D910)))</f>
        <v/>
      </c>
      <c r="F910" s="30" t="str">
        <f aca="false">IF($D910="","",IFERROR(INDEX(合同项目,MATCH($D910,合同键,0)),IFERROR(TRIM(MID($D910,FIND("｜",$D910)+1,99)),"")))</f>
        <v/>
      </c>
      <c r="G910" s="24"/>
      <c r="H910" s="35" t="str">
        <f aca="false">IF($G910="","",IFERROR(INDEX(费用款别,MATCH($G910,费用类别表,0)),"合同外款"))</f>
        <v/>
      </c>
      <c r="I910" s="33"/>
      <c r="J910" s="33"/>
      <c r="K910" s="39"/>
      <c r="L910" s="33"/>
      <c r="M910" s="25"/>
      <c r="N910" s="39"/>
      <c r="O910" s="35" t="str">
        <f aca="false">IF($C910="","",IF(N($N910)&lt;=0,"未开票",IF(ROUND(N($N910)-N($K910),2)&gt;=0,"已开票",IFERROR("部分开票 "&amp;TEXT(N($N910)/N($K910),"0%"),"部分开票"))))</f>
        <v/>
      </c>
      <c r="P910" s="40" t="str">
        <f aca="false">IF($C910="","",ROUND($V910+MIN($W910,MAX(0,(SUMIF(收款键,$D910,收款金额)-SUMIFS(收款金额,收款键,$D910,收款关联,"&lt;&gt;"))-($X910-$W910))),2))</f>
        <v/>
      </c>
      <c r="Q910" s="41" t="str">
        <f aca="false">IF($C910="","",ROUND(N($K910)-N($P910),2))</f>
        <v/>
      </c>
      <c r="R910" s="29" t="str">
        <f aca="false">IF($C910="","",YEAR($C910))</f>
        <v/>
      </c>
      <c r="S910" s="24"/>
      <c r="T910" s="35" t="str">
        <f aca="false">IF($C910="","",IF($D910="","★没选客户项目",IF(COUNTIF(合同键,$D910)=0,"★《维保合同》里没这个项目",IF(N($K910)&lt;=0,"★应收金额要填",IF(ROUND(N($N910)-N($K910),2)&gt;0.001,"★开票金额大于应收",IF(AND($L910&lt;&gt;"",N($N910)&lt;=0),"★填了开票日期没填开票金额",IF(AND($I910&lt;&gt;"",$J910&lt;&gt;"",$J910&lt;$I910),"★计费期间起止反了","OK")))))))</f>
        <v/>
      </c>
      <c r="U910" s="29" t="str">
        <f aca="false">IF($L910="","",YEAR($L910))</f>
        <v/>
      </c>
      <c r="V910" s="40" t="str">
        <f aca="false">IF($C910="","",ROUND(SUMIF(收款关联,$B910,收款金额),2))</f>
        <v/>
      </c>
      <c r="W910" s="40" t="str">
        <f aca="false">IF($C910="","",MAX(0,ROUND(N($K910)-N($V910),2)))</f>
        <v/>
      </c>
      <c r="X910" s="40" t="str">
        <f aca="false">IF($C910="","",ROUND(SUMIFS(应收净额,应收键,$D910,应收行号,"&lt;="&amp;ROW()),2))</f>
        <v/>
      </c>
      <c r="Y910" s="29" t="str">
        <f aca="false">IF($C910="","",ROW())</f>
        <v/>
      </c>
    </row>
    <row r="911" customFormat="false" ht="15" hidden="false" customHeight="false" outlineLevel="0" collapsed="false">
      <c r="A911" s="29" t="str">
        <f aca="false">IF($C911="","",ROW()-4)</f>
        <v/>
      </c>
      <c r="B911" s="35" t="str">
        <f aca="false">IF($C911="","","YS"&amp;TEXT($C911,"yyyymm")&amp;"-"&amp;TEXT(ROW()-4,"0000"))</f>
        <v/>
      </c>
      <c r="C911" s="33"/>
      <c r="D911" s="24"/>
      <c r="E911" s="30" t="str">
        <f aca="false">IF($D911="","",IFERROR(INDEX(合同单位,MATCH($D911,合同键,0)),IFERROR(TRIM(LEFT($D911,FIND("｜",$D911)-1)),$D911)))</f>
        <v/>
      </c>
      <c r="F911" s="30" t="str">
        <f aca="false">IF($D911="","",IFERROR(INDEX(合同项目,MATCH($D911,合同键,0)),IFERROR(TRIM(MID($D911,FIND("｜",$D911)+1,99)),"")))</f>
        <v/>
      </c>
      <c r="G911" s="24"/>
      <c r="H911" s="35" t="str">
        <f aca="false">IF($G911="","",IFERROR(INDEX(费用款别,MATCH($G911,费用类别表,0)),"合同外款"))</f>
        <v/>
      </c>
      <c r="I911" s="33"/>
      <c r="J911" s="33"/>
      <c r="K911" s="39"/>
      <c r="L911" s="33"/>
      <c r="M911" s="25"/>
      <c r="N911" s="39"/>
      <c r="O911" s="35" t="str">
        <f aca="false">IF($C911="","",IF(N($N911)&lt;=0,"未开票",IF(ROUND(N($N911)-N($K911),2)&gt;=0,"已开票",IFERROR("部分开票 "&amp;TEXT(N($N911)/N($K911),"0%"),"部分开票"))))</f>
        <v/>
      </c>
      <c r="P911" s="40" t="str">
        <f aca="false">IF($C911="","",ROUND($V911+MIN($W911,MAX(0,(SUMIF(收款键,$D911,收款金额)-SUMIFS(收款金额,收款键,$D911,收款关联,"&lt;&gt;"))-($X911-$W911))),2))</f>
        <v/>
      </c>
      <c r="Q911" s="41" t="str">
        <f aca="false">IF($C911="","",ROUND(N($K911)-N($P911),2))</f>
        <v/>
      </c>
      <c r="R911" s="29" t="str">
        <f aca="false">IF($C911="","",YEAR($C911))</f>
        <v/>
      </c>
      <c r="S911" s="24"/>
      <c r="T911" s="35" t="str">
        <f aca="false">IF($C911="","",IF($D911="","★没选客户项目",IF(COUNTIF(合同键,$D911)=0,"★《维保合同》里没这个项目",IF(N($K911)&lt;=0,"★应收金额要填",IF(ROUND(N($N911)-N($K911),2)&gt;0.001,"★开票金额大于应收",IF(AND($L911&lt;&gt;"",N($N911)&lt;=0),"★填了开票日期没填开票金额",IF(AND($I911&lt;&gt;"",$J911&lt;&gt;"",$J911&lt;$I911),"★计费期间起止反了","OK")))))))</f>
        <v/>
      </c>
      <c r="U911" s="29" t="str">
        <f aca="false">IF($L911="","",YEAR($L911))</f>
        <v/>
      </c>
      <c r="V911" s="40" t="str">
        <f aca="false">IF($C911="","",ROUND(SUMIF(收款关联,$B911,收款金额),2))</f>
        <v/>
      </c>
      <c r="W911" s="40" t="str">
        <f aca="false">IF($C911="","",MAX(0,ROUND(N($K911)-N($V911),2)))</f>
        <v/>
      </c>
      <c r="X911" s="40" t="str">
        <f aca="false">IF($C911="","",ROUND(SUMIFS(应收净额,应收键,$D911,应收行号,"&lt;="&amp;ROW()),2))</f>
        <v/>
      </c>
      <c r="Y911" s="29" t="str">
        <f aca="false">IF($C911="","",ROW())</f>
        <v/>
      </c>
    </row>
    <row r="912" customFormat="false" ht="15" hidden="false" customHeight="false" outlineLevel="0" collapsed="false">
      <c r="A912" s="29" t="str">
        <f aca="false">IF($C912="","",ROW()-4)</f>
        <v/>
      </c>
      <c r="B912" s="35" t="str">
        <f aca="false">IF($C912="","","YS"&amp;TEXT($C912,"yyyymm")&amp;"-"&amp;TEXT(ROW()-4,"0000"))</f>
        <v/>
      </c>
      <c r="C912" s="33"/>
      <c r="D912" s="24"/>
      <c r="E912" s="30" t="str">
        <f aca="false">IF($D912="","",IFERROR(INDEX(合同单位,MATCH($D912,合同键,0)),IFERROR(TRIM(LEFT($D912,FIND("｜",$D912)-1)),$D912)))</f>
        <v/>
      </c>
      <c r="F912" s="30" t="str">
        <f aca="false">IF($D912="","",IFERROR(INDEX(合同项目,MATCH($D912,合同键,0)),IFERROR(TRIM(MID($D912,FIND("｜",$D912)+1,99)),"")))</f>
        <v/>
      </c>
      <c r="G912" s="24"/>
      <c r="H912" s="35" t="str">
        <f aca="false">IF($G912="","",IFERROR(INDEX(费用款别,MATCH($G912,费用类别表,0)),"合同外款"))</f>
        <v/>
      </c>
      <c r="I912" s="33"/>
      <c r="J912" s="33"/>
      <c r="K912" s="39"/>
      <c r="L912" s="33"/>
      <c r="M912" s="25"/>
      <c r="N912" s="39"/>
      <c r="O912" s="35" t="str">
        <f aca="false">IF($C912="","",IF(N($N912)&lt;=0,"未开票",IF(ROUND(N($N912)-N($K912),2)&gt;=0,"已开票",IFERROR("部分开票 "&amp;TEXT(N($N912)/N($K912),"0%"),"部分开票"))))</f>
        <v/>
      </c>
      <c r="P912" s="40" t="str">
        <f aca="false">IF($C912="","",ROUND($V912+MIN($W912,MAX(0,(SUMIF(收款键,$D912,收款金额)-SUMIFS(收款金额,收款键,$D912,收款关联,"&lt;&gt;"))-($X912-$W912))),2))</f>
        <v/>
      </c>
      <c r="Q912" s="41" t="str">
        <f aca="false">IF($C912="","",ROUND(N($K912)-N($P912),2))</f>
        <v/>
      </c>
      <c r="R912" s="29" t="str">
        <f aca="false">IF($C912="","",YEAR($C912))</f>
        <v/>
      </c>
      <c r="S912" s="24"/>
      <c r="T912" s="35" t="str">
        <f aca="false">IF($C912="","",IF($D912="","★没选客户项目",IF(COUNTIF(合同键,$D912)=0,"★《维保合同》里没这个项目",IF(N($K912)&lt;=0,"★应收金额要填",IF(ROUND(N($N912)-N($K912),2)&gt;0.001,"★开票金额大于应收",IF(AND($L912&lt;&gt;"",N($N912)&lt;=0),"★填了开票日期没填开票金额",IF(AND($I912&lt;&gt;"",$J912&lt;&gt;"",$J912&lt;$I912),"★计费期间起止反了","OK")))))))</f>
        <v/>
      </c>
      <c r="U912" s="29" t="str">
        <f aca="false">IF($L912="","",YEAR($L912))</f>
        <v/>
      </c>
      <c r="V912" s="40" t="str">
        <f aca="false">IF($C912="","",ROUND(SUMIF(收款关联,$B912,收款金额),2))</f>
        <v/>
      </c>
      <c r="W912" s="40" t="str">
        <f aca="false">IF($C912="","",MAX(0,ROUND(N($K912)-N($V912),2)))</f>
        <v/>
      </c>
      <c r="X912" s="40" t="str">
        <f aca="false">IF($C912="","",ROUND(SUMIFS(应收净额,应收键,$D912,应收行号,"&lt;="&amp;ROW()),2))</f>
        <v/>
      </c>
      <c r="Y912" s="29" t="str">
        <f aca="false">IF($C912="","",ROW())</f>
        <v/>
      </c>
    </row>
    <row r="913" customFormat="false" ht="15" hidden="false" customHeight="false" outlineLevel="0" collapsed="false">
      <c r="A913" s="29" t="str">
        <f aca="false">IF($C913="","",ROW()-4)</f>
        <v/>
      </c>
      <c r="B913" s="35" t="str">
        <f aca="false">IF($C913="","","YS"&amp;TEXT($C913,"yyyymm")&amp;"-"&amp;TEXT(ROW()-4,"0000"))</f>
        <v/>
      </c>
      <c r="C913" s="33"/>
      <c r="D913" s="24"/>
      <c r="E913" s="30" t="str">
        <f aca="false">IF($D913="","",IFERROR(INDEX(合同单位,MATCH($D913,合同键,0)),IFERROR(TRIM(LEFT($D913,FIND("｜",$D913)-1)),$D913)))</f>
        <v/>
      </c>
      <c r="F913" s="30" t="str">
        <f aca="false">IF($D913="","",IFERROR(INDEX(合同项目,MATCH($D913,合同键,0)),IFERROR(TRIM(MID($D913,FIND("｜",$D913)+1,99)),"")))</f>
        <v/>
      </c>
      <c r="G913" s="24"/>
      <c r="H913" s="35" t="str">
        <f aca="false">IF($G913="","",IFERROR(INDEX(费用款别,MATCH($G913,费用类别表,0)),"合同外款"))</f>
        <v/>
      </c>
      <c r="I913" s="33"/>
      <c r="J913" s="33"/>
      <c r="K913" s="39"/>
      <c r="L913" s="33"/>
      <c r="M913" s="25"/>
      <c r="N913" s="39"/>
      <c r="O913" s="35" t="str">
        <f aca="false">IF($C913="","",IF(N($N913)&lt;=0,"未开票",IF(ROUND(N($N913)-N($K913),2)&gt;=0,"已开票",IFERROR("部分开票 "&amp;TEXT(N($N913)/N($K913),"0%"),"部分开票"))))</f>
        <v/>
      </c>
      <c r="P913" s="40" t="str">
        <f aca="false">IF($C913="","",ROUND($V913+MIN($W913,MAX(0,(SUMIF(收款键,$D913,收款金额)-SUMIFS(收款金额,收款键,$D913,收款关联,"&lt;&gt;"))-($X913-$W913))),2))</f>
        <v/>
      </c>
      <c r="Q913" s="41" t="str">
        <f aca="false">IF($C913="","",ROUND(N($K913)-N($P913),2))</f>
        <v/>
      </c>
      <c r="R913" s="29" t="str">
        <f aca="false">IF($C913="","",YEAR($C913))</f>
        <v/>
      </c>
      <c r="S913" s="24"/>
      <c r="T913" s="35" t="str">
        <f aca="false">IF($C913="","",IF($D913="","★没选客户项目",IF(COUNTIF(合同键,$D913)=0,"★《维保合同》里没这个项目",IF(N($K913)&lt;=0,"★应收金额要填",IF(ROUND(N($N913)-N($K913),2)&gt;0.001,"★开票金额大于应收",IF(AND($L913&lt;&gt;"",N($N913)&lt;=0),"★填了开票日期没填开票金额",IF(AND($I913&lt;&gt;"",$J913&lt;&gt;"",$J913&lt;$I913),"★计费期间起止反了","OK")))))))</f>
        <v/>
      </c>
      <c r="U913" s="29" t="str">
        <f aca="false">IF($L913="","",YEAR($L913))</f>
        <v/>
      </c>
      <c r="V913" s="40" t="str">
        <f aca="false">IF($C913="","",ROUND(SUMIF(收款关联,$B913,收款金额),2))</f>
        <v/>
      </c>
      <c r="W913" s="40" t="str">
        <f aca="false">IF($C913="","",MAX(0,ROUND(N($K913)-N($V913),2)))</f>
        <v/>
      </c>
      <c r="X913" s="40" t="str">
        <f aca="false">IF($C913="","",ROUND(SUMIFS(应收净额,应收键,$D913,应收行号,"&lt;="&amp;ROW()),2))</f>
        <v/>
      </c>
      <c r="Y913" s="29" t="str">
        <f aca="false">IF($C913="","",ROW())</f>
        <v/>
      </c>
    </row>
    <row r="914" customFormat="false" ht="15" hidden="false" customHeight="false" outlineLevel="0" collapsed="false">
      <c r="A914" s="29" t="str">
        <f aca="false">IF($C914="","",ROW()-4)</f>
        <v/>
      </c>
      <c r="B914" s="35" t="str">
        <f aca="false">IF($C914="","","YS"&amp;TEXT($C914,"yyyymm")&amp;"-"&amp;TEXT(ROW()-4,"0000"))</f>
        <v/>
      </c>
      <c r="C914" s="33"/>
      <c r="D914" s="24"/>
      <c r="E914" s="30" t="str">
        <f aca="false">IF($D914="","",IFERROR(INDEX(合同单位,MATCH($D914,合同键,0)),IFERROR(TRIM(LEFT($D914,FIND("｜",$D914)-1)),$D914)))</f>
        <v/>
      </c>
      <c r="F914" s="30" t="str">
        <f aca="false">IF($D914="","",IFERROR(INDEX(合同项目,MATCH($D914,合同键,0)),IFERROR(TRIM(MID($D914,FIND("｜",$D914)+1,99)),"")))</f>
        <v/>
      </c>
      <c r="G914" s="24"/>
      <c r="H914" s="35" t="str">
        <f aca="false">IF($G914="","",IFERROR(INDEX(费用款别,MATCH($G914,费用类别表,0)),"合同外款"))</f>
        <v/>
      </c>
      <c r="I914" s="33"/>
      <c r="J914" s="33"/>
      <c r="K914" s="39"/>
      <c r="L914" s="33"/>
      <c r="M914" s="25"/>
      <c r="N914" s="39"/>
      <c r="O914" s="35" t="str">
        <f aca="false">IF($C914="","",IF(N($N914)&lt;=0,"未开票",IF(ROUND(N($N914)-N($K914),2)&gt;=0,"已开票",IFERROR("部分开票 "&amp;TEXT(N($N914)/N($K914),"0%"),"部分开票"))))</f>
        <v/>
      </c>
      <c r="P914" s="40" t="str">
        <f aca="false">IF($C914="","",ROUND($V914+MIN($W914,MAX(0,(SUMIF(收款键,$D914,收款金额)-SUMIFS(收款金额,收款键,$D914,收款关联,"&lt;&gt;"))-($X914-$W914))),2))</f>
        <v/>
      </c>
      <c r="Q914" s="41" t="str">
        <f aca="false">IF($C914="","",ROUND(N($K914)-N($P914),2))</f>
        <v/>
      </c>
      <c r="R914" s="29" t="str">
        <f aca="false">IF($C914="","",YEAR($C914))</f>
        <v/>
      </c>
      <c r="S914" s="24"/>
      <c r="T914" s="35" t="str">
        <f aca="false">IF($C914="","",IF($D914="","★没选客户项目",IF(COUNTIF(合同键,$D914)=0,"★《维保合同》里没这个项目",IF(N($K914)&lt;=0,"★应收金额要填",IF(ROUND(N($N914)-N($K914),2)&gt;0.001,"★开票金额大于应收",IF(AND($L914&lt;&gt;"",N($N914)&lt;=0),"★填了开票日期没填开票金额",IF(AND($I914&lt;&gt;"",$J914&lt;&gt;"",$J914&lt;$I914),"★计费期间起止反了","OK")))))))</f>
        <v/>
      </c>
      <c r="U914" s="29" t="str">
        <f aca="false">IF($L914="","",YEAR($L914))</f>
        <v/>
      </c>
      <c r="V914" s="40" t="str">
        <f aca="false">IF($C914="","",ROUND(SUMIF(收款关联,$B914,收款金额),2))</f>
        <v/>
      </c>
      <c r="W914" s="40" t="str">
        <f aca="false">IF($C914="","",MAX(0,ROUND(N($K914)-N($V914),2)))</f>
        <v/>
      </c>
      <c r="X914" s="40" t="str">
        <f aca="false">IF($C914="","",ROUND(SUMIFS(应收净额,应收键,$D914,应收行号,"&lt;="&amp;ROW()),2))</f>
        <v/>
      </c>
      <c r="Y914" s="29" t="str">
        <f aca="false">IF($C914="","",ROW())</f>
        <v/>
      </c>
    </row>
    <row r="915" customFormat="false" ht="15" hidden="false" customHeight="false" outlineLevel="0" collapsed="false">
      <c r="A915" s="29" t="str">
        <f aca="false">IF($C915="","",ROW()-4)</f>
        <v/>
      </c>
      <c r="B915" s="35" t="str">
        <f aca="false">IF($C915="","","YS"&amp;TEXT($C915,"yyyymm")&amp;"-"&amp;TEXT(ROW()-4,"0000"))</f>
        <v/>
      </c>
      <c r="C915" s="33"/>
      <c r="D915" s="24"/>
      <c r="E915" s="30" t="str">
        <f aca="false">IF($D915="","",IFERROR(INDEX(合同单位,MATCH($D915,合同键,0)),IFERROR(TRIM(LEFT($D915,FIND("｜",$D915)-1)),$D915)))</f>
        <v/>
      </c>
      <c r="F915" s="30" t="str">
        <f aca="false">IF($D915="","",IFERROR(INDEX(合同项目,MATCH($D915,合同键,0)),IFERROR(TRIM(MID($D915,FIND("｜",$D915)+1,99)),"")))</f>
        <v/>
      </c>
      <c r="G915" s="24"/>
      <c r="H915" s="35" t="str">
        <f aca="false">IF($G915="","",IFERROR(INDEX(费用款别,MATCH($G915,费用类别表,0)),"合同外款"))</f>
        <v/>
      </c>
      <c r="I915" s="33"/>
      <c r="J915" s="33"/>
      <c r="K915" s="39"/>
      <c r="L915" s="33"/>
      <c r="M915" s="25"/>
      <c r="N915" s="39"/>
      <c r="O915" s="35" t="str">
        <f aca="false">IF($C915="","",IF(N($N915)&lt;=0,"未开票",IF(ROUND(N($N915)-N($K915),2)&gt;=0,"已开票",IFERROR("部分开票 "&amp;TEXT(N($N915)/N($K915),"0%"),"部分开票"))))</f>
        <v/>
      </c>
      <c r="P915" s="40" t="str">
        <f aca="false">IF($C915="","",ROUND($V915+MIN($W915,MAX(0,(SUMIF(收款键,$D915,收款金额)-SUMIFS(收款金额,收款键,$D915,收款关联,"&lt;&gt;"))-($X915-$W915))),2))</f>
        <v/>
      </c>
      <c r="Q915" s="41" t="str">
        <f aca="false">IF($C915="","",ROUND(N($K915)-N($P915),2))</f>
        <v/>
      </c>
      <c r="R915" s="29" t="str">
        <f aca="false">IF($C915="","",YEAR($C915))</f>
        <v/>
      </c>
      <c r="S915" s="24"/>
      <c r="T915" s="35" t="str">
        <f aca="false">IF($C915="","",IF($D915="","★没选客户项目",IF(COUNTIF(合同键,$D915)=0,"★《维保合同》里没这个项目",IF(N($K915)&lt;=0,"★应收金额要填",IF(ROUND(N($N915)-N($K915),2)&gt;0.001,"★开票金额大于应收",IF(AND($L915&lt;&gt;"",N($N915)&lt;=0),"★填了开票日期没填开票金额",IF(AND($I915&lt;&gt;"",$J915&lt;&gt;"",$J915&lt;$I915),"★计费期间起止反了","OK")))))))</f>
        <v/>
      </c>
      <c r="U915" s="29" t="str">
        <f aca="false">IF($L915="","",YEAR($L915))</f>
        <v/>
      </c>
      <c r="V915" s="40" t="str">
        <f aca="false">IF($C915="","",ROUND(SUMIF(收款关联,$B915,收款金额),2))</f>
        <v/>
      </c>
      <c r="W915" s="40" t="str">
        <f aca="false">IF($C915="","",MAX(0,ROUND(N($K915)-N($V915),2)))</f>
        <v/>
      </c>
      <c r="X915" s="40" t="str">
        <f aca="false">IF($C915="","",ROUND(SUMIFS(应收净额,应收键,$D915,应收行号,"&lt;="&amp;ROW()),2))</f>
        <v/>
      </c>
      <c r="Y915" s="29" t="str">
        <f aca="false">IF($C915="","",ROW())</f>
        <v/>
      </c>
    </row>
    <row r="916" customFormat="false" ht="15" hidden="false" customHeight="false" outlineLevel="0" collapsed="false">
      <c r="A916" s="29" t="str">
        <f aca="false">IF($C916="","",ROW()-4)</f>
        <v/>
      </c>
      <c r="B916" s="35" t="str">
        <f aca="false">IF($C916="","","YS"&amp;TEXT($C916,"yyyymm")&amp;"-"&amp;TEXT(ROW()-4,"0000"))</f>
        <v/>
      </c>
      <c r="C916" s="33"/>
      <c r="D916" s="24"/>
      <c r="E916" s="30" t="str">
        <f aca="false">IF($D916="","",IFERROR(INDEX(合同单位,MATCH($D916,合同键,0)),IFERROR(TRIM(LEFT($D916,FIND("｜",$D916)-1)),$D916)))</f>
        <v/>
      </c>
      <c r="F916" s="30" t="str">
        <f aca="false">IF($D916="","",IFERROR(INDEX(合同项目,MATCH($D916,合同键,0)),IFERROR(TRIM(MID($D916,FIND("｜",$D916)+1,99)),"")))</f>
        <v/>
      </c>
      <c r="G916" s="24"/>
      <c r="H916" s="35" t="str">
        <f aca="false">IF($G916="","",IFERROR(INDEX(费用款别,MATCH($G916,费用类别表,0)),"合同外款"))</f>
        <v/>
      </c>
      <c r="I916" s="33"/>
      <c r="J916" s="33"/>
      <c r="K916" s="39"/>
      <c r="L916" s="33"/>
      <c r="M916" s="25"/>
      <c r="N916" s="39"/>
      <c r="O916" s="35" t="str">
        <f aca="false">IF($C916="","",IF(N($N916)&lt;=0,"未开票",IF(ROUND(N($N916)-N($K916),2)&gt;=0,"已开票",IFERROR("部分开票 "&amp;TEXT(N($N916)/N($K916),"0%"),"部分开票"))))</f>
        <v/>
      </c>
      <c r="P916" s="40" t="str">
        <f aca="false">IF($C916="","",ROUND($V916+MIN($W916,MAX(0,(SUMIF(收款键,$D916,收款金额)-SUMIFS(收款金额,收款键,$D916,收款关联,"&lt;&gt;"))-($X916-$W916))),2))</f>
        <v/>
      </c>
      <c r="Q916" s="41" t="str">
        <f aca="false">IF($C916="","",ROUND(N($K916)-N($P916),2))</f>
        <v/>
      </c>
      <c r="R916" s="29" t="str">
        <f aca="false">IF($C916="","",YEAR($C916))</f>
        <v/>
      </c>
      <c r="S916" s="24"/>
      <c r="T916" s="35" t="str">
        <f aca="false">IF($C916="","",IF($D916="","★没选客户项目",IF(COUNTIF(合同键,$D916)=0,"★《维保合同》里没这个项目",IF(N($K916)&lt;=0,"★应收金额要填",IF(ROUND(N($N916)-N($K916),2)&gt;0.001,"★开票金额大于应收",IF(AND($L916&lt;&gt;"",N($N916)&lt;=0),"★填了开票日期没填开票金额",IF(AND($I916&lt;&gt;"",$J916&lt;&gt;"",$J916&lt;$I916),"★计费期间起止反了","OK")))))))</f>
        <v/>
      </c>
      <c r="U916" s="29" t="str">
        <f aca="false">IF($L916="","",YEAR($L916))</f>
        <v/>
      </c>
      <c r="V916" s="40" t="str">
        <f aca="false">IF($C916="","",ROUND(SUMIF(收款关联,$B916,收款金额),2))</f>
        <v/>
      </c>
      <c r="W916" s="40" t="str">
        <f aca="false">IF($C916="","",MAX(0,ROUND(N($K916)-N($V916),2)))</f>
        <v/>
      </c>
      <c r="X916" s="40" t="str">
        <f aca="false">IF($C916="","",ROUND(SUMIFS(应收净额,应收键,$D916,应收行号,"&lt;="&amp;ROW()),2))</f>
        <v/>
      </c>
      <c r="Y916" s="29" t="str">
        <f aca="false">IF($C916="","",ROW())</f>
        <v/>
      </c>
    </row>
    <row r="917" customFormat="false" ht="15" hidden="false" customHeight="false" outlineLevel="0" collapsed="false">
      <c r="A917" s="29" t="str">
        <f aca="false">IF($C917="","",ROW()-4)</f>
        <v/>
      </c>
      <c r="B917" s="35" t="str">
        <f aca="false">IF($C917="","","YS"&amp;TEXT($C917,"yyyymm")&amp;"-"&amp;TEXT(ROW()-4,"0000"))</f>
        <v/>
      </c>
      <c r="C917" s="33"/>
      <c r="D917" s="24"/>
      <c r="E917" s="30" t="str">
        <f aca="false">IF($D917="","",IFERROR(INDEX(合同单位,MATCH($D917,合同键,0)),IFERROR(TRIM(LEFT($D917,FIND("｜",$D917)-1)),$D917)))</f>
        <v/>
      </c>
      <c r="F917" s="30" t="str">
        <f aca="false">IF($D917="","",IFERROR(INDEX(合同项目,MATCH($D917,合同键,0)),IFERROR(TRIM(MID($D917,FIND("｜",$D917)+1,99)),"")))</f>
        <v/>
      </c>
      <c r="G917" s="24"/>
      <c r="H917" s="35" t="str">
        <f aca="false">IF($G917="","",IFERROR(INDEX(费用款别,MATCH($G917,费用类别表,0)),"合同外款"))</f>
        <v/>
      </c>
      <c r="I917" s="33"/>
      <c r="J917" s="33"/>
      <c r="K917" s="39"/>
      <c r="L917" s="33"/>
      <c r="M917" s="25"/>
      <c r="N917" s="39"/>
      <c r="O917" s="35" t="str">
        <f aca="false">IF($C917="","",IF(N($N917)&lt;=0,"未开票",IF(ROUND(N($N917)-N($K917),2)&gt;=0,"已开票",IFERROR("部分开票 "&amp;TEXT(N($N917)/N($K917),"0%"),"部分开票"))))</f>
        <v/>
      </c>
      <c r="P917" s="40" t="str">
        <f aca="false">IF($C917="","",ROUND($V917+MIN($W917,MAX(0,(SUMIF(收款键,$D917,收款金额)-SUMIFS(收款金额,收款键,$D917,收款关联,"&lt;&gt;"))-($X917-$W917))),2))</f>
        <v/>
      </c>
      <c r="Q917" s="41" t="str">
        <f aca="false">IF($C917="","",ROUND(N($K917)-N($P917),2))</f>
        <v/>
      </c>
      <c r="R917" s="29" t="str">
        <f aca="false">IF($C917="","",YEAR($C917))</f>
        <v/>
      </c>
      <c r="S917" s="24"/>
      <c r="T917" s="35" t="str">
        <f aca="false">IF($C917="","",IF($D917="","★没选客户项目",IF(COUNTIF(合同键,$D917)=0,"★《维保合同》里没这个项目",IF(N($K917)&lt;=0,"★应收金额要填",IF(ROUND(N($N917)-N($K917),2)&gt;0.001,"★开票金额大于应收",IF(AND($L917&lt;&gt;"",N($N917)&lt;=0),"★填了开票日期没填开票金额",IF(AND($I917&lt;&gt;"",$J917&lt;&gt;"",$J917&lt;$I917),"★计费期间起止反了","OK")))))))</f>
        <v/>
      </c>
      <c r="U917" s="29" t="str">
        <f aca="false">IF($L917="","",YEAR($L917))</f>
        <v/>
      </c>
      <c r="V917" s="40" t="str">
        <f aca="false">IF($C917="","",ROUND(SUMIF(收款关联,$B917,收款金额),2))</f>
        <v/>
      </c>
      <c r="W917" s="40" t="str">
        <f aca="false">IF($C917="","",MAX(0,ROUND(N($K917)-N($V917),2)))</f>
        <v/>
      </c>
      <c r="X917" s="40" t="str">
        <f aca="false">IF($C917="","",ROUND(SUMIFS(应收净额,应收键,$D917,应收行号,"&lt;="&amp;ROW()),2))</f>
        <v/>
      </c>
      <c r="Y917" s="29" t="str">
        <f aca="false">IF($C917="","",ROW())</f>
        <v/>
      </c>
    </row>
    <row r="918" customFormat="false" ht="15" hidden="false" customHeight="false" outlineLevel="0" collapsed="false">
      <c r="A918" s="29" t="str">
        <f aca="false">IF($C918="","",ROW()-4)</f>
        <v/>
      </c>
      <c r="B918" s="35" t="str">
        <f aca="false">IF($C918="","","YS"&amp;TEXT($C918,"yyyymm")&amp;"-"&amp;TEXT(ROW()-4,"0000"))</f>
        <v/>
      </c>
      <c r="C918" s="33"/>
      <c r="D918" s="24"/>
      <c r="E918" s="30" t="str">
        <f aca="false">IF($D918="","",IFERROR(INDEX(合同单位,MATCH($D918,合同键,0)),IFERROR(TRIM(LEFT($D918,FIND("｜",$D918)-1)),$D918)))</f>
        <v/>
      </c>
      <c r="F918" s="30" t="str">
        <f aca="false">IF($D918="","",IFERROR(INDEX(合同项目,MATCH($D918,合同键,0)),IFERROR(TRIM(MID($D918,FIND("｜",$D918)+1,99)),"")))</f>
        <v/>
      </c>
      <c r="G918" s="24"/>
      <c r="H918" s="35" t="str">
        <f aca="false">IF($G918="","",IFERROR(INDEX(费用款别,MATCH($G918,费用类别表,0)),"合同外款"))</f>
        <v/>
      </c>
      <c r="I918" s="33"/>
      <c r="J918" s="33"/>
      <c r="K918" s="39"/>
      <c r="L918" s="33"/>
      <c r="M918" s="25"/>
      <c r="N918" s="39"/>
      <c r="O918" s="35" t="str">
        <f aca="false">IF($C918="","",IF(N($N918)&lt;=0,"未开票",IF(ROUND(N($N918)-N($K918),2)&gt;=0,"已开票",IFERROR("部分开票 "&amp;TEXT(N($N918)/N($K918),"0%"),"部分开票"))))</f>
        <v/>
      </c>
      <c r="P918" s="40" t="str">
        <f aca="false">IF($C918="","",ROUND($V918+MIN($W918,MAX(0,(SUMIF(收款键,$D918,收款金额)-SUMIFS(收款金额,收款键,$D918,收款关联,"&lt;&gt;"))-($X918-$W918))),2))</f>
        <v/>
      </c>
      <c r="Q918" s="41" t="str">
        <f aca="false">IF($C918="","",ROUND(N($K918)-N($P918),2))</f>
        <v/>
      </c>
      <c r="R918" s="29" t="str">
        <f aca="false">IF($C918="","",YEAR($C918))</f>
        <v/>
      </c>
      <c r="S918" s="24"/>
      <c r="T918" s="35" t="str">
        <f aca="false">IF($C918="","",IF($D918="","★没选客户项目",IF(COUNTIF(合同键,$D918)=0,"★《维保合同》里没这个项目",IF(N($K918)&lt;=0,"★应收金额要填",IF(ROUND(N($N918)-N($K918),2)&gt;0.001,"★开票金额大于应收",IF(AND($L918&lt;&gt;"",N($N918)&lt;=0),"★填了开票日期没填开票金额",IF(AND($I918&lt;&gt;"",$J918&lt;&gt;"",$J918&lt;$I918),"★计费期间起止反了","OK")))))))</f>
        <v/>
      </c>
      <c r="U918" s="29" t="str">
        <f aca="false">IF($L918="","",YEAR($L918))</f>
        <v/>
      </c>
      <c r="V918" s="40" t="str">
        <f aca="false">IF($C918="","",ROUND(SUMIF(收款关联,$B918,收款金额),2))</f>
        <v/>
      </c>
      <c r="W918" s="40" t="str">
        <f aca="false">IF($C918="","",MAX(0,ROUND(N($K918)-N($V918),2)))</f>
        <v/>
      </c>
      <c r="X918" s="40" t="str">
        <f aca="false">IF($C918="","",ROUND(SUMIFS(应收净额,应收键,$D918,应收行号,"&lt;="&amp;ROW()),2))</f>
        <v/>
      </c>
      <c r="Y918" s="29" t="str">
        <f aca="false">IF($C918="","",ROW())</f>
        <v/>
      </c>
    </row>
    <row r="919" customFormat="false" ht="15" hidden="false" customHeight="false" outlineLevel="0" collapsed="false">
      <c r="A919" s="29" t="str">
        <f aca="false">IF($C919="","",ROW()-4)</f>
        <v/>
      </c>
      <c r="B919" s="35" t="str">
        <f aca="false">IF($C919="","","YS"&amp;TEXT($C919,"yyyymm")&amp;"-"&amp;TEXT(ROW()-4,"0000"))</f>
        <v/>
      </c>
      <c r="C919" s="33"/>
      <c r="D919" s="24"/>
      <c r="E919" s="30" t="str">
        <f aca="false">IF($D919="","",IFERROR(INDEX(合同单位,MATCH($D919,合同键,0)),IFERROR(TRIM(LEFT($D919,FIND("｜",$D919)-1)),$D919)))</f>
        <v/>
      </c>
      <c r="F919" s="30" t="str">
        <f aca="false">IF($D919="","",IFERROR(INDEX(合同项目,MATCH($D919,合同键,0)),IFERROR(TRIM(MID($D919,FIND("｜",$D919)+1,99)),"")))</f>
        <v/>
      </c>
      <c r="G919" s="24"/>
      <c r="H919" s="35" t="str">
        <f aca="false">IF($G919="","",IFERROR(INDEX(费用款别,MATCH($G919,费用类别表,0)),"合同外款"))</f>
        <v/>
      </c>
      <c r="I919" s="33"/>
      <c r="J919" s="33"/>
      <c r="K919" s="39"/>
      <c r="L919" s="33"/>
      <c r="M919" s="25"/>
      <c r="N919" s="39"/>
      <c r="O919" s="35" t="str">
        <f aca="false">IF($C919="","",IF(N($N919)&lt;=0,"未开票",IF(ROUND(N($N919)-N($K919),2)&gt;=0,"已开票",IFERROR("部分开票 "&amp;TEXT(N($N919)/N($K919),"0%"),"部分开票"))))</f>
        <v/>
      </c>
      <c r="P919" s="40" t="str">
        <f aca="false">IF($C919="","",ROUND($V919+MIN($W919,MAX(0,(SUMIF(收款键,$D919,收款金额)-SUMIFS(收款金额,收款键,$D919,收款关联,"&lt;&gt;"))-($X919-$W919))),2))</f>
        <v/>
      </c>
      <c r="Q919" s="41" t="str">
        <f aca="false">IF($C919="","",ROUND(N($K919)-N($P919),2))</f>
        <v/>
      </c>
      <c r="R919" s="29" t="str">
        <f aca="false">IF($C919="","",YEAR($C919))</f>
        <v/>
      </c>
      <c r="S919" s="24"/>
      <c r="T919" s="35" t="str">
        <f aca="false">IF($C919="","",IF($D919="","★没选客户项目",IF(COUNTIF(合同键,$D919)=0,"★《维保合同》里没这个项目",IF(N($K919)&lt;=0,"★应收金额要填",IF(ROUND(N($N919)-N($K919),2)&gt;0.001,"★开票金额大于应收",IF(AND($L919&lt;&gt;"",N($N919)&lt;=0),"★填了开票日期没填开票金额",IF(AND($I919&lt;&gt;"",$J919&lt;&gt;"",$J919&lt;$I919),"★计费期间起止反了","OK")))))))</f>
        <v/>
      </c>
      <c r="U919" s="29" t="str">
        <f aca="false">IF($L919="","",YEAR($L919))</f>
        <v/>
      </c>
      <c r="V919" s="40" t="str">
        <f aca="false">IF($C919="","",ROUND(SUMIF(收款关联,$B919,收款金额),2))</f>
        <v/>
      </c>
      <c r="W919" s="40" t="str">
        <f aca="false">IF($C919="","",MAX(0,ROUND(N($K919)-N($V919),2)))</f>
        <v/>
      </c>
      <c r="X919" s="40" t="str">
        <f aca="false">IF($C919="","",ROUND(SUMIFS(应收净额,应收键,$D919,应收行号,"&lt;="&amp;ROW()),2))</f>
        <v/>
      </c>
      <c r="Y919" s="29" t="str">
        <f aca="false">IF($C919="","",ROW())</f>
        <v/>
      </c>
    </row>
    <row r="920" customFormat="false" ht="15" hidden="false" customHeight="false" outlineLevel="0" collapsed="false">
      <c r="A920" s="29" t="str">
        <f aca="false">IF($C920="","",ROW()-4)</f>
        <v/>
      </c>
      <c r="B920" s="35" t="str">
        <f aca="false">IF($C920="","","YS"&amp;TEXT($C920,"yyyymm")&amp;"-"&amp;TEXT(ROW()-4,"0000"))</f>
        <v/>
      </c>
      <c r="C920" s="33"/>
      <c r="D920" s="24"/>
      <c r="E920" s="30" t="str">
        <f aca="false">IF($D920="","",IFERROR(INDEX(合同单位,MATCH($D920,合同键,0)),IFERROR(TRIM(LEFT($D920,FIND("｜",$D920)-1)),$D920)))</f>
        <v/>
      </c>
      <c r="F920" s="30" t="str">
        <f aca="false">IF($D920="","",IFERROR(INDEX(合同项目,MATCH($D920,合同键,0)),IFERROR(TRIM(MID($D920,FIND("｜",$D920)+1,99)),"")))</f>
        <v/>
      </c>
      <c r="G920" s="24"/>
      <c r="H920" s="35" t="str">
        <f aca="false">IF($G920="","",IFERROR(INDEX(费用款别,MATCH($G920,费用类别表,0)),"合同外款"))</f>
        <v/>
      </c>
      <c r="I920" s="33"/>
      <c r="J920" s="33"/>
      <c r="K920" s="39"/>
      <c r="L920" s="33"/>
      <c r="M920" s="25"/>
      <c r="N920" s="39"/>
      <c r="O920" s="35" t="str">
        <f aca="false">IF($C920="","",IF(N($N920)&lt;=0,"未开票",IF(ROUND(N($N920)-N($K920),2)&gt;=0,"已开票",IFERROR("部分开票 "&amp;TEXT(N($N920)/N($K920),"0%"),"部分开票"))))</f>
        <v/>
      </c>
      <c r="P920" s="40" t="str">
        <f aca="false">IF($C920="","",ROUND($V920+MIN($W920,MAX(0,(SUMIF(收款键,$D920,收款金额)-SUMIFS(收款金额,收款键,$D920,收款关联,"&lt;&gt;"))-($X920-$W920))),2))</f>
        <v/>
      </c>
      <c r="Q920" s="41" t="str">
        <f aca="false">IF($C920="","",ROUND(N($K920)-N($P920),2))</f>
        <v/>
      </c>
      <c r="R920" s="29" t="str">
        <f aca="false">IF($C920="","",YEAR($C920))</f>
        <v/>
      </c>
      <c r="S920" s="24"/>
      <c r="T920" s="35" t="str">
        <f aca="false">IF($C920="","",IF($D920="","★没选客户项目",IF(COUNTIF(合同键,$D920)=0,"★《维保合同》里没这个项目",IF(N($K920)&lt;=0,"★应收金额要填",IF(ROUND(N($N920)-N($K920),2)&gt;0.001,"★开票金额大于应收",IF(AND($L920&lt;&gt;"",N($N920)&lt;=0),"★填了开票日期没填开票金额",IF(AND($I920&lt;&gt;"",$J920&lt;&gt;"",$J920&lt;$I920),"★计费期间起止反了","OK")))))))</f>
        <v/>
      </c>
      <c r="U920" s="29" t="str">
        <f aca="false">IF($L920="","",YEAR($L920))</f>
        <v/>
      </c>
      <c r="V920" s="40" t="str">
        <f aca="false">IF($C920="","",ROUND(SUMIF(收款关联,$B920,收款金额),2))</f>
        <v/>
      </c>
      <c r="W920" s="40" t="str">
        <f aca="false">IF($C920="","",MAX(0,ROUND(N($K920)-N($V920),2)))</f>
        <v/>
      </c>
      <c r="X920" s="40" t="str">
        <f aca="false">IF($C920="","",ROUND(SUMIFS(应收净额,应收键,$D920,应收行号,"&lt;="&amp;ROW()),2))</f>
        <v/>
      </c>
      <c r="Y920" s="29" t="str">
        <f aca="false">IF($C920="","",ROW())</f>
        <v/>
      </c>
    </row>
    <row r="921" customFormat="false" ht="15" hidden="false" customHeight="false" outlineLevel="0" collapsed="false">
      <c r="A921" s="29" t="str">
        <f aca="false">IF($C921="","",ROW()-4)</f>
        <v/>
      </c>
      <c r="B921" s="35" t="str">
        <f aca="false">IF($C921="","","YS"&amp;TEXT($C921,"yyyymm")&amp;"-"&amp;TEXT(ROW()-4,"0000"))</f>
        <v/>
      </c>
      <c r="C921" s="33"/>
      <c r="D921" s="24"/>
      <c r="E921" s="30" t="str">
        <f aca="false">IF($D921="","",IFERROR(INDEX(合同单位,MATCH($D921,合同键,0)),IFERROR(TRIM(LEFT($D921,FIND("｜",$D921)-1)),$D921)))</f>
        <v/>
      </c>
      <c r="F921" s="30" t="str">
        <f aca="false">IF($D921="","",IFERROR(INDEX(合同项目,MATCH($D921,合同键,0)),IFERROR(TRIM(MID($D921,FIND("｜",$D921)+1,99)),"")))</f>
        <v/>
      </c>
      <c r="G921" s="24"/>
      <c r="H921" s="35" t="str">
        <f aca="false">IF($G921="","",IFERROR(INDEX(费用款别,MATCH($G921,费用类别表,0)),"合同外款"))</f>
        <v/>
      </c>
      <c r="I921" s="33"/>
      <c r="J921" s="33"/>
      <c r="K921" s="39"/>
      <c r="L921" s="33"/>
      <c r="M921" s="25"/>
      <c r="N921" s="39"/>
      <c r="O921" s="35" t="str">
        <f aca="false">IF($C921="","",IF(N($N921)&lt;=0,"未开票",IF(ROUND(N($N921)-N($K921),2)&gt;=0,"已开票",IFERROR("部分开票 "&amp;TEXT(N($N921)/N($K921),"0%"),"部分开票"))))</f>
        <v/>
      </c>
      <c r="P921" s="40" t="str">
        <f aca="false">IF($C921="","",ROUND($V921+MIN($W921,MAX(0,(SUMIF(收款键,$D921,收款金额)-SUMIFS(收款金额,收款键,$D921,收款关联,"&lt;&gt;"))-($X921-$W921))),2))</f>
        <v/>
      </c>
      <c r="Q921" s="41" t="str">
        <f aca="false">IF($C921="","",ROUND(N($K921)-N($P921),2))</f>
        <v/>
      </c>
      <c r="R921" s="29" t="str">
        <f aca="false">IF($C921="","",YEAR($C921))</f>
        <v/>
      </c>
      <c r="S921" s="24"/>
      <c r="T921" s="35" t="str">
        <f aca="false">IF($C921="","",IF($D921="","★没选客户项目",IF(COUNTIF(合同键,$D921)=0,"★《维保合同》里没这个项目",IF(N($K921)&lt;=0,"★应收金额要填",IF(ROUND(N($N921)-N($K921),2)&gt;0.001,"★开票金额大于应收",IF(AND($L921&lt;&gt;"",N($N921)&lt;=0),"★填了开票日期没填开票金额",IF(AND($I921&lt;&gt;"",$J921&lt;&gt;"",$J921&lt;$I921),"★计费期间起止反了","OK")))))))</f>
        <v/>
      </c>
      <c r="U921" s="29" t="str">
        <f aca="false">IF($L921="","",YEAR($L921))</f>
        <v/>
      </c>
      <c r="V921" s="40" t="str">
        <f aca="false">IF($C921="","",ROUND(SUMIF(收款关联,$B921,收款金额),2))</f>
        <v/>
      </c>
      <c r="W921" s="40" t="str">
        <f aca="false">IF($C921="","",MAX(0,ROUND(N($K921)-N($V921),2)))</f>
        <v/>
      </c>
      <c r="X921" s="40" t="str">
        <f aca="false">IF($C921="","",ROUND(SUMIFS(应收净额,应收键,$D921,应收行号,"&lt;="&amp;ROW()),2))</f>
        <v/>
      </c>
      <c r="Y921" s="29" t="str">
        <f aca="false">IF($C921="","",ROW())</f>
        <v/>
      </c>
    </row>
    <row r="922" customFormat="false" ht="15" hidden="false" customHeight="false" outlineLevel="0" collapsed="false">
      <c r="A922" s="29" t="str">
        <f aca="false">IF($C922="","",ROW()-4)</f>
        <v/>
      </c>
      <c r="B922" s="35" t="str">
        <f aca="false">IF($C922="","","YS"&amp;TEXT($C922,"yyyymm")&amp;"-"&amp;TEXT(ROW()-4,"0000"))</f>
        <v/>
      </c>
      <c r="C922" s="33"/>
      <c r="D922" s="24"/>
      <c r="E922" s="30" t="str">
        <f aca="false">IF($D922="","",IFERROR(INDEX(合同单位,MATCH($D922,合同键,0)),IFERROR(TRIM(LEFT($D922,FIND("｜",$D922)-1)),$D922)))</f>
        <v/>
      </c>
      <c r="F922" s="30" t="str">
        <f aca="false">IF($D922="","",IFERROR(INDEX(合同项目,MATCH($D922,合同键,0)),IFERROR(TRIM(MID($D922,FIND("｜",$D922)+1,99)),"")))</f>
        <v/>
      </c>
      <c r="G922" s="24"/>
      <c r="H922" s="35" t="str">
        <f aca="false">IF($G922="","",IFERROR(INDEX(费用款别,MATCH($G922,费用类别表,0)),"合同外款"))</f>
        <v/>
      </c>
      <c r="I922" s="33"/>
      <c r="J922" s="33"/>
      <c r="K922" s="39"/>
      <c r="L922" s="33"/>
      <c r="M922" s="25"/>
      <c r="N922" s="39"/>
      <c r="O922" s="35" t="str">
        <f aca="false">IF($C922="","",IF(N($N922)&lt;=0,"未开票",IF(ROUND(N($N922)-N($K922),2)&gt;=0,"已开票",IFERROR("部分开票 "&amp;TEXT(N($N922)/N($K922),"0%"),"部分开票"))))</f>
        <v/>
      </c>
      <c r="P922" s="40" t="str">
        <f aca="false">IF($C922="","",ROUND($V922+MIN($W922,MAX(0,(SUMIF(收款键,$D922,收款金额)-SUMIFS(收款金额,收款键,$D922,收款关联,"&lt;&gt;"))-($X922-$W922))),2))</f>
        <v/>
      </c>
      <c r="Q922" s="41" t="str">
        <f aca="false">IF($C922="","",ROUND(N($K922)-N($P922),2))</f>
        <v/>
      </c>
      <c r="R922" s="29" t="str">
        <f aca="false">IF($C922="","",YEAR($C922))</f>
        <v/>
      </c>
      <c r="S922" s="24"/>
      <c r="T922" s="35" t="str">
        <f aca="false">IF($C922="","",IF($D922="","★没选客户项目",IF(COUNTIF(合同键,$D922)=0,"★《维保合同》里没这个项目",IF(N($K922)&lt;=0,"★应收金额要填",IF(ROUND(N($N922)-N($K922),2)&gt;0.001,"★开票金额大于应收",IF(AND($L922&lt;&gt;"",N($N922)&lt;=0),"★填了开票日期没填开票金额",IF(AND($I922&lt;&gt;"",$J922&lt;&gt;"",$J922&lt;$I922),"★计费期间起止反了","OK")))))))</f>
        <v/>
      </c>
      <c r="U922" s="29" t="str">
        <f aca="false">IF($L922="","",YEAR($L922))</f>
        <v/>
      </c>
      <c r="V922" s="40" t="str">
        <f aca="false">IF($C922="","",ROUND(SUMIF(收款关联,$B922,收款金额),2))</f>
        <v/>
      </c>
      <c r="W922" s="40" t="str">
        <f aca="false">IF($C922="","",MAX(0,ROUND(N($K922)-N($V922),2)))</f>
        <v/>
      </c>
      <c r="X922" s="40" t="str">
        <f aca="false">IF($C922="","",ROUND(SUMIFS(应收净额,应收键,$D922,应收行号,"&lt;="&amp;ROW()),2))</f>
        <v/>
      </c>
      <c r="Y922" s="29" t="str">
        <f aca="false">IF($C922="","",ROW())</f>
        <v/>
      </c>
    </row>
    <row r="923" customFormat="false" ht="15" hidden="false" customHeight="false" outlineLevel="0" collapsed="false">
      <c r="A923" s="29" t="str">
        <f aca="false">IF($C923="","",ROW()-4)</f>
        <v/>
      </c>
      <c r="B923" s="35" t="str">
        <f aca="false">IF($C923="","","YS"&amp;TEXT($C923,"yyyymm")&amp;"-"&amp;TEXT(ROW()-4,"0000"))</f>
        <v/>
      </c>
      <c r="C923" s="33"/>
      <c r="D923" s="24"/>
      <c r="E923" s="30" t="str">
        <f aca="false">IF($D923="","",IFERROR(INDEX(合同单位,MATCH($D923,合同键,0)),IFERROR(TRIM(LEFT($D923,FIND("｜",$D923)-1)),$D923)))</f>
        <v/>
      </c>
      <c r="F923" s="30" t="str">
        <f aca="false">IF($D923="","",IFERROR(INDEX(合同项目,MATCH($D923,合同键,0)),IFERROR(TRIM(MID($D923,FIND("｜",$D923)+1,99)),"")))</f>
        <v/>
      </c>
      <c r="G923" s="24"/>
      <c r="H923" s="35" t="str">
        <f aca="false">IF($G923="","",IFERROR(INDEX(费用款别,MATCH($G923,费用类别表,0)),"合同外款"))</f>
        <v/>
      </c>
      <c r="I923" s="33"/>
      <c r="J923" s="33"/>
      <c r="K923" s="39"/>
      <c r="L923" s="33"/>
      <c r="M923" s="25"/>
      <c r="N923" s="39"/>
      <c r="O923" s="35" t="str">
        <f aca="false">IF($C923="","",IF(N($N923)&lt;=0,"未开票",IF(ROUND(N($N923)-N($K923),2)&gt;=0,"已开票",IFERROR("部分开票 "&amp;TEXT(N($N923)/N($K923),"0%"),"部分开票"))))</f>
        <v/>
      </c>
      <c r="P923" s="40" t="str">
        <f aca="false">IF($C923="","",ROUND($V923+MIN($W923,MAX(0,(SUMIF(收款键,$D923,收款金额)-SUMIFS(收款金额,收款键,$D923,收款关联,"&lt;&gt;"))-($X923-$W923))),2))</f>
        <v/>
      </c>
      <c r="Q923" s="41" t="str">
        <f aca="false">IF($C923="","",ROUND(N($K923)-N($P923),2))</f>
        <v/>
      </c>
      <c r="R923" s="29" t="str">
        <f aca="false">IF($C923="","",YEAR($C923))</f>
        <v/>
      </c>
      <c r="S923" s="24"/>
      <c r="T923" s="35" t="str">
        <f aca="false">IF($C923="","",IF($D923="","★没选客户项目",IF(COUNTIF(合同键,$D923)=0,"★《维保合同》里没这个项目",IF(N($K923)&lt;=0,"★应收金额要填",IF(ROUND(N($N923)-N($K923),2)&gt;0.001,"★开票金额大于应收",IF(AND($L923&lt;&gt;"",N($N923)&lt;=0),"★填了开票日期没填开票金额",IF(AND($I923&lt;&gt;"",$J923&lt;&gt;"",$J923&lt;$I923),"★计费期间起止反了","OK")))))))</f>
        <v/>
      </c>
      <c r="U923" s="29" t="str">
        <f aca="false">IF($L923="","",YEAR($L923))</f>
        <v/>
      </c>
      <c r="V923" s="40" t="str">
        <f aca="false">IF($C923="","",ROUND(SUMIF(收款关联,$B923,收款金额),2))</f>
        <v/>
      </c>
      <c r="W923" s="40" t="str">
        <f aca="false">IF($C923="","",MAX(0,ROUND(N($K923)-N($V923),2)))</f>
        <v/>
      </c>
      <c r="X923" s="40" t="str">
        <f aca="false">IF($C923="","",ROUND(SUMIFS(应收净额,应收键,$D923,应收行号,"&lt;="&amp;ROW()),2))</f>
        <v/>
      </c>
      <c r="Y923" s="29" t="str">
        <f aca="false">IF($C923="","",ROW())</f>
        <v/>
      </c>
    </row>
    <row r="924" customFormat="false" ht="15" hidden="false" customHeight="false" outlineLevel="0" collapsed="false">
      <c r="A924" s="29" t="str">
        <f aca="false">IF($C924="","",ROW()-4)</f>
        <v/>
      </c>
      <c r="B924" s="35" t="str">
        <f aca="false">IF($C924="","","YS"&amp;TEXT($C924,"yyyymm")&amp;"-"&amp;TEXT(ROW()-4,"0000"))</f>
        <v/>
      </c>
      <c r="C924" s="33"/>
      <c r="D924" s="24"/>
      <c r="E924" s="30" t="str">
        <f aca="false">IF($D924="","",IFERROR(INDEX(合同单位,MATCH($D924,合同键,0)),IFERROR(TRIM(LEFT($D924,FIND("｜",$D924)-1)),$D924)))</f>
        <v/>
      </c>
      <c r="F924" s="30" t="str">
        <f aca="false">IF($D924="","",IFERROR(INDEX(合同项目,MATCH($D924,合同键,0)),IFERROR(TRIM(MID($D924,FIND("｜",$D924)+1,99)),"")))</f>
        <v/>
      </c>
      <c r="G924" s="24"/>
      <c r="H924" s="35" t="str">
        <f aca="false">IF($G924="","",IFERROR(INDEX(费用款别,MATCH($G924,费用类别表,0)),"合同外款"))</f>
        <v/>
      </c>
      <c r="I924" s="33"/>
      <c r="J924" s="33"/>
      <c r="K924" s="39"/>
      <c r="L924" s="33"/>
      <c r="M924" s="25"/>
      <c r="N924" s="39"/>
      <c r="O924" s="35" t="str">
        <f aca="false">IF($C924="","",IF(N($N924)&lt;=0,"未开票",IF(ROUND(N($N924)-N($K924),2)&gt;=0,"已开票",IFERROR("部分开票 "&amp;TEXT(N($N924)/N($K924),"0%"),"部分开票"))))</f>
        <v/>
      </c>
      <c r="P924" s="40" t="str">
        <f aca="false">IF($C924="","",ROUND($V924+MIN($W924,MAX(0,(SUMIF(收款键,$D924,收款金额)-SUMIFS(收款金额,收款键,$D924,收款关联,"&lt;&gt;"))-($X924-$W924))),2))</f>
        <v/>
      </c>
      <c r="Q924" s="41" t="str">
        <f aca="false">IF($C924="","",ROUND(N($K924)-N($P924),2))</f>
        <v/>
      </c>
      <c r="R924" s="29" t="str">
        <f aca="false">IF($C924="","",YEAR($C924))</f>
        <v/>
      </c>
      <c r="S924" s="24"/>
      <c r="T924" s="35" t="str">
        <f aca="false">IF($C924="","",IF($D924="","★没选客户项目",IF(COUNTIF(合同键,$D924)=0,"★《维保合同》里没这个项目",IF(N($K924)&lt;=0,"★应收金额要填",IF(ROUND(N($N924)-N($K924),2)&gt;0.001,"★开票金额大于应收",IF(AND($L924&lt;&gt;"",N($N924)&lt;=0),"★填了开票日期没填开票金额",IF(AND($I924&lt;&gt;"",$J924&lt;&gt;"",$J924&lt;$I924),"★计费期间起止反了","OK")))))))</f>
        <v/>
      </c>
      <c r="U924" s="29" t="str">
        <f aca="false">IF($L924="","",YEAR($L924))</f>
        <v/>
      </c>
      <c r="V924" s="40" t="str">
        <f aca="false">IF($C924="","",ROUND(SUMIF(收款关联,$B924,收款金额),2))</f>
        <v/>
      </c>
      <c r="W924" s="40" t="str">
        <f aca="false">IF($C924="","",MAX(0,ROUND(N($K924)-N($V924),2)))</f>
        <v/>
      </c>
      <c r="X924" s="40" t="str">
        <f aca="false">IF($C924="","",ROUND(SUMIFS(应收净额,应收键,$D924,应收行号,"&lt;="&amp;ROW()),2))</f>
        <v/>
      </c>
      <c r="Y924" s="29" t="str">
        <f aca="false">IF($C924="","",ROW())</f>
        <v/>
      </c>
    </row>
    <row r="925" customFormat="false" ht="15" hidden="false" customHeight="false" outlineLevel="0" collapsed="false">
      <c r="A925" s="29" t="str">
        <f aca="false">IF($C925="","",ROW()-4)</f>
        <v/>
      </c>
      <c r="B925" s="35" t="str">
        <f aca="false">IF($C925="","","YS"&amp;TEXT($C925,"yyyymm")&amp;"-"&amp;TEXT(ROW()-4,"0000"))</f>
        <v/>
      </c>
      <c r="C925" s="33"/>
      <c r="D925" s="24"/>
      <c r="E925" s="30" t="str">
        <f aca="false">IF($D925="","",IFERROR(INDEX(合同单位,MATCH($D925,合同键,0)),IFERROR(TRIM(LEFT($D925,FIND("｜",$D925)-1)),$D925)))</f>
        <v/>
      </c>
      <c r="F925" s="30" t="str">
        <f aca="false">IF($D925="","",IFERROR(INDEX(合同项目,MATCH($D925,合同键,0)),IFERROR(TRIM(MID($D925,FIND("｜",$D925)+1,99)),"")))</f>
        <v/>
      </c>
      <c r="G925" s="24"/>
      <c r="H925" s="35" t="str">
        <f aca="false">IF($G925="","",IFERROR(INDEX(费用款别,MATCH($G925,费用类别表,0)),"合同外款"))</f>
        <v/>
      </c>
      <c r="I925" s="33"/>
      <c r="J925" s="33"/>
      <c r="K925" s="39"/>
      <c r="L925" s="33"/>
      <c r="M925" s="25"/>
      <c r="N925" s="39"/>
      <c r="O925" s="35" t="str">
        <f aca="false">IF($C925="","",IF(N($N925)&lt;=0,"未开票",IF(ROUND(N($N925)-N($K925),2)&gt;=0,"已开票",IFERROR("部分开票 "&amp;TEXT(N($N925)/N($K925),"0%"),"部分开票"))))</f>
        <v/>
      </c>
      <c r="P925" s="40" t="str">
        <f aca="false">IF($C925="","",ROUND($V925+MIN($W925,MAX(0,(SUMIF(收款键,$D925,收款金额)-SUMIFS(收款金额,收款键,$D925,收款关联,"&lt;&gt;"))-($X925-$W925))),2))</f>
        <v/>
      </c>
      <c r="Q925" s="41" t="str">
        <f aca="false">IF($C925="","",ROUND(N($K925)-N($P925),2))</f>
        <v/>
      </c>
      <c r="R925" s="29" t="str">
        <f aca="false">IF($C925="","",YEAR($C925))</f>
        <v/>
      </c>
      <c r="S925" s="24"/>
      <c r="T925" s="35" t="str">
        <f aca="false">IF($C925="","",IF($D925="","★没选客户项目",IF(COUNTIF(合同键,$D925)=0,"★《维保合同》里没这个项目",IF(N($K925)&lt;=0,"★应收金额要填",IF(ROUND(N($N925)-N($K925),2)&gt;0.001,"★开票金额大于应收",IF(AND($L925&lt;&gt;"",N($N925)&lt;=0),"★填了开票日期没填开票金额",IF(AND($I925&lt;&gt;"",$J925&lt;&gt;"",$J925&lt;$I925),"★计费期间起止反了","OK")))))))</f>
        <v/>
      </c>
      <c r="U925" s="29" t="str">
        <f aca="false">IF($L925="","",YEAR($L925))</f>
        <v/>
      </c>
      <c r="V925" s="40" t="str">
        <f aca="false">IF($C925="","",ROUND(SUMIF(收款关联,$B925,收款金额),2))</f>
        <v/>
      </c>
      <c r="W925" s="40" t="str">
        <f aca="false">IF($C925="","",MAX(0,ROUND(N($K925)-N($V925),2)))</f>
        <v/>
      </c>
      <c r="X925" s="40" t="str">
        <f aca="false">IF($C925="","",ROUND(SUMIFS(应收净额,应收键,$D925,应收行号,"&lt;="&amp;ROW()),2))</f>
        <v/>
      </c>
      <c r="Y925" s="29" t="str">
        <f aca="false">IF($C925="","",ROW())</f>
        <v/>
      </c>
    </row>
    <row r="926" customFormat="false" ht="15" hidden="false" customHeight="false" outlineLevel="0" collapsed="false">
      <c r="A926" s="29" t="str">
        <f aca="false">IF($C926="","",ROW()-4)</f>
        <v/>
      </c>
      <c r="B926" s="35" t="str">
        <f aca="false">IF($C926="","","YS"&amp;TEXT($C926,"yyyymm")&amp;"-"&amp;TEXT(ROW()-4,"0000"))</f>
        <v/>
      </c>
      <c r="C926" s="33"/>
      <c r="D926" s="24"/>
      <c r="E926" s="30" t="str">
        <f aca="false">IF($D926="","",IFERROR(INDEX(合同单位,MATCH($D926,合同键,0)),IFERROR(TRIM(LEFT($D926,FIND("｜",$D926)-1)),$D926)))</f>
        <v/>
      </c>
      <c r="F926" s="30" t="str">
        <f aca="false">IF($D926="","",IFERROR(INDEX(合同项目,MATCH($D926,合同键,0)),IFERROR(TRIM(MID($D926,FIND("｜",$D926)+1,99)),"")))</f>
        <v/>
      </c>
      <c r="G926" s="24"/>
      <c r="H926" s="35" t="str">
        <f aca="false">IF($G926="","",IFERROR(INDEX(费用款别,MATCH($G926,费用类别表,0)),"合同外款"))</f>
        <v/>
      </c>
      <c r="I926" s="33"/>
      <c r="J926" s="33"/>
      <c r="K926" s="39"/>
      <c r="L926" s="33"/>
      <c r="M926" s="25"/>
      <c r="N926" s="39"/>
      <c r="O926" s="35" t="str">
        <f aca="false">IF($C926="","",IF(N($N926)&lt;=0,"未开票",IF(ROUND(N($N926)-N($K926),2)&gt;=0,"已开票",IFERROR("部分开票 "&amp;TEXT(N($N926)/N($K926),"0%"),"部分开票"))))</f>
        <v/>
      </c>
      <c r="P926" s="40" t="str">
        <f aca="false">IF($C926="","",ROUND($V926+MIN($W926,MAX(0,(SUMIF(收款键,$D926,收款金额)-SUMIFS(收款金额,收款键,$D926,收款关联,"&lt;&gt;"))-($X926-$W926))),2))</f>
        <v/>
      </c>
      <c r="Q926" s="41" t="str">
        <f aca="false">IF($C926="","",ROUND(N($K926)-N($P926),2))</f>
        <v/>
      </c>
      <c r="R926" s="29" t="str">
        <f aca="false">IF($C926="","",YEAR($C926))</f>
        <v/>
      </c>
      <c r="S926" s="24"/>
      <c r="T926" s="35" t="str">
        <f aca="false">IF($C926="","",IF($D926="","★没选客户项目",IF(COUNTIF(合同键,$D926)=0,"★《维保合同》里没这个项目",IF(N($K926)&lt;=0,"★应收金额要填",IF(ROUND(N($N926)-N($K926),2)&gt;0.001,"★开票金额大于应收",IF(AND($L926&lt;&gt;"",N($N926)&lt;=0),"★填了开票日期没填开票金额",IF(AND($I926&lt;&gt;"",$J926&lt;&gt;"",$J926&lt;$I926),"★计费期间起止反了","OK")))))))</f>
        <v/>
      </c>
      <c r="U926" s="29" t="str">
        <f aca="false">IF($L926="","",YEAR($L926))</f>
        <v/>
      </c>
      <c r="V926" s="40" t="str">
        <f aca="false">IF($C926="","",ROUND(SUMIF(收款关联,$B926,收款金额),2))</f>
        <v/>
      </c>
      <c r="W926" s="40" t="str">
        <f aca="false">IF($C926="","",MAX(0,ROUND(N($K926)-N($V926),2)))</f>
        <v/>
      </c>
      <c r="X926" s="40" t="str">
        <f aca="false">IF($C926="","",ROUND(SUMIFS(应收净额,应收键,$D926,应收行号,"&lt;="&amp;ROW()),2))</f>
        <v/>
      </c>
      <c r="Y926" s="29" t="str">
        <f aca="false">IF($C926="","",ROW())</f>
        <v/>
      </c>
    </row>
    <row r="927" customFormat="false" ht="15" hidden="false" customHeight="false" outlineLevel="0" collapsed="false">
      <c r="A927" s="29" t="str">
        <f aca="false">IF($C927="","",ROW()-4)</f>
        <v/>
      </c>
      <c r="B927" s="35" t="str">
        <f aca="false">IF($C927="","","YS"&amp;TEXT($C927,"yyyymm")&amp;"-"&amp;TEXT(ROW()-4,"0000"))</f>
        <v/>
      </c>
      <c r="C927" s="33"/>
      <c r="D927" s="24"/>
      <c r="E927" s="30" t="str">
        <f aca="false">IF($D927="","",IFERROR(INDEX(合同单位,MATCH($D927,合同键,0)),IFERROR(TRIM(LEFT($D927,FIND("｜",$D927)-1)),$D927)))</f>
        <v/>
      </c>
      <c r="F927" s="30" t="str">
        <f aca="false">IF($D927="","",IFERROR(INDEX(合同项目,MATCH($D927,合同键,0)),IFERROR(TRIM(MID($D927,FIND("｜",$D927)+1,99)),"")))</f>
        <v/>
      </c>
      <c r="G927" s="24"/>
      <c r="H927" s="35" t="str">
        <f aca="false">IF($G927="","",IFERROR(INDEX(费用款别,MATCH($G927,费用类别表,0)),"合同外款"))</f>
        <v/>
      </c>
      <c r="I927" s="33"/>
      <c r="J927" s="33"/>
      <c r="K927" s="39"/>
      <c r="L927" s="33"/>
      <c r="M927" s="25"/>
      <c r="N927" s="39"/>
      <c r="O927" s="35" t="str">
        <f aca="false">IF($C927="","",IF(N($N927)&lt;=0,"未开票",IF(ROUND(N($N927)-N($K927),2)&gt;=0,"已开票",IFERROR("部分开票 "&amp;TEXT(N($N927)/N($K927),"0%"),"部分开票"))))</f>
        <v/>
      </c>
      <c r="P927" s="40" t="str">
        <f aca="false">IF($C927="","",ROUND($V927+MIN($W927,MAX(0,(SUMIF(收款键,$D927,收款金额)-SUMIFS(收款金额,收款键,$D927,收款关联,"&lt;&gt;"))-($X927-$W927))),2))</f>
        <v/>
      </c>
      <c r="Q927" s="41" t="str">
        <f aca="false">IF($C927="","",ROUND(N($K927)-N($P927),2))</f>
        <v/>
      </c>
      <c r="R927" s="29" t="str">
        <f aca="false">IF($C927="","",YEAR($C927))</f>
        <v/>
      </c>
      <c r="S927" s="24"/>
      <c r="T927" s="35" t="str">
        <f aca="false">IF($C927="","",IF($D927="","★没选客户项目",IF(COUNTIF(合同键,$D927)=0,"★《维保合同》里没这个项目",IF(N($K927)&lt;=0,"★应收金额要填",IF(ROUND(N($N927)-N($K927),2)&gt;0.001,"★开票金额大于应收",IF(AND($L927&lt;&gt;"",N($N927)&lt;=0),"★填了开票日期没填开票金额",IF(AND($I927&lt;&gt;"",$J927&lt;&gt;"",$J927&lt;$I927),"★计费期间起止反了","OK")))))))</f>
        <v/>
      </c>
      <c r="U927" s="29" t="str">
        <f aca="false">IF($L927="","",YEAR($L927))</f>
        <v/>
      </c>
      <c r="V927" s="40" t="str">
        <f aca="false">IF($C927="","",ROUND(SUMIF(收款关联,$B927,收款金额),2))</f>
        <v/>
      </c>
      <c r="W927" s="40" t="str">
        <f aca="false">IF($C927="","",MAX(0,ROUND(N($K927)-N($V927),2)))</f>
        <v/>
      </c>
      <c r="X927" s="40" t="str">
        <f aca="false">IF($C927="","",ROUND(SUMIFS(应收净额,应收键,$D927,应收行号,"&lt;="&amp;ROW()),2))</f>
        <v/>
      </c>
      <c r="Y927" s="29" t="str">
        <f aca="false">IF($C927="","",ROW())</f>
        <v/>
      </c>
    </row>
    <row r="928" customFormat="false" ht="15" hidden="false" customHeight="false" outlineLevel="0" collapsed="false">
      <c r="A928" s="29" t="str">
        <f aca="false">IF($C928="","",ROW()-4)</f>
        <v/>
      </c>
      <c r="B928" s="35" t="str">
        <f aca="false">IF($C928="","","YS"&amp;TEXT($C928,"yyyymm")&amp;"-"&amp;TEXT(ROW()-4,"0000"))</f>
        <v/>
      </c>
      <c r="C928" s="33"/>
      <c r="D928" s="24"/>
      <c r="E928" s="30" t="str">
        <f aca="false">IF($D928="","",IFERROR(INDEX(合同单位,MATCH($D928,合同键,0)),IFERROR(TRIM(LEFT($D928,FIND("｜",$D928)-1)),$D928)))</f>
        <v/>
      </c>
      <c r="F928" s="30" t="str">
        <f aca="false">IF($D928="","",IFERROR(INDEX(合同项目,MATCH($D928,合同键,0)),IFERROR(TRIM(MID($D928,FIND("｜",$D928)+1,99)),"")))</f>
        <v/>
      </c>
      <c r="G928" s="24"/>
      <c r="H928" s="35" t="str">
        <f aca="false">IF($G928="","",IFERROR(INDEX(费用款别,MATCH($G928,费用类别表,0)),"合同外款"))</f>
        <v/>
      </c>
      <c r="I928" s="33"/>
      <c r="J928" s="33"/>
      <c r="K928" s="39"/>
      <c r="L928" s="33"/>
      <c r="M928" s="25"/>
      <c r="N928" s="39"/>
      <c r="O928" s="35" t="str">
        <f aca="false">IF($C928="","",IF(N($N928)&lt;=0,"未开票",IF(ROUND(N($N928)-N($K928),2)&gt;=0,"已开票",IFERROR("部分开票 "&amp;TEXT(N($N928)/N($K928),"0%"),"部分开票"))))</f>
        <v/>
      </c>
      <c r="P928" s="40" t="str">
        <f aca="false">IF($C928="","",ROUND($V928+MIN($W928,MAX(0,(SUMIF(收款键,$D928,收款金额)-SUMIFS(收款金额,收款键,$D928,收款关联,"&lt;&gt;"))-($X928-$W928))),2))</f>
        <v/>
      </c>
      <c r="Q928" s="41" t="str">
        <f aca="false">IF($C928="","",ROUND(N($K928)-N($P928),2))</f>
        <v/>
      </c>
      <c r="R928" s="29" t="str">
        <f aca="false">IF($C928="","",YEAR($C928))</f>
        <v/>
      </c>
      <c r="S928" s="24"/>
      <c r="T928" s="35" t="str">
        <f aca="false">IF($C928="","",IF($D928="","★没选客户项目",IF(COUNTIF(合同键,$D928)=0,"★《维保合同》里没这个项目",IF(N($K928)&lt;=0,"★应收金额要填",IF(ROUND(N($N928)-N($K928),2)&gt;0.001,"★开票金额大于应收",IF(AND($L928&lt;&gt;"",N($N928)&lt;=0),"★填了开票日期没填开票金额",IF(AND($I928&lt;&gt;"",$J928&lt;&gt;"",$J928&lt;$I928),"★计费期间起止反了","OK")))))))</f>
        <v/>
      </c>
      <c r="U928" s="29" t="str">
        <f aca="false">IF($L928="","",YEAR($L928))</f>
        <v/>
      </c>
      <c r="V928" s="40" t="str">
        <f aca="false">IF($C928="","",ROUND(SUMIF(收款关联,$B928,收款金额),2))</f>
        <v/>
      </c>
      <c r="W928" s="40" t="str">
        <f aca="false">IF($C928="","",MAX(0,ROUND(N($K928)-N($V928),2)))</f>
        <v/>
      </c>
      <c r="X928" s="40" t="str">
        <f aca="false">IF($C928="","",ROUND(SUMIFS(应收净额,应收键,$D928,应收行号,"&lt;="&amp;ROW()),2))</f>
        <v/>
      </c>
      <c r="Y928" s="29" t="str">
        <f aca="false">IF($C928="","",ROW())</f>
        <v/>
      </c>
    </row>
    <row r="929" customFormat="false" ht="15" hidden="false" customHeight="false" outlineLevel="0" collapsed="false">
      <c r="A929" s="29" t="str">
        <f aca="false">IF($C929="","",ROW()-4)</f>
        <v/>
      </c>
      <c r="B929" s="35" t="str">
        <f aca="false">IF($C929="","","YS"&amp;TEXT($C929,"yyyymm")&amp;"-"&amp;TEXT(ROW()-4,"0000"))</f>
        <v/>
      </c>
      <c r="C929" s="33"/>
      <c r="D929" s="24"/>
      <c r="E929" s="30" t="str">
        <f aca="false">IF($D929="","",IFERROR(INDEX(合同单位,MATCH($D929,合同键,0)),IFERROR(TRIM(LEFT($D929,FIND("｜",$D929)-1)),$D929)))</f>
        <v/>
      </c>
      <c r="F929" s="30" t="str">
        <f aca="false">IF($D929="","",IFERROR(INDEX(合同项目,MATCH($D929,合同键,0)),IFERROR(TRIM(MID($D929,FIND("｜",$D929)+1,99)),"")))</f>
        <v/>
      </c>
      <c r="G929" s="24"/>
      <c r="H929" s="35" t="str">
        <f aca="false">IF($G929="","",IFERROR(INDEX(费用款别,MATCH($G929,费用类别表,0)),"合同外款"))</f>
        <v/>
      </c>
      <c r="I929" s="33"/>
      <c r="J929" s="33"/>
      <c r="K929" s="39"/>
      <c r="L929" s="33"/>
      <c r="M929" s="25"/>
      <c r="N929" s="39"/>
      <c r="O929" s="35" t="str">
        <f aca="false">IF($C929="","",IF(N($N929)&lt;=0,"未开票",IF(ROUND(N($N929)-N($K929),2)&gt;=0,"已开票",IFERROR("部分开票 "&amp;TEXT(N($N929)/N($K929),"0%"),"部分开票"))))</f>
        <v/>
      </c>
      <c r="P929" s="40" t="str">
        <f aca="false">IF($C929="","",ROUND($V929+MIN($W929,MAX(0,(SUMIF(收款键,$D929,收款金额)-SUMIFS(收款金额,收款键,$D929,收款关联,"&lt;&gt;"))-($X929-$W929))),2))</f>
        <v/>
      </c>
      <c r="Q929" s="41" t="str">
        <f aca="false">IF($C929="","",ROUND(N($K929)-N($P929),2))</f>
        <v/>
      </c>
      <c r="R929" s="29" t="str">
        <f aca="false">IF($C929="","",YEAR($C929))</f>
        <v/>
      </c>
      <c r="S929" s="24"/>
      <c r="T929" s="35" t="str">
        <f aca="false">IF($C929="","",IF($D929="","★没选客户项目",IF(COUNTIF(合同键,$D929)=0,"★《维保合同》里没这个项目",IF(N($K929)&lt;=0,"★应收金额要填",IF(ROUND(N($N929)-N($K929),2)&gt;0.001,"★开票金额大于应收",IF(AND($L929&lt;&gt;"",N($N929)&lt;=0),"★填了开票日期没填开票金额",IF(AND($I929&lt;&gt;"",$J929&lt;&gt;"",$J929&lt;$I929),"★计费期间起止反了","OK")))))))</f>
        <v/>
      </c>
      <c r="U929" s="29" t="str">
        <f aca="false">IF($L929="","",YEAR($L929))</f>
        <v/>
      </c>
      <c r="V929" s="40" t="str">
        <f aca="false">IF($C929="","",ROUND(SUMIF(收款关联,$B929,收款金额),2))</f>
        <v/>
      </c>
      <c r="W929" s="40" t="str">
        <f aca="false">IF($C929="","",MAX(0,ROUND(N($K929)-N($V929),2)))</f>
        <v/>
      </c>
      <c r="X929" s="40" t="str">
        <f aca="false">IF($C929="","",ROUND(SUMIFS(应收净额,应收键,$D929,应收行号,"&lt;="&amp;ROW()),2))</f>
        <v/>
      </c>
      <c r="Y929" s="29" t="str">
        <f aca="false">IF($C929="","",ROW())</f>
        <v/>
      </c>
    </row>
    <row r="930" customFormat="false" ht="15" hidden="false" customHeight="false" outlineLevel="0" collapsed="false">
      <c r="A930" s="29" t="str">
        <f aca="false">IF($C930="","",ROW()-4)</f>
        <v/>
      </c>
      <c r="B930" s="35" t="str">
        <f aca="false">IF($C930="","","YS"&amp;TEXT($C930,"yyyymm")&amp;"-"&amp;TEXT(ROW()-4,"0000"))</f>
        <v/>
      </c>
      <c r="C930" s="33"/>
      <c r="D930" s="24"/>
      <c r="E930" s="30" t="str">
        <f aca="false">IF($D930="","",IFERROR(INDEX(合同单位,MATCH($D930,合同键,0)),IFERROR(TRIM(LEFT($D930,FIND("｜",$D930)-1)),$D930)))</f>
        <v/>
      </c>
      <c r="F930" s="30" t="str">
        <f aca="false">IF($D930="","",IFERROR(INDEX(合同项目,MATCH($D930,合同键,0)),IFERROR(TRIM(MID($D930,FIND("｜",$D930)+1,99)),"")))</f>
        <v/>
      </c>
      <c r="G930" s="24"/>
      <c r="H930" s="35" t="str">
        <f aca="false">IF($G930="","",IFERROR(INDEX(费用款别,MATCH($G930,费用类别表,0)),"合同外款"))</f>
        <v/>
      </c>
      <c r="I930" s="33"/>
      <c r="J930" s="33"/>
      <c r="K930" s="39"/>
      <c r="L930" s="33"/>
      <c r="M930" s="25"/>
      <c r="N930" s="39"/>
      <c r="O930" s="35" t="str">
        <f aca="false">IF($C930="","",IF(N($N930)&lt;=0,"未开票",IF(ROUND(N($N930)-N($K930),2)&gt;=0,"已开票",IFERROR("部分开票 "&amp;TEXT(N($N930)/N($K930),"0%"),"部分开票"))))</f>
        <v/>
      </c>
      <c r="P930" s="40" t="str">
        <f aca="false">IF($C930="","",ROUND($V930+MIN($W930,MAX(0,(SUMIF(收款键,$D930,收款金额)-SUMIFS(收款金额,收款键,$D930,收款关联,"&lt;&gt;"))-($X930-$W930))),2))</f>
        <v/>
      </c>
      <c r="Q930" s="41" t="str">
        <f aca="false">IF($C930="","",ROUND(N($K930)-N($P930),2))</f>
        <v/>
      </c>
      <c r="R930" s="29" t="str">
        <f aca="false">IF($C930="","",YEAR($C930))</f>
        <v/>
      </c>
      <c r="S930" s="24"/>
      <c r="T930" s="35" t="str">
        <f aca="false">IF($C930="","",IF($D930="","★没选客户项目",IF(COUNTIF(合同键,$D930)=0,"★《维保合同》里没这个项目",IF(N($K930)&lt;=0,"★应收金额要填",IF(ROUND(N($N930)-N($K930),2)&gt;0.001,"★开票金额大于应收",IF(AND($L930&lt;&gt;"",N($N930)&lt;=0),"★填了开票日期没填开票金额",IF(AND($I930&lt;&gt;"",$J930&lt;&gt;"",$J930&lt;$I930),"★计费期间起止反了","OK")))))))</f>
        <v/>
      </c>
      <c r="U930" s="29" t="str">
        <f aca="false">IF($L930="","",YEAR($L930))</f>
        <v/>
      </c>
      <c r="V930" s="40" t="str">
        <f aca="false">IF($C930="","",ROUND(SUMIF(收款关联,$B930,收款金额),2))</f>
        <v/>
      </c>
      <c r="W930" s="40" t="str">
        <f aca="false">IF($C930="","",MAX(0,ROUND(N($K930)-N($V930),2)))</f>
        <v/>
      </c>
      <c r="X930" s="40" t="str">
        <f aca="false">IF($C930="","",ROUND(SUMIFS(应收净额,应收键,$D930,应收行号,"&lt;="&amp;ROW()),2))</f>
        <v/>
      </c>
      <c r="Y930" s="29" t="str">
        <f aca="false">IF($C930="","",ROW())</f>
        <v/>
      </c>
    </row>
    <row r="931" customFormat="false" ht="15" hidden="false" customHeight="false" outlineLevel="0" collapsed="false">
      <c r="A931" s="29" t="str">
        <f aca="false">IF($C931="","",ROW()-4)</f>
        <v/>
      </c>
      <c r="B931" s="35" t="str">
        <f aca="false">IF($C931="","","YS"&amp;TEXT($C931,"yyyymm")&amp;"-"&amp;TEXT(ROW()-4,"0000"))</f>
        <v/>
      </c>
      <c r="C931" s="33"/>
      <c r="D931" s="24"/>
      <c r="E931" s="30" t="str">
        <f aca="false">IF($D931="","",IFERROR(INDEX(合同单位,MATCH($D931,合同键,0)),IFERROR(TRIM(LEFT($D931,FIND("｜",$D931)-1)),$D931)))</f>
        <v/>
      </c>
      <c r="F931" s="30" t="str">
        <f aca="false">IF($D931="","",IFERROR(INDEX(合同项目,MATCH($D931,合同键,0)),IFERROR(TRIM(MID($D931,FIND("｜",$D931)+1,99)),"")))</f>
        <v/>
      </c>
      <c r="G931" s="24"/>
      <c r="H931" s="35" t="str">
        <f aca="false">IF($G931="","",IFERROR(INDEX(费用款别,MATCH($G931,费用类别表,0)),"合同外款"))</f>
        <v/>
      </c>
      <c r="I931" s="33"/>
      <c r="J931" s="33"/>
      <c r="K931" s="39"/>
      <c r="L931" s="33"/>
      <c r="M931" s="25"/>
      <c r="N931" s="39"/>
      <c r="O931" s="35" t="str">
        <f aca="false">IF($C931="","",IF(N($N931)&lt;=0,"未开票",IF(ROUND(N($N931)-N($K931),2)&gt;=0,"已开票",IFERROR("部分开票 "&amp;TEXT(N($N931)/N($K931),"0%"),"部分开票"))))</f>
        <v/>
      </c>
      <c r="P931" s="40" t="str">
        <f aca="false">IF($C931="","",ROUND($V931+MIN($W931,MAX(0,(SUMIF(收款键,$D931,收款金额)-SUMIFS(收款金额,收款键,$D931,收款关联,"&lt;&gt;"))-($X931-$W931))),2))</f>
        <v/>
      </c>
      <c r="Q931" s="41" t="str">
        <f aca="false">IF($C931="","",ROUND(N($K931)-N($P931),2))</f>
        <v/>
      </c>
      <c r="R931" s="29" t="str">
        <f aca="false">IF($C931="","",YEAR($C931))</f>
        <v/>
      </c>
      <c r="S931" s="24"/>
      <c r="T931" s="35" t="str">
        <f aca="false">IF($C931="","",IF($D931="","★没选客户项目",IF(COUNTIF(合同键,$D931)=0,"★《维保合同》里没这个项目",IF(N($K931)&lt;=0,"★应收金额要填",IF(ROUND(N($N931)-N($K931),2)&gt;0.001,"★开票金额大于应收",IF(AND($L931&lt;&gt;"",N($N931)&lt;=0),"★填了开票日期没填开票金额",IF(AND($I931&lt;&gt;"",$J931&lt;&gt;"",$J931&lt;$I931),"★计费期间起止反了","OK")))))))</f>
        <v/>
      </c>
      <c r="U931" s="29" t="str">
        <f aca="false">IF($L931="","",YEAR($L931))</f>
        <v/>
      </c>
      <c r="V931" s="40" t="str">
        <f aca="false">IF($C931="","",ROUND(SUMIF(收款关联,$B931,收款金额),2))</f>
        <v/>
      </c>
      <c r="W931" s="40" t="str">
        <f aca="false">IF($C931="","",MAX(0,ROUND(N($K931)-N($V931),2)))</f>
        <v/>
      </c>
      <c r="X931" s="40" t="str">
        <f aca="false">IF($C931="","",ROUND(SUMIFS(应收净额,应收键,$D931,应收行号,"&lt;="&amp;ROW()),2))</f>
        <v/>
      </c>
      <c r="Y931" s="29" t="str">
        <f aca="false">IF($C931="","",ROW())</f>
        <v/>
      </c>
    </row>
    <row r="932" customFormat="false" ht="15" hidden="false" customHeight="false" outlineLevel="0" collapsed="false">
      <c r="A932" s="29" t="str">
        <f aca="false">IF($C932="","",ROW()-4)</f>
        <v/>
      </c>
      <c r="B932" s="35" t="str">
        <f aca="false">IF($C932="","","YS"&amp;TEXT($C932,"yyyymm")&amp;"-"&amp;TEXT(ROW()-4,"0000"))</f>
        <v/>
      </c>
      <c r="C932" s="33"/>
      <c r="D932" s="24"/>
      <c r="E932" s="30" t="str">
        <f aca="false">IF($D932="","",IFERROR(INDEX(合同单位,MATCH($D932,合同键,0)),IFERROR(TRIM(LEFT($D932,FIND("｜",$D932)-1)),$D932)))</f>
        <v/>
      </c>
      <c r="F932" s="30" t="str">
        <f aca="false">IF($D932="","",IFERROR(INDEX(合同项目,MATCH($D932,合同键,0)),IFERROR(TRIM(MID($D932,FIND("｜",$D932)+1,99)),"")))</f>
        <v/>
      </c>
      <c r="G932" s="24"/>
      <c r="H932" s="35" t="str">
        <f aca="false">IF($G932="","",IFERROR(INDEX(费用款别,MATCH($G932,费用类别表,0)),"合同外款"))</f>
        <v/>
      </c>
      <c r="I932" s="33"/>
      <c r="J932" s="33"/>
      <c r="K932" s="39"/>
      <c r="L932" s="33"/>
      <c r="M932" s="25"/>
      <c r="N932" s="39"/>
      <c r="O932" s="35" t="str">
        <f aca="false">IF($C932="","",IF(N($N932)&lt;=0,"未开票",IF(ROUND(N($N932)-N($K932),2)&gt;=0,"已开票",IFERROR("部分开票 "&amp;TEXT(N($N932)/N($K932),"0%"),"部分开票"))))</f>
        <v/>
      </c>
      <c r="P932" s="40" t="str">
        <f aca="false">IF($C932="","",ROUND($V932+MIN($W932,MAX(0,(SUMIF(收款键,$D932,收款金额)-SUMIFS(收款金额,收款键,$D932,收款关联,"&lt;&gt;"))-($X932-$W932))),2))</f>
        <v/>
      </c>
      <c r="Q932" s="41" t="str">
        <f aca="false">IF($C932="","",ROUND(N($K932)-N($P932),2))</f>
        <v/>
      </c>
      <c r="R932" s="29" t="str">
        <f aca="false">IF($C932="","",YEAR($C932))</f>
        <v/>
      </c>
      <c r="S932" s="24"/>
      <c r="T932" s="35" t="str">
        <f aca="false">IF($C932="","",IF($D932="","★没选客户项目",IF(COUNTIF(合同键,$D932)=0,"★《维保合同》里没这个项目",IF(N($K932)&lt;=0,"★应收金额要填",IF(ROUND(N($N932)-N($K932),2)&gt;0.001,"★开票金额大于应收",IF(AND($L932&lt;&gt;"",N($N932)&lt;=0),"★填了开票日期没填开票金额",IF(AND($I932&lt;&gt;"",$J932&lt;&gt;"",$J932&lt;$I932),"★计费期间起止反了","OK")))))))</f>
        <v/>
      </c>
      <c r="U932" s="29" t="str">
        <f aca="false">IF($L932="","",YEAR($L932))</f>
        <v/>
      </c>
      <c r="V932" s="40" t="str">
        <f aca="false">IF($C932="","",ROUND(SUMIF(收款关联,$B932,收款金额),2))</f>
        <v/>
      </c>
      <c r="W932" s="40" t="str">
        <f aca="false">IF($C932="","",MAX(0,ROUND(N($K932)-N($V932),2)))</f>
        <v/>
      </c>
      <c r="X932" s="40" t="str">
        <f aca="false">IF($C932="","",ROUND(SUMIFS(应收净额,应收键,$D932,应收行号,"&lt;="&amp;ROW()),2))</f>
        <v/>
      </c>
      <c r="Y932" s="29" t="str">
        <f aca="false">IF($C932="","",ROW())</f>
        <v/>
      </c>
    </row>
    <row r="933" customFormat="false" ht="15" hidden="false" customHeight="false" outlineLevel="0" collapsed="false">
      <c r="A933" s="29" t="str">
        <f aca="false">IF($C933="","",ROW()-4)</f>
        <v/>
      </c>
      <c r="B933" s="35" t="str">
        <f aca="false">IF($C933="","","YS"&amp;TEXT($C933,"yyyymm")&amp;"-"&amp;TEXT(ROW()-4,"0000"))</f>
        <v/>
      </c>
      <c r="C933" s="33"/>
      <c r="D933" s="24"/>
      <c r="E933" s="30" t="str">
        <f aca="false">IF($D933="","",IFERROR(INDEX(合同单位,MATCH($D933,合同键,0)),IFERROR(TRIM(LEFT($D933,FIND("｜",$D933)-1)),$D933)))</f>
        <v/>
      </c>
      <c r="F933" s="30" t="str">
        <f aca="false">IF($D933="","",IFERROR(INDEX(合同项目,MATCH($D933,合同键,0)),IFERROR(TRIM(MID($D933,FIND("｜",$D933)+1,99)),"")))</f>
        <v/>
      </c>
      <c r="G933" s="24"/>
      <c r="H933" s="35" t="str">
        <f aca="false">IF($G933="","",IFERROR(INDEX(费用款别,MATCH($G933,费用类别表,0)),"合同外款"))</f>
        <v/>
      </c>
      <c r="I933" s="33"/>
      <c r="J933" s="33"/>
      <c r="K933" s="39"/>
      <c r="L933" s="33"/>
      <c r="M933" s="25"/>
      <c r="N933" s="39"/>
      <c r="O933" s="35" t="str">
        <f aca="false">IF($C933="","",IF(N($N933)&lt;=0,"未开票",IF(ROUND(N($N933)-N($K933),2)&gt;=0,"已开票",IFERROR("部分开票 "&amp;TEXT(N($N933)/N($K933),"0%"),"部分开票"))))</f>
        <v/>
      </c>
      <c r="P933" s="40" t="str">
        <f aca="false">IF($C933="","",ROUND($V933+MIN($W933,MAX(0,(SUMIF(收款键,$D933,收款金额)-SUMIFS(收款金额,收款键,$D933,收款关联,"&lt;&gt;"))-($X933-$W933))),2))</f>
        <v/>
      </c>
      <c r="Q933" s="41" t="str">
        <f aca="false">IF($C933="","",ROUND(N($K933)-N($P933),2))</f>
        <v/>
      </c>
      <c r="R933" s="29" t="str">
        <f aca="false">IF($C933="","",YEAR($C933))</f>
        <v/>
      </c>
      <c r="S933" s="24"/>
      <c r="T933" s="35" t="str">
        <f aca="false">IF($C933="","",IF($D933="","★没选客户项目",IF(COUNTIF(合同键,$D933)=0,"★《维保合同》里没这个项目",IF(N($K933)&lt;=0,"★应收金额要填",IF(ROUND(N($N933)-N($K933),2)&gt;0.001,"★开票金额大于应收",IF(AND($L933&lt;&gt;"",N($N933)&lt;=0),"★填了开票日期没填开票金额",IF(AND($I933&lt;&gt;"",$J933&lt;&gt;"",$J933&lt;$I933),"★计费期间起止反了","OK")))))))</f>
        <v/>
      </c>
      <c r="U933" s="29" t="str">
        <f aca="false">IF($L933="","",YEAR($L933))</f>
        <v/>
      </c>
      <c r="V933" s="40" t="str">
        <f aca="false">IF($C933="","",ROUND(SUMIF(收款关联,$B933,收款金额),2))</f>
        <v/>
      </c>
      <c r="W933" s="40" t="str">
        <f aca="false">IF($C933="","",MAX(0,ROUND(N($K933)-N($V933),2)))</f>
        <v/>
      </c>
      <c r="X933" s="40" t="str">
        <f aca="false">IF($C933="","",ROUND(SUMIFS(应收净额,应收键,$D933,应收行号,"&lt;="&amp;ROW()),2))</f>
        <v/>
      </c>
      <c r="Y933" s="29" t="str">
        <f aca="false">IF($C933="","",ROW())</f>
        <v/>
      </c>
    </row>
    <row r="934" customFormat="false" ht="15" hidden="false" customHeight="false" outlineLevel="0" collapsed="false">
      <c r="A934" s="29" t="str">
        <f aca="false">IF($C934="","",ROW()-4)</f>
        <v/>
      </c>
      <c r="B934" s="35" t="str">
        <f aca="false">IF($C934="","","YS"&amp;TEXT($C934,"yyyymm")&amp;"-"&amp;TEXT(ROW()-4,"0000"))</f>
        <v/>
      </c>
      <c r="C934" s="33"/>
      <c r="D934" s="24"/>
      <c r="E934" s="30" t="str">
        <f aca="false">IF($D934="","",IFERROR(INDEX(合同单位,MATCH($D934,合同键,0)),IFERROR(TRIM(LEFT($D934,FIND("｜",$D934)-1)),$D934)))</f>
        <v/>
      </c>
      <c r="F934" s="30" t="str">
        <f aca="false">IF($D934="","",IFERROR(INDEX(合同项目,MATCH($D934,合同键,0)),IFERROR(TRIM(MID($D934,FIND("｜",$D934)+1,99)),"")))</f>
        <v/>
      </c>
      <c r="G934" s="24"/>
      <c r="H934" s="35" t="str">
        <f aca="false">IF($G934="","",IFERROR(INDEX(费用款别,MATCH($G934,费用类别表,0)),"合同外款"))</f>
        <v/>
      </c>
      <c r="I934" s="33"/>
      <c r="J934" s="33"/>
      <c r="K934" s="39"/>
      <c r="L934" s="33"/>
      <c r="M934" s="25"/>
      <c r="N934" s="39"/>
      <c r="O934" s="35" t="str">
        <f aca="false">IF($C934="","",IF(N($N934)&lt;=0,"未开票",IF(ROUND(N($N934)-N($K934),2)&gt;=0,"已开票",IFERROR("部分开票 "&amp;TEXT(N($N934)/N($K934),"0%"),"部分开票"))))</f>
        <v/>
      </c>
      <c r="P934" s="40" t="str">
        <f aca="false">IF($C934="","",ROUND($V934+MIN($W934,MAX(0,(SUMIF(收款键,$D934,收款金额)-SUMIFS(收款金额,收款键,$D934,收款关联,"&lt;&gt;"))-($X934-$W934))),2))</f>
        <v/>
      </c>
      <c r="Q934" s="41" t="str">
        <f aca="false">IF($C934="","",ROUND(N($K934)-N($P934),2))</f>
        <v/>
      </c>
      <c r="R934" s="29" t="str">
        <f aca="false">IF($C934="","",YEAR($C934))</f>
        <v/>
      </c>
      <c r="S934" s="24"/>
      <c r="T934" s="35" t="str">
        <f aca="false">IF($C934="","",IF($D934="","★没选客户项目",IF(COUNTIF(合同键,$D934)=0,"★《维保合同》里没这个项目",IF(N($K934)&lt;=0,"★应收金额要填",IF(ROUND(N($N934)-N($K934),2)&gt;0.001,"★开票金额大于应收",IF(AND($L934&lt;&gt;"",N($N934)&lt;=0),"★填了开票日期没填开票金额",IF(AND($I934&lt;&gt;"",$J934&lt;&gt;"",$J934&lt;$I934),"★计费期间起止反了","OK")))))))</f>
        <v/>
      </c>
      <c r="U934" s="29" t="str">
        <f aca="false">IF($L934="","",YEAR($L934))</f>
        <v/>
      </c>
      <c r="V934" s="40" t="str">
        <f aca="false">IF($C934="","",ROUND(SUMIF(收款关联,$B934,收款金额),2))</f>
        <v/>
      </c>
      <c r="W934" s="40" t="str">
        <f aca="false">IF($C934="","",MAX(0,ROUND(N($K934)-N($V934),2)))</f>
        <v/>
      </c>
      <c r="X934" s="40" t="str">
        <f aca="false">IF($C934="","",ROUND(SUMIFS(应收净额,应收键,$D934,应收行号,"&lt;="&amp;ROW()),2))</f>
        <v/>
      </c>
      <c r="Y934" s="29" t="str">
        <f aca="false">IF($C934="","",ROW())</f>
        <v/>
      </c>
    </row>
    <row r="935" customFormat="false" ht="15" hidden="false" customHeight="false" outlineLevel="0" collapsed="false">
      <c r="A935" s="29" t="str">
        <f aca="false">IF($C935="","",ROW()-4)</f>
        <v/>
      </c>
      <c r="B935" s="35" t="str">
        <f aca="false">IF($C935="","","YS"&amp;TEXT($C935,"yyyymm")&amp;"-"&amp;TEXT(ROW()-4,"0000"))</f>
        <v/>
      </c>
      <c r="C935" s="33"/>
      <c r="D935" s="24"/>
      <c r="E935" s="30" t="str">
        <f aca="false">IF($D935="","",IFERROR(INDEX(合同单位,MATCH($D935,合同键,0)),IFERROR(TRIM(LEFT($D935,FIND("｜",$D935)-1)),$D935)))</f>
        <v/>
      </c>
      <c r="F935" s="30" t="str">
        <f aca="false">IF($D935="","",IFERROR(INDEX(合同项目,MATCH($D935,合同键,0)),IFERROR(TRIM(MID($D935,FIND("｜",$D935)+1,99)),"")))</f>
        <v/>
      </c>
      <c r="G935" s="24"/>
      <c r="H935" s="35" t="str">
        <f aca="false">IF($G935="","",IFERROR(INDEX(费用款别,MATCH($G935,费用类别表,0)),"合同外款"))</f>
        <v/>
      </c>
      <c r="I935" s="33"/>
      <c r="J935" s="33"/>
      <c r="K935" s="39"/>
      <c r="L935" s="33"/>
      <c r="M935" s="25"/>
      <c r="N935" s="39"/>
      <c r="O935" s="35" t="str">
        <f aca="false">IF($C935="","",IF(N($N935)&lt;=0,"未开票",IF(ROUND(N($N935)-N($K935),2)&gt;=0,"已开票",IFERROR("部分开票 "&amp;TEXT(N($N935)/N($K935),"0%"),"部分开票"))))</f>
        <v/>
      </c>
      <c r="P935" s="40" t="str">
        <f aca="false">IF($C935="","",ROUND($V935+MIN($W935,MAX(0,(SUMIF(收款键,$D935,收款金额)-SUMIFS(收款金额,收款键,$D935,收款关联,"&lt;&gt;"))-($X935-$W935))),2))</f>
        <v/>
      </c>
      <c r="Q935" s="41" t="str">
        <f aca="false">IF($C935="","",ROUND(N($K935)-N($P935),2))</f>
        <v/>
      </c>
      <c r="R935" s="29" t="str">
        <f aca="false">IF($C935="","",YEAR($C935))</f>
        <v/>
      </c>
      <c r="S935" s="24"/>
      <c r="T935" s="35" t="str">
        <f aca="false">IF($C935="","",IF($D935="","★没选客户项目",IF(COUNTIF(合同键,$D935)=0,"★《维保合同》里没这个项目",IF(N($K935)&lt;=0,"★应收金额要填",IF(ROUND(N($N935)-N($K935),2)&gt;0.001,"★开票金额大于应收",IF(AND($L935&lt;&gt;"",N($N935)&lt;=0),"★填了开票日期没填开票金额",IF(AND($I935&lt;&gt;"",$J935&lt;&gt;"",$J935&lt;$I935),"★计费期间起止反了","OK")))))))</f>
        <v/>
      </c>
      <c r="U935" s="29" t="str">
        <f aca="false">IF($L935="","",YEAR($L935))</f>
        <v/>
      </c>
      <c r="V935" s="40" t="str">
        <f aca="false">IF($C935="","",ROUND(SUMIF(收款关联,$B935,收款金额),2))</f>
        <v/>
      </c>
      <c r="W935" s="40" t="str">
        <f aca="false">IF($C935="","",MAX(0,ROUND(N($K935)-N($V935),2)))</f>
        <v/>
      </c>
      <c r="X935" s="40" t="str">
        <f aca="false">IF($C935="","",ROUND(SUMIFS(应收净额,应收键,$D935,应收行号,"&lt;="&amp;ROW()),2))</f>
        <v/>
      </c>
      <c r="Y935" s="29" t="str">
        <f aca="false">IF($C935="","",ROW())</f>
        <v/>
      </c>
    </row>
    <row r="936" customFormat="false" ht="15" hidden="false" customHeight="false" outlineLevel="0" collapsed="false">
      <c r="A936" s="29" t="str">
        <f aca="false">IF($C936="","",ROW()-4)</f>
        <v/>
      </c>
      <c r="B936" s="35" t="str">
        <f aca="false">IF($C936="","","YS"&amp;TEXT($C936,"yyyymm")&amp;"-"&amp;TEXT(ROW()-4,"0000"))</f>
        <v/>
      </c>
      <c r="C936" s="33"/>
      <c r="D936" s="24"/>
      <c r="E936" s="30" t="str">
        <f aca="false">IF($D936="","",IFERROR(INDEX(合同单位,MATCH($D936,合同键,0)),IFERROR(TRIM(LEFT($D936,FIND("｜",$D936)-1)),$D936)))</f>
        <v/>
      </c>
      <c r="F936" s="30" t="str">
        <f aca="false">IF($D936="","",IFERROR(INDEX(合同项目,MATCH($D936,合同键,0)),IFERROR(TRIM(MID($D936,FIND("｜",$D936)+1,99)),"")))</f>
        <v/>
      </c>
      <c r="G936" s="24"/>
      <c r="H936" s="35" t="str">
        <f aca="false">IF($G936="","",IFERROR(INDEX(费用款别,MATCH($G936,费用类别表,0)),"合同外款"))</f>
        <v/>
      </c>
      <c r="I936" s="33"/>
      <c r="J936" s="33"/>
      <c r="K936" s="39"/>
      <c r="L936" s="33"/>
      <c r="M936" s="25"/>
      <c r="N936" s="39"/>
      <c r="O936" s="35" t="str">
        <f aca="false">IF($C936="","",IF(N($N936)&lt;=0,"未开票",IF(ROUND(N($N936)-N($K936),2)&gt;=0,"已开票",IFERROR("部分开票 "&amp;TEXT(N($N936)/N($K936),"0%"),"部分开票"))))</f>
        <v/>
      </c>
      <c r="P936" s="40" t="str">
        <f aca="false">IF($C936="","",ROUND($V936+MIN($W936,MAX(0,(SUMIF(收款键,$D936,收款金额)-SUMIFS(收款金额,收款键,$D936,收款关联,"&lt;&gt;"))-($X936-$W936))),2))</f>
        <v/>
      </c>
      <c r="Q936" s="41" t="str">
        <f aca="false">IF($C936="","",ROUND(N($K936)-N($P936),2))</f>
        <v/>
      </c>
      <c r="R936" s="29" t="str">
        <f aca="false">IF($C936="","",YEAR($C936))</f>
        <v/>
      </c>
      <c r="S936" s="24"/>
      <c r="T936" s="35" t="str">
        <f aca="false">IF($C936="","",IF($D936="","★没选客户项目",IF(COUNTIF(合同键,$D936)=0,"★《维保合同》里没这个项目",IF(N($K936)&lt;=0,"★应收金额要填",IF(ROUND(N($N936)-N($K936),2)&gt;0.001,"★开票金额大于应收",IF(AND($L936&lt;&gt;"",N($N936)&lt;=0),"★填了开票日期没填开票金额",IF(AND($I936&lt;&gt;"",$J936&lt;&gt;"",$J936&lt;$I936),"★计费期间起止反了","OK")))))))</f>
        <v/>
      </c>
      <c r="U936" s="29" t="str">
        <f aca="false">IF($L936="","",YEAR($L936))</f>
        <v/>
      </c>
      <c r="V936" s="40" t="str">
        <f aca="false">IF($C936="","",ROUND(SUMIF(收款关联,$B936,收款金额),2))</f>
        <v/>
      </c>
      <c r="W936" s="40" t="str">
        <f aca="false">IF($C936="","",MAX(0,ROUND(N($K936)-N($V936),2)))</f>
        <v/>
      </c>
      <c r="X936" s="40" t="str">
        <f aca="false">IF($C936="","",ROUND(SUMIFS(应收净额,应收键,$D936,应收行号,"&lt;="&amp;ROW()),2))</f>
        <v/>
      </c>
      <c r="Y936" s="29" t="str">
        <f aca="false">IF($C936="","",ROW())</f>
        <v/>
      </c>
    </row>
    <row r="937" customFormat="false" ht="15" hidden="false" customHeight="false" outlineLevel="0" collapsed="false">
      <c r="A937" s="29" t="str">
        <f aca="false">IF($C937="","",ROW()-4)</f>
        <v/>
      </c>
      <c r="B937" s="35" t="str">
        <f aca="false">IF($C937="","","YS"&amp;TEXT($C937,"yyyymm")&amp;"-"&amp;TEXT(ROW()-4,"0000"))</f>
        <v/>
      </c>
      <c r="C937" s="33"/>
      <c r="D937" s="24"/>
      <c r="E937" s="30" t="str">
        <f aca="false">IF($D937="","",IFERROR(INDEX(合同单位,MATCH($D937,合同键,0)),IFERROR(TRIM(LEFT($D937,FIND("｜",$D937)-1)),$D937)))</f>
        <v/>
      </c>
      <c r="F937" s="30" t="str">
        <f aca="false">IF($D937="","",IFERROR(INDEX(合同项目,MATCH($D937,合同键,0)),IFERROR(TRIM(MID($D937,FIND("｜",$D937)+1,99)),"")))</f>
        <v/>
      </c>
      <c r="G937" s="24"/>
      <c r="H937" s="35" t="str">
        <f aca="false">IF($G937="","",IFERROR(INDEX(费用款别,MATCH($G937,费用类别表,0)),"合同外款"))</f>
        <v/>
      </c>
      <c r="I937" s="33"/>
      <c r="J937" s="33"/>
      <c r="K937" s="39"/>
      <c r="L937" s="33"/>
      <c r="M937" s="25"/>
      <c r="N937" s="39"/>
      <c r="O937" s="35" t="str">
        <f aca="false">IF($C937="","",IF(N($N937)&lt;=0,"未开票",IF(ROUND(N($N937)-N($K937),2)&gt;=0,"已开票",IFERROR("部分开票 "&amp;TEXT(N($N937)/N($K937),"0%"),"部分开票"))))</f>
        <v/>
      </c>
      <c r="P937" s="40" t="str">
        <f aca="false">IF($C937="","",ROUND($V937+MIN($W937,MAX(0,(SUMIF(收款键,$D937,收款金额)-SUMIFS(收款金额,收款键,$D937,收款关联,"&lt;&gt;"))-($X937-$W937))),2))</f>
        <v/>
      </c>
      <c r="Q937" s="41" t="str">
        <f aca="false">IF($C937="","",ROUND(N($K937)-N($P937),2))</f>
        <v/>
      </c>
      <c r="R937" s="29" t="str">
        <f aca="false">IF($C937="","",YEAR($C937))</f>
        <v/>
      </c>
      <c r="S937" s="24"/>
      <c r="T937" s="35" t="str">
        <f aca="false">IF($C937="","",IF($D937="","★没选客户项目",IF(COUNTIF(合同键,$D937)=0,"★《维保合同》里没这个项目",IF(N($K937)&lt;=0,"★应收金额要填",IF(ROUND(N($N937)-N($K937),2)&gt;0.001,"★开票金额大于应收",IF(AND($L937&lt;&gt;"",N($N937)&lt;=0),"★填了开票日期没填开票金额",IF(AND($I937&lt;&gt;"",$J937&lt;&gt;"",$J937&lt;$I937),"★计费期间起止反了","OK")))))))</f>
        <v/>
      </c>
      <c r="U937" s="29" t="str">
        <f aca="false">IF($L937="","",YEAR($L937))</f>
        <v/>
      </c>
      <c r="V937" s="40" t="str">
        <f aca="false">IF($C937="","",ROUND(SUMIF(收款关联,$B937,收款金额),2))</f>
        <v/>
      </c>
      <c r="W937" s="40" t="str">
        <f aca="false">IF($C937="","",MAX(0,ROUND(N($K937)-N($V937),2)))</f>
        <v/>
      </c>
      <c r="X937" s="40" t="str">
        <f aca="false">IF($C937="","",ROUND(SUMIFS(应收净额,应收键,$D937,应收行号,"&lt;="&amp;ROW()),2))</f>
        <v/>
      </c>
      <c r="Y937" s="29" t="str">
        <f aca="false">IF($C937="","",ROW())</f>
        <v/>
      </c>
    </row>
    <row r="938" customFormat="false" ht="15" hidden="false" customHeight="false" outlineLevel="0" collapsed="false">
      <c r="A938" s="29" t="str">
        <f aca="false">IF($C938="","",ROW()-4)</f>
        <v/>
      </c>
      <c r="B938" s="35" t="str">
        <f aca="false">IF($C938="","","YS"&amp;TEXT($C938,"yyyymm")&amp;"-"&amp;TEXT(ROW()-4,"0000"))</f>
        <v/>
      </c>
      <c r="C938" s="33"/>
      <c r="D938" s="24"/>
      <c r="E938" s="30" t="str">
        <f aca="false">IF($D938="","",IFERROR(INDEX(合同单位,MATCH($D938,合同键,0)),IFERROR(TRIM(LEFT($D938,FIND("｜",$D938)-1)),$D938)))</f>
        <v/>
      </c>
      <c r="F938" s="30" t="str">
        <f aca="false">IF($D938="","",IFERROR(INDEX(合同项目,MATCH($D938,合同键,0)),IFERROR(TRIM(MID($D938,FIND("｜",$D938)+1,99)),"")))</f>
        <v/>
      </c>
      <c r="G938" s="24"/>
      <c r="H938" s="35" t="str">
        <f aca="false">IF($G938="","",IFERROR(INDEX(费用款别,MATCH($G938,费用类别表,0)),"合同外款"))</f>
        <v/>
      </c>
      <c r="I938" s="33"/>
      <c r="J938" s="33"/>
      <c r="K938" s="39"/>
      <c r="L938" s="33"/>
      <c r="M938" s="25"/>
      <c r="N938" s="39"/>
      <c r="O938" s="35" t="str">
        <f aca="false">IF($C938="","",IF(N($N938)&lt;=0,"未开票",IF(ROUND(N($N938)-N($K938),2)&gt;=0,"已开票",IFERROR("部分开票 "&amp;TEXT(N($N938)/N($K938),"0%"),"部分开票"))))</f>
        <v/>
      </c>
      <c r="P938" s="40" t="str">
        <f aca="false">IF($C938="","",ROUND($V938+MIN($W938,MAX(0,(SUMIF(收款键,$D938,收款金额)-SUMIFS(收款金额,收款键,$D938,收款关联,"&lt;&gt;"))-($X938-$W938))),2))</f>
        <v/>
      </c>
      <c r="Q938" s="41" t="str">
        <f aca="false">IF($C938="","",ROUND(N($K938)-N($P938),2))</f>
        <v/>
      </c>
      <c r="R938" s="29" t="str">
        <f aca="false">IF($C938="","",YEAR($C938))</f>
        <v/>
      </c>
      <c r="S938" s="24"/>
      <c r="T938" s="35" t="str">
        <f aca="false">IF($C938="","",IF($D938="","★没选客户项目",IF(COUNTIF(合同键,$D938)=0,"★《维保合同》里没这个项目",IF(N($K938)&lt;=0,"★应收金额要填",IF(ROUND(N($N938)-N($K938),2)&gt;0.001,"★开票金额大于应收",IF(AND($L938&lt;&gt;"",N($N938)&lt;=0),"★填了开票日期没填开票金额",IF(AND($I938&lt;&gt;"",$J938&lt;&gt;"",$J938&lt;$I938),"★计费期间起止反了","OK")))))))</f>
        <v/>
      </c>
      <c r="U938" s="29" t="str">
        <f aca="false">IF($L938="","",YEAR($L938))</f>
        <v/>
      </c>
      <c r="V938" s="40" t="str">
        <f aca="false">IF($C938="","",ROUND(SUMIF(收款关联,$B938,收款金额),2))</f>
        <v/>
      </c>
      <c r="W938" s="40" t="str">
        <f aca="false">IF($C938="","",MAX(0,ROUND(N($K938)-N($V938),2)))</f>
        <v/>
      </c>
      <c r="X938" s="40" t="str">
        <f aca="false">IF($C938="","",ROUND(SUMIFS(应收净额,应收键,$D938,应收行号,"&lt;="&amp;ROW()),2))</f>
        <v/>
      </c>
      <c r="Y938" s="29" t="str">
        <f aca="false">IF($C938="","",ROW())</f>
        <v/>
      </c>
    </row>
    <row r="939" customFormat="false" ht="15" hidden="false" customHeight="false" outlineLevel="0" collapsed="false">
      <c r="A939" s="29" t="str">
        <f aca="false">IF($C939="","",ROW()-4)</f>
        <v/>
      </c>
      <c r="B939" s="35" t="str">
        <f aca="false">IF($C939="","","YS"&amp;TEXT($C939,"yyyymm")&amp;"-"&amp;TEXT(ROW()-4,"0000"))</f>
        <v/>
      </c>
      <c r="C939" s="33"/>
      <c r="D939" s="24"/>
      <c r="E939" s="30" t="str">
        <f aca="false">IF($D939="","",IFERROR(INDEX(合同单位,MATCH($D939,合同键,0)),IFERROR(TRIM(LEFT($D939,FIND("｜",$D939)-1)),$D939)))</f>
        <v/>
      </c>
      <c r="F939" s="30" t="str">
        <f aca="false">IF($D939="","",IFERROR(INDEX(合同项目,MATCH($D939,合同键,0)),IFERROR(TRIM(MID($D939,FIND("｜",$D939)+1,99)),"")))</f>
        <v/>
      </c>
      <c r="G939" s="24"/>
      <c r="H939" s="35" t="str">
        <f aca="false">IF($G939="","",IFERROR(INDEX(费用款别,MATCH($G939,费用类别表,0)),"合同外款"))</f>
        <v/>
      </c>
      <c r="I939" s="33"/>
      <c r="J939" s="33"/>
      <c r="K939" s="39"/>
      <c r="L939" s="33"/>
      <c r="M939" s="25"/>
      <c r="N939" s="39"/>
      <c r="O939" s="35" t="str">
        <f aca="false">IF($C939="","",IF(N($N939)&lt;=0,"未开票",IF(ROUND(N($N939)-N($K939),2)&gt;=0,"已开票",IFERROR("部分开票 "&amp;TEXT(N($N939)/N($K939),"0%"),"部分开票"))))</f>
        <v/>
      </c>
      <c r="P939" s="40" t="str">
        <f aca="false">IF($C939="","",ROUND($V939+MIN($W939,MAX(0,(SUMIF(收款键,$D939,收款金额)-SUMIFS(收款金额,收款键,$D939,收款关联,"&lt;&gt;"))-($X939-$W939))),2))</f>
        <v/>
      </c>
      <c r="Q939" s="41" t="str">
        <f aca="false">IF($C939="","",ROUND(N($K939)-N($P939),2))</f>
        <v/>
      </c>
      <c r="R939" s="29" t="str">
        <f aca="false">IF($C939="","",YEAR($C939))</f>
        <v/>
      </c>
      <c r="S939" s="24"/>
      <c r="T939" s="35" t="str">
        <f aca="false">IF($C939="","",IF($D939="","★没选客户项目",IF(COUNTIF(合同键,$D939)=0,"★《维保合同》里没这个项目",IF(N($K939)&lt;=0,"★应收金额要填",IF(ROUND(N($N939)-N($K939),2)&gt;0.001,"★开票金额大于应收",IF(AND($L939&lt;&gt;"",N($N939)&lt;=0),"★填了开票日期没填开票金额",IF(AND($I939&lt;&gt;"",$J939&lt;&gt;"",$J939&lt;$I939),"★计费期间起止反了","OK")))))))</f>
        <v/>
      </c>
      <c r="U939" s="29" t="str">
        <f aca="false">IF($L939="","",YEAR($L939))</f>
        <v/>
      </c>
      <c r="V939" s="40" t="str">
        <f aca="false">IF($C939="","",ROUND(SUMIF(收款关联,$B939,收款金额),2))</f>
        <v/>
      </c>
      <c r="W939" s="40" t="str">
        <f aca="false">IF($C939="","",MAX(0,ROUND(N($K939)-N($V939),2)))</f>
        <v/>
      </c>
      <c r="X939" s="40" t="str">
        <f aca="false">IF($C939="","",ROUND(SUMIFS(应收净额,应收键,$D939,应收行号,"&lt;="&amp;ROW()),2))</f>
        <v/>
      </c>
      <c r="Y939" s="29" t="str">
        <f aca="false">IF($C939="","",ROW())</f>
        <v/>
      </c>
    </row>
    <row r="940" customFormat="false" ht="15" hidden="false" customHeight="false" outlineLevel="0" collapsed="false">
      <c r="A940" s="29" t="str">
        <f aca="false">IF($C940="","",ROW()-4)</f>
        <v/>
      </c>
      <c r="B940" s="35" t="str">
        <f aca="false">IF($C940="","","YS"&amp;TEXT($C940,"yyyymm")&amp;"-"&amp;TEXT(ROW()-4,"0000"))</f>
        <v/>
      </c>
      <c r="C940" s="33"/>
      <c r="D940" s="24"/>
      <c r="E940" s="30" t="str">
        <f aca="false">IF($D940="","",IFERROR(INDEX(合同单位,MATCH($D940,合同键,0)),IFERROR(TRIM(LEFT($D940,FIND("｜",$D940)-1)),$D940)))</f>
        <v/>
      </c>
      <c r="F940" s="30" t="str">
        <f aca="false">IF($D940="","",IFERROR(INDEX(合同项目,MATCH($D940,合同键,0)),IFERROR(TRIM(MID($D940,FIND("｜",$D940)+1,99)),"")))</f>
        <v/>
      </c>
      <c r="G940" s="24"/>
      <c r="H940" s="35" t="str">
        <f aca="false">IF($G940="","",IFERROR(INDEX(费用款别,MATCH($G940,费用类别表,0)),"合同外款"))</f>
        <v/>
      </c>
      <c r="I940" s="33"/>
      <c r="J940" s="33"/>
      <c r="K940" s="39"/>
      <c r="L940" s="33"/>
      <c r="M940" s="25"/>
      <c r="N940" s="39"/>
      <c r="O940" s="35" t="str">
        <f aca="false">IF($C940="","",IF(N($N940)&lt;=0,"未开票",IF(ROUND(N($N940)-N($K940),2)&gt;=0,"已开票",IFERROR("部分开票 "&amp;TEXT(N($N940)/N($K940),"0%"),"部分开票"))))</f>
        <v/>
      </c>
      <c r="P940" s="40" t="str">
        <f aca="false">IF($C940="","",ROUND($V940+MIN($W940,MAX(0,(SUMIF(收款键,$D940,收款金额)-SUMIFS(收款金额,收款键,$D940,收款关联,"&lt;&gt;"))-($X940-$W940))),2))</f>
        <v/>
      </c>
      <c r="Q940" s="41" t="str">
        <f aca="false">IF($C940="","",ROUND(N($K940)-N($P940),2))</f>
        <v/>
      </c>
      <c r="R940" s="29" t="str">
        <f aca="false">IF($C940="","",YEAR($C940))</f>
        <v/>
      </c>
      <c r="S940" s="24"/>
      <c r="T940" s="35" t="str">
        <f aca="false">IF($C940="","",IF($D940="","★没选客户项目",IF(COUNTIF(合同键,$D940)=0,"★《维保合同》里没这个项目",IF(N($K940)&lt;=0,"★应收金额要填",IF(ROUND(N($N940)-N($K940),2)&gt;0.001,"★开票金额大于应收",IF(AND($L940&lt;&gt;"",N($N940)&lt;=0),"★填了开票日期没填开票金额",IF(AND($I940&lt;&gt;"",$J940&lt;&gt;"",$J940&lt;$I940),"★计费期间起止反了","OK")))))))</f>
        <v/>
      </c>
      <c r="U940" s="29" t="str">
        <f aca="false">IF($L940="","",YEAR($L940))</f>
        <v/>
      </c>
      <c r="V940" s="40" t="str">
        <f aca="false">IF($C940="","",ROUND(SUMIF(收款关联,$B940,收款金额),2))</f>
        <v/>
      </c>
      <c r="W940" s="40" t="str">
        <f aca="false">IF($C940="","",MAX(0,ROUND(N($K940)-N($V940),2)))</f>
        <v/>
      </c>
      <c r="X940" s="40" t="str">
        <f aca="false">IF($C940="","",ROUND(SUMIFS(应收净额,应收键,$D940,应收行号,"&lt;="&amp;ROW()),2))</f>
        <v/>
      </c>
      <c r="Y940" s="29" t="str">
        <f aca="false">IF($C940="","",ROW())</f>
        <v/>
      </c>
    </row>
    <row r="941" customFormat="false" ht="15" hidden="false" customHeight="false" outlineLevel="0" collapsed="false">
      <c r="A941" s="29" t="str">
        <f aca="false">IF($C941="","",ROW()-4)</f>
        <v/>
      </c>
      <c r="B941" s="35" t="str">
        <f aca="false">IF($C941="","","YS"&amp;TEXT($C941,"yyyymm")&amp;"-"&amp;TEXT(ROW()-4,"0000"))</f>
        <v/>
      </c>
      <c r="C941" s="33"/>
      <c r="D941" s="24"/>
      <c r="E941" s="30" t="str">
        <f aca="false">IF($D941="","",IFERROR(INDEX(合同单位,MATCH($D941,合同键,0)),IFERROR(TRIM(LEFT($D941,FIND("｜",$D941)-1)),$D941)))</f>
        <v/>
      </c>
      <c r="F941" s="30" t="str">
        <f aca="false">IF($D941="","",IFERROR(INDEX(合同项目,MATCH($D941,合同键,0)),IFERROR(TRIM(MID($D941,FIND("｜",$D941)+1,99)),"")))</f>
        <v/>
      </c>
      <c r="G941" s="24"/>
      <c r="H941" s="35" t="str">
        <f aca="false">IF($G941="","",IFERROR(INDEX(费用款别,MATCH($G941,费用类别表,0)),"合同外款"))</f>
        <v/>
      </c>
      <c r="I941" s="33"/>
      <c r="J941" s="33"/>
      <c r="K941" s="39"/>
      <c r="L941" s="33"/>
      <c r="M941" s="25"/>
      <c r="N941" s="39"/>
      <c r="O941" s="35" t="str">
        <f aca="false">IF($C941="","",IF(N($N941)&lt;=0,"未开票",IF(ROUND(N($N941)-N($K941),2)&gt;=0,"已开票",IFERROR("部分开票 "&amp;TEXT(N($N941)/N($K941),"0%"),"部分开票"))))</f>
        <v/>
      </c>
      <c r="P941" s="40" t="str">
        <f aca="false">IF($C941="","",ROUND($V941+MIN($W941,MAX(0,(SUMIF(收款键,$D941,收款金额)-SUMIFS(收款金额,收款键,$D941,收款关联,"&lt;&gt;"))-($X941-$W941))),2))</f>
        <v/>
      </c>
      <c r="Q941" s="41" t="str">
        <f aca="false">IF($C941="","",ROUND(N($K941)-N($P941),2))</f>
        <v/>
      </c>
      <c r="R941" s="29" t="str">
        <f aca="false">IF($C941="","",YEAR($C941))</f>
        <v/>
      </c>
      <c r="S941" s="24"/>
      <c r="T941" s="35" t="str">
        <f aca="false">IF($C941="","",IF($D941="","★没选客户项目",IF(COUNTIF(合同键,$D941)=0,"★《维保合同》里没这个项目",IF(N($K941)&lt;=0,"★应收金额要填",IF(ROUND(N($N941)-N($K941),2)&gt;0.001,"★开票金额大于应收",IF(AND($L941&lt;&gt;"",N($N941)&lt;=0),"★填了开票日期没填开票金额",IF(AND($I941&lt;&gt;"",$J941&lt;&gt;"",$J941&lt;$I941),"★计费期间起止反了","OK")))))))</f>
        <v/>
      </c>
      <c r="U941" s="29" t="str">
        <f aca="false">IF($L941="","",YEAR($L941))</f>
        <v/>
      </c>
      <c r="V941" s="40" t="str">
        <f aca="false">IF($C941="","",ROUND(SUMIF(收款关联,$B941,收款金额),2))</f>
        <v/>
      </c>
      <c r="W941" s="40" t="str">
        <f aca="false">IF($C941="","",MAX(0,ROUND(N($K941)-N($V941),2)))</f>
        <v/>
      </c>
      <c r="X941" s="40" t="str">
        <f aca="false">IF($C941="","",ROUND(SUMIFS(应收净额,应收键,$D941,应收行号,"&lt;="&amp;ROW()),2))</f>
        <v/>
      </c>
      <c r="Y941" s="29" t="str">
        <f aca="false">IF($C941="","",ROW())</f>
        <v/>
      </c>
    </row>
    <row r="942" customFormat="false" ht="15" hidden="false" customHeight="false" outlineLevel="0" collapsed="false">
      <c r="A942" s="29" t="str">
        <f aca="false">IF($C942="","",ROW()-4)</f>
        <v/>
      </c>
      <c r="B942" s="35" t="str">
        <f aca="false">IF($C942="","","YS"&amp;TEXT($C942,"yyyymm")&amp;"-"&amp;TEXT(ROW()-4,"0000"))</f>
        <v/>
      </c>
      <c r="C942" s="33"/>
      <c r="D942" s="24"/>
      <c r="E942" s="30" t="str">
        <f aca="false">IF($D942="","",IFERROR(INDEX(合同单位,MATCH($D942,合同键,0)),IFERROR(TRIM(LEFT($D942,FIND("｜",$D942)-1)),$D942)))</f>
        <v/>
      </c>
      <c r="F942" s="30" t="str">
        <f aca="false">IF($D942="","",IFERROR(INDEX(合同项目,MATCH($D942,合同键,0)),IFERROR(TRIM(MID($D942,FIND("｜",$D942)+1,99)),"")))</f>
        <v/>
      </c>
      <c r="G942" s="24"/>
      <c r="H942" s="35" t="str">
        <f aca="false">IF($G942="","",IFERROR(INDEX(费用款别,MATCH($G942,费用类别表,0)),"合同外款"))</f>
        <v/>
      </c>
      <c r="I942" s="33"/>
      <c r="J942" s="33"/>
      <c r="K942" s="39"/>
      <c r="L942" s="33"/>
      <c r="M942" s="25"/>
      <c r="N942" s="39"/>
      <c r="O942" s="35" t="str">
        <f aca="false">IF($C942="","",IF(N($N942)&lt;=0,"未开票",IF(ROUND(N($N942)-N($K942),2)&gt;=0,"已开票",IFERROR("部分开票 "&amp;TEXT(N($N942)/N($K942),"0%"),"部分开票"))))</f>
        <v/>
      </c>
      <c r="P942" s="40" t="str">
        <f aca="false">IF($C942="","",ROUND($V942+MIN($W942,MAX(0,(SUMIF(收款键,$D942,收款金额)-SUMIFS(收款金额,收款键,$D942,收款关联,"&lt;&gt;"))-($X942-$W942))),2))</f>
        <v/>
      </c>
      <c r="Q942" s="41" t="str">
        <f aca="false">IF($C942="","",ROUND(N($K942)-N($P942),2))</f>
        <v/>
      </c>
      <c r="R942" s="29" t="str">
        <f aca="false">IF($C942="","",YEAR($C942))</f>
        <v/>
      </c>
      <c r="S942" s="24"/>
      <c r="T942" s="35" t="str">
        <f aca="false">IF($C942="","",IF($D942="","★没选客户项目",IF(COUNTIF(合同键,$D942)=0,"★《维保合同》里没这个项目",IF(N($K942)&lt;=0,"★应收金额要填",IF(ROUND(N($N942)-N($K942),2)&gt;0.001,"★开票金额大于应收",IF(AND($L942&lt;&gt;"",N($N942)&lt;=0),"★填了开票日期没填开票金额",IF(AND($I942&lt;&gt;"",$J942&lt;&gt;"",$J942&lt;$I942),"★计费期间起止反了","OK")))))))</f>
        <v/>
      </c>
      <c r="U942" s="29" t="str">
        <f aca="false">IF($L942="","",YEAR($L942))</f>
        <v/>
      </c>
      <c r="V942" s="40" t="str">
        <f aca="false">IF($C942="","",ROUND(SUMIF(收款关联,$B942,收款金额),2))</f>
        <v/>
      </c>
      <c r="W942" s="40" t="str">
        <f aca="false">IF($C942="","",MAX(0,ROUND(N($K942)-N($V942),2)))</f>
        <v/>
      </c>
      <c r="X942" s="40" t="str">
        <f aca="false">IF($C942="","",ROUND(SUMIFS(应收净额,应收键,$D942,应收行号,"&lt;="&amp;ROW()),2))</f>
        <v/>
      </c>
      <c r="Y942" s="29" t="str">
        <f aca="false">IF($C942="","",ROW())</f>
        <v/>
      </c>
    </row>
    <row r="943" customFormat="false" ht="15" hidden="false" customHeight="false" outlineLevel="0" collapsed="false">
      <c r="A943" s="29" t="str">
        <f aca="false">IF($C943="","",ROW()-4)</f>
        <v/>
      </c>
      <c r="B943" s="35" t="str">
        <f aca="false">IF($C943="","","YS"&amp;TEXT($C943,"yyyymm")&amp;"-"&amp;TEXT(ROW()-4,"0000"))</f>
        <v/>
      </c>
      <c r="C943" s="33"/>
      <c r="D943" s="24"/>
      <c r="E943" s="30" t="str">
        <f aca="false">IF($D943="","",IFERROR(INDEX(合同单位,MATCH($D943,合同键,0)),IFERROR(TRIM(LEFT($D943,FIND("｜",$D943)-1)),$D943)))</f>
        <v/>
      </c>
      <c r="F943" s="30" t="str">
        <f aca="false">IF($D943="","",IFERROR(INDEX(合同项目,MATCH($D943,合同键,0)),IFERROR(TRIM(MID($D943,FIND("｜",$D943)+1,99)),"")))</f>
        <v/>
      </c>
      <c r="G943" s="24"/>
      <c r="H943" s="35" t="str">
        <f aca="false">IF($G943="","",IFERROR(INDEX(费用款别,MATCH($G943,费用类别表,0)),"合同外款"))</f>
        <v/>
      </c>
      <c r="I943" s="33"/>
      <c r="J943" s="33"/>
      <c r="K943" s="39"/>
      <c r="L943" s="33"/>
      <c r="M943" s="25"/>
      <c r="N943" s="39"/>
      <c r="O943" s="35" t="str">
        <f aca="false">IF($C943="","",IF(N($N943)&lt;=0,"未开票",IF(ROUND(N($N943)-N($K943),2)&gt;=0,"已开票",IFERROR("部分开票 "&amp;TEXT(N($N943)/N($K943),"0%"),"部分开票"))))</f>
        <v/>
      </c>
      <c r="P943" s="40" t="str">
        <f aca="false">IF($C943="","",ROUND($V943+MIN($W943,MAX(0,(SUMIF(收款键,$D943,收款金额)-SUMIFS(收款金额,收款键,$D943,收款关联,"&lt;&gt;"))-($X943-$W943))),2))</f>
        <v/>
      </c>
      <c r="Q943" s="41" t="str">
        <f aca="false">IF($C943="","",ROUND(N($K943)-N($P943),2))</f>
        <v/>
      </c>
      <c r="R943" s="29" t="str">
        <f aca="false">IF($C943="","",YEAR($C943))</f>
        <v/>
      </c>
      <c r="S943" s="24"/>
      <c r="T943" s="35" t="str">
        <f aca="false">IF($C943="","",IF($D943="","★没选客户项目",IF(COUNTIF(合同键,$D943)=0,"★《维保合同》里没这个项目",IF(N($K943)&lt;=0,"★应收金额要填",IF(ROUND(N($N943)-N($K943),2)&gt;0.001,"★开票金额大于应收",IF(AND($L943&lt;&gt;"",N($N943)&lt;=0),"★填了开票日期没填开票金额",IF(AND($I943&lt;&gt;"",$J943&lt;&gt;"",$J943&lt;$I943),"★计费期间起止反了","OK")))))))</f>
        <v/>
      </c>
      <c r="U943" s="29" t="str">
        <f aca="false">IF($L943="","",YEAR($L943))</f>
        <v/>
      </c>
      <c r="V943" s="40" t="str">
        <f aca="false">IF($C943="","",ROUND(SUMIF(收款关联,$B943,收款金额),2))</f>
        <v/>
      </c>
      <c r="W943" s="40" t="str">
        <f aca="false">IF($C943="","",MAX(0,ROUND(N($K943)-N($V943),2)))</f>
        <v/>
      </c>
      <c r="X943" s="40" t="str">
        <f aca="false">IF($C943="","",ROUND(SUMIFS(应收净额,应收键,$D943,应收行号,"&lt;="&amp;ROW()),2))</f>
        <v/>
      </c>
      <c r="Y943" s="29" t="str">
        <f aca="false">IF($C943="","",ROW())</f>
        <v/>
      </c>
    </row>
    <row r="944" customFormat="false" ht="15" hidden="false" customHeight="false" outlineLevel="0" collapsed="false">
      <c r="A944" s="29" t="str">
        <f aca="false">IF($C944="","",ROW()-4)</f>
        <v/>
      </c>
      <c r="B944" s="35" t="str">
        <f aca="false">IF($C944="","","YS"&amp;TEXT($C944,"yyyymm")&amp;"-"&amp;TEXT(ROW()-4,"0000"))</f>
        <v/>
      </c>
      <c r="C944" s="33"/>
      <c r="D944" s="24"/>
      <c r="E944" s="30" t="str">
        <f aca="false">IF($D944="","",IFERROR(INDEX(合同单位,MATCH($D944,合同键,0)),IFERROR(TRIM(LEFT($D944,FIND("｜",$D944)-1)),$D944)))</f>
        <v/>
      </c>
      <c r="F944" s="30" t="str">
        <f aca="false">IF($D944="","",IFERROR(INDEX(合同项目,MATCH($D944,合同键,0)),IFERROR(TRIM(MID($D944,FIND("｜",$D944)+1,99)),"")))</f>
        <v/>
      </c>
      <c r="G944" s="24"/>
      <c r="H944" s="35" t="str">
        <f aca="false">IF($G944="","",IFERROR(INDEX(费用款别,MATCH($G944,费用类别表,0)),"合同外款"))</f>
        <v/>
      </c>
      <c r="I944" s="33"/>
      <c r="J944" s="33"/>
      <c r="K944" s="39"/>
      <c r="L944" s="33"/>
      <c r="M944" s="25"/>
      <c r="N944" s="39"/>
      <c r="O944" s="35" t="str">
        <f aca="false">IF($C944="","",IF(N($N944)&lt;=0,"未开票",IF(ROUND(N($N944)-N($K944),2)&gt;=0,"已开票",IFERROR("部分开票 "&amp;TEXT(N($N944)/N($K944),"0%"),"部分开票"))))</f>
        <v/>
      </c>
      <c r="P944" s="40" t="str">
        <f aca="false">IF($C944="","",ROUND($V944+MIN($W944,MAX(0,(SUMIF(收款键,$D944,收款金额)-SUMIFS(收款金额,收款键,$D944,收款关联,"&lt;&gt;"))-($X944-$W944))),2))</f>
        <v/>
      </c>
      <c r="Q944" s="41" t="str">
        <f aca="false">IF($C944="","",ROUND(N($K944)-N($P944),2))</f>
        <v/>
      </c>
      <c r="R944" s="29" t="str">
        <f aca="false">IF($C944="","",YEAR($C944))</f>
        <v/>
      </c>
      <c r="S944" s="24"/>
      <c r="T944" s="35" t="str">
        <f aca="false">IF($C944="","",IF($D944="","★没选客户项目",IF(COUNTIF(合同键,$D944)=0,"★《维保合同》里没这个项目",IF(N($K944)&lt;=0,"★应收金额要填",IF(ROUND(N($N944)-N($K944),2)&gt;0.001,"★开票金额大于应收",IF(AND($L944&lt;&gt;"",N($N944)&lt;=0),"★填了开票日期没填开票金额",IF(AND($I944&lt;&gt;"",$J944&lt;&gt;"",$J944&lt;$I944),"★计费期间起止反了","OK")))))))</f>
        <v/>
      </c>
      <c r="U944" s="29" t="str">
        <f aca="false">IF($L944="","",YEAR($L944))</f>
        <v/>
      </c>
      <c r="V944" s="40" t="str">
        <f aca="false">IF($C944="","",ROUND(SUMIF(收款关联,$B944,收款金额),2))</f>
        <v/>
      </c>
      <c r="W944" s="40" t="str">
        <f aca="false">IF($C944="","",MAX(0,ROUND(N($K944)-N($V944),2)))</f>
        <v/>
      </c>
      <c r="X944" s="40" t="str">
        <f aca="false">IF($C944="","",ROUND(SUMIFS(应收净额,应收键,$D944,应收行号,"&lt;="&amp;ROW()),2))</f>
        <v/>
      </c>
      <c r="Y944" s="29" t="str">
        <f aca="false">IF($C944="","",ROW())</f>
        <v/>
      </c>
    </row>
    <row r="945" customFormat="false" ht="15" hidden="false" customHeight="false" outlineLevel="0" collapsed="false">
      <c r="A945" s="29" t="str">
        <f aca="false">IF($C945="","",ROW()-4)</f>
        <v/>
      </c>
      <c r="B945" s="35" t="str">
        <f aca="false">IF($C945="","","YS"&amp;TEXT($C945,"yyyymm")&amp;"-"&amp;TEXT(ROW()-4,"0000"))</f>
        <v/>
      </c>
      <c r="C945" s="33"/>
      <c r="D945" s="24"/>
      <c r="E945" s="30" t="str">
        <f aca="false">IF($D945="","",IFERROR(INDEX(合同单位,MATCH($D945,合同键,0)),IFERROR(TRIM(LEFT($D945,FIND("｜",$D945)-1)),$D945)))</f>
        <v/>
      </c>
      <c r="F945" s="30" t="str">
        <f aca="false">IF($D945="","",IFERROR(INDEX(合同项目,MATCH($D945,合同键,0)),IFERROR(TRIM(MID($D945,FIND("｜",$D945)+1,99)),"")))</f>
        <v/>
      </c>
      <c r="G945" s="24"/>
      <c r="H945" s="35" t="str">
        <f aca="false">IF($G945="","",IFERROR(INDEX(费用款别,MATCH($G945,费用类别表,0)),"合同外款"))</f>
        <v/>
      </c>
      <c r="I945" s="33"/>
      <c r="J945" s="33"/>
      <c r="K945" s="39"/>
      <c r="L945" s="33"/>
      <c r="M945" s="25"/>
      <c r="N945" s="39"/>
      <c r="O945" s="35" t="str">
        <f aca="false">IF($C945="","",IF(N($N945)&lt;=0,"未开票",IF(ROUND(N($N945)-N($K945),2)&gt;=0,"已开票",IFERROR("部分开票 "&amp;TEXT(N($N945)/N($K945),"0%"),"部分开票"))))</f>
        <v/>
      </c>
      <c r="P945" s="40" t="str">
        <f aca="false">IF($C945="","",ROUND($V945+MIN($W945,MAX(0,(SUMIF(收款键,$D945,收款金额)-SUMIFS(收款金额,收款键,$D945,收款关联,"&lt;&gt;"))-($X945-$W945))),2))</f>
        <v/>
      </c>
      <c r="Q945" s="41" t="str">
        <f aca="false">IF($C945="","",ROUND(N($K945)-N($P945),2))</f>
        <v/>
      </c>
      <c r="R945" s="29" t="str">
        <f aca="false">IF($C945="","",YEAR($C945))</f>
        <v/>
      </c>
      <c r="S945" s="24"/>
      <c r="T945" s="35" t="str">
        <f aca="false">IF($C945="","",IF($D945="","★没选客户项目",IF(COUNTIF(合同键,$D945)=0,"★《维保合同》里没这个项目",IF(N($K945)&lt;=0,"★应收金额要填",IF(ROUND(N($N945)-N($K945),2)&gt;0.001,"★开票金额大于应收",IF(AND($L945&lt;&gt;"",N($N945)&lt;=0),"★填了开票日期没填开票金额",IF(AND($I945&lt;&gt;"",$J945&lt;&gt;"",$J945&lt;$I945),"★计费期间起止反了","OK")))))))</f>
        <v/>
      </c>
      <c r="U945" s="29" t="str">
        <f aca="false">IF($L945="","",YEAR($L945))</f>
        <v/>
      </c>
      <c r="V945" s="40" t="str">
        <f aca="false">IF($C945="","",ROUND(SUMIF(收款关联,$B945,收款金额),2))</f>
        <v/>
      </c>
      <c r="W945" s="40" t="str">
        <f aca="false">IF($C945="","",MAX(0,ROUND(N($K945)-N($V945),2)))</f>
        <v/>
      </c>
      <c r="X945" s="40" t="str">
        <f aca="false">IF($C945="","",ROUND(SUMIFS(应收净额,应收键,$D945,应收行号,"&lt;="&amp;ROW()),2))</f>
        <v/>
      </c>
      <c r="Y945" s="29" t="str">
        <f aca="false">IF($C945="","",ROW())</f>
        <v/>
      </c>
    </row>
    <row r="946" customFormat="false" ht="15" hidden="false" customHeight="false" outlineLevel="0" collapsed="false">
      <c r="A946" s="29" t="str">
        <f aca="false">IF($C946="","",ROW()-4)</f>
        <v/>
      </c>
      <c r="B946" s="35" t="str">
        <f aca="false">IF($C946="","","YS"&amp;TEXT($C946,"yyyymm")&amp;"-"&amp;TEXT(ROW()-4,"0000"))</f>
        <v/>
      </c>
      <c r="C946" s="33"/>
      <c r="D946" s="24"/>
      <c r="E946" s="30" t="str">
        <f aca="false">IF($D946="","",IFERROR(INDEX(合同单位,MATCH($D946,合同键,0)),IFERROR(TRIM(LEFT($D946,FIND("｜",$D946)-1)),$D946)))</f>
        <v/>
      </c>
      <c r="F946" s="30" t="str">
        <f aca="false">IF($D946="","",IFERROR(INDEX(合同项目,MATCH($D946,合同键,0)),IFERROR(TRIM(MID($D946,FIND("｜",$D946)+1,99)),"")))</f>
        <v/>
      </c>
      <c r="G946" s="24"/>
      <c r="H946" s="35" t="str">
        <f aca="false">IF($G946="","",IFERROR(INDEX(费用款别,MATCH($G946,费用类别表,0)),"合同外款"))</f>
        <v/>
      </c>
      <c r="I946" s="33"/>
      <c r="J946" s="33"/>
      <c r="K946" s="39"/>
      <c r="L946" s="33"/>
      <c r="M946" s="25"/>
      <c r="N946" s="39"/>
      <c r="O946" s="35" t="str">
        <f aca="false">IF($C946="","",IF(N($N946)&lt;=0,"未开票",IF(ROUND(N($N946)-N($K946),2)&gt;=0,"已开票",IFERROR("部分开票 "&amp;TEXT(N($N946)/N($K946),"0%"),"部分开票"))))</f>
        <v/>
      </c>
      <c r="P946" s="40" t="str">
        <f aca="false">IF($C946="","",ROUND($V946+MIN($W946,MAX(0,(SUMIF(收款键,$D946,收款金额)-SUMIFS(收款金额,收款键,$D946,收款关联,"&lt;&gt;"))-($X946-$W946))),2))</f>
        <v/>
      </c>
      <c r="Q946" s="41" t="str">
        <f aca="false">IF($C946="","",ROUND(N($K946)-N($P946),2))</f>
        <v/>
      </c>
      <c r="R946" s="29" t="str">
        <f aca="false">IF($C946="","",YEAR($C946))</f>
        <v/>
      </c>
      <c r="S946" s="24"/>
      <c r="T946" s="35" t="str">
        <f aca="false">IF($C946="","",IF($D946="","★没选客户项目",IF(COUNTIF(合同键,$D946)=0,"★《维保合同》里没这个项目",IF(N($K946)&lt;=0,"★应收金额要填",IF(ROUND(N($N946)-N($K946),2)&gt;0.001,"★开票金额大于应收",IF(AND($L946&lt;&gt;"",N($N946)&lt;=0),"★填了开票日期没填开票金额",IF(AND($I946&lt;&gt;"",$J946&lt;&gt;"",$J946&lt;$I946),"★计费期间起止反了","OK")))))))</f>
        <v/>
      </c>
      <c r="U946" s="29" t="str">
        <f aca="false">IF($L946="","",YEAR($L946))</f>
        <v/>
      </c>
      <c r="V946" s="40" t="str">
        <f aca="false">IF($C946="","",ROUND(SUMIF(收款关联,$B946,收款金额),2))</f>
        <v/>
      </c>
      <c r="W946" s="40" t="str">
        <f aca="false">IF($C946="","",MAX(0,ROUND(N($K946)-N($V946),2)))</f>
        <v/>
      </c>
      <c r="X946" s="40" t="str">
        <f aca="false">IF($C946="","",ROUND(SUMIFS(应收净额,应收键,$D946,应收行号,"&lt;="&amp;ROW()),2))</f>
        <v/>
      </c>
      <c r="Y946" s="29" t="str">
        <f aca="false">IF($C946="","",ROW())</f>
        <v/>
      </c>
    </row>
    <row r="947" customFormat="false" ht="15" hidden="false" customHeight="false" outlineLevel="0" collapsed="false">
      <c r="A947" s="29" t="str">
        <f aca="false">IF($C947="","",ROW()-4)</f>
        <v/>
      </c>
      <c r="B947" s="35" t="str">
        <f aca="false">IF($C947="","","YS"&amp;TEXT($C947,"yyyymm")&amp;"-"&amp;TEXT(ROW()-4,"0000"))</f>
        <v/>
      </c>
      <c r="C947" s="33"/>
      <c r="D947" s="24"/>
      <c r="E947" s="30" t="str">
        <f aca="false">IF($D947="","",IFERROR(INDEX(合同单位,MATCH($D947,合同键,0)),IFERROR(TRIM(LEFT($D947,FIND("｜",$D947)-1)),$D947)))</f>
        <v/>
      </c>
      <c r="F947" s="30" t="str">
        <f aca="false">IF($D947="","",IFERROR(INDEX(合同项目,MATCH($D947,合同键,0)),IFERROR(TRIM(MID($D947,FIND("｜",$D947)+1,99)),"")))</f>
        <v/>
      </c>
      <c r="G947" s="24"/>
      <c r="H947" s="35" t="str">
        <f aca="false">IF($G947="","",IFERROR(INDEX(费用款别,MATCH($G947,费用类别表,0)),"合同外款"))</f>
        <v/>
      </c>
      <c r="I947" s="33"/>
      <c r="J947" s="33"/>
      <c r="K947" s="39"/>
      <c r="L947" s="33"/>
      <c r="M947" s="25"/>
      <c r="N947" s="39"/>
      <c r="O947" s="35" t="str">
        <f aca="false">IF($C947="","",IF(N($N947)&lt;=0,"未开票",IF(ROUND(N($N947)-N($K947),2)&gt;=0,"已开票",IFERROR("部分开票 "&amp;TEXT(N($N947)/N($K947),"0%"),"部分开票"))))</f>
        <v/>
      </c>
      <c r="P947" s="40" t="str">
        <f aca="false">IF($C947="","",ROUND($V947+MIN($W947,MAX(0,(SUMIF(收款键,$D947,收款金额)-SUMIFS(收款金额,收款键,$D947,收款关联,"&lt;&gt;"))-($X947-$W947))),2))</f>
        <v/>
      </c>
      <c r="Q947" s="41" t="str">
        <f aca="false">IF($C947="","",ROUND(N($K947)-N($P947),2))</f>
        <v/>
      </c>
      <c r="R947" s="29" t="str">
        <f aca="false">IF($C947="","",YEAR($C947))</f>
        <v/>
      </c>
      <c r="S947" s="24"/>
      <c r="T947" s="35" t="str">
        <f aca="false">IF($C947="","",IF($D947="","★没选客户项目",IF(COUNTIF(合同键,$D947)=0,"★《维保合同》里没这个项目",IF(N($K947)&lt;=0,"★应收金额要填",IF(ROUND(N($N947)-N($K947),2)&gt;0.001,"★开票金额大于应收",IF(AND($L947&lt;&gt;"",N($N947)&lt;=0),"★填了开票日期没填开票金额",IF(AND($I947&lt;&gt;"",$J947&lt;&gt;"",$J947&lt;$I947),"★计费期间起止反了","OK")))))))</f>
        <v/>
      </c>
      <c r="U947" s="29" t="str">
        <f aca="false">IF($L947="","",YEAR($L947))</f>
        <v/>
      </c>
      <c r="V947" s="40" t="str">
        <f aca="false">IF($C947="","",ROUND(SUMIF(收款关联,$B947,收款金额),2))</f>
        <v/>
      </c>
      <c r="W947" s="40" t="str">
        <f aca="false">IF($C947="","",MAX(0,ROUND(N($K947)-N($V947),2)))</f>
        <v/>
      </c>
      <c r="X947" s="40" t="str">
        <f aca="false">IF($C947="","",ROUND(SUMIFS(应收净额,应收键,$D947,应收行号,"&lt;="&amp;ROW()),2))</f>
        <v/>
      </c>
      <c r="Y947" s="29" t="str">
        <f aca="false">IF($C947="","",ROW())</f>
        <v/>
      </c>
    </row>
    <row r="948" customFormat="false" ht="15" hidden="false" customHeight="false" outlineLevel="0" collapsed="false">
      <c r="A948" s="29" t="str">
        <f aca="false">IF($C948="","",ROW()-4)</f>
        <v/>
      </c>
      <c r="B948" s="35" t="str">
        <f aca="false">IF($C948="","","YS"&amp;TEXT($C948,"yyyymm")&amp;"-"&amp;TEXT(ROW()-4,"0000"))</f>
        <v/>
      </c>
      <c r="C948" s="33"/>
      <c r="D948" s="24"/>
      <c r="E948" s="30" t="str">
        <f aca="false">IF($D948="","",IFERROR(INDEX(合同单位,MATCH($D948,合同键,0)),IFERROR(TRIM(LEFT($D948,FIND("｜",$D948)-1)),$D948)))</f>
        <v/>
      </c>
      <c r="F948" s="30" t="str">
        <f aca="false">IF($D948="","",IFERROR(INDEX(合同项目,MATCH($D948,合同键,0)),IFERROR(TRIM(MID($D948,FIND("｜",$D948)+1,99)),"")))</f>
        <v/>
      </c>
      <c r="G948" s="24"/>
      <c r="H948" s="35" t="str">
        <f aca="false">IF($G948="","",IFERROR(INDEX(费用款别,MATCH($G948,费用类别表,0)),"合同外款"))</f>
        <v/>
      </c>
      <c r="I948" s="33"/>
      <c r="J948" s="33"/>
      <c r="K948" s="39"/>
      <c r="L948" s="33"/>
      <c r="M948" s="25"/>
      <c r="N948" s="39"/>
      <c r="O948" s="35" t="str">
        <f aca="false">IF($C948="","",IF(N($N948)&lt;=0,"未开票",IF(ROUND(N($N948)-N($K948),2)&gt;=0,"已开票",IFERROR("部分开票 "&amp;TEXT(N($N948)/N($K948),"0%"),"部分开票"))))</f>
        <v/>
      </c>
      <c r="P948" s="40" t="str">
        <f aca="false">IF($C948="","",ROUND($V948+MIN($W948,MAX(0,(SUMIF(收款键,$D948,收款金额)-SUMIFS(收款金额,收款键,$D948,收款关联,"&lt;&gt;"))-($X948-$W948))),2))</f>
        <v/>
      </c>
      <c r="Q948" s="41" t="str">
        <f aca="false">IF($C948="","",ROUND(N($K948)-N($P948),2))</f>
        <v/>
      </c>
      <c r="R948" s="29" t="str">
        <f aca="false">IF($C948="","",YEAR($C948))</f>
        <v/>
      </c>
      <c r="S948" s="24"/>
      <c r="T948" s="35" t="str">
        <f aca="false">IF($C948="","",IF($D948="","★没选客户项目",IF(COUNTIF(合同键,$D948)=0,"★《维保合同》里没这个项目",IF(N($K948)&lt;=0,"★应收金额要填",IF(ROUND(N($N948)-N($K948),2)&gt;0.001,"★开票金额大于应收",IF(AND($L948&lt;&gt;"",N($N948)&lt;=0),"★填了开票日期没填开票金额",IF(AND($I948&lt;&gt;"",$J948&lt;&gt;"",$J948&lt;$I948),"★计费期间起止反了","OK")))))))</f>
        <v/>
      </c>
      <c r="U948" s="29" t="str">
        <f aca="false">IF($L948="","",YEAR($L948))</f>
        <v/>
      </c>
      <c r="V948" s="40" t="str">
        <f aca="false">IF($C948="","",ROUND(SUMIF(收款关联,$B948,收款金额),2))</f>
        <v/>
      </c>
      <c r="W948" s="40" t="str">
        <f aca="false">IF($C948="","",MAX(0,ROUND(N($K948)-N($V948),2)))</f>
        <v/>
      </c>
      <c r="X948" s="40" t="str">
        <f aca="false">IF($C948="","",ROUND(SUMIFS(应收净额,应收键,$D948,应收行号,"&lt;="&amp;ROW()),2))</f>
        <v/>
      </c>
      <c r="Y948" s="29" t="str">
        <f aca="false">IF($C948="","",ROW())</f>
        <v/>
      </c>
    </row>
    <row r="949" customFormat="false" ht="15" hidden="false" customHeight="false" outlineLevel="0" collapsed="false">
      <c r="A949" s="29" t="str">
        <f aca="false">IF($C949="","",ROW()-4)</f>
        <v/>
      </c>
      <c r="B949" s="35" t="str">
        <f aca="false">IF($C949="","","YS"&amp;TEXT($C949,"yyyymm")&amp;"-"&amp;TEXT(ROW()-4,"0000"))</f>
        <v/>
      </c>
      <c r="C949" s="33"/>
      <c r="D949" s="24"/>
      <c r="E949" s="30" t="str">
        <f aca="false">IF($D949="","",IFERROR(INDEX(合同单位,MATCH($D949,合同键,0)),IFERROR(TRIM(LEFT($D949,FIND("｜",$D949)-1)),$D949)))</f>
        <v/>
      </c>
      <c r="F949" s="30" t="str">
        <f aca="false">IF($D949="","",IFERROR(INDEX(合同项目,MATCH($D949,合同键,0)),IFERROR(TRIM(MID($D949,FIND("｜",$D949)+1,99)),"")))</f>
        <v/>
      </c>
      <c r="G949" s="24"/>
      <c r="H949" s="35" t="str">
        <f aca="false">IF($G949="","",IFERROR(INDEX(费用款别,MATCH($G949,费用类别表,0)),"合同外款"))</f>
        <v/>
      </c>
      <c r="I949" s="33"/>
      <c r="J949" s="33"/>
      <c r="K949" s="39"/>
      <c r="L949" s="33"/>
      <c r="M949" s="25"/>
      <c r="N949" s="39"/>
      <c r="O949" s="35" t="str">
        <f aca="false">IF($C949="","",IF(N($N949)&lt;=0,"未开票",IF(ROUND(N($N949)-N($K949),2)&gt;=0,"已开票",IFERROR("部分开票 "&amp;TEXT(N($N949)/N($K949),"0%"),"部分开票"))))</f>
        <v/>
      </c>
      <c r="P949" s="40" t="str">
        <f aca="false">IF($C949="","",ROUND($V949+MIN($W949,MAX(0,(SUMIF(收款键,$D949,收款金额)-SUMIFS(收款金额,收款键,$D949,收款关联,"&lt;&gt;"))-($X949-$W949))),2))</f>
        <v/>
      </c>
      <c r="Q949" s="41" t="str">
        <f aca="false">IF($C949="","",ROUND(N($K949)-N($P949),2))</f>
        <v/>
      </c>
      <c r="R949" s="29" t="str">
        <f aca="false">IF($C949="","",YEAR($C949))</f>
        <v/>
      </c>
      <c r="S949" s="24"/>
      <c r="T949" s="35" t="str">
        <f aca="false">IF($C949="","",IF($D949="","★没选客户项目",IF(COUNTIF(合同键,$D949)=0,"★《维保合同》里没这个项目",IF(N($K949)&lt;=0,"★应收金额要填",IF(ROUND(N($N949)-N($K949),2)&gt;0.001,"★开票金额大于应收",IF(AND($L949&lt;&gt;"",N($N949)&lt;=0),"★填了开票日期没填开票金额",IF(AND($I949&lt;&gt;"",$J949&lt;&gt;"",$J949&lt;$I949),"★计费期间起止反了","OK")))))))</f>
        <v/>
      </c>
      <c r="U949" s="29" t="str">
        <f aca="false">IF($L949="","",YEAR($L949))</f>
        <v/>
      </c>
      <c r="V949" s="40" t="str">
        <f aca="false">IF($C949="","",ROUND(SUMIF(收款关联,$B949,收款金额),2))</f>
        <v/>
      </c>
      <c r="W949" s="40" t="str">
        <f aca="false">IF($C949="","",MAX(0,ROUND(N($K949)-N($V949),2)))</f>
        <v/>
      </c>
      <c r="X949" s="40" t="str">
        <f aca="false">IF($C949="","",ROUND(SUMIFS(应收净额,应收键,$D949,应收行号,"&lt;="&amp;ROW()),2))</f>
        <v/>
      </c>
      <c r="Y949" s="29" t="str">
        <f aca="false">IF($C949="","",ROW())</f>
        <v/>
      </c>
    </row>
    <row r="950" customFormat="false" ht="15" hidden="false" customHeight="false" outlineLevel="0" collapsed="false">
      <c r="A950" s="29" t="str">
        <f aca="false">IF($C950="","",ROW()-4)</f>
        <v/>
      </c>
      <c r="B950" s="35" t="str">
        <f aca="false">IF($C950="","","YS"&amp;TEXT($C950,"yyyymm")&amp;"-"&amp;TEXT(ROW()-4,"0000"))</f>
        <v/>
      </c>
      <c r="C950" s="33"/>
      <c r="D950" s="24"/>
      <c r="E950" s="30" t="str">
        <f aca="false">IF($D950="","",IFERROR(INDEX(合同单位,MATCH($D950,合同键,0)),IFERROR(TRIM(LEFT($D950,FIND("｜",$D950)-1)),$D950)))</f>
        <v/>
      </c>
      <c r="F950" s="30" t="str">
        <f aca="false">IF($D950="","",IFERROR(INDEX(合同项目,MATCH($D950,合同键,0)),IFERROR(TRIM(MID($D950,FIND("｜",$D950)+1,99)),"")))</f>
        <v/>
      </c>
      <c r="G950" s="24"/>
      <c r="H950" s="35" t="str">
        <f aca="false">IF($G950="","",IFERROR(INDEX(费用款别,MATCH($G950,费用类别表,0)),"合同外款"))</f>
        <v/>
      </c>
      <c r="I950" s="33"/>
      <c r="J950" s="33"/>
      <c r="K950" s="39"/>
      <c r="L950" s="33"/>
      <c r="M950" s="25"/>
      <c r="N950" s="39"/>
      <c r="O950" s="35" t="str">
        <f aca="false">IF($C950="","",IF(N($N950)&lt;=0,"未开票",IF(ROUND(N($N950)-N($K950),2)&gt;=0,"已开票",IFERROR("部分开票 "&amp;TEXT(N($N950)/N($K950),"0%"),"部分开票"))))</f>
        <v/>
      </c>
      <c r="P950" s="40" t="str">
        <f aca="false">IF($C950="","",ROUND($V950+MIN($W950,MAX(0,(SUMIF(收款键,$D950,收款金额)-SUMIFS(收款金额,收款键,$D950,收款关联,"&lt;&gt;"))-($X950-$W950))),2))</f>
        <v/>
      </c>
      <c r="Q950" s="41" t="str">
        <f aca="false">IF($C950="","",ROUND(N($K950)-N($P950),2))</f>
        <v/>
      </c>
      <c r="R950" s="29" t="str">
        <f aca="false">IF($C950="","",YEAR($C950))</f>
        <v/>
      </c>
      <c r="S950" s="24"/>
      <c r="T950" s="35" t="str">
        <f aca="false">IF($C950="","",IF($D950="","★没选客户项目",IF(COUNTIF(合同键,$D950)=0,"★《维保合同》里没这个项目",IF(N($K950)&lt;=0,"★应收金额要填",IF(ROUND(N($N950)-N($K950),2)&gt;0.001,"★开票金额大于应收",IF(AND($L950&lt;&gt;"",N($N950)&lt;=0),"★填了开票日期没填开票金额",IF(AND($I950&lt;&gt;"",$J950&lt;&gt;"",$J950&lt;$I950),"★计费期间起止反了","OK")))))))</f>
        <v/>
      </c>
      <c r="U950" s="29" t="str">
        <f aca="false">IF($L950="","",YEAR($L950))</f>
        <v/>
      </c>
      <c r="V950" s="40" t="str">
        <f aca="false">IF($C950="","",ROUND(SUMIF(收款关联,$B950,收款金额),2))</f>
        <v/>
      </c>
      <c r="W950" s="40" t="str">
        <f aca="false">IF($C950="","",MAX(0,ROUND(N($K950)-N($V950),2)))</f>
        <v/>
      </c>
      <c r="X950" s="40" t="str">
        <f aca="false">IF($C950="","",ROUND(SUMIFS(应收净额,应收键,$D950,应收行号,"&lt;="&amp;ROW()),2))</f>
        <v/>
      </c>
      <c r="Y950" s="29" t="str">
        <f aca="false">IF($C950="","",ROW())</f>
        <v/>
      </c>
    </row>
    <row r="951" customFormat="false" ht="15" hidden="false" customHeight="false" outlineLevel="0" collapsed="false">
      <c r="A951" s="29" t="str">
        <f aca="false">IF($C951="","",ROW()-4)</f>
        <v/>
      </c>
      <c r="B951" s="35" t="str">
        <f aca="false">IF($C951="","","YS"&amp;TEXT($C951,"yyyymm")&amp;"-"&amp;TEXT(ROW()-4,"0000"))</f>
        <v/>
      </c>
      <c r="C951" s="33"/>
      <c r="D951" s="24"/>
      <c r="E951" s="30" t="str">
        <f aca="false">IF($D951="","",IFERROR(INDEX(合同单位,MATCH($D951,合同键,0)),IFERROR(TRIM(LEFT($D951,FIND("｜",$D951)-1)),$D951)))</f>
        <v/>
      </c>
      <c r="F951" s="30" t="str">
        <f aca="false">IF($D951="","",IFERROR(INDEX(合同项目,MATCH($D951,合同键,0)),IFERROR(TRIM(MID($D951,FIND("｜",$D951)+1,99)),"")))</f>
        <v/>
      </c>
      <c r="G951" s="24"/>
      <c r="H951" s="35" t="str">
        <f aca="false">IF($G951="","",IFERROR(INDEX(费用款别,MATCH($G951,费用类别表,0)),"合同外款"))</f>
        <v/>
      </c>
      <c r="I951" s="33"/>
      <c r="J951" s="33"/>
      <c r="K951" s="39"/>
      <c r="L951" s="33"/>
      <c r="M951" s="25"/>
      <c r="N951" s="39"/>
      <c r="O951" s="35" t="str">
        <f aca="false">IF($C951="","",IF(N($N951)&lt;=0,"未开票",IF(ROUND(N($N951)-N($K951),2)&gt;=0,"已开票",IFERROR("部分开票 "&amp;TEXT(N($N951)/N($K951),"0%"),"部分开票"))))</f>
        <v/>
      </c>
      <c r="P951" s="40" t="str">
        <f aca="false">IF($C951="","",ROUND($V951+MIN($W951,MAX(0,(SUMIF(收款键,$D951,收款金额)-SUMIFS(收款金额,收款键,$D951,收款关联,"&lt;&gt;"))-($X951-$W951))),2))</f>
        <v/>
      </c>
      <c r="Q951" s="41" t="str">
        <f aca="false">IF($C951="","",ROUND(N($K951)-N($P951),2))</f>
        <v/>
      </c>
      <c r="R951" s="29" t="str">
        <f aca="false">IF($C951="","",YEAR($C951))</f>
        <v/>
      </c>
      <c r="S951" s="24"/>
      <c r="T951" s="35" t="str">
        <f aca="false">IF($C951="","",IF($D951="","★没选客户项目",IF(COUNTIF(合同键,$D951)=0,"★《维保合同》里没这个项目",IF(N($K951)&lt;=0,"★应收金额要填",IF(ROUND(N($N951)-N($K951),2)&gt;0.001,"★开票金额大于应收",IF(AND($L951&lt;&gt;"",N($N951)&lt;=0),"★填了开票日期没填开票金额",IF(AND($I951&lt;&gt;"",$J951&lt;&gt;"",$J951&lt;$I951),"★计费期间起止反了","OK")))))))</f>
        <v/>
      </c>
      <c r="U951" s="29" t="str">
        <f aca="false">IF($L951="","",YEAR($L951))</f>
        <v/>
      </c>
      <c r="V951" s="40" t="str">
        <f aca="false">IF($C951="","",ROUND(SUMIF(收款关联,$B951,收款金额),2))</f>
        <v/>
      </c>
      <c r="W951" s="40" t="str">
        <f aca="false">IF($C951="","",MAX(0,ROUND(N($K951)-N($V951),2)))</f>
        <v/>
      </c>
      <c r="X951" s="40" t="str">
        <f aca="false">IF($C951="","",ROUND(SUMIFS(应收净额,应收键,$D951,应收行号,"&lt;="&amp;ROW()),2))</f>
        <v/>
      </c>
      <c r="Y951" s="29" t="str">
        <f aca="false">IF($C951="","",ROW())</f>
        <v/>
      </c>
    </row>
    <row r="952" customFormat="false" ht="15" hidden="false" customHeight="false" outlineLevel="0" collapsed="false">
      <c r="A952" s="29" t="str">
        <f aca="false">IF($C952="","",ROW()-4)</f>
        <v/>
      </c>
      <c r="B952" s="35" t="str">
        <f aca="false">IF($C952="","","YS"&amp;TEXT($C952,"yyyymm")&amp;"-"&amp;TEXT(ROW()-4,"0000"))</f>
        <v/>
      </c>
      <c r="C952" s="33"/>
      <c r="D952" s="24"/>
      <c r="E952" s="30" t="str">
        <f aca="false">IF($D952="","",IFERROR(INDEX(合同单位,MATCH($D952,合同键,0)),IFERROR(TRIM(LEFT($D952,FIND("｜",$D952)-1)),$D952)))</f>
        <v/>
      </c>
      <c r="F952" s="30" t="str">
        <f aca="false">IF($D952="","",IFERROR(INDEX(合同项目,MATCH($D952,合同键,0)),IFERROR(TRIM(MID($D952,FIND("｜",$D952)+1,99)),"")))</f>
        <v/>
      </c>
      <c r="G952" s="24"/>
      <c r="H952" s="35" t="str">
        <f aca="false">IF($G952="","",IFERROR(INDEX(费用款别,MATCH($G952,费用类别表,0)),"合同外款"))</f>
        <v/>
      </c>
      <c r="I952" s="33"/>
      <c r="J952" s="33"/>
      <c r="K952" s="39"/>
      <c r="L952" s="33"/>
      <c r="M952" s="25"/>
      <c r="N952" s="39"/>
      <c r="O952" s="35" t="str">
        <f aca="false">IF($C952="","",IF(N($N952)&lt;=0,"未开票",IF(ROUND(N($N952)-N($K952),2)&gt;=0,"已开票",IFERROR("部分开票 "&amp;TEXT(N($N952)/N($K952),"0%"),"部分开票"))))</f>
        <v/>
      </c>
      <c r="P952" s="40" t="str">
        <f aca="false">IF($C952="","",ROUND($V952+MIN($W952,MAX(0,(SUMIF(收款键,$D952,收款金额)-SUMIFS(收款金额,收款键,$D952,收款关联,"&lt;&gt;"))-($X952-$W952))),2))</f>
        <v/>
      </c>
      <c r="Q952" s="41" t="str">
        <f aca="false">IF($C952="","",ROUND(N($K952)-N($P952),2))</f>
        <v/>
      </c>
      <c r="R952" s="29" t="str">
        <f aca="false">IF($C952="","",YEAR($C952))</f>
        <v/>
      </c>
      <c r="S952" s="24"/>
      <c r="T952" s="35" t="str">
        <f aca="false">IF($C952="","",IF($D952="","★没选客户项目",IF(COUNTIF(合同键,$D952)=0,"★《维保合同》里没这个项目",IF(N($K952)&lt;=0,"★应收金额要填",IF(ROUND(N($N952)-N($K952),2)&gt;0.001,"★开票金额大于应收",IF(AND($L952&lt;&gt;"",N($N952)&lt;=0),"★填了开票日期没填开票金额",IF(AND($I952&lt;&gt;"",$J952&lt;&gt;"",$J952&lt;$I952),"★计费期间起止反了","OK")))))))</f>
        <v/>
      </c>
      <c r="U952" s="29" t="str">
        <f aca="false">IF($L952="","",YEAR($L952))</f>
        <v/>
      </c>
      <c r="V952" s="40" t="str">
        <f aca="false">IF($C952="","",ROUND(SUMIF(收款关联,$B952,收款金额),2))</f>
        <v/>
      </c>
      <c r="W952" s="40" t="str">
        <f aca="false">IF($C952="","",MAX(0,ROUND(N($K952)-N($V952),2)))</f>
        <v/>
      </c>
      <c r="X952" s="40" t="str">
        <f aca="false">IF($C952="","",ROUND(SUMIFS(应收净额,应收键,$D952,应收行号,"&lt;="&amp;ROW()),2))</f>
        <v/>
      </c>
      <c r="Y952" s="29" t="str">
        <f aca="false">IF($C952="","",ROW())</f>
        <v/>
      </c>
    </row>
    <row r="953" customFormat="false" ht="15" hidden="false" customHeight="false" outlineLevel="0" collapsed="false">
      <c r="A953" s="29" t="str">
        <f aca="false">IF($C953="","",ROW()-4)</f>
        <v/>
      </c>
      <c r="B953" s="35" t="str">
        <f aca="false">IF($C953="","","YS"&amp;TEXT($C953,"yyyymm")&amp;"-"&amp;TEXT(ROW()-4,"0000"))</f>
        <v/>
      </c>
      <c r="C953" s="33"/>
      <c r="D953" s="24"/>
      <c r="E953" s="30" t="str">
        <f aca="false">IF($D953="","",IFERROR(INDEX(合同单位,MATCH($D953,合同键,0)),IFERROR(TRIM(LEFT($D953,FIND("｜",$D953)-1)),$D953)))</f>
        <v/>
      </c>
      <c r="F953" s="30" t="str">
        <f aca="false">IF($D953="","",IFERROR(INDEX(合同项目,MATCH($D953,合同键,0)),IFERROR(TRIM(MID($D953,FIND("｜",$D953)+1,99)),"")))</f>
        <v/>
      </c>
      <c r="G953" s="24"/>
      <c r="H953" s="35" t="str">
        <f aca="false">IF($G953="","",IFERROR(INDEX(费用款别,MATCH($G953,费用类别表,0)),"合同外款"))</f>
        <v/>
      </c>
      <c r="I953" s="33"/>
      <c r="J953" s="33"/>
      <c r="K953" s="39"/>
      <c r="L953" s="33"/>
      <c r="M953" s="25"/>
      <c r="N953" s="39"/>
      <c r="O953" s="35" t="str">
        <f aca="false">IF($C953="","",IF(N($N953)&lt;=0,"未开票",IF(ROUND(N($N953)-N($K953),2)&gt;=0,"已开票",IFERROR("部分开票 "&amp;TEXT(N($N953)/N($K953),"0%"),"部分开票"))))</f>
        <v/>
      </c>
      <c r="P953" s="40" t="str">
        <f aca="false">IF($C953="","",ROUND($V953+MIN($W953,MAX(0,(SUMIF(收款键,$D953,收款金额)-SUMIFS(收款金额,收款键,$D953,收款关联,"&lt;&gt;"))-($X953-$W953))),2))</f>
        <v/>
      </c>
      <c r="Q953" s="41" t="str">
        <f aca="false">IF($C953="","",ROUND(N($K953)-N($P953),2))</f>
        <v/>
      </c>
      <c r="R953" s="29" t="str">
        <f aca="false">IF($C953="","",YEAR($C953))</f>
        <v/>
      </c>
      <c r="S953" s="24"/>
      <c r="T953" s="35" t="str">
        <f aca="false">IF($C953="","",IF($D953="","★没选客户项目",IF(COUNTIF(合同键,$D953)=0,"★《维保合同》里没这个项目",IF(N($K953)&lt;=0,"★应收金额要填",IF(ROUND(N($N953)-N($K953),2)&gt;0.001,"★开票金额大于应收",IF(AND($L953&lt;&gt;"",N($N953)&lt;=0),"★填了开票日期没填开票金额",IF(AND($I953&lt;&gt;"",$J953&lt;&gt;"",$J953&lt;$I953),"★计费期间起止反了","OK")))))))</f>
        <v/>
      </c>
      <c r="U953" s="29" t="str">
        <f aca="false">IF($L953="","",YEAR($L953))</f>
        <v/>
      </c>
      <c r="V953" s="40" t="str">
        <f aca="false">IF($C953="","",ROUND(SUMIF(收款关联,$B953,收款金额),2))</f>
        <v/>
      </c>
      <c r="W953" s="40" t="str">
        <f aca="false">IF($C953="","",MAX(0,ROUND(N($K953)-N($V953),2)))</f>
        <v/>
      </c>
      <c r="X953" s="40" t="str">
        <f aca="false">IF($C953="","",ROUND(SUMIFS(应收净额,应收键,$D953,应收行号,"&lt;="&amp;ROW()),2))</f>
        <v/>
      </c>
      <c r="Y953" s="29" t="str">
        <f aca="false">IF($C953="","",ROW())</f>
        <v/>
      </c>
    </row>
    <row r="954" customFormat="false" ht="15" hidden="false" customHeight="false" outlineLevel="0" collapsed="false">
      <c r="A954" s="29" t="str">
        <f aca="false">IF($C954="","",ROW()-4)</f>
        <v/>
      </c>
      <c r="B954" s="35" t="str">
        <f aca="false">IF($C954="","","YS"&amp;TEXT($C954,"yyyymm")&amp;"-"&amp;TEXT(ROW()-4,"0000"))</f>
        <v/>
      </c>
      <c r="C954" s="33"/>
      <c r="D954" s="24"/>
      <c r="E954" s="30" t="str">
        <f aca="false">IF($D954="","",IFERROR(INDEX(合同单位,MATCH($D954,合同键,0)),IFERROR(TRIM(LEFT($D954,FIND("｜",$D954)-1)),$D954)))</f>
        <v/>
      </c>
      <c r="F954" s="30" t="str">
        <f aca="false">IF($D954="","",IFERROR(INDEX(合同项目,MATCH($D954,合同键,0)),IFERROR(TRIM(MID($D954,FIND("｜",$D954)+1,99)),"")))</f>
        <v/>
      </c>
      <c r="G954" s="24"/>
      <c r="H954" s="35" t="str">
        <f aca="false">IF($G954="","",IFERROR(INDEX(费用款别,MATCH($G954,费用类别表,0)),"合同外款"))</f>
        <v/>
      </c>
      <c r="I954" s="33"/>
      <c r="J954" s="33"/>
      <c r="K954" s="39"/>
      <c r="L954" s="33"/>
      <c r="M954" s="25"/>
      <c r="N954" s="39"/>
      <c r="O954" s="35" t="str">
        <f aca="false">IF($C954="","",IF(N($N954)&lt;=0,"未开票",IF(ROUND(N($N954)-N($K954),2)&gt;=0,"已开票",IFERROR("部分开票 "&amp;TEXT(N($N954)/N($K954),"0%"),"部分开票"))))</f>
        <v/>
      </c>
      <c r="P954" s="40" t="str">
        <f aca="false">IF($C954="","",ROUND($V954+MIN($W954,MAX(0,(SUMIF(收款键,$D954,收款金额)-SUMIFS(收款金额,收款键,$D954,收款关联,"&lt;&gt;"))-($X954-$W954))),2))</f>
        <v/>
      </c>
      <c r="Q954" s="41" t="str">
        <f aca="false">IF($C954="","",ROUND(N($K954)-N($P954),2))</f>
        <v/>
      </c>
      <c r="R954" s="29" t="str">
        <f aca="false">IF($C954="","",YEAR($C954))</f>
        <v/>
      </c>
      <c r="S954" s="24"/>
      <c r="T954" s="35" t="str">
        <f aca="false">IF($C954="","",IF($D954="","★没选客户项目",IF(COUNTIF(合同键,$D954)=0,"★《维保合同》里没这个项目",IF(N($K954)&lt;=0,"★应收金额要填",IF(ROUND(N($N954)-N($K954),2)&gt;0.001,"★开票金额大于应收",IF(AND($L954&lt;&gt;"",N($N954)&lt;=0),"★填了开票日期没填开票金额",IF(AND($I954&lt;&gt;"",$J954&lt;&gt;"",$J954&lt;$I954),"★计费期间起止反了","OK")))))))</f>
        <v/>
      </c>
      <c r="U954" s="29" t="str">
        <f aca="false">IF($L954="","",YEAR($L954))</f>
        <v/>
      </c>
      <c r="V954" s="40" t="str">
        <f aca="false">IF($C954="","",ROUND(SUMIF(收款关联,$B954,收款金额),2))</f>
        <v/>
      </c>
      <c r="W954" s="40" t="str">
        <f aca="false">IF($C954="","",MAX(0,ROUND(N($K954)-N($V954),2)))</f>
        <v/>
      </c>
      <c r="X954" s="40" t="str">
        <f aca="false">IF($C954="","",ROUND(SUMIFS(应收净额,应收键,$D954,应收行号,"&lt;="&amp;ROW()),2))</f>
        <v/>
      </c>
      <c r="Y954" s="29" t="str">
        <f aca="false">IF($C954="","",ROW())</f>
        <v/>
      </c>
    </row>
    <row r="955" customFormat="false" ht="15" hidden="false" customHeight="false" outlineLevel="0" collapsed="false">
      <c r="A955" s="29" t="str">
        <f aca="false">IF($C955="","",ROW()-4)</f>
        <v/>
      </c>
      <c r="B955" s="35" t="str">
        <f aca="false">IF($C955="","","YS"&amp;TEXT($C955,"yyyymm")&amp;"-"&amp;TEXT(ROW()-4,"0000"))</f>
        <v/>
      </c>
      <c r="C955" s="33"/>
      <c r="D955" s="24"/>
      <c r="E955" s="30" t="str">
        <f aca="false">IF($D955="","",IFERROR(INDEX(合同单位,MATCH($D955,合同键,0)),IFERROR(TRIM(LEFT($D955,FIND("｜",$D955)-1)),$D955)))</f>
        <v/>
      </c>
      <c r="F955" s="30" t="str">
        <f aca="false">IF($D955="","",IFERROR(INDEX(合同项目,MATCH($D955,合同键,0)),IFERROR(TRIM(MID($D955,FIND("｜",$D955)+1,99)),"")))</f>
        <v/>
      </c>
      <c r="G955" s="24"/>
      <c r="H955" s="35" t="str">
        <f aca="false">IF($G955="","",IFERROR(INDEX(费用款别,MATCH($G955,费用类别表,0)),"合同外款"))</f>
        <v/>
      </c>
      <c r="I955" s="33"/>
      <c r="J955" s="33"/>
      <c r="K955" s="39"/>
      <c r="L955" s="33"/>
      <c r="M955" s="25"/>
      <c r="N955" s="39"/>
      <c r="O955" s="35" t="str">
        <f aca="false">IF($C955="","",IF(N($N955)&lt;=0,"未开票",IF(ROUND(N($N955)-N($K955),2)&gt;=0,"已开票",IFERROR("部分开票 "&amp;TEXT(N($N955)/N($K955),"0%"),"部分开票"))))</f>
        <v/>
      </c>
      <c r="P955" s="40" t="str">
        <f aca="false">IF($C955="","",ROUND($V955+MIN($W955,MAX(0,(SUMIF(收款键,$D955,收款金额)-SUMIFS(收款金额,收款键,$D955,收款关联,"&lt;&gt;"))-($X955-$W955))),2))</f>
        <v/>
      </c>
      <c r="Q955" s="41" t="str">
        <f aca="false">IF($C955="","",ROUND(N($K955)-N($P955),2))</f>
        <v/>
      </c>
      <c r="R955" s="29" t="str">
        <f aca="false">IF($C955="","",YEAR($C955))</f>
        <v/>
      </c>
      <c r="S955" s="24"/>
      <c r="T955" s="35" t="str">
        <f aca="false">IF($C955="","",IF($D955="","★没选客户项目",IF(COUNTIF(合同键,$D955)=0,"★《维保合同》里没这个项目",IF(N($K955)&lt;=0,"★应收金额要填",IF(ROUND(N($N955)-N($K955),2)&gt;0.001,"★开票金额大于应收",IF(AND($L955&lt;&gt;"",N($N955)&lt;=0),"★填了开票日期没填开票金额",IF(AND($I955&lt;&gt;"",$J955&lt;&gt;"",$J955&lt;$I955),"★计费期间起止反了","OK")))))))</f>
        <v/>
      </c>
      <c r="U955" s="29" t="str">
        <f aca="false">IF($L955="","",YEAR($L955))</f>
        <v/>
      </c>
      <c r="V955" s="40" t="str">
        <f aca="false">IF($C955="","",ROUND(SUMIF(收款关联,$B955,收款金额),2))</f>
        <v/>
      </c>
      <c r="W955" s="40" t="str">
        <f aca="false">IF($C955="","",MAX(0,ROUND(N($K955)-N($V955),2)))</f>
        <v/>
      </c>
      <c r="X955" s="40" t="str">
        <f aca="false">IF($C955="","",ROUND(SUMIFS(应收净额,应收键,$D955,应收行号,"&lt;="&amp;ROW()),2))</f>
        <v/>
      </c>
      <c r="Y955" s="29" t="str">
        <f aca="false">IF($C955="","",ROW())</f>
        <v/>
      </c>
    </row>
    <row r="956" customFormat="false" ht="15" hidden="false" customHeight="false" outlineLevel="0" collapsed="false">
      <c r="A956" s="29" t="str">
        <f aca="false">IF($C956="","",ROW()-4)</f>
        <v/>
      </c>
      <c r="B956" s="35" t="str">
        <f aca="false">IF($C956="","","YS"&amp;TEXT($C956,"yyyymm")&amp;"-"&amp;TEXT(ROW()-4,"0000"))</f>
        <v/>
      </c>
      <c r="C956" s="33"/>
      <c r="D956" s="24"/>
      <c r="E956" s="30" t="str">
        <f aca="false">IF($D956="","",IFERROR(INDEX(合同单位,MATCH($D956,合同键,0)),IFERROR(TRIM(LEFT($D956,FIND("｜",$D956)-1)),$D956)))</f>
        <v/>
      </c>
      <c r="F956" s="30" t="str">
        <f aca="false">IF($D956="","",IFERROR(INDEX(合同项目,MATCH($D956,合同键,0)),IFERROR(TRIM(MID($D956,FIND("｜",$D956)+1,99)),"")))</f>
        <v/>
      </c>
      <c r="G956" s="24"/>
      <c r="H956" s="35" t="str">
        <f aca="false">IF($G956="","",IFERROR(INDEX(费用款别,MATCH($G956,费用类别表,0)),"合同外款"))</f>
        <v/>
      </c>
      <c r="I956" s="33"/>
      <c r="J956" s="33"/>
      <c r="K956" s="39"/>
      <c r="L956" s="33"/>
      <c r="M956" s="25"/>
      <c r="N956" s="39"/>
      <c r="O956" s="35" t="str">
        <f aca="false">IF($C956="","",IF(N($N956)&lt;=0,"未开票",IF(ROUND(N($N956)-N($K956),2)&gt;=0,"已开票",IFERROR("部分开票 "&amp;TEXT(N($N956)/N($K956),"0%"),"部分开票"))))</f>
        <v/>
      </c>
      <c r="P956" s="40" t="str">
        <f aca="false">IF($C956="","",ROUND($V956+MIN($W956,MAX(0,(SUMIF(收款键,$D956,收款金额)-SUMIFS(收款金额,收款键,$D956,收款关联,"&lt;&gt;"))-($X956-$W956))),2))</f>
        <v/>
      </c>
      <c r="Q956" s="41" t="str">
        <f aca="false">IF($C956="","",ROUND(N($K956)-N($P956),2))</f>
        <v/>
      </c>
      <c r="R956" s="29" t="str">
        <f aca="false">IF($C956="","",YEAR($C956))</f>
        <v/>
      </c>
      <c r="S956" s="24"/>
      <c r="T956" s="35" t="str">
        <f aca="false">IF($C956="","",IF($D956="","★没选客户项目",IF(COUNTIF(合同键,$D956)=0,"★《维保合同》里没这个项目",IF(N($K956)&lt;=0,"★应收金额要填",IF(ROUND(N($N956)-N($K956),2)&gt;0.001,"★开票金额大于应收",IF(AND($L956&lt;&gt;"",N($N956)&lt;=0),"★填了开票日期没填开票金额",IF(AND($I956&lt;&gt;"",$J956&lt;&gt;"",$J956&lt;$I956),"★计费期间起止反了","OK")))))))</f>
        <v/>
      </c>
      <c r="U956" s="29" t="str">
        <f aca="false">IF($L956="","",YEAR($L956))</f>
        <v/>
      </c>
      <c r="V956" s="40" t="str">
        <f aca="false">IF($C956="","",ROUND(SUMIF(收款关联,$B956,收款金额),2))</f>
        <v/>
      </c>
      <c r="W956" s="40" t="str">
        <f aca="false">IF($C956="","",MAX(0,ROUND(N($K956)-N($V956),2)))</f>
        <v/>
      </c>
      <c r="X956" s="40" t="str">
        <f aca="false">IF($C956="","",ROUND(SUMIFS(应收净额,应收键,$D956,应收行号,"&lt;="&amp;ROW()),2))</f>
        <v/>
      </c>
      <c r="Y956" s="29" t="str">
        <f aca="false">IF($C956="","",ROW())</f>
        <v/>
      </c>
    </row>
    <row r="957" customFormat="false" ht="15" hidden="false" customHeight="false" outlineLevel="0" collapsed="false">
      <c r="A957" s="29" t="str">
        <f aca="false">IF($C957="","",ROW()-4)</f>
        <v/>
      </c>
      <c r="B957" s="35" t="str">
        <f aca="false">IF($C957="","","YS"&amp;TEXT($C957,"yyyymm")&amp;"-"&amp;TEXT(ROW()-4,"0000"))</f>
        <v/>
      </c>
      <c r="C957" s="33"/>
      <c r="D957" s="24"/>
      <c r="E957" s="30" t="str">
        <f aca="false">IF($D957="","",IFERROR(INDEX(合同单位,MATCH($D957,合同键,0)),IFERROR(TRIM(LEFT($D957,FIND("｜",$D957)-1)),$D957)))</f>
        <v/>
      </c>
      <c r="F957" s="30" t="str">
        <f aca="false">IF($D957="","",IFERROR(INDEX(合同项目,MATCH($D957,合同键,0)),IFERROR(TRIM(MID($D957,FIND("｜",$D957)+1,99)),"")))</f>
        <v/>
      </c>
      <c r="G957" s="24"/>
      <c r="H957" s="35" t="str">
        <f aca="false">IF($G957="","",IFERROR(INDEX(费用款别,MATCH($G957,费用类别表,0)),"合同外款"))</f>
        <v/>
      </c>
      <c r="I957" s="33"/>
      <c r="J957" s="33"/>
      <c r="K957" s="39"/>
      <c r="L957" s="33"/>
      <c r="M957" s="25"/>
      <c r="N957" s="39"/>
      <c r="O957" s="35" t="str">
        <f aca="false">IF($C957="","",IF(N($N957)&lt;=0,"未开票",IF(ROUND(N($N957)-N($K957),2)&gt;=0,"已开票",IFERROR("部分开票 "&amp;TEXT(N($N957)/N($K957),"0%"),"部分开票"))))</f>
        <v/>
      </c>
      <c r="P957" s="40" t="str">
        <f aca="false">IF($C957="","",ROUND($V957+MIN($W957,MAX(0,(SUMIF(收款键,$D957,收款金额)-SUMIFS(收款金额,收款键,$D957,收款关联,"&lt;&gt;"))-($X957-$W957))),2))</f>
        <v/>
      </c>
      <c r="Q957" s="41" t="str">
        <f aca="false">IF($C957="","",ROUND(N($K957)-N($P957),2))</f>
        <v/>
      </c>
      <c r="R957" s="29" t="str">
        <f aca="false">IF($C957="","",YEAR($C957))</f>
        <v/>
      </c>
      <c r="S957" s="24"/>
      <c r="T957" s="35" t="str">
        <f aca="false">IF($C957="","",IF($D957="","★没选客户项目",IF(COUNTIF(合同键,$D957)=0,"★《维保合同》里没这个项目",IF(N($K957)&lt;=0,"★应收金额要填",IF(ROUND(N($N957)-N($K957),2)&gt;0.001,"★开票金额大于应收",IF(AND($L957&lt;&gt;"",N($N957)&lt;=0),"★填了开票日期没填开票金额",IF(AND($I957&lt;&gt;"",$J957&lt;&gt;"",$J957&lt;$I957),"★计费期间起止反了","OK")))))))</f>
        <v/>
      </c>
      <c r="U957" s="29" t="str">
        <f aca="false">IF($L957="","",YEAR($L957))</f>
        <v/>
      </c>
      <c r="V957" s="40" t="str">
        <f aca="false">IF($C957="","",ROUND(SUMIF(收款关联,$B957,收款金额),2))</f>
        <v/>
      </c>
      <c r="W957" s="40" t="str">
        <f aca="false">IF($C957="","",MAX(0,ROUND(N($K957)-N($V957),2)))</f>
        <v/>
      </c>
      <c r="X957" s="40" t="str">
        <f aca="false">IF($C957="","",ROUND(SUMIFS(应收净额,应收键,$D957,应收行号,"&lt;="&amp;ROW()),2))</f>
        <v/>
      </c>
      <c r="Y957" s="29" t="str">
        <f aca="false">IF($C957="","",ROW())</f>
        <v/>
      </c>
    </row>
    <row r="958" customFormat="false" ht="15" hidden="false" customHeight="false" outlineLevel="0" collapsed="false">
      <c r="A958" s="29" t="str">
        <f aca="false">IF($C958="","",ROW()-4)</f>
        <v/>
      </c>
      <c r="B958" s="35" t="str">
        <f aca="false">IF($C958="","","YS"&amp;TEXT($C958,"yyyymm")&amp;"-"&amp;TEXT(ROW()-4,"0000"))</f>
        <v/>
      </c>
      <c r="C958" s="33"/>
      <c r="D958" s="24"/>
      <c r="E958" s="30" t="str">
        <f aca="false">IF($D958="","",IFERROR(INDEX(合同单位,MATCH($D958,合同键,0)),IFERROR(TRIM(LEFT($D958,FIND("｜",$D958)-1)),$D958)))</f>
        <v/>
      </c>
      <c r="F958" s="30" t="str">
        <f aca="false">IF($D958="","",IFERROR(INDEX(合同项目,MATCH($D958,合同键,0)),IFERROR(TRIM(MID($D958,FIND("｜",$D958)+1,99)),"")))</f>
        <v/>
      </c>
      <c r="G958" s="24"/>
      <c r="H958" s="35" t="str">
        <f aca="false">IF($G958="","",IFERROR(INDEX(费用款别,MATCH($G958,费用类别表,0)),"合同外款"))</f>
        <v/>
      </c>
      <c r="I958" s="33"/>
      <c r="J958" s="33"/>
      <c r="K958" s="39"/>
      <c r="L958" s="33"/>
      <c r="M958" s="25"/>
      <c r="N958" s="39"/>
      <c r="O958" s="35" t="str">
        <f aca="false">IF($C958="","",IF(N($N958)&lt;=0,"未开票",IF(ROUND(N($N958)-N($K958),2)&gt;=0,"已开票",IFERROR("部分开票 "&amp;TEXT(N($N958)/N($K958),"0%"),"部分开票"))))</f>
        <v/>
      </c>
      <c r="P958" s="40" t="str">
        <f aca="false">IF($C958="","",ROUND($V958+MIN($W958,MAX(0,(SUMIF(收款键,$D958,收款金额)-SUMIFS(收款金额,收款键,$D958,收款关联,"&lt;&gt;"))-($X958-$W958))),2))</f>
        <v/>
      </c>
      <c r="Q958" s="41" t="str">
        <f aca="false">IF($C958="","",ROUND(N($K958)-N($P958),2))</f>
        <v/>
      </c>
      <c r="R958" s="29" t="str">
        <f aca="false">IF($C958="","",YEAR($C958))</f>
        <v/>
      </c>
      <c r="S958" s="24"/>
      <c r="T958" s="35" t="str">
        <f aca="false">IF($C958="","",IF($D958="","★没选客户项目",IF(COUNTIF(合同键,$D958)=0,"★《维保合同》里没这个项目",IF(N($K958)&lt;=0,"★应收金额要填",IF(ROUND(N($N958)-N($K958),2)&gt;0.001,"★开票金额大于应收",IF(AND($L958&lt;&gt;"",N($N958)&lt;=0),"★填了开票日期没填开票金额",IF(AND($I958&lt;&gt;"",$J958&lt;&gt;"",$J958&lt;$I958),"★计费期间起止反了","OK")))))))</f>
        <v/>
      </c>
      <c r="U958" s="29" t="str">
        <f aca="false">IF($L958="","",YEAR($L958))</f>
        <v/>
      </c>
      <c r="V958" s="40" t="str">
        <f aca="false">IF($C958="","",ROUND(SUMIF(收款关联,$B958,收款金额),2))</f>
        <v/>
      </c>
      <c r="W958" s="40" t="str">
        <f aca="false">IF($C958="","",MAX(0,ROUND(N($K958)-N($V958),2)))</f>
        <v/>
      </c>
      <c r="X958" s="40" t="str">
        <f aca="false">IF($C958="","",ROUND(SUMIFS(应收净额,应收键,$D958,应收行号,"&lt;="&amp;ROW()),2))</f>
        <v/>
      </c>
      <c r="Y958" s="29" t="str">
        <f aca="false">IF($C958="","",ROW())</f>
        <v/>
      </c>
    </row>
    <row r="959" customFormat="false" ht="15" hidden="false" customHeight="false" outlineLevel="0" collapsed="false">
      <c r="A959" s="29" t="str">
        <f aca="false">IF($C959="","",ROW()-4)</f>
        <v/>
      </c>
      <c r="B959" s="35" t="str">
        <f aca="false">IF($C959="","","YS"&amp;TEXT($C959,"yyyymm")&amp;"-"&amp;TEXT(ROW()-4,"0000"))</f>
        <v/>
      </c>
      <c r="C959" s="33"/>
      <c r="D959" s="24"/>
      <c r="E959" s="30" t="str">
        <f aca="false">IF($D959="","",IFERROR(INDEX(合同单位,MATCH($D959,合同键,0)),IFERROR(TRIM(LEFT($D959,FIND("｜",$D959)-1)),$D959)))</f>
        <v/>
      </c>
      <c r="F959" s="30" t="str">
        <f aca="false">IF($D959="","",IFERROR(INDEX(合同项目,MATCH($D959,合同键,0)),IFERROR(TRIM(MID($D959,FIND("｜",$D959)+1,99)),"")))</f>
        <v/>
      </c>
      <c r="G959" s="24"/>
      <c r="H959" s="35" t="str">
        <f aca="false">IF($G959="","",IFERROR(INDEX(费用款别,MATCH($G959,费用类别表,0)),"合同外款"))</f>
        <v/>
      </c>
      <c r="I959" s="33"/>
      <c r="J959" s="33"/>
      <c r="K959" s="39"/>
      <c r="L959" s="33"/>
      <c r="M959" s="25"/>
      <c r="N959" s="39"/>
      <c r="O959" s="35" t="str">
        <f aca="false">IF($C959="","",IF(N($N959)&lt;=0,"未开票",IF(ROUND(N($N959)-N($K959),2)&gt;=0,"已开票",IFERROR("部分开票 "&amp;TEXT(N($N959)/N($K959),"0%"),"部分开票"))))</f>
        <v/>
      </c>
      <c r="P959" s="40" t="str">
        <f aca="false">IF($C959="","",ROUND($V959+MIN($W959,MAX(0,(SUMIF(收款键,$D959,收款金额)-SUMIFS(收款金额,收款键,$D959,收款关联,"&lt;&gt;"))-($X959-$W959))),2))</f>
        <v/>
      </c>
      <c r="Q959" s="41" t="str">
        <f aca="false">IF($C959="","",ROUND(N($K959)-N($P959),2))</f>
        <v/>
      </c>
      <c r="R959" s="29" t="str">
        <f aca="false">IF($C959="","",YEAR($C959))</f>
        <v/>
      </c>
      <c r="S959" s="24"/>
      <c r="T959" s="35" t="str">
        <f aca="false">IF($C959="","",IF($D959="","★没选客户项目",IF(COUNTIF(合同键,$D959)=0,"★《维保合同》里没这个项目",IF(N($K959)&lt;=0,"★应收金额要填",IF(ROUND(N($N959)-N($K959),2)&gt;0.001,"★开票金额大于应收",IF(AND($L959&lt;&gt;"",N($N959)&lt;=0),"★填了开票日期没填开票金额",IF(AND($I959&lt;&gt;"",$J959&lt;&gt;"",$J959&lt;$I959),"★计费期间起止反了","OK")))))))</f>
        <v/>
      </c>
      <c r="U959" s="29" t="str">
        <f aca="false">IF($L959="","",YEAR($L959))</f>
        <v/>
      </c>
      <c r="V959" s="40" t="str">
        <f aca="false">IF($C959="","",ROUND(SUMIF(收款关联,$B959,收款金额),2))</f>
        <v/>
      </c>
      <c r="W959" s="40" t="str">
        <f aca="false">IF($C959="","",MAX(0,ROUND(N($K959)-N($V959),2)))</f>
        <v/>
      </c>
      <c r="X959" s="40" t="str">
        <f aca="false">IF($C959="","",ROUND(SUMIFS(应收净额,应收键,$D959,应收行号,"&lt;="&amp;ROW()),2))</f>
        <v/>
      </c>
      <c r="Y959" s="29" t="str">
        <f aca="false">IF($C959="","",ROW())</f>
        <v/>
      </c>
    </row>
    <row r="960" customFormat="false" ht="15" hidden="false" customHeight="false" outlineLevel="0" collapsed="false">
      <c r="A960" s="29" t="str">
        <f aca="false">IF($C960="","",ROW()-4)</f>
        <v/>
      </c>
      <c r="B960" s="35" t="str">
        <f aca="false">IF($C960="","","YS"&amp;TEXT($C960,"yyyymm")&amp;"-"&amp;TEXT(ROW()-4,"0000"))</f>
        <v/>
      </c>
      <c r="C960" s="33"/>
      <c r="D960" s="24"/>
      <c r="E960" s="30" t="str">
        <f aca="false">IF($D960="","",IFERROR(INDEX(合同单位,MATCH($D960,合同键,0)),IFERROR(TRIM(LEFT($D960,FIND("｜",$D960)-1)),$D960)))</f>
        <v/>
      </c>
      <c r="F960" s="30" t="str">
        <f aca="false">IF($D960="","",IFERROR(INDEX(合同项目,MATCH($D960,合同键,0)),IFERROR(TRIM(MID($D960,FIND("｜",$D960)+1,99)),"")))</f>
        <v/>
      </c>
      <c r="G960" s="24"/>
      <c r="H960" s="35" t="str">
        <f aca="false">IF($G960="","",IFERROR(INDEX(费用款别,MATCH($G960,费用类别表,0)),"合同外款"))</f>
        <v/>
      </c>
      <c r="I960" s="33"/>
      <c r="J960" s="33"/>
      <c r="K960" s="39"/>
      <c r="L960" s="33"/>
      <c r="M960" s="25"/>
      <c r="N960" s="39"/>
      <c r="O960" s="35" t="str">
        <f aca="false">IF($C960="","",IF(N($N960)&lt;=0,"未开票",IF(ROUND(N($N960)-N($K960),2)&gt;=0,"已开票",IFERROR("部分开票 "&amp;TEXT(N($N960)/N($K960),"0%"),"部分开票"))))</f>
        <v/>
      </c>
      <c r="P960" s="40" t="str">
        <f aca="false">IF($C960="","",ROUND($V960+MIN($W960,MAX(0,(SUMIF(收款键,$D960,收款金额)-SUMIFS(收款金额,收款键,$D960,收款关联,"&lt;&gt;"))-($X960-$W960))),2))</f>
        <v/>
      </c>
      <c r="Q960" s="41" t="str">
        <f aca="false">IF($C960="","",ROUND(N($K960)-N($P960),2))</f>
        <v/>
      </c>
      <c r="R960" s="29" t="str">
        <f aca="false">IF($C960="","",YEAR($C960))</f>
        <v/>
      </c>
      <c r="S960" s="24"/>
      <c r="T960" s="35" t="str">
        <f aca="false">IF($C960="","",IF($D960="","★没选客户项目",IF(COUNTIF(合同键,$D960)=0,"★《维保合同》里没这个项目",IF(N($K960)&lt;=0,"★应收金额要填",IF(ROUND(N($N960)-N($K960),2)&gt;0.001,"★开票金额大于应收",IF(AND($L960&lt;&gt;"",N($N960)&lt;=0),"★填了开票日期没填开票金额",IF(AND($I960&lt;&gt;"",$J960&lt;&gt;"",$J960&lt;$I960),"★计费期间起止反了","OK")))))))</f>
        <v/>
      </c>
      <c r="U960" s="29" t="str">
        <f aca="false">IF($L960="","",YEAR($L960))</f>
        <v/>
      </c>
      <c r="V960" s="40" t="str">
        <f aca="false">IF($C960="","",ROUND(SUMIF(收款关联,$B960,收款金额),2))</f>
        <v/>
      </c>
      <c r="W960" s="40" t="str">
        <f aca="false">IF($C960="","",MAX(0,ROUND(N($K960)-N($V960),2)))</f>
        <v/>
      </c>
      <c r="X960" s="40" t="str">
        <f aca="false">IF($C960="","",ROUND(SUMIFS(应收净额,应收键,$D960,应收行号,"&lt;="&amp;ROW()),2))</f>
        <v/>
      </c>
      <c r="Y960" s="29" t="str">
        <f aca="false">IF($C960="","",ROW())</f>
        <v/>
      </c>
    </row>
    <row r="961" customFormat="false" ht="15" hidden="false" customHeight="false" outlineLevel="0" collapsed="false">
      <c r="A961" s="29" t="str">
        <f aca="false">IF($C961="","",ROW()-4)</f>
        <v/>
      </c>
      <c r="B961" s="35" t="str">
        <f aca="false">IF($C961="","","YS"&amp;TEXT($C961,"yyyymm")&amp;"-"&amp;TEXT(ROW()-4,"0000"))</f>
        <v/>
      </c>
      <c r="C961" s="33"/>
      <c r="D961" s="24"/>
      <c r="E961" s="30" t="str">
        <f aca="false">IF($D961="","",IFERROR(INDEX(合同单位,MATCH($D961,合同键,0)),IFERROR(TRIM(LEFT($D961,FIND("｜",$D961)-1)),$D961)))</f>
        <v/>
      </c>
      <c r="F961" s="30" t="str">
        <f aca="false">IF($D961="","",IFERROR(INDEX(合同项目,MATCH($D961,合同键,0)),IFERROR(TRIM(MID($D961,FIND("｜",$D961)+1,99)),"")))</f>
        <v/>
      </c>
      <c r="G961" s="24"/>
      <c r="H961" s="35" t="str">
        <f aca="false">IF($G961="","",IFERROR(INDEX(费用款别,MATCH($G961,费用类别表,0)),"合同外款"))</f>
        <v/>
      </c>
      <c r="I961" s="33"/>
      <c r="J961" s="33"/>
      <c r="K961" s="39"/>
      <c r="L961" s="33"/>
      <c r="M961" s="25"/>
      <c r="N961" s="39"/>
      <c r="O961" s="35" t="str">
        <f aca="false">IF($C961="","",IF(N($N961)&lt;=0,"未开票",IF(ROUND(N($N961)-N($K961),2)&gt;=0,"已开票",IFERROR("部分开票 "&amp;TEXT(N($N961)/N($K961),"0%"),"部分开票"))))</f>
        <v/>
      </c>
      <c r="P961" s="40" t="str">
        <f aca="false">IF($C961="","",ROUND($V961+MIN($W961,MAX(0,(SUMIF(收款键,$D961,收款金额)-SUMIFS(收款金额,收款键,$D961,收款关联,"&lt;&gt;"))-($X961-$W961))),2))</f>
        <v/>
      </c>
      <c r="Q961" s="41" t="str">
        <f aca="false">IF($C961="","",ROUND(N($K961)-N($P961),2))</f>
        <v/>
      </c>
      <c r="R961" s="29" t="str">
        <f aca="false">IF($C961="","",YEAR($C961))</f>
        <v/>
      </c>
      <c r="S961" s="24"/>
      <c r="T961" s="35" t="str">
        <f aca="false">IF($C961="","",IF($D961="","★没选客户项目",IF(COUNTIF(合同键,$D961)=0,"★《维保合同》里没这个项目",IF(N($K961)&lt;=0,"★应收金额要填",IF(ROUND(N($N961)-N($K961),2)&gt;0.001,"★开票金额大于应收",IF(AND($L961&lt;&gt;"",N($N961)&lt;=0),"★填了开票日期没填开票金额",IF(AND($I961&lt;&gt;"",$J961&lt;&gt;"",$J961&lt;$I961),"★计费期间起止反了","OK")))))))</f>
        <v/>
      </c>
      <c r="U961" s="29" t="str">
        <f aca="false">IF($L961="","",YEAR($L961))</f>
        <v/>
      </c>
      <c r="V961" s="40" t="str">
        <f aca="false">IF($C961="","",ROUND(SUMIF(收款关联,$B961,收款金额),2))</f>
        <v/>
      </c>
      <c r="W961" s="40" t="str">
        <f aca="false">IF($C961="","",MAX(0,ROUND(N($K961)-N($V961),2)))</f>
        <v/>
      </c>
      <c r="X961" s="40" t="str">
        <f aca="false">IF($C961="","",ROUND(SUMIFS(应收净额,应收键,$D961,应收行号,"&lt;="&amp;ROW()),2))</f>
        <v/>
      </c>
      <c r="Y961" s="29" t="str">
        <f aca="false">IF($C961="","",ROW())</f>
        <v/>
      </c>
    </row>
    <row r="962" customFormat="false" ht="15" hidden="false" customHeight="false" outlineLevel="0" collapsed="false">
      <c r="A962" s="29" t="str">
        <f aca="false">IF($C962="","",ROW()-4)</f>
        <v/>
      </c>
      <c r="B962" s="35" t="str">
        <f aca="false">IF($C962="","","YS"&amp;TEXT($C962,"yyyymm")&amp;"-"&amp;TEXT(ROW()-4,"0000"))</f>
        <v/>
      </c>
      <c r="C962" s="33"/>
      <c r="D962" s="24"/>
      <c r="E962" s="30" t="str">
        <f aca="false">IF($D962="","",IFERROR(INDEX(合同单位,MATCH($D962,合同键,0)),IFERROR(TRIM(LEFT($D962,FIND("｜",$D962)-1)),$D962)))</f>
        <v/>
      </c>
      <c r="F962" s="30" t="str">
        <f aca="false">IF($D962="","",IFERROR(INDEX(合同项目,MATCH($D962,合同键,0)),IFERROR(TRIM(MID($D962,FIND("｜",$D962)+1,99)),"")))</f>
        <v/>
      </c>
      <c r="G962" s="24"/>
      <c r="H962" s="35" t="str">
        <f aca="false">IF($G962="","",IFERROR(INDEX(费用款别,MATCH($G962,费用类别表,0)),"合同外款"))</f>
        <v/>
      </c>
      <c r="I962" s="33"/>
      <c r="J962" s="33"/>
      <c r="K962" s="39"/>
      <c r="L962" s="33"/>
      <c r="M962" s="25"/>
      <c r="N962" s="39"/>
      <c r="O962" s="35" t="str">
        <f aca="false">IF($C962="","",IF(N($N962)&lt;=0,"未开票",IF(ROUND(N($N962)-N($K962),2)&gt;=0,"已开票",IFERROR("部分开票 "&amp;TEXT(N($N962)/N($K962),"0%"),"部分开票"))))</f>
        <v/>
      </c>
      <c r="P962" s="40" t="str">
        <f aca="false">IF($C962="","",ROUND($V962+MIN($W962,MAX(0,(SUMIF(收款键,$D962,收款金额)-SUMIFS(收款金额,收款键,$D962,收款关联,"&lt;&gt;"))-($X962-$W962))),2))</f>
        <v/>
      </c>
      <c r="Q962" s="41" t="str">
        <f aca="false">IF($C962="","",ROUND(N($K962)-N($P962),2))</f>
        <v/>
      </c>
      <c r="R962" s="29" t="str">
        <f aca="false">IF($C962="","",YEAR($C962))</f>
        <v/>
      </c>
      <c r="S962" s="24"/>
      <c r="T962" s="35" t="str">
        <f aca="false">IF($C962="","",IF($D962="","★没选客户项目",IF(COUNTIF(合同键,$D962)=0,"★《维保合同》里没这个项目",IF(N($K962)&lt;=0,"★应收金额要填",IF(ROUND(N($N962)-N($K962),2)&gt;0.001,"★开票金额大于应收",IF(AND($L962&lt;&gt;"",N($N962)&lt;=0),"★填了开票日期没填开票金额",IF(AND($I962&lt;&gt;"",$J962&lt;&gt;"",$J962&lt;$I962),"★计费期间起止反了","OK")))))))</f>
        <v/>
      </c>
      <c r="U962" s="29" t="str">
        <f aca="false">IF($L962="","",YEAR($L962))</f>
        <v/>
      </c>
      <c r="V962" s="40" t="str">
        <f aca="false">IF($C962="","",ROUND(SUMIF(收款关联,$B962,收款金额),2))</f>
        <v/>
      </c>
      <c r="W962" s="40" t="str">
        <f aca="false">IF($C962="","",MAX(0,ROUND(N($K962)-N($V962),2)))</f>
        <v/>
      </c>
      <c r="X962" s="40" t="str">
        <f aca="false">IF($C962="","",ROUND(SUMIFS(应收净额,应收键,$D962,应收行号,"&lt;="&amp;ROW()),2))</f>
        <v/>
      </c>
      <c r="Y962" s="29" t="str">
        <f aca="false">IF($C962="","",ROW())</f>
        <v/>
      </c>
    </row>
    <row r="963" customFormat="false" ht="15" hidden="false" customHeight="false" outlineLevel="0" collapsed="false">
      <c r="A963" s="29" t="str">
        <f aca="false">IF($C963="","",ROW()-4)</f>
        <v/>
      </c>
      <c r="B963" s="35" t="str">
        <f aca="false">IF($C963="","","YS"&amp;TEXT($C963,"yyyymm")&amp;"-"&amp;TEXT(ROW()-4,"0000"))</f>
        <v/>
      </c>
      <c r="C963" s="33"/>
      <c r="D963" s="24"/>
      <c r="E963" s="30" t="str">
        <f aca="false">IF($D963="","",IFERROR(INDEX(合同单位,MATCH($D963,合同键,0)),IFERROR(TRIM(LEFT($D963,FIND("｜",$D963)-1)),$D963)))</f>
        <v/>
      </c>
      <c r="F963" s="30" t="str">
        <f aca="false">IF($D963="","",IFERROR(INDEX(合同项目,MATCH($D963,合同键,0)),IFERROR(TRIM(MID($D963,FIND("｜",$D963)+1,99)),"")))</f>
        <v/>
      </c>
      <c r="G963" s="24"/>
      <c r="H963" s="35" t="str">
        <f aca="false">IF($G963="","",IFERROR(INDEX(费用款别,MATCH($G963,费用类别表,0)),"合同外款"))</f>
        <v/>
      </c>
      <c r="I963" s="33"/>
      <c r="J963" s="33"/>
      <c r="K963" s="39"/>
      <c r="L963" s="33"/>
      <c r="M963" s="25"/>
      <c r="N963" s="39"/>
      <c r="O963" s="35" t="str">
        <f aca="false">IF($C963="","",IF(N($N963)&lt;=0,"未开票",IF(ROUND(N($N963)-N($K963),2)&gt;=0,"已开票",IFERROR("部分开票 "&amp;TEXT(N($N963)/N($K963),"0%"),"部分开票"))))</f>
        <v/>
      </c>
      <c r="P963" s="40" t="str">
        <f aca="false">IF($C963="","",ROUND($V963+MIN($W963,MAX(0,(SUMIF(收款键,$D963,收款金额)-SUMIFS(收款金额,收款键,$D963,收款关联,"&lt;&gt;"))-($X963-$W963))),2))</f>
        <v/>
      </c>
      <c r="Q963" s="41" t="str">
        <f aca="false">IF($C963="","",ROUND(N($K963)-N($P963),2))</f>
        <v/>
      </c>
      <c r="R963" s="29" t="str">
        <f aca="false">IF($C963="","",YEAR($C963))</f>
        <v/>
      </c>
      <c r="S963" s="24"/>
      <c r="T963" s="35" t="str">
        <f aca="false">IF($C963="","",IF($D963="","★没选客户项目",IF(COUNTIF(合同键,$D963)=0,"★《维保合同》里没这个项目",IF(N($K963)&lt;=0,"★应收金额要填",IF(ROUND(N($N963)-N($K963),2)&gt;0.001,"★开票金额大于应收",IF(AND($L963&lt;&gt;"",N($N963)&lt;=0),"★填了开票日期没填开票金额",IF(AND($I963&lt;&gt;"",$J963&lt;&gt;"",$J963&lt;$I963),"★计费期间起止反了","OK")))))))</f>
        <v/>
      </c>
      <c r="U963" s="29" t="str">
        <f aca="false">IF($L963="","",YEAR($L963))</f>
        <v/>
      </c>
      <c r="V963" s="40" t="str">
        <f aca="false">IF($C963="","",ROUND(SUMIF(收款关联,$B963,收款金额),2))</f>
        <v/>
      </c>
      <c r="W963" s="40" t="str">
        <f aca="false">IF($C963="","",MAX(0,ROUND(N($K963)-N($V963),2)))</f>
        <v/>
      </c>
      <c r="X963" s="40" t="str">
        <f aca="false">IF($C963="","",ROUND(SUMIFS(应收净额,应收键,$D963,应收行号,"&lt;="&amp;ROW()),2))</f>
        <v/>
      </c>
      <c r="Y963" s="29" t="str">
        <f aca="false">IF($C963="","",ROW())</f>
        <v/>
      </c>
    </row>
    <row r="964" customFormat="false" ht="15" hidden="false" customHeight="false" outlineLevel="0" collapsed="false">
      <c r="A964" s="29" t="str">
        <f aca="false">IF($C964="","",ROW()-4)</f>
        <v/>
      </c>
      <c r="B964" s="35" t="str">
        <f aca="false">IF($C964="","","YS"&amp;TEXT($C964,"yyyymm")&amp;"-"&amp;TEXT(ROW()-4,"0000"))</f>
        <v/>
      </c>
      <c r="C964" s="33"/>
      <c r="D964" s="24"/>
      <c r="E964" s="30" t="str">
        <f aca="false">IF($D964="","",IFERROR(INDEX(合同单位,MATCH($D964,合同键,0)),IFERROR(TRIM(LEFT($D964,FIND("｜",$D964)-1)),$D964)))</f>
        <v/>
      </c>
      <c r="F964" s="30" t="str">
        <f aca="false">IF($D964="","",IFERROR(INDEX(合同项目,MATCH($D964,合同键,0)),IFERROR(TRIM(MID($D964,FIND("｜",$D964)+1,99)),"")))</f>
        <v/>
      </c>
      <c r="G964" s="24"/>
      <c r="H964" s="35" t="str">
        <f aca="false">IF($G964="","",IFERROR(INDEX(费用款别,MATCH($G964,费用类别表,0)),"合同外款"))</f>
        <v/>
      </c>
      <c r="I964" s="33"/>
      <c r="J964" s="33"/>
      <c r="K964" s="39"/>
      <c r="L964" s="33"/>
      <c r="M964" s="25"/>
      <c r="N964" s="39"/>
      <c r="O964" s="35" t="str">
        <f aca="false">IF($C964="","",IF(N($N964)&lt;=0,"未开票",IF(ROUND(N($N964)-N($K964),2)&gt;=0,"已开票",IFERROR("部分开票 "&amp;TEXT(N($N964)/N($K964),"0%"),"部分开票"))))</f>
        <v/>
      </c>
      <c r="P964" s="40" t="str">
        <f aca="false">IF($C964="","",ROUND($V964+MIN($W964,MAX(0,(SUMIF(收款键,$D964,收款金额)-SUMIFS(收款金额,收款键,$D964,收款关联,"&lt;&gt;"))-($X964-$W964))),2))</f>
        <v/>
      </c>
      <c r="Q964" s="41" t="str">
        <f aca="false">IF($C964="","",ROUND(N($K964)-N($P964),2))</f>
        <v/>
      </c>
      <c r="R964" s="29" t="str">
        <f aca="false">IF($C964="","",YEAR($C964))</f>
        <v/>
      </c>
      <c r="S964" s="24"/>
      <c r="T964" s="35" t="str">
        <f aca="false">IF($C964="","",IF($D964="","★没选客户项目",IF(COUNTIF(合同键,$D964)=0,"★《维保合同》里没这个项目",IF(N($K964)&lt;=0,"★应收金额要填",IF(ROUND(N($N964)-N($K964),2)&gt;0.001,"★开票金额大于应收",IF(AND($L964&lt;&gt;"",N($N964)&lt;=0),"★填了开票日期没填开票金额",IF(AND($I964&lt;&gt;"",$J964&lt;&gt;"",$J964&lt;$I964),"★计费期间起止反了","OK")))))))</f>
        <v/>
      </c>
      <c r="U964" s="29" t="str">
        <f aca="false">IF($L964="","",YEAR($L964))</f>
        <v/>
      </c>
      <c r="V964" s="40" t="str">
        <f aca="false">IF($C964="","",ROUND(SUMIF(收款关联,$B964,收款金额),2))</f>
        <v/>
      </c>
      <c r="W964" s="40" t="str">
        <f aca="false">IF($C964="","",MAX(0,ROUND(N($K964)-N($V964),2)))</f>
        <v/>
      </c>
      <c r="X964" s="40" t="str">
        <f aca="false">IF($C964="","",ROUND(SUMIFS(应收净额,应收键,$D964,应收行号,"&lt;="&amp;ROW()),2))</f>
        <v/>
      </c>
      <c r="Y964" s="29" t="str">
        <f aca="false">IF($C964="","",ROW())</f>
        <v/>
      </c>
    </row>
    <row r="965" customFormat="false" ht="15" hidden="false" customHeight="false" outlineLevel="0" collapsed="false">
      <c r="A965" s="29" t="str">
        <f aca="false">IF($C965="","",ROW()-4)</f>
        <v/>
      </c>
      <c r="B965" s="35" t="str">
        <f aca="false">IF($C965="","","YS"&amp;TEXT($C965,"yyyymm")&amp;"-"&amp;TEXT(ROW()-4,"0000"))</f>
        <v/>
      </c>
      <c r="C965" s="33"/>
      <c r="D965" s="24"/>
      <c r="E965" s="30" t="str">
        <f aca="false">IF($D965="","",IFERROR(INDEX(合同单位,MATCH($D965,合同键,0)),IFERROR(TRIM(LEFT($D965,FIND("｜",$D965)-1)),$D965)))</f>
        <v/>
      </c>
      <c r="F965" s="30" t="str">
        <f aca="false">IF($D965="","",IFERROR(INDEX(合同项目,MATCH($D965,合同键,0)),IFERROR(TRIM(MID($D965,FIND("｜",$D965)+1,99)),"")))</f>
        <v/>
      </c>
      <c r="G965" s="24"/>
      <c r="H965" s="35" t="str">
        <f aca="false">IF($G965="","",IFERROR(INDEX(费用款别,MATCH($G965,费用类别表,0)),"合同外款"))</f>
        <v/>
      </c>
      <c r="I965" s="33"/>
      <c r="J965" s="33"/>
      <c r="K965" s="39"/>
      <c r="L965" s="33"/>
      <c r="M965" s="25"/>
      <c r="N965" s="39"/>
      <c r="O965" s="35" t="str">
        <f aca="false">IF($C965="","",IF(N($N965)&lt;=0,"未开票",IF(ROUND(N($N965)-N($K965),2)&gt;=0,"已开票",IFERROR("部分开票 "&amp;TEXT(N($N965)/N($K965),"0%"),"部分开票"))))</f>
        <v/>
      </c>
      <c r="P965" s="40" t="str">
        <f aca="false">IF($C965="","",ROUND($V965+MIN($W965,MAX(0,(SUMIF(收款键,$D965,收款金额)-SUMIFS(收款金额,收款键,$D965,收款关联,"&lt;&gt;"))-($X965-$W965))),2))</f>
        <v/>
      </c>
      <c r="Q965" s="41" t="str">
        <f aca="false">IF($C965="","",ROUND(N($K965)-N($P965),2))</f>
        <v/>
      </c>
      <c r="R965" s="29" t="str">
        <f aca="false">IF($C965="","",YEAR($C965))</f>
        <v/>
      </c>
      <c r="S965" s="24"/>
      <c r="T965" s="35" t="str">
        <f aca="false">IF($C965="","",IF($D965="","★没选客户项目",IF(COUNTIF(合同键,$D965)=0,"★《维保合同》里没这个项目",IF(N($K965)&lt;=0,"★应收金额要填",IF(ROUND(N($N965)-N($K965),2)&gt;0.001,"★开票金额大于应收",IF(AND($L965&lt;&gt;"",N($N965)&lt;=0),"★填了开票日期没填开票金额",IF(AND($I965&lt;&gt;"",$J965&lt;&gt;"",$J965&lt;$I965),"★计费期间起止反了","OK")))))))</f>
        <v/>
      </c>
      <c r="U965" s="29" t="str">
        <f aca="false">IF($L965="","",YEAR($L965))</f>
        <v/>
      </c>
      <c r="V965" s="40" t="str">
        <f aca="false">IF($C965="","",ROUND(SUMIF(收款关联,$B965,收款金额),2))</f>
        <v/>
      </c>
      <c r="W965" s="40" t="str">
        <f aca="false">IF($C965="","",MAX(0,ROUND(N($K965)-N($V965),2)))</f>
        <v/>
      </c>
      <c r="X965" s="40" t="str">
        <f aca="false">IF($C965="","",ROUND(SUMIFS(应收净额,应收键,$D965,应收行号,"&lt;="&amp;ROW()),2))</f>
        <v/>
      </c>
      <c r="Y965" s="29" t="str">
        <f aca="false">IF($C965="","",ROW())</f>
        <v/>
      </c>
    </row>
    <row r="966" customFormat="false" ht="15" hidden="false" customHeight="false" outlineLevel="0" collapsed="false">
      <c r="A966" s="29" t="str">
        <f aca="false">IF($C966="","",ROW()-4)</f>
        <v/>
      </c>
      <c r="B966" s="35" t="str">
        <f aca="false">IF($C966="","","YS"&amp;TEXT($C966,"yyyymm")&amp;"-"&amp;TEXT(ROW()-4,"0000"))</f>
        <v/>
      </c>
      <c r="C966" s="33"/>
      <c r="D966" s="24"/>
      <c r="E966" s="30" t="str">
        <f aca="false">IF($D966="","",IFERROR(INDEX(合同单位,MATCH($D966,合同键,0)),IFERROR(TRIM(LEFT($D966,FIND("｜",$D966)-1)),$D966)))</f>
        <v/>
      </c>
      <c r="F966" s="30" t="str">
        <f aca="false">IF($D966="","",IFERROR(INDEX(合同项目,MATCH($D966,合同键,0)),IFERROR(TRIM(MID($D966,FIND("｜",$D966)+1,99)),"")))</f>
        <v/>
      </c>
      <c r="G966" s="24"/>
      <c r="H966" s="35" t="str">
        <f aca="false">IF($G966="","",IFERROR(INDEX(费用款别,MATCH($G966,费用类别表,0)),"合同外款"))</f>
        <v/>
      </c>
      <c r="I966" s="33"/>
      <c r="J966" s="33"/>
      <c r="K966" s="39"/>
      <c r="L966" s="33"/>
      <c r="M966" s="25"/>
      <c r="N966" s="39"/>
      <c r="O966" s="35" t="str">
        <f aca="false">IF($C966="","",IF(N($N966)&lt;=0,"未开票",IF(ROUND(N($N966)-N($K966),2)&gt;=0,"已开票",IFERROR("部分开票 "&amp;TEXT(N($N966)/N($K966),"0%"),"部分开票"))))</f>
        <v/>
      </c>
      <c r="P966" s="40" t="str">
        <f aca="false">IF($C966="","",ROUND($V966+MIN($W966,MAX(0,(SUMIF(收款键,$D966,收款金额)-SUMIFS(收款金额,收款键,$D966,收款关联,"&lt;&gt;"))-($X966-$W966))),2))</f>
        <v/>
      </c>
      <c r="Q966" s="41" t="str">
        <f aca="false">IF($C966="","",ROUND(N($K966)-N($P966),2))</f>
        <v/>
      </c>
      <c r="R966" s="29" t="str">
        <f aca="false">IF($C966="","",YEAR($C966))</f>
        <v/>
      </c>
      <c r="S966" s="24"/>
      <c r="T966" s="35" t="str">
        <f aca="false">IF($C966="","",IF($D966="","★没选客户项目",IF(COUNTIF(合同键,$D966)=0,"★《维保合同》里没这个项目",IF(N($K966)&lt;=0,"★应收金额要填",IF(ROUND(N($N966)-N($K966),2)&gt;0.001,"★开票金额大于应收",IF(AND($L966&lt;&gt;"",N($N966)&lt;=0),"★填了开票日期没填开票金额",IF(AND($I966&lt;&gt;"",$J966&lt;&gt;"",$J966&lt;$I966),"★计费期间起止反了","OK")))))))</f>
        <v/>
      </c>
      <c r="U966" s="29" t="str">
        <f aca="false">IF($L966="","",YEAR($L966))</f>
        <v/>
      </c>
      <c r="V966" s="40" t="str">
        <f aca="false">IF($C966="","",ROUND(SUMIF(收款关联,$B966,收款金额),2))</f>
        <v/>
      </c>
      <c r="W966" s="40" t="str">
        <f aca="false">IF($C966="","",MAX(0,ROUND(N($K966)-N($V966),2)))</f>
        <v/>
      </c>
      <c r="X966" s="40" t="str">
        <f aca="false">IF($C966="","",ROUND(SUMIFS(应收净额,应收键,$D966,应收行号,"&lt;="&amp;ROW()),2))</f>
        <v/>
      </c>
      <c r="Y966" s="29" t="str">
        <f aca="false">IF($C966="","",ROW())</f>
        <v/>
      </c>
    </row>
    <row r="967" customFormat="false" ht="15" hidden="false" customHeight="false" outlineLevel="0" collapsed="false">
      <c r="A967" s="29" t="str">
        <f aca="false">IF($C967="","",ROW()-4)</f>
        <v/>
      </c>
      <c r="B967" s="35" t="str">
        <f aca="false">IF($C967="","","YS"&amp;TEXT($C967,"yyyymm")&amp;"-"&amp;TEXT(ROW()-4,"0000"))</f>
        <v/>
      </c>
      <c r="C967" s="33"/>
      <c r="D967" s="24"/>
      <c r="E967" s="30" t="str">
        <f aca="false">IF($D967="","",IFERROR(INDEX(合同单位,MATCH($D967,合同键,0)),IFERROR(TRIM(LEFT($D967,FIND("｜",$D967)-1)),$D967)))</f>
        <v/>
      </c>
      <c r="F967" s="30" t="str">
        <f aca="false">IF($D967="","",IFERROR(INDEX(合同项目,MATCH($D967,合同键,0)),IFERROR(TRIM(MID($D967,FIND("｜",$D967)+1,99)),"")))</f>
        <v/>
      </c>
      <c r="G967" s="24"/>
      <c r="H967" s="35" t="str">
        <f aca="false">IF($G967="","",IFERROR(INDEX(费用款别,MATCH($G967,费用类别表,0)),"合同外款"))</f>
        <v/>
      </c>
      <c r="I967" s="33"/>
      <c r="J967" s="33"/>
      <c r="K967" s="39"/>
      <c r="L967" s="33"/>
      <c r="M967" s="25"/>
      <c r="N967" s="39"/>
      <c r="O967" s="35" t="str">
        <f aca="false">IF($C967="","",IF(N($N967)&lt;=0,"未开票",IF(ROUND(N($N967)-N($K967),2)&gt;=0,"已开票",IFERROR("部分开票 "&amp;TEXT(N($N967)/N($K967),"0%"),"部分开票"))))</f>
        <v/>
      </c>
      <c r="P967" s="40" t="str">
        <f aca="false">IF($C967="","",ROUND($V967+MIN($W967,MAX(0,(SUMIF(收款键,$D967,收款金额)-SUMIFS(收款金额,收款键,$D967,收款关联,"&lt;&gt;"))-($X967-$W967))),2))</f>
        <v/>
      </c>
      <c r="Q967" s="41" t="str">
        <f aca="false">IF($C967="","",ROUND(N($K967)-N($P967),2))</f>
        <v/>
      </c>
      <c r="R967" s="29" t="str">
        <f aca="false">IF($C967="","",YEAR($C967))</f>
        <v/>
      </c>
      <c r="S967" s="24"/>
      <c r="T967" s="35" t="str">
        <f aca="false">IF($C967="","",IF($D967="","★没选客户项目",IF(COUNTIF(合同键,$D967)=0,"★《维保合同》里没这个项目",IF(N($K967)&lt;=0,"★应收金额要填",IF(ROUND(N($N967)-N($K967),2)&gt;0.001,"★开票金额大于应收",IF(AND($L967&lt;&gt;"",N($N967)&lt;=0),"★填了开票日期没填开票金额",IF(AND($I967&lt;&gt;"",$J967&lt;&gt;"",$J967&lt;$I967),"★计费期间起止反了","OK")))))))</f>
        <v/>
      </c>
      <c r="U967" s="29" t="str">
        <f aca="false">IF($L967="","",YEAR($L967))</f>
        <v/>
      </c>
      <c r="V967" s="40" t="str">
        <f aca="false">IF($C967="","",ROUND(SUMIF(收款关联,$B967,收款金额),2))</f>
        <v/>
      </c>
      <c r="W967" s="40" t="str">
        <f aca="false">IF($C967="","",MAX(0,ROUND(N($K967)-N($V967),2)))</f>
        <v/>
      </c>
      <c r="X967" s="40" t="str">
        <f aca="false">IF($C967="","",ROUND(SUMIFS(应收净额,应收键,$D967,应收行号,"&lt;="&amp;ROW()),2))</f>
        <v/>
      </c>
      <c r="Y967" s="29" t="str">
        <f aca="false">IF($C967="","",ROW())</f>
        <v/>
      </c>
    </row>
    <row r="968" customFormat="false" ht="15" hidden="false" customHeight="false" outlineLevel="0" collapsed="false">
      <c r="A968" s="29" t="str">
        <f aca="false">IF($C968="","",ROW()-4)</f>
        <v/>
      </c>
      <c r="B968" s="35" t="str">
        <f aca="false">IF($C968="","","YS"&amp;TEXT($C968,"yyyymm")&amp;"-"&amp;TEXT(ROW()-4,"0000"))</f>
        <v/>
      </c>
      <c r="C968" s="33"/>
      <c r="D968" s="24"/>
      <c r="E968" s="30" t="str">
        <f aca="false">IF($D968="","",IFERROR(INDEX(合同单位,MATCH($D968,合同键,0)),IFERROR(TRIM(LEFT($D968,FIND("｜",$D968)-1)),$D968)))</f>
        <v/>
      </c>
      <c r="F968" s="30" t="str">
        <f aca="false">IF($D968="","",IFERROR(INDEX(合同项目,MATCH($D968,合同键,0)),IFERROR(TRIM(MID($D968,FIND("｜",$D968)+1,99)),"")))</f>
        <v/>
      </c>
      <c r="G968" s="24"/>
      <c r="H968" s="35" t="str">
        <f aca="false">IF($G968="","",IFERROR(INDEX(费用款别,MATCH($G968,费用类别表,0)),"合同外款"))</f>
        <v/>
      </c>
      <c r="I968" s="33"/>
      <c r="J968" s="33"/>
      <c r="K968" s="39"/>
      <c r="L968" s="33"/>
      <c r="M968" s="25"/>
      <c r="N968" s="39"/>
      <c r="O968" s="35" t="str">
        <f aca="false">IF($C968="","",IF(N($N968)&lt;=0,"未开票",IF(ROUND(N($N968)-N($K968),2)&gt;=0,"已开票",IFERROR("部分开票 "&amp;TEXT(N($N968)/N($K968),"0%"),"部分开票"))))</f>
        <v/>
      </c>
      <c r="P968" s="40" t="str">
        <f aca="false">IF($C968="","",ROUND($V968+MIN($W968,MAX(0,(SUMIF(收款键,$D968,收款金额)-SUMIFS(收款金额,收款键,$D968,收款关联,"&lt;&gt;"))-($X968-$W968))),2))</f>
        <v/>
      </c>
      <c r="Q968" s="41" t="str">
        <f aca="false">IF($C968="","",ROUND(N($K968)-N($P968),2))</f>
        <v/>
      </c>
      <c r="R968" s="29" t="str">
        <f aca="false">IF($C968="","",YEAR($C968))</f>
        <v/>
      </c>
      <c r="S968" s="24"/>
      <c r="T968" s="35" t="str">
        <f aca="false">IF($C968="","",IF($D968="","★没选客户项目",IF(COUNTIF(合同键,$D968)=0,"★《维保合同》里没这个项目",IF(N($K968)&lt;=0,"★应收金额要填",IF(ROUND(N($N968)-N($K968),2)&gt;0.001,"★开票金额大于应收",IF(AND($L968&lt;&gt;"",N($N968)&lt;=0),"★填了开票日期没填开票金额",IF(AND($I968&lt;&gt;"",$J968&lt;&gt;"",$J968&lt;$I968),"★计费期间起止反了","OK")))))))</f>
        <v/>
      </c>
      <c r="U968" s="29" t="str">
        <f aca="false">IF($L968="","",YEAR($L968))</f>
        <v/>
      </c>
      <c r="V968" s="40" t="str">
        <f aca="false">IF($C968="","",ROUND(SUMIF(收款关联,$B968,收款金额),2))</f>
        <v/>
      </c>
      <c r="W968" s="40" t="str">
        <f aca="false">IF($C968="","",MAX(0,ROUND(N($K968)-N($V968),2)))</f>
        <v/>
      </c>
      <c r="X968" s="40" t="str">
        <f aca="false">IF($C968="","",ROUND(SUMIFS(应收净额,应收键,$D968,应收行号,"&lt;="&amp;ROW()),2))</f>
        <v/>
      </c>
      <c r="Y968" s="29" t="str">
        <f aca="false">IF($C968="","",ROW())</f>
        <v/>
      </c>
    </row>
    <row r="969" customFormat="false" ht="15" hidden="false" customHeight="false" outlineLevel="0" collapsed="false">
      <c r="A969" s="29" t="str">
        <f aca="false">IF($C969="","",ROW()-4)</f>
        <v/>
      </c>
      <c r="B969" s="35" t="str">
        <f aca="false">IF($C969="","","YS"&amp;TEXT($C969,"yyyymm")&amp;"-"&amp;TEXT(ROW()-4,"0000"))</f>
        <v/>
      </c>
      <c r="C969" s="33"/>
      <c r="D969" s="24"/>
      <c r="E969" s="30" t="str">
        <f aca="false">IF($D969="","",IFERROR(INDEX(合同单位,MATCH($D969,合同键,0)),IFERROR(TRIM(LEFT($D969,FIND("｜",$D969)-1)),$D969)))</f>
        <v/>
      </c>
      <c r="F969" s="30" t="str">
        <f aca="false">IF($D969="","",IFERROR(INDEX(合同项目,MATCH($D969,合同键,0)),IFERROR(TRIM(MID($D969,FIND("｜",$D969)+1,99)),"")))</f>
        <v/>
      </c>
      <c r="G969" s="24"/>
      <c r="H969" s="35" t="str">
        <f aca="false">IF($G969="","",IFERROR(INDEX(费用款别,MATCH($G969,费用类别表,0)),"合同外款"))</f>
        <v/>
      </c>
      <c r="I969" s="33"/>
      <c r="J969" s="33"/>
      <c r="K969" s="39"/>
      <c r="L969" s="33"/>
      <c r="M969" s="25"/>
      <c r="N969" s="39"/>
      <c r="O969" s="35" t="str">
        <f aca="false">IF($C969="","",IF(N($N969)&lt;=0,"未开票",IF(ROUND(N($N969)-N($K969),2)&gt;=0,"已开票",IFERROR("部分开票 "&amp;TEXT(N($N969)/N($K969),"0%"),"部分开票"))))</f>
        <v/>
      </c>
      <c r="P969" s="40" t="str">
        <f aca="false">IF($C969="","",ROUND($V969+MIN($W969,MAX(0,(SUMIF(收款键,$D969,收款金额)-SUMIFS(收款金额,收款键,$D969,收款关联,"&lt;&gt;"))-($X969-$W969))),2))</f>
        <v/>
      </c>
      <c r="Q969" s="41" t="str">
        <f aca="false">IF($C969="","",ROUND(N($K969)-N($P969),2))</f>
        <v/>
      </c>
      <c r="R969" s="29" t="str">
        <f aca="false">IF($C969="","",YEAR($C969))</f>
        <v/>
      </c>
      <c r="S969" s="24"/>
      <c r="T969" s="35" t="str">
        <f aca="false">IF($C969="","",IF($D969="","★没选客户项目",IF(COUNTIF(合同键,$D969)=0,"★《维保合同》里没这个项目",IF(N($K969)&lt;=0,"★应收金额要填",IF(ROUND(N($N969)-N($K969),2)&gt;0.001,"★开票金额大于应收",IF(AND($L969&lt;&gt;"",N($N969)&lt;=0),"★填了开票日期没填开票金额",IF(AND($I969&lt;&gt;"",$J969&lt;&gt;"",$J969&lt;$I969),"★计费期间起止反了","OK")))))))</f>
        <v/>
      </c>
      <c r="U969" s="29" t="str">
        <f aca="false">IF($L969="","",YEAR($L969))</f>
        <v/>
      </c>
      <c r="V969" s="40" t="str">
        <f aca="false">IF($C969="","",ROUND(SUMIF(收款关联,$B969,收款金额),2))</f>
        <v/>
      </c>
      <c r="W969" s="40" t="str">
        <f aca="false">IF($C969="","",MAX(0,ROUND(N($K969)-N($V969),2)))</f>
        <v/>
      </c>
      <c r="X969" s="40" t="str">
        <f aca="false">IF($C969="","",ROUND(SUMIFS(应收净额,应收键,$D969,应收行号,"&lt;="&amp;ROW()),2))</f>
        <v/>
      </c>
      <c r="Y969" s="29" t="str">
        <f aca="false">IF($C969="","",ROW())</f>
        <v/>
      </c>
    </row>
    <row r="970" customFormat="false" ht="15" hidden="false" customHeight="false" outlineLevel="0" collapsed="false">
      <c r="A970" s="29" t="str">
        <f aca="false">IF($C970="","",ROW()-4)</f>
        <v/>
      </c>
      <c r="B970" s="35" t="str">
        <f aca="false">IF($C970="","","YS"&amp;TEXT($C970,"yyyymm")&amp;"-"&amp;TEXT(ROW()-4,"0000"))</f>
        <v/>
      </c>
      <c r="C970" s="33"/>
      <c r="D970" s="24"/>
      <c r="E970" s="30" t="str">
        <f aca="false">IF($D970="","",IFERROR(INDEX(合同单位,MATCH($D970,合同键,0)),IFERROR(TRIM(LEFT($D970,FIND("｜",$D970)-1)),$D970)))</f>
        <v/>
      </c>
      <c r="F970" s="30" t="str">
        <f aca="false">IF($D970="","",IFERROR(INDEX(合同项目,MATCH($D970,合同键,0)),IFERROR(TRIM(MID($D970,FIND("｜",$D970)+1,99)),"")))</f>
        <v/>
      </c>
      <c r="G970" s="24"/>
      <c r="H970" s="35" t="str">
        <f aca="false">IF($G970="","",IFERROR(INDEX(费用款别,MATCH($G970,费用类别表,0)),"合同外款"))</f>
        <v/>
      </c>
      <c r="I970" s="33"/>
      <c r="J970" s="33"/>
      <c r="K970" s="39"/>
      <c r="L970" s="33"/>
      <c r="M970" s="25"/>
      <c r="N970" s="39"/>
      <c r="O970" s="35" t="str">
        <f aca="false">IF($C970="","",IF(N($N970)&lt;=0,"未开票",IF(ROUND(N($N970)-N($K970),2)&gt;=0,"已开票",IFERROR("部分开票 "&amp;TEXT(N($N970)/N($K970),"0%"),"部分开票"))))</f>
        <v/>
      </c>
      <c r="P970" s="40" t="str">
        <f aca="false">IF($C970="","",ROUND($V970+MIN($W970,MAX(0,(SUMIF(收款键,$D970,收款金额)-SUMIFS(收款金额,收款键,$D970,收款关联,"&lt;&gt;"))-($X970-$W970))),2))</f>
        <v/>
      </c>
      <c r="Q970" s="41" t="str">
        <f aca="false">IF($C970="","",ROUND(N($K970)-N($P970),2))</f>
        <v/>
      </c>
      <c r="R970" s="29" t="str">
        <f aca="false">IF($C970="","",YEAR($C970))</f>
        <v/>
      </c>
      <c r="S970" s="24"/>
      <c r="T970" s="35" t="str">
        <f aca="false">IF($C970="","",IF($D970="","★没选客户项目",IF(COUNTIF(合同键,$D970)=0,"★《维保合同》里没这个项目",IF(N($K970)&lt;=0,"★应收金额要填",IF(ROUND(N($N970)-N($K970),2)&gt;0.001,"★开票金额大于应收",IF(AND($L970&lt;&gt;"",N($N970)&lt;=0),"★填了开票日期没填开票金额",IF(AND($I970&lt;&gt;"",$J970&lt;&gt;"",$J970&lt;$I970),"★计费期间起止反了","OK")))))))</f>
        <v/>
      </c>
      <c r="U970" s="29" t="str">
        <f aca="false">IF($L970="","",YEAR($L970))</f>
        <v/>
      </c>
      <c r="V970" s="40" t="str">
        <f aca="false">IF($C970="","",ROUND(SUMIF(收款关联,$B970,收款金额),2))</f>
        <v/>
      </c>
      <c r="W970" s="40" t="str">
        <f aca="false">IF($C970="","",MAX(0,ROUND(N($K970)-N($V970),2)))</f>
        <v/>
      </c>
      <c r="X970" s="40" t="str">
        <f aca="false">IF($C970="","",ROUND(SUMIFS(应收净额,应收键,$D970,应收行号,"&lt;="&amp;ROW()),2))</f>
        <v/>
      </c>
      <c r="Y970" s="29" t="str">
        <f aca="false">IF($C970="","",ROW())</f>
        <v/>
      </c>
    </row>
    <row r="971" customFormat="false" ht="15" hidden="false" customHeight="false" outlineLevel="0" collapsed="false">
      <c r="A971" s="29" t="str">
        <f aca="false">IF($C971="","",ROW()-4)</f>
        <v/>
      </c>
      <c r="B971" s="35" t="str">
        <f aca="false">IF($C971="","","YS"&amp;TEXT($C971,"yyyymm")&amp;"-"&amp;TEXT(ROW()-4,"0000"))</f>
        <v/>
      </c>
      <c r="C971" s="33"/>
      <c r="D971" s="24"/>
      <c r="E971" s="30" t="str">
        <f aca="false">IF($D971="","",IFERROR(INDEX(合同单位,MATCH($D971,合同键,0)),IFERROR(TRIM(LEFT($D971,FIND("｜",$D971)-1)),$D971)))</f>
        <v/>
      </c>
      <c r="F971" s="30" t="str">
        <f aca="false">IF($D971="","",IFERROR(INDEX(合同项目,MATCH($D971,合同键,0)),IFERROR(TRIM(MID($D971,FIND("｜",$D971)+1,99)),"")))</f>
        <v/>
      </c>
      <c r="G971" s="24"/>
      <c r="H971" s="35" t="str">
        <f aca="false">IF($G971="","",IFERROR(INDEX(费用款别,MATCH($G971,费用类别表,0)),"合同外款"))</f>
        <v/>
      </c>
      <c r="I971" s="33"/>
      <c r="J971" s="33"/>
      <c r="K971" s="39"/>
      <c r="L971" s="33"/>
      <c r="M971" s="25"/>
      <c r="N971" s="39"/>
      <c r="O971" s="35" t="str">
        <f aca="false">IF($C971="","",IF(N($N971)&lt;=0,"未开票",IF(ROUND(N($N971)-N($K971),2)&gt;=0,"已开票",IFERROR("部分开票 "&amp;TEXT(N($N971)/N($K971),"0%"),"部分开票"))))</f>
        <v/>
      </c>
      <c r="P971" s="40" t="str">
        <f aca="false">IF($C971="","",ROUND($V971+MIN($W971,MAX(0,(SUMIF(收款键,$D971,收款金额)-SUMIFS(收款金额,收款键,$D971,收款关联,"&lt;&gt;"))-($X971-$W971))),2))</f>
        <v/>
      </c>
      <c r="Q971" s="41" t="str">
        <f aca="false">IF($C971="","",ROUND(N($K971)-N($P971),2))</f>
        <v/>
      </c>
      <c r="R971" s="29" t="str">
        <f aca="false">IF($C971="","",YEAR($C971))</f>
        <v/>
      </c>
      <c r="S971" s="24"/>
      <c r="T971" s="35" t="str">
        <f aca="false">IF($C971="","",IF($D971="","★没选客户项目",IF(COUNTIF(合同键,$D971)=0,"★《维保合同》里没这个项目",IF(N($K971)&lt;=0,"★应收金额要填",IF(ROUND(N($N971)-N($K971),2)&gt;0.001,"★开票金额大于应收",IF(AND($L971&lt;&gt;"",N($N971)&lt;=0),"★填了开票日期没填开票金额",IF(AND($I971&lt;&gt;"",$J971&lt;&gt;"",$J971&lt;$I971),"★计费期间起止反了","OK")))))))</f>
        <v/>
      </c>
      <c r="U971" s="29" t="str">
        <f aca="false">IF($L971="","",YEAR($L971))</f>
        <v/>
      </c>
      <c r="V971" s="40" t="str">
        <f aca="false">IF($C971="","",ROUND(SUMIF(收款关联,$B971,收款金额),2))</f>
        <v/>
      </c>
      <c r="W971" s="40" t="str">
        <f aca="false">IF($C971="","",MAX(0,ROUND(N($K971)-N($V971),2)))</f>
        <v/>
      </c>
      <c r="X971" s="40" t="str">
        <f aca="false">IF($C971="","",ROUND(SUMIFS(应收净额,应收键,$D971,应收行号,"&lt;="&amp;ROW()),2))</f>
        <v/>
      </c>
      <c r="Y971" s="29" t="str">
        <f aca="false">IF($C971="","",ROW())</f>
        <v/>
      </c>
    </row>
    <row r="972" customFormat="false" ht="15" hidden="false" customHeight="false" outlineLevel="0" collapsed="false">
      <c r="A972" s="29" t="str">
        <f aca="false">IF($C972="","",ROW()-4)</f>
        <v/>
      </c>
      <c r="B972" s="35" t="str">
        <f aca="false">IF($C972="","","YS"&amp;TEXT($C972,"yyyymm")&amp;"-"&amp;TEXT(ROW()-4,"0000"))</f>
        <v/>
      </c>
      <c r="C972" s="33"/>
      <c r="D972" s="24"/>
      <c r="E972" s="30" t="str">
        <f aca="false">IF($D972="","",IFERROR(INDEX(合同单位,MATCH($D972,合同键,0)),IFERROR(TRIM(LEFT($D972,FIND("｜",$D972)-1)),$D972)))</f>
        <v/>
      </c>
      <c r="F972" s="30" t="str">
        <f aca="false">IF($D972="","",IFERROR(INDEX(合同项目,MATCH($D972,合同键,0)),IFERROR(TRIM(MID($D972,FIND("｜",$D972)+1,99)),"")))</f>
        <v/>
      </c>
      <c r="G972" s="24"/>
      <c r="H972" s="35" t="str">
        <f aca="false">IF($G972="","",IFERROR(INDEX(费用款别,MATCH($G972,费用类别表,0)),"合同外款"))</f>
        <v/>
      </c>
      <c r="I972" s="33"/>
      <c r="J972" s="33"/>
      <c r="K972" s="39"/>
      <c r="L972" s="33"/>
      <c r="M972" s="25"/>
      <c r="N972" s="39"/>
      <c r="O972" s="35" t="str">
        <f aca="false">IF($C972="","",IF(N($N972)&lt;=0,"未开票",IF(ROUND(N($N972)-N($K972),2)&gt;=0,"已开票",IFERROR("部分开票 "&amp;TEXT(N($N972)/N($K972),"0%"),"部分开票"))))</f>
        <v/>
      </c>
      <c r="P972" s="40" t="str">
        <f aca="false">IF($C972="","",ROUND($V972+MIN($W972,MAX(0,(SUMIF(收款键,$D972,收款金额)-SUMIFS(收款金额,收款键,$D972,收款关联,"&lt;&gt;"))-($X972-$W972))),2))</f>
        <v/>
      </c>
      <c r="Q972" s="41" t="str">
        <f aca="false">IF($C972="","",ROUND(N($K972)-N($P972),2))</f>
        <v/>
      </c>
      <c r="R972" s="29" t="str">
        <f aca="false">IF($C972="","",YEAR($C972))</f>
        <v/>
      </c>
      <c r="S972" s="24"/>
      <c r="T972" s="35" t="str">
        <f aca="false">IF($C972="","",IF($D972="","★没选客户项目",IF(COUNTIF(合同键,$D972)=0,"★《维保合同》里没这个项目",IF(N($K972)&lt;=0,"★应收金额要填",IF(ROUND(N($N972)-N($K972),2)&gt;0.001,"★开票金额大于应收",IF(AND($L972&lt;&gt;"",N($N972)&lt;=0),"★填了开票日期没填开票金额",IF(AND($I972&lt;&gt;"",$J972&lt;&gt;"",$J972&lt;$I972),"★计费期间起止反了","OK")))))))</f>
        <v/>
      </c>
      <c r="U972" s="29" t="str">
        <f aca="false">IF($L972="","",YEAR($L972))</f>
        <v/>
      </c>
      <c r="V972" s="40" t="str">
        <f aca="false">IF($C972="","",ROUND(SUMIF(收款关联,$B972,收款金额),2))</f>
        <v/>
      </c>
      <c r="W972" s="40" t="str">
        <f aca="false">IF($C972="","",MAX(0,ROUND(N($K972)-N($V972),2)))</f>
        <v/>
      </c>
      <c r="X972" s="40" t="str">
        <f aca="false">IF($C972="","",ROUND(SUMIFS(应收净额,应收键,$D972,应收行号,"&lt;="&amp;ROW()),2))</f>
        <v/>
      </c>
      <c r="Y972" s="29" t="str">
        <f aca="false">IF($C972="","",ROW())</f>
        <v/>
      </c>
    </row>
    <row r="973" customFormat="false" ht="15" hidden="false" customHeight="false" outlineLevel="0" collapsed="false">
      <c r="A973" s="29" t="str">
        <f aca="false">IF($C973="","",ROW()-4)</f>
        <v/>
      </c>
      <c r="B973" s="35" t="str">
        <f aca="false">IF($C973="","","YS"&amp;TEXT($C973,"yyyymm")&amp;"-"&amp;TEXT(ROW()-4,"0000"))</f>
        <v/>
      </c>
      <c r="C973" s="33"/>
      <c r="D973" s="24"/>
      <c r="E973" s="30" t="str">
        <f aca="false">IF($D973="","",IFERROR(INDEX(合同单位,MATCH($D973,合同键,0)),IFERROR(TRIM(LEFT($D973,FIND("｜",$D973)-1)),$D973)))</f>
        <v/>
      </c>
      <c r="F973" s="30" t="str">
        <f aca="false">IF($D973="","",IFERROR(INDEX(合同项目,MATCH($D973,合同键,0)),IFERROR(TRIM(MID($D973,FIND("｜",$D973)+1,99)),"")))</f>
        <v/>
      </c>
      <c r="G973" s="24"/>
      <c r="H973" s="35" t="str">
        <f aca="false">IF($G973="","",IFERROR(INDEX(费用款别,MATCH($G973,费用类别表,0)),"合同外款"))</f>
        <v/>
      </c>
      <c r="I973" s="33"/>
      <c r="J973" s="33"/>
      <c r="K973" s="39"/>
      <c r="L973" s="33"/>
      <c r="M973" s="25"/>
      <c r="N973" s="39"/>
      <c r="O973" s="35" t="str">
        <f aca="false">IF($C973="","",IF(N($N973)&lt;=0,"未开票",IF(ROUND(N($N973)-N($K973),2)&gt;=0,"已开票",IFERROR("部分开票 "&amp;TEXT(N($N973)/N($K973),"0%"),"部分开票"))))</f>
        <v/>
      </c>
      <c r="P973" s="40" t="str">
        <f aca="false">IF($C973="","",ROUND($V973+MIN($W973,MAX(0,(SUMIF(收款键,$D973,收款金额)-SUMIFS(收款金额,收款键,$D973,收款关联,"&lt;&gt;"))-($X973-$W973))),2))</f>
        <v/>
      </c>
      <c r="Q973" s="41" t="str">
        <f aca="false">IF($C973="","",ROUND(N($K973)-N($P973),2))</f>
        <v/>
      </c>
      <c r="R973" s="29" t="str">
        <f aca="false">IF($C973="","",YEAR($C973))</f>
        <v/>
      </c>
      <c r="S973" s="24"/>
      <c r="T973" s="35" t="str">
        <f aca="false">IF($C973="","",IF($D973="","★没选客户项目",IF(COUNTIF(合同键,$D973)=0,"★《维保合同》里没这个项目",IF(N($K973)&lt;=0,"★应收金额要填",IF(ROUND(N($N973)-N($K973),2)&gt;0.001,"★开票金额大于应收",IF(AND($L973&lt;&gt;"",N($N973)&lt;=0),"★填了开票日期没填开票金额",IF(AND($I973&lt;&gt;"",$J973&lt;&gt;"",$J973&lt;$I973),"★计费期间起止反了","OK")))))))</f>
        <v/>
      </c>
      <c r="U973" s="29" t="str">
        <f aca="false">IF($L973="","",YEAR($L973))</f>
        <v/>
      </c>
      <c r="V973" s="40" t="str">
        <f aca="false">IF($C973="","",ROUND(SUMIF(收款关联,$B973,收款金额),2))</f>
        <v/>
      </c>
      <c r="W973" s="40" t="str">
        <f aca="false">IF($C973="","",MAX(0,ROUND(N($K973)-N($V973),2)))</f>
        <v/>
      </c>
      <c r="X973" s="40" t="str">
        <f aca="false">IF($C973="","",ROUND(SUMIFS(应收净额,应收键,$D973,应收行号,"&lt;="&amp;ROW()),2))</f>
        <v/>
      </c>
      <c r="Y973" s="29" t="str">
        <f aca="false">IF($C973="","",ROW())</f>
        <v/>
      </c>
    </row>
    <row r="974" customFormat="false" ht="15" hidden="false" customHeight="false" outlineLevel="0" collapsed="false">
      <c r="A974" s="29" t="str">
        <f aca="false">IF($C974="","",ROW()-4)</f>
        <v/>
      </c>
      <c r="B974" s="35" t="str">
        <f aca="false">IF($C974="","","YS"&amp;TEXT($C974,"yyyymm")&amp;"-"&amp;TEXT(ROW()-4,"0000"))</f>
        <v/>
      </c>
      <c r="C974" s="33"/>
      <c r="D974" s="24"/>
      <c r="E974" s="30" t="str">
        <f aca="false">IF($D974="","",IFERROR(INDEX(合同单位,MATCH($D974,合同键,0)),IFERROR(TRIM(LEFT($D974,FIND("｜",$D974)-1)),$D974)))</f>
        <v/>
      </c>
      <c r="F974" s="30" t="str">
        <f aca="false">IF($D974="","",IFERROR(INDEX(合同项目,MATCH($D974,合同键,0)),IFERROR(TRIM(MID($D974,FIND("｜",$D974)+1,99)),"")))</f>
        <v/>
      </c>
      <c r="G974" s="24"/>
      <c r="H974" s="35" t="str">
        <f aca="false">IF($G974="","",IFERROR(INDEX(费用款别,MATCH($G974,费用类别表,0)),"合同外款"))</f>
        <v/>
      </c>
      <c r="I974" s="33"/>
      <c r="J974" s="33"/>
      <c r="K974" s="39"/>
      <c r="L974" s="33"/>
      <c r="M974" s="25"/>
      <c r="N974" s="39"/>
      <c r="O974" s="35" t="str">
        <f aca="false">IF($C974="","",IF(N($N974)&lt;=0,"未开票",IF(ROUND(N($N974)-N($K974),2)&gt;=0,"已开票",IFERROR("部分开票 "&amp;TEXT(N($N974)/N($K974),"0%"),"部分开票"))))</f>
        <v/>
      </c>
      <c r="P974" s="40" t="str">
        <f aca="false">IF($C974="","",ROUND($V974+MIN($W974,MAX(0,(SUMIF(收款键,$D974,收款金额)-SUMIFS(收款金额,收款键,$D974,收款关联,"&lt;&gt;"))-($X974-$W974))),2))</f>
        <v/>
      </c>
      <c r="Q974" s="41" t="str">
        <f aca="false">IF($C974="","",ROUND(N($K974)-N($P974),2))</f>
        <v/>
      </c>
      <c r="R974" s="29" t="str">
        <f aca="false">IF($C974="","",YEAR($C974))</f>
        <v/>
      </c>
      <c r="S974" s="24"/>
      <c r="T974" s="35" t="str">
        <f aca="false">IF($C974="","",IF($D974="","★没选客户项目",IF(COUNTIF(合同键,$D974)=0,"★《维保合同》里没这个项目",IF(N($K974)&lt;=0,"★应收金额要填",IF(ROUND(N($N974)-N($K974),2)&gt;0.001,"★开票金额大于应收",IF(AND($L974&lt;&gt;"",N($N974)&lt;=0),"★填了开票日期没填开票金额",IF(AND($I974&lt;&gt;"",$J974&lt;&gt;"",$J974&lt;$I974),"★计费期间起止反了","OK")))))))</f>
        <v/>
      </c>
      <c r="U974" s="29" t="str">
        <f aca="false">IF($L974="","",YEAR($L974))</f>
        <v/>
      </c>
      <c r="V974" s="40" t="str">
        <f aca="false">IF($C974="","",ROUND(SUMIF(收款关联,$B974,收款金额),2))</f>
        <v/>
      </c>
      <c r="W974" s="40" t="str">
        <f aca="false">IF($C974="","",MAX(0,ROUND(N($K974)-N($V974),2)))</f>
        <v/>
      </c>
      <c r="X974" s="40" t="str">
        <f aca="false">IF($C974="","",ROUND(SUMIFS(应收净额,应收键,$D974,应收行号,"&lt;="&amp;ROW()),2))</f>
        <v/>
      </c>
      <c r="Y974" s="29" t="str">
        <f aca="false">IF($C974="","",ROW())</f>
        <v/>
      </c>
    </row>
    <row r="975" customFormat="false" ht="15" hidden="false" customHeight="false" outlineLevel="0" collapsed="false">
      <c r="A975" s="29" t="str">
        <f aca="false">IF($C975="","",ROW()-4)</f>
        <v/>
      </c>
      <c r="B975" s="35" t="str">
        <f aca="false">IF($C975="","","YS"&amp;TEXT($C975,"yyyymm")&amp;"-"&amp;TEXT(ROW()-4,"0000"))</f>
        <v/>
      </c>
      <c r="C975" s="33"/>
      <c r="D975" s="24"/>
      <c r="E975" s="30" t="str">
        <f aca="false">IF($D975="","",IFERROR(INDEX(合同单位,MATCH($D975,合同键,0)),IFERROR(TRIM(LEFT($D975,FIND("｜",$D975)-1)),$D975)))</f>
        <v/>
      </c>
      <c r="F975" s="30" t="str">
        <f aca="false">IF($D975="","",IFERROR(INDEX(合同项目,MATCH($D975,合同键,0)),IFERROR(TRIM(MID($D975,FIND("｜",$D975)+1,99)),"")))</f>
        <v/>
      </c>
      <c r="G975" s="24"/>
      <c r="H975" s="35" t="str">
        <f aca="false">IF($G975="","",IFERROR(INDEX(费用款别,MATCH($G975,费用类别表,0)),"合同外款"))</f>
        <v/>
      </c>
      <c r="I975" s="33"/>
      <c r="J975" s="33"/>
      <c r="K975" s="39"/>
      <c r="L975" s="33"/>
      <c r="M975" s="25"/>
      <c r="N975" s="39"/>
      <c r="O975" s="35" t="str">
        <f aca="false">IF($C975="","",IF(N($N975)&lt;=0,"未开票",IF(ROUND(N($N975)-N($K975),2)&gt;=0,"已开票",IFERROR("部分开票 "&amp;TEXT(N($N975)/N($K975),"0%"),"部分开票"))))</f>
        <v/>
      </c>
      <c r="P975" s="40" t="str">
        <f aca="false">IF($C975="","",ROUND($V975+MIN($W975,MAX(0,(SUMIF(收款键,$D975,收款金额)-SUMIFS(收款金额,收款键,$D975,收款关联,"&lt;&gt;"))-($X975-$W975))),2))</f>
        <v/>
      </c>
      <c r="Q975" s="41" t="str">
        <f aca="false">IF($C975="","",ROUND(N($K975)-N($P975),2))</f>
        <v/>
      </c>
      <c r="R975" s="29" t="str">
        <f aca="false">IF($C975="","",YEAR($C975))</f>
        <v/>
      </c>
      <c r="S975" s="24"/>
      <c r="T975" s="35" t="str">
        <f aca="false">IF($C975="","",IF($D975="","★没选客户项目",IF(COUNTIF(合同键,$D975)=0,"★《维保合同》里没这个项目",IF(N($K975)&lt;=0,"★应收金额要填",IF(ROUND(N($N975)-N($K975),2)&gt;0.001,"★开票金额大于应收",IF(AND($L975&lt;&gt;"",N($N975)&lt;=0),"★填了开票日期没填开票金额",IF(AND($I975&lt;&gt;"",$J975&lt;&gt;"",$J975&lt;$I975),"★计费期间起止反了","OK")))))))</f>
        <v/>
      </c>
      <c r="U975" s="29" t="str">
        <f aca="false">IF($L975="","",YEAR($L975))</f>
        <v/>
      </c>
      <c r="V975" s="40" t="str">
        <f aca="false">IF($C975="","",ROUND(SUMIF(收款关联,$B975,收款金额),2))</f>
        <v/>
      </c>
      <c r="W975" s="40" t="str">
        <f aca="false">IF($C975="","",MAX(0,ROUND(N($K975)-N($V975),2)))</f>
        <v/>
      </c>
      <c r="X975" s="40" t="str">
        <f aca="false">IF($C975="","",ROUND(SUMIFS(应收净额,应收键,$D975,应收行号,"&lt;="&amp;ROW()),2))</f>
        <v/>
      </c>
      <c r="Y975" s="29" t="str">
        <f aca="false">IF($C975="","",ROW())</f>
        <v/>
      </c>
    </row>
    <row r="976" customFormat="false" ht="15" hidden="false" customHeight="false" outlineLevel="0" collapsed="false">
      <c r="A976" s="29" t="str">
        <f aca="false">IF($C976="","",ROW()-4)</f>
        <v/>
      </c>
      <c r="B976" s="35" t="str">
        <f aca="false">IF($C976="","","YS"&amp;TEXT($C976,"yyyymm")&amp;"-"&amp;TEXT(ROW()-4,"0000"))</f>
        <v/>
      </c>
      <c r="C976" s="33"/>
      <c r="D976" s="24"/>
      <c r="E976" s="30" t="str">
        <f aca="false">IF($D976="","",IFERROR(INDEX(合同单位,MATCH($D976,合同键,0)),IFERROR(TRIM(LEFT($D976,FIND("｜",$D976)-1)),$D976)))</f>
        <v/>
      </c>
      <c r="F976" s="30" t="str">
        <f aca="false">IF($D976="","",IFERROR(INDEX(合同项目,MATCH($D976,合同键,0)),IFERROR(TRIM(MID($D976,FIND("｜",$D976)+1,99)),"")))</f>
        <v/>
      </c>
      <c r="G976" s="24"/>
      <c r="H976" s="35" t="str">
        <f aca="false">IF($G976="","",IFERROR(INDEX(费用款别,MATCH($G976,费用类别表,0)),"合同外款"))</f>
        <v/>
      </c>
      <c r="I976" s="33"/>
      <c r="J976" s="33"/>
      <c r="K976" s="39"/>
      <c r="L976" s="33"/>
      <c r="M976" s="25"/>
      <c r="N976" s="39"/>
      <c r="O976" s="35" t="str">
        <f aca="false">IF($C976="","",IF(N($N976)&lt;=0,"未开票",IF(ROUND(N($N976)-N($K976),2)&gt;=0,"已开票",IFERROR("部分开票 "&amp;TEXT(N($N976)/N($K976),"0%"),"部分开票"))))</f>
        <v/>
      </c>
      <c r="P976" s="40" t="str">
        <f aca="false">IF($C976="","",ROUND($V976+MIN($W976,MAX(0,(SUMIF(收款键,$D976,收款金额)-SUMIFS(收款金额,收款键,$D976,收款关联,"&lt;&gt;"))-($X976-$W976))),2))</f>
        <v/>
      </c>
      <c r="Q976" s="41" t="str">
        <f aca="false">IF($C976="","",ROUND(N($K976)-N($P976),2))</f>
        <v/>
      </c>
      <c r="R976" s="29" t="str">
        <f aca="false">IF($C976="","",YEAR($C976))</f>
        <v/>
      </c>
      <c r="S976" s="24"/>
      <c r="T976" s="35" t="str">
        <f aca="false">IF($C976="","",IF($D976="","★没选客户项目",IF(COUNTIF(合同键,$D976)=0,"★《维保合同》里没这个项目",IF(N($K976)&lt;=0,"★应收金额要填",IF(ROUND(N($N976)-N($K976),2)&gt;0.001,"★开票金额大于应收",IF(AND($L976&lt;&gt;"",N($N976)&lt;=0),"★填了开票日期没填开票金额",IF(AND($I976&lt;&gt;"",$J976&lt;&gt;"",$J976&lt;$I976),"★计费期间起止反了","OK")))))))</f>
        <v/>
      </c>
      <c r="U976" s="29" t="str">
        <f aca="false">IF($L976="","",YEAR($L976))</f>
        <v/>
      </c>
      <c r="V976" s="40" t="str">
        <f aca="false">IF($C976="","",ROUND(SUMIF(收款关联,$B976,收款金额),2))</f>
        <v/>
      </c>
      <c r="W976" s="40" t="str">
        <f aca="false">IF($C976="","",MAX(0,ROUND(N($K976)-N($V976),2)))</f>
        <v/>
      </c>
      <c r="X976" s="40" t="str">
        <f aca="false">IF($C976="","",ROUND(SUMIFS(应收净额,应收键,$D976,应收行号,"&lt;="&amp;ROW()),2))</f>
        <v/>
      </c>
      <c r="Y976" s="29" t="str">
        <f aca="false">IF($C976="","",ROW())</f>
        <v/>
      </c>
    </row>
    <row r="977" customFormat="false" ht="15" hidden="false" customHeight="false" outlineLevel="0" collapsed="false">
      <c r="A977" s="29" t="str">
        <f aca="false">IF($C977="","",ROW()-4)</f>
        <v/>
      </c>
      <c r="B977" s="35" t="str">
        <f aca="false">IF($C977="","","YS"&amp;TEXT($C977,"yyyymm")&amp;"-"&amp;TEXT(ROW()-4,"0000"))</f>
        <v/>
      </c>
      <c r="C977" s="33"/>
      <c r="D977" s="24"/>
      <c r="E977" s="30" t="str">
        <f aca="false">IF($D977="","",IFERROR(INDEX(合同单位,MATCH($D977,合同键,0)),IFERROR(TRIM(LEFT($D977,FIND("｜",$D977)-1)),$D977)))</f>
        <v/>
      </c>
      <c r="F977" s="30" t="str">
        <f aca="false">IF($D977="","",IFERROR(INDEX(合同项目,MATCH($D977,合同键,0)),IFERROR(TRIM(MID($D977,FIND("｜",$D977)+1,99)),"")))</f>
        <v/>
      </c>
      <c r="G977" s="24"/>
      <c r="H977" s="35" t="str">
        <f aca="false">IF($G977="","",IFERROR(INDEX(费用款别,MATCH($G977,费用类别表,0)),"合同外款"))</f>
        <v/>
      </c>
      <c r="I977" s="33"/>
      <c r="J977" s="33"/>
      <c r="K977" s="39"/>
      <c r="L977" s="33"/>
      <c r="M977" s="25"/>
      <c r="N977" s="39"/>
      <c r="O977" s="35" t="str">
        <f aca="false">IF($C977="","",IF(N($N977)&lt;=0,"未开票",IF(ROUND(N($N977)-N($K977),2)&gt;=0,"已开票",IFERROR("部分开票 "&amp;TEXT(N($N977)/N($K977),"0%"),"部分开票"))))</f>
        <v/>
      </c>
      <c r="P977" s="40" t="str">
        <f aca="false">IF($C977="","",ROUND($V977+MIN($W977,MAX(0,(SUMIF(收款键,$D977,收款金额)-SUMIFS(收款金额,收款键,$D977,收款关联,"&lt;&gt;"))-($X977-$W977))),2))</f>
        <v/>
      </c>
      <c r="Q977" s="41" t="str">
        <f aca="false">IF($C977="","",ROUND(N($K977)-N($P977),2))</f>
        <v/>
      </c>
      <c r="R977" s="29" t="str">
        <f aca="false">IF($C977="","",YEAR($C977))</f>
        <v/>
      </c>
      <c r="S977" s="24"/>
      <c r="T977" s="35" t="str">
        <f aca="false">IF($C977="","",IF($D977="","★没选客户项目",IF(COUNTIF(合同键,$D977)=0,"★《维保合同》里没这个项目",IF(N($K977)&lt;=0,"★应收金额要填",IF(ROUND(N($N977)-N($K977),2)&gt;0.001,"★开票金额大于应收",IF(AND($L977&lt;&gt;"",N($N977)&lt;=0),"★填了开票日期没填开票金额",IF(AND($I977&lt;&gt;"",$J977&lt;&gt;"",$J977&lt;$I977),"★计费期间起止反了","OK")))))))</f>
        <v/>
      </c>
      <c r="U977" s="29" t="str">
        <f aca="false">IF($L977="","",YEAR($L977))</f>
        <v/>
      </c>
      <c r="V977" s="40" t="str">
        <f aca="false">IF($C977="","",ROUND(SUMIF(收款关联,$B977,收款金额),2))</f>
        <v/>
      </c>
      <c r="W977" s="40" t="str">
        <f aca="false">IF($C977="","",MAX(0,ROUND(N($K977)-N($V977),2)))</f>
        <v/>
      </c>
      <c r="X977" s="40" t="str">
        <f aca="false">IF($C977="","",ROUND(SUMIFS(应收净额,应收键,$D977,应收行号,"&lt;="&amp;ROW()),2))</f>
        <v/>
      </c>
      <c r="Y977" s="29" t="str">
        <f aca="false">IF($C977="","",ROW())</f>
        <v/>
      </c>
    </row>
    <row r="978" customFormat="false" ht="15" hidden="false" customHeight="false" outlineLevel="0" collapsed="false">
      <c r="A978" s="29" t="str">
        <f aca="false">IF($C978="","",ROW()-4)</f>
        <v/>
      </c>
      <c r="B978" s="35" t="str">
        <f aca="false">IF($C978="","","YS"&amp;TEXT($C978,"yyyymm")&amp;"-"&amp;TEXT(ROW()-4,"0000"))</f>
        <v/>
      </c>
      <c r="C978" s="33"/>
      <c r="D978" s="24"/>
      <c r="E978" s="30" t="str">
        <f aca="false">IF($D978="","",IFERROR(INDEX(合同单位,MATCH($D978,合同键,0)),IFERROR(TRIM(LEFT($D978,FIND("｜",$D978)-1)),$D978)))</f>
        <v/>
      </c>
      <c r="F978" s="30" t="str">
        <f aca="false">IF($D978="","",IFERROR(INDEX(合同项目,MATCH($D978,合同键,0)),IFERROR(TRIM(MID($D978,FIND("｜",$D978)+1,99)),"")))</f>
        <v/>
      </c>
      <c r="G978" s="24"/>
      <c r="H978" s="35" t="str">
        <f aca="false">IF($G978="","",IFERROR(INDEX(费用款别,MATCH($G978,费用类别表,0)),"合同外款"))</f>
        <v/>
      </c>
      <c r="I978" s="33"/>
      <c r="J978" s="33"/>
      <c r="K978" s="39"/>
      <c r="L978" s="33"/>
      <c r="M978" s="25"/>
      <c r="N978" s="39"/>
      <c r="O978" s="35" t="str">
        <f aca="false">IF($C978="","",IF(N($N978)&lt;=0,"未开票",IF(ROUND(N($N978)-N($K978),2)&gt;=0,"已开票",IFERROR("部分开票 "&amp;TEXT(N($N978)/N($K978),"0%"),"部分开票"))))</f>
        <v/>
      </c>
      <c r="P978" s="40" t="str">
        <f aca="false">IF($C978="","",ROUND($V978+MIN($W978,MAX(0,(SUMIF(收款键,$D978,收款金额)-SUMIFS(收款金额,收款键,$D978,收款关联,"&lt;&gt;"))-($X978-$W978))),2))</f>
        <v/>
      </c>
      <c r="Q978" s="41" t="str">
        <f aca="false">IF($C978="","",ROUND(N($K978)-N($P978),2))</f>
        <v/>
      </c>
      <c r="R978" s="29" t="str">
        <f aca="false">IF($C978="","",YEAR($C978))</f>
        <v/>
      </c>
      <c r="S978" s="24"/>
      <c r="T978" s="35" t="str">
        <f aca="false">IF($C978="","",IF($D978="","★没选客户项目",IF(COUNTIF(合同键,$D978)=0,"★《维保合同》里没这个项目",IF(N($K978)&lt;=0,"★应收金额要填",IF(ROUND(N($N978)-N($K978),2)&gt;0.001,"★开票金额大于应收",IF(AND($L978&lt;&gt;"",N($N978)&lt;=0),"★填了开票日期没填开票金额",IF(AND($I978&lt;&gt;"",$J978&lt;&gt;"",$J978&lt;$I978),"★计费期间起止反了","OK")))))))</f>
        <v/>
      </c>
      <c r="U978" s="29" t="str">
        <f aca="false">IF($L978="","",YEAR($L978))</f>
        <v/>
      </c>
      <c r="V978" s="40" t="str">
        <f aca="false">IF($C978="","",ROUND(SUMIF(收款关联,$B978,收款金额),2))</f>
        <v/>
      </c>
      <c r="W978" s="40" t="str">
        <f aca="false">IF($C978="","",MAX(0,ROUND(N($K978)-N($V978),2)))</f>
        <v/>
      </c>
      <c r="X978" s="40" t="str">
        <f aca="false">IF($C978="","",ROUND(SUMIFS(应收净额,应收键,$D978,应收行号,"&lt;="&amp;ROW()),2))</f>
        <v/>
      </c>
      <c r="Y978" s="29" t="str">
        <f aca="false">IF($C978="","",ROW())</f>
        <v/>
      </c>
    </row>
    <row r="979" customFormat="false" ht="15" hidden="false" customHeight="false" outlineLevel="0" collapsed="false">
      <c r="A979" s="29" t="str">
        <f aca="false">IF($C979="","",ROW()-4)</f>
        <v/>
      </c>
      <c r="B979" s="35" t="str">
        <f aca="false">IF($C979="","","YS"&amp;TEXT($C979,"yyyymm")&amp;"-"&amp;TEXT(ROW()-4,"0000"))</f>
        <v/>
      </c>
      <c r="C979" s="33"/>
      <c r="D979" s="24"/>
      <c r="E979" s="30" t="str">
        <f aca="false">IF($D979="","",IFERROR(INDEX(合同单位,MATCH($D979,合同键,0)),IFERROR(TRIM(LEFT($D979,FIND("｜",$D979)-1)),$D979)))</f>
        <v/>
      </c>
      <c r="F979" s="30" t="str">
        <f aca="false">IF($D979="","",IFERROR(INDEX(合同项目,MATCH($D979,合同键,0)),IFERROR(TRIM(MID($D979,FIND("｜",$D979)+1,99)),"")))</f>
        <v/>
      </c>
      <c r="G979" s="24"/>
      <c r="H979" s="35" t="str">
        <f aca="false">IF($G979="","",IFERROR(INDEX(费用款别,MATCH($G979,费用类别表,0)),"合同外款"))</f>
        <v/>
      </c>
      <c r="I979" s="33"/>
      <c r="J979" s="33"/>
      <c r="K979" s="39"/>
      <c r="L979" s="33"/>
      <c r="M979" s="25"/>
      <c r="N979" s="39"/>
      <c r="O979" s="35" t="str">
        <f aca="false">IF($C979="","",IF(N($N979)&lt;=0,"未开票",IF(ROUND(N($N979)-N($K979),2)&gt;=0,"已开票",IFERROR("部分开票 "&amp;TEXT(N($N979)/N($K979),"0%"),"部分开票"))))</f>
        <v/>
      </c>
      <c r="P979" s="40" t="str">
        <f aca="false">IF($C979="","",ROUND($V979+MIN($W979,MAX(0,(SUMIF(收款键,$D979,收款金额)-SUMIFS(收款金额,收款键,$D979,收款关联,"&lt;&gt;"))-($X979-$W979))),2))</f>
        <v/>
      </c>
      <c r="Q979" s="41" t="str">
        <f aca="false">IF($C979="","",ROUND(N($K979)-N($P979),2))</f>
        <v/>
      </c>
      <c r="R979" s="29" t="str">
        <f aca="false">IF($C979="","",YEAR($C979))</f>
        <v/>
      </c>
      <c r="S979" s="24"/>
      <c r="T979" s="35" t="str">
        <f aca="false">IF($C979="","",IF($D979="","★没选客户项目",IF(COUNTIF(合同键,$D979)=0,"★《维保合同》里没这个项目",IF(N($K979)&lt;=0,"★应收金额要填",IF(ROUND(N($N979)-N($K979),2)&gt;0.001,"★开票金额大于应收",IF(AND($L979&lt;&gt;"",N($N979)&lt;=0),"★填了开票日期没填开票金额",IF(AND($I979&lt;&gt;"",$J979&lt;&gt;"",$J979&lt;$I979),"★计费期间起止反了","OK")))))))</f>
        <v/>
      </c>
      <c r="U979" s="29" t="str">
        <f aca="false">IF($L979="","",YEAR($L979))</f>
        <v/>
      </c>
      <c r="V979" s="40" t="str">
        <f aca="false">IF($C979="","",ROUND(SUMIF(收款关联,$B979,收款金额),2))</f>
        <v/>
      </c>
      <c r="W979" s="40" t="str">
        <f aca="false">IF($C979="","",MAX(0,ROUND(N($K979)-N($V979),2)))</f>
        <v/>
      </c>
      <c r="X979" s="40" t="str">
        <f aca="false">IF($C979="","",ROUND(SUMIFS(应收净额,应收键,$D979,应收行号,"&lt;="&amp;ROW()),2))</f>
        <v/>
      </c>
      <c r="Y979" s="29" t="str">
        <f aca="false">IF($C979="","",ROW())</f>
        <v/>
      </c>
    </row>
    <row r="980" customFormat="false" ht="15" hidden="false" customHeight="false" outlineLevel="0" collapsed="false">
      <c r="A980" s="29" t="str">
        <f aca="false">IF($C980="","",ROW()-4)</f>
        <v/>
      </c>
      <c r="B980" s="35" t="str">
        <f aca="false">IF($C980="","","YS"&amp;TEXT($C980,"yyyymm")&amp;"-"&amp;TEXT(ROW()-4,"0000"))</f>
        <v/>
      </c>
      <c r="C980" s="33"/>
      <c r="D980" s="24"/>
      <c r="E980" s="30" t="str">
        <f aca="false">IF($D980="","",IFERROR(INDEX(合同单位,MATCH($D980,合同键,0)),IFERROR(TRIM(LEFT($D980,FIND("｜",$D980)-1)),$D980)))</f>
        <v/>
      </c>
      <c r="F980" s="30" t="str">
        <f aca="false">IF($D980="","",IFERROR(INDEX(合同项目,MATCH($D980,合同键,0)),IFERROR(TRIM(MID($D980,FIND("｜",$D980)+1,99)),"")))</f>
        <v/>
      </c>
      <c r="G980" s="24"/>
      <c r="H980" s="35" t="str">
        <f aca="false">IF($G980="","",IFERROR(INDEX(费用款别,MATCH($G980,费用类别表,0)),"合同外款"))</f>
        <v/>
      </c>
      <c r="I980" s="33"/>
      <c r="J980" s="33"/>
      <c r="K980" s="39"/>
      <c r="L980" s="33"/>
      <c r="M980" s="25"/>
      <c r="N980" s="39"/>
      <c r="O980" s="35" t="str">
        <f aca="false">IF($C980="","",IF(N($N980)&lt;=0,"未开票",IF(ROUND(N($N980)-N($K980),2)&gt;=0,"已开票",IFERROR("部分开票 "&amp;TEXT(N($N980)/N($K980),"0%"),"部分开票"))))</f>
        <v/>
      </c>
      <c r="P980" s="40" t="str">
        <f aca="false">IF($C980="","",ROUND($V980+MIN($W980,MAX(0,(SUMIF(收款键,$D980,收款金额)-SUMIFS(收款金额,收款键,$D980,收款关联,"&lt;&gt;"))-($X980-$W980))),2))</f>
        <v/>
      </c>
      <c r="Q980" s="41" t="str">
        <f aca="false">IF($C980="","",ROUND(N($K980)-N($P980),2))</f>
        <v/>
      </c>
      <c r="R980" s="29" t="str">
        <f aca="false">IF($C980="","",YEAR($C980))</f>
        <v/>
      </c>
      <c r="S980" s="24"/>
      <c r="T980" s="35" t="str">
        <f aca="false">IF($C980="","",IF($D980="","★没选客户项目",IF(COUNTIF(合同键,$D980)=0,"★《维保合同》里没这个项目",IF(N($K980)&lt;=0,"★应收金额要填",IF(ROUND(N($N980)-N($K980),2)&gt;0.001,"★开票金额大于应收",IF(AND($L980&lt;&gt;"",N($N980)&lt;=0),"★填了开票日期没填开票金额",IF(AND($I980&lt;&gt;"",$J980&lt;&gt;"",$J980&lt;$I980),"★计费期间起止反了","OK")))))))</f>
        <v/>
      </c>
      <c r="U980" s="29" t="str">
        <f aca="false">IF($L980="","",YEAR($L980))</f>
        <v/>
      </c>
      <c r="V980" s="40" t="str">
        <f aca="false">IF($C980="","",ROUND(SUMIF(收款关联,$B980,收款金额),2))</f>
        <v/>
      </c>
      <c r="W980" s="40" t="str">
        <f aca="false">IF($C980="","",MAX(0,ROUND(N($K980)-N($V980),2)))</f>
        <v/>
      </c>
      <c r="X980" s="40" t="str">
        <f aca="false">IF($C980="","",ROUND(SUMIFS(应收净额,应收键,$D980,应收行号,"&lt;="&amp;ROW()),2))</f>
        <v/>
      </c>
      <c r="Y980" s="29" t="str">
        <f aca="false">IF($C980="","",ROW())</f>
        <v/>
      </c>
    </row>
    <row r="981" customFormat="false" ht="15" hidden="false" customHeight="false" outlineLevel="0" collapsed="false">
      <c r="A981" s="29" t="str">
        <f aca="false">IF($C981="","",ROW()-4)</f>
        <v/>
      </c>
      <c r="B981" s="35" t="str">
        <f aca="false">IF($C981="","","YS"&amp;TEXT($C981,"yyyymm")&amp;"-"&amp;TEXT(ROW()-4,"0000"))</f>
        <v/>
      </c>
      <c r="C981" s="33"/>
      <c r="D981" s="24"/>
      <c r="E981" s="30" t="str">
        <f aca="false">IF($D981="","",IFERROR(INDEX(合同单位,MATCH($D981,合同键,0)),IFERROR(TRIM(LEFT($D981,FIND("｜",$D981)-1)),$D981)))</f>
        <v/>
      </c>
      <c r="F981" s="30" t="str">
        <f aca="false">IF($D981="","",IFERROR(INDEX(合同项目,MATCH($D981,合同键,0)),IFERROR(TRIM(MID($D981,FIND("｜",$D981)+1,99)),"")))</f>
        <v/>
      </c>
      <c r="G981" s="24"/>
      <c r="H981" s="35" t="str">
        <f aca="false">IF($G981="","",IFERROR(INDEX(费用款别,MATCH($G981,费用类别表,0)),"合同外款"))</f>
        <v/>
      </c>
      <c r="I981" s="33"/>
      <c r="J981" s="33"/>
      <c r="K981" s="39"/>
      <c r="L981" s="33"/>
      <c r="M981" s="25"/>
      <c r="N981" s="39"/>
      <c r="O981" s="35" t="str">
        <f aca="false">IF($C981="","",IF(N($N981)&lt;=0,"未开票",IF(ROUND(N($N981)-N($K981),2)&gt;=0,"已开票",IFERROR("部分开票 "&amp;TEXT(N($N981)/N($K981),"0%"),"部分开票"))))</f>
        <v/>
      </c>
      <c r="P981" s="40" t="str">
        <f aca="false">IF($C981="","",ROUND($V981+MIN($W981,MAX(0,(SUMIF(收款键,$D981,收款金额)-SUMIFS(收款金额,收款键,$D981,收款关联,"&lt;&gt;"))-($X981-$W981))),2))</f>
        <v/>
      </c>
      <c r="Q981" s="41" t="str">
        <f aca="false">IF($C981="","",ROUND(N($K981)-N($P981),2))</f>
        <v/>
      </c>
      <c r="R981" s="29" t="str">
        <f aca="false">IF($C981="","",YEAR($C981))</f>
        <v/>
      </c>
      <c r="S981" s="24"/>
      <c r="T981" s="35" t="str">
        <f aca="false">IF($C981="","",IF($D981="","★没选客户项目",IF(COUNTIF(合同键,$D981)=0,"★《维保合同》里没这个项目",IF(N($K981)&lt;=0,"★应收金额要填",IF(ROUND(N($N981)-N($K981),2)&gt;0.001,"★开票金额大于应收",IF(AND($L981&lt;&gt;"",N($N981)&lt;=0),"★填了开票日期没填开票金额",IF(AND($I981&lt;&gt;"",$J981&lt;&gt;"",$J981&lt;$I981),"★计费期间起止反了","OK")))))))</f>
        <v/>
      </c>
      <c r="U981" s="29" t="str">
        <f aca="false">IF($L981="","",YEAR($L981))</f>
        <v/>
      </c>
      <c r="V981" s="40" t="str">
        <f aca="false">IF($C981="","",ROUND(SUMIF(收款关联,$B981,收款金额),2))</f>
        <v/>
      </c>
      <c r="W981" s="40" t="str">
        <f aca="false">IF($C981="","",MAX(0,ROUND(N($K981)-N($V981),2)))</f>
        <v/>
      </c>
      <c r="X981" s="40" t="str">
        <f aca="false">IF($C981="","",ROUND(SUMIFS(应收净额,应收键,$D981,应收行号,"&lt;="&amp;ROW()),2))</f>
        <v/>
      </c>
      <c r="Y981" s="29" t="str">
        <f aca="false">IF($C981="","",ROW())</f>
        <v/>
      </c>
    </row>
    <row r="982" customFormat="false" ht="15" hidden="false" customHeight="false" outlineLevel="0" collapsed="false">
      <c r="A982" s="29" t="str">
        <f aca="false">IF($C982="","",ROW()-4)</f>
        <v/>
      </c>
      <c r="B982" s="35" t="str">
        <f aca="false">IF($C982="","","YS"&amp;TEXT($C982,"yyyymm")&amp;"-"&amp;TEXT(ROW()-4,"0000"))</f>
        <v/>
      </c>
      <c r="C982" s="33"/>
      <c r="D982" s="24"/>
      <c r="E982" s="30" t="str">
        <f aca="false">IF($D982="","",IFERROR(INDEX(合同单位,MATCH($D982,合同键,0)),IFERROR(TRIM(LEFT($D982,FIND("｜",$D982)-1)),$D982)))</f>
        <v/>
      </c>
      <c r="F982" s="30" t="str">
        <f aca="false">IF($D982="","",IFERROR(INDEX(合同项目,MATCH($D982,合同键,0)),IFERROR(TRIM(MID($D982,FIND("｜",$D982)+1,99)),"")))</f>
        <v/>
      </c>
      <c r="G982" s="24"/>
      <c r="H982" s="35" t="str">
        <f aca="false">IF($G982="","",IFERROR(INDEX(费用款别,MATCH($G982,费用类别表,0)),"合同外款"))</f>
        <v/>
      </c>
      <c r="I982" s="33"/>
      <c r="J982" s="33"/>
      <c r="K982" s="39"/>
      <c r="L982" s="33"/>
      <c r="M982" s="25"/>
      <c r="N982" s="39"/>
      <c r="O982" s="35" t="str">
        <f aca="false">IF($C982="","",IF(N($N982)&lt;=0,"未开票",IF(ROUND(N($N982)-N($K982),2)&gt;=0,"已开票",IFERROR("部分开票 "&amp;TEXT(N($N982)/N($K982),"0%"),"部分开票"))))</f>
        <v/>
      </c>
      <c r="P982" s="40" t="str">
        <f aca="false">IF($C982="","",ROUND($V982+MIN($W982,MAX(0,(SUMIF(收款键,$D982,收款金额)-SUMIFS(收款金额,收款键,$D982,收款关联,"&lt;&gt;"))-($X982-$W982))),2))</f>
        <v/>
      </c>
      <c r="Q982" s="41" t="str">
        <f aca="false">IF($C982="","",ROUND(N($K982)-N($P982),2))</f>
        <v/>
      </c>
      <c r="R982" s="29" t="str">
        <f aca="false">IF($C982="","",YEAR($C982))</f>
        <v/>
      </c>
      <c r="S982" s="24"/>
      <c r="T982" s="35" t="str">
        <f aca="false">IF($C982="","",IF($D982="","★没选客户项目",IF(COUNTIF(合同键,$D982)=0,"★《维保合同》里没这个项目",IF(N($K982)&lt;=0,"★应收金额要填",IF(ROUND(N($N982)-N($K982),2)&gt;0.001,"★开票金额大于应收",IF(AND($L982&lt;&gt;"",N($N982)&lt;=0),"★填了开票日期没填开票金额",IF(AND($I982&lt;&gt;"",$J982&lt;&gt;"",$J982&lt;$I982),"★计费期间起止反了","OK")))))))</f>
        <v/>
      </c>
      <c r="U982" s="29" t="str">
        <f aca="false">IF($L982="","",YEAR($L982))</f>
        <v/>
      </c>
      <c r="V982" s="40" t="str">
        <f aca="false">IF($C982="","",ROUND(SUMIF(收款关联,$B982,收款金额),2))</f>
        <v/>
      </c>
      <c r="W982" s="40" t="str">
        <f aca="false">IF($C982="","",MAX(0,ROUND(N($K982)-N($V982),2)))</f>
        <v/>
      </c>
      <c r="X982" s="40" t="str">
        <f aca="false">IF($C982="","",ROUND(SUMIFS(应收净额,应收键,$D982,应收行号,"&lt;="&amp;ROW()),2))</f>
        <v/>
      </c>
      <c r="Y982" s="29" t="str">
        <f aca="false">IF($C982="","",ROW())</f>
        <v/>
      </c>
    </row>
    <row r="983" customFormat="false" ht="15" hidden="false" customHeight="false" outlineLevel="0" collapsed="false">
      <c r="A983" s="29" t="str">
        <f aca="false">IF($C983="","",ROW()-4)</f>
        <v/>
      </c>
      <c r="B983" s="35" t="str">
        <f aca="false">IF($C983="","","YS"&amp;TEXT($C983,"yyyymm")&amp;"-"&amp;TEXT(ROW()-4,"0000"))</f>
        <v/>
      </c>
      <c r="C983" s="33"/>
      <c r="D983" s="24"/>
      <c r="E983" s="30" t="str">
        <f aca="false">IF($D983="","",IFERROR(INDEX(合同单位,MATCH($D983,合同键,0)),IFERROR(TRIM(LEFT($D983,FIND("｜",$D983)-1)),$D983)))</f>
        <v/>
      </c>
      <c r="F983" s="30" t="str">
        <f aca="false">IF($D983="","",IFERROR(INDEX(合同项目,MATCH($D983,合同键,0)),IFERROR(TRIM(MID($D983,FIND("｜",$D983)+1,99)),"")))</f>
        <v/>
      </c>
      <c r="G983" s="24"/>
      <c r="H983" s="35" t="str">
        <f aca="false">IF($G983="","",IFERROR(INDEX(费用款别,MATCH($G983,费用类别表,0)),"合同外款"))</f>
        <v/>
      </c>
      <c r="I983" s="33"/>
      <c r="J983" s="33"/>
      <c r="K983" s="39"/>
      <c r="L983" s="33"/>
      <c r="M983" s="25"/>
      <c r="N983" s="39"/>
      <c r="O983" s="35" t="str">
        <f aca="false">IF($C983="","",IF(N($N983)&lt;=0,"未开票",IF(ROUND(N($N983)-N($K983),2)&gt;=0,"已开票",IFERROR("部分开票 "&amp;TEXT(N($N983)/N($K983),"0%"),"部分开票"))))</f>
        <v/>
      </c>
      <c r="P983" s="40" t="str">
        <f aca="false">IF($C983="","",ROUND($V983+MIN($W983,MAX(0,(SUMIF(收款键,$D983,收款金额)-SUMIFS(收款金额,收款键,$D983,收款关联,"&lt;&gt;"))-($X983-$W983))),2))</f>
        <v/>
      </c>
      <c r="Q983" s="41" t="str">
        <f aca="false">IF($C983="","",ROUND(N($K983)-N($P983),2))</f>
        <v/>
      </c>
      <c r="R983" s="29" t="str">
        <f aca="false">IF($C983="","",YEAR($C983))</f>
        <v/>
      </c>
      <c r="S983" s="24"/>
      <c r="T983" s="35" t="str">
        <f aca="false">IF($C983="","",IF($D983="","★没选客户项目",IF(COUNTIF(合同键,$D983)=0,"★《维保合同》里没这个项目",IF(N($K983)&lt;=0,"★应收金额要填",IF(ROUND(N($N983)-N($K983),2)&gt;0.001,"★开票金额大于应收",IF(AND($L983&lt;&gt;"",N($N983)&lt;=0),"★填了开票日期没填开票金额",IF(AND($I983&lt;&gt;"",$J983&lt;&gt;"",$J983&lt;$I983),"★计费期间起止反了","OK")))))))</f>
        <v/>
      </c>
      <c r="U983" s="29" t="str">
        <f aca="false">IF($L983="","",YEAR($L983))</f>
        <v/>
      </c>
      <c r="V983" s="40" t="str">
        <f aca="false">IF($C983="","",ROUND(SUMIF(收款关联,$B983,收款金额),2))</f>
        <v/>
      </c>
      <c r="W983" s="40" t="str">
        <f aca="false">IF($C983="","",MAX(0,ROUND(N($K983)-N($V983),2)))</f>
        <v/>
      </c>
      <c r="X983" s="40" t="str">
        <f aca="false">IF($C983="","",ROUND(SUMIFS(应收净额,应收键,$D983,应收行号,"&lt;="&amp;ROW()),2))</f>
        <v/>
      </c>
      <c r="Y983" s="29" t="str">
        <f aca="false">IF($C983="","",ROW())</f>
        <v/>
      </c>
    </row>
    <row r="984" customFormat="false" ht="15" hidden="false" customHeight="false" outlineLevel="0" collapsed="false">
      <c r="A984" s="29" t="str">
        <f aca="false">IF($C984="","",ROW()-4)</f>
        <v/>
      </c>
      <c r="B984" s="35" t="str">
        <f aca="false">IF($C984="","","YS"&amp;TEXT($C984,"yyyymm")&amp;"-"&amp;TEXT(ROW()-4,"0000"))</f>
        <v/>
      </c>
      <c r="C984" s="33"/>
      <c r="D984" s="24"/>
      <c r="E984" s="30" t="str">
        <f aca="false">IF($D984="","",IFERROR(INDEX(合同单位,MATCH($D984,合同键,0)),IFERROR(TRIM(LEFT($D984,FIND("｜",$D984)-1)),$D984)))</f>
        <v/>
      </c>
      <c r="F984" s="30" t="str">
        <f aca="false">IF($D984="","",IFERROR(INDEX(合同项目,MATCH($D984,合同键,0)),IFERROR(TRIM(MID($D984,FIND("｜",$D984)+1,99)),"")))</f>
        <v/>
      </c>
      <c r="G984" s="24"/>
      <c r="H984" s="35" t="str">
        <f aca="false">IF($G984="","",IFERROR(INDEX(费用款别,MATCH($G984,费用类别表,0)),"合同外款"))</f>
        <v/>
      </c>
      <c r="I984" s="33"/>
      <c r="J984" s="33"/>
      <c r="K984" s="39"/>
      <c r="L984" s="33"/>
      <c r="M984" s="25"/>
      <c r="N984" s="39"/>
      <c r="O984" s="35" t="str">
        <f aca="false">IF($C984="","",IF(N($N984)&lt;=0,"未开票",IF(ROUND(N($N984)-N($K984),2)&gt;=0,"已开票",IFERROR("部分开票 "&amp;TEXT(N($N984)/N($K984),"0%"),"部分开票"))))</f>
        <v/>
      </c>
      <c r="P984" s="40" t="str">
        <f aca="false">IF($C984="","",ROUND($V984+MIN($W984,MAX(0,(SUMIF(收款键,$D984,收款金额)-SUMIFS(收款金额,收款键,$D984,收款关联,"&lt;&gt;"))-($X984-$W984))),2))</f>
        <v/>
      </c>
      <c r="Q984" s="41" t="str">
        <f aca="false">IF($C984="","",ROUND(N($K984)-N($P984),2))</f>
        <v/>
      </c>
      <c r="R984" s="29" t="str">
        <f aca="false">IF($C984="","",YEAR($C984))</f>
        <v/>
      </c>
      <c r="S984" s="24"/>
      <c r="T984" s="35" t="str">
        <f aca="false">IF($C984="","",IF($D984="","★没选客户项目",IF(COUNTIF(合同键,$D984)=0,"★《维保合同》里没这个项目",IF(N($K984)&lt;=0,"★应收金额要填",IF(ROUND(N($N984)-N($K984),2)&gt;0.001,"★开票金额大于应收",IF(AND($L984&lt;&gt;"",N($N984)&lt;=0),"★填了开票日期没填开票金额",IF(AND($I984&lt;&gt;"",$J984&lt;&gt;"",$J984&lt;$I984),"★计费期间起止反了","OK")))))))</f>
        <v/>
      </c>
      <c r="U984" s="29" t="str">
        <f aca="false">IF($L984="","",YEAR($L984))</f>
        <v/>
      </c>
      <c r="V984" s="40" t="str">
        <f aca="false">IF($C984="","",ROUND(SUMIF(收款关联,$B984,收款金额),2))</f>
        <v/>
      </c>
      <c r="W984" s="40" t="str">
        <f aca="false">IF($C984="","",MAX(0,ROUND(N($K984)-N($V984),2)))</f>
        <v/>
      </c>
      <c r="X984" s="40" t="str">
        <f aca="false">IF($C984="","",ROUND(SUMIFS(应收净额,应收键,$D984,应收行号,"&lt;="&amp;ROW()),2))</f>
        <v/>
      </c>
      <c r="Y984" s="29" t="str">
        <f aca="false">IF($C984="","",ROW())</f>
        <v/>
      </c>
    </row>
    <row r="985" customFormat="false" ht="15" hidden="false" customHeight="false" outlineLevel="0" collapsed="false">
      <c r="A985" s="29" t="str">
        <f aca="false">IF($C985="","",ROW()-4)</f>
        <v/>
      </c>
      <c r="B985" s="35" t="str">
        <f aca="false">IF($C985="","","YS"&amp;TEXT($C985,"yyyymm")&amp;"-"&amp;TEXT(ROW()-4,"0000"))</f>
        <v/>
      </c>
      <c r="C985" s="33"/>
      <c r="D985" s="24"/>
      <c r="E985" s="30" t="str">
        <f aca="false">IF($D985="","",IFERROR(INDEX(合同单位,MATCH($D985,合同键,0)),IFERROR(TRIM(LEFT($D985,FIND("｜",$D985)-1)),$D985)))</f>
        <v/>
      </c>
      <c r="F985" s="30" t="str">
        <f aca="false">IF($D985="","",IFERROR(INDEX(合同项目,MATCH($D985,合同键,0)),IFERROR(TRIM(MID($D985,FIND("｜",$D985)+1,99)),"")))</f>
        <v/>
      </c>
      <c r="G985" s="24"/>
      <c r="H985" s="35" t="str">
        <f aca="false">IF($G985="","",IFERROR(INDEX(费用款别,MATCH($G985,费用类别表,0)),"合同外款"))</f>
        <v/>
      </c>
      <c r="I985" s="33"/>
      <c r="J985" s="33"/>
      <c r="K985" s="39"/>
      <c r="L985" s="33"/>
      <c r="M985" s="25"/>
      <c r="N985" s="39"/>
      <c r="O985" s="35" t="str">
        <f aca="false">IF($C985="","",IF(N($N985)&lt;=0,"未开票",IF(ROUND(N($N985)-N($K985),2)&gt;=0,"已开票",IFERROR("部分开票 "&amp;TEXT(N($N985)/N($K985),"0%"),"部分开票"))))</f>
        <v/>
      </c>
      <c r="P985" s="40" t="str">
        <f aca="false">IF($C985="","",ROUND($V985+MIN($W985,MAX(0,(SUMIF(收款键,$D985,收款金额)-SUMIFS(收款金额,收款键,$D985,收款关联,"&lt;&gt;"))-($X985-$W985))),2))</f>
        <v/>
      </c>
      <c r="Q985" s="41" t="str">
        <f aca="false">IF($C985="","",ROUND(N($K985)-N($P985),2))</f>
        <v/>
      </c>
      <c r="R985" s="29" t="str">
        <f aca="false">IF($C985="","",YEAR($C985))</f>
        <v/>
      </c>
      <c r="S985" s="24"/>
      <c r="T985" s="35" t="str">
        <f aca="false">IF($C985="","",IF($D985="","★没选客户项目",IF(COUNTIF(合同键,$D985)=0,"★《维保合同》里没这个项目",IF(N($K985)&lt;=0,"★应收金额要填",IF(ROUND(N($N985)-N($K985),2)&gt;0.001,"★开票金额大于应收",IF(AND($L985&lt;&gt;"",N($N985)&lt;=0),"★填了开票日期没填开票金额",IF(AND($I985&lt;&gt;"",$J985&lt;&gt;"",$J985&lt;$I985),"★计费期间起止反了","OK")))))))</f>
        <v/>
      </c>
      <c r="U985" s="29" t="str">
        <f aca="false">IF($L985="","",YEAR($L985))</f>
        <v/>
      </c>
      <c r="V985" s="40" t="str">
        <f aca="false">IF($C985="","",ROUND(SUMIF(收款关联,$B985,收款金额),2))</f>
        <v/>
      </c>
      <c r="W985" s="40" t="str">
        <f aca="false">IF($C985="","",MAX(0,ROUND(N($K985)-N($V985),2)))</f>
        <v/>
      </c>
      <c r="X985" s="40" t="str">
        <f aca="false">IF($C985="","",ROUND(SUMIFS(应收净额,应收键,$D985,应收行号,"&lt;="&amp;ROW()),2))</f>
        <v/>
      </c>
      <c r="Y985" s="29" t="str">
        <f aca="false">IF($C985="","",ROW())</f>
        <v/>
      </c>
    </row>
    <row r="986" customFormat="false" ht="15" hidden="false" customHeight="false" outlineLevel="0" collapsed="false">
      <c r="A986" s="29" t="str">
        <f aca="false">IF($C986="","",ROW()-4)</f>
        <v/>
      </c>
      <c r="B986" s="35" t="str">
        <f aca="false">IF($C986="","","YS"&amp;TEXT($C986,"yyyymm")&amp;"-"&amp;TEXT(ROW()-4,"0000"))</f>
        <v/>
      </c>
      <c r="C986" s="33"/>
      <c r="D986" s="24"/>
      <c r="E986" s="30" t="str">
        <f aca="false">IF($D986="","",IFERROR(INDEX(合同单位,MATCH($D986,合同键,0)),IFERROR(TRIM(LEFT($D986,FIND("｜",$D986)-1)),$D986)))</f>
        <v/>
      </c>
      <c r="F986" s="30" t="str">
        <f aca="false">IF($D986="","",IFERROR(INDEX(合同项目,MATCH($D986,合同键,0)),IFERROR(TRIM(MID($D986,FIND("｜",$D986)+1,99)),"")))</f>
        <v/>
      </c>
      <c r="G986" s="24"/>
      <c r="H986" s="35" t="str">
        <f aca="false">IF($G986="","",IFERROR(INDEX(费用款别,MATCH($G986,费用类别表,0)),"合同外款"))</f>
        <v/>
      </c>
      <c r="I986" s="33"/>
      <c r="J986" s="33"/>
      <c r="K986" s="39"/>
      <c r="L986" s="33"/>
      <c r="M986" s="25"/>
      <c r="N986" s="39"/>
      <c r="O986" s="35" t="str">
        <f aca="false">IF($C986="","",IF(N($N986)&lt;=0,"未开票",IF(ROUND(N($N986)-N($K986),2)&gt;=0,"已开票",IFERROR("部分开票 "&amp;TEXT(N($N986)/N($K986),"0%"),"部分开票"))))</f>
        <v/>
      </c>
      <c r="P986" s="40" t="str">
        <f aca="false">IF($C986="","",ROUND($V986+MIN($W986,MAX(0,(SUMIF(收款键,$D986,收款金额)-SUMIFS(收款金额,收款键,$D986,收款关联,"&lt;&gt;"))-($X986-$W986))),2))</f>
        <v/>
      </c>
      <c r="Q986" s="41" t="str">
        <f aca="false">IF($C986="","",ROUND(N($K986)-N($P986),2))</f>
        <v/>
      </c>
      <c r="R986" s="29" t="str">
        <f aca="false">IF($C986="","",YEAR($C986))</f>
        <v/>
      </c>
      <c r="S986" s="24"/>
      <c r="T986" s="35" t="str">
        <f aca="false">IF($C986="","",IF($D986="","★没选客户项目",IF(COUNTIF(合同键,$D986)=0,"★《维保合同》里没这个项目",IF(N($K986)&lt;=0,"★应收金额要填",IF(ROUND(N($N986)-N($K986),2)&gt;0.001,"★开票金额大于应收",IF(AND($L986&lt;&gt;"",N($N986)&lt;=0),"★填了开票日期没填开票金额",IF(AND($I986&lt;&gt;"",$J986&lt;&gt;"",$J986&lt;$I986),"★计费期间起止反了","OK")))))))</f>
        <v/>
      </c>
      <c r="U986" s="29" t="str">
        <f aca="false">IF($L986="","",YEAR($L986))</f>
        <v/>
      </c>
      <c r="V986" s="40" t="str">
        <f aca="false">IF($C986="","",ROUND(SUMIF(收款关联,$B986,收款金额),2))</f>
        <v/>
      </c>
      <c r="W986" s="40" t="str">
        <f aca="false">IF($C986="","",MAX(0,ROUND(N($K986)-N($V986),2)))</f>
        <v/>
      </c>
      <c r="X986" s="40" t="str">
        <f aca="false">IF($C986="","",ROUND(SUMIFS(应收净额,应收键,$D986,应收行号,"&lt;="&amp;ROW()),2))</f>
        <v/>
      </c>
      <c r="Y986" s="29" t="str">
        <f aca="false">IF($C986="","",ROW())</f>
        <v/>
      </c>
    </row>
    <row r="987" customFormat="false" ht="15" hidden="false" customHeight="false" outlineLevel="0" collapsed="false">
      <c r="A987" s="29" t="str">
        <f aca="false">IF($C987="","",ROW()-4)</f>
        <v/>
      </c>
      <c r="B987" s="35" t="str">
        <f aca="false">IF($C987="","","YS"&amp;TEXT($C987,"yyyymm")&amp;"-"&amp;TEXT(ROW()-4,"0000"))</f>
        <v/>
      </c>
      <c r="C987" s="33"/>
      <c r="D987" s="24"/>
      <c r="E987" s="30" t="str">
        <f aca="false">IF($D987="","",IFERROR(INDEX(合同单位,MATCH($D987,合同键,0)),IFERROR(TRIM(LEFT($D987,FIND("｜",$D987)-1)),$D987)))</f>
        <v/>
      </c>
      <c r="F987" s="30" t="str">
        <f aca="false">IF($D987="","",IFERROR(INDEX(合同项目,MATCH($D987,合同键,0)),IFERROR(TRIM(MID($D987,FIND("｜",$D987)+1,99)),"")))</f>
        <v/>
      </c>
      <c r="G987" s="24"/>
      <c r="H987" s="35" t="str">
        <f aca="false">IF($G987="","",IFERROR(INDEX(费用款别,MATCH($G987,费用类别表,0)),"合同外款"))</f>
        <v/>
      </c>
      <c r="I987" s="33"/>
      <c r="J987" s="33"/>
      <c r="K987" s="39"/>
      <c r="L987" s="33"/>
      <c r="M987" s="25"/>
      <c r="N987" s="39"/>
      <c r="O987" s="35" t="str">
        <f aca="false">IF($C987="","",IF(N($N987)&lt;=0,"未开票",IF(ROUND(N($N987)-N($K987),2)&gt;=0,"已开票",IFERROR("部分开票 "&amp;TEXT(N($N987)/N($K987),"0%"),"部分开票"))))</f>
        <v/>
      </c>
      <c r="P987" s="40" t="str">
        <f aca="false">IF($C987="","",ROUND($V987+MIN($W987,MAX(0,(SUMIF(收款键,$D987,收款金额)-SUMIFS(收款金额,收款键,$D987,收款关联,"&lt;&gt;"))-($X987-$W987))),2))</f>
        <v/>
      </c>
      <c r="Q987" s="41" t="str">
        <f aca="false">IF($C987="","",ROUND(N($K987)-N($P987),2))</f>
        <v/>
      </c>
      <c r="R987" s="29" t="str">
        <f aca="false">IF($C987="","",YEAR($C987))</f>
        <v/>
      </c>
      <c r="S987" s="24"/>
      <c r="T987" s="35" t="str">
        <f aca="false">IF($C987="","",IF($D987="","★没选客户项目",IF(COUNTIF(合同键,$D987)=0,"★《维保合同》里没这个项目",IF(N($K987)&lt;=0,"★应收金额要填",IF(ROUND(N($N987)-N($K987),2)&gt;0.001,"★开票金额大于应收",IF(AND($L987&lt;&gt;"",N($N987)&lt;=0),"★填了开票日期没填开票金额",IF(AND($I987&lt;&gt;"",$J987&lt;&gt;"",$J987&lt;$I987),"★计费期间起止反了","OK")))))))</f>
        <v/>
      </c>
      <c r="U987" s="29" t="str">
        <f aca="false">IF($L987="","",YEAR($L987))</f>
        <v/>
      </c>
      <c r="V987" s="40" t="str">
        <f aca="false">IF($C987="","",ROUND(SUMIF(收款关联,$B987,收款金额),2))</f>
        <v/>
      </c>
      <c r="W987" s="40" t="str">
        <f aca="false">IF($C987="","",MAX(0,ROUND(N($K987)-N($V987),2)))</f>
        <v/>
      </c>
      <c r="X987" s="40" t="str">
        <f aca="false">IF($C987="","",ROUND(SUMIFS(应收净额,应收键,$D987,应收行号,"&lt;="&amp;ROW()),2))</f>
        <v/>
      </c>
      <c r="Y987" s="29" t="str">
        <f aca="false">IF($C987="","",ROW())</f>
        <v/>
      </c>
    </row>
    <row r="988" customFormat="false" ht="15" hidden="false" customHeight="false" outlineLevel="0" collapsed="false">
      <c r="A988" s="29" t="str">
        <f aca="false">IF($C988="","",ROW()-4)</f>
        <v/>
      </c>
      <c r="B988" s="35" t="str">
        <f aca="false">IF($C988="","","YS"&amp;TEXT($C988,"yyyymm")&amp;"-"&amp;TEXT(ROW()-4,"0000"))</f>
        <v/>
      </c>
      <c r="C988" s="33"/>
      <c r="D988" s="24"/>
      <c r="E988" s="30" t="str">
        <f aca="false">IF($D988="","",IFERROR(INDEX(合同单位,MATCH($D988,合同键,0)),IFERROR(TRIM(LEFT($D988,FIND("｜",$D988)-1)),$D988)))</f>
        <v/>
      </c>
      <c r="F988" s="30" t="str">
        <f aca="false">IF($D988="","",IFERROR(INDEX(合同项目,MATCH($D988,合同键,0)),IFERROR(TRIM(MID($D988,FIND("｜",$D988)+1,99)),"")))</f>
        <v/>
      </c>
      <c r="G988" s="24"/>
      <c r="H988" s="35" t="str">
        <f aca="false">IF($G988="","",IFERROR(INDEX(费用款别,MATCH($G988,费用类别表,0)),"合同外款"))</f>
        <v/>
      </c>
      <c r="I988" s="33"/>
      <c r="J988" s="33"/>
      <c r="K988" s="39"/>
      <c r="L988" s="33"/>
      <c r="M988" s="25"/>
      <c r="N988" s="39"/>
      <c r="O988" s="35" t="str">
        <f aca="false">IF($C988="","",IF(N($N988)&lt;=0,"未开票",IF(ROUND(N($N988)-N($K988),2)&gt;=0,"已开票",IFERROR("部分开票 "&amp;TEXT(N($N988)/N($K988),"0%"),"部分开票"))))</f>
        <v/>
      </c>
      <c r="P988" s="40" t="str">
        <f aca="false">IF($C988="","",ROUND($V988+MIN($W988,MAX(0,(SUMIF(收款键,$D988,收款金额)-SUMIFS(收款金额,收款键,$D988,收款关联,"&lt;&gt;"))-($X988-$W988))),2))</f>
        <v/>
      </c>
      <c r="Q988" s="41" t="str">
        <f aca="false">IF($C988="","",ROUND(N($K988)-N($P988),2))</f>
        <v/>
      </c>
      <c r="R988" s="29" t="str">
        <f aca="false">IF($C988="","",YEAR($C988))</f>
        <v/>
      </c>
      <c r="S988" s="24"/>
      <c r="T988" s="35" t="str">
        <f aca="false">IF($C988="","",IF($D988="","★没选客户项目",IF(COUNTIF(合同键,$D988)=0,"★《维保合同》里没这个项目",IF(N($K988)&lt;=0,"★应收金额要填",IF(ROUND(N($N988)-N($K988),2)&gt;0.001,"★开票金额大于应收",IF(AND($L988&lt;&gt;"",N($N988)&lt;=0),"★填了开票日期没填开票金额",IF(AND($I988&lt;&gt;"",$J988&lt;&gt;"",$J988&lt;$I988),"★计费期间起止反了","OK")))))))</f>
        <v/>
      </c>
      <c r="U988" s="29" t="str">
        <f aca="false">IF($L988="","",YEAR($L988))</f>
        <v/>
      </c>
      <c r="V988" s="40" t="str">
        <f aca="false">IF($C988="","",ROUND(SUMIF(收款关联,$B988,收款金额),2))</f>
        <v/>
      </c>
      <c r="W988" s="40" t="str">
        <f aca="false">IF($C988="","",MAX(0,ROUND(N($K988)-N($V988),2)))</f>
        <v/>
      </c>
      <c r="X988" s="40" t="str">
        <f aca="false">IF($C988="","",ROUND(SUMIFS(应收净额,应收键,$D988,应收行号,"&lt;="&amp;ROW()),2))</f>
        <v/>
      </c>
      <c r="Y988" s="29" t="str">
        <f aca="false">IF($C988="","",ROW())</f>
        <v/>
      </c>
    </row>
    <row r="989" customFormat="false" ht="15" hidden="false" customHeight="false" outlineLevel="0" collapsed="false">
      <c r="A989" s="29" t="str">
        <f aca="false">IF($C989="","",ROW()-4)</f>
        <v/>
      </c>
      <c r="B989" s="35" t="str">
        <f aca="false">IF($C989="","","YS"&amp;TEXT($C989,"yyyymm")&amp;"-"&amp;TEXT(ROW()-4,"0000"))</f>
        <v/>
      </c>
      <c r="C989" s="33"/>
      <c r="D989" s="24"/>
      <c r="E989" s="30" t="str">
        <f aca="false">IF($D989="","",IFERROR(INDEX(合同单位,MATCH($D989,合同键,0)),IFERROR(TRIM(LEFT($D989,FIND("｜",$D989)-1)),$D989)))</f>
        <v/>
      </c>
      <c r="F989" s="30" t="str">
        <f aca="false">IF($D989="","",IFERROR(INDEX(合同项目,MATCH($D989,合同键,0)),IFERROR(TRIM(MID($D989,FIND("｜",$D989)+1,99)),"")))</f>
        <v/>
      </c>
      <c r="G989" s="24"/>
      <c r="H989" s="35" t="str">
        <f aca="false">IF($G989="","",IFERROR(INDEX(费用款别,MATCH($G989,费用类别表,0)),"合同外款"))</f>
        <v/>
      </c>
      <c r="I989" s="33"/>
      <c r="J989" s="33"/>
      <c r="K989" s="39"/>
      <c r="L989" s="33"/>
      <c r="M989" s="25"/>
      <c r="N989" s="39"/>
      <c r="O989" s="35" t="str">
        <f aca="false">IF($C989="","",IF(N($N989)&lt;=0,"未开票",IF(ROUND(N($N989)-N($K989),2)&gt;=0,"已开票",IFERROR("部分开票 "&amp;TEXT(N($N989)/N($K989),"0%"),"部分开票"))))</f>
        <v/>
      </c>
      <c r="P989" s="40" t="str">
        <f aca="false">IF($C989="","",ROUND($V989+MIN($W989,MAX(0,(SUMIF(收款键,$D989,收款金额)-SUMIFS(收款金额,收款键,$D989,收款关联,"&lt;&gt;"))-($X989-$W989))),2))</f>
        <v/>
      </c>
      <c r="Q989" s="41" t="str">
        <f aca="false">IF($C989="","",ROUND(N($K989)-N($P989),2))</f>
        <v/>
      </c>
      <c r="R989" s="29" t="str">
        <f aca="false">IF($C989="","",YEAR($C989))</f>
        <v/>
      </c>
      <c r="S989" s="24"/>
      <c r="T989" s="35" t="str">
        <f aca="false">IF($C989="","",IF($D989="","★没选客户项目",IF(COUNTIF(合同键,$D989)=0,"★《维保合同》里没这个项目",IF(N($K989)&lt;=0,"★应收金额要填",IF(ROUND(N($N989)-N($K989),2)&gt;0.001,"★开票金额大于应收",IF(AND($L989&lt;&gt;"",N($N989)&lt;=0),"★填了开票日期没填开票金额",IF(AND($I989&lt;&gt;"",$J989&lt;&gt;"",$J989&lt;$I989),"★计费期间起止反了","OK")))))))</f>
        <v/>
      </c>
      <c r="U989" s="29" t="str">
        <f aca="false">IF($L989="","",YEAR($L989))</f>
        <v/>
      </c>
      <c r="V989" s="40" t="str">
        <f aca="false">IF($C989="","",ROUND(SUMIF(收款关联,$B989,收款金额),2))</f>
        <v/>
      </c>
      <c r="W989" s="40" t="str">
        <f aca="false">IF($C989="","",MAX(0,ROUND(N($K989)-N($V989),2)))</f>
        <v/>
      </c>
      <c r="X989" s="40" t="str">
        <f aca="false">IF($C989="","",ROUND(SUMIFS(应收净额,应收键,$D989,应收行号,"&lt;="&amp;ROW()),2))</f>
        <v/>
      </c>
      <c r="Y989" s="29" t="str">
        <f aca="false">IF($C989="","",ROW())</f>
        <v/>
      </c>
    </row>
    <row r="990" customFormat="false" ht="15" hidden="false" customHeight="false" outlineLevel="0" collapsed="false">
      <c r="A990" s="29" t="str">
        <f aca="false">IF($C990="","",ROW()-4)</f>
        <v/>
      </c>
      <c r="B990" s="35" t="str">
        <f aca="false">IF($C990="","","YS"&amp;TEXT($C990,"yyyymm")&amp;"-"&amp;TEXT(ROW()-4,"0000"))</f>
        <v/>
      </c>
      <c r="C990" s="33"/>
      <c r="D990" s="24"/>
      <c r="E990" s="30" t="str">
        <f aca="false">IF($D990="","",IFERROR(INDEX(合同单位,MATCH($D990,合同键,0)),IFERROR(TRIM(LEFT($D990,FIND("｜",$D990)-1)),$D990)))</f>
        <v/>
      </c>
      <c r="F990" s="30" t="str">
        <f aca="false">IF($D990="","",IFERROR(INDEX(合同项目,MATCH($D990,合同键,0)),IFERROR(TRIM(MID($D990,FIND("｜",$D990)+1,99)),"")))</f>
        <v/>
      </c>
      <c r="G990" s="24"/>
      <c r="H990" s="35" t="str">
        <f aca="false">IF($G990="","",IFERROR(INDEX(费用款别,MATCH($G990,费用类别表,0)),"合同外款"))</f>
        <v/>
      </c>
      <c r="I990" s="33"/>
      <c r="J990" s="33"/>
      <c r="K990" s="39"/>
      <c r="L990" s="33"/>
      <c r="M990" s="25"/>
      <c r="N990" s="39"/>
      <c r="O990" s="35" t="str">
        <f aca="false">IF($C990="","",IF(N($N990)&lt;=0,"未开票",IF(ROUND(N($N990)-N($K990),2)&gt;=0,"已开票",IFERROR("部分开票 "&amp;TEXT(N($N990)/N($K990),"0%"),"部分开票"))))</f>
        <v/>
      </c>
      <c r="P990" s="40" t="str">
        <f aca="false">IF($C990="","",ROUND($V990+MIN($W990,MAX(0,(SUMIF(收款键,$D990,收款金额)-SUMIFS(收款金额,收款键,$D990,收款关联,"&lt;&gt;"))-($X990-$W990))),2))</f>
        <v/>
      </c>
      <c r="Q990" s="41" t="str">
        <f aca="false">IF($C990="","",ROUND(N($K990)-N($P990),2))</f>
        <v/>
      </c>
      <c r="R990" s="29" t="str">
        <f aca="false">IF($C990="","",YEAR($C990))</f>
        <v/>
      </c>
      <c r="S990" s="24"/>
      <c r="T990" s="35" t="str">
        <f aca="false">IF($C990="","",IF($D990="","★没选客户项目",IF(COUNTIF(合同键,$D990)=0,"★《维保合同》里没这个项目",IF(N($K990)&lt;=0,"★应收金额要填",IF(ROUND(N($N990)-N($K990),2)&gt;0.001,"★开票金额大于应收",IF(AND($L990&lt;&gt;"",N($N990)&lt;=0),"★填了开票日期没填开票金额",IF(AND($I990&lt;&gt;"",$J990&lt;&gt;"",$J990&lt;$I990),"★计费期间起止反了","OK")))))))</f>
        <v/>
      </c>
      <c r="U990" s="29" t="str">
        <f aca="false">IF($L990="","",YEAR($L990))</f>
        <v/>
      </c>
      <c r="V990" s="40" t="str">
        <f aca="false">IF($C990="","",ROUND(SUMIF(收款关联,$B990,收款金额),2))</f>
        <v/>
      </c>
      <c r="W990" s="40" t="str">
        <f aca="false">IF($C990="","",MAX(0,ROUND(N($K990)-N($V990),2)))</f>
        <v/>
      </c>
      <c r="X990" s="40" t="str">
        <f aca="false">IF($C990="","",ROUND(SUMIFS(应收净额,应收键,$D990,应收行号,"&lt;="&amp;ROW()),2))</f>
        <v/>
      </c>
      <c r="Y990" s="29" t="str">
        <f aca="false">IF($C990="","",ROW())</f>
        <v/>
      </c>
    </row>
    <row r="991" customFormat="false" ht="15" hidden="false" customHeight="false" outlineLevel="0" collapsed="false">
      <c r="A991" s="29" t="str">
        <f aca="false">IF($C991="","",ROW()-4)</f>
        <v/>
      </c>
      <c r="B991" s="35" t="str">
        <f aca="false">IF($C991="","","YS"&amp;TEXT($C991,"yyyymm")&amp;"-"&amp;TEXT(ROW()-4,"0000"))</f>
        <v/>
      </c>
      <c r="C991" s="33"/>
      <c r="D991" s="24"/>
      <c r="E991" s="30" t="str">
        <f aca="false">IF($D991="","",IFERROR(INDEX(合同单位,MATCH($D991,合同键,0)),IFERROR(TRIM(LEFT($D991,FIND("｜",$D991)-1)),$D991)))</f>
        <v/>
      </c>
      <c r="F991" s="30" t="str">
        <f aca="false">IF($D991="","",IFERROR(INDEX(合同项目,MATCH($D991,合同键,0)),IFERROR(TRIM(MID($D991,FIND("｜",$D991)+1,99)),"")))</f>
        <v/>
      </c>
      <c r="G991" s="24"/>
      <c r="H991" s="35" t="str">
        <f aca="false">IF($G991="","",IFERROR(INDEX(费用款别,MATCH($G991,费用类别表,0)),"合同外款"))</f>
        <v/>
      </c>
      <c r="I991" s="33"/>
      <c r="J991" s="33"/>
      <c r="K991" s="39"/>
      <c r="L991" s="33"/>
      <c r="M991" s="25"/>
      <c r="N991" s="39"/>
      <c r="O991" s="35" t="str">
        <f aca="false">IF($C991="","",IF(N($N991)&lt;=0,"未开票",IF(ROUND(N($N991)-N($K991),2)&gt;=0,"已开票",IFERROR("部分开票 "&amp;TEXT(N($N991)/N($K991),"0%"),"部分开票"))))</f>
        <v/>
      </c>
      <c r="P991" s="40" t="str">
        <f aca="false">IF($C991="","",ROUND($V991+MIN($W991,MAX(0,(SUMIF(收款键,$D991,收款金额)-SUMIFS(收款金额,收款键,$D991,收款关联,"&lt;&gt;"))-($X991-$W991))),2))</f>
        <v/>
      </c>
      <c r="Q991" s="41" t="str">
        <f aca="false">IF($C991="","",ROUND(N($K991)-N($P991),2))</f>
        <v/>
      </c>
      <c r="R991" s="29" t="str">
        <f aca="false">IF($C991="","",YEAR($C991))</f>
        <v/>
      </c>
      <c r="S991" s="24"/>
      <c r="T991" s="35" t="str">
        <f aca="false">IF($C991="","",IF($D991="","★没选客户项目",IF(COUNTIF(合同键,$D991)=0,"★《维保合同》里没这个项目",IF(N($K991)&lt;=0,"★应收金额要填",IF(ROUND(N($N991)-N($K991),2)&gt;0.001,"★开票金额大于应收",IF(AND($L991&lt;&gt;"",N($N991)&lt;=0),"★填了开票日期没填开票金额",IF(AND($I991&lt;&gt;"",$J991&lt;&gt;"",$J991&lt;$I991),"★计费期间起止反了","OK")))))))</f>
        <v/>
      </c>
      <c r="U991" s="29" t="str">
        <f aca="false">IF($L991="","",YEAR($L991))</f>
        <v/>
      </c>
      <c r="V991" s="40" t="str">
        <f aca="false">IF($C991="","",ROUND(SUMIF(收款关联,$B991,收款金额),2))</f>
        <v/>
      </c>
      <c r="W991" s="40" t="str">
        <f aca="false">IF($C991="","",MAX(0,ROUND(N($K991)-N($V991),2)))</f>
        <v/>
      </c>
      <c r="X991" s="40" t="str">
        <f aca="false">IF($C991="","",ROUND(SUMIFS(应收净额,应收键,$D991,应收行号,"&lt;="&amp;ROW()),2))</f>
        <v/>
      </c>
      <c r="Y991" s="29" t="str">
        <f aca="false">IF($C991="","",ROW())</f>
        <v/>
      </c>
    </row>
    <row r="992" customFormat="false" ht="15" hidden="false" customHeight="false" outlineLevel="0" collapsed="false">
      <c r="A992" s="29" t="str">
        <f aca="false">IF($C992="","",ROW()-4)</f>
        <v/>
      </c>
      <c r="B992" s="35" t="str">
        <f aca="false">IF($C992="","","YS"&amp;TEXT($C992,"yyyymm")&amp;"-"&amp;TEXT(ROW()-4,"0000"))</f>
        <v/>
      </c>
      <c r="C992" s="33"/>
      <c r="D992" s="24"/>
      <c r="E992" s="30" t="str">
        <f aca="false">IF($D992="","",IFERROR(INDEX(合同单位,MATCH($D992,合同键,0)),IFERROR(TRIM(LEFT($D992,FIND("｜",$D992)-1)),$D992)))</f>
        <v/>
      </c>
      <c r="F992" s="30" t="str">
        <f aca="false">IF($D992="","",IFERROR(INDEX(合同项目,MATCH($D992,合同键,0)),IFERROR(TRIM(MID($D992,FIND("｜",$D992)+1,99)),"")))</f>
        <v/>
      </c>
      <c r="G992" s="24"/>
      <c r="H992" s="35" t="str">
        <f aca="false">IF($G992="","",IFERROR(INDEX(费用款别,MATCH($G992,费用类别表,0)),"合同外款"))</f>
        <v/>
      </c>
      <c r="I992" s="33"/>
      <c r="J992" s="33"/>
      <c r="K992" s="39"/>
      <c r="L992" s="33"/>
      <c r="M992" s="25"/>
      <c r="N992" s="39"/>
      <c r="O992" s="35" t="str">
        <f aca="false">IF($C992="","",IF(N($N992)&lt;=0,"未开票",IF(ROUND(N($N992)-N($K992),2)&gt;=0,"已开票",IFERROR("部分开票 "&amp;TEXT(N($N992)/N($K992),"0%"),"部分开票"))))</f>
        <v/>
      </c>
      <c r="P992" s="40" t="str">
        <f aca="false">IF($C992="","",ROUND($V992+MIN($W992,MAX(0,(SUMIF(收款键,$D992,收款金额)-SUMIFS(收款金额,收款键,$D992,收款关联,"&lt;&gt;"))-($X992-$W992))),2))</f>
        <v/>
      </c>
      <c r="Q992" s="41" t="str">
        <f aca="false">IF($C992="","",ROUND(N($K992)-N($P992),2))</f>
        <v/>
      </c>
      <c r="R992" s="29" t="str">
        <f aca="false">IF($C992="","",YEAR($C992))</f>
        <v/>
      </c>
      <c r="S992" s="24"/>
      <c r="T992" s="35" t="str">
        <f aca="false">IF($C992="","",IF($D992="","★没选客户项目",IF(COUNTIF(合同键,$D992)=0,"★《维保合同》里没这个项目",IF(N($K992)&lt;=0,"★应收金额要填",IF(ROUND(N($N992)-N($K992),2)&gt;0.001,"★开票金额大于应收",IF(AND($L992&lt;&gt;"",N($N992)&lt;=0),"★填了开票日期没填开票金额",IF(AND($I992&lt;&gt;"",$J992&lt;&gt;"",$J992&lt;$I992),"★计费期间起止反了","OK")))))))</f>
        <v/>
      </c>
      <c r="U992" s="29" t="str">
        <f aca="false">IF($L992="","",YEAR($L992))</f>
        <v/>
      </c>
      <c r="V992" s="40" t="str">
        <f aca="false">IF($C992="","",ROUND(SUMIF(收款关联,$B992,收款金额),2))</f>
        <v/>
      </c>
      <c r="W992" s="40" t="str">
        <f aca="false">IF($C992="","",MAX(0,ROUND(N($K992)-N($V992),2)))</f>
        <v/>
      </c>
      <c r="X992" s="40" t="str">
        <f aca="false">IF($C992="","",ROUND(SUMIFS(应收净额,应收键,$D992,应收行号,"&lt;="&amp;ROW()),2))</f>
        <v/>
      </c>
      <c r="Y992" s="29" t="str">
        <f aca="false">IF($C992="","",ROW())</f>
        <v/>
      </c>
    </row>
    <row r="993" customFormat="false" ht="15" hidden="false" customHeight="false" outlineLevel="0" collapsed="false">
      <c r="A993" s="29" t="str">
        <f aca="false">IF($C993="","",ROW()-4)</f>
        <v/>
      </c>
      <c r="B993" s="35" t="str">
        <f aca="false">IF($C993="","","YS"&amp;TEXT($C993,"yyyymm")&amp;"-"&amp;TEXT(ROW()-4,"0000"))</f>
        <v/>
      </c>
      <c r="C993" s="33"/>
      <c r="D993" s="24"/>
      <c r="E993" s="30" t="str">
        <f aca="false">IF($D993="","",IFERROR(INDEX(合同单位,MATCH($D993,合同键,0)),IFERROR(TRIM(LEFT($D993,FIND("｜",$D993)-1)),$D993)))</f>
        <v/>
      </c>
      <c r="F993" s="30" t="str">
        <f aca="false">IF($D993="","",IFERROR(INDEX(合同项目,MATCH($D993,合同键,0)),IFERROR(TRIM(MID($D993,FIND("｜",$D993)+1,99)),"")))</f>
        <v/>
      </c>
      <c r="G993" s="24"/>
      <c r="H993" s="35" t="str">
        <f aca="false">IF($G993="","",IFERROR(INDEX(费用款别,MATCH($G993,费用类别表,0)),"合同外款"))</f>
        <v/>
      </c>
      <c r="I993" s="33"/>
      <c r="J993" s="33"/>
      <c r="K993" s="39"/>
      <c r="L993" s="33"/>
      <c r="M993" s="25"/>
      <c r="N993" s="39"/>
      <c r="O993" s="35" t="str">
        <f aca="false">IF($C993="","",IF(N($N993)&lt;=0,"未开票",IF(ROUND(N($N993)-N($K993),2)&gt;=0,"已开票",IFERROR("部分开票 "&amp;TEXT(N($N993)/N($K993),"0%"),"部分开票"))))</f>
        <v/>
      </c>
      <c r="P993" s="40" t="str">
        <f aca="false">IF($C993="","",ROUND($V993+MIN($W993,MAX(0,(SUMIF(收款键,$D993,收款金额)-SUMIFS(收款金额,收款键,$D993,收款关联,"&lt;&gt;"))-($X993-$W993))),2))</f>
        <v/>
      </c>
      <c r="Q993" s="41" t="str">
        <f aca="false">IF($C993="","",ROUND(N($K993)-N($P993),2))</f>
        <v/>
      </c>
      <c r="R993" s="29" t="str">
        <f aca="false">IF($C993="","",YEAR($C993))</f>
        <v/>
      </c>
      <c r="S993" s="24"/>
      <c r="T993" s="35" t="str">
        <f aca="false">IF($C993="","",IF($D993="","★没选客户项目",IF(COUNTIF(合同键,$D993)=0,"★《维保合同》里没这个项目",IF(N($K993)&lt;=0,"★应收金额要填",IF(ROUND(N($N993)-N($K993),2)&gt;0.001,"★开票金额大于应收",IF(AND($L993&lt;&gt;"",N($N993)&lt;=0),"★填了开票日期没填开票金额",IF(AND($I993&lt;&gt;"",$J993&lt;&gt;"",$J993&lt;$I993),"★计费期间起止反了","OK")))))))</f>
        <v/>
      </c>
      <c r="U993" s="29" t="str">
        <f aca="false">IF($L993="","",YEAR($L993))</f>
        <v/>
      </c>
      <c r="V993" s="40" t="str">
        <f aca="false">IF($C993="","",ROUND(SUMIF(收款关联,$B993,收款金额),2))</f>
        <v/>
      </c>
      <c r="W993" s="40" t="str">
        <f aca="false">IF($C993="","",MAX(0,ROUND(N($K993)-N($V993),2)))</f>
        <v/>
      </c>
      <c r="X993" s="40" t="str">
        <f aca="false">IF($C993="","",ROUND(SUMIFS(应收净额,应收键,$D993,应收行号,"&lt;="&amp;ROW()),2))</f>
        <v/>
      </c>
      <c r="Y993" s="29" t="str">
        <f aca="false">IF($C993="","",ROW())</f>
        <v/>
      </c>
    </row>
    <row r="994" customFormat="false" ht="15" hidden="false" customHeight="false" outlineLevel="0" collapsed="false">
      <c r="A994" s="29" t="str">
        <f aca="false">IF($C994="","",ROW()-4)</f>
        <v/>
      </c>
      <c r="B994" s="35" t="str">
        <f aca="false">IF($C994="","","YS"&amp;TEXT($C994,"yyyymm")&amp;"-"&amp;TEXT(ROW()-4,"0000"))</f>
        <v/>
      </c>
      <c r="C994" s="33"/>
      <c r="D994" s="24"/>
      <c r="E994" s="30" t="str">
        <f aca="false">IF($D994="","",IFERROR(INDEX(合同单位,MATCH($D994,合同键,0)),IFERROR(TRIM(LEFT($D994,FIND("｜",$D994)-1)),$D994)))</f>
        <v/>
      </c>
      <c r="F994" s="30" t="str">
        <f aca="false">IF($D994="","",IFERROR(INDEX(合同项目,MATCH($D994,合同键,0)),IFERROR(TRIM(MID($D994,FIND("｜",$D994)+1,99)),"")))</f>
        <v/>
      </c>
      <c r="G994" s="24"/>
      <c r="H994" s="35" t="str">
        <f aca="false">IF($G994="","",IFERROR(INDEX(费用款别,MATCH($G994,费用类别表,0)),"合同外款"))</f>
        <v/>
      </c>
      <c r="I994" s="33"/>
      <c r="J994" s="33"/>
      <c r="K994" s="39"/>
      <c r="L994" s="33"/>
      <c r="M994" s="25"/>
      <c r="N994" s="39"/>
      <c r="O994" s="35" t="str">
        <f aca="false">IF($C994="","",IF(N($N994)&lt;=0,"未开票",IF(ROUND(N($N994)-N($K994),2)&gt;=0,"已开票",IFERROR("部分开票 "&amp;TEXT(N($N994)/N($K994),"0%"),"部分开票"))))</f>
        <v/>
      </c>
      <c r="P994" s="40" t="str">
        <f aca="false">IF($C994="","",ROUND($V994+MIN($W994,MAX(0,(SUMIF(收款键,$D994,收款金额)-SUMIFS(收款金额,收款键,$D994,收款关联,"&lt;&gt;"))-($X994-$W994))),2))</f>
        <v/>
      </c>
      <c r="Q994" s="41" t="str">
        <f aca="false">IF($C994="","",ROUND(N($K994)-N($P994),2))</f>
        <v/>
      </c>
      <c r="R994" s="29" t="str">
        <f aca="false">IF($C994="","",YEAR($C994))</f>
        <v/>
      </c>
      <c r="S994" s="24"/>
      <c r="T994" s="35" t="str">
        <f aca="false">IF($C994="","",IF($D994="","★没选客户项目",IF(COUNTIF(合同键,$D994)=0,"★《维保合同》里没这个项目",IF(N($K994)&lt;=0,"★应收金额要填",IF(ROUND(N($N994)-N($K994),2)&gt;0.001,"★开票金额大于应收",IF(AND($L994&lt;&gt;"",N($N994)&lt;=0),"★填了开票日期没填开票金额",IF(AND($I994&lt;&gt;"",$J994&lt;&gt;"",$J994&lt;$I994),"★计费期间起止反了","OK")))))))</f>
        <v/>
      </c>
      <c r="U994" s="29" t="str">
        <f aca="false">IF($L994="","",YEAR($L994))</f>
        <v/>
      </c>
      <c r="V994" s="40" t="str">
        <f aca="false">IF($C994="","",ROUND(SUMIF(收款关联,$B994,收款金额),2))</f>
        <v/>
      </c>
      <c r="W994" s="40" t="str">
        <f aca="false">IF($C994="","",MAX(0,ROUND(N($K994)-N($V994),2)))</f>
        <v/>
      </c>
      <c r="X994" s="40" t="str">
        <f aca="false">IF($C994="","",ROUND(SUMIFS(应收净额,应收键,$D994,应收行号,"&lt;="&amp;ROW()),2))</f>
        <v/>
      </c>
      <c r="Y994" s="29" t="str">
        <f aca="false">IF($C994="","",ROW())</f>
        <v/>
      </c>
    </row>
    <row r="995" customFormat="false" ht="15" hidden="false" customHeight="false" outlineLevel="0" collapsed="false">
      <c r="A995" s="29" t="str">
        <f aca="false">IF($C995="","",ROW()-4)</f>
        <v/>
      </c>
      <c r="B995" s="35" t="str">
        <f aca="false">IF($C995="","","YS"&amp;TEXT($C995,"yyyymm")&amp;"-"&amp;TEXT(ROW()-4,"0000"))</f>
        <v/>
      </c>
      <c r="C995" s="33"/>
      <c r="D995" s="24"/>
      <c r="E995" s="30" t="str">
        <f aca="false">IF($D995="","",IFERROR(INDEX(合同单位,MATCH($D995,合同键,0)),IFERROR(TRIM(LEFT($D995,FIND("｜",$D995)-1)),$D995)))</f>
        <v/>
      </c>
      <c r="F995" s="30" t="str">
        <f aca="false">IF($D995="","",IFERROR(INDEX(合同项目,MATCH($D995,合同键,0)),IFERROR(TRIM(MID($D995,FIND("｜",$D995)+1,99)),"")))</f>
        <v/>
      </c>
      <c r="G995" s="24"/>
      <c r="H995" s="35" t="str">
        <f aca="false">IF($G995="","",IFERROR(INDEX(费用款别,MATCH($G995,费用类别表,0)),"合同外款"))</f>
        <v/>
      </c>
      <c r="I995" s="33"/>
      <c r="J995" s="33"/>
      <c r="K995" s="39"/>
      <c r="L995" s="33"/>
      <c r="M995" s="25"/>
      <c r="N995" s="39"/>
      <c r="O995" s="35" t="str">
        <f aca="false">IF($C995="","",IF(N($N995)&lt;=0,"未开票",IF(ROUND(N($N995)-N($K995),2)&gt;=0,"已开票",IFERROR("部分开票 "&amp;TEXT(N($N995)/N($K995),"0%"),"部分开票"))))</f>
        <v/>
      </c>
      <c r="P995" s="40" t="str">
        <f aca="false">IF($C995="","",ROUND($V995+MIN($W995,MAX(0,(SUMIF(收款键,$D995,收款金额)-SUMIFS(收款金额,收款键,$D995,收款关联,"&lt;&gt;"))-($X995-$W995))),2))</f>
        <v/>
      </c>
      <c r="Q995" s="41" t="str">
        <f aca="false">IF($C995="","",ROUND(N($K995)-N($P995),2))</f>
        <v/>
      </c>
      <c r="R995" s="29" t="str">
        <f aca="false">IF($C995="","",YEAR($C995))</f>
        <v/>
      </c>
      <c r="S995" s="24"/>
      <c r="T995" s="35" t="str">
        <f aca="false">IF($C995="","",IF($D995="","★没选客户项目",IF(COUNTIF(合同键,$D995)=0,"★《维保合同》里没这个项目",IF(N($K995)&lt;=0,"★应收金额要填",IF(ROUND(N($N995)-N($K995),2)&gt;0.001,"★开票金额大于应收",IF(AND($L995&lt;&gt;"",N($N995)&lt;=0),"★填了开票日期没填开票金额",IF(AND($I995&lt;&gt;"",$J995&lt;&gt;"",$J995&lt;$I995),"★计费期间起止反了","OK")))))))</f>
        <v/>
      </c>
      <c r="U995" s="29" t="str">
        <f aca="false">IF($L995="","",YEAR($L995))</f>
        <v/>
      </c>
      <c r="V995" s="40" t="str">
        <f aca="false">IF($C995="","",ROUND(SUMIF(收款关联,$B995,收款金额),2))</f>
        <v/>
      </c>
      <c r="W995" s="40" t="str">
        <f aca="false">IF($C995="","",MAX(0,ROUND(N($K995)-N($V995),2)))</f>
        <v/>
      </c>
      <c r="X995" s="40" t="str">
        <f aca="false">IF($C995="","",ROUND(SUMIFS(应收净额,应收键,$D995,应收行号,"&lt;="&amp;ROW()),2))</f>
        <v/>
      </c>
      <c r="Y995" s="29" t="str">
        <f aca="false">IF($C995="","",ROW())</f>
        <v/>
      </c>
    </row>
    <row r="996" customFormat="false" ht="15" hidden="false" customHeight="false" outlineLevel="0" collapsed="false">
      <c r="A996" s="29" t="str">
        <f aca="false">IF($C996="","",ROW()-4)</f>
        <v/>
      </c>
      <c r="B996" s="35" t="str">
        <f aca="false">IF($C996="","","YS"&amp;TEXT($C996,"yyyymm")&amp;"-"&amp;TEXT(ROW()-4,"0000"))</f>
        <v/>
      </c>
      <c r="C996" s="33"/>
      <c r="D996" s="24"/>
      <c r="E996" s="30" t="str">
        <f aca="false">IF($D996="","",IFERROR(INDEX(合同单位,MATCH($D996,合同键,0)),IFERROR(TRIM(LEFT($D996,FIND("｜",$D996)-1)),$D996)))</f>
        <v/>
      </c>
      <c r="F996" s="30" t="str">
        <f aca="false">IF($D996="","",IFERROR(INDEX(合同项目,MATCH($D996,合同键,0)),IFERROR(TRIM(MID($D996,FIND("｜",$D996)+1,99)),"")))</f>
        <v/>
      </c>
      <c r="G996" s="24"/>
      <c r="H996" s="35" t="str">
        <f aca="false">IF($G996="","",IFERROR(INDEX(费用款别,MATCH($G996,费用类别表,0)),"合同外款"))</f>
        <v/>
      </c>
      <c r="I996" s="33"/>
      <c r="J996" s="33"/>
      <c r="K996" s="39"/>
      <c r="L996" s="33"/>
      <c r="M996" s="25"/>
      <c r="N996" s="39"/>
      <c r="O996" s="35" t="str">
        <f aca="false">IF($C996="","",IF(N($N996)&lt;=0,"未开票",IF(ROUND(N($N996)-N($K996),2)&gt;=0,"已开票",IFERROR("部分开票 "&amp;TEXT(N($N996)/N($K996),"0%"),"部分开票"))))</f>
        <v/>
      </c>
      <c r="P996" s="40" t="str">
        <f aca="false">IF($C996="","",ROUND($V996+MIN($W996,MAX(0,(SUMIF(收款键,$D996,收款金额)-SUMIFS(收款金额,收款键,$D996,收款关联,"&lt;&gt;"))-($X996-$W996))),2))</f>
        <v/>
      </c>
      <c r="Q996" s="41" t="str">
        <f aca="false">IF($C996="","",ROUND(N($K996)-N($P996),2))</f>
        <v/>
      </c>
      <c r="R996" s="29" t="str">
        <f aca="false">IF($C996="","",YEAR($C996))</f>
        <v/>
      </c>
      <c r="S996" s="24"/>
      <c r="T996" s="35" t="str">
        <f aca="false">IF($C996="","",IF($D996="","★没选客户项目",IF(COUNTIF(合同键,$D996)=0,"★《维保合同》里没这个项目",IF(N($K996)&lt;=0,"★应收金额要填",IF(ROUND(N($N996)-N($K996),2)&gt;0.001,"★开票金额大于应收",IF(AND($L996&lt;&gt;"",N($N996)&lt;=0),"★填了开票日期没填开票金额",IF(AND($I996&lt;&gt;"",$J996&lt;&gt;"",$J996&lt;$I996),"★计费期间起止反了","OK")))))))</f>
        <v/>
      </c>
      <c r="U996" s="29" t="str">
        <f aca="false">IF($L996="","",YEAR($L996))</f>
        <v/>
      </c>
      <c r="V996" s="40" t="str">
        <f aca="false">IF($C996="","",ROUND(SUMIF(收款关联,$B996,收款金额),2))</f>
        <v/>
      </c>
      <c r="W996" s="40" t="str">
        <f aca="false">IF($C996="","",MAX(0,ROUND(N($K996)-N($V996),2)))</f>
        <v/>
      </c>
      <c r="X996" s="40" t="str">
        <f aca="false">IF($C996="","",ROUND(SUMIFS(应收净额,应收键,$D996,应收行号,"&lt;="&amp;ROW()),2))</f>
        <v/>
      </c>
      <c r="Y996" s="29" t="str">
        <f aca="false">IF($C996="","",ROW())</f>
        <v/>
      </c>
    </row>
    <row r="997" customFormat="false" ht="15" hidden="false" customHeight="false" outlineLevel="0" collapsed="false">
      <c r="A997" s="29" t="str">
        <f aca="false">IF($C997="","",ROW()-4)</f>
        <v/>
      </c>
      <c r="B997" s="35" t="str">
        <f aca="false">IF($C997="","","YS"&amp;TEXT($C997,"yyyymm")&amp;"-"&amp;TEXT(ROW()-4,"0000"))</f>
        <v/>
      </c>
      <c r="C997" s="33"/>
      <c r="D997" s="24"/>
      <c r="E997" s="30" t="str">
        <f aca="false">IF($D997="","",IFERROR(INDEX(合同单位,MATCH($D997,合同键,0)),IFERROR(TRIM(LEFT($D997,FIND("｜",$D997)-1)),$D997)))</f>
        <v/>
      </c>
      <c r="F997" s="30" t="str">
        <f aca="false">IF($D997="","",IFERROR(INDEX(合同项目,MATCH($D997,合同键,0)),IFERROR(TRIM(MID($D997,FIND("｜",$D997)+1,99)),"")))</f>
        <v/>
      </c>
      <c r="G997" s="24"/>
      <c r="H997" s="35" t="str">
        <f aca="false">IF($G997="","",IFERROR(INDEX(费用款别,MATCH($G997,费用类别表,0)),"合同外款"))</f>
        <v/>
      </c>
      <c r="I997" s="33"/>
      <c r="J997" s="33"/>
      <c r="K997" s="39"/>
      <c r="L997" s="33"/>
      <c r="M997" s="25"/>
      <c r="N997" s="39"/>
      <c r="O997" s="35" t="str">
        <f aca="false">IF($C997="","",IF(N($N997)&lt;=0,"未开票",IF(ROUND(N($N997)-N($K997),2)&gt;=0,"已开票",IFERROR("部分开票 "&amp;TEXT(N($N997)/N($K997),"0%"),"部分开票"))))</f>
        <v/>
      </c>
      <c r="P997" s="40" t="str">
        <f aca="false">IF($C997="","",ROUND($V997+MIN($W997,MAX(0,(SUMIF(收款键,$D997,收款金额)-SUMIFS(收款金额,收款键,$D997,收款关联,"&lt;&gt;"))-($X997-$W997))),2))</f>
        <v/>
      </c>
      <c r="Q997" s="41" t="str">
        <f aca="false">IF($C997="","",ROUND(N($K997)-N($P997),2))</f>
        <v/>
      </c>
      <c r="R997" s="29" t="str">
        <f aca="false">IF($C997="","",YEAR($C997))</f>
        <v/>
      </c>
      <c r="S997" s="24"/>
      <c r="T997" s="35" t="str">
        <f aca="false">IF($C997="","",IF($D997="","★没选客户项目",IF(COUNTIF(合同键,$D997)=0,"★《维保合同》里没这个项目",IF(N($K997)&lt;=0,"★应收金额要填",IF(ROUND(N($N997)-N($K997),2)&gt;0.001,"★开票金额大于应收",IF(AND($L997&lt;&gt;"",N($N997)&lt;=0),"★填了开票日期没填开票金额",IF(AND($I997&lt;&gt;"",$J997&lt;&gt;"",$J997&lt;$I997),"★计费期间起止反了","OK")))))))</f>
        <v/>
      </c>
      <c r="U997" s="29" t="str">
        <f aca="false">IF($L997="","",YEAR($L997))</f>
        <v/>
      </c>
      <c r="V997" s="40" t="str">
        <f aca="false">IF($C997="","",ROUND(SUMIF(收款关联,$B997,收款金额),2))</f>
        <v/>
      </c>
      <c r="W997" s="40" t="str">
        <f aca="false">IF($C997="","",MAX(0,ROUND(N($K997)-N($V997),2)))</f>
        <v/>
      </c>
      <c r="X997" s="40" t="str">
        <f aca="false">IF($C997="","",ROUND(SUMIFS(应收净额,应收键,$D997,应收行号,"&lt;="&amp;ROW()),2))</f>
        <v/>
      </c>
      <c r="Y997" s="29" t="str">
        <f aca="false">IF($C997="","",ROW())</f>
        <v/>
      </c>
    </row>
    <row r="998" customFormat="false" ht="15" hidden="false" customHeight="false" outlineLevel="0" collapsed="false">
      <c r="A998" s="29" t="str">
        <f aca="false">IF($C998="","",ROW()-4)</f>
        <v/>
      </c>
      <c r="B998" s="35" t="str">
        <f aca="false">IF($C998="","","YS"&amp;TEXT($C998,"yyyymm")&amp;"-"&amp;TEXT(ROW()-4,"0000"))</f>
        <v/>
      </c>
      <c r="C998" s="33"/>
      <c r="D998" s="24"/>
      <c r="E998" s="30" t="str">
        <f aca="false">IF($D998="","",IFERROR(INDEX(合同单位,MATCH($D998,合同键,0)),IFERROR(TRIM(LEFT($D998,FIND("｜",$D998)-1)),$D998)))</f>
        <v/>
      </c>
      <c r="F998" s="30" t="str">
        <f aca="false">IF($D998="","",IFERROR(INDEX(合同项目,MATCH($D998,合同键,0)),IFERROR(TRIM(MID($D998,FIND("｜",$D998)+1,99)),"")))</f>
        <v/>
      </c>
      <c r="G998" s="24"/>
      <c r="H998" s="35" t="str">
        <f aca="false">IF($G998="","",IFERROR(INDEX(费用款别,MATCH($G998,费用类别表,0)),"合同外款"))</f>
        <v/>
      </c>
      <c r="I998" s="33"/>
      <c r="J998" s="33"/>
      <c r="K998" s="39"/>
      <c r="L998" s="33"/>
      <c r="M998" s="25"/>
      <c r="N998" s="39"/>
      <c r="O998" s="35" t="str">
        <f aca="false">IF($C998="","",IF(N($N998)&lt;=0,"未开票",IF(ROUND(N($N998)-N($K998),2)&gt;=0,"已开票",IFERROR("部分开票 "&amp;TEXT(N($N998)/N($K998),"0%"),"部分开票"))))</f>
        <v/>
      </c>
      <c r="P998" s="40" t="str">
        <f aca="false">IF($C998="","",ROUND($V998+MIN($W998,MAX(0,(SUMIF(收款键,$D998,收款金额)-SUMIFS(收款金额,收款键,$D998,收款关联,"&lt;&gt;"))-($X998-$W998))),2))</f>
        <v/>
      </c>
      <c r="Q998" s="41" t="str">
        <f aca="false">IF($C998="","",ROUND(N($K998)-N($P998),2))</f>
        <v/>
      </c>
      <c r="R998" s="29" t="str">
        <f aca="false">IF($C998="","",YEAR($C998))</f>
        <v/>
      </c>
      <c r="S998" s="24"/>
      <c r="T998" s="35" t="str">
        <f aca="false">IF($C998="","",IF($D998="","★没选客户项目",IF(COUNTIF(合同键,$D998)=0,"★《维保合同》里没这个项目",IF(N($K998)&lt;=0,"★应收金额要填",IF(ROUND(N($N998)-N($K998),2)&gt;0.001,"★开票金额大于应收",IF(AND($L998&lt;&gt;"",N($N998)&lt;=0),"★填了开票日期没填开票金额",IF(AND($I998&lt;&gt;"",$J998&lt;&gt;"",$J998&lt;$I998),"★计费期间起止反了","OK")))))))</f>
        <v/>
      </c>
      <c r="U998" s="29" t="str">
        <f aca="false">IF($L998="","",YEAR($L998))</f>
        <v/>
      </c>
      <c r="V998" s="40" t="str">
        <f aca="false">IF($C998="","",ROUND(SUMIF(收款关联,$B998,收款金额),2))</f>
        <v/>
      </c>
      <c r="W998" s="40" t="str">
        <f aca="false">IF($C998="","",MAX(0,ROUND(N($K998)-N($V998),2)))</f>
        <v/>
      </c>
      <c r="X998" s="40" t="str">
        <f aca="false">IF($C998="","",ROUND(SUMIFS(应收净额,应收键,$D998,应收行号,"&lt;="&amp;ROW()),2))</f>
        <v/>
      </c>
      <c r="Y998" s="29" t="str">
        <f aca="false">IF($C998="","",ROW())</f>
        <v/>
      </c>
    </row>
    <row r="999" customFormat="false" ht="15" hidden="false" customHeight="false" outlineLevel="0" collapsed="false">
      <c r="A999" s="29" t="str">
        <f aca="false">IF($C999="","",ROW()-4)</f>
        <v/>
      </c>
      <c r="B999" s="35" t="str">
        <f aca="false">IF($C999="","","YS"&amp;TEXT($C999,"yyyymm")&amp;"-"&amp;TEXT(ROW()-4,"0000"))</f>
        <v/>
      </c>
      <c r="C999" s="33"/>
      <c r="D999" s="24"/>
      <c r="E999" s="30" t="str">
        <f aca="false">IF($D999="","",IFERROR(INDEX(合同单位,MATCH($D999,合同键,0)),IFERROR(TRIM(LEFT($D999,FIND("｜",$D999)-1)),$D999)))</f>
        <v/>
      </c>
      <c r="F999" s="30" t="str">
        <f aca="false">IF($D999="","",IFERROR(INDEX(合同项目,MATCH($D999,合同键,0)),IFERROR(TRIM(MID($D999,FIND("｜",$D999)+1,99)),"")))</f>
        <v/>
      </c>
      <c r="G999" s="24"/>
      <c r="H999" s="35" t="str">
        <f aca="false">IF($G999="","",IFERROR(INDEX(费用款别,MATCH($G999,费用类别表,0)),"合同外款"))</f>
        <v/>
      </c>
      <c r="I999" s="33"/>
      <c r="J999" s="33"/>
      <c r="K999" s="39"/>
      <c r="L999" s="33"/>
      <c r="M999" s="25"/>
      <c r="N999" s="39"/>
      <c r="O999" s="35" t="str">
        <f aca="false">IF($C999="","",IF(N($N999)&lt;=0,"未开票",IF(ROUND(N($N999)-N($K999),2)&gt;=0,"已开票",IFERROR("部分开票 "&amp;TEXT(N($N999)/N($K999),"0%"),"部分开票"))))</f>
        <v/>
      </c>
      <c r="P999" s="40" t="str">
        <f aca="false">IF($C999="","",ROUND($V999+MIN($W999,MAX(0,(SUMIF(收款键,$D999,收款金额)-SUMIFS(收款金额,收款键,$D999,收款关联,"&lt;&gt;"))-($X999-$W999))),2))</f>
        <v/>
      </c>
      <c r="Q999" s="41" t="str">
        <f aca="false">IF($C999="","",ROUND(N($K999)-N($P999),2))</f>
        <v/>
      </c>
      <c r="R999" s="29" t="str">
        <f aca="false">IF($C999="","",YEAR($C999))</f>
        <v/>
      </c>
      <c r="S999" s="24"/>
      <c r="T999" s="35" t="str">
        <f aca="false">IF($C999="","",IF($D999="","★没选客户项目",IF(COUNTIF(合同键,$D999)=0,"★《维保合同》里没这个项目",IF(N($K999)&lt;=0,"★应收金额要填",IF(ROUND(N($N999)-N($K999),2)&gt;0.001,"★开票金额大于应收",IF(AND($L999&lt;&gt;"",N($N999)&lt;=0),"★填了开票日期没填开票金额",IF(AND($I999&lt;&gt;"",$J999&lt;&gt;"",$J999&lt;$I999),"★计费期间起止反了","OK")))))))</f>
        <v/>
      </c>
      <c r="U999" s="29" t="str">
        <f aca="false">IF($L999="","",YEAR($L999))</f>
        <v/>
      </c>
      <c r="V999" s="40" t="str">
        <f aca="false">IF($C999="","",ROUND(SUMIF(收款关联,$B999,收款金额),2))</f>
        <v/>
      </c>
      <c r="W999" s="40" t="str">
        <f aca="false">IF($C999="","",MAX(0,ROUND(N($K999)-N($V999),2)))</f>
        <v/>
      </c>
      <c r="X999" s="40" t="str">
        <f aca="false">IF($C999="","",ROUND(SUMIFS(应收净额,应收键,$D999,应收行号,"&lt;="&amp;ROW()),2))</f>
        <v/>
      </c>
      <c r="Y999" s="29" t="str">
        <f aca="false">IF($C999="","",ROW())</f>
        <v/>
      </c>
    </row>
    <row r="1000" customFormat="false" ht="15" hidden="false" customHeight="false" outlineLevel="0" collapsed="false">
      <c r="A1000" s="29" t="str">
        <f aca="false">IF($C1000="","",ROW()-4)</f>
        <v/>
      </c>
      <c r="B1000" s="35" t="str">
        <f aca="false">IF($C1000="","","YS"&amp;TEXT($C1000,"yyyymm")&amp;"-"&amp;TEXT(ROW()-4,"0000"))</f>
        <v/>
      </c>
      <c r="C1000" s="33"/>
      <c r="D1000" s="24"/>
      <c r="E1000" s="30" t="str">
        <f aca="false">IF($D1000="","",IFERROR(INDEX(合同单位,MATCH($D1000,合同键,0)),IFERROR(TRIM(LEFT($D1000,FIND("｜",$D1000)-1)),$D1000)))</f>
        <v/>
      </c>
      <c r="F1000" s="30" t="str">
        <f aca="false">IF($D1000="","",IFERROR(INDEX(合同项目,MATCH($D1000,合同键,0)),IFERROR(TRIM(MID($D1000,FIND("｜",$D1000)+1,99)),"")))</f>
        <v/>
      </c>
      <c r="G1000" s="24"/>
      <c r="H1000" s="35" t="str">
        <f aca="false">IF($G1000="","",IFERROR(INDEX(费用款别,MATCH($G1000,费用类别表,0)),"合同外款"))</f>
        <v/>
      </c>
      <c r="I1000" s="33"/>
      <c r="J1000" s="33"/>
      <c r="K1000" s="39"/>
      <c r="L1000" s="33"/>
      <c r="M1000" s="25"/>
      <c r="N1000" s="39"/>
      <c r="O1000" s="35" t="str">
        <f aca="false">IF($C1000="","",IF(N($N1000)&lt;=0,"未开票",IF(ROUND(N($N1000)-N($K1000),2)&gt;=0,"已开票",IFERROR("部分开票 "&amp;TEXT(N($N1000)/N($K1000),"0%"),"部分开票"))))</f>
        <v/>
      </c>
      <c r="P1000" s="40" t="str">
        <f aca="false">IF($C1000="","",ROUND($V1000+MIN($W1000,MAX(0,(SUMIF(收款键,$D1000,收款金额)-SUMIFS(收款金额,收款键,$D1000,收款关联,"&lt;&gt;"))-($X1000-$W1000))),2))</f>
        <v/>
      </c>
      <c r="Q1000" s="41" t="str">
        <f aca="false">IF($C1000="","",ROUND(N($K1000)-N($P1000),2))</f>
        <v/>
      </c>
      <c r="R1000" s="29" t="str">
        <f aca="false">IF($C1000="","",YEAR($C1000))</f>
        <v/>
      </c>
      <c r="S1000" s="24"/>
      <c r="T1000" s="35" t="str">
        <f aca="false">IF($C1000="","",IF($D1000="","★没选客户项目",IF(COUNTIF(合同键,$D1000)=0,"★《维保合同》里没这个项目",IF(N($K1000)&lt;=0,"★应收金额要填",IF(ROUND(N($N1000)-N($K1000),2)&gt;0.001,"★开票金额大于应收",IF(AND($L1000&lt;&gt;"",N($N1000)&lt;=0),"★填了开票日期没填开票金额",IF(AND($I1000&lt;&gt;"",$J1000&lt;&gt;"",$J1000&lt;$I1000),"★计费期间起止反了","OK")))))))</f>
        <v/>
      </c>
      <c r="U1000" s="29" t="str">
        <f aca="false">IF($L1000="","",YEAR($L1000))</f>
        <v/>
      </c>
      <c r="V1000" s="40" t="str">
        <f aca="false">IF($C1000="","",ROUND(SUMIF(收款关联,$B1000,收款金额),2))</f>
        <v/>
      </c>
      <c r="W1000" s="40" t="str">
        <f aca="false">IF($C1000="","",MAX(0,ROUND(N($K1000)-N($V1000),2)))</f>
        <v/>
      </c>
      <c r="X1000" s="40" t="str">
        <f aca="false">IF($C1000="","",ROUND(SUMIFS(应收净额,应收键,$D1000,应收行号,"&lt;="&amp;ROW()),2))</f>
        <v/>
      </c>
      <c r="Y1000" s="29" t="str">
        <f aca="false">IF($C1000="","",ROW())</f>
        <v/>
      </c>
    </row>
    <row r="1001" customFormat="false" ht="15" hidden="false" customHeight="false" outlineLevel="0" collapsed="false">
      <c r="A1001" s="29" t="str">
        <f aca="false">IF($C1001="","",ROW()-4)</f>
        <v/>
      </c>
      <c r="B1001" s="35" t="str">
        <f aca="false">IF($C1001="","","YS"&amp;TEXT($C1001,"yyyymm")&amp;"-"&amp;TEXT(ROW()-4,"0000"))</f>
        <v/>
      </c>
      <c r="C1001" s="33"/>
      <c r="D1001" s="24"/>
      <c r="E1001" s="30" t="str">
        <f aca="false">IF($D1001="","",IFERROR(INDEX(合同单位,MATCH($D1001,合同键,0)),IFERROR(TRIM(LEFT($D1001,FIND("｜",$D1001)-1)),$D1001)))</f>
        <v/>
      </c>
      <c r="F1001" s="30" t="str">
        <f aca="false">IF($D1001="","",IFERROR(INDEX(合同项目,MATCH($D1001,合同键,0)),IFERROR(TRIM(MID($D1001,FIND("｜",$D1001)+1,99)),"")))</f>
        <v/>
      </c>
      <c r="G1001" s="24"/>
      <c r="H1001" s="35" t="str">
        <f aca="false">IF($G1001="","",IFERROR(INDEX(费用款别,MATCH($G1001,费用类别表,0)),"合同外款"))</f>
        <v/>
      </c>
      <c r="I1001" s="33"/>
      <c r="J1001" s="33"/>
      <c r="K1001" s="39"/>
      <c r="L1001" s="33"/>
      <c r="M1001" s="25"/>
      <c r="N1001" s="39"/>
      <c r="O1001" s="35" t="str">
        <f aca="false">IF($C1001="","",IF(N($N1001)&lt;=0,"未开票",IF(ROUND(N($N1001)-N($K1001),2)&gt;=0,"已开票",IFERROR("部分开票 "&amp;TEXT(N($N1001)/N($K1001),"0%"),"部分开票"))))</f>
        <v/>
      </c>
      <c r="P1001" s="40" t="str">
        <f aca="false">IF($C1001="","",ROUND($V1001+MIN($W1001,MAX(0,(SUMIF(收款键,$D1001,收款金额)-SUMIFS(收款金额,收款键,$D1001,收款关联,"&lt;&gt;"))-($X1001-$W1001))),2))</f>
        <v/>
      </c>
      <c r="Q1001" s="41" t="str">
        <f aca="false">IF($C1001="","",ROUND(N($K1001)-N($P1001),2))</f>
        <v/>
      </c>
      <c r="R1001" s="29" t="str">
        <f aca="false">IF($C1001="","",YEAR($C1001))</f>
        <v/>
      </c>
      <c r="S1001" s="24"/>
      <c r="T1001" s="35" t="str">
        <f aca="false">IF($C1001="","",IF($D1001="","★没选客户项目",IF(COUNTIF(合同键,$D1001)=0,"★《维保合同》里没这个项目",IF(N($K1001)&lt;=0,"★应收金额要填",IF(ROUND(N($N1001)-N($K1001),2)&gt;0.001,"★开票金额大于应收",IF(AND($L1001&lt;&gt;"",N($N1001)&lt;=0),"★填了开票日期没填开票金额",IF(AND($I1001&lt;&gt;"",$J1001&lt;&gt;"",$J1001&lt;$I1001),"★计费期间起止反了","OK")))))))</f>
        <v/>
      </c>
      <c r="U1001" s="29" t="str">
        <f aca="false">IF($L1001="","",YEAR($L1001))</f>
        <v/>
      </c>
      <c r="V1001" s="40" t="str">
        <f aca="false">IF($C1001="","",ROUND(SUMIF(收款关联,$B1001,收款金额),2))</f>
        <v/>
      </c>
      <c r="W1001" s="40" t="str">
        <f aca="false">IF($C1001="","",MAX(0,ROUND(N($K1001)-N($V1001),2)))</f>
        <v/>
      </c>
      <c r="X1001" s="40" t="str">
        <f aca="false">IF($C1001="","",ROUND(SUMIFS(应收净额,应收键,$D1001,应收行号,"&lt;="&amp;ROW()),2))</f>
        <v/>
      </c>
      <c r="Y1001" s="29" t="str">
        <f aca="false">IF($C1001="","",ROW())</f>
        <v/>
      </c>
    </row>
    <row r="1002" customFormat="false" ht="15" hidden="false" customHeight="false" outlineLevel="0" collapsed="false">
      <c r="A1002" s="29" t="str">
        <f aca="false">IF($C1002="","",ROW()-4)</f>
        <v/>
      </c>
      <c r="B1002" s="35" t="str">
        <f aca="false">IF($C1002="","","YS"&amp;TEXT($C1002,"yyyymm")&amp;"-"&amp;TEXT(ROW()-4,"0000"))</f>
        <v/>
      </c>
      <c r="C1002" s="33"/>
      <c r="D1002" s="24"/>
      <c r="E1002" s="30" t="str">
        <f aca="false">IF($D1002="","",IFERROR(INDEX(合同单位,MATCH($D1002,合同键,0)),IFERROR(TRIM(LEFT($D1002,FIND("｜",$D1002)-1)),$D1002)))</f>
        <v/>
      </c>
      <c r="F1002" s="30" t="str">
        <f aca="false">IF($D1002="","",IFERROR(INDEX(合同项目,MATCH($D1002,合同键,0)),IFERROR(TRIM(MID($D1002,FIND("｜",$D1002)+1,99)),"")))</f>
        <v/>
      </c>
      <c r="G1002" s="24"/>
      <c r="H1002" s="35" t="str">
        <f aca="false">IF($G1002="","",IFERROR(INDEX(费用款别,MATCH($G1002,费用类别表,0)),"合同外款"))</f>
        <v/>
      </c>
      <c r="I1002" s="33"/>
      <c r="J1002" s="33"/>
      <c r="K1002" s="39"/>
      <c r="L1002" s="33"/>
      <c r="M1002" s="25"/>
      <c r="N1002" s="39"/>
      <c r="O1002" s="35" t="str">
        <f aca="false">IF($C1002="","",IF(N($N1002)&lt;=0,"未开票",IF(ROUND(N($N1002)-N($K1002),2)&gt;=0,"已开票",IFERROR("部分开票 "&amp;TEXT(N($N1002)/N($K1002),"0%"),"部分开票"))))</f>
        <v/>
      </c>
      <c r="P1002" s="40" t="str">
        <f aca="false">IF($C1002="","",ROUND($V1002+MIN($W1002,MAX(0,(SUMIF(收款键,$D1002,收款金额)-SUMIFS(收款金额,收款键,$D1002,收款关联,"&lt;&gt;"))-($X1002-$W1002))),2))</f>
        <v/>
      </c>
      <c r="Q1002" s="41" t="str">
        <f aca="false">IF($C1002="","",ROUND(N($K1002)-N($P1002),2))</f>
        <v/>
      </c>
      <c r="R1002" s="29" t="str">
        <f aca="false">IF($C1002="","",YEAR($C1002))</f>
        <v/>
      </c>
      <c r="S1002" s="24"/>
      <c r="T1002" s="35" t="str">
        <f aca="false">IF($C1002="","",IF($D1002="","★没选客户项目",IF(COUNTIF(合同键,$D1002)=0,"★《维保合同》里没这个项目",IF(N($K1002)&lt;=0,"★应收金额要填",IF(ROUND(N($N1002)-N($K1002),2)&gt;0.001,"★开票金额大于应收",IF(AND($L1002&lt;&gt;"",N($N1002)&lt;=0),"★填了开票日期没填开票金额",IF(AND($I1002&lt;&gt;"",$J1002&lt;&gt;"",$J1002&lt;$I1002),"★计费期间起止反了","OK")))))))</f>
        <v/>
      </c>
      <c r="U1002" s="29" t="str">
        <f aca="false">IF($L1002="","",YEAR($L1002))</f>
        <v/>
      </c>
      <c r="V1002" s="40" t="str">
        <f aca="false">IF($C1002="","",ROUND(SUMIF(收款关联,$B1002,收款金额),2))</f>
        <v/>
      </c>
      <c r="W1002" s="40" t="str">
        <f aca="false">IF($C1002="","",MAX(0,ROUND(N($K1002)-N($V1002),2)))</f>
        <v/>
      </c>
      <c r="X1002" s="40" t="str">
        <f aca="false">IF($C1002="","",ROUND(SUMIFS(应收净额,应收键,$D1002,应收行号,"&lt;="&amp;ROW()),2))</f>
        <v/>
      </c>
      <c r="Y1002" s="29" t="str">
        <f aca="false">IF($C1002="","",ROW())</f>
        <v/>
      </c>
    </row>
    <row r="1003" customFormat="false" ht="15" hidden="false" customHeight="false" outlineLevel="0" collapsed="false">
      <c r="A1003" s="29" t="str">
        <f aca="false">IF($C1003="","",ROW()-4)</f>
        <v/>
      </c>
      <c r="B1003" s="35" t="str">
        <f aca="false">IF($C1003="","","YS"&amp;TEXT($C1003,"yyyymm")&amp;"-"&amp;TEXT(ROW()-4,"0000"))</f>
        <v/>
      </c>
      <c r="C1003" s="33"/>
      <c r="D1003" s="24"/>
      <c r="E1003" s="30" t="str">
        <f aca="false">IF($D1003="","",IFERROR(INDEX(合同单位,MATCH($D1003,合同键,0)),IFERROR(TRIM(LEFT($D1003,FIND("｜",$D1003)-1)),$D1003)))</f>
        <v/>
      </c>
      <c r="F1003" s="30" t="str">
        <f aca="false">IF($D1003="","",IFERROR(INDEX(合同项目,MATCH($D1003,合同键,0)),IFERROR(TRIM(MID($D1003,FIND("｜",$D1003)+1,99)),"")))</f>
        <v/>
      </c>
      <c r="G1003" s="24"/>
      <c r="H1003" s="35" t="str">
        <f aca="false">IF($G1003="","",IFERROR(INDEX(费用款别,MATCH($G1003,费用类别表,0)),"合同外款"))</f>
        <v/>
      </c>
      <c r="I1003" s="33"/>
      <c r="J1003" s="33"/>
      <c r="K1003" s="39"/>
      <c r="L1003" s="33"/>
      <c r="M1003" s="25"/>
      <c r="N1003" s="39"/>
      <c r="O1003" s="35" t="str">
        <f aca="false">IF($C1003="","",IF(N($N1003)&lt;=0,"未开票",IF(ROUND(N($N1003)-N($K1003),2)&gt;=0,"已开票",IFERROR("部分开票 "&amp;TEXT(N($N1003)/N($K1003),"0%"),"部分开票"))))</f>
        <v/>
      </c>
      <c r="P1003" s="40" t="str">
        <f aca="false">IF($C1003="","",ROUND($V1003+MIN($W1003,MAX(0,(SUMIF(收款键,$D1003,收款金额)-SUMIFS(收款金额,收款键,$D1003,收款关联,"&lt;&gt;"))-($X1003-$W1003))),2))</f>
        <v/>
      </c>
      <c r="Q1003" s="41" t="str">
        <f aca="false">IF($C1003="","",ROUND(N($K1003)-N($P1003),2))</f>
        <v/>
      </c>
      <c r="R1003" s="29" t="str">
        <f aca="false">IF($C1003="","",YEAR($C1003))</f>
        <v/>
      </c>
      <c r="S1003" s="24"/>
      <c r="T1003" s="35" t="str">
        <f aca="false">IF($C1003="","",IF($D1003="","★没选客户项目",IF(COUNTIF(合同键,$D1003)=0,"★《维保合同》里没这个项目",IF(N($K1003)&lt;=0,"★应收金额要填",IF(ROUND(N($N1003)-N($K1003),2)&gt;0.001,"★开票金额大于应收",IF(AND($L1003&lt;&gt;"",N($N1003)&lt;=0),"★填了开票日期没填开票金额",IF(AND($I1003&lt;&gt;"",$J1003&lt;&gt;"",$J1003&lt;$I1003),"★计费期间起止反了","OK")))))))</f>
        <v/>
      </c>
      <c r="U1003" s="29" t="str">
        <f aca="false">IF($L1003="","",YEAR($L1003))</f>
        <v/>
      </c>
      <c r="V1003" s="40" t="str">
        <f aca="false">IF($C1003="","",ROUND(SUMIF(收款关联,$B1003,收款金额),2))</f>
        <v/>
      </c>
      <c r="W1003" s="40" t="str">
        <f aca="false">IF($C1003="","",MAX(0,ROUND(N($K1003)-N($V1003),2)))</f>
        <v/>
      </c>
      <c r="X1003" s="40" t="str">
        <f aca="false">IF($C1003="","",ROUND(SUMIFS(应收净额,应收键,$D1003,应收行号,"&lt;="&amp;ROW()),2))</f>
        <v/>
      </c>
      <c r="Y1003" s="29" t="str">
        <f aca="false">IF($C1003="","",ROW())</f>
        <v/>
      </c>
    </row>
    <row r="1004" customFormat="false" ht="15" hidden="false" customHeight="false" outlineLevel="0" collapsed="false">
      <c r="A1004" s="29" t="str">
        <f aca="false">IF($C1004="","",ROW()-4)</f>
        <v/>
      </c>
      <c r="B1004" s="35" t="str">
        <f aca="false">IF($C1004="","","YS"&amp;TEXT($C1004,"yyyymm")&amp;"-"&amp;TEXT(ROW()-4,"0000"))</f>
        <v/>
      </c>
      <c r="C1004" s="33"/>
      <c r="D1004" s="24"/>
      <c r="E1004" s="30" t="str">
        <f aca="false">IF($D1004="","",IFERROR(INDEX(合同单位,MATCH($D1004,合同键,0)),IFERROR(TRIM(LEFT($D1004,FIND("｜",$D1004)-1)),$D1004)))</f>
        <v/>
      </c>
      <c r="F1004" s="30" t="str">
        <f aca="false">IF($D1004="","",IFERROR(INDEX(合同项目,MATCH($D1004,合同键,0)),IFERROR(TRIM(MID($D1004,FIND("｜",$D1004)+1,99)),"")))</f>
        <v/>
      </c>
      <c r="G1004" s="24"/>
      <c r="H1004" s="35" t="str">
        <f aca="false">IF($G1004="","",IFERROR(INDEX(费用款别,MATCH($G1004,费用类别表,0)),"合同外款"))</f>
        <v/>
      </c>
      <c r="I1004" s="33"/>
      <c r="J1004" s="33"/>
      <c r="K1004" s="39"/>
      <c r="L1004" s="33"/>
      <c r="M1004" s="25"/>
      <c r="N1004" s="39"/>
      <c r="O1004" s="35" t="str">
        <f aca="false">IF($C1004="","",IF(N($N1004)&lt;=0,"未开票",IF(ROUND(N($N1004)-N($K1004),2)&gt;=0,"已开票",IFERROR("部分开票 "&amp;TEXT(N($N1004)/N($K1004),"0%"),"部分开票"))))</f>
        <v/>
      </c>
      <c r="P1004" s="40" t="str">
        <f aca="false">IF($C1004="","",ROUND($V1004+MIN($W1004,MAX(0,(SUMIF(收款键,$D1004,收款金额)-SUMIFS(收款金额,收款键,$D1004,收款关联,"&lt;&gt;"))-($X1004-$W1004))),2))</f>
        <v/>
      </c>
      <c r="Q1004" s="41" t="str">
        <f aca="false">IF($C1004="","",ROUND(N($K1004)-N($P1004),2))</f>
        <v/>
      </c>
      <c r="R1004" s="29" t="str">
        <f aca="false">IF($C1004="","",YEAR($C1004))</f>
        <v/>
      </c>
      <c r="S1004" s="24"/>
      <c r="T1004" s="35" t="str">
        <f aca="false">IF($C1004="","",IF($D1004="","★没选客户项目",IF(COUNTIF(合同键,$D1004)=0,"★《维保合同》里没这个项目",IF(N($K1004)&lt;=0,"★应收金额要填",IF(ROUND(N($N1004)-N($K1004),2)&gt;0.001,"★开票金额大于应收",IF(AND($L1004&lt;&gt;"",N($N1004)&lt;=0),"★填了开票日期没填开票金额",IF(AND($I1004&lt;&gt;"",$J1004&lt;&gt;"",$J1004&lt;$I1004),"★计费期间起止反了","OK")))))))</f>
        <v/>
      </c>
      <c r="U1004" s="29" t="str">
        <f aca="false">IF($L1004="","",YEAR($L1004))</f>
        <v/>
      </c>
      <c r="V1004" s="40" t="str">
        <f aca="false">IF($C1004="","",ROUND(SUMIF(收款关联,$B1004,收款金额),2))</f>
        <v/>
      </c>
      <c r="W1004" s="40" t="str">
        <f aca="false">IF($C1004="","",MAX(0,ROUND(N($K1004)-N($V1004),2)))</f>
        <v/>
      </c>
      <c r="X1004" s="40" t="str">
        <f aca="false">IF($C1004="","",ROUND(SUMIFS(应收净额,应收键,$D1004,应收行号,"&lt;="&amp;ROW()),2))</f>
        <v/>
      </c>
      <c r="Y1004" s="29" t="str">
        <f aca="false">IF($C1004="","",ROW())</f>
        <v/>
      </c>
    </row>
    <row r="1005" customFormat="false" ht="15" hidden="false" customHeight="false" outlineLevel="0" collapsed="false">
      <c r="A1005" s="29" t="str">
        <f aca="false">IF($C1005="","",ROW()-4)</f>
        <v/>
      </c>
      <c r="B1005" s="35" t="str">
        <f aca="false">IF($C1005="","","YS"&amp;TEXT($C1005,"yyyymm")&amp;"-"&amp;TEXT(ROW()-4,"0000"))</f>
        <v/>
      </c>
      <c r="C1005" s="33"/>
      <c r="D1005" s="24"/>
      <c r="E1005" s="30" t="str">
        <f aca="false">IF($D1005="","",IFERROR(INDEX(合同单位,MATCH($D1005,合同键,0)),IFERROR(TRIM(LEFT($D1005,FIND("｜",$D1005)-1)),$D1005)))</f>
        <v/>
      </c>
      <c r="F1005" s="30" t="str">
        <f aca="false">IF($D1005="","",IFERROR(INDEX(合同项目,MATCH($D1005,合同键,0)),IFERROR(TRIM(MID($D1005,FIND("｜",$D1005)+1,99)),"")))</f>
        <v/>
      </c>
      <c r="G1005" s="24"/>
      <c r="H1005" s="35" t="str">
        <f aca="false">IF($G1005="","",IFERROR(INDEX(费用款别,MATCH($G1005,费用类别表,0)),"合同外款"))</f>
        <v/>
      </c>
      <c r="I1005" s="33"/>
      <c r="J1005" s="33"/>
      <c r="K1005" s="39"/>
      <c r="L1005" s="33"/>
      <c r="M1005" s="25"/>
      <c r="N1005" s="39"/>
      <c r="O1005" s="35" t="str">
        <f aca="false">IF($C1005="","",IF(N($N1005)&lt;=0,"未开票",IF(ROUND(N($N1005)-N($K1005),2)&gt;=0,"已开票",IFERROR("部分开票 "&amp;TEXT(N($N1005)/N($K1005),"0%"),"部分开票"))))</f>
        <v/>
      </c>
      <c r="P1005" s="40" t="str">
        <f aca="false">IF($C1005="","",ROUND($V1005+MIN($W1005,MAX(0,(SUMIF(收款键,$D1005,收款金额)-SUMIFS(收款金额,收款键,$D1005,收款关联,"&lt;&gt;"))-($X1005-$W1005))),2))</f>
        <v/>
      </c>
      <c r="Q1005" s="41" t="str">
        <f aca="false">IF($C1005="","",ROUND(N($K1005)-N($P1005),2))</f>
        <v/>
      </c>
      <c r="R1005" s="29" t="str">
        <f aca="false">IF($C1005="","",YEAR($C1005))</f>
        <v/>
      </c>
      <c r="S1005" s="24"/>
      <c r="T1005" s="35" t="str">
        <f aca="false">IF($C1005="","",IF($D1005="","★没选客户项目",IF(COUNTIF(合同键,$D1005)=0,"★《维保合同》里没这个项目",IF(N($K1005)&lt;=0,"★应收金额要填",IF(ROUND(N($N1005)-N($K1005),2)&gt;0.001,"★开票金额大于应收",IF(AND($L1005&lt;&gt;"",N($N1005)&lt;=0),"★填了开票日期没填开票金额",IF(AND($I1005&lt;&gt;"",$J1005&lt;&gt;"",$J1005&lt;$I1005),"★计费期间起止反了","OK")))))))</f>
        <v/>
      </c>
      <c r="U1005" s="29" t="str">
        <f aca="false">IF($L1005="","",YEAR($L1005))</f>
        <v/>
      </c>
      <c r="V1005" s="40" t="str">
        <f aca="false">IF($C1005="","",ROUND(SUMIF(收款关联,$B1005,收款金额),2))</f>
        <v/>
      </c>
      <c r="W1005" s="40" t="str">
        <f aca="false">IF($C1005="","",MAX(0,ROUND(N($K1005)-N($V1005),2)))</f>
        <v/>
      </c>
      <c r="X1005" s="40" t="str">
        <f aca="false">IF($C1005="","",ROUND(SUMIFS(应收净额,应收键,$D1005,应收行号,"&lt;="&amp;ROW()),2))</f>
        <v/>
      </c>
      <c r="Y1005" s="29" t="str">
        <f aca="false">IF($C1005="","",ROW())</f>
        <v/>
      </c>
    </row>
    <row r="1006" customFormat="false" ht="15" hidden="false" customHeight="false" outlineLevel="0" collapsed="false">
      <c r="A1006" s="29" t="str">
        <f aca="false">IF($C1006="","",ROW()-4)</f>
        <v/>
      </c>
      <c r="B1006" s="35" t="str">
        <f aca="false">IF($C1006="","","YS"&amp;TEXT($C1006,"yyyymm")&amp;"-"&amp;TEXT(ROW()-4,"0000"))</f>
        <v/>
      </c>
      <c r="C1006" s="33"/>
      <c r="D1006" s="24"/>
      <c r="E1006" s="30" t="str">
        <f aca="false">IF($D1006="","",IFERROR(INDEX(合同单位,MATCH($D1006,合同键,0)),IFERROR(TRIM(LEFT($D1006,FIND("｜",$D1006)-1)),$D1006)))</f>
        <v/>
      </c>
      <c r="F1006" s="30" t="str">
        <f aca="false">IF($D1006="","",IFERROR(INDEX(合同项目,MATCH($D1006,合同键,0)),IFERROR(TRIM(MID($D1006,FIND("｜",$D1006)+1,99)),"")))</f>
        <v/>
      </c>
      <c r="G1006" s="24"/>
      <c r="H1006" s="35" t="str">
        <f aca="false">IF($G1006="","",IFERROR(INDEX(费用款别,MATCH($G1006,费用类别表,0)),"合同外款"))</f>
        <v/>
      </c>
      <c r="I1006" s="33"/>
      <c r="J1006" s="33"/>
      <c r="K1006" s="39"/>
      <c r="L1006" s="33"/>
      <c r="M1006" s="25"/>
      <c r="N1006" s="39"/>
      <c r="O1006" s="35" t="str">
        <f aca="false">IF($C1006="","",IF(N($N1006)&lt;=0,"未开票",IF(ROUND(N($N1006)-N($K1006),2)&gt;=0,"已开票",IFERROR("部分开票 "&amp;TEXT(N($N1006)/N($K1006),"0%"),"部分开票"))))</f>
        <v/>
      </c>
      <c r="P1006" s="40" t="str">
        <f aca="false">IF($C1006="","",ROUND($V1006+MIN($W1006,MAX(0,(SUMIF(收款键,$D1006,收款金额)-SUMIFS(收款金额,收款键,$D1006,收款关联,"&lt;&gt;"))-($X1006-$W1006))),2))</f>
        <v/>
      </c>
      <c r="Q1006" s="41" t="str">
        <f aca="false">IF($C1006="","",ROUND(N($K1006)-N($P1006),2))</f>
        <v/>
      </c>
      <c r="R1006" s="29" t="str">
        <f aca="false">IF($C1006="","",YEAR($C1006))</f>
        <v/>
      </c>
      <c r="S1006" s="24"/>
      <c r="T1006" s="35" t="str">
        <f aca="false">IF($C1006="","",IF($D1006="","★没选客户项目",IF(COUNTIF(合同键,$D1006)=0,"★《维保合同》里没这个项目",IF(N($K1006)&lt;=0,"★应收金额要填",IF(ROUND(N($N1006)-N($K1006),2)&gt;0.001,"★开票金额大于应收",IF(AND($L1006&lt;&gt;"",N($N1006)&lt;=0),"★填了开票日期没填开票金额",IF(AND($I1006&lt;&gt;"",$J1006&lt;&gt;"",$J1006&lt;$I1006),"★计费期间起止反了","OK")))))))</f>
        <v/>
      </c>
      <c r="U1006" s="29" t="str">
        <f aca="false">IF($L1006="","",YEAR($L1006))</f>
        <v/>
      </c>
      <c r="V1006" s="40" t="str">
        <f aca="false">IF($C1006="","",ROUND(SUMIF(收款关联,$B1006,收款金额),2))</f>
        <v/>
      </c>
      <c r="W1006" s="40" t="str">
        <f aca="false">IF($C1006="","",MAX(0,ROUND(N($K1006)-N($V1006),2)))</f>
        <v/>
      </c>
      <c r="X1006" s="40" t="str">
        <f aca="false">IF($C1006="","",ROUND(SUMIFS(应收净额,应收键,$D1006,应收行号,"&lt;="&amp;ROW()),2))</f>
        <v/>
      </c>
      <c r="Y1006" s="29" t="str">
        <f aca="false">IF($C1006="","",ROW())</f>
        <v/>
      </c>
    </row>
    <row r="1007" customFormat="false" ht="15" hidden="false" customHeight="false" outlineLevel="0" collapsed="false">
      <c r="A1007" s="29" t="str">
        <f aca="false">IF($C1007="","",ROW()-4)</f>
        <v/>
      </c>
      <c r="B1007" s="35" t="str">
        <f aca="false">IF($C1007="","","YS"&amp;TEXT($C1007,"yyyymm")&amp;"-"&amp;TEXT(ROW()-4,"0000"))</f>
        <v/>
      </c>
      <c r="C1007" s="33"/>
      <c r="D1007" s="24"/>
      <c r="E1007" s="30" t="str">
        <f aca="false">IF($D1007="","",IFERROR(INDEX(合同单位,MATCH($D1007,合同键,0)),IFERROR(TRIM(LEFT($D1007,FIND("｜",$D1007)-1)),$D1007)))</f>
        <v/>
      </c>
      <c r="F1007" s="30" t="str">
        <f aca="false">IF($D1007="","",IFERROR(INDEX(合同项目,MATCH($D1007,合同键,0)),IFERROR(TRIM(MID($D1007,FIND("｜",$D1007)+1,99)),"")))</f>
        <v/>
      </c>
      <c r="G1007" s="24"/>
      <c r="H1007" s="35" t="str">
        <f aca="false">IF($G1007="","",IFERROR(INDEX(费用款别,MATCH($G1007,费用类别表,0)),"合同外款"))</f>
        <v/>
      </c>
      <c r="I1007" s="33"/>
      <c r="J1007" s="33"/>
      <c r="K1007" s="39"/>
      <c r="L1007" s="33"/>
      <c r="M1007" s="25"/>
      <c r="N1007" s="39"/>
      <c r="O1007" s="35" t="str">
        <f aca="false">IF($C1007="","",IF(N($N1007)&lt;=0,"未开票",IF(ROUND(N($N1007)-N($K1007),2)&gt;=0,"已开票",IFERROR("部分开票 "&amp;TEXT(N($N1007)/N($K1007),"0%"),"部分开票"))))</f>
        <v/>
      </c>
      <c r="P1007" s="40" t="str">
        <f aca="false">IF($C1007="","",ROUND($V1007+MIN($W1007,MAX(0,(SUMIF(收款键,$D1007,收款金额)-SUMIFS(收款金额,收款键,$D1007,收款关联,"&lt;&gt;"))-($X1007-$W1007))),2))</f>
        <v/>
      </c>
      <c r="Q1007" s="41" t="str">
        <f aca="false">IF($C1007="","",ROUND(N($K1007)-N($P1007),2))</f>
        <v/>
      </c>
      <c r="R1007" s="29" t="str">
        <f aca="false">IF($C1007="","",YEAR($C1007))</f>
        <v/>
      </c>
      <c r="S1007" s="24"/>
      <c r="T1007" s="35" t="str">
        <f aca="false">IF($C1007="","",IF($D1007="","★没选客户项目",IF(COUNTIF(合同键,$D1007)=0,"★《维保合同》里没这个项目",IF(N($K1007)&lt;=0,"★应收金额要填",IF(ROUND(N($N1007)-N($K1007),2)&gt;0.001,"★开票金额大于应收",IF(AND($L1007&lt;&gt;"",N($N1007)&lt;=0),"★填了开票日期没填开票金额",IF(AND($I1007&lt;&gt;"",$J1007&lt;&gt;"",$J1007&lt;$I1007),"★计费期间起止反了","OK")))))))</f>
        <v/>
      </c>
      <c r="U1007" s="29" t="str">
        <f aca="false">IF($L1007="","",YEAR($L1007))</f>
        <v/>
      </c>
      <c r="V1007" s="40" t="str">
        <f aca="false">IF($C1007="","",ROUND(SUMIF(收款关联,$B1007,收款金额),2))</f>
        <v/>
      </c>
      <c r="W1007" s="40" t="str">
        <f aca="false">IF($C1007="","",MAX(0,ROUND(N($K1007)-N($V1007),2)))</f>
        <v/>
      </c>
      <c r="X1007" s="40" t="str">
        <f aca="false">IF($C1007="","",ROUND(SUMIFS(应收净额,应收键,$D1007,应收行号,"&lt;="&amp;ROW()),2))</f>
        <v/>
      </c>
      <c r="Y1007" s="29" t="str">
        <f aca="false">IF($C1007="","",ROW())</f>
        <v/>
      </c>
    </row>
    <row r="1008" customFormat="false" ht="15" hidden="false" customHeight="false" outlineLevel="0" collapsed="false">
      <c r="A1008" s="29" t="str">
        <f aca="false">IF($C1008="","",ROW()-4)</f>
        <v/>
      </c>
      <c r="B1008" s="35" t="str">
        <f aca="false">IF($C1008="","","YS"&amp;TEXT($C1008,"yyyymm")&amp;"-"&amp;TEXT(ROW()-4,"0000"))</f>
        <v/>
      </c>
      <c r="C1008" s="33"/>
      <c r="D1008" s="24"/>
      <c r="E1008" s="30" t="str">
        <f aca="false">IF($D1008="","",IFERROR(INDEX(合同单位,MATCH($D1008,合同键,0)),IFERROR(TRIM(LEFT($D1008,FIND("｜",$D1008)-1)),$D1008)))</f>
        <v/>
      </c>
      <c r="F1008" s="30" t="str">
        <f aca="false">IF($D1008="","",IFERROR(INDEX(合同项目,MATCH($D1008,合同键,0)),IFERROR(TRIM(MID($D1008,FIND("｜",$D1008)+1,99)),"")))</f>
        <v/>
      </c>
      <c r="G1008" s="24"/>
      <c r="H1008" s="35" t="str">
        <f aca="false">IF($G1008="","",IFERROR(INDEX(费用款别,MATCH($G1008,费用类别表,0)),"合同外款"))</f>
        <v/>
      </c>
      <c r="I1008" s="33"/>
      <c r="J1008" s="33"/>
      <c r="K1008" s="39"/>
      <c r="L1008" s="33"/>
      <c r="M1008" s="25"/>
      <c r="N1008" s="39"/>
      <c r="O1008" s="35" t="str">
        <f aca="false">IF($C1008="","",IF(N($N1008)&lt;=0,"未开票",IF(ROUND(N($N1008)-N($K1008),2)&gt;=0,"已开票",IFERROR("部分开票 "&amp;TEXT(N($N1008)/N($K1008),"0%"),"部分开票"))))</f>
        <v/>
      </c>
      <c r="P1008" s="40" t="str">
        <f aca="false">IF($C1008="","",ROUND($V1008+MIN($W1008,MAX(0,(SUMIF(收款键,$D1008,收款金额)-SUMIFS(收款金额,收款键,$D1008,收款关联,"&lt;&gt;"))-($X1008-$W1008))),2))</f>
        <v/>
      </c>
      <c r="Q1008" s="41" t="str">
        <f aca="false">IF($C1008="","",ROUND(N($K1008)-N($P1008),2))</f>
        <v/>
      </c>
      <c r="R1008" s="29" t="str">
        <f aca="false">IF($C1008="","",YEAR($C1008))</f>
        <v/>
      </c>
      <c r="S1008" s="24"/>
      <c r="T1008" s="35" t="str">
        <f aca="false">IF($C1008="","",IF($D1008="","★没选客户项目",IF(COUNTIF(合同键,$D1008)=0,"★《维保合同》里没这个项目",IF(N($K1008)&lt;=0,"★应收金额要填",IF(ROUND(N($N1008)-N($K1008),2)&gt;0.001,"★开票金额大于应收",IF(AND($L1008&lt;&gt;"",N($N1008)&lt;=0),"★填了开票日期没填开票金额",IF(AND($I1008&lt;&gt;"",$J1008&lt;&gt;"",$J1008&lt;$I1008),"★计费期间起止反了","OK")))))))</f>
        <v/>
      </c>
      <c r="U1008" s="29" t="str">
        <f aca="false">IF($L1008="","",YEAR($L1008))</f>
        <v/>
      </c>
      <c r="V1008" s="40" t="str">
        <f aca="false">IF($C1008="","",ROUND(SUMIF(收款关联,$B1008,收款金额),2))</f>
        <v/>
      </c>
      <c r="W1008" s="40" t="str">
        <f aca="false">IF($C1008="","",MAX(0,ROUND(N($K1008)-N($V1008),2)))</f>
        <v/>
      </c>
      <c r="X1008" s="40" t="str">
        <f aca="false">IF($C1008="","",ROUND(SUMIFS(应收净额,应收键,$D1008,应收行号,"&lt;="&amp;ROW()),2))</f>
        <v/>
      </c>
      <c r="Y1008" s="29" t="str">
        <f aca="false">IF($C1008="","",ROW())</f>
        <v/>
      </c>
    </row>
    <row r="1009" customFormat="false" ht="15" hidden="false" customHeight="false" outlineLevel="0" collapsed="false">
      <c r="A1009" s="29" t="str">
        <f aca="false">IF($C1009="","",ROW()-4)</f>
        <v/>
      </c>
      <c r="B1009" s="35" t="str">
        <f aca="false">IF($C1009="","","YS"&amp;TEXT($C1009,"yyyymm")&amp;"-"&amp;TEXT(ROW()-4,"0000"))</f>
        <v/>
      </c>
      <c r="C1009" s="33"/>
      <c r="D1009" s="24"/>
      <c r="E1009" s="30" t="str">
        <f aca="false">IF($D1009="","",IFERROR(INDEX(合同单位,MATCH($D1009,合同键,0)),IFERROR(TRIM(LEFT($D1009,FIND("｜",$D1009)-1)),$D1009)))</f>
        <v/>
      </c>
      <c r="F1009" s="30" t="str">
        <f aca="false">IF($D1009="","",IFERROR(INDEX(合同项目,MATCH($D1009,合同键,0)),IFERROR(TRIM(MID($D1009,FIND("｜",$D1009)+1,99)),"")))</f>
        <v/>
      </c>
      <c r="G1009" s="24"/>
      <c r="H1009" s="35" t="str">
        <f aca="false">IF($G1009="","",IFERROR(INDEX(费用款别,MATCH($G1009,费用类别表,0)),"合同外款"))</f>
        <v/>
      </c>
      <c r="I1009" s="33"/>
      <c r="J1009" s="33"/>
      <c r="K1009" s="39"/>
      <c r="L1009" s="33"/>
      <c r="M1009" s="25"/>
      <c r="N1009" s="39"/>
      <c r="O1009" s="35" t="str">
        <f aca="false">IF($C1009="","",IF(N($N1009)&lt;=0,"未开票",IF(ROUND(N($N1009)-N($K1009),2)&gt;=0,"已开票",IFERROR("部分开票 "&amp;TEXT(N($N1009)/N($K1009),"0%"),"部分开票"))))</f>
        <v/>
      </c>
      <c r="P1009" s="40" t="str">
        <f aca="false">IF($C1009="","",ROUND($V1009+MIN($W1009,MAX(0,(SUMIF(收款键,$D1009,收款金额)-SUMIFS(收款金额,收款键,$D1009,收款关联,"&lt;&gt;"))-($X1009-$W1009))),2))</f>
        <v/>
      </c>
      <c r="Q1009" s="41" t="str">
        <f aca="false">IF($C1009="","",ROUND(N($K1009)-N($P1009),2))</f>
        <v/>
      </c>
      <c r="R1009" s="29" t="str">
        <f aca="false">IF($C1009="","",YEAR($C1009))</f>
        <v/>
      </c>
      <c r="S1009" s="24"/>
      <c r="T1009" s="35" t="str">
        <f aca="false">IF($C1009="","",IF($D1009="","★没选客户项目",IF(COUNTIF(合同键,$D1009)=0,"★《维保合同》里没这个项目",IF(N($K1009)&lt;=0,"★应收金额要填",IF(ROUND(N($N1009)-N($K1009),2)&gt;0.001,"★开票金额大于应收",IF(AND($L1009&lt;&gt;"",N($N1009)&lt;=0),"★填了开票日期没填开票金额",IF(AND($I1009&lt;&gt;"",$J1009&lt;&gt;"",$J1009&lt;$I1009),"★计费期间起止反了","OK")))))))</f>
        <v/>
      </c>
      <c r="U1009" s="29" t="str">
        <f aca="false">IF($L1009="","",YEAR($L1009))</f>
        <v/>
      </c>
      <c r="V1009" s="40" t="str">
        <f aca="false">IF($C1009="","",ROUND(SUMIF(收款关联,$B1009,收款金额),2))</f>
        <v/>
      </c>
      <c r="W1009" s="40" t="str">
        <f aca="false">IF($C1009="","",MAX(0,ROUND(N($K1009)-N($V1009),2)))</f>
        <v/>
      </c>
      <c r="X1009" s="40" t="str">
        <f aca="false">IF($C1009="","",ROUND(SUMIFS(应收净额,应收键,$D1009,应收行号,"&lt;="&amp;ROW()),2))</f>
        <v/>
      </c>
      <c r="Y1009" s="29" t="str">
        <f aca="false">IF($C1009="","",ROW())</f>
        <v/>
      </c>
    </row>
    <row r="1010" customFormat="false" ht="15" hidden="false" customHeight="false" outlineLevel="0" collapsed="false">
      <c r="A1010" s="29" t="str">
        <f aca="false">IF($C1010="","",ROW()-4)</f>
        <v/>
      </c>
      <c r="B1010" s="35" t="str">
        <f aca="false">IF($C1010="","","YS"&amp;TEXT($C1010,"yyyymm")&amp;"-"&amp;TEXT(ROW()-4,"0000"))</f>
        <v/>
      </c>
      <c r="C1010" s="33"/>
      <c r="D1010" s="24"/>
      <c r="E1010" s="30" t="str">
        <f aca="false">IF($D1010="","",IFERROR(INDEX(合同单位,MATCH($D1010,合同键,0)),IFERROR(TRIM(LEFT($D1010,FIND("｜",$D1010)-1)),$D1010)))</f>
        <v/>
      </c>
      <c r="F1010" s="30" t="str">
        <f aca="false">IF($D1010="","",IFERROR(INDEX(合同项目,MATCH($D1010,合同键,0)),IFERROR(TRIM(MID($D1010,FIND("｜",$D1010)+1,99)),"")))</f>
        <v/>
      </c>
      <c r="G1010" s="24"/>
      <c r="H1010" s="35" t="str">
        <f aca="false">IF($G1010="","",IFERROR(INDEX(费用款别,MATCH($G1010,费用类别表,0)),"合同外款"))</f>
        <v/>
      </c>
      <c r="I1010" s="33"/>
      <c r="J1010" s="33"/>
      <c r="K1010" s="39"/>
      <c r="L1010" s="33"/>
      <c r="M1010" s="25"/>
      <c r="N1010" s="39"/>
      <c r="O1010" s="35" t="str">
        <f aca="false">IF($C1010="","",IF(N($N1010)&lt;=0,"未开票",IF(ROUND(N($N1010)-N($K1010),2)&gt;=0,"已开票",IFERROR("部分开票 "&amp;TEXT(N($N1010)/N($K1010),"0%"),"部分开票"))))</f>
        <v/>
      </c>
      <c r="P1010" s="40" t="str">
        <f aca="false">IF($C1010="","",ROUND($V1010+MIN($W1010,MAX(0,(SUMIF(收款键,$D1010,收款金额)-SUMIFS(收款金额,收款键,$D1010,收款关联,"&lt;&gt;"))-($X1010-$W1010))),2))</f>
        <v/>
      </c>
      <c r="Q1010" s="41" t="str">
        <f aca="false">IF($C1010="","",ROUND(N($K1010)-N($P1010),2))</f>
        <v/>
      </c>
      <c r="R1010" s="29" t="str">
        <f aca="false">IF($C1010="","",YEAR($C1010))</f>
        <v/>
      </c>
      <c r="S1010" s="24"/>
      <c r="T1010" s="35" t="str">
        <f aca="false">IF($C1010="","",IF($D1010="","★没选客户项目",IF(COUNTIF(合同键,$D1010)=0,"★《维保合同》里没这个项目",IF(N($K1010)&lt;=0,"★应收金额要填",IF(ROUND(N($N1010)-N($K1010),2)&gt;0.001,"★开票金额大于应收",IF(AND($L1010&lt;&gt;"",N($N1010)&lt;=0),"★填了开票日期没填开票金额",IF(AND($I1010&lt;&gt;"",$J1010&lt;&gt;"",$J1010&lt;$I1010),"★计费期间起止反了","OK")))))))</f>
        <v/>
      </c>
      <c r="U1010" s="29" t="str">
        <f aca="false">IF($L1010="","",YEAR($L1010))</f>
        <v/>
      </c>
      <c r="V1010" s="40" t="str">
        <f aca="false">IF($C1010="","",ROUND(SUMIF(收款关联,$B1010,收款金额),2))</f>
        <v/>
      </c>
      <c r="W1010" s="40" t="str">
        <f aca="false">IF($C1010="","",MAX(0,ROUND(N($K1010)-N($V1010),2)))</f>
        <v/>
      </c>
      <c r="X1010" s="40" t="str">
        <f aca="false">IF($C1010="","",ROUND(SUMIFS(应收净额,应收键,$D1010,应收行号,"&lt;="&amp;ROW()),2))</f>
        <v/>
      </c>
      <c r="Y1010" s="29" t="str">
        <f aca="false">IF($C1010="","",ROW())</f>
        <v/>
      </c>
    </row>
    <row r="1011" customFormat="false" ht="15" hidden="false" customHeight="false" outlineLevel="0" collapsed="false">
      <c r="A1011" s="29" t="str">
        <f aca="false">IF($C1011="","",ROW()-4)</f>
        <v/>
      </c>
      <c r="B1011" s="35" t="str">
        <f aca="false">IF($C1011="","","YS"&amp;TEXT($C1011,"yyyymm")&amp;"-"&amp;TEXT(ROW()-4,"0000"))</f>
        <v/>
      </c>
      <c r="C1011" s="33"/>
      <c r="D1011" s="24"/>
      <c r="E1011" s="30" t="str">
        <f aca="false">IF($D1011="","",IFERROR(INDEX(合同单位,MATCH($D1011,合同键,0)),IFERROR(TRIM(LEFT($D1011,FIND("｜",$D1011)-1)),$D1011)))</f>
        <v/>
      </c>
      <c r="F1011" s="30" t="str">
        <f aca="false">IF($D1011="","",IFERROR(INDEX(合同项目,MATCH($D1011,合同键,0)),IFERROR(TRIM(MID($D1011,FIND("｜",$D1011)+1,99)),"")))</f>
        <v/>
      </c>
      <c r="G1011" s="24"/>
      <c r="H1011" s="35" t="str">
        <f aca="false">IF($G1011="","",IFERROR(INDEX(费用款别,MATCH($G1011,费用类别表,0)),"合同外款"))</f>
        <v/>
      </c>
      <c r="I1011" s="33"/>
      <c r="J1011" s="33"/>
      <c r="K1011" s="39"/>
      <c r="L1011" s="33"/>
      <c r="M1011" s="25"/>
      <c r="N1011" s="39"/>
      <c r="O1011" s="35" t="str">
        <f aca="false">IF($C1011="","",IF(N($N1011)&lt;=0,"未开票",IF(ROUND(N($N1011)-N($K1011),2)&gt;=0,"已开票",IFERROR("部分开票 "&amp;TEXT(N($N1011)/N($K1011),"0%"),"部分开票"))))</f>
        <v/>
      </c>
      <c r="P1011" s="40" t="str">
        <f aca="false">IF($C1011="","",ROUND($V1011+MIN($W1011,MAX(0,(SUMIF(收款键,$D1011,收款金额)-SUMIFS(收款金额,收款键,$D1011,收款关联,"&lt;&gt;"))-($X1011-$W1011))),2))</f>
        <v/>
      </c>
      <c r="Q1011" s="41" t="str">
        <f aca="false">IF($C1011="","",ROUND(N($K1011)-N($P1011),2))</f>
        <v/>
      </c>
      <c r="R1011" s="29" t="str">
        <f aca="false">IF($C1011="","",YEAR($C1011))</f>
        <v/>
      </c>
      <c r="S1011" s="24"/>
      <c r="T1011" s="35" t="str">
        <f aca="false">IF($C1011="","",IF($D1011="","★没选客户项目",IF(COUNTIF(合同键,$D1011)=0,"★《维保合同》里没这个项目",IF(N($K1011)&lt;=0,"★应收金额要填",IF(ROUND(N($N1011)-N($K1011),2)&gt;0.001,"★开票金额大于应收",IF(AND($L1011&lt;&gt;"",N($N1011)&lt;=0),"★填了开票日期没填开票金额",IF(AND($I1011&lt;&gt;"",$J1011&lt;&gt;"",$J1011&lt;$I1011),"★计费期间起止反了","OK")))))))</f>
        <v/>
      </c>
      <c r="U1011" s="29" t="str">
        <f aca="false">IF($L1011="","",YEAR($L1011))</f>
        <v/>
      </c>
      <c r="V1011" s="40" t="str">
        <f aca="false">IF($C1011="","",ROUND(SUMIF(收款关联,$B1011,收款金额),2))</f>
        <v/>
      </c>
      <c r="W1011" s="40" t="str">
        <f aca="false">IF($C1011="","",MAX(0,ROUND(N($K1011)-N($V1011),2)))</f>
        <v/>
      </c>
      <c r="X1011" s="40" t="str">
        <f aca="false">IF($C1011="","",ROUND(SUMIFS(应收净额,应收键,$D1011,应收行号,"&lt;="&amp;ROW()),2))</f>
        <v/>
      </c>
      <c r="Y1011" s="29" t="str">
        <f aca="false">IF($C1011="","",ROW())</f>
        <v/>
      </c>
    </row>
    <row r="1012" customFormat="false" ht="15" hidden="false" customHeight="false" outlineLevel="0" collapsed="false">
      <c r="A1012" s="29" t="str">
        <f aca="false">IF($C1012="","",ROW()-4)</f>
        <v/>
      </c>
      <c r="B1012" s="35" t="str">
        <f aca="false">IF($C1012="","","YS"&amp;TEXT($C1012,"yyyymm")&amp;"-"&amp;TEXT(ROW()-4,"0000"))</f>
        <v/>
      </c>
      <c r="C1012" s="33"/>
      <c r="D1012" s="24"/>
      <c r="E1012" s="30" t="str">
        <f aca="false">IF($D1012="","",IFERROR(INDEX(合同单位,MATCH($D1012,合同键,0)),IFERROR(TRIM(LEFT($D1012,FIND("｜",$D1012)-1)),$D1012)))</f>
        <v/>
      </c>
      <c r="F1012" s="30" t="str">
        <f aca="false">IF($D1012="","",IFERROR(INDEX(合同项目,MATCH($D1012,合同键,0)),IFERROR(TRIM(MID($D1012,FIND("｜",$D1012)+1,99)),"")))</f>
        <v/>
      </c>
      <c r="G1012" s="24"/>
      <c r="H1012" s="35" t="str">
        <f aca="false">IF($G1012="","",IFERROR(INDEX(费用款别,MATCH($G1012,费用类别表,0)),"合同外款"))</f>
        <v/>
      </c>
      <c r="I1012" s="33"/>
      <c r="J1012" s="33"/>
      <c r="K1012" s="39"/>
      <c r="L1012" s="33"/>
      <c r="M1012" s="25"/>
      <c r="N1012" s="39"/>
      <c r="O1012" s="35" t="str">
        <f aca="false">IF($C1012="","",IF(N($N1012)&lt;=0,"未开票",IF(ROUND(N($N1012)-N($K1012),2)&gt;=0,"已开票",IFERROR("部分开票 "&amp;TEXT(N($N1012)/N($K1012),"0%"),"部分开票"))))</f>
        <v/>
      </c>
      <c r="P1012" s="40" t="str">
        <f aca="false">IF($C1012="","",ROUND($V1012+MIN($W1012,MAX(0,(SUMIF(收款键,$D1012,收款金额)-SUMIFS(收款金额,收款键,$D1012,收款关联,"&lt;&gt;"))-($X1012-$W1012))),2))</f>
        <v/>
      </c>
      <c r="Q1012" s="41" t="str">
        <f aca="false">IF($C1012="","",ROUND(N($K1012)-N($P1012),2))</f>
        <v/>
      </c>
      <c r="R1012" s="29" t="str">
        <f aca="false">IF($C1012="","",YEAR($C1012))</f>
        <v/>
      </c>
      <c r="S1012" s="24"/>
      <c r="T1012" s="35" t="str">
        <f aca="false">IF($C1012="","",IF($D1012="","★没选客户项目",IF(COUNTIF(合同键,$D1012)=0,"★《维保合同》里没这个项目",IF(N($K1012)&lt;=0,"★应收金额要填",IF(ROUND(N($N1012)-N($K1012),2)&gt;0.001,"★开票金额大于应收",IF(AND($L1012&lt;&gt;"",N($N1012)&lt;=0),"★填了开票日期没填开票金额",IF(AND($I1012&lt;&gt;"",$J1012&lt;&gt;"",$J1012&lt;$I1012),"★计费期间起止反了","OK")))))))</f>
        <v/>
      </c>
      <c r="U1012" s="29" t="str">
        <f aca="false">IF($L1012="","",YEAR($L1012))</f>
        <v/>
      </c>
      <c r="V1012" s="40" t="str">
        <f aca="false">IF($C1012="","",ROUND(SUMIF(收款关联,$B1012,收款金额),2))</f>
        <v/>
      </c>
      <c r="W1012" s="40" t="str">
        <f aca="false">IF($C1012="","",MAX(0,ROUND(N($K1012)-N($V1012),2)))</f>
        <v/>
      </c>
      <c r="X1012" s="40" t="str">
        <f aca="false">IF($C1012="","",ROUND(SUMIFS(应收净额,应收键,$D1012,应收行号,"&lt;="&amp;ROW()),2))</f>
        <v/>
      </c>
      <c r="Y1012" s="29" t="str">
        <f aca="false">IF($C1012="","",ROW())</f>
        <v/>
      </c>
    </row>
    <row r="1013" customFormat="false" ht="15" hidden="false" customHeight="false" outlineLevel="0" collapsed="false">
      <c r="A1013" s="29" t="str">
        <f aca="false">IF($C1013="","",ROW()-4)</f>
        <v/>
      </c>
      <c r="B1013" s="35" t="str">
        <f aca="false">IF($C1013="","","YS"&amp;TEXT($C1013,"yyyymm")&amp;"-"&amp;TEXT(ROW()-4,"0000"))</f>
        <v/>
      </c>
      <c r="C1013" s="33"/>
      <c r="D1013" s="24"/>
      <c r="E1013" s="30" t="str">
        <f aca="false">IF($D1013="","",IFERROR(INDEX(合同单位,MATCH($D1013,合同键,0)),IFERROR(TRIM(LEFT($D1013,FIND("｜",$D1013)-1)),$D1013)))</f>
        <v/>
      </c>
      <c r="F1013" s="30" t="str">
        <f aca="false">IF($D1013="","",IFERROR(INDEX(合同项目,MATCH($D1013,合同键,0)),IFERROR(TRIM(MID($D1013,FIND("｜",$D1013)+1,99)),"")))</f>
        <v/>
      </c>
      <c r="G1013" s="24"/>
      <c r="H1013" s="35" t="str">
        <f aca="false">IF($G1013="","",IFERROR(INDEX(费用款别,MATCH($G1013,费用类别表,0)),"合同外款"))</f>
        <v/>
      </c>
      <c r="I1013" s="33"/>
      <c r="J1013" s="33"/>
      <c r="K1013" s="39"/>
      <c r="L1013" s="33"/>
      <c r="M1013" s="25"/>
      <c r="N1013" s="39"/>
      <c r="O1013" s="35" t="str">
        <f aca="false">IF($C1013="","",IF(N($N1013)&lt;=0,"未开票",IF(ROUND(N($N1013)-N($K1013),2)&gt;=0,"已开票",IFERROR("部分开票 "&amp;TEXT(N($N1013)/N($K1013),"0%"),"部分开票"))))</f>
        <v/>
      </c>
      <c r="P1013" s="40" t="str">
        <f aca="false">IF($C1013="","",ROUND($V1013+MIN($W1013,MAX(0,(SUMIF(收款键,$D1013,收款金额)-SUMIFS(收款金额,收款键,$D1013,收款关联,"&lt;&gt;"))-($X1013-$W1013))),2))</f>
        <v/>
      </c>
      <c r="Q1013" s="41" t="str">
        <f aca="false">IF($C1013="","",ROUND(N($K1013)-N($P1013),2))</f>
        <v/>
      </c>
      <c r="R1013" s="29" t="str">
        <f aca="false">IF($C1013="","",YEAR($C1013))</f>
        <v/>
      </c>
      <c r="S1013" s="24"/>
      <c r="T1013" s="35" t="str">
        <f aca="false">IF($C1013="","",IF($D1013="","★没选客户项目",IF(COUNTIF(合同键,$D1013)=0,"★《维保合同》里没这个项目",IF(N($K1013)&lt;=0,"★应收金额要填",IF(ROUND(N($N1013)-N($K1013),2)&gt;0.001,"★开票金额大于应收",IF(AND($L1013&lt;&gt;"",N($N1013)&lt;=0),"★填了开票日期没填开票金额",IF(AND($I1013&lt;&gt;"",$J1013&lt;&gt;"",$J1013&lt;$I1013),"★计费期间起止反了","OK")))))))</f>
        <v/>
      </c>
      <c r="U1013" s="29" t="str">
        <f aca="false">IF($L1013="","",YEAR($L1013))</f>
        <v/>
      </c>
      <c r="V1013" s="40" t="str">
        <f aca="false">IF($C1013="","",ROUND(SUMIF(收款关联,$B1013,收款金额),2))</f>
        <v/>
      </c>
      <c r="W1013" s="40" t="str">
        <f aca="false">IF($C1013="","",MAX(0,ROUND(N($K1013)-N($V1013),2)))</f>
        <v/>
      </c>
      <c r="X1013" s="40" t="str">
        <f aca="false">IF($C1013="","",ROUND(SUMIFS(应收净额,应收键,$D1013,应收行号,"&lt;="&amp;ROW()),2))</f>
        <v/>
      </c>
      <c r="Y1013" s="29" t="str">
        <f aca="false">IF($C1013="","",ROW())</f>
        <v/>
      </c>
    </row>
    <row r="1014" customFormat="false" ht="15" hidden="false" customHeight="false" outlineLevel="0" collapsed="false">
      <c r="A1014" s="29" t="str">
        <f aca="false">IF($C1014="","",ROW()-4)</f>
        <v/>
      </c>
      <c r="B1014" s="35" t="str">
        <f aca="false">IF($C1014="","","YS"&amp;TEXT($C1014,"yyyymm")&amp;"-"&amp;TEXT(ROW()-4,"0000"))</f>
        <v/>
      </c>
      <c r="C1014" s="33"/>
      <c r="D1014" s="24"/>
      <c r="E1014" s="30" t="str">
        <f aca="false">IF($D1014="","",IFERROR(INDEX(合同单位,MATCH($D1014,合同键,0)),IFERROR(TRIM(LEFT($D1014,FIND("｜",$D1014)-1)),$D1014)))</f>
        <v/>
      </c>
      <c r="F1014" s="30" t="str">
        <f aca="false">IF($D1014="","",IFERROR(INDEX(合同项目,MATCH($D1014,合同键,0)),IFERROR(TRIM(MID($D1014,FIND("｜",$D1014)+1,99)),"")))</f>
        <v/>
      </c>
      <c r="G1014" s="24"/>
      <c r="H1014" s="35" t="str">
        <f aca="false">IF($G1014="","",IFERROR(INDEX(费用款别,MATCH($G1014,费用类别表,0)),"合同外款"))</f>
        <v/>
      </c>
      <c r="I1014" s="33"/>
      <c r="J1014" s="33"/>
      <c r="K1014" s="39"/>
      <c r="L1014" s="33"/>
      <c r="M1014" s="25"/>
      <c r="N1014" s="39"/>
      <c r="O1014" s="35" t="str">
        <f aca="false">IF($C1014="","",IF(N($N1014)&lt;=0,"未开票",IF(ROUND(N($N1014)-N($K1014),2)&gt;=0,"已开票",IFERROR("部分开票 "&amp;TEXT(N($N1014)/N($K1014),"0%"),"部分开票"))))</f>
        <v/>
      </c>
      <c r="P1014" s="40" t="str">
        <f aca="false">IF($C1014="","",ROUND($V1014+MIN($W1014,MAX(0,(SUMIF(收款键,$D1014,收款金额)-SUMIFS(收款金额,收款键,$D1014,收款关联,"&lt;&gt;"))-($X1014-$W1014))),2))</f>
        <v/>
      </c>
      <c r="Q1014" s="41" t="str">
        <f aca="false">IF($C1014="","",ROUND(N($K1014)-N($P1014),2))</f>
        <v/>
      </c>
      <c r="R1014" s="29" t="str">
        <f aca="false">IF($C1014="","",YEAR($C1014))</f>
        <v/>
      </c>
      <c r="S1014" s="24"/>
      <c r="T1014" s="35" t="str">
        <f aca="false">IF($C1014="","",IF($D1014="","★没选客户项目",IF(COUNTIF(合同键,$D1014)=0,"★《维保合同》里没这个项目",IF(N($K1014)&lt;=0,"★应收金额要填",IF(ROUND(N($N1014)-N($K1014),2)&gt;0.001,"★开票金额大于应收",IF(AND($L1014&lt;&gt;"",N($N1014)&lt;=0),"★填了开票日期没填开票金额",IF(AND($I1014&lt;&gt;"",$J1014&lt;&gt;"",$J1014&lt;$I1014),"★计费期间起止反了","OK")))))))</f>
        <v/>
      </c>
      <c r="U1014" s="29" t="str">
        <f aca="false">IF($L1014="","",YEAR($L1014))</f>
        <v/>
      </c>
      <c r="V1014" s="40" t="str">
        <f aca="false">IF($C1014="","",ROUND(SUMIF(收款关联,$B1014,收款金额),2))</f>
        <v/>
      </c>
      <c r="W1014" s="40" t="str">
        <f aca="false">IF($C1014="","",MAX(0,ROUND(N($K1014)-N($V1014),2)))</f>
        <v/>
      </c>
      <c r="X1014" s="40" t="str">
        <f aca="false">IF($C1014="","",ROUND(SUMIFS(应收净额,应收键,$D1014,应收行号,"&lt;="&amp;ROW()),2))</f>
        <v/>
      </c>
      <c r="Y1014" s="29" t="str">
        <f aca="false">IF($C1014="","",ROW())</f>
        <v/>
      </c>
    </row>
    <row r="1015" customFormat="false" ht="15" hidden="false" customHeight="false" outlineLevel="0" collapsed="false">
      <c r="A1015" s="29" t="str">
        <f aca="false">IF($C1015="","",ROW()-4)</f>
        <v/>
      </c>
      <c r="B1015" s="35" t="str">
        <f aca="false">IF($C1015="","","YS"&amp;TEXT($C1015,"yyyymm")&amp;"-"&amp;TEXT(ROW()-4,"0000"))</f>
        <v/>
      </c>
      <c r="C1015" s="33"/>
      <c r="D1015" s="24"/>
      <c r="E1015" s="30" t="str">
        <f aca="false">IF($D1015="","",IFERROR(INDEX(合同单位,MATCH($D1015,合同键,0)),IFERROR(TRIM(LEFT($D1015,FIND("｜",$D1015)-1)),$D1015)))</f>
        <v/>
      </c>
      <c r="F1015" s="30" t="str">
        <f aca="false">IF($D1015="","",IFERROR(INDEX(合同项目,MATCH($D1015,合同键,0)),IFERROR(TRIM(MID($D1015,FIND("｜",$D1015)+1,99)),"")))</f>
        <v/>
      </c>
      <c r="G1015" s="24"/>
      <c r="H1015" s="35" t="str">
        <f aca="false">IF($G1015="","",IFERROR(INDEX(费用款别,MATCH($G1015,费用类别表,0)),"合同外款"))</f>
        <v/>
      </c>
      <c r="I1015" s="33"/>
      <c r="J1015" s="33"/>
      <c r="K1015" s="39"/>
      <c r="L1015" s="33"/>
      <c r="M1015" s="25"/>
      <c r="N1015" s="39"/>
      <c r="O1015" s="35" t="str">
        <f aca="false">IF($C1015="","",IF(N($N1015)&lt;=0,"未开票",IF(ROUND(N($N1015)-N($K1015),2)&gt;=0,"已开票",IFERROR("部分开票 "&amp;TEXT(N($N1015)/N($K1015),"0%"),"部分开票"))))</f>
        <v/>
      </c>
      <c r="P1015" s="40" t="str">
        <f aca="false">IF($C1015="","",ROUND($V1015+MIN($W1015,MAX(0,(SUMIF(收款键,$D1015,收款金额)-SUMIFS(收款金额,收款键,$D1015,收款关联,"&lt;&gt;"))-($X1015-$W1015))),2))</f>
        <v/>
      </c>
      <c r="Q1015" s="41" t="str">
        <f aca="false">IF($C1015="","",ROUND(N($K1015)-N($P1015),2))</f>
        <v/>
      </c>
      <c r="R1015" s="29" t="str">
        <f aca="false">IF($C1015="","",YEAR($C1015))</f>
        <v/>
      </c>
      <c r="S1015" s="24"/>
      <c r="T1015" s="35" t="str">
        <f aca="false">IF($C1015="","",IF($D1015="","★没选客户项目",IF(COUNTIF(合同键,$D1015)=0,"★《维保合同》里没这个项目",IF(N($K1015)&lt;=0,"★应收金额要填",IF(ROUND(N($N1015)-N($K1015),2)&gt;0.001,"★开票金额大于应收",IF(AND($L1015&lt;&gt;"",N($N1015)&lt;=0),"★填了开票日期没填开票金额",IF(AND($I1015&lt;&gt;"",$J1015&lt;&gt;"",$J1015&lt;$I1015),"★计费期间起止反了","OK")))))))</f>
        <v/>
      </c>
      <c r="U1015" s="29" t="str">
        <f aca="false">IF($L1015="","",YEAR($L1015))</f>
        <v/>
      </c>
      <c r="V1015" s="40" t="str">
        <f aca="false">IF($C1015="","",ROUND(SUMIF(收款关联,$B1015,收款金额),2))</f>
        <v/>
      </c>
      <c r="W1015" s="40" t="str">
        <f aca="false">IF($C1015="","",MAX(0,ROUND(N($K1015)-N($V1015),2)))</f>
        <v/>
      </c>
      <c r="X1015" s="40" t="str">
        <f aca="false">IF($C1015="","",ROUND(SUMIFS(应收净额,应收键,$D1015,应收行号,"&lt;="&amp;ROW()),2))</f>
        <v/>
      </c>
      <c r="Y1015" s="29" t="str">
        <f aca="false">IF($C1015="","",ROW())</f>
        <v/>
      </c>
    </row>
    <row r="1016" customFormat="false" ht="15" hidden="false" customHeight="false" outlineLevel="0" collapsed="false">
      <c r="A1016" s="29" t="str">
        <f aca="false">IF($C1016="","",ROW()-4)</f>
        <v/>
      </c>
      <c r="B1016" s="35" t="str">
        <f aca="false">IF($C1016="","","YS"&amp;TEXT($C1016,"yyyymm")&amp;"-"&amp;TEXT(ROW()-4,"0000"))</f>
        <v/>
      </c>
      <c r="C1016" s="33"/>
      <c r="D1016" s="24"/>
      <c r="E1016" s="30" t="str">
        <f aca="false">IF($D1016="","",IFERROR(INDEX(合同单位,MATCH($D1016,合同键,0)),IFERROR(TRIM(LEFT($D1016,FIND("｜",$D1016)-1)),$D1016)))</f>
        <v/>
      </c>
      <c r="F1016" s="30" t="str">
        <f aca="false">IF($D1016="","",IFERROR(INDEX(合同项目,MATCH($D1016,合同键,0)),IFERROR(TRIM(MID($D1016,FIND("｜",$D1016)+1,99)),"")))</f>
        <v/>
      </c>
      <c r="G1016" s="24"/>
      <c r="H1016" s="35" t="str">
        <f aca="false">IF($G1016="","",IFERROR(INDEX(费用款别,MATCH($G1016,费用类别表,0)),"合同外款"))</f>
        <v/>
      </c>
      <c r="I1016" s="33"/>
      <c r="J1016" s="33"/>
      <c r="K1016" s="39"/>
      <c r="L1016" s="33"/>
      <c r="M1016" s="25"/>
      <c r="N1016" s="39"/>
      <c r="O1016" s="35" t="str">
        <f aca="false">IF($C1016="","",IF(N($N1016)&lt;=0,"未开票",IF(ROUND(N($N1016)-N($K1016),2)&gt;=0,"已开票",IFERROR("部分开票 "&amp;TEXT(N($N1016)/N($K1016),"0%"),"部分开票"))))</f>
        <v/>
      </c>
      <c r="P1016" s="40" t="str">
        <f aca="false">IF($C1016="","",ROUND($V1016+MIN($W1016,MAX(0,(SUMIF(收款键,$D1016,收款金额)-SUMIFS(收款金额,收款键,$D1016,收款关联,"&lt;&gt;"))-($X1016-$W1016))),2))</f>
        <v/>
      </c>
      <c r="Q1016" s="41" t="str">
        <f aca="false">IF($C1016="","",ROUND(N($K1016)-N($P1016),2))</f>
        <v/>
      </c>
      <c r="R1016" s="29" t="str">
        <f aca="false">IF($C1016="","",YEAR($C1016))</f>
        <v/>
      </c>
      <c r="S1016" s="24"/>
      <c r="T1016" s="35" t="str">
        <f aca="false">IF($C1016="","",IF($D1016="","★没选客户项目",IF(COUNTIF(合同键,$D1016)=0,"★《维保合同》里没这个项目",IF(N($K1016)&lt;=0,"★应收金额要填",IF(ROUND(N($N1016)-N($K1016),2)&gt;0.001,"★开票金额大于应收",IF(AND($L1016&lt;&gt;"",N($N1016)&lt;=0),"★填了开票日期没填开票金额",IF(AND($I1016&lt;&gt;"",$J1016&lt;&gt;"",$J1016&lt;$I1016),"★计费期间起止反了","OK")))))))</f>
        <v/>
      </c>
      <c r="U1016" s="29" t="str">
        <f aca="false">IF($L1016="","",YEAR($L1016))</f>
        <v/>
      </c>
      <c r="V1016" s="40" t="str">
        <f aca="false">IF($C1016="","",ROUND(SUMIF(收款关联,$B1016,收款金额),2))</f>
        <v/>
      </c>
      <c r="W1016" s="40" t="str">
        <f aca="false">IF($C1016="","",MAX(0,ROUND(N($K1016)-N($V1016),2)))</f>
        <v/>
      </c>
      <c r="X1016" s="40" t="str">
        <f aca="false">IF($C1016="","",ROUND(SUMIFS(应收净额,应收键,$D1016,应收行号,"&lt;="&amp;ROW()),2))</f>
        <v/>
      </c>
      <c r="Y1016" s="29" t="str">
        <f aca="false">IF($C1016="","",ROW())</f>
        <v/>
      </c>
    </row>
    <row r="1017" customFormat="false" ht="15" hidden="false" customHeight="false" outlineLevel="0" collapsed="false">
      <c r="A1017" s="29" t="str">
        <f aca="false">IF($C1017="","",ROW()-4)</f>
        <v/>
      </c>
      <c r="B1017" s="35" t="str">
        <f aca="false">IF($C1017="","","YS"&amp;TEXT($C1017,"yyyymm")&amp;"-"&amp;TEXT(ROW()-4,"0000"))</f>
        <v/>
      </c>
      <c r="C1017" s="33"/>
      <c r="D1017" s="24"/>
      <c r="E1017" s="30" t="str">
        <f aca="false">IF($D1017="","",IFERROR(INDEX(合同单位,MATCH($D1017,合同键,0)),IFERROR(TRIM(LEFT($D1017,FIND("｜",$D1017)-1)),$D1017)))</f>
        <v/>
      </c>
      <c r="F1017" s="30" t="str">
        <f aca="false">IF($D1017="","",IFERROR(INDEX(合同项目,MATCH($D1017,合同键,0)),IFERROR(TRIM(MID($D1017,FIND("｜",$D1017)+1,99)),"")))</f>
        <v/>
      </c>
      <c r="G1017" s="24"/>
      <c r="H1017" s="35" t="str">
        <f aca="false">IF($G1017="","",IFERROR(INDEX(费用款别,MATCH($G1017,费用类别表,0)),"合同外款"))</f>
        <v/>
      </c>
      <c r="I1017" s="33"/>
      <c r="J1017" s="33"/>
      <c r="K1017" s="39"/>
      <c r="L1017" s="33"/>
      <c r="M1017" s="25"/>
      <c r="N1017" s="39"/>
      <c r="O1017" s="35" t="str">
        <f aca="false">IF($C1017="","",IF(N($N1017)&lt;=0,"未开票",IF(ROUND(N($N1017)-N($K1017),2)&gt;=0,"已开票",IFERROR("部分开票 "&amp;TEXT(N($N1017)/N($K1017),"0%"),"部分开票"))))</f>
        <v/>
      </c>
      <c r="P1017" s="40" t="str">
        <f aca="false">IF($C1017="","",ROUND($V1017+MIN($W1017,MAX(0,(SUMIF(收款键,$D1017,收款金额)-SUMIFS(收款金额,收款键,$D1017,收款关联,"&lt;&gt;"))-($X1017-$W1017))),2))</f>
        <v/>
      </c>
      <c r="Q1017" s="41" t="str">
        <f aca="false">IF($C1017="","",ROUND(N($K1017)-N($P1017),2))</f>
        <v/>
      </c>
      <c r="R1017" s="29" t="str">
        <f aca="false">IF($C1017="","",YEAR($C1017))</f>
        <v/>
      </c>
      <c r="S1017" s="24"/>
      <c r="T1017" s="35" t="str">
        <f aca="false">IF($C1017="","",IF($D1017="","★没选客户项目",IF(COUNTIF(合同键,$D1017)=0,"★《维保合同》里没这个项目",IF(N($K1017)&lt;=0,"★应收金额要填",IF(ROUND(N($N1017)-N($K1017),2)&gt;0.001,"★开票金额大于应收",IF(AND($L1017&lt;&gt;"",N($N1017)&lt;=0),"★填了开票日期没填开票金额",IF(AND($I1017&lt;&gt;"",$J1017&lt;&gt;"",$J1017&lt;$I1017),"★计费期间起止反了","OK")))))))</f>
        <v/>
      </c>
      <c r="U1017" s="29" t="str">
        <f aca="false">IF($L1017="","",YEAR($L1017))</f>
        <v/>
      </c>
      <c r="V1017" s="40" t="str">
        <f aca="false">IF($C1017="","",ROUND(SUMIF(收款关联,$B1017,收款金额),2))</f>
        <v/>
      </c>
      <c r="W1017" s="40" t="str">
        <f aca="false">IF($C1017="","",MAX(0,ROUND(N($K1017)-N($V1017),2)))</f>
        <v/>
      </c>
      <c r="X1017" s="40" t="str">
        <f aca="false">IF($C1017="","",ROUND(SUMIFS(应收净额,应收键,$D1017,应收行号,"&lt;="&amp;ROW()),2))</f>
        <v/>
      </c>
      <c r="Y1017" s="29" t="str">
        <f aca="false">IF($C1017="","",ROW())</f>
        <v/>
      </c>
    </row>
    <row r="1018" customFormat="false" ht="15" hidden="false" customHeight="false" outlineLevel="0" collapsed="false">
      <c r="A1018" s="29" t="str">
        <f aca="false">IF($C1018="","",ROW()-4)</f>
        <v/>
      </c>
      <c r="B1018" s="35" t="str">
        <f aca="false">IF($C1018="","","YS"&amp;TEXT($C1018,"yyyymm")&amp;"-"&amp;TEXT(ROW()-4,"0000"))</f>
        <v/>
      </c>
      <c r="C1018" s="33"/>
      <c r="D1018" s="24"/>
      <c r="E1018" s="30" t="str">
        <f aca="false">IF($D1018="","",IFERROR(INDEX(合同单位,MATCH($D1018,合同键,0)),IFERROR(TRIM(LEFT($D1018,FIND("｜",$D1018)-1)),$D1018)))</f>
        <v/>
      </c>
      <c r="F1018" s="30" t="str">
        <f aca="false">IF($D1018="","",IFERROR(INDEX(合同项目,MATCH($D1018,合同键,0)),IFERROR(TRIM(MID($D1018,FIND("｜",$D1018)+1,99)),"")))</f>
        <v/>
      </c>
      <c r="G1018" s="24"/>
      <c r="H1018" s="35" t="str">
        <f aca="false">IF($G1018="","",IFERROR(INDEX(费用款别,MATCH($G1018,费用类别表,0)),"合同外款"))</f>
        <v/>
      </c>
      <c r="I1018" s="33"/>
      <c r="J1018" s="33"/>
      <c r="K1018" s="39"/>
      <c r="L1018" s="33"/>
      <c r="M1018" s="25"/>
      <c r="N1018" s="39"/>
      <c r="O1018" s="35" t="str">
        <f aca="false">IF($C1018="","",IF(N($N1018)&lt;=0,"未开票",IF(ROUND(N($N1018)-N($K1018),2)&gt;=0,"已开票",IFERROR("部分开票 "&amp;TEXT(N($N1018)/N($K1018),"0%"),"部分开票"))))</f>
        <v/>
      </c>
      <c r="P1018" s="40" t="str">
        <f aca="false">IF($C1018="","",ROUND($V1018+MIN($W1018,MAX(0,(SUMIF(收款键,$D1018,收款金额)-SUMIFS(收款金额,收款键,$D1018,收款关联,"&lt;&gt;"))-($X1018-$W1018))),2))</f>
        <v/>
      </c>
      <c r="Q1018" s="41" t="str">
        <f aca="false">IF($C1018="","",ROUND(N($K1018)-N($P1018),2))</f>
        <v/>
      </c>
      <c r="R1018" s="29" t="str">
        <f aca="false">IF($C1018="","",YEAR($C1018))</f>
        <v/>
      </c>
      <c r="S1018" s="24"/>
      <c r="T1018" s="35" t="str">
        <f aca="false">IF($C1018="","",IF($D1018="","★没选客户项目",IF(COUNTIF(合同键,$D1018)=0,"★《维保合同》里没这个项目",IF(N($K1018)&lt;=0,"★应收金额要填",IF(ROUND(N($N1018)-N($K1018),2)&gt;0.001,"★开票金额大于应收",IF(AND($L1018&lt;&gt;"",N($N1018)&lt;=0),"★填了开票日期没填开票金额",IF(AND($I1018&lt;&gt;"",$J1018&lt;&gt;"",$J1018&lt;$I1018),"★计费期间起止反了","OK")))))))</f>
        <v/>
      </c>
      <c r="U1018" s="29" t="str">
        <f aca="false">IF($L1018="","",YEAR($L1018))</f>
        <v/>
      </c>
      <c r="V1018" s="40" t="str">
        <f aca="false">IF($C1018="","",ROUND(SUMIF(收款关联,$B1018,收款金额),2))</f>
        <v/>
      </c>
      <c r="W1018" s="40" t="str">
        <f aca="false">IF($C1018="","",MAX(0,ROUND(N($K1018)-N($V1018),2)))</f>
        <v/>
      </c>
      <c r="X1018" s="40" t="str">
        <f aca="false">IF($C1018="","",ROUND(SUMIFS(应收净额,应收键,$D1018,应收行号,"&lt;="&amp;ROW()),2))</f>
        <v/>
      </c>
      <c r="Y1018" s="29" t="str">
        <f aca="false">IF($C1018="","",ROW())</f>
        <v/>
      </c>
    </row>
    <row r="1019" customFormat="false" ht="15" hidden="false" customHeight="false" outlineLevel="0" collapsed="false">
      <c r="A1019" s="29" t="str">
        <f aca="false">IF($C1019="","",ROW()-4)</f>
        <v/>
      </c>
      <c r="B1019" s="35" t="str">
        <f aca="false">IF($C1019="","","YS"&amp;TEXT($C1019,"yyyymm")&amp;"-"&amp;TEXT(ROW()-4,"0000"))</f>
        <v/>
      </c>
      <c r="C1019" s="33"/>
      <c r="D1019" s="24"/>
      <c r="E1019" s="30" t="str">
        <f aca="false">IF($D1019="","",IFERROR(INDEX(合同单位,MATCH($D1019,合同键,0)),IFERROR(TRIM(LEFT($D1019,FIND("｜",$D1019)-1)),$D1019)))</f>
        <v/>
      </c>
      <c r="F1019" s="30" t="str">
        <f aca="false">IF($D1019="","",IFERROR(INDEX(合同项目,MATCH($D1019,合同键,0)),IFERROR(TRIM(MID($D1019,FIND("｜",$D1019)+1,99)),"")))</f>
        <v/>
      </c>
      <c r="G1019" s="24"/>
      <c r="H1019" s="35" t="str">
        <f aca="false">IF($G1019="","",IFERROR(INDEX(费用款别,MATCH($G1019,费用类别表,0)),"合同外款"))</f>
        <v/>
      </c>
      <c r="I1019" s="33"/>
      <c r="J1019" s="33"/>
      <c r="K1019" s="39"/>
      <c r="L1019" s="33"/>
      <c r="M1019" s="25"/>
      <c r="N1019" s="39"/>
      <c r="O1019" s="35" t="str">
        <f aca="false">IF($C1019="","",IF(N($N1019)&lt;=0,"未开票",IF(ROUND(N($N1019)-N($K1019),2)&gt;=0,"已开票",IFERROR("部分开票 "&amp;TEXT(N($N1019)/N($K1019),"0%"),"部分开票"))))</f>
        <v/>
      </c>
      <c r="P1019" s="40" t="str">
        <f aca="false">IF($C1019="","",ROUND($V1019+MIN($W1019,MAX(0,(SUMIF(收款键,$D1019,收款金额)-SUMIFS(收款金额,收款键,$D1019,收款关联,"&lt;&gt;"))-($X1019-$W1019))),2))</f>
        <v/>
      </c>
      <c r="Q1019" s="41" t="str">
        <f aca="false">IF($C1019="","",ROUND(N($K1019)-N($P1019),2))</f>
        <v/>
      </c>
      <c r="R1019" s="29" t="str">
        <f aca="false">IF($C1019="","",YEAR($C1019))</f>
        <v/>
      </c>
      <c r="S1019" s="24"/>
      <c r="T1019" s="35" t="str">
        <f aca="false">IF($C1019="","",IF($D1019="","★没选客户项目",IF(COUNTIF(合同键,$D1019)=0,"★《维保合同》里没这个项目",IF(N($K1019)&lt;=0,"★应收金额要填",IF(ROUND(N($N1019)-N($K1019),2)&gt;0.001,"★开票金额大于应收",IF(AND($L1019&lt;&gt;"",N($N1019)&lt;=0),"★填了开票日期没填开票金额",IF(AND($I1019&lt;&gt;"",$J1019&lt;&gt;"",$J1019&lt;$I1019),"★计费期间起止反了","OK")))))))</f>
        <v/>
      </c>
      <c r="U1019" s="29" t="str">
        <f aca="false">IF($L1019="","",YEAR($L1019))</f>
        <v/>
      </c>
      <c r="V1019" s="40" t="str">
        <f aca="false">IF($C1019="","",ROUND(SUMIF(收款关联,$B1019,收款金额),2))</f>
        <v/>
      </c>
      <c r="W1019" s="40" t="str">
        <f aca="false">IF($C1019="","",MAX(0,ROUND(N($K1019)-N($V1019),2)))</f>
        <v/>
      </c>
      <c r="X1019" s="40" t="str">
        <f aca="false">IF($C1019="","",ROUND(SUMIFS(应收净额,应收键,$D1019,应收行号,"&lt;="&amp;ROW()),2))</f>
        <v/>
      </c>
      <c r="Y1019" s="29" t="str">
        <f aca="false">IF($C1019="","",ROW())</f>
        <v/>
      </c>
    </row>
    <row r="1020" customFormat="false" ht="15" hidden="false" customHeight="false" outlineLevel="0" collapsed="false">
      <c r="A1020" s="29" t="str">
        <f aca="false">IF($C1020="","",ROW()-4)</f>
        <v/>
      </c>
      <c r="B1020" s="35" t="str">
        <f aca="false">IF($C1020="","","YS"&amp;TEXT($C1020,"yyyymm")&amp;"-"&amp;TEXT(ROW()-4,"0000"))</f>
        <v/>
      </c>
      <c r="C1020" s="33"/>
      <c r="D1020" s="24"/>
      <c r="E1020" s="30" t="str">
        <f aca="false">IF($D1020="","",IFERROR(INDEX(合同单位,MATCH($D1020,合同键,0)),IFERROR(TRIM(LEFT($D1020,FIND("｜",$D1020)-1)),$D1020)))</f>
        <v/>
      </c>
      <c r="F1020" s="30" t="str">
        <f aca="false">IF($D1020="","",IFERROR(INDEX(合同项目,MATCH($D1020,合同键,0)),IFERROR(TRIM(MID($D1020,FIND("｜",$D1020)+1,99)),"")))</f>
        <v/>
      </c>
      <c r="G1020" s="24"/>
      <c r="H1020" s="35" t="str">
        <f aca="false">IF($G1020="","",IFERROR(INDEX(费用款别,MATCH($G1020,费用类别表,0)),"合同外款"))</f>
        <v/>
      </c>
      <c r="I1020" s="33"/>
      <c r="J1020" s="33"/>
      <c r="K1020" s="39"/>
      <c r="L1020" s="33"/>
      <c r="M1020" s="25"/>
      <c r="N1020" s="39"/>
      <c r="O1020" s="35" t="str">
        <f aca="false">IF($C1020="","",IF(N($N1020)&lt;=0,"未开票",IF(ROUND(N($N1020)-N($K1020),2)&gt;=0,"已开票",IFERROR("部分开票 "&amp;TEXT(N($N1020)/N($K1020),"0%"),"部分开票"))))</f>
        <v/>
      </c>
      <c r="P1020" s="40" t="str">
        <f aca="false">IF($C1020="","",ROUND($V1020+MIN($W1020,MAX(0,(SUMIF(收款键,$D1020,收款金额)-SUMIFS(收款金额,收款键,$D1020,收款关联,"&lt;&gt;"))-($X1020-$W1020))),2))</f>
        <v/>
      </c>
      <c r="Q1020" s="41" t="str">
        <f aca="false">IF($C1020="","",ROUND(N($K1020)-N($P1020),2))</f>
        <v/>
      </c>
      <c r="R1020" s="29" t="str">
        <f aca="false">IF($C1020="","",YEAR($C1020))</f>
        <v/>
      </c>
      <c r="S1020" s="24"/>
      <c r="T1020" s="35" t="str">
        <f aca="false">IF($C1020="","",IF($D1020="","★没选客户项目",IF(COUNTIF(合同键,$D1020)=0,"★《维保合同》里没这个项目",IF(N($K1020)&lt;=0,"★应收金额要填",IF(ROUND(N($N1020)-N($K1020),2)&gt;0.001,"★开票金额大于应收",IF(AND($L1020&lt;&gt;"",N($N1020)&lt;=0),"★填了开票日期没填开票金额",IF(AND($I1020&lt;&gt;"",$J1020&lt;&gt;"",$J1020&lt;$I1020),"★计费期间起止反了","OK")))))))</f>
        <v/>
      </c>
      <c r="U1020" s="29" t="str">
        <f aca="false">IF($L1020="","",YEAR($L1020))</f>
        <v/>
      </c>
      <c r="V1020" s="40" t="str">
        <f aca="false">IF($C1020="","",ROUND(SUMIF(收款关联,$B1020,收款金额),2))</f>
        <v/>
      </c>
      <c r="W1020" s="40" t="str">
        <f aca="false">IF($C1020="","",MAX(0,ROUND(N($K1020)-N($V1020),2)))</f>
        <v/>
      </c>
      <c r="X1020" s="40" t="str">
        <f aca="false">IF($C1020="","",ROUND(SUMIFS(应收净额,应收键,$D1020,应收行号,"&lt;="&amp;ROW()),2))</f>
        <v/>
      </c>
      <c r="Y1020" s="29" t="str">
        <f aca="false">IF($C1020="","",ROW())</f>
        <v/>
      </c>
    </row>
    <row r="1021" customFormat="false" ht="15" hidden="false" customHeight="false" outlineLevel="0" collapsed="false">
      <c r="A1021" s="29" t="str">
        <f aca="false">IF($C1021="","",ROW()-4)</f>
        <v/>
      </c>
      <c r="B1021" s="35" t="str">
        <f aca="false">IF($C1021="","","YS"&amp;TEXT($C1021,"yyyymm")&amp;"-"&amp;TEXT(ROW()-4,"0000"))</f>
        <v/>
      </c>
      <c r="C1021" s="33"/>
      <c r="D1021" s="24"/>
      <c r="E1021" s="30" t="str">
        <f aca="false">IF($D1021="","",IFERROR(INDEX(合同单位,MATCH($D1021,合同键,0)),IFERROR(TRIM(LEFT($D1021,FIND("｜",$D1021)-1)),$D1021)))</f>
        <v/>
      </c>
      <c r="F1021" s="30" t="str">
        <f aca="false">IF($D1021="","",IFERROR(INDEX(合同项目,MATCH($D1021,合同键,0)),IFERROR(TRIM(MID($D1021,FIND("｜",$D1021)+1,99)),"")))</f>
        <v/>
      </c>
      <c r="G1021" s="24"/>
      <c r="H1021" s="35" t="str">
        <f aca="false">IF($G1021="","",IFERROR(INDEX(费用款别,MATCH($G1021,费用类别表,0)),"合同外款"))</f>
        <v/>
      </c>
      <c r="I1021" s="33"/>
      <c r="J1021" s="33"/>
      <c r="K1021" s="39"/>
      <c r="L1021" s="33"/>
      <c r="M1021" s="25"/>
      <c r="N1021" s="39"/>
      <c r="O1021" s="35" t="str">
        <f aca="false">IF($C1021="","",IF(N($N1021)&lt;=0,"未开票",IF(ROUND(N($N1021)-N($K1021),2)&gt;=0,"已开票",IFERROR("部分开票 "&amp;TEXT(N($N1021)/N($K1021),"0%"),"部分开票"))))</f>
        <v/>
      </c>
      <c r="P1021" s="40" t="str">
        <f aca="false">IF($C1021="","",ROUND($V1021+MIN($W1021,MAX(0,(SUMIF(收款键,$D1021,收款金额)-SUMIFS(收款金额,收款键,$D1021,收款关联,"&lt;&gt;"))-($X1021-$W1021))),2))</f>
        <v/>
      </c>
      <c r="Q1021" s="41" t="str">
        <f aca="false">IF($C1021="","",ROUND(N($K1021)-N($P1021),2))</f>
        <v/>
      </c>
      <c r="R1021" s="29" t="str">
        <f aca="false">IF($C1021="","",YEAR($C1021))</f>
        <v/>
      </c>
      <c r="S1021" s="24"/>
      <c r="T1021" s="35" t="str">
        <f aca="false">IF($C1021="","",IF($D1021="","★没选客户项目",IF(COUNTIF(合同键,$D1021)=0,"★《维保合同》里没这个项目",IF(N($K1021)&lt;=0,"★应收金额要填",IF(ROUND(N($N1021)-N($K1021),2)&gt;0.001,"★开票金额大于应收",IF(AND($L1021&lt;&gt;"",N($N1021)&lt;=0),"★填了开票日期没填开票金额",IF(AND($I1021&lt;&gt;"",$J1021&lt;&gt;"",$J1021&lt;$I1021),"★计费期间起止反了","OK")))))))</f>
        <v/>
      </c>
      <c r="U1021" s="29" t="str">
        <f aca="false">IF($L1021="","",YEAR($L1021))</f>
        <v/>
      </c>
      <c r="V1021" s="40" t="str">
        <f aca="false">IF($C1021="","",ROUND(SUMIF(收款关联,$B1021,收款金额),2))</f>
        <v/>
      </c>
      <c r="W1021" s="40" t="str">
        <f aca="false">IF($C1021="","",MAX(0,ROUND(N($K1021)-N($V1021),2)))</f>
        <v/>
      </c>
      <c r="X1021" s="40" t="str">
        <f aca="false">IF($C1021="","",ROUND(SUMIFS(应收净额,应收键,$D1021,应收行号,"&lt;="&amp;ROW()),2))</f>
        <v/>
      </c>
      <c r="Y1021" s="29" t="str">
        <f aca="false">IF($C1021="","",ROW())</f>
        <v/>
      </c>
    </row>
    <row r="1022" customFormat="false" ht="15" hidden="false" customHeight="false" outlineLevel="0" collapsed="false">
      <c r="A1022" s="29" t="str">
        <f aca="false">IF($C1022="","",ROW()-4)</f>
        <v/>
      </c>
      <c r="B1022" s="35" t="str">
        <f aca="false">IF($C1022="","","YS"&amp;TEXT($C1022,"yyyymm")&amp;"-"&amp;TEXT(ROW()-4,"0000"))</f>
        <v/>
      </c>
      <c r="C1022" s="33"/>
      <c r="D1022" s="24"/>
      <c r="E1022" s="30" t="str">
        <f aca="false">IF($D1022="","",IFERROR(INDEX(合同单位,MATCH($D1022,合同键,0)),IFERROR(TRIM(LEFT($D1022,FIND("｜",$D1022)-1)),$D1022)))</f>
        <v/>
      </c>
      <c r="F1022" s="30" t="str">
        <f aca="false">IF($D1022="","",IFERROR(INDEX(合同项目,MATCH($D1022,合同键,0)),IFERROR(TRIM(MID($D1022,FIND("｜",$D1022)+1,99)),"")))</f>
        <v/>
      </c>
      <c r="G1022" s="24"/>
      <c r="H1022" s="35" t="str">
        <f aca="false">IF($G1022="","",IFERROR(INDEX(费用款别,MATCH($G1022,费用类别表,0)),"合同外款"))</f>
        <v/>
      </c>
      <c r="I1022" s="33"/>
      <c r="J1022" s="33"/>
      <c r="K1022" s="39"/>
      <c r="L1022" s="33"/>
      <c r="M1022" s="25"/>
      <c r="N1022" s="39"/>
      <c r="O1022" s="35" t="str">
        <f aca="false">IF($C1022="","",IF(N($N1022)&lt;=0,"未开票",IF(ROUND(N($N1022)-N($K1022),2)&gt;=0,"已开票",IFERROR("部分开票 "&amp;TEXT(N($N1022)/N($K1022),"0%"),"部分开票"))))</f>
        <v/>
      </c>
      <c r="P1022" s="40" t="str">
        <f aca="false">IF($C1022="","",ROUND($V1022+MIN($W1022,MAX(0,(SUMIF(收款键,$D1022,收款金额)-SUMIFS(收款金额,收款键,$D1022,收款关联,"&lt;&gt;"))-($X1022-$W1022))),2))</f>
        <v/>
      </c>
      <c r="Q1022" s="41" t="str">
        <f aca="false">IF($C1022="","",ROUND(N($K1022)-N($P1022),2))</f>
        <v/>
      </c>
      <c r="R1022" s="29" t="str">
        <f aca="false">IF($C1022="","",YEAR($C1022))</f>
        <v/>
      </c>
      <c r="S1022" s="24"/>
      <c r="T1022" s="35" t="str">
        <f aca="false">IF($C1022="","",IF($D1022="","★没选客户项目",IF(COUNTIF(合同键,$D1022)=0,"★《维保合同》里没这个项目",IF(N($K1022)&lt;=0,"★应收金额要填",IF(ROUND(N($N1022)-N($K1022),2)&gt;0.001,"★开票金额大于应收",IF(AND($L1022&lt;&gt;"",N($N1022)&lt;=0),"★填了开票日期没填开票金额",IF(AND($I1022&lt;&gt;"",$J1022&lt;&gt;"",$J1022&lt;$I1022),"★计费期间起止反了","OK")))))))</f>
        <v/>
      </c>
      <c r="U1022" s="29" t="str">
        <f aca="false">IF($L1022="","",YEAR($L1022))</f>
        <v/>
      </c>
      <c r="V1022" s="40" t="str">
        <f aca="false">IF($C1022="","",ROUND(SUMIF(收款关联,$B1022,收款金额),2))</f>
        <v/>
      </c>
      <c r="W1022" s="40" t="str">
        <f aca="false">IF($C1022="","",MAX(0,ROUND(N($K1022)-N($V1022),2)))</f>
        <v/>
      </c>
      <c r="X1022" s="40" t="str">
        <f aca="false">IF($C1022="","",ROUND(SUMIFS(应收净额,应收键,$D1022,应收行号,"&lt;="&amp;ROW()),2))</f>
        <v/>
      </c>
      <c r="Y1022" s="29" t="str">
        <f aca="false">IF($C1022="","",ROW())</f>
        <v/>
      </c>
    </row>
    <row r="1023" customFormat="false" ht="15" hidden="false" customHeight="false" outlineLevel="0" collapsed="false">
      <c r="A1023" s="29" t="str">
        <f aca="false">IF($C1023="","",ROW()-4)</f>
        <v/>
      </c>
      <c r="B1023" s="35" t="str">
        <f aca="false">IF($C1023="","","YS"&amp;TEXT($C1023,"yyyymm")&amp;"-"&amp;TEXT(ROW()-4,"0000"))</f>
        <v/>
      </c>
      <c r="C1023" s="33"/>
      <c r="D1023" s="24"/>
      <c r="E1023" s="30" t="str">
        <f aca="false">IF($D1023="","",IFERROR(INDEX(合同单位,MATCH($D1023,合同键,0)),IFERROR(TRIM(LEFT($D1023,FIND("｜",$D1023)-1)),$D1023)))</f>
        <v/>
      </c>
      <c r="F1023" s="30" t="str">
        <f aca="false">IF($D1023="","",IFERROR(INDEX(合同项目,MATCH($D1023,合同键,0)),IFERROR(TRIM(MID($D1023,FIND("｜",$D1023)+1,99)),"")))</f>
        <v/>
      </c>
      <c r="G1023" s="24"/>
      <c r="H1023" s="35" t="str">
        <f aca="false">IF($G1023="","",IFERROR(INDEX(费用款别,MATCH($G1023,费用类别表,0)),"合同外款"))</f>
        <v/>
      </c>
      <c r="I1023" s="33"/>
      <c r="J1023" s="33"/>
      <c r="K1023" s="39"/>
      <c r="L1023" s="33"/>
      <c r="M1023" s="25"/>
      <c r="N1023" s="39"/>
      <c r="O1023" s="35" t="str">
        <f aca="false">IF($C1023="","",IF(N($N1023)&lt;=0,"未开票",IF(ROUND(N($N1023)-N($K1023),2)&gt;=0,"已开票",IFERROR("部分开票 "&amp;TEXT(N($N1023)/N($K1023),"0%"),"部分开票"))))</f>
        <v/>
      </c>
      <c r="P1023" s="40" t="str">
        <f aca="false">IF($C1023="","",ROUND($V1023+MIN($W1023,MAX(0,(SUMIF(收款键,$D1023,收款金额)-SUMIFS(收款金额,收款键,$D1023,收款关联,"&lt;&gt;"))-($X1023-$W1023))),2))</f>
        <v/>
      </c>
      <c r="Q1023" s="41" t="str">
        <f aca="false">IF($C1023="","",ROUND(N($K1023)-N($P1023),2))</f>
        <v/>
      </c>
      <c r="R1023" s="29" t="str">
        <f aca="false">IF($C1023="","",YEAR($C1023))</f>
        <v/>
      </c>
      <c r="S1023" s="24"/>
      <c r="T1023" s="35" t="str">
        <f aca="false">IF($C1023="","",IF($D1023="","★没选客户项目",IF(COUNTIF(合同键,$D1023)=0,"★《维保合同》里没这个项目",IF(N($K1023)&lt;=0,"★应收金额要填",IF(ROUND(N($N1023)-N($K1023),2)&gt;0.001,"★开票金额大于应收",IF(AND($L1023&lt;&gt;"",N($N1023)&lt;=0),"★填了开票日期没填开票金额",IF(AND($I1023&lt;&gt;"",$J1023&lt;&gt;"",$J1023&lt;$I1023),"★计费期间起止反了","OK")))))))</f>
        <v/>
      </c>
      <c r="U1023" s="29" t="str">
        <f aca="false">IF($L1023="","",YEAR($L1023))</f>
        <v/>
      </c>
      <c r="V1023" s="40" t="str">
        <f aca="false">IF($C1023="","",ROUND(SUMIF(收款关联,$B1023,收款金额),2))</f>
        <v/>
      </c>
      <c r="W1023" s="40" t="str">
        <f aca="false">IF($C1023="","",MAX(0,ROUND(N($K1023)-N($V1023),2)))</f>
        <v/>
      </c>
      <c r="X1023" s="40" t="str">
        <f aca="false">IF($C1023="","",ROUND(SUMIFS(应收净额,应收键,$D1023,应收行号,"&lt;="&amp;ROW()),2))</f>
        <v/>
      </c>
      <c r="Y1023" s="29" t="str">
        <f aca="false">IF($C1023="","",ROW())</f>
        <v/>
      </c>
    </row>
    <row r="1024" customFormat="false" ht="15" hidden="false" customHeight="false" outlineLevel="0" collapsed="false">
      <c r="A1024" s="29" t="str">
        <f aca="false">IF($C1024="","",ROW()-4)</f>
        <v/>
      </c>
      <c r="B1024" s="35" t="str">
        <f aca="false">IF($C1024="","","YS"&amp;TEXT($C1024,"yyyymm")&amp;"-"&amp;TEXT(ROW()-4,"0000"))</f>
        <v/>
      </c>
      <c r="C1024" s="33"/>
      <c r="D1024" s="24"/>
      <c r="E1024" s="30" t="str">
        <f aca="false">IF($D1024="","",IFERROR(INDEX(合同单位,MATCH($D1024,合同键,0)),IFERROR(TRIM(LEFT($D1024,FIND("｜",$D1024)-1)),$D1024)))</f>
        <v/>
      </c>
      <c r="F1024" s="30" t="str">
        <f aca="false">IF($D1024="","",IFERROR(INDEX(合同项目,MATCH($D1024,合同键,0)),IFERROR(TRIM(MID($D1024,FIND("｜",$D1024)+1,99)),"")))</f>
        <v/>
      </c>
      <c r="G1024" s="24"/>
      <c r="H1024" s="35" t="str">
        <f aca="false">IF($G1024="","",IFERROR(INDEX(费用款别,MATCH($G1024,费用类别表,0)),"合同外款"))</f>
        <v/>
      </c>
      <c r="I1024" s="33"/>
      <c r="J1024" s="33"/>
      <c r="K1024" s="39"/>
      <c r="L1024" s="33"/>
      <c r="M1024" s="25"/>
      <c r="N1024" s="39"/>
      <c r="O1024" s="35" t="str">
        <f aca="false">IF($C1024="","",IF(N($N1024)&lt;=0,"未开票",IF(ROUND(N($N1024)-N($K1024),2)&gt;=0,"已开票",IFERROR("部分开票 "&amp;TEXT(N($N1024)/N($K1024),"0%"),"部分开票"))))</f>
        <v/>
      </c>
      <c r="P1024" s="40" t="str">
        <f aca="false">IF($C1024="","",ROUND($V1024+MIN($W1024,MAX(0,(SUMIF(收款键,$D1024,收款金额)-SUMIFS(收款金额,收款键,$D1024,收款关联,"&lt;&gt;"))-($X1024-$W1024))),2))</f>
        <v/>
      </c>
      <c r="Q1024" s="41" t="str">
        <f aca="false">IF($C1024="","",ROUND(N($K1024)-N($P1024),2))</f>
        <v/>
      </c>
      <c r="R1024" s="29" t="str">
        <f aca="false">IF($C1024="","",YEAR($C1024))</f>
        <v/>
      </c>
      <c r="S1024" s="24"/>
      <c r="T1024" s="35" t="str">
        <f aca="false">IF($C1024="","",IF($D1024="","★没选客户项目",IF(COUNTIF(合同键,$D1024)=0,"★《维保合同》里没这个项目",IF(N($K1024)&lt;=0,"★应收金额要填",IF(ROUND(N($N1024)-N($K1024),2)&gt;0.001,"★开票金额大于应收",IF(AND($L1024&lt;&gt;"",N($N1024)&lt;=0),"★填了开票日期没填开票金额",IF(AND($I1024&lt;&gt;"",$J1024&lt;&gt;"",$J1024&lt;$I1024),"★计费期间起止反了","OK")))))))</f>
        <v/>
      </c>
      <c r="U1024" s="29" t="str">
        <f aca="false">IF($L1024="","",YEAR($L1024))</f>
        <v/>
      </c>
      <c r="V1024" s="40" t="str">
        <f aca="false">IF($C1024="","",ROUND(SUMIF(收款关联,$B1024,收款金额),2))</f>
        <v/>
      </c>
      <c r="W1024" s="40" t="str">
        <f aca="false">IF($C1024="","",MAX(0,ROUND(N($K1024)-N($V1024),2)))</f>
        <v/>
      </c>
      <c r="X1024" s="40" t="str">
        <f aca="false">IF($C1024="","",ROUND(SUMIFS(应收净额,应收键,$D1024,应收行号,"&lt;="&amp;ROW()),2))</f>
        <v/>
      </c>
      <c r="Y1024" s="29" t="str">
        <f aca="false">IF($C1024="","",ROW())</f>
        <v/>
      </c>
    </row>
    <row r="1025" customFormat="false" ht="15" hidden="false" customHeight="false" outlineLevel="0" collapsed="false">
      <c r="A1025" s="29" t="str">
        <f aca="false">IF($C1025="","",ROW()-4)</f>
        <v/>
      </c>
      <c r="B1025" s="35" t="str">
        <f aca="false">IF($C1025="","","YS"&amp;TEXT($C1025,"yyyymm")&amp;"-"&amp;TEXT(ROW()-4,"0000"))</f>
        <v/>
      </c>
      <c r="C1025" s="33"/>
      <c r="D1025" s="24"/>
      <c r="E1025" s="30" t="str">
        <f aca="false">IF($D1025="","",IFERROR(INDEX(合同单位,MATCH($D1025,合同键,0)),IFERROR(TRIM(LEFT($D1025,FIND("｜",$D1025)-1)),$D1025)))</f>
        <v/>
      </c>
      <c r="F1025" s="30" t="str">
        <f aca="false">IF($D1025="","",IFERROR(INDEX(合同项目,MATCH($D1025,合同键,0)),IFERROR(TRIM(MID($D1025,FIND("｜",$D1025)+1,99)),"")))</f>
        <v/>
      </c>
      <c r="G1025" s="24"/>
      <c r="H1025" s="35" t="str">
        <f aca="false">IF($G1025="","",IFERROR(INDEX(费用款别,MATCH($G1025,费用类别表,0)),"合同外款"))</f>
        <v/>
      </c>
      <c r="I1025" s="33"/>
      <c r="J1025" s="33"/>
      <c r="K1025" s="39"/>
      <c r="L1025" s="33"/>
      <c r="M1025" s="25"/>
      <c r="N1025" s="39"/>
      <c r="O1025" s="35" t="str">
        <f aca="false">IF($C1025="","",IF(N($N1025)&lt;=0,"未开票",IF(ROUND(N($N1025)-N($K1025),2)&gt;=0,"已开票",IFERROR("部分开票 "&amp;TEXT(N($N1025)/N($K1025),"0%"),"部分开票"))))</f>
        <v/>
      </c>
      <c r="P1025" s="40" t="str">
        <f aca="false">IF($C1025="","",ROUND($V1025+MIN($W1025,MAX(0,(SUMIF(收款键,$D1025,收款金额)-SUMIFS(收款金额,收款键,$D1025,收款关联,"&lt;&gt;"))-($X1025-$W1025))),2))</f>
        <v/>
      </c>
      <c r="Q1025" s="41" t="str">
        <f aca="false">IF($C1025="","",ROUND(N($K1025)-N($P1025),2))</f>
        <v/>
      </c>
      <c r="R1025" s="29" t="str">
        <f aca="false">IF($C1025="","",YEAR($C1025))</f>
        <v/>
      </c>
      <c r="S1025" s="24"/>
      <c r="T1025" s="35" t="str">
        <f aca="false">IF($C1025="","",IF($D1025="","★没选客户项目",IF(COUNTIF(合同键,$D1025)=0,"★《维保合同》里没这个项目",IF(N($K1025)&lt;=0,"★应收金额要填",IF(ROUND(N($N1025)-N($K1025),2)&gt;0.001,"★开票金额大于应收",IF(AND($L1025&lt;&gt;"",N($N1025)&lt;=0),"★填了开票日期没填开票金额",IF(AND($I1025&lt;&gt;"",$J1025&lt;&gt;"",$J1025&lt;$I1025),"★计费期间起止反了","OK")))))))</f>
        <v/>
      </c>
      <c r="U1025" s="29" t="str">
        <f aca="false">IF($L1025="","",YEAR($L1025))</f>
        <v/>
      </c>
      <c r="V1025" s="40" t="str">
        <f aca="false">IF($C1025="","",ROUND(SUMIF(收款关联,$B1025,收款金额),2))</f>
        <v/>
      </c>
      <c r="W1025" s="40" t="str">
        <f aca="false">IF($C1025="","",MAX(0,ROUND(N($K1025)-N($V1025),2)))</f>
        <v/>
      </c>
      <c r="X1025" s="40" t="str">
        <f aca="false">IF($C1025="","",ROUND(SUMIFS(应收净额,应收键,$D1025,应收行号,"&lt;="&amp;ROW()),2))</f>
        <v/>
      </c>
      <c r="Y1025" s="29" t="str">
        <f aca="false">IF($C1025="","",ROW())</f>
        <v/>
      </c>
    </row>
    <row r="1026" customFormat="false" ht="15" hidden="false" customHeight="false" outlineLevel="0" collapsed="false">
      <c r="A1026" s="29" t="str">
        <f aca="false">IF($C1026="","",ROW()-4)</f>
        <v/>
      </c>
      <c r="B1026" s="35" t="str">
        <f aca="false">IF($C1026="","","YS"&amp;TEXT($C1026,"yyyymm")&amp;"-"&amp;TEXT(ROW()-4,"0000"))</f>
        <v/>
      </c>
      <c r="C1026" s="33"/>
      <c r="D1026" s="24"/>
      <c r="E1026" s="30" t="str">
        <f aca="false">IF($D1026="","",IFERROR(INDEX(合同单位,MATCH($D1026,合同键,0)),IFERROR(TRIM(LEFT($D1026,FIND("｜",$D1026)-1)),$D1026)))</f>
        <v/>
      </c>
      <c r="F1026" s="30" t="str">
        <f aca="false">IF($D1026="","",IFERROR(INDEX(合同项目,MATCH($D1026,合同键,0)),IFERROR(TRIM(MID($D1026,FIND("｜",$D1026)+1,99)),"")))</f>
        <v/>
      </c>
      <c r="G1026" s="24"/>
      <c r="H1026" s="35" t="str">
        <f aca="false">IF($G1026="","",IFERROR(INDEX(费用款别,MATCH($G1026,费用类别表,0)),"合同外款"))</f>
        <v/>
      </c>
      <c r="I1026" s="33"/>
      <c r="J1026" s="33"/>
      <c r="K1026" s="39"/>
      <c r="L1026" s="33"/>
      <c r="M1026" s="25"/>
      <c r="N1026" s="39"/>
      <c r="O1026" s="35" t="str">
        <f aca="false">IF($C1026="","",IF(N($N1026)&lt;=0,"未开票",IF(ROUND(N($N1026)-N($K1026),2)&gt;=0,"已开票",IFERROR("部分开票 "&amp;TEXT(N($N1026)/N($K1026),"0%"),"部分开票"))))</f>
        <v/>
      </c>
      <c r="P1026" s="40" t="str">
        <f aca="false">IF($C1026="","",ROUND($V1026+MIN($W1026,MAX(0,(SUMIF(收款键,$D1026,收款金额)-SUMIFS(收款金额,收款键,$D1026,收款关联,"&lt;&gt;"))-($X1026-$W1026))),2))</f>
        <v/>
      </c>
      <c r="Q1026" s="41" t="str">
        <f aca="false">IF($C1026="","",ROUND(N($K1026)-N($P1026),2))</f>
        <v/>
      </c>
      <c r="R1026" s="29" t="str">
        <f aca="false">IF($C1026="","",YEAR($C1026))</f>
        <v/>
      </c>
      <c r="S1026" s="24"/>
      <c r="T1026" s="35" t="str">
        <f aca="false">IF($C1026="","",IF($D1026="","★没选客户项目",IF(COUNTIF(合同键,$D1026)=0,"★《维保合同》里没这个项目",IF(N($K1026)&lt;=0,"★应收金额要填",IF(ROUND(N($N1026)-N($K1026),2)&gt;0.001,"★开票金额大于应收",IF(AND($L1026&lt;&gt;"",N($N1026)&lt;=0),"★填了开票日期没填开票金额",IF(AND($I1026&lt;&gt;"",$J1026&lt;&gt;"",$J1026&lt;$I1026),"★计费期间起止反了","OK")))))))</f>
        <v/>
      </c>
      <c r="U1026" s="29" t="str">
        <f aca="false">IF($L1026="","",YEAR($L1026))</f>
        <v/>
      </c>
      <c r="V1026" s="40" t="str">
        <f aca="false">IF($C1026="","",ROUND(SUMIF(收款关联,$B1026,收款金额),2))</f>
        <v/>
      </c>
      <c r="W1026" s="40" t="str">
        <f aca="false">IF($C1026="","",MAX(0,ROUND(N($K1026)-N($V1026),2)))</f>
        <v/>
      </c>
      <c r="X1026" s="40" t="str">
        <f aca="false">IF($C1026="","",ROUND(SUMIFS(应收净额,应收键,$D1026,应收行号,"&lt;="&amp;ROW()),2))</f>
        <v/>
      </c>
      <c r="Y1026" s="29" t="str">
        <f aca="false">IF($C1026="","",ROW())</f>
        <v/>
      </c>
    </row>
    <row r="1027" customFormat="false" ht="15" hidden="false" customHeight="false" outlineLevel="0" collapsed="false">
      <c r="A1027" s="29" t="str">
        <f aca="false">IF($C1027="","",ROW()-4)</f>
        <v/>
      </c>
      <c r="B1027" s="35" t="str">
        <f aca="false">IF($C1027="","","YS"&amp;TEXT($C1027,"yyyymm")&amp;"-"&amp;TEXT(ROW()-4,"0000"))</f>
        <v/>
      </c>
      <c r="C1027" s="33"/>
      <c r="D1027" s="24"/>
      <c r="E1027" s="30" t="str">
        <f aca="false">IF($D1027="","",IFERROR(INDEX(合同单位,MATCH($D1027,合同键,0)),IFERROR(TRIM(LEFT($D1027,FIND("｜",$D1027)-1)),$D1027)))</f>
        <v/>
      </c>
      <c r="F1027" s="30" t="str">
        <f aca="false">IF($D1027="","",IFERROR(INDEX(合同项目,MATCH($D1027,合同键,0)),IFERROR(TRIM(MID($D1027,FIND("｜",$D1027)+1,99)),"")))</f>
        <v/>
      </c>
      <c r="G1027" s="24"/>
      <c r="H1027" s="35" t="str">
        <f aca="false">IF($G1027="","",IFERROR(INDEX(费用款别,MATCH($G1027,费用类别表,0)),"合同外款"))</f>
        <v/>
      </c>
      <c r="I1027" s="33"/>
      <c r="J1027" s="33"/>
      <c r="K1027" s="39"/>
      <c r="L1027" s="33"/>
      <c r="M1027" s="25"/>
      <c r="N1027" s="39"/>
      <c r="O1027" s="35" t="str">
        <f aca="false">IF($C1027="","",IF(N($N1027)&lt;=0,"未开票",IF(ROUND(N($N1027)-N($K1027),2)&gt;=0,"已开票",IFERROR("部分开票 "&amp;TEXT(N($N1027)/N($K1027),"0%"),"部分开票"))))</f>
        <v/>
      </c>
      <c r="P1027" s="40" t="str">
        <f aca="false">IF($C1027="","",ROUND($V1027+MIN($W1027,MAX(0,(SUMIF(收款键,$D1027,收款金额)-SUMIFS(收款金额,收款键,$D1027,收款关联,"&lt;&gt;"))-($X1027-$W1027))),2))</f>
        <v/>
      </c>
      <c r="Q1027" s="41" t="str">
        <f aca="false">IF($C1027="","",ROUND(N($K1027)-N($P1027),2))</f>
        <v/>
      </c>
      <c r="R1027" s="29" t="str">
        <f aca="false">IF($C1027="","",YEAR($C1027))</f>
        <v/>
      </c>
      <c r="S1027" s="24"/>
      <c r="T1027" s="35" t="str">
        <f aca="false">IF($C1027="","",IF($D1027="","★没选客户项目",IF(COUNTIF(合同键,$D1027)=0,"★《维保合同》里没这个项目",IF(N($K1027)&lt;=0,"★应收金额要填",IF(ROUND(N($N1027)-N($K1027),2)&gt;0.001,"★开票金额大于应收",IF(AND($L1027&lt;&gt;"",N($N1027)&lt;=0),"★填了开票日期没填开票金额",IF(AND($I1027&lt;&gt;"",$J1027&lt;&gt;"",$J1027&lt;$I1027),"★计费期间起止反了","OK")))))))</f>
        <v/>
      </c>
      <c r="U1027" s="29" t="str">
        <f aca="false">IF($L1027="","",YEAR($L1027))</f>
        <v/>
      </c>
      <c r="V1027" s="40" t="str">
        <f aca="false">IF($C1027="","",ROUND(SUMIF(收款关联,$B1027,收款金额),2))</f>
        <v/>
      </c>
      <c r="W1027" s="40" t="str">
        <f aca="false">IF($C1027="","",MAX(0,ROUND(N($K1027)-N($V1027),2)))</f>
        <v/>
      </c>
      <c r="X1027" s="40" t="str">
        <f aca="false">IF($C1027="","",ROUND(SUMIFS(应收净额,应收键,$D1027,应收行号,"&lt;="&amp;ROW()),2))</f>
        <v/>
      </c>
      <c r="Y1027" s="29" t="str">
        <f aca="false">IF($C1027="","",ROW())</f>
        <v/>
      </c>
    </row>
    <row r="1028" customFormat="false" ht="15" hidden="false" customHeight="false" outlineLevel="0" collapsed="false">
      <c r="A1028" s="29" t="str">
        <f aca="false">IF($C1028="","",ROW()-4)</f>
        <v/>
      </c>
      <c r="B1028" s="35" t="str">
        <f aca="false">IF($C1028="","","YS"&amp;TEXT($C1028,"yyyymm")&amp;"-"&amp;TEXT(ROW()-4,"0000"))</f>
        <v/>
      </c>
      <c r="C1028" s="33"/>
      <c r="D1028" s="24"/>
      <c r="E1028" s="30" t="str">
        <f aca="false">IF($D1028="","",IFERROR(INDEX(合同单位,MATCH($D1028,合同键,0)),IFERROR(TRIM(LEFT($D1028,FIND("｜",$D1028)-1)),$D1028)))</f>
        <v/>
      </c>
      <c r="F1028" s="30" t="str">
        <f aca="false">IF($D1028="","",IFERROR(INDEX(合同项目,MATCH($D1028,合同键,0)),IFERROR(TRIM(MID($D1028,FIND("｜",$D1028)+1,99)),"")))</f>
        <v/>
      </c>
      <c r="G1028" s="24"/>
      <c r="H1028" s="35" t="str">
        <f aca="false">IF($G1028="","",IFERROR(INDEX(费用款别,MATCH($G1028,费用类别表,0)),"合同外款"))</f>
        <v/>
      </c>
      <c r="I1028" s="33"/>
      <c r="J1028" s="33"/>
      <c r="K1028" s="39"/>
      <c r="L1028" s="33"/>
      <c r="M1028" s="25"/>
      <c r="N1028" s="39"/>
      <c r="O1028" s="35" t="str">
        <f aca="false">IF($C1028="","",IF(N($N1028)&lt;=0,"未开票",IF(ROUND(N($N1028)-N($K1028),2)&gt;=0,"已开票",IFERROR("部分开票 "&amp;TEXT(N($N1028)/N($K1028),"0%"),"部分开票"))))</f>
        <v/>
      </c>
      <c r="P1028" s="40" t="str">
        <f aca="false">IF($C1028="","",ROUND($V1028+MIN($W1028,MAX(0,(SUMIF(收款键,$D1028,收款金额)-SUMIFS(收款金额,收款键,$D1028,收款关联,"&lt;&gt;"))-($X1028-$W1028))),2))</f>
        <v/>
      </c>
      <c r="Q1028" s="41" t="str">
        <f aca="false">IF($C1028="","",ROUND(N($K1028)-N($P1028),2))</f>
        <v/>
      </c>
      <c r="R1028" s="29" t="str">
        <f aca="false">IF($C1028="","",YEAR($C1028))</f>
        <v/>
      </c>
      <c r="S1028" s="24"/>
      <c r="T1028" s="35" t="str">
        <f aca="false">IF($C1028="","",IF($D1028="","★没选客户项目",IF(COUNTIF(合同键,$D1028)=0,"★《维保合同》里没这个项目",IF(N($K1028)&lt;=0,"★应收金额要填",IF(ROUND(N($N1028)-N($K1028),2)&gt;0.001,"★开票金额大于应收",IF(AND($L1028&lt;&gt;"",N($N1028)&lt;=0),"★填了开票日期没填开票金额",IF(AND($I1028&lt;&gt;"",$J1028&lt;&gt;"",$J1028&lt;$I1028),"★计费期间起止反了","OK")))))))</f>
        <v/>
      </c>
      <c r="U1028" s="29" t="str">
        <f aca="false">IF($L1028="","",YEAR($L1028))</f>
        <v/>
      </c>
      <c r="V1028" s="40" t="str">
        <f aca="false">IF($C1028="","",ROUND(SUMIF(收款关联,$B1028,收款金额),2))</f>
        <v/>
      </c>
      <c r="W1028" s="40" t="str">
        <f aca="false">IF($C1028="","",MAX(0,ROUND(N($K1028)-N($V1028),2)))</f>
        <v/>
      </c>
      <c r="X1028" s="40" t="str">
        <f aca="false">IF($C1028="","",ROUND(SUMIFS(应收净额,应收键,$D1028,应收行号,"&lt;="&amp;ROW()),2))</f>
        <v/>
      </c>
      <c r="Y1028" s="29" t="str">
        <f aca="false">IF($C1028="","",ROW())</f>
        <v/>
      </c>
    </row>
    <row r="1029" customFormat="false" ht="15" hidden="false" customHeight="false" outlineLevel="0" collapsed="false">
      <c r="A1029" s="29" t="str">
        <f aca="false">IF($C1029="","",ROW()-4)</f>
        <v/>
      </c>
      <c r="B1029" s="35" t="str">
        <f aca="false">IF($C1029="","","YS"&amp;TEXT($C1029,"yyyymm")&amp;"-"&amp;TEXT(ROW()-4,"0000"))</f>
        <v/>
      </c>
      <c r="C1029" s="33"/>
      <c r="D1029" s="24"/>
      <c r="E1029" s="30" t="str">
        <f aca="false">IF($D1029="","",IFERROR(INDEX(合同单位,MATCH($D1029,合同键,0)),IFERROR(TRIM(LEFT($D1029,FIND("｜",$D1029)-1)),$D1029)))</f>
        <v/>
      </c>
      <c r="F1029" s="30" t="str">
        <f aca="false">IF($D1029="","",IFERROR(INDEX(合同项目,MATCH($D1029,合同键,0)),IFERROR(TRIM(MID($D1029,FIND("｜",$D1029)+1,99)),"")))</f>
        <v/>
      </c>
      <c r="G1029" s="24"/>
      <c r="H1029" s="35" t="str">
        <f aca="false">IF($G1029="","",IFERROR(INDEX(费用款别,MATCH($G1029,费用类别表,0)),"合同外款"))</f>
        <v/>
      </c>
      <c r="I1029" s="33"/>
      <c r="J1029" s="33"/>
      <c r="K1029" s="39"/>
      <c r="L1029" s="33"/>
      <c r="M1029" s="25"/>
      <c r="N1029" s="39"/>
      <c r="O1029" s="35" t="str">
        <f aca="false">IF($C1029="","",IF(N($N1029)&lt;=0,"未开票",IF(ROUND(N($N1029)-N($K1029),2)&gt;=0,"已开票",IFERROR("部分开票 "&amp;TEXT(N($N1029)/N($K1029),"0%"),"部分开票"))))</f>
        <v/>
      </c>
      <c r="P1029" s="40" t="str">
        <f aca="false">IF($C1029="","",ROUND($V1029+MIN($W1029,MAX(0,(SUMIF(收款键,$D1029,收款金额)-SUMIFS(收款金额,收款键,$D1029,收款关联,"&lt;&gt;"))-($X1029-$W1029))),2))</f>
        <v/>
      </c>
      <c r="Q1029" s="41" t="str">
        <f aca="false">IF($C1029="","",ROUND(N($K1029)-N($P1029),2))</f>
        <v/>
      </c>
      <c r="R1029" s="29" t="str">
        <f aca="false">IF($C1029="","",YEAR($C1029))</f>
        <v/>
      </c>
      <c r="S1029" s="24"/>
      <c r="T1029" s="35" t="str">
        <f aca="false">IF($C1029="","",IF($D1029="","★没选客户项目",IF(COUNTIF(合同键,$D1029)=0,"★《维保合同》里没这个项目",IF(N($K1029)&lt;=0,"★应收金额要填",IF(ROUND(N($N1029)-N($K1029),2)&gt;0.001,"★开票金额大于应收",IF(AND($L1029&lt;&gt;"",N($N1029)&lt;=0),"★填了开票日期没填开票金额",IF(AND($I1029&lt;&gt;"",$J1029&lt;&gt;"",$J1029&lt;$I1029),"★计费期间起止反了","OK")))))))</f>
        <v/>
      </c>
      <c r="U1029" s="29" t="str">
        <f aca="false">IF($L1029="","",YEAR($L1029))</f>
        <v/>
      </c>
      <c r="V1029" s="40" t="str">
        <f aca="false">IF($C1029="","",ROUND(SUMIF(收款关联,$B1029,收款金额),2))</f>
        <v/>
      </c>
      <c r="W1029" s="40" t="str">
        <f aca="false">IF($C1029="","",MAX(0,ROUND(N($K1029)-N($V1029),2)))</f>
        <v/>
      </c>
      <c r="X1029" s="40" t="str">
        <f aca="false">IF($C1029="","",ROUND(SUMIFS(应收净额,应收键,$D1029,应收行号,"&lt;="&amp;ROW()),2))</f>
        <v/>
      </c>
      <c r="Y1029" s="29" t="str">
        <f aca="false">IF($C1029="","",ROW())</f>
        <v/>
      </c>
    </row>
    <row r="1030" customFormat="false" ht="15" hidden="false" customHeight="false" outlineLevel="0" collapsed="false">
      <c r="A1030" s="29" t="str">
        <f aca="false">IF($C1030="","",ROW()-4)</f>
        <v/>
      </c>
      <c r="B1030" s="35" t="str">
        <f aca="false">IF($C1030="","","YS"&amp;TEXT($C1030,"yyyymm")&amp;"-"&amp;TEXT(ROW()-4,"0000"))</f>
        <v/>
      </c>
      <c r="C1030" s="33"/>
      <c r="D1030" s="24"/>
      <c r="E1030" s="30" t="str">
        <f aca="false">IF($D1030="","",IFERROR(INDEX(合同单位,MATCH($D1030,合同键,0)),IFERROR(TRIM(LEFT($D1030,FIND("｜",$D1030)-1)),$D1030)))</f>
        <v/>
      </c>
      <c r="F1030" s="30" t="str">
        <f aca="false">IF($D1030="","",IFERROR(INDEX(合同项目,MATCH($D1030,合同键,0)),IFERROR(TRIM(MID($D1030,FIND("｜",$D1030)+1,99)),"")))</f>
        <v/>
      </c>
      <c r="G1030" s="24"/>
      <c r="H1030" s="35" t="str">
        <f aca="false">IF($G1030="","",IFERROR(INDEX(费用款别,MATCH($G1030,费用类别表,0)),"合同外款"))</f>
        <v/>
      </c>
      <c r="I1030" s="33"/>
      <c r="J1030" s="33"/>
      <c r="K1030" s="39"/>
      <c r="L1030" s="33"/>
      <c r="M1030" s="25"/>
      <c r="N1030" s="39"/>
      <c r="O1030" s="35" t="str">
        <f aca="false">IF($C1030="","",IF(N($N1030)&lt;=0,"未开票",IF(ROUND(N($N1030)-N($K1030),2)&gt;=0,"已开票",IFERROR("部分开票 "&amp;TEXT(N($N1030)/N($K1030),"0%"),"部分开票"))))</f>
        <v/>
      </c>
      <c r="P1030" s="40" t="str">
        <f aca="false">IF($C1030="","",ROUND($V1030+MIN($W1030,MAX(0,(SUMIF(收款键,$D1030,收款金额)-SUMIFS(收款金额,收款键,$D1030,收款关联,"&lt;&gt;"))-($X1030-$W1030))),2))</f>
        <v/>
      </c>
      <c r="Q1030" s="41" t="str">
        <f aca="false">IF($C1030="","",ROUND(N($K1030)-N($P1030),2))</f>
        <v/>
      </c>
      <c r="R1030" s="29" t="str">
        <f aca="false">IF($C1030="","",YEAR($C1030))</f>
        <v/>
      </c>
      <c r="S1030" s="24"/>
      <c r="T1030" s="35" t="str">
        <f aca="false">IF($C1030="","",IF($D1030="","★没选客户项目",IF(COUNTIF(合同键,$D1030)=0,"★《维保合同》里没这个项目",IF(N($K1030)&lt;=0,"★应收金额要填",IF(ROUND(N($N1030)-N($K1030),2)&gt;0.001,"★开票金额大于应收",IF(AND($L1030&lt;&gt;"",N($N1030)&lt;=0),"★填了开票日期没填开票金额",IF(AND($I1030&lt;&gt;"",$J1030&lt;&gt;"",$J1030&lt;$I1030),"★计费期间起止反了","OK")))))))</f>
        <v/>
      </c>
      <c r="U1030" s="29" t="str">
        <f aca="false">IF($L1030="","",YEAR($L1030))</f>
        <v/>
      </c>
      <c r="V1030" s="40" t="str">
        <f aca="false">IF($C1030="","",ROUND(SUMIF(收款关联,$B1030,收款金额),2))</f>
        <v/>
      </c>
      <c r="W1030" s="40" t="str">
        <f aca="false">IF($C1030="","",MAX(0,ROUND(N($K1030)-N($V1030),2)))</f>
        <v/>
      </c>
      <c r="X1030" s="40" t="str">
        <f aca="false">IF($C1030="","",ROUND(SUMIFS(应收净额,应收键,$D1030,应收行号,"&lt;="&amp;ROW()),2))</f>
        <v/>
      </c>
      <c r="Y1030" s="29" t="str">
        <f aca="false">IF($C1030="","",ROW())</f>
        <v/>
      </c>
    </row>
    <row r="1031" customFormat="false" ht="15" hidden="false" customHeight="false" outlineLevel="0" collapsed="false">
      <c r="A1031" s="29" t="str">
        <f aca="false">IF($C1031="","",ROW()-4)</f>
        <v/>
      </c>
      <c r="B1031" s="35" t="str">
        <f aca="false">IF($C1031="","","YS"&amp;TEXT($C1031,"yyyymm")&amp;"-"&amp;TEXT(ROW()-4,"0000"))</f>
        <v/>
      </c>
      <c r="C1031" s="33"/>
      <c r="D1031" s="24"/>
      <c r="E1031" s="30" t="str">
        <f aca="false">IF($D1031="","",IFERROR(INDEX(合同单位,MATCH($D1031,合同键,0)),IFERROR(TRIM(LEFT($D1031,FIND("｜",$D1031)-1)),$D1031)))</f>
        <v/>
      </c>
      <c r="F1031" s="30" t="str">
        <f aca="false">IF($D1031="","",IFERROR(INDEX(合同项目,MATCH($D1031,合同键,0)),IFERROR(TRIM(MID($D1031,FIND("｜",$D1031)+1,99)),"")))</f>
        <v/>
      </c>
      <c r="G1031" s="24"/>
      <c r="H1031" s="35" t="str">
        <f aca="false">IF($G1031="","",IFERROR(INDEX(费用款别,MATCH($G1031,费用类别表,0)),"合同外款"))</f>
        <v/>
      </c>
      <c r="I1031" s="33"/>
      <c r="J1031" s="33"/>
      <c r="K1031" s="39"/>
      <c r="L1031" s="33"/>
      <c r="M1031" s="25"/>
      <c r="N1031" s="39"/>
      <c r="O1031" s="35" t="str">
        <f aca="false">IF($C1031="","",IF(N($N1031)&lt;=0,"未开票",IF(ROUND(N($N1031)-N($K1031),2)&gt;=0,"已开票",IFERROR("部分开票 "&amp;TEXT(N($N1031)/N($K1031),"0%"),"部分开票"))))</f>
        <v/>
      </c>
      <c r="P1031" s="40" t="str">
        <f aca="false">IF($C1031="","",ROUND($V1031+MIN($W1031,MAX(0,(SUMIF(收款键,$D1031,收款金额)-SUMIFS(收款金额,收款键,$D1031,收款关联,"&lt;&gt;"))-($X1031-$W1031))),2))</f>
        <v/>
      </c>
      <c r="Q1031" s="41" t="str">
        <f aca="false">IF($C1031="","",ROUND(N($K1031)-N($P1031),2))</f>
        <v/>
      </c>
      <c r="R1031" s="29" t="str">
        <f aca="false">IF($C1031="","",YEAR($C1031))</f>
        <v/>
      </c>
      <c r="S1031" s="24"/>
      <c r="T1031" s="35" t="str">
        <f aca="false">IF($C1031="","",IF($D1031="","★没选客户项目",IF(COUNTIF(合同键,$D1031)=0,"★《维保合同》里没这个项目",IF(N($K1031)&lt;=0,"★应收金额要填",IF(ROUND(N($N1031)-N($K1031),2)&gt;0.001,"★开票金额大于应收",IF(AND($L1031&lt;&gt;"",N($N1031)&lt;=0),"★填了开票日期没填开票金额",IF(AND($I1031&lt;&gt;"",$J1031&lt;&gt;"",$J1031&lt;$I1031),"★计费期间起止反了","OK")))))))</f>
        <v/>
      </c>
      <c r="U1031" s="29" t="str">
        <f aca="false">IF($L1031="","",YEAR($L1031))</f>
        <v/>
      </c>
      <c r="V1031" s="40" t="str">
        <f aca="false">IF($C1031="","",ROUND(SUMIF(收款关联,$B1031,收款金额),2))</f>
        <v/>
      </c>
      <c r="W1031" s="40" t="str">
        <f aca="false">IF($C1031="","",MAX(0,ROUND(N($K1031)-N($V1031),2)))</f>
        <v/>
      </c>
      <c r="X1031" s="40" t="str">
        <f aca="false">IF($C1031="","",ROUND(SUMIFS(应收净额,应收键,$D1031,应收行号,"&lt;="&amp;ROW()),2))</f>
        <v/>
      </c>
      <c r="Y1031" s="29" t="str">
        <f aca="false">IF($C1031="","",ROW())</f>
        <v/>
      </c>
    </row>
    <row r="1032" customFormat="false" ht="15" hidden="false" customHeight="false" outlineLevel="0" collapsed="false">
      <c r="A1032" s="29" t="str">
        <f aca="false">IF($C1032="","",ROW()-4)</f>
        <v/>
      </c>
      <c r="B1032" s="35" t="str">
        <f aca="false">IF($C1032="","","YS"&amp;TEXT($C1032,"yyyymm")&amp;"-"&amp;TEXT(ROW()-4,"0000"))</f>
        <v/>
      </c>
      <c r="C1032" s="33"/>
      <c r="D1032" s="24"/>
      <c r="E1032" s="30" t="str">
        <f aca="false">IF($D1032="","",IFERROR(INDEX(合同单位,MATCH($D1032,合同键,0)),IFERROR(TRIM(LEFT($D1032,FIND("｜",$D1032)-1)),$D1032)))</f>
        <v/>
      </c>
      <c r="F1032" s="30" t="str">
        <f aca="false">IF($D1032="","",IFERROR(INDEX(合同项目,MATCH($D1032,合同键,0)),IFERROR(TRIM(MID($D1032,FIND("｜",$D1032)+1,99)),"")))</f>
        <v/>
      </c>
      <c r="G1032" s="24"/>
      <c r="H1032" s="35" t="str">
        <f aca="false">IF($G1032="","",IFERROR(INDEX(费用款别,MATCH($G1032,费用类别表,0)),"合同外款"))</f>
        <v/>
      </c>
      <c r="I1032" s="33"/>
      <c r="J1032" s="33"/>
      <c r="K1032" s="39"/>
      <c r="L1032" s="33"/>
      <c r="M1032" s="25"/>
      <c r="N1032" s="39"/>
      <c r="O1032" s="35" t="str">
        <f aca="false">IF($C1032="","",IF(N($N1032)&lt;=0,"未开票",IF(ROUND(N($N1032)-N($K1032),2)&gt;=0,"已开票",IFERROR("部分开票 "&amp;TEXT(N($N1032)/N($K1032),"0%"),"部分开票"))))</f>
        <v/>
      </c>
      <c r="P1032" s="40" t="str">
        <f aca="false">IF($C1032="","",ROUND($V1032+MIN($W1032,MAX(0,(SUMIF(收款键,$D1032,收款金额)-SUMIFS(收款金额,收款键,$D1032,收款关联,"&lt;&gt;"))-($X1032-$W1032))),2))</f>
        <v/>
      </c>
      <c r="Q1032" s="41" t="str">
        <f aca="false">IF($C1032="","",ROUND(N($K1032)-N($P1032),2))</f>
        <v/>
      </c>
      <c r="R1032" s="29" t="str">
        <f aca="false">IF($C1032="","",YEAR($C1032))</f>
        <v/>
      </c>
      <c r="S1032" s="24"/>
      <c r="T1032" s="35" t="str">
        <f aca="false">IF($C1032="","",IF($D1032="","★没选客户项目",IF(COUNTIF(合同键,$D1032)=0,"★《维保合同》里没这个项目",IF(N($K1032)&lt;=0,"★应收金额要填",IF(ROUND(N($N1032)-N($K1032),2)&gt;0.001,"★开票金额大于应收",IF(AND($L1032&lt;&gt;"",N($N1032)&lt;=0),"★填了开票日期没填开票金额",IF(AND($I1032&lt;&gt;"",$J1032&lt;&gt;"",$J1032&lt;$I1032),"★计费期间起止反了","OK")))))))</f>
        <v/>
      </c>
      <c r="U1032" s="29" t="str">
        <f aca="false">IF($L1032="","",YEAR($L1032))</f>
        <v/>
      </c>
      <c r="V1032" s="40" t="str">
        <f aca="false">IF($C1032="","",ROUND(SUMIF(收款关联,$B1032,收款金额),2))</f>
        <v/>
      </c>
      <c r="W1032" s="40" t="str">
        <f aca="false">IF($C1032="","",MAX(0,ROUND(N($K1032)-N($V1032),2)))</f>
        <v/>
      </c>
      <c r="X1032" s="40" t="str">
        <f aca="false">IF($C1032="","",ROUND(SUMIFS(应收净额,应收键,$D1032,应收行号,"&lt;="&amp;ROW()),2))</f>
        <v/>
      </c>
      <c r="Y1032" s="29" t="str">
        <f aca="false">IF($C1032="","",ROW())</f>
        <v/>
      </c>
    </row>
    <row r="1033" customFormat="false" ht="15" hidden="false" customHeight="false" outlineLevel="0" collapsed="false">
      <c r="A1033" s="29" t="str">
        <f aca="false">IF($C1033="","",ROW()-4)</f>
        <v/>
      </c>
      <c r="B1033" s="35" t="str">
        <f aca="false">IF($C1033="","","YS"&amp;TEXT($C1033,"yyyymm")&amp;"-"&amp;TEXT(ROW()-4,"0000"))</f>
        <v/>
      </c>
      <c r="C1033" s="33"/>
      <c r="D1033" s="24"/>
      <c r="E1033" s="30" t="str">
        <f aca="false">IF($D1033="","",IFERROR(INDEX(合同单位,MATCH($D1033,合同键,0)),IFERROR(TRIM(LEFT($D1033,FIND("｜",$D1033)-1)),$D1033)))</f>
        <v/>
      </c>
      <c r="F1033" s="30" t="str">
        <f aca="false">IF($D1033="","",IFERROR(INDEX(合同项目,MATCH($D1033,合同键,0)),IFERROR(TRIM(MID($D1033,FIND("｜",$D1033)+1,99)),"")))</f>
        <v/>
      </c>
      <c r="G1033" s="24"/>
      <c r="H1033" s="35" t="str">
        <f aca="false">IF($G1033="","",IFERROR(INDEX(费用款别,MATCH($G1033,费用类别表,0)),"合同外款"))</f>
        <v/>
      </c>
      <c r="I1033" s="33"/>
      <c r="J1033" s="33"/>
      <c r="K1033" s="39"/>
      <c r="L1033" s="33"/>
      <c r="M1033" s="25"/>
      <c r="N1033" s="39"/>
      <c r="O1033" s="35" t="str">
        <f aca="false">IF($C1033="","",IF(N($N1033)&lt;=0,"未开票",IF(ROUND(N($N1033)-N($K1033),2)&gt;=0,"已开票",IFERROR("部分开票 "&amp;TEXT(N($N1033)/N($K1033),"0%"),"部分开票"))))</f>
        <v/>
      </c>
      <c r="P1033" s="40" t="str">
        <f aca="false">IF($C1033="","",ROUND($V1033+MIN($W1033,MAX(0,(SUMIF(收款键,$D1033,收款金额)-SUMIFS(收款金额,收款键,$D1033,收款关联,"&lt;&gt;"))-($X1033-$W1033))),2))</f>
        <v/>
      </c>
      <c r="Q1033" s="41" t="str">
        <f aca="false">IF($C1033="","",ROUND(N($K1033)-N($P1033),2))</f>
        <v/>
      </c>
      <c r="R1033" s="29" t="str">
        <f aca="false">IF($C1033="","",YEAR($C1033))</f>
        <v/>
      </c>
      <c r="S1033" s="24"/>
      <c r="T1033" s="35" t="str">
        <f aca="false">IF($C1033="","",IF($D1033="","★没选客户项目",IF(COUNTIF(合同键,$D1033)=0,"★《维保合同》里没这个项目",IF(N($K1033)&lt;=0,"★应收金额要填",IF(ROUND(N($N1033)-N($K1033),2)&gt;0.001,"★开票金额大于应收",IF(AND($L1033&lt;&gt;"",N($N1033)&lt;=0),"★填了开票日期没填开票金额",IF(AND($I1033&lt;&gt;"",$J1033&lt;&gt;"",$J1033&lt;$I1033),"★计费期间起止反了","OK")))))))</f>
        <v/>
      </c>
      <c r="U1033" s="29" t="str">
        <f aca="false">IF($L1033="","",YEAR($L1033))</f>
        <v/>
      </c>
      <c r="V1033" s="40" t="str">
        <f aca="false">IF($C1033="","",ROUND(SUMIF(收款关联,$B1033,收款金额),2))</f>
        <v/>
      </c>
      <c r="W1033" s="40" t="str">
        <f aca="false">IF($C1033="","",MAX(0,ROUND(N($K1033)-N($V1033),2)))</f>
        <v/>
      </c>
      <c r="X1033" s="40" t="str">
        <f aca="false">IF($C1033="","",ROUND(SUMIFS(应收净额,应收键,$D1033,应收行号,"&lt;="&amp;ROW()),2))</f>
        <v/>
      </c>
      <c r="Y1033" s="29" t="str">
        <f aca="false">IF($C1033="","",ROW())</f>
        <v/>
      </c>
    </row>
    <row r="1034" customFormat="false" ht="15" hidden="false" customHeight="false" outlineLevel="0" collapsed="false">
      <c r="A1034" s="29" t="str">
        <f aca="false">IF($C1034="","",ROW()-4)</f>
        <v/>
      </c>
      <c r="B1034" s="35" t="str">
        <f aca="false">IF($C1034="","","YS"&amp;TEXT($C1034,"yyyymm")&amp;"-"&amp;TEXT(ROW()-4,"0000"))</f>
        <v/>
      </c>
      <c r="C1034" s="33"/>
      <c r="D1034" s="24"/>
      <c r="E1034" s="30" t="str">
        <f aca="false">IF($D1034="","",IFERROR(INDEX(合同单位,MATCH($D1034,合同键,0)),IFERROR(TRIM(LEFT($D1034,FIND("｜",$D1034)-1)),$D1034)))</f>
        <v/>
      </c>
      <c r="F1034" s="30" t="str">
        <f aca="false">IF($D1034="","",IFERROR(INDEX(合同项目,MATCH($D1034,合同键,0)),IFERROR(TRIM(MID($D1034,FIND("｜",$D1034)+1,99)),"")))</f>
        <v/>
      </c>
      <c r="G1034" s="24"/>
      <c r="H1034" s="35" t="str">
        <f aca="false">IF($G1034="","",IFERROR(INDEX(费用款别,MATCH($G1034,费用类别表,0)),"合同外款"))</f>
        <v/>
      </c>
      <c r="I1034" s="33"/>
      <c r="J1034" s="33"/>
      <c r="K1034" s="39"/>
      <c r="L1034" s="33"/>
      <c r="M1034" s="25"/>
      <c r="N1034" s="39"/>
      <c r="O1034" s="35" t="str">
        <f aca="false">IF($C1034="","",IF(N($N1034)&lt;=0,"未开票",IF(ROUND(N($N1034)-N($K1034),2)&gt;=0,"已开票",IFERROR("部分开票 "&amp;TEXT(N($N1034)/N($K1034),"0%"),"部分开票"))))</f>
        <v/>
      </c>
      <c r="P1034" s="40" t="str">
        <f aca="false">IF($C1034="","",ROUND($V1034+MIN($W1034,MAX(0,(SUMIF(收款键,$D1034,收款金额)-SUMIFS(收款金额,收款键,$D1034,收款关联,"&lt;&gt;"))-($X1034-$W1034))),2))</f>
        <v/>
      </c>
      <c r="Q1034" s="41" t="str">
        <f aca="false">IF($C1034="","",ROUND(N($K1034)-N($P1034),2))</f>
        <v/>
      </c>
      <c r="R1034" s="29" t="str">
        <f aca="false">IF($C1034="","",YEAR($C1034))</f>
        <v/>
      </c>
      <c r="S1034" s="24"/>
      <c r="T1034" s="35" t="str">
        <f aca="false">IF($C1034="","",IF($D1034="","★没选客户项目",IF(COUNTIF(合同键,$D1034)=0,"★《维保合同》里没这个项目",IF(N($K1034)&lt;=0,"★应收金额要填",IF(ROUND(N($N1034)-N($K1034),2)&gt;0.001,"★开票金额大于应收",IF(AND($L1034&lt;&gt;"",N($N1034)&lt;=0),"★填了开票日期没填开票金额",IF(AND($I1034&lt;&gt;"",$J1034&lt;&gt;"",$J1034&lt;$I1034),"★计费期间起止反了","OK")))))))</f>
        <v/>
      </c>
      <c r="U1034" s="29" t="str">
        <f aca="false">IF($L1034="","",YEAR($L1034))</f>
        <v/>
      </c>
      <c r="V1034" s="40" t="str">
        <f aca="false">IF($C1034="","",ROUND(SUMIF(收款关联,$B1034,收款金额),2))</f>
        <v/>
      </c>
      <c r="W1034" s="40" t="str">
        <f aca="false">IF($C1034="","",MAX(0,ROUND(N($K1034)-N($V1034),2)))</f>
        <v/>
      </c>
      <c r="X1034" s="40" t="str">
        <f aca="false">IF($C1034="","",ROUND(SUMIFS(应收净额,应收键,$D1034,应收行号,"&lt;="&amp;ROW()),2))</f>
        <v/>
      </c>
      <c r="Y1034" s="29" t="str">
        <f aca="false">IF($C1034="","",ROW())</f>
        <v/>
      </c>
    </row>
    <row r="1035" customFormat="false" ht="15" hidden="false" customHeight="false" outlineLevel="0" collapsed="false">
      <c r="A1035" s="29" t="str">
        <f aca="false">IF($C1035="","",ROW()-4)</f>
        <v/>
      </c>
      <c r="B1035" s="35" t="str">
        <f aca="false">IF($C1035="","","YS"&amp;TEXT($C1035,"yyyymm")&amp;"-"&amp;TEXT(ROW()-4,"0000"))</f>
        <v/>
      </c>
      <c r="C1035" s="33"/>
      <c r="D1035" s="24"/>
      <c r="E1035" s="30" t="str">
        <f aca="false">IF($D1035="","",IFERROR(INDEX(合同单位,MATCH($D1035,合同键,0)),IFERROR(TRIM(LEFT($D1035,FIND("｜",$D1035)-1)),$D1035)))</f>
        <v/>
      </c>
      <c r="F1035" s="30" t="str">
        <f aca="false">IF($D1035="","",IFERROR(INDEX(合同项目,MATCH($D1035,合同键,0)),IFERROR(TRIM(MID($D1035,FIND("｜",$D1035)+1,99)),"")))</f>
        <v/>
      </c>
      <c r="G1035" s="24"/>
      <c r="H1035" s="35" t="str">
        <f aca="false">IF($G1035="","",IFERROR(INDEX(费用款别,MATCH($G1035,费用类别表,0)),"合同外款"))</f>
        <v/>
      </c>
      <c r="I1035" s="33"/>
      <c r="J1035" s="33"/>
      <c r="K1035" s="39"/>
      <c r="L1035" s="33"/>
      <c r="M1035" s="25"/>
      <c r="N1035" s="39"/>
      <c r="O1035" s="35" t="str">
        <f aca="false">IF($C1035="","",IF(N($N1035)&lt;=0,"未开票",IF(ROUND(N($N1035)-N($K1035),2)&gt;=0,"已开票",IFERROR("部分开票 "&amp;TEXT(N($N1035)/N($K1035),"0%"),"部分开票"))))</f>
        <v/>
      </c>
      <c r="P1035" s="40" t="str">
        <f aca="false">IF($C1035="","",ROUND($V1035+MIN($W1035,MAX(0,(SUMIF(收款键,$D1035,收款金额)-SUMIFS(收款金额,收款键,$D1035,收款关联,"&lt;&gt;"))-($X1035-$W1035))),2))</f>
        <v/>
      </c>
      <c r="Q1035" s="41" t="str">
        <f aca="false">IF($C1035="","",ROUND(N($K1035)-N($P1035),2))</f>
        <v/>
      </c>
      <c r="R1035" s="29" t="str">
        <f aca="false">IF($C1035="","",YEAR($C1035))</f>
        <v/>
      </c>
      <c r="S1035" s="24"/>
      <c r="T1035" s="35" t="str">
        <f aca="false">IF($C1035="","",IF($D1035="","★没选客户项目",IF(COUNTIF(合同键,$D1035)=0,"★《维保合同》里没这个项目",IF(N($K1035)&lt;=0,"★应收金额要填",IF(ROUND(N($N1035)-N($K1035),2)&gt;0.001,"★开票金额大于应收",IF(AND($L1035&lt;&gt;"",N($N1035)&lt;=0),"★填了开票日期没填开票金额",IF(AND($I1035&lt;&gt;"",$J1035&lt;&gt;"",$J1035&lt;$I1035),"★计费期间起止反了","OK")))))))</f>
        <v/>
      </c>
      <c r="U1035" s="29" t="str">
        <f aca="false">IF($L1035="","",YEAR($L1035))</f>
        <v/>
      </c>
      <c r="V1035" s="40" t="str">
        <f aca="false">IF($C1035="","",ROUND(SUMIF(收款关联,$B1035,收款金额),2))</f>
        <v/>
      </c>
      <c r="W1035" s="40" t="str">
        <f aca="false">IF($C1035="","",MAX(0,ROUND(N($K1035)-N($V1035),2)))</f>
        <v/>
      </c>
      <c r="X1035" s="40" t="str">
        <f aca="false">IF($C1035="","",ROUND(SUMIFS(应收净额,应收键,$D1035,应收行号,"&lt;="&amp;ROW()),2))</f>
        <v/>
      </c>
      <c r="Y1035" s="29" t="str">
        <f aca="false">IF($C1035="","",ROW())</f>
        <v/>
      </c>
    </row>
    <row r="1036" customFormat="false" ht="15" hidden="false" customHeight="false" outlineLevel="0" collapsed="false">
      <c r="A1036" s="29" t="str">
        <f aca="false">IF($C1036="","",ROW()-4)</f>
        <v/>
      </c>
      <c r="B1036" s="35" t="str">
        <f aca="false">IF($C1036="","","YS"&amp;TEXT($C1036,"yyyymm")&amp;"-"&amp;TEXT(ROW()-4,"0000"))</f>
        <v/>
      </c>
      <c r="C1036" s="33"/>
      <c r="D1036" s="24"/>
      <c r="E1036" s="30" t="str">
        <f aca="false">IF($D1036="","",IFERROR(INDEX(合同单位,MATCH($D1036,合同键,0)),IFERROR(TRIM(LEFT($D1036,FIND("｜",$D1036)-1)),$D1036)))</f>
        <v/>
      </c>
      <c r="F1036" s="30" t="str">
        <f aca="false">IF($D1036="","",IFERROR(INDEX(合同项目,MATCH($D1036,合同键,0)),IFERROR(TRIM(MID($D1036,FIND("｜",$D1036)+1,99)),"")))</f>
        <v/>
      </c>
      <c r="G1036" s="24"/>
      <c r="H1036" s="35" t="str">
        <f aca="false">IF($G1036="","",IFERROR(INDEX(费用款别,MATCH($G1036,费用类别表,0)),"合同外款"))</f>
        <v/>
      </c>
      <c r="I1036" s="33"/>
      <c r="J1036" s="33"/>
      <c r="K1036" s="39"/>
      <c r="L1036" s="33"/>
      <c r="M1036" s="25"/>
      <c r="N1036" s="39"/>
      <c r="O1036" s="35" t="str">
        <f aca="false">IF($C1036="","",IF(N($N1036)&lt;=0,"未开票",IF(ROUND(N($N1036)-N($K1036),2)&gt;=0,"已开票",IFERROR("部分开票 "&amp;TEXT(N($N1036)/N($K1036),"0%"),"部分开票"))))</f>
        <v/>
      </c>
      <c r="P1036" s="40" t="str">
        <f aca="false">IF($C1036="","",ROUND($V1036+MIN($W1036,MAX(0,(SUMIF(收款键,$D1036,收款金额)-SUMIFS(收款金额,收款键,$D1036,收款关联,"&lt;&gt;"))-($X1036-$W1036))),2))</f>
        <v/>
      </c>
      <c r="Q1036" s="41" t="str">
        <f aca="false">IF($C1036="","",ROUND(N($K1036)-N($P1036),2))</f>
        <v/>
      </c>
      <c r="R1036" s="29" t="str">
        <f aca="false">IF($C1036="","",YEAR($C1036))</f>
        <v/>
      </c>
      <c r="S1036" s="24"/>
      <c r="T1036" s="35" t="str">
        <f aca="false">IF($C1036="","",IF($D1036="","★没选客户项目",IF(COUNTIF(合同键,$D1036)=0,"★《维保合同》里没这个项目",IF(N($K1036)&lt;=0,"★应收金额要填",IF(ROUND(N($N1036)-N($K1036),2)&gt;0.001,"★开票金额大于应收",IF(AND($L1036&lt;&gt;"",N($N1036)&lt;=0),"★填了开票日期没填开票金额",IF(AND($I1036&lt;&gt;"",$J1036&lt;&gt;"",$J1036&lt;$I1036),"★计费期间起止反了","OK")))))))</f>
        <v/>
      </c>
      <c r="U1036" s="29" t="str">
        <f aca="false">IF($L1036="","",YEAR($L1036))</f>
        <v/>
      </c>
      <c r="V1036" s="40" t="str">
        <f aca="false">IF($C1036="","",ROUND(SUMIF(收款关联,$B1036,收款金额),2))</f>
        <v/>
      </c>
      <c r="W1036" s="40" t="str">
        <f aca="false">IF($C1036="","",MAX(0,ROUND(N($K1036)-N($V1036),2)))</f>
        <v/>
      </c>
      <c r="X1036" s="40" t="str">
        <f aca="false">IF($C1036="","",ROUND(SUMIFS(应收净额,应收键,$D1036,应收行号,"&lt;="&amp;ROW()),2))</f>
        <v/>
      </c>
      <c r="Y1036" s="29" t="str">
        <f aca="false">IF($C1036="","",ROW())</f>
        <v/>
      </c>
    </row>
    <row r="1037" customFormat="false" ht="15" hidden="false" customHeight="false" outlineLevel="0" collapsed="false">
      <c r="A1037" s="29" t="str">
        <f aca="false">IF($C1037="","",ROW()-4)</f>
        <v/>
      </c>
      <c r="B1037" s="35" t="str">
        <f aca="false">IF($C1037="","","YS"&amp;TEXT($C1037,"yyyymm")&amp;"-"&amp;TEXT(ROW()-4,"0000"))</f>
        <v/>
      </c>
      <c r="C1037" s="33"/>
      <c r="D1037" s="24"/>
      <c r="E1037" s="30" t="str">
        <f aca="false">IF($D1037="","",IFERROR(INDEX(合同单位,MATCH($D1037,合同键,0)),IFERROR(TRIM(LEFT($D1037,FIND("｜",$D1037)-1)),$D1037)))</f>
        <v/>
      </c>
      <c r="F1037" s="30" t="str">
        <f aca="false">IF($D1037="","",IFERROR(INDEX(合同项目,MATCH($D1037,合同键,0)),IFERROR(TRIM(MID($D1037,FIND("｜",$D1037)+1,99)),"")))</f>
        <v/>
      </c>
      <c r="G1037" s="24"/>
      <c r="H1037" s="35" t="str">
        <f aca="false">IF($G1037="","",IFERROR(INDEX(费用款别,MATCH($G1037,费用类别表,0)),"合同外款"))</f>
        <v/>
      </c>
      <c r="I1037" s="33"/>
      <c r="J1037" s="33"/>
      <c r="K1037" s="39"/>
      <c r="L1037" s="33"/>
      <c r="M1037" s="25"/>
      <c r="N1037" s="39"/>
      <c r="O1037" s="35" t="str">
        <f aca="false">IF($C1037="","",IF(N($N1037)&lt;=0,"未开票",IF(ROUND(N($N1037)-N($K1037),2)&gt;=0,"已开票",IFERROR("部分开票 "&amp;TEXT(N($N1037)/N($K1037),"0%"),"部分开票"))))</f>
        <v/>
      </c>
      <c r="P1037" s="40" t="str">
        <f aca="false">IF($C1037="","",ROUND($V1037+MIN($W1037,MAX(0,(SUMIF(收款键,$D1037,收款金额)-SUMIFS(收款金额,收款键,$D1037,收款关联,"&lt;&gt;"))-($X1037-$W1037))),2))</f>
        <v/>
      </c>
      <c r="Q1037" s="41" t="str">
        <f aca="false">IF($C1037="","",ROUND(N($K1037)-N($P1037),2))</f>
        <v/>
      </c>
      <c r="R1037" s="29" t="str">
        <f aca="false">IF($C1037="","",YEAR($C1037))</f>
        <v/>
      </c>
      <c r="S1037" s="24"/>
      <c r="T1037" s="35" t="str">
        <f aca="false">IF($C1037="","",IF($D1037="","★没选客户项目",IF(COUNTIF(合同键,$D1037)=0,"★《维保合同》里没这个项目",IF(N($K1037)&lt;=0,"★应收金额要填",IF(ROUND(N($N1037)-N($K1037),2)&gt;0.001,"★开票金额大于应收",IF(AND($L1037&lt;&gt;"",N($N1037)&lt;=0),"★填了开票日期没填开票金额",IF(AND($I1037&lt;&gt;"",$J1037&lt;&gt;"",$J1037&lt;$I1037),"★计费期间起止反了","OK")))))))</f>
        <v/>
      </c>
      <c r="U1037" s="29" t="str">
        <f aca="false">IF($L1037="","",YEAR($L1037))</f>
        <v/>
      </c>
      <c r="V1037" s="40" t="str">
        <f aca="false">IF($C1037="","",ROUND(SUMIF(收款关联,$B1037,收款金额),2))</f>
        <v/>
      </c>
      <c r="W1037" s="40" t="str">
        <f aca="false">IF($C1037="","",MAX(0,ROUND(N($K1037)-N($V1037),2)))</f>
        <v/>
      </c>
      <c r="X1037" s="40" t="str">
        <f aca="false">IF($C1037="","",ROUND(SUMIFS(应收净额,应收键,$D1037,应收行号,"&lt;="&amp;ROW()),2))</f>
        <v/>
      </c>
      <c r="Y1037" s="29" t="str">
        <f aca="false">IF($C1037="","",ROW())</f>
        <v/>
      </c>
    </row>
    <row r="1038" customFormat="false" ht="15" hidden="false" customHeight="false" outlineLevel="0" collapsed="false">
      <c r="A1038" s="29" t="str">
        <f aca="false">IF($C1038="","",ROW()-4)</f>
        <v/>
      </c>
      <c r="B1038" s="35" t="str">
        <f aca="false">IF($C1038="","","YS"&amp;TEXT($C1038,"yyyymm")&amp;"-"&amp;TEXT(ROW()-4,"0000"))</f>
        <v/>
      </c>
      <c r="C1038" s="33"/>
      <c r="D1038" s="24"/>
      <c r="E1038" s="30" t="str">
        <f aca="false">IF($D1038="","",IFERROR(INDEX(合同单位,MATCH($D1038,合同键,0)),IFERROR(TRIM(LEFT($D1038,FIND("｜",$D1038)-1)),$D1038)))</f>
        <v/>
      </c>
      <c r="F1038" s="30" t="str">
        <f aca="false">IF($D1038="","",IFERROR(INDEX(合同项目,MATCH($D1038,合同键,0)),IFERROR(TRIM(MID($D1038,FIND("｜",$D1038)+1,99)),"")))</f>
        <v/>
      </c>
      <c r="G1038" s="24"/>
      <c r="H1038" s="35" t="str">
        <f aca="false">IF($G1038="","",IFERROR(INDEX(费用款别,MATCH($G1038,费用类别表,0)),"合同外款"))</f>
        <v/>
      </c>
      <c r="I1038" s="33"/>
      <c r="J1038" s="33"/>
      <c r="K1038" s="39"/>
      <c r="L1038" s="33"/>
      <c r="M1038" s="25"/>
      <c r="N1038" s="39"/>
      <c r="O1038" s="35" t="str">
        <f aca="false">IF($C1038="","",IF(N($N1038)&lt;=0,"未开票",IF(ROUND(N($N1038)-N($K1038),2)&gt;=0,"已开票",IFERROR("部分开票 "&amp;TEXT(N($N1038)/N($K1038),"0%"),"部分开票"))))</f>
        <v/>
      </c>
      <c r="P1038" s="40" t="str">
        <f aca="false">IF($C1038="","",ROUND($V1038+MIN($W1038,MAX(0,(SUMIF(收款键,$D1038,收款金额)-SUMIFS(收款金额,收款键,$D1038,收款关联,"&lt;&gt;"))-($X1038-$W1038))),2))</f>
        <v/>
      </c>
      <c r="Q1038" s="41" t="str">
        <f aca="false">IF($C1038="","",ROUND(N($K1038)-N($P1038),2))</f>
        <v/>
      </c>
      <c r="R1038" s="29" t="str">
        <f aca="false">IF($C1038="","",YEAR($C1038))</f>
        <v/>
      </c>
      <c r="S1038" s="24"/>
      <c r="T1038" s="35" t="str">
        <f aca="false">IF($C1038="","",IF($D1038="","★没选客户项目",IF(COUNTIF(合同键,$D1038)=0,"★《维保合同》里没这个项目",IF(N($K1038)&lt;=0,"★应收金额要填",IF(ROUND(N($N1038)-N($K1038),2)&gt;0.001,"★开票金额大于应收",IF(AND($L1038&lt;&gt;"",N($N1038)&lt;=0),"★填了开票日期没填开票金额",IF(AND($I1038&lt;&gt;"",$J1038&lt;&gt;"",$J1038&lt;$I1038),"★计费期间起止反了","OK")))))))</f>
        <v/>
      </c>
      <c r="U1038" s="29" t="str">
        <f aca="false">IF($L1038="","",YEAR($L1038))</f>
        <v/>
      </c>
      <c r="V1038" s="40" t="str">
        <f aca="false">IF($C1038="","",ROUND(SUMIF(收款关联,$B1038,收款金额),2))</f>
        <v/>
      </c>
      <c r="W1038" s="40" t="str">
        <f aca="false">IF($C1038="","",MAX(0,ROUND(N($K1038)-N($V1038),2)))</f>
        <v/>
      </c>
      <c r="X1038" s="40" t="str">
        <f aca="false">IF($C1038="","",ROUND(SUMIFS(应收净额,应收键,$D1038,应收行号,"&lt;="&amp;ROW()),2))</f>
        <v/>
      </c>
      <c r="Y1038" s="29" t="str">
        <f aca="false">IF($C1038="","",ROW())</f>
        <v/>
      </c>
    </row>
    <row r="1039" customFormat="false" ht="15" hidden="false" customHeight="false" outlineLevel="0" collapsed="false">
      <c r="A1039" s="29" t="str">
        <f aca="false">IF($C1039="","",ROW()-4)</f>
        <v/>
      </c>
      <c r="B1039" s="35" t="str">
        <f aca="false">IF($C1039="","","YS"&amp;TEXT($C1039,"yyyymm")&amp;"-"&amp;TEXT(ROW()-4,"0000"))</f>
        <v/>
      </c>
      <c r="C1039" s="33"/>
      <c r="D1039" s="24"/>
      <c r="E1039" s="30" t="str">
        <f aca="false">IF($D1039="","",IFERROR(INDEX(合同单位,MATCH($D1039,合同键,0)),IFERROR(TRIM(LEFT($D1039,FIND("｜",$D1039)-1)),$D1039)))</f>
        <v/>
      </c>
      <c r="F1039" s="30" t="str">
        <f aca="false">IF($D1039="","",IFERROR(INDEX(合同项目,MATCH($D1039,合同键,0)),IFERROR(TRIM(MID($D1039,FIND("｜",$D1039)+1,99)),"")))</f>
        <v/>
      </c>
      <c r="G1039" s="24"/>
      <c r="H1039" s="35" t="str">
        <f aca="false">IF($G1039="","",IFERROR(INDEX(费用款别,MATCH($G1039,费用类别表,0)),"合同外款"))</f>
        <v/>
      </c>
      <c r="I1039" s="33"/>
      <c r="J1039" s="33"/>
      <c r="K1039" s="39"/>
      <c r="L1039" s="33"/>
      <c r="M1039" s="25"/>
      <c r="N1039" s="39"/>
      <c r="O1039" s="35" t="str">
        <f aca="false">IF($C1039="","",IF(N($N1039)&lt;=0,"未开票",IF(ROUND(N($N1039)-N($K1039),2)&gt;=0,"已开票",IFERROR("部分开票 "&amp;TEXT(N($N1039)/N($K1039),"0%"),"部分开票"))))</f>
        <v/>
      </c>
      <c r="P1039" s="40" t="str">
        <f aca="false">IF($C1039="","",ROUND($V1039+MIN($W1039,MAX(0,(SUMIF(收款键,$D1039,收款金额)-SUMIFS(收款金额,收款键,$D1039,收款关联,"&lt;&gt;"))-($X1039-$W1039))),2))</f>
        <v/>
      </c>
      <c r="Q1039" s="41" t="str">
        <f aca="false">IF($C1039="","",ROUND(N($K1039)-N($P1039),2))</f>
        <v/>
      </c>
      <c r="R1039" s="29" t="str">
        <f aca="false">IF($C1039="","",YEAR($C1039))</f>
        <v/>
      </c>
      <c r="S1039" s="24"/>
      <c r="T1039" s="35" t="str">
        <f aca="false">IF($C1039="","",IF($D1039="","★没选客户项目",IF(COUNTIF(合同键,$D1039)=0,"★《维保合同》里没这个项目",IF(N($K1039)&lt;=0,"★应收金额要填",IF(ROUND(N($N1039)-N($K1039),2)&gt;0.001,"★开票金额大于应收",IF(AND($L1039&lt;&gt;"",N($N1039)&lt;=0),"★填了开票日期没填开票金额",IF(AND($I1039&lt;&gt;"",$J1039&lt;&gt;"",$J1039&lt;$I1039),"★计费期间起止反了","OK")))))))</f>
        <v/>
      </c>
      <c r="U1039" s="29" t="str">
        <f aca="false">IF($L1039="","",YEAR($L1039))</f>
        <v/>
      </c>
      <c r="V1039" s="40" t="str">
        <f aca="false">IF($C1039="","",ROUND(SUMIF(收款关联,$B1039,收款金额),2))</f>
        <v/>
      </c>
      <c r="W1039" s="40" t="str">
        <f aca="false">IF($C1039="","",MAX(0,ROUND(N($K1039)-N($V1039),2)))</f>
        <v/>
      </c>
      <c r="X1039" s="40" t="str">
        <f aca="false">IF($C1039="","",ROUND(SUMIFS(应收净额,应收键,$D1039,应收行号,"&lt;="&amp;ROW()),2))</f>
        <v/>
      </c>
      <c r="Y1039" s="29" t="str">
        <f aca="false">IF($C1039="","",ROW())</f>
        <v/>
      </c>
    </row>
    <row r="1040" customFormat="false" ht="15" hidden="false" customHeight="false" outlineLevel="0" collapsed="false">
      <c r="A1040" s="29" t="str">
        <f aca="false">IF($C1040="","",ROW()-4)</f>
        <v/>
      </c>
      <c r="B1040" s="35" t="str">
        <f aca="false">IF($C1040="","","YS"&amp;TEXT($C1040,"yyyymm")&amp;"-"&amp;TEXT(ROW()-4,"0000"))</f>
        <v/>
      </c>
      <c r="C1040" s="33"/>
      <c r="D1040" s="24"/>
      <c r="E1040" s="30" t="str">
        <f aca="false">IF($D1040="","",IFERROR(INDEX(合同单位,MATCH($D1040,合同键,0)),IFERROR(TRIM(LEFT($D1040,FIND("｜",$D1040)-1)),$D1040)))</f>
        <v/>
      </c>
      <c r="F1040" s="30" t="str">
        <f aca="false">IF($D1040="","",IFERROR(INDEX(合同项目,MATCH($D1040,合同键,0)),IFERROR(TRIM(MID($D1040,FIND("｜",$D1040)+1,99)),"")))</f>
        <v/>
      </c>
      <c r="G1040" s="24"/>
      <c r="H1040" s="35" t="str">
        <f aca="false">IF($G1040="","",IFERROR(INDEX(费用款别,MATCH($G1040,费用类别表,0)),"合同外款"))</f>
        <v/>
      </c>
      <c r="I1040" s="33"/>
      <c r="J1040" s="33"/>
      <c r="K1040" s="39"/>
      <c r="L1040" s="33"/>
      <c r="M1040" s="25"/>
      <c r="N1040" s="39"/>
      <c r="O1040" s="35" t="str">
        <f aca="false">IF($C1040="","",IF(N($N1040)&lt;=0,"未开票",IF(ROUND(N($N1040)-N($K1040),2)&gt;=0,"已开票",IFERROR("部分开票 "&amp;TEXT(N($N1040)/N($K1040),"0%"),"部分开票"))))</f>
        <v/>
      </c>
      <c r="P1040" s="40" t="str">
        <f aca="false">IF($C1040="","",ROUND($V1040+MIN($W1040,MAX(0,(SUMIF(收款键,$D1040,收款金额)-SUMIFS(收款金额,收款键,$D1040,收款关联,"&lt;&gt;"))-($X1040-$W1040))),2))</f>
        <v/>
      </c>
      <c r="Q1040" s="41" t="str">
        <f aca="false">IF($C1040="","",ROUND(N($K1040)-N($P1040),2))</f>
        <v/>
      </c>
      <c r="R1040" s="29" t="str">
        <f aca="false">IF($C1040="","",YEAR($C1040))</f>
        <v/>
      </c>
      <c r="S1040" s="24"/>
      <c r="T1040" s="35" t="str">
        <f aca="false">IF($C1040="","",IF($D1040="","★没选客户项目",IF(COUNTIF(合同键,$D1040)=0,"★《维保合同》里没这个项目",IF(N($K1040)&lt;=0,"★应收金额要填",IF(ROUND(N($N1040)-N($K1040),2)&gt;0.001,"★开票金额大于应收",IF(AND($L1040&lt;&gt;"",N($N1040)&lt;=0),"★填了开票日期没填开票金额",IF(AND($I1040&lt;&gt;"",$J1040&lt;&gt;"",$J1040&lt;$I1040),"★计费期间起止反了","OK")))))))</f>
        <v/>
      </c>
      <c r="U1040" s="29" t="str">
        <f aca="false">IF($L1040="","",YEAR($L1040))</f>
        <v/>
      </c>
      <c r="V1040" s="40" t="str">
        <f aca="false">IF($C1040="","",ROUND(SUMIF(收款关联,$B1040,收款金额),2))</f>
        <v/>
      </c>
      <c r="W1040" s="40" t="str">
        <f aca="false">IF($C1040="","",MAX(0,ROUND(N($K1040)-N($V1040),2)))</f>
        <v/>
      </c>
      <c r="X1040" s="40" t="str">
        <f aca="false">IF($C1040="","",ROUND(SUMIFS(应收净额,应收键,$D1040,应收行号,"&lt;="&amp;ROW()),2))</f>
        <v/>
      </c>
      <c r="Y1040" s="29" t="str">
        <f aca="false">IF($C1040="","",ROW())</f>
        <v/>
      </c>
    </row>
    <row r="1041" customFormat="false" ht="15" hidden="false" customHeight="false" outlineLevel="0" collapsed="false">
      <c r="A1041" s="29" t="str">
        <f aca="false">IF($C1041="","",ROW()-4)</f>
        <v/>
      </c>
      <c r="B1041" s="35" t="str">
        <f aca="false">IF($C1041="","","YS"&amp;TEXT($C1041,"yyyymm")&amp;"-"&amp;TEXT(ROW()-4,"0000"))</f>
        <v/>
      </c>
      <c r="C1041" s="33"/>
      <c r="D1041" s="24"/>
      <c r="E1041" s="30" t="str">
        <f aca="false">IF($D1041="","",IFERROR(INDEX(合同单位,MATCH($D1041,合同键,0)),IFERROR(TRIM(LEFT($D1041,FIND("｜",$D1041)-1)),$D1041)))</f>
        <v/>
      </c>
      <c r="F1041" s="30" t="str">
        <f aca="false">IF($D1041="","",IFERROR(INDEX(合同项目,MATCH($D1041,合同键,0)),IFERROR(TRIM(MID($D1041,FIND("｜",$D1041)+1,99)),"")))</f>
        <v/>
      </c>
      <c r="G1041" s="24"/>
      <c r="H1041" s="35" t="str">
        <f aca="false">IF($G1041="","",IFERROR(INDEX(费用款别,MATCH($G1041,费用类别表,0)),"合同外款"))</f>
        <v/>
      </c>
      <c r="I1041" s="33"/>
      <c r="J1041" s="33"/>
      <c r="K1041" s="39"/>
      <c r="L1041" s="33"/>
      <c r="M1041" s="25"/>
      <c r="N1041" s="39"/>
      <c r="O1041" s="35" t="str">
        <f aca="false">IF($C1041="","",IF(N($N1041)&lt;=0,"未开票",IF(ROUND(N($N1041)-N($K1041),2)&gt;=0,"已开票",IFERROR("部分开票 "&amp;TEXT(N($N1041)/N($K1041),"0%"),"部分开票"))))</f>
        <v/>
      </c>
      <c r="P1041" s="40" t="str">
        <f aca="false">IF($C1041="","",ROUND($V1041+MIN($W1041,MAX(0,(SUMIF(收款键,$D1041,收款金额)-SUMIFS(收款金额,收款键,$D1041,收款关联,"&lt;&gt;"))-($X1041-$W1041))),2))</f>
        <v/>
      </c>
      <c r="Q1041" s="41" t="str">
        <f aca="false">IF($C1041="","",ROUND(N($K1041)-N($P1041),2))</f>
        <v/>
      </c>
      <c r="R1041" s="29" t="str">
        <f aca="false">IF($C1041="","",YEAR($C1041))</f>
        <v/>
      </c>
      <c r="S1041" s="24"/>
      <c r="T1041" s="35" t="str">
        <f aca="false">IF($C1041="","",IF($D1041="","★没选客户项目",IF(COUNTIF(合同键,$D1041)=0,"★《维保合同》里没这个项目",IF(N($K1041)&lt;=0,"★应收金额要填",IF(ROUND(N($N1041)-N($K1041),2)&gt;0.001,"★开票金额大于应收",IF(AND($L1041&lt;&gt;"",N($N1041)&lt;=0),"★填了开票日期没填开票金额",IF(AND($I1041&lt;&gt;"",$J1041&lt;&gt;"",$J1041&lt;$I1041),"★计费期间起止反了","OK")))))))</f>
        <v/>
      </c>
      <c r="U1041" s="29" t="str">
        <f aca="false">IF($L1041="","",YEAR($L1041))</f>
        <v/>
      </c>
      <c r="V1041" s="40" t="str">
        <f aca="false">IF($C1041="","",ROUND(SUMIF(收款关联,$B1041,收款金额),2))</f>
        <v/>
      </c>
      <c r="W1041" s="40" t="str">
        <f aca="false">IF($C1041="","",MAX(0,ROUND(N($K1041)-N($V1041),2)))</f>
        <v/>
      </c>
      <c r="X1041" s="40" t="str">
        <f aca="false">IF($C1041="","",ROUND(SUMIFS(应收净额,应收键,$D1041,应收行号,"&lt;="&amp;ROW()),2))</f>
        <v/>
      </c>
      <c r="Y1041" s="29" t="str">
        <f aca="false">IF($C1041="","",ROW())</f>
        <v/>
      </c>
    </row>
    <row r="1042" customFormat="false" ht="15" hidden="false" customHeight="false" outlineLevel="0" collapsed="false">
      <c r="A1042" s="29" t="str">
        <f aca="false">IF($C1042="","",ROW()-4)</f>
        <v/>
      </c>
      <c r="B1042" s="35" t="str">
        <f aca="false">IF($C1042="","","YS"&amp;TEXT($C1042,"yyyymm")&amp;"-"&amp;TEXT(ROW()-4,"0000"))</f>
        <v/>
      </c>
      <c r="C1042" s="33"/>
      <c r="D1042" s="24"/>
      <c r="E1042" s="30" t="str">
        <f aca="false">IF($D1042="","",IFERROR(INDEX(合同单位,MATCH($D1042,合同键,0)),IFERROR(TRIM(LEFT($D1042,FIND("｜",$D1042)-1)),$D1042)))</f>
        <v/>
      </c>
      <c r="F1042" s="30" t="str">
        <f aca="false">IF($D1042="","",IFERROR(INDEX(合同项目,MATCH($D1042,合同键,0)),IFERROR(TRIM(MID($D1042,FIND("｜",$D1042)+1,99)),"")))</f>
        <v/>
      </c>
      <c r="G1042" s="24"/>
      <c r="H1042" s="35" t="str">
        <f aca="false">IF($G1042="","",IFERROR(INDEX(费用款别,MATCH($G1042,费用类别表,0)),"合同外款"))</f>
        <v/>
      </c>
      <c r="I1042" s="33"/>
      <c r="J1042" s="33"/>
      <c r="K1042" s="39"/>
      <c r="L1042" s="33"/>
      <c r="M1042" s="25"/>
      <c r="N1042" s="39"/>
      <c r="O1042" s="35" t="str">
        <f aca="false">IF($C1042="","",IF(N($N1042)&lt;=0,"未开票",IF(ROUND(N($N1042)-N($K1042),2)&gt;=0,"已开票",IFERROR("部分开票 "&amp;TEXT(N($N1042)/N($K1042),"0%"),"部分开票"))))</f>
        <v/>
      </c>
      <c r="P1042" s="40" t="str">
        <f aca="false">IF($C1042="","",ROUND($V1042+MIN($W1042,MAX(0,(SUMIF(收款键,$D1042,收款金额)-SUMIFS(收款金额,收款键,$D1042,收款关联,"&lt;&gt;"))-($X1042-$W1042))),2))</f>
        <v/>
      </c>
      <c r="Q1042" s="41" t="str">
        <f aca="false">IF($C1042="","",ROUND(N($K1042)-N($P1042),2))</f>
        <v/>
      </c>
      <c r="R1042" s="29" t="str">
        <f aca="false">IF($C1042="","",YEAR($C1042))</f>
        <v/>
      </c>
      <c r="S1042" s="24"/>
      <c r="T1042" s="35" t="str">
        <f aca="false">IF($C1042="","",IF($D1042="","★没选客户项目",IF(COUNTIF(合同键,$D1042)=0,"★《维保合同》里没这个项目",IF(N($K1042)&lt;=0,"★应收金额要填",IF(ROUND(N($N1042)-N($K1042),2)&gt;0.001,"★开票金额大于应收",IF(AND($L1042&lt;&gt;"",N($N1042)&lt;=0),"★填了开票日期没填开票金额",IF(AND($I1042&lt;&gt;"",$J1042&lt;&gt;"",$J1042&lt;$I1042),"★计费期间起止反了","OK")))))))</f>
        <v/>
      </c>
      <c r="U1042" s="29" t="str">
        <f aca="false">IF($L1042="","",YEAR($L1042))</f>
        <v/>
      </c>
      <c r="V1042" s="40" t="str">
        <f aca="false">IF($C1042="","",ROUND(SUMIF(收款关联,$B1042,收款金额),2))</f>
        <v/>
      </c>
      <c r="W1042" s="40" t="str">
        <f aca="false">IF($C1042="","",MAX(0,ROUND(N($K1042)-N($V1042),2)))</f>
        <v/>
      </c>
      <c r="X1042" s="40" t="str">
        <f aca="false">IF($C1042="","",ROUND(SUMIFS(应收净额,应收键,$D1042,应收行号,"&lt;="&amp;ROW()),2))</f>
        <v/>
      </c>
      <c r="Y1042" s="29" t="str">
        <f aca="false">IF($C1042="","",ROW())</f>
        <v/>
      </c>
    </row>
    <row r="1043" customFormat="false" ht="15" hidden="false" customHeight="false" outlineLevel="0" collapsed="false">
      <c r="A1043" s="29" t="str">
        <f aca="false">IF($C1043="","",ROW()-4)</f>
        <v/>
      </c>
      <c r="B1043" s="35" t="str">
        <f aca="false">IF($C1043="","","YS"&amp;TEXT($C1043,"yyyymm")&amp;"-"&amp;TEXT(ROW()-4,"0000"))</f>
        <v/>
      </c>
      <c r="C1043" s="33"/>
      <c r="D1043" s="24"/>
      <c r="E1043" s="30" t="str">
        <f aca="false">IF($D1043="","",IFERROR(INDEX(合同单位,MATCH($D1043,合同键,0)),IFERROR(TRIM(LEFT($D1043,FIND("｜",$D1043)-1)),$D1043)))</f>
        <v/>
      </c>
      <c r="F1043" s="30" t="str">
        <f aca="false">IF($D1043="","",IFERROR(INDEX(合同项目,MATCH($D1043,合同键,0)),IFERROR(TRIM(MID($D1043,FIND("｜",$D1043)+1,99)),"")))</f>
        <v/>
      </c>
      <c r="G1043" s="24"/>
      <c r="H1043" s="35" t="str">
        <f aca="false">IF($G1043="","",IFERROR(INDEX(费用款别,MATCH($G1043,费用类别表,0)),"合同外款"))</f>
        <v/>
      </c>
      <c r="I1043" s="33"/>
      <c r="J1043" s="33"/>
      <c r="K1043" s="39"/>
      <c r="L1043" s="33"/>
      <c r="M1043" s="25"/>
      <c r="N1043" s="39"/>
      <c r="O1043" s="35" t="str">
        <f aca="false">IF($C1043="","",IF(N($N1043)&lt;=0,"未开票",IF(ROUND(N($N1043)-N($K1043),2)&gt;=0,"已开票",IFERROR("部分开票 "&amp;TEXT(N($N1043)/N($K1043),"0%"),"部分开票"))))</f>
        <v/>
      </c>
      <c r="P1043" s="40" t="str">
        <f aca="false">IF($C1043="","",ROUND($V1043+MIN($W1043,MAX(0,(SUMIF(收款键,$D1043,收款金额)-SUMIFS(收款金额,收款键,$D1043,收款关联,"&lt;&gt;"))-($X1043-$W1043))),2))</f>
        <v/>
      </c>
      <c r="Q1043" s="41" t="str">
        <f aca="false">IF($C1043="","",ROUND(N($K1043)-N($P1043),2))</f>
        <v/>
      </c>
      <c r="R1043" s="29" t="str">
        <f aca="false">IF($C1043="","",YEAR($C1043))</f>
        <v/>
      </c>
      <c r="S1043" s="24"/>
      <c r="T1043" s="35" t="str">
        <f aca="false">IF($C1043="","",IF($D1043="","★没选客户项目",IF(COUNTIF(合同键,$D1043)=0,"★《维保合同》里没这个项目",IF(N($K1043)&lt;=0,"★应收金额要填",IF(ROUND(N($N1043)-N($K1043),2)&gt;0.001,"★开票金额大于应收",IF(AND($L1043&lt;&gt;"",N($N1043)&lt;=0),"★填了开票日期没填开票金额",IF(AND($I1043&lt;&gt;"",$J1043&lt;&gt;"",$J1043&lt;$I1043),"★计费期间起止反了","OK")))))))</f>
        <v/>
      </c>
      <c r="U1043" s="29" t="str">
        <f aca="false">IF($L1043="","",YEAR($L1043))</f>
        <v/>
      </c>
      <c r="V1043" s="40" t="str">
        <f aca="false">IF($C1043="","",ROUND(SUMIF(收款关联,$B1043,收款金额),2))</f>
        <v/>
      </c>
      <c r="W1043" s="40" t="str">
        <f aca="false">IF($C1043="","",MAX(0,ROUND(N($K1043)-N($V1043),2)))</f>
        <v/>
      </c>
      <c r="X1043" s="40" t="str">
        <f aca="false">IF($C1043="","",ROUND(SUMIFS(应收净额,应收键,$D1043,应收行号,"&lt;="&amp;ROW()),2))</f>
        <v/>
      </c>
      <c r="Y1043" s="29" t="str">
        <f aca="false">IF($C1043="","",ROW())</f>
        <v/>
      </c>
    </row>
    <row r="1044" customFormat="false" ht="15" hidden="false" customHeight="false" outlineLevel="0" collapsed="false">
      <c r="A1044" s="29" t="str">
        <f aca="false">IF($C1044="","",ROW()-4)</f>
        <v/>
      </c>
      <c r="B1044" s="35" t="str">
        <f aca="false">IF($C1044="","","YS"&amp;TEXT($C1044,"yyyymm")&amp;"-"&amp;TEXT(ROW()-4,"0000"))</f>
        <v/>
      </c>
      <c r="C1044" s="33"/>
      <c r="D1044" s="24"/>
      <c r="E1044" s="30" t="str">
        <f aca="false">IF($D1044="","",IFERROR(INDEX(合同单位,MATCH($D1044,合同键,0)),IFERROR(TRIM(LEFT($D1044,FIND("｜",$D1044)-1)),$D1044)))</f>
        <v/>
      </c>
      <c r="F1044" s="30" t="str">
        <f aca="false">IF($D1044="","",IFERROR(INDEX(合同项目,MATCH($D1044,合同键,0)),IFERROR(TRIM(MID($D1044,FIND("｜",$D1044)+1,99)),"")))</f>
        <v/>
      </c>
      <c r="G1044" s="24"/>
      <c r="H1044" s="35" t="str">
        <f aca="false">IF($G1044="","",IFERROR(INDEX(费用款别,MATCH($G1044,费用类别表,0)),"合同外款"))</f>
        <v/>
      </c>
      <c r="I1044" s="33"/>
      <c r="J1044" s="33"/>
      <c r="K1044" s="39"/>
      <c r="L1044" s="33"/>
      <c r="M1044" s="25"/>
      <c r="N1044" s="39"/>
      <c r="O1044" s="35" t="str">
        <f aca="false">IF($C1044="","",IF(N($N1044)&lt;=0,"未开票",IF(ROUND(N($N1044)-N($K1044),2)&gt;=0,"已开票",IFERROR("部分开票 "&amp;TEXT(N($N1044)/N($K1044),"0%"),"部分开票"))))</f>
        <v/>
      </c>
      <c r="P1044" s="40" t="str">
        <f aca="false">IF($C1044="","",ROUND($V1044+MIN($W1044,MAX(0,(SUMIF(收款键,$D1044,收款金额)-SUMIFS(收款金额,收款键,$D1044,收款关联,"&lt;&gt;"))-($X1044-$W1044))),2))</f>
        <v/>
      </c>
      <c r="Q1044" s="41" t="str">
        <f aca="false">IF($C1044="","",ROUND(N($K1044)-N($P1044),2))</f>
        <v/>
      </c>
      <c r="R1044" s="29" t="str">
        <f aca="false">IF($C1044="","",YEAR($C1044))</f>
        <v/>
      </c>
      <c r="S1044" s="24"/>
      <c r="T1044" s="35" t="str">
        <f aca="false">IF($C1044="","",IF($D1044="","★没选客户项目",IF(COUNTIF(合同键,$D1044)=0,"★《维保合同》里没这个项目",IF(N($K1044)&lt;=0,"★应收金额要填",IF(ROUND(N($N1044)-N($K1044),2)&gt;0.001,"★开票金额大于应收",IF(AND($L1044&lt;&gt;"",N($N1044)&lt;=0),"★填了开票日期没填开票金额",IF(AND($I1044&lt;&gt;"",$J1044&lt;&gt;"",$J1044&lt;$I1044),"★计费期间起止反了","OK")))))))</f>
        <v/>
      </c>
      <c r="U1044" s="29" t="str">
        <f aca="false">IF($L1044="","",YEAR($L1044))</f>
        <v/>
      </c>
      <c r="V1044" s="40" t="str">
        <f aca="false">IF($C1044="","",ROUND(SUMIF(收款关联,$B1044,收款金额),2))</f>
        <v/>
      </c>
      <c r="W1044" s="40" t="str">
        <f aca="false">IF($C1044="","",MAX(0,ROUND(N($K1044)-N($V1044),2)))</f>
        <v/>
      </c>
      <c r="X1044" s="40" t="str">
        <f aca="false">IF($C1044="","",ROUND(SUMIFS(应收净额,应收键,$D1044,应收行号,"&lt;="&amp;ROW()),2))</f>
        <v/>
      </c>
      <c r="Y1044" s="29" t="str">
        <f aca="false">IF($C1044="","",ROW())</f>
        <v/>
      </c>
    </row>
    <row r="1045" customFormat="false" ht="15" hidden="false" customHeight="false" outlineLevel="0" collapsed="false">
      <c r="A1045" s="29" t="str">
        <f aca="false">IF($C1045="","",ROW()-4)</f>
        <v/>
      </c>
      <c r="B1045" s="35" t="str">
        <f aca="false">IF($C1045="","","YS"&amp;TEXT($C1045,"yyyymm")&amp;"-"&amp;TEXT(ROW()-4,"0000"))</f>
        <v/>
      </c>
      <c r="C1045" s="33"/>
      <c r="D1045" s="24"/>
      <c r="E1045" s="30" t="str">
        <f aca="false">IF($D1045="","",IFERROR(INDEX(合同单位,MATCH($D1045,合同键,0)),IFERROR(TRIM(LEFT($D1045,FIND("｜",$D1045)-1)),$D1045)))</f>
        <v/>
      </c>
      <c r="F1045" s="30" t="str">
        <f aca="false">IF($D1045="","",IFERROR(INDEX(合同项目,MATCH($D1045,合同键,0)),IFERROR(TRIM(MID($D1045,FIND("｜",$D1045)+1,99)),"")))</f>
        <v/>
      </c>
      <c r="G1045" s="24"/>
      <c r="H1045" s="35" t="str">
        <f aca="false">IF($G1045="","",IFERROR(INDEX(费用款别,MATCH($G1045,费用类别表,0)),"合同外款"))</f>
        <v/>
      </c>
      <c r="I1045" s="33"/>
      <c r="J1045" s="33"/>
      <c r="K1045" s="39"/>
      <c r="L1045" s="33"/>
      <c r="M1045" s="25"/>
      <c r="N1045" s="39"/>
      <c r="O1045" s="35" t="str">
        <f aca="false">IF($C1045="","",IF(N($N1045)&lt;=0,"未开票",IF(ROUND(N($N1045)-N($K1045),2)&gt;=0,"已开票",IFERROR("部分开票 "&amp;TEXT(N($N1045)/N($K1045),"0%"),"部分开票"))))</f>
        <v/>
      </c>
      <c r="P1045" s="40" t="str">
        <f aca="false">IF($C1045="","",ROUND($V1045+MIN($W1045,MAX(0,(SUMIF(收款键,$D1045,收款金额)-SUMIFS(收款金额,收款键,$D1045,收款关联,"&lt;&gt;"))-($X1045-$W1045))),2))</f>
        <v/>
      </c>
      <c r="Q1045" s="41" t="str">
        <f aca="false">IF($C1045="","",ROUND(N($K1045)-N($P1045),2))</f>
        <v/>
      </c>
      <c r="R1045" s="29" t="str">
        <f aca="false">IF($C1045="","",YEAR($C1045))</f>
        <v/>
      </c>
      <c r="S1045" s="24"/>
      <c r="T1045" s="35" t="str">
        <f aca="false">IF($C1045="","",IF($D1045="","★没选客户项目",IF(COUNTIF(合同键,$D1045)=0,"★《维保合同》里没这个项目",IF(N($K1045)&lt;=0,"★应收金额要填",IF(ROUND(N($N1045)-N($K1045),2)&gt;0.001,"★开票金额大于应收",IF(AND($L1045&lt;&gt;"",N($N1045)&lt;=0),"★填了开票日期没填开票金额",IF(AND($I1045&lt;&gt;"",$J1045&lt;&gt;"",$J1045&lt;$I1045),"★计费期间起止反了","OK")))))))</f>
        <v/>
      </c>
      <c r="U1045" s="29" t="str">
        <f aca="false">IF($L1045="","",YEAR($L1045))</f>
        <v/>
      </c>
      <c r="V1045" s="40" t="str">
        <f aca="false">IF($C1045="","",ROUND(SUMIF(收款关联,$B1045,收款金额),2))</f>
        <v/>
      </c>
      <c r="W1045" s="40" t="str">
        <f aca="false">IF($C1045="","",MAX(0,ROUND(N($K1045)-N($V1045),2)))</f>
        <v/>
      </c>
      <c r="X1045" s="40" t="str">
        <f aca="false">IF($C1045="","",ROUND(SUMIFS(应收净额,应收键,$D1045,应收行号,"&lt;="&amp;ROW()),2))</f>
        <v/>
      </c>
      <c r="Y1045" s="29" t="str">
        <f aca="false">IF($C1045="","",ROW())</f>
        <v/>
      </c>
    </row>
    <row r="1046" customFormat="false" ht="15" hidden="false" customHeight="false" outlineLevel="0" collapsed="false">
      <c r="A1046" s="29" t="str">
        <f aca="false">IF($C1046="","",ROW()-4)</f>
        <v/>
      </c>
      <c r="B1046" s="35" t="str">
        <f aca="false">IF($C1046="","","YS"&amp;TEXT($C1046,"yyyymm")&amp;"-"&amp;TEXT(ROW()-4,"0000"))</f>
        <v/>
      </c>
      <c r="C1046" s="33"/>
      <c r="D1046" s="24"/>
      <c r="E1046" s="30" t="str">
        <f aca="false">IF($D1046="","",IFERROR(INDEX(合同单位,MATCH($D1046,合同键,0)),IFERROR(TRIM(LEFT($D1046,FIND("｜",$D1046)-1)),$D1046)))</f>
        <v/>
      </c>
      <c r="F1046" s="30" t="str">
        <f aca="false">IF($D1046="","",IFERROR(INDEX(合同项目,MATCH($D1046,合同键,0)),IFERROR(TRIM(MID($D1046,FIND("｜",$D1046)+1,99)),"")))</f>
        <v/>
      </c>
      <c r="G1046" s="24"/>
      <c r="H1046" s="35" t="str">
        <f aca="false">IF($G1046="","",IFERROR(INDEX(费用款别,MATCH($G1046,费用类别表,0)),"合同外款"))</f>
        <v/>
      </c>
      <c r="I1046" s="33"/>
      <c r="J1046" s="33"/>
      <c r="K1046" s="39"/>
      <c r="L1046" s="33"/>
      <c r="M1046" s="25"/>
      <c r="N1046" s="39"/>
      <c r="O1046" s="35" t="str">
        <f aca="false">IF($C1046="","",IF(N($N1046)&lt;=0,"未开票",IF(ROUND(N($N1046)-N($K1046),2)&gt;=0,"已开票",IFERROR("部分开票 "&amp;TEXT(N($N1046)/N($K1046),"0%"),"部分开票"))))</f>
        <v/>
      </c>
      <c r="P1046" s="40" t="str">
        <f aca="false">IF($C1046="","",ROUND($V1046+MIN($W1046,MAX(0,(SUMIF(收款键,$D1046,收款金额)-SUMIFS(收款金额,收款键,$D1046,收款关联,"&lt;&gt;"))-($X1046-$W1046))),2))</f>
        <v/>
      </c>
      <c r="Q1046" s="41" t="str">
        <f aca="false">IF($C1046="","",ROUND(N($K1046)-N($P1046),2))</f>
        <v/>
      </c>
      <c r="R1046" s="29" t="str">
        <f aca="false">IF($C1046="","",YEAR($C1046))</f>
        <v/>
      </c>
      <c r="S1046" s="24"/>
      <c r="T1046" s="35" t="str">
        <f aca="false">IF($C1046="","",IF($D1046="","★没选客户项目",IF(COUNTIF(合同键,$D1046)=0,"★《维保合同》里没这个项目",IF(N($K1046)&lt;=0,"★应收金额要填",IF(ROUND(N($N1046)-N($K1046),2)&gt;0.001,"★开票金额大于应收",IF(AND($L1046&lt;&gt;"",N($N1046)&lt;=0),"★填了开票日期没填开票金额",IF(AND($I1046&lt;&gt;"",$J1046&lt;&gt;"",$J1046&lt;$I1046),"★计费期间起止反了","OK")))))))</f>
        <v/>
      </c>
      <c r="U1046" s="29" t="str">
        <f aca="false">IF($L1046="","",YEAR($L1046))</f>
        <v/>
      </c>
      <c r="V1046" s="40" t="str">
        <f aca="false">IF($C1046="","",ROUND(SUMIF(收款关联,$B1046,收款金额),2))</f>
        <v/>
      </c>
      <c r="W1046" s="40" t="str">
        <f aca="false">IF($C1046="","",MAX(0,ROUND(N($K1046)-N($V1046),2)))</f>
        <v/>
      </c>
      <c r="X1046" s="40" t="str">
        <f aca="false">IF($C1046="","",ROUND(SUMIFS(应收净额,应收键,$D1046,应收行号,"&lt;="&amp;ROW()),2))</f>
        <v/>
      </c>
      <c r="Y1046" s="29" t="str">
        <f aca="false">IF($C1046="","",ROW())</f>
        <v/>
      </c>
    </row>
    <row r="1047" customFormat="false" ht="15" hidden="false" customHeight="false" outlineLevel="0" collapsed="false">
      <c r="A1047" s="29" t="str">
        <f aca="false">IF($C1047="","",ROW()-4)</f>
        <v/>
      </c>
      <c r="B1047" s="35" t="str">
        <f aca="false">IF($C1047="","","YS"&amp;TEXT($C1047,"yyyymm")&amp;"-"&amp;TEXT(ROW()-4,"0000"))</f>
        <v/>
      </c>
      <c r="C1047" s="33"/>
      <c r="D1047" s="24"/>
      <c r="E1047" s="30" t="str">
        <f aca="false">IF($D1047="","",IFERROR(INDEX(合同单位,MATCH($D1047,合同键,0)),IFERROR(TRIM(LEFT($D1047,FIND("｜",$D1047)-1)),$D1047)))</f>
        <v/>
      </c>
      <c r="F1047" s="30" t="str">
        <f aca="false">IF($D1047="","",IFERROR(INDEX(合同项目,MATCH($D1047,合同键,0)),IFERROR(TRIM(MID($D1047,FIND("｜",$D1047)+1,99)),"")))</f>
        <v/>
      </c>
      <c r="G1047" s="24"/>
      <c r="H1047" s="35" t="str">
        <f aca="false">IF($G1047="","",IFERROR(INDEX(费用款别,MATCH($G1047,费用类别表,0)),"合同外款"))</f>
        <v/>
      </c>
      <c r="I1047" s="33"/>
      <c r="J1047" s="33"/>
      <c r="K1047" s="39"/>
      <c r="L1047" s="33"/>
      <c r="M1047" s="25"/>
      <c r="N1047" s="39"/>
      <c r="O1047" s="35" t="str">
        <f aca="false">IF($C1047="","",IF(N($N1047)&lt;=0,"未开票",IF(ROUND(N($N1047)-N($K1047),2)&gt;=0,"已开票",IFERROR("部分开票 "&amp;TEXT(N($N1047)/N($K1047),"0%"),"部分开票"))))</f>
        <v/>
      </c>
      <c r="P1047" s="40" t="str">
        <f aca="false">IF($C1047="","",ROUND($V1047+MIN($W1047,MAX(0,(SUMIF(收款键,$D1047,收款金额)-SUMIFS(收款金额,收款键,$D1047,收款关联,"&lt;&gt;"))-($X1047-$W1047))),2))</f>
        <v/>
      </c>
      <c r="Q1047" s="41" t="str">
        <f aca="false">IF($C1047="","",ROUND(N($K1047)-N($P1047),2))</f>
        <v/>
      </c>
      <c r="R1047" s="29" t="str">
        <f aca="false">IF($C1047="","",YEAR($C1047))</f>
        <v/>
      </c>
      <c r="S1047" s="24"/>
      <c r="T1047" s="35" t="str">
        <f aca="false">IF($C1047="","",IF($D1047="","★没选客户项目",IF(COUNTIF(合同键,$D1047)=0,"★《维保合同》里没这个项目",IF(N($K1047)&lt;=0,"★应收金额要填",IF(ROUND(N($N1047)-N($K1047),2)&gt;0.001,"★开票金额大于应收",IF(AND($L1047&lt;&gt;"",N($N1047)&lt;=0),"★填了开票日期没填开票金额",IF(AND($I1047&lt;&gt;"",$J1047&lt;&gt;"",$J1047&lt;$I1047),"★计费期间起止反了","OK")))))))</f>
        <v/>
      </c>
      <c r="U1047" s="29" t="str">
        <f aca="false">IF($L1047="","",YEAR($L1047))</f>
        <v/>
      </c>
      <c r="V1047" s="40" t="str">
        <f aca="false">IF($C1047="","",ROUND(SUMIF(收款关联,$B1047,收款金额),2))</f>
        <v/>
      </c>
      <c r="W1047" s="40" t="str">
        <f aca="false">IF($C1047="","",MAX(0,ROUND(N($K1047)-N($V1047),2)))</f>
        <v/>
      </c>
      <c r="X1047" s="40" t="str">
        <f aca="false">IF($C1047="","",ROUND(SUMIFS(应收净额,应收键,$D1047,应收行号,"&lt;="&amp;ROW()),2))</f>
        <v/>
      </c>
      <c r="Y1047" s="29" t="str">
        <f aca="false">IF($C1047="","",ROW())</f>
        <v/>
      </c>
    </row>
    <row r="1048" customFormat="false" ht="15" hidden="false" customHeight="false" outlineLevel="0" collapsed="false">
      <c r="A1048" s="29" t="str">
        <f aca="false">IF($C1048="","",ROW()-4)</f>
        <v/>
      </c>
      <c r="B1048" s="35" t="str">
        <f aca="false">IF($C1048="","","YS"&amp;TEXT($C1048,"yyyymm")&amp;"-"&amp;TEXT(ROW()-4,"0000"))</f>
        <v/>
      </c>
      <c r="C1048" s="33"/>
      <c r="D1048" s="24"/>
      <c r="E1048" s="30" t="str">
        <f aca="false">IF($D1048="","",IFERROR(INDEX(合同单位,MATCH($D1048,合同键,0)),IFERROR(TRIM(LEFT($D1048,FIND("｜",$D1048)-1)),$D1048)))</f>
        <v/>
      </c>
      <c r="F1048" s="30" t="str">
        <f aca="false">IF($D1048="","",IFERROR(INDEX(合同项目,MATCH($D1048,合同键,0)),IFERROR(TRIM(MID($D1048,FIND("｜",$D1048)+1,99)),"")))</f>
        <v/>
      </c>
      <c r="G1048" s="24"/>
      <c r="H1048" s="35" t="str">
        <f aca="false">IF($G1048="","",IFERROR(INDEX(费用款别,MATCH($G1048,费用类别表,0)),"合同外款"))</f>
        <v/>
      </c>
      <c r="I1048" s="33"/>
      <c r="J1048" s="33"/>
      <c r="K1048" s="39"/>
      <c r="L1048" s="33"/>
      <c r="M1048" s="25"/>
      <c r="N1048" s="39"/>
      <c r="O1048" s="35" t="str">
        <f aca="false">IF($C1048="","",IF(N($N1048)&lt;=0,"未开票",IF(ROUND(N($N1048)-N($K1048),2)&gt;=0,"已开票",IFERROR("部分开票 "&amp;TEXT(N($N1048)/N($K1048),"0%"),"部分开票"))))</f>
        <v/>
      </c>
      <c r="P1048" s="40" t="str">
        <f aca="false">IF($C1048="","",ROUND($V1048+MIN($W1048,MAX(0,(SUMIF(收款键,$D1048,收款金额)-SUMIFS(收款金额,收款键,$D1048,收款关联,"&lt;&gt;"))-($X1048-$W1048))),2))</f>
        <v/>
      </c>
      <c r="Q1048" s="41" t="str">
        <f aca="false">IF($C1048="","",ROUND(N($K1048)-N($P1048),2))</f>
        <v/>
      </c>
      <c r="R1048" s="29" t="str">
        <f aca="false">IF($C1048="","",YEAR($C1048))</f>
        <v/>
      </c>
      <c r="S1048" s="24"/>
      <c r="T1048" s="35" t="str">
        <f aca="false">IF($C1048="","",IF($D1048="","★没选客户项目",IF(COUNTIF(合同键,$D1048)=0,"★《维保合同》里没这个项目",IF(N($K1048)&lt;=0,"★应收金额要填",IF(ROUND(N($N1048)-N($K1048),2)&gt;0.001,"★开票金额大于应收",IF(AND($L1048&lt;&gt;"",N($N1048)&lt;=0),"★填了开票日期没填开票金额",IF(AND($I1048&lt;&gt;"",$J1048&lt;&gt;"",$J1048&lt;$I1048),"★计费期间起止反了","OK")))))))</f>
        <v/>
      </c>
      <c r="U1048" s="29" t="str">
        <f aca="false">IF($L1048="","",YEAR($L1048))</f>
        <v/>
      </c>
      <c r="V1048" s="40" t="str">
        <f aca="false">IF($C1048="","",ROUND(SUMIF(收款关联,$B1048,收款金额),2))</f>
        <v/>
      </c>
      <c r="W1048" s="40" t="str">
        <f aca="false">IF($C1048="","",MAX(0,ROUND(N($K1048)-N($V1048),2)))</f>
        <v/>
      </c>
      <c r="X1048" s="40" t="str">
        <f aca="false">IF($C1048="","",ROUND(SUMIFS(应收净额,应收键,$D1048,应收行号,"&lt;="&amp;ROW()),2))</f>
        <v/>
      </c>
      <c r="Y1048" s="29" t="str">
        <f aca="false">IF($C1048="","",ROW())</f>
        <v/>
      </c>
    </row>
    <row r="1049" customFormat="false" ht="15" hidden="false" customHeight="false" outlineLevel="0" collapsed="false">
      <c r="A1049" s="29" t="str">
        <f aca="false">IF($C1049="","",ROW()-4)</f>
        <v/>
      </c>
      <c r="B1049" s="35" t="str">
        <f aca="false">IF($C1049="","","YS"&amp;TEXT($C1049,"yyyymm")&amp;"-"&amp;TEXT(ROW()-4,"0000"))</f>
        <v/>
      </c>
      <c r="C1049" s="33"/>
      <c r="D1049" s="24"/>
      <c r="E1049" s="30" t="str">
        <f aca="false">IF($D1049="","",IFERROR(INDEX(合同单位,MATCH($D1049,合同键,0)),IFERROR(TRIM(LEFT($D1049,FIND("｜",$D1049)-1)),$D1049)))</f>
        <v/>
      </c>
      <c r="F1049" s="30" t="str">
        <f aca="false">IF($D1049="","",IFERROR(INDEX(合同项目,MATCH($D1049,合同键,0)),IFERROR(TRIM(MID($D1049,FIND("｜",$D1049)+1,99)),"")))</f>
        <v/>
      </c>
      <c r="G1049" s="24"/>
      <c r="H1049" s="35" t="str">
        <f aca="false">IF($G1049="","",IFERROR(INDEX(费用款别,MATCH($G1049,费用类别表,0)),"合同外款"))</f>
        <v/>
      </c>
      <c r="I1049" s="33"/>
      <c r="J1049" s="33"/>
      <c r="K1049" s="39"/>
      <c r="L1049" s="33"/>
      <c r="M1049" s="25"/>
      <c r="N1049" s="39"/>
      <c r="O1049" s="35" t="str">
        <f aca="false">IF($C1049="","",IF(N($N1049)&lt;=0,"未开票",IF(ROUND(N($N1049)-N($K1049),2)&gt;=0,"已开票",IFERROR("部分开票 "&amp;TEXT(N($N1049)/N($K1049),"0%"),"部分开票"))))</f>
        <v/>
      </c>
      <c r="P1049" s="40" t="str">
        <f aca="false">IF($C1049="","",ROUND($V1049+MIN($W1049,MAX(0,(SUMIF(收款键,$D1049,收款金额)-SUMIFS(收款金额,收款键,$D1049,收款关联,"&lt;&gt;"))-($X1049-$W1049))),2))</f>
        <v/>
      </c>
      <c r="Q1049" s="41" t="str">
        <f aca="false">IF($C1049="","",ROUND(N($K1049)-N($P1049),2))</f>
        <v/>
      </c>
      <c r="R1049" s="29" t="str">
        <f aca="false">IF($C1049="","",YEAR($C1049))</f>
        <v/>
      </c>
      <c r="S1049" s="24"/>
      <c r="T1049" s="35" t="str">
        <f aca="false">IF($C1049="","",IF($D1049="","★没选客户项目",IF(COUNTIF(合同键,$D1049)=0,"★《维保合同》里没这个项目",IF(N($K1049)&lt;=0,"★应收金额要填",IF(ROUND(N($N1049)-N($K1049),2)&gt;0.001,"★开票金额大于应收",IF(AND($L1049&lt;&gt;"",N($N1049)&lt;=0),"★填了开票日期没填开票金额",IF(AND($I1049&lt;&gt;"",$J1049&lt;&gt;"",$J1049&lt;$I1049),"★计费期间起止反了","OK")))))))</f>
        <v/>
      </c>
      <c r="U1049" s="29" t="str">
        <f aca="false">IF($L1049="","",YEAR($L1049))</f>
        <v/>
      </c>
      <c r="V1049" s="40" t="str">
        <f aca="false">IF($C1049="","",ROUND(SUMIF(收款关联,$B1049,收款金额),2))</f>
        <v/>
      </c>
      <c r="W1049" s="40" t="str">
        <f aca="false">IF($C1049="","",MAX(0,ROUND(N($K1049)-N($V1049),2)))</f>
        <v/>
      </c>
      <c r="X1049" s="40" t="str">
        <f aca="false">IF($C1049="","",ROUND(SUMIFS(应收净额,应收键,$D1049,应收行号,"&lt;="&amp;ROW()),2))</f>
        <v/>
      </c>
      <c r="Y1049" s="29" t="str">
        <f aca="false">IF($C1049="","",ROW())</f>
        <v/>
      </c>
    </row>
    <row r="1050" customFormat="false" ht="15" hidden="false" customHeight="false" outlineLevel="0" collapsed="false">
      <c r="A1050" s="29" t="str">
        <f aca="false">IF($C1050="","",ROW()-4)</f>
        <v/>
      </c>
      <c r="B1050" s="35" t="str">
        <f aca="false">IF($C1050="","","YS"&amp;TEXT($C1050,"yyyymm")&amp;"-"&amp;TEXT(ROW()-4,"0000"))</f>
        <v/>
      </c>
      <c r="C1050" s="33"/>
      <c r="D1050" s="24"/>
      <c r="E1050" s="30" t="str">
        <f aca="false">IF($D1050="","",IFERROR(INDEX(合同单位,MATCH($D1050,合同键,0)),IFERROR(TRIM(LEFT($D1050,FIND("｜",$D1050)-1)),$D1050)))</f>
        <v/>
      </c>
      <c r="F1050" s="30" t="str">
        <f aca="false">IF($D1050="","",IFERROR(INDEX(合同项目,MATCH($D1050,合同键,0)),IFERROR(TRIM(MID($D1050,FIND("｜",$D1050)+1,99)),"")))</f>
        <v/>
      </c>
      <c r="G1050" s="24"/>
      <c r="H1050" s="35" t="str">
        <f aca="false">IF($G1050="","",IFERROR(INDEX(费用款别,MATCH($G1050,费用类别表,0)),"合同外款"))</f>
        <v/>
      </c>
      <c r="I1050" s="33"/>
      <c r="J1050" s="33"/>
      <c r="K1050" s="39"/>
      <c r="L1050" s="33"/>
      <c r="M1050" s="25"/>
      <c r="N1050" s="39"/>
      <c r="O1050" s="35" t="str">
        <f aca="false">IF($C1050="","",IF(N($N1050)&lt;=0,"未开票",IF(ROUND(N($N1050)-N($K1050),2)&gt;=0,"已开票",IFERROR("部分开票 "&amp;TEXT(N($N1050)/N($K1050),"0%"),"部分开票"))))</f>
        <v/>
      </c>
      <c r="P1050" s="40" t="str">
        <f aca="false">IF($C1050="","",ROUND($V1050+MIN($W1050,MAX(0,(SUMIF(收款键,$D1050,收款金额)-SUMIFS(收款金额,收款键,$D1050,收款关联,"&lt;&gt;"))-($X1050-$W1050))),2))</f>
        <v/>
      </c>
      <c r="Q1050" s="41" t="str">
        <f aca="false">IF($C1050="","",ROUND(N($K1050)-N($P1050),2))</f>
        <v/>
      </c>
      <c r="R1050" s="29" t="str">
        <f aca="false">IF($C1050="","",YEAR($C1050))</f>
        <v/>
      </c>
      <c r="S1050" s="24"/>
      <c r="T1050" s="35" t="str">
        <f aca="false">IF($C1050="","",IF($D1050="","★没选客户项目",IF(COUNTIF(合同键,$D1050)=0,"★《维保合同》里没这个项目",IF(N($K1050)&lt;=0,"★应收金额要填",IF(ROUND(N($N1050)-N($K1050),2)&gt;0.001,"★开票金额大于应收",IF(AND($L1050&lt;&gt;"",N($N1050)&lt;=0),"★填了开票日期没填开票金额",IF(AND($I1050&lt;&gt;"",$J1050&lt;&gt;"",$J1050&lt;$I1050),"★计费期间起止反了","OK")))))))</f>
        <v/>
      </c>
      <c r="U1050" s="29" t="str">
        <f aca="false">IF($L1050="","",YEAR($L1050))</f>
        <v/>
      </c>
      <c r="V1050" s="40" t="str">
        <f aca="false">IF($C1050="","",ROUND(SUMIF(收款关联,$B1050,收款金额),2))</f>
        <v/>
      </c>
      <c r="W1050" s="40" t="str">
        <f aca="false">IF($C1050="","",MAX(0,ROUND(N($K1050)-N($V1050),2)))</f>
        <v/>
      </c>
      <c r="X1050" s="40" t="str">
        <f aca="false">IF($C1050="","",ROUND(SUMIFS(应收净额,应收键,$D1050,应收行号,"&lt;="&amp;ROW()),2))</f>
        <v/>
      </c>
      <c r="Y1050" s="29" t="str">
        <f aca="false">IF($C1050="","",ROW())</f>
        <v/>
      </c>
    </row>
    <row r="1051" customFormat="false" ht="15" hidden="false" customHeight="false" outlineLevel="0" collapsed="false">
      <c r="A1051" s="29" t="str">
        <f aca="false">IF($C1051="","",ROW()-4)</f>
        <v/>
      </c>
      <c r="B1051" s="35" t="str">
        <f aca="false">IF($C1051="","","YS"&amp;TEXT($C1051,"yyyymm")&amp;"-"&amp;TEXT(ROW()-4,"0000"))</f>
        <v/>
      </c>
      <c r="C1051" s="33"/>
      <c r="D1051" s="24"/>
      <c r="E1051" s="30" t="str">
        <f aca="false">IF($D1051="","",IFERROR(INDEX(合同单位,MATCH($D1051,合同键,0)),IFERROR(TRIM(LEFT($D1051,FIND("｜",$D1051)-1)),$D1051)))</f>
        <v/>
      </c>
      <c r="F1051" s="30" t="str">
        <f aca="false">IF($D1051="","",IFERROR(INDEX(合同项目,MATCH($D1051,合同键,0)),IFERROR(TRIM(MID($D1051,FIND("｜",$D1051)+1,99)),"")))</f>
        <v/>
      </c>
      <c r="G1051" s="24"/>
      <c r="H1051" s="35" t="str">
        <f aca="false">IF($G1051="","",IFERROR(INDEX(费用款别,MATCH($G1051,费用类别表,0)),"合同外款"))</f>
        <v/>
      </c>
      <c r="I1051" s="33"/>
      <c r="J1051" s="33"/>
      <c r="K1051" s="39"/>
      <c r="L1051" s="33"/>
      <c r="M1051" s="25"/>
      <c r="N1051" s="39"/>
      <c r="O1051" s="35" t="str">
        <f aca="false">IF($C1051="","",IF(N($N1051)&lt;=0,"未开票",IF(ROUND(N($N1051)-N($K1051),2)&gt;=0,"已开票",IFERROR("部分开票 "&amp;TEXT(N($N1051)/N($K1051),"0%"),"部分开票"))))</f>
        <v/>
      </c>
      <c r="P1051" s="40" t="str">
        <f aca="false">IF($C1051="","",ROUND($V1051+MIN($W1051,MAX(0,(SUMIF(收款键,$D1051,收款金额)-SUMIFS(收款金额,收款键,$D1051,收款关联,"&lt;&gt;"))-($X1051-$W1051))),2))</f>
        <v/>
      </c>
      <c r="Q1051" s="41" t="str">
        <f aca="false">IF($C1051="","",ROUND(N($K1051)-N($P1051),2))</f>
        <v/>
      </c>
      <c r="R1051" s="29" t="str">
        <f aca="false">IF($C1051="","",YEAR($C1051))</f>
        <v/>
      </c>
      <c r="S1051" s="24"/>
      <c r="T1051" s="35" t="str">
        <f aca="false">IF($C1051="","",IF($D1051="","★没选客户项目",IF(COUNTIF(合同键,$D1051)=0,"★《维保合同》里没这个项目",IF(N($K1051)&lt;=0,"★应收金额要填",IF(ROUND(N($N1051)-N($K1051),2)&gt;0.001,"★开票金额大于应收",IF(AND($L1051&lt;&gt;"",N($N1051)&lt;=0),"★填了开票日期没填开票金额",IF(AND($I1051&lt;&gt;"",$J1051&lt;&gt;"",$J1051&lt;$I1051),"★计费期间起止反了","OK")))))))</f>
        <v/>
      </c>
      <c r="U1051" s="29" t="str">
        <f aca="false">IF($L1051="","",YEAR($L1051))</f>
        <v/>
      </c>
      <c r="V1051" s="40" t="str">
        <f aca="false">IF($C1051="","",ROUND(SUMIF(收款关联,$B1051,收款金额),2))</f>
        <v/>
      </c>
      <c r="W1051" s="40" t="str">
        <f aca="false">IF($C1051="","",MAX(0,ROUND(N($K1051)-N($V1051),2)))</f>
        <v/>
      </c>
      <c r="X1051" s="40" t="str">
        <f aca="false">IF($C1051="","",ROUND(SUMIFS(应收净额,应收键,$D1051,应收行号,"&lt;="&amp;ROW()),2))</f>
        <v/>
      </c>
      <c r="Y1051" s="29" t="str">
        <f aca="false">IF($C1051="","",ROW())</f>
        <v/>
      </c>
    </row>
    <row r="1052" customFormat="false" ht="15" hidden="false" customHeight="false" outlineLevel="0" collapsed="false">
      <c r="A1052" s="29" t="str">
        <f aca="false">IF($C1052="","",ROW()-4)</f>
        <v/>
      </c>
      <c r="B1052" s="35" t="str">
        <f aca="false">IF($C1052="","","YS"&amp;TEXT($C1052,"yyyymm")&amp;"-"&amp;TEXT(ROW()-4,"0000"))</f>
        <v/>
      </c>
      <c r="C1052" s="33"/>
      <c r="D1052" s="24"/>
      <c r="E1052" s="30" t="str">
        <f aca="false">IF($D1052="","",IFERROR(INDEX(合同单位,MATCH($D1052,合同键,0)),IFERROR(TRIM(LEFT($D1052,FIND("｜",$D1052)-1)),$D1052)))</f>
        <v/>
      </c>
      <c r="F1052" s="30" t="str">
        <f aca="false">IF($D1052="","",IFERROR(INDEX(合同项目,MATCH($D1052,合同键,0)),IFERROR(TRIM(MID($D1052,FIND("｜",$D1052)+1,99)),"")))</f>
        <v/>
      </c>
      <c r="G1052" s="24"/>
      <c r="H1052" s="35" t="str">
        <f aca="false">IF($G1052="","",IFERROR(INDEX(费用款别,MATCH($G1052,费用类别表,0)),"合同外款"))</f>
        <v/>
      </c>
      <c r="I1052" s="33"/>
      <c r="J1052" s="33"/>
      <c r="K1052" s="39"/>
      <c r="L1052" s="33"/>
      <c r="M1052" s="25"/>
      <c r="N1052" s="39"/>
      <c r="O1052" s="35" t="str">
        <f aca="false">IF($C1052="","",IF(N($N1052)&lt;=0,"未开票",IF(ROUND(N($N1052)-N($K1052),2)&gt;=0,"已开票",IFERROR("部分开票 "&amp;TEXT(N($N1052)/N($K1052),"0%"),"部分开票"))))</f>
        <v/>
      </c>
      <c r="P1052" s="40" t="str">
        <f aca="false">IF($C1052="","",ROUND($V1052+MIN($W1052,MAX(0,(SUMIF(收款键,$D1052,收款金额)-SUMIFS(收款金额,收款键,$D1052,收款关联,"&lt;&gt;"))-($X1052-$W1052))),2))</f>
        <v/>
      </c>
      <c r="Q1052" s="41" t="str">
        <f aca="false">IF($C1052="","",ROUND(N($K1052)-N($P1052),2))</f>
        <v/>
      </c>
      <c r="R1052" s="29" t="str">
        <f aca="false">IF($C1052="","",YEAR($C1052))</f>
        <v/>
      </c>
      <c r="S1052" s="24"/>
      <c r="T1052" s="35" t="str">
        <f aca="false">IF($C1052="","",IF($D1052="","★没选客户项目",IF(COUNTIF(合同键,$D1052)=0,"★《维保合同》里没这个项目",IF(N($K1052)&lt;=0,"★应收金额要填",IF(ROUND(N($N1052)-N($K1052),2)&gt;0.001,"★开票金额大于应收",IF(AND($L1052&lt;&gt;"",N($N1052)&lt;=0),"★填了开票日期没填开票金额",IF(AND($I1052&lt;&gt;"",$J1052&lt;&gt;"",$J1052&lt;$I1052),"★计费期间起止反了","OK")))))))</f>
        <v/>
      </c>
      <c r="U1052" s="29" t="str">
        <f aca="false">IF($L1052="","",YEAR($L1052))</f>
        <v/>
      </c>
      <c r="V1052" s="40" t="str">
        <f aca="false">IF($C1052="","",ROUND(SUMIF(收款关联,$B1052,收款金额),2))</f>
        <v/>
      </c>
      <c r="W1052" s="40" t="str">
        <f aca="false">IF($C1052="","",MAX(0,ROUND(N($K1052)-N($V1052),2)))</f>
        <v/>
      </c>
      <c r="X1052" s="40" t="str">
        <f aca="false">IF($C1052="","",ROUND(SUMIFS(应收净额,应收键,$D1052,应收行号,"&lt;="&amp;ROW()),2))</f>
        <v/>
      </c>
      <c r="Y1052" s="29" t="str">
        <f aca="false">IF($C1052="","",ROW())</f>
        <v/>
      </c>
    </row>
    <row r="1053" customFormat="false" ht="15" hidden="false" customHeight="false" outlineLevel="0" collapsed="false">
      <c r="A1053" s="29" t="str">
        <f aca="false">IF($C1053="","",ROW()-4)</f>
        <v/>
      </c>
      <c r="B1053" s="35" t="str">
        <f aca="false">IF($C1053="","","YS"&amp;TEXT($C1053,"yyyymm")&amp;"-"&amp;TEXT(ROW()-4,"0000"))</f>
        <v/>
      </c>
      <c r="C1053" s="33"/>
      <c r="D1053" s="24"/>
      <c r="E1053" s="30" t="str">
        <f aca="false">IF($D1053="","",IFERROR(INDEX(合同单位,MATCH($D1053,合同键,0)),IFERROR(TRIM(LEFT($D1053,FIND("｜",$D1053)-1)),$D1053)))</f>
        <v/>
      </c>
      <c r="F1053" s="30" t="str">
        <f aca="false">IF($D1053="","",IFERROR(INDEX(合同项目,MATCH($D1053,合同键,0)),IFERROR(TRIM(MID($D1053,FIND("｜",$D1053)+1,99)),"")))</f>
        <v/>
      </c>
      <c r="G1053" s="24"/>
      <c r="H1053" s="35" t="str">
        <f aca="false">IF($G1053="","",IFERROR(INDEX(费用款别,MATCH($G1053,费用类别表,0)),"合同外款"))</f>
        <v/>
      </c>
      <c r="I1053" s="33"/>
      <c r="J1053" s="33"/>
      <c r="K1053" s="39"/>
      <c r="L1053" s="33"/>
      <c r="M1053" s="25"/>
      <c r="N1053" s="39"/>
      <c r="O1053" s="35" t="str">
        <f aca="false">IF($C1053="","",IF(N($N1053)&lt;=0,"未开票",IF(ROUND(N($N1053)-N($K1053),2)&gt;=0,"已开票",IFERROR("部分开票 "&amp;TEXT(N($N1053)/N($K1053),"0%"),"部分开票"))))</f>
        <v/>
      </c>
      <c r="P1053" s="40" t="str">
        <f aca="false">IF($C1053="","",ROUND($V1053+MIN($W1053,MAX(0,(SUMIF(收款键,$D1053,收款金额)-SUMIFS(收款金额,收款键,$D1053,收款关联,"&lt;&gt;"))-($X1053-$W1053))),2))</f>
        <v/>
      </c>
      <c r="Q1053" s="41" t="str">
        <f aca="false">IF($C1053="","",ROUND(N($K1053)-N($P1053),2))</f>
        <v/>
      </c>
      <c r="R1053" s="29" t="str">
        <f aca="false">IF($C1053="","",YEAR($C1053))</f>
        <v/>
      </c>
      <c r="S1053" s="24"/>
      <c r="T1053" s="35" t="str">
        <f aca="false">IF($C1053="","",IF($D1053="","★没选客户项目",IF(COUNTIF(合同键,$D1053)=0,"★《维保合同》里没这个项目",IF(N($K1053)&lt;=0,"★应收金额要填",IF(ROUND(N($N1053)-N($K1053),2)&gt;0.001,"★开票金额大于应收",IF(AND($L1053&lt;&gt;"",N($N1053)&lt;=0),"★填了开票日期没填开票金额",IF(AND($I1053&lt;&gt;"",$J1053&lt;&gt;"",$J1053&lt;$I1053),"★计费期间起止反了","OK")))))))</f>
        <v/>
      </c>
      <c r="U1053" s="29" t="str">
        <f aca="false">IF($L1053="","",YEAR($L1053))</f>
        <v/>
      </c>
      <c r="V1053" s="40" t="str">
        <f aca="false">IF($C1053="","",ROUND(SUMIF(收款关联,$B1053,收款金额),2))</f>
        <v/>
      </c>
      <c r="W1053" s="40" t="str">
        <f aca="false">IF($C1053="","",MAX(0,ROUND(N($K1053)-N($V1053),2)))</f>
        <v/>
      </c>
      <c r="X1053" s="40" t="str">
        <f aca="false">IF($C1053="","",ROUND(SUMIFS(应收净额,应收键,$D1053,应收行号,"&lt;="&amp;ROW()),2))</f>
        <v/>
      </c>
      <c r="Y1053" s="29" t="str">
        <f aca="false">IF($C1053="","",ROW())</f>
        <v/>
      </c>
    </row>
    <row r="1054" customFormat="false" ht="15" hidden="false" customHeight="false" outlineLevel="0" collapsed="false">
      <c r="A1054" s="29" t="str">
        <f aca="false">IF($C1054="","",ROW()-4)</f>
        <v/>
      </c>
      <c r="B1054" s="35" t="str">
        <f aca="false">IF($C1054="","","YS"&amp;TEXT($C1054,"yyyymm")&amp;"-"&amp;TEXT(ROW()-4,"0000"))</f>
        <v/>
      </c>
      <c r="C1054" s="33"/>
      <c r="D1054" s="24"/>
      <c r="E1054" s="30" t="str">
        <f aca="false">IF($D1054="","",IFERROR(INDEX(合同单位,MATCH($D1054,合同键,0)),IFERROR(TRIM(LEFT($D1054,FIND("｜",$D1054)-1)),$D1054)))</f>
        <v/>
      </c>
      <c r="F1054" s="30" t="str">
        <f aca="false">IF($D1054="","",IFERROR(INDEX(合同项目,MATCH($D1054,合同键,0)),IFERROR(TRIM(MID($D1054,FIND("｜",$D1054)+1,99)),"")))</f>
        <v/>
      </c>
      <c r="G1054" s="24"/>
      <c r="H1054" s="35" t="str">
        <f aca="false">IF($G1054="","",IFERROR(INDEX(费用款别,MATCH($G1054,费用类别表,0)),"合同外款"))</f>
        <v/>
      </c>
      <c r="I1054" s="33"/>
      <c r="J1054" s="33"/>
      <c r="K1054" s="39"/>
      <c r="L1054" s="33"/>
      <c r="M1054" s="25"/>
      <c r="N1054" s="39"/>
      <c r="O1054" s="35" t="str">
        <f aca="false">IF($C1054="","",IF(N($N1054)&lt;=0,"未开票",IF(ROUND(N($N1054)-N($K1054),2)&gt;=0,"已开票",IFERROR("部分开票 "&amp;TEXT(N($N1054)/N($K1054),"0%"),"部分开票"))))</f>
        <v/>
      </c>
      <c r="P1054" s="40" t="str">
        <f aca="false">IF($C1054="","",ROUND($V1054+MIN($W1054,MAX(0,(SUMIF(收款键,$D1054,收款金额)-SUMIFS(收款金额,收款键,$D1054,收款关联,"&lt;&gt;"))-($X1054-$W1054))),2))</f>
        <v/>
      </c>
      <c r="Q1054" s="41" t="str">
        <f aca="false">IF($C1054="","",ROUND(N($K1054)-N($P1054),2))</f>
        <v/>
      </c>
      <c r="R1054" s="29" t="str">
        <f aca="false">IF($C1054="","",YEAR($C1054))</f>
        <v/>
      </c>
      <c r="S1054" s="24"/>
      <c r="T1054" s="35" t="str">
        <f aca="false">IF($C1054="","",IF($D1054="","★没选客户项目",IF(COUNTIF(合同键,$D1054)=0,"★《维保合同》里没这个项目",IF(N($K1054)&lt;=0,"★应收金额要填",IF(ROUND(N($N1054)-N($K1054),2)&gt;0.001,"★开票金额大于应收",IF(AND($L1054&lt;&gt;"",N($N1054)&lt;=0),"★填了开票日期没填开票金额",IF(AND($I1054&lt;&gt;"",$J1054&lt;&gt;"",$J1054&lt;$I1054),"★计费期间起止反了","OK")))))))</f>
        <v/>
      </c>
      <c r="U1054" s="29" t="str">
        <f aca="false">IF($L1054="","",YEAR($L1054))</f>
        <v/>
      </c>
      <c r="V1054" s="40" t="str">
        <f aca="false">IF($C1054="","",ROUND(SUMIF(收款关联,$B1054,收款金额),2))</f>
        <v/>
      </c>
      <c r="W1054" s="40" t="str">
        <f aca="false">IF($C1054="","",MAX(0,ROUND(N($K1054)-N($V1054),2)))</f>
        <v/>
      </c>
      <c r="X1054" s="40" t="str">
        <f aca="false">IF($C1054="","",ROUND(SUMIFS(应收净额,应收键,$D1054,应收行号,"&lt;="&amp;ROW()),2))</f>
        <v/>
      </c>
      <c r="Y1054" s="29" t="str">
        <f aca="false">IF($C1054="","",ROW())</f>
        <v/>
      </c>
    </row>
    <row r="1055" customFormat="false" ht="15" hidden="false" customHeight="false" outlineLevel="0" collapsed="false">
      <c r="A1055" s="29" t="str">
        <f aca="false">IF($C1055="","",ROW()-4)</f>
        <v/>
      </c>
      <c r="B1055" s="35" t="str">
        <f aca="false">IF($C1055="","","YS"&amp;TEXT($C1055,"yyyymm")&amp;"-"&amp;TEXT(ROW()-4,"0000"))</f>
        <v/>
      </c>
      <c r="C1055" s="33"/>
      <c r="D1055" s="24"/>
      <c r="E1055" s="30" t="str">
        <f aca="false">IF($D1055="","",IFERROR(INDEX(合同单位,MATCH($D1055,合同键,0)),IFERROR(TRIM(LEFT($D1055,FIND("｜",$D1055)-1)),$D1055)))</f>
        <v/>
      </c>
      <c r="F1055" s="30" t="str">
        <f aca="false">IF($D1055="","",IFERROR(INDEX(合同项目,MATCH($D1055,合同键,0)),IFERROR(TRIM(MID($D1055,FIND("｜",$D1055)+1,99)),"")))</f>
        <v/>
      </c>
      <c r="G1055" s="24"/>
      <c r="H1055" s="35" t="str">
        <f aca="false">IF($G1055="","",IFERROR(INDEX(费用款别,MATCH($G1055,费用类别表,0)),"合同外款"))</f>
        <v/>
      </c>
      <c r="I1055" s="33"/>
      <c r="J1055" s="33"/>
      <c r="K1055" s="39"/>
      <c r="L1055" s="33"/>
      <c r="M1055" s="25"/>
      <c r="N1055" s="39"/>
      <c r="O1055" s="35" t="str">
        <f aca="false">IF($C1055="","",IF(N($N1055)&lt;=0,"未开票",IF(ROUND(N($N1055)-N($K1055),2)&gt;=0,"已开票",IFERROR("部分开票 "&amp;TEXT(N($N1055)/N($K1055),"0%"),"部分开票"))))</f>
        <v/>
      </c>
      <c r="P1055" s="40" t="str">
        <f aca="false">IF($C1055="","",ROUND($V1055+MIN($W1055,MAX(0,(SUMIF(收款键,$D1055,收款金额)-SUMIFS(收款金额,收款键,$D1055,收款关联,"&lt;&gt;"))-($X1055-$W1055))),2))</f>
        <v/>
      </c>
      <c r="Q1055" s="41" t="str">
        <f aca="false">IF($C1055="","",ROUND(N($K1055)-N($P1055),2))</f>
        <v/>
      </c>
      <c r="R1055" s="29" t="str">
        <f aca="false">IF($C1055="","",YEAR($C1055))</f>
        <v/>
      </c>
      <c r="S1055" s="24"/>
      <c r="T1055" s="35" t="str">
        <f aca="false">IF($C1055="","",IF($D1055="","★没选客户项目",IF(COUNTIF(合同键,$D1055)=0,"★《维保合同》里没这个项目",IF(N($K1055)&lt;=0,"★应收金额要填",IF(ROUND(N($N1055)-N($K1055),2)&gt;0.001,"★开票金额大于应收",IF(AND($L1055&lt;&gt;"",N($N1055)&lt;=0),"★填了开票日期没填开票金额",IF(AND($I1055&lt;&gt;"",$J1055&lt;&gt;"",$J1055&lt;$I1055),"★计费期间起止反了","OK")))))))</f>
        <v/>
      </c>
      <c r="U1055" s="29" t="str">
        <f aca="false">IF($L1055="","",YEAR($L1055))</f>
        <v/>
      </c>
      <c r="V1055" s="40" t="str">
        <f aca="false">IF($C1055="","",ROUND(SUMIF(收款关联,$B1055,收款金额),2))</f>
        <v/>
      </c>
      <c r="W1055" s="40" t="str">
        <f aca="false">IF($C1055="","",MAX(0,ROUND(N($K1055)-N($V1055),2)))</f>
        <v/>
      </c>
      <c r="X1055" s="40" t="str">
        <f aca="false">IF($C1055="","",ROUND(SUMIFS(应收净额,应收键,$D1055,应收行号,"&lt;="&amp;ROW()),2))</f>
        <v/>
      </c>
      <c r="Y1055" s="29" t="str">
        <f aca="false">IF($C1055="","",ROW())</f>
        <v/>
      </c>
    </row>
    <row r="1056" customFormat="false" ht="15" hidden="false" customHeight="false" outlineLevel="0" collapsed="false">
      <c r="A1056" s="29" t="str">
        <f aca="false">IF($C1056="","",ROW()-4)</f>
        <v/>
      </c>
      <c r="B1056" s="35" t="str">
        <f aca="false">IF($C1056="","","YS"&amp;TEXT($C1056,"yyyymm")&amp;"-"&amp;TEXT(ROW()-4,"0000"))</f>
        <v/>
      </c>
      <c r="C1056" s="33"/>
      <c r="D1056" s="24"/>
      <c r="E1056" s="30" t="str">
        <f aca="false">IF($D1056="","",IFERROR(INDEX(合同单位,MATCH($D1056,合同键,0)),IFERROR(TRIM(LEFT($D1056,FIND("｜",$D1056)-1)),$D1056)))</f>
        <v/>
      </c>
      <c r="F1056" s="30" t="str">
        <f aca="false">IF($D1056="","",IFERROR(INDEX(合同项目,MATCH($D1056,合同键,0)),IFERROR(TRIM(MID($D1056,FIND("｜",$D1056)+1,99)),"")))</f>
        <v/>
      </c>
      <c r="G1056" s="24"/>
      <c r="H1056" s="35" t="str">
        <f aca="false">IF($G1056="","",IFERROR(INDEX(费用款别,MATCH($G1056,费用类别表,0)),"合同外款"))</f>
        <v/>
      </c>
      <c r="I1056" s="33"/>
      <c r="J1056" s="33"/>
      <c r="K1056" s="39"/>
      <c r="L1056" s="33"/>
      <c r="M1056" s="25"/>
      <c r="N1056" s="39"/>
      <c r="O1056" s="35" t="str">
        <f aca="false">IF($C1056="","",IF(N($N1056)&lt;=0,"未开票",IF(ROUND(N($N1056)-N($K1056),2)&gt;=0,"已开票",IFERROR("部分开票 "&amp;TEXT(N($N1056)/N($K1056),"0%"),"部分开票"))))</f>
        <v/>
      </c>
      <c r="P1056" s="40" t="str">
        <f aca="false">IF($C1056="","",ROUND($V1056+MIN($W1056,MAX(0,(SUMIF(收款键,$D1056,收款金额)-SUMIFS(收款金额,收款键,$D1056,收款关联,"&lt;&gt;"))-($X1056-$W1056))),2))</f>
        <v/>
      </c>
      <c r="Q1056" s="41" t="str">
        <f aca="false">IF($C1056="","",ROUND(N($K1056)-N($P1056),2))</f>
        <v/>
      </c>
      <c r="R1056" s="29" t="str">
        <f aca="false">IF($C1056="","",YEAR($C1056))</f>
        <v/>
      </c>
      <c r="S1056" s="24"/>
      <c r="T1056" s="35" t="str">
        <f aca="false">IF($C1056="","",IF($D1056="","★没选客户项目",IF(COUNTIF(合同键,$D1056)=0,"★《维保合同》里没这个项目",IF(N($K1056)&lt;=0,"★应收金额要填",IF(ROUND(N($N1056)-N($K1056),2)&gt;0.001,"★开票金额大于应收",IF(AND($L1056&lt;&gt;"",N($N1056)&lt;=0),"★填了开票日期没填开票金额",IF(AND($I1056&lt;&gt;"",$J1056&lt;&gt;"",$J1056&lt;$I1056),"★计费期间起止反了","OK")))))))</f>
        <v/>
      </c>
      <c r="U1056" s="29" t="str">
        <f aca="false">IF($L1056="","",YEAR($L1056))</f>
        <v/>
      </c>
      <c r="V1056" s="40" t="str">
        <f aca="false">IF($C1056="","",ROUND(SUMIF(收款关联,$B1056,收款金额),2))</f>
        <v/>
      </c>
      <c r="W1056" s="40" t="str">
        <f aca="false">IF($C1056="","",MAX(0,ROUND(N($K1056)-N($V1056),2)))</f>
        <v/>
      </c>
      <c r="X1056" s="40" t="str">
        <f aca="false">IF($C1056="","",ROUND(SUMIFS(应收净额,应收键,$D1056,应收行号,"&lt;="&amp;ROW()),2))</f>
        <v/>
      </c>
      <c r="Y1056" s="29" t="str">
        <f aca="false">IF($C1056="","",ROW())</f>
        <v/>
      </c>
    </row>
    <row r="1057" customFormat="false" ht="15" hidden="false" customHeight="false" outlineLevel="0" collapsed="false">
      <c r="A1057" s="29" t="str">
        <f aca="false">IF($C1057="","",ROW()-4)</f>
        <v/>
      </c>
      <c r="B1057" s="35" t="str">
        <f aca="false">IF($C1057="","","YS"&amp;TEXT($C1057,"yyyymm")&amp;"-"&amp;TEXT(ROW()-4,"0000"))</f>
        <v/>
      </c>
      <c r="C1057" s="33"/>
      <c r="D1057" s="24"/>
      <c r="E1057" s="30" t="str">
        <f aca="false">IF($D1057="","",IFERROR(INDEX(合同单位,MATCH($D1057,合同键,0)),IFERROR(TRIM(LEFT($D1057,FIND("｜",$D1057)-1)),$D1057)))</f>
        <v/>
      </c>
      <c r="F1057" s="30" t="str">
        <f aca="false">IF($D1057="","",IFERROR(INDEX(合同项目,MATCH($D1057,合同键,0)),IFERROR(TRIM(MID($D1057,FIND("｜",$D1057)+1,99)),"")))</f>
        <v/>
      </c>
      <c r="G1057" s="24"/>
      <c r="H1057" s="35" t="str">
        <f aca="false">IF($G1057="","",IFERROR(INDEX(费用款别,MATCH($G1057,费用类别表,0)),"合同外款"))</f>
        <v/>
      </c>
      <c r="I1057" s="33"/>
      <c r="J1057" s="33"/>
      <c r="K1057" s="39"/>
      <c r="L1057" s="33"/>
      <c r="M1057" s="25"/>
      <c r="N1057" s="39"/>
      <c r="O1057" s="35" t="str">
        <f aca="false">IF($C1057="","",IF(N($N1057)&lt;=0,"未开票",IF(ROUND(N($N1057)-N($K1057),2)&gt;=0,"已开票",IFERROR("部分开票 "&amp;TEXT(N($N1057)/N($K1057),"0%"),"部分开票"))))</f>
        <v/>
      </c>
      <c r="P1057" s="40" t="str">
        <f aca="false">IF($C1057="","",ROUND($V1057+MIN($W1057,MAX(0,(SUMIF(收款键,$D1057,收款金额)-SUMIFS(收款金额,收款键,$D1057,收款关联,"&lt;&gt;"))-($X1057-$W1057))),2))</f>
        <v/>
      </c>
      <c r="Q1057" s="41" t="str">
        <f aca="false">IF($C1057="","",ROUND(N($K1057)-N($P1057),2))</f>
        <v/>
      </c>
      <c r="R1057" s="29" t="str">
        <f aca="false">IF($C1057="","",YEAR($C1057))</f>
        <v/>
      </c>
      <c r="S1057" s="24"/>
      <c r="T1057" s="35" t="str">
        <f aca="false">IF($C1057="","",IF($D1057="","★没选客户项目",IF(COUNTIF(合同键,$D1057)=0,"★《维保合同》里没这个项目",IF(N($K1057)&lt;=0,"★应收金额要填",IF(ROUND(N($N1057)-N($K1057),2)&gt;0.001,"★开票金额大于应收",IF(AND($L1057&lt;&gt;"",N($N1057)&lt;=0),"★填了开票日期没填开票金额",IF(AND($I1057&lt;&gt;"",$J1057&lt;&gt;"",$J1057&lt;$I1057),"★计费期间起止反了","OK")))))))</f>
        <v/>
      </c>
      <c r="U1057" s="29" t="str">
        <f aca="false">IF($L1057="","",YEAR($L1057))</f>
        <v/>
      </c>
      <c r="V1057" s="40" t="str">
        <f aca="false">IF($C1057="","",ROUND(SUMIF(收款关联,$B1057,收款金额),2))</f>
        <v/>
      </c>
      <c r="W1057" s="40" t="str">
        <f aca="false">IF($C1057="","",MAX(0,ROUND(N($K1057)-N($V1057),2)))</f>
        <v/>
      </c>
      <c r="X1057" s="40" t="str">
        <f aca="false">IF($C1057="","",ROUND(SUMIFS(应收净额,应收键,$D1057,应收行号,"&lt;="&amp;ROW()),2))</f>
        <v/>
      </c>
      <c r="Y1057" s="29" t="str">
        <f aca="false">IF($C1057="","",ROW())</f>
        <v/>
      </c>
    </row>
    <row r="1058" customFormat="false" ht="15" hidden="false" customHeight="false" outlineLevel="0" collapsed="false">
      <c r="A1058" s="29" t="str">
        <f aca="false">IF($C1058="","",ROW()-4)</f>
        <v/>
      </c>
      <c r="B1058" s="35" t="str">
        <f aca="false">IF($C1058="","","YS"&amp;TEXT($C1058,"yyyymm")&amp;"-"&amp;TEXT(ROW()-4,"0000"))</f>
        <v/>
      </c>
      <c r="C1058" s="33"/>
      <c r="D1058" s="24"/>
      <c r="E1058" s="30" t="str">
        <f aca="false">IF($D1058="","",IFERROR(INDEX(合同单位,MATCH($D1058,合同键,0)),IFERROR(TRIM(LEFT($D1058,FIND("｜",$D1058)-1)),$D1058)))</f>
        <v/>
      </c>
      <c r="F1058" s="30" t="str">
        <f aca="false">IF($D1058="","",IFERROR(INDEX(合同项目,MATCH($D1058,合同键,0)),IFERROR(TRIM(MID($D1058,FIND("｜",$D1058)+1,99)),"")))</f>
        <v/>
      </c>
      <c r="G1058" s="24"/>
      <c r="H1058" s="35" t="str">
        <f aca="false">IF($G1058="","",IFERROR(INDEX(费用款别,MATCH($G1058,费用类别表,0)),"合同外款"))</f>
        <v/>
      </c>
      <c r="I1058" s="33"/>
      <c r="J1058" s="33"/>
      <c r="K1058" s="39"/>
      <c r="L1058" s="33"/>
      <c r="M1058" s="25"/>
      <c r="N1058" s="39"/>
      <c r="O1058" s="35" t="str">
        <f aca="false">IF($C1058="","",IF(N($N1058)&lt;=0,"未开票",IF(ROUND(N($N1058)-N($K1058),2)&gt;=0,"已开票",IFERROR("部分开票 "&amp;TEXT(N($N1058)/N($K1058),"0%"),"部分开票"))))</f>
        <v/>
      </c>
      <c r="P1058" s="40" t="str">
        <f aca="false">IF($C1058="","",ROUND($V1058+MIN($W1058,MAX(0,(SUMIF(收款键,$D1058,收款金额)-SUMIFS(收款金额,收款键,$D1058,收款关联,"&lt;&gt;"))-($X1058-$W1058))),2))</f>
        <v/>
      </c>
      <c r="Q1058" s="41" t="str">
        <f aca="false">IF($C1058="","",ROUND(N($K1058)-N($P1058),2))</f>
        <v/>
      </c>
      <c r="R1058" s="29" t="str">
        <f aca="false">IF($C1058="","",YEAR($C1058))</f>
        <v/>
      </c>
      <c r="S1058" s="24"/>
      <c r="T1058" s="35" t="str">
        <f aca="false">IF($C1058="","",IF($D1058="","★没选客户项目",IF(COUNTIF(合同键,$D1058)=0,"★《维保合同》里没这个项目",IF(N($K1058)&lt;=0,"★应收金额要填",IF(ROUND(N($N1058)-N($K1058),2)&gt;0.001,"★开票金额大于应收",IF(AND($L1058&lt;&gt;"",N($N1058)&lt;=0),"★填了开票日期没填开票金额",IF(AND($I1058&lt;&gt;"",$J1058&lt;&gt;"",$J1058&lt;$I1058),"★计费期间起止反了","OK")))))))</f>
        <v/>
      </c>
      <c r="U1058" s="29" t="str">
        <f aca="false">IF($L1058="","",YEAR($L1058))</f>
        <v/>
      </c>
      <c r="V1058" s="40" t="str">
        <f aca="false">IF($C1058="","",ROUND(SUMIF(收款关联,$B1058,收款金额),2))</f>
        <v/>
      </c>
      <c r="W1058" s="40" t="str">
        <f aca="false">IF($C1058="","",MAX(0,ROUND(N($K1058)-N($V1058),2)))</f>
        <v/>
      </c>
      <c r="X1058" s="40" t="str">
        <f aca="false">IF($C1058="","",ROUND(SUMIFS(应收净额,应收键,$D1058,应收行号,"&lt;="&amp;ROW()),2))</f>
        <v/>
      </c>
      <c r="Y1058" s="29" t="str">
        <f aca="false">IF($C1058="","",ROW())</f>
        <v/>
      </c>
    </row>
    <row r="1059" customFormat="false" ht="15" hidden="false" customHeight="false" outlineLevel="0" collapsed="false">
      <c r="A1059" s="29" t="str">
        <f aca="false">IF($C1059="","",ROW()-4)</f>
        <v/>
      </c>
      <c r="B1059" s="35" t="str">
        <f aca="false">IF($C1059="","","YS"&amp;TEXT($C1059,"yyyymm")&amp;"-"&amp;TEXT(ROW()-4,"0000"))</f>
        <v/>
      </c>
      <c r="C1059" s="33"/>
      <c r="D1059" s="24"/>
      <c r="E1059" s="30" t="str">
        <f aca="false">IF($D1059="","",IFERROR(INDEX(合同单位,MATCH($D1059,合同键,0)),IFERROR(TRIM(LEFT($D1059,FIND("｜",$D1059)-1)),$D1059)))</f>
        <v/>
      </c>
      <c r="F1059" s="30" t="str">
        <f aca="false">IF($D1059="","",IFERROR(INDEX(合同项目,MATCH($D1059,合同键,0)),IFERROR(TRIM(MID($D1059,FIND("｜",$D1059)+1,99)),"")))</f>
        <v/>
      </c>
      <c r="G1059" s="24"/>
      <c r="H1059" s="35" t="str">
        <f aca="false">IF($G1059="","",IFERROR(INDEX(费用款别,MATCH($G1059,费用类别表,0)),"合同外款"))</f>
        <v/>
      </c>
      <c r="I1059" s="33"/>
      <c r="J1059" s="33"/>
      <c r="K1059" s="39"/>
      <c r="L1059" s="33"/>
      <c r="M1059" s="25"/>
      <c r="N1059" s="39"/>
      <c r="O1059" s="35" t="str">
        <f aca="false">IF($C1059="","",IF(N($N1059)&lt;=0,"未开票",IF(ROUND(N($N1059)-N($K1059),2)&gt;=0,"已开票",IFERROR("部分开票 "&amp;TEXT(N($N1059)/N($K1059),"0%"),"部分开票"))))</f>
        <v/>
      </c>
      <c r="P1059" s="40" t="str">
        <f aca="false">IF($C1059="","",ROUND($V1059+MIN($W1059,MAX(0,(SUMIF(收款键,$D1059,收款金额)-SUMIFS(收款金额,收款键,$D1059,收款关联,"&lt;&gt;"))-($X1059-$W1059))),2))</f>
        <v/>
      </c>
      <c r="Q1059" s="41" t="str">
        <f aca="false">IF($C1059="","",ROUND(N($K1059)-N($P1059),2))</f>
        <v/>
      </c>
      <c r="R1059" s="29" t="str">
        <f aca="false">IF($C1059="","",YEAR($C1059))</f>
        <v/>
      </c>
      <c r="S1059" s="24"/>
      <c r="T1059" s="35" t="str">
        <f aca="false">IF($C1059="","",IF($D1059="","★没选客户项目",IF(COUNTIF(合同键,$D1059)=0,"★《维保合同》里没这个项目",IF(N($K1059)&lt;=0,"★应收金额要填",IF(ROUND(N($N1059)-N($K1059),2)&gt;0.001,"★开票金额大于应收",IF(AND($L1059&lt;&gt;"",N($N1059)&lt;=0),"★填了开票日期没填开票金额",IF(AND($I1059&lt;&gt;"",$J1059&lt;&gt;"",$J1059&lt;$I1059),"★计费期间起止反了","OK")))))))</f>
        <v/>
      </c>
      <c r="U1059" s="29" t="str">
        <f aca="false">IF($L1059="","",YEAR($L1059))</f>
        <v/>
      </c>
      <c r="V1059" s="40" t="str">
        <f aca="false">IF($C1059="","",ROUND(SUMIF(收款关联,$B1059,收款金额),2))</f>
        <v/>
      </c>
      <c r="W1059" s="40" t="str">
        <f aca="false">IF($C1059="","",MAX(0,ROUND(N($K1059)-N($V1059),2)))</f>
        <v/>
      </c>
      <c r="X1059" s="40" t="str">
        <f aca="false">IF($C1059="","",ROUND(SUMIFS(应收净额,应收键,$D1059,应收行号,"&lt;="&amp;ROW()),2))</f>
        <v/>
      </c>
      <c r="Y1059" s="29" t="str">
        <f aca="false">IF($C1059="","",ROW())</f>
        <v/>
      </c>
    </row>
    <row r="1060" customFormat="false" ht="15" hidden="false" customHeight="false" outlineLevel="0" collapsed="false">
      <c r="A1060" s="29" t="str">
        <f aca="false">IF($C1060="","",ROW()-4)</f>
        <v/>
      </c>
      <c r="B1060" s="35" t="str">
        <f aca="false">IF($C1060="","","YS"&amp;TEXT($C1060,"yyyymm")&amp;"-"&amp;TEXT(ROW()-4,"0000"))</f>
        <v/>
      </c>
      <c r="C1060" s="33"/>
      <c r="D1060" s="24"/>
      <c r="E1060" s="30" t="str">
        <f aca="false">IF($D1060="","",IFERROR(INDEX(合同单位,MATCH($D1060,合同键,0)),IFERROR(TRIM(LEFT($D1060,FIND("｜",$D1060)-1)),$D1060)))</f>
        <v/>
      </c>
      <c r="F1060" s="30" t="str">
        <f aca="false">IF($D1060="","",IFERROR(INDEX(合同项目,MATCH($D1060,合同键,0)),IFERROR(TRIM(MID($D1060,FIND("｜",$D1060)+1,99)),"")))</f>
        <v/>
      </c>
      <c r="G1060" s="24"/>
      <c r="H1060" s="35" t="str">
        <f aca="false">IF($G1060="","",IFERROR(INDEX(费用款别,MATCH($G1060,费用类别表,0)),"合同外款"))</f>
        <v/>
      </c>
      <c r="I1060" s="33"/>
      <c r="J1060" s="33"/>
      <c r="K1060" s="39"/>
      <c r="L1060" s="33"/>
      <c r="M1060" s="25"/>
      <c r="N1060" s="39"/>
      <c r="O1060" s="35" t="str">
        <f aca="false">IF($C1060="","",IF(N($N1060)&lt;=0,"未开票",IF(ROUND(N($N1060)-N($K1060),2)&gt;=0,"已开票",IFERROR("部分开票 "&amp;TEXT(N($N1060)/N($K1060),"0%"),"部分开票"))))</f>
        <v/>
      </c>
      <c r="P1060" s="40" t="str">
        <f aca="false">IF($C1060="","",ROUND($V1060+MIN($W1060,MAX(0,(SUMIF(收款键,$D1060,收款金额)-SUMIFS(收款金额,收款键,$D1060,收款关联,"&lt;&gt;"))-($X1060-$W1060))),2))</f>
        <v/>
      </c>
      <c r="Q1060" s="41" t="str">
        <f aca="false">IF($C1060="","",ROUND(N($K1060)-N($P1060),2))</f>
        <v/>
      </c>
      <c r="R1060" s="29" t="str">
        <f aca="false">IF($C1060="","",YEAR($C1060))</f>
        <v/>
      </c>
      <c r="S1060" s="24"/>
      <c r="T1060" s="35" t="str">
        <f aca="false">IF($C1060="","",IF($D1060="","★没选客户项目",IF(COUNTIF(合同键,$D1060)=0,"★《维保合同》里没这个项目",IF(N($K1060)&lt;=0,"★应收金额要填",IF(ROUND(N($N1060)-N($K1060),2)&gt;0.001,"★开票金额大于应收",IF(AND($L1060&lt;&gt;"",N($N1060)&lt;=0),"★填了开票日期没填开票金额",IF(AND($I1060&lt;&gt;"",$J1060&lt;&gt;"",$J1060&lt;$I1060),"★计费期间起止反了","OK")))))))</f>
        <v/>
      </c>
      <c r="U1060" s="29" t="str">
        <f aca="false">IF($L1060="","",YEAR($L1060))</f>
        <v/>
      </c>
      <c r="V1060" s="40" t="str">
        <f aca="false">IF($C1060="","",ROUND(SUMIF(收款关联,$B1060,收款金额),2))</f>
        <v/>
      </c>
      <c r="W1060" s="40" t="str">
        <f aca="false">IF($C1060="","",MAX(0,ROUND(N($K1060)-N($V1060),2)))</f>
        <v/>
      </c>
      <c r="X1060" s="40" t="str">
        <f aca="false">IF($C1060="","",ROUND(SUMIFS(应收净额,应收键,$D1060,应收行号,"&lt;="&amp;ROW()),2))</f>
        <v/>
      </c>
      <c r="Y1060" s="29" t="str">
        <f aca="false">IF($C1060="","",ROW())</f>
        <v/>
      </c>
    </row>
    <row r="1061" customFormat="false" ht="15" hidden="false" customHeight="false" outlineLevel="0" collapsed="false">
      <c r="A1061" s="29" t="str">
        <f aca="false">IF($C1061="","",ROW()-4)</f>
        <v/>
      </c>
      <c r="B1061" s="35" t="str">
        <f aca="false">IF($C1061="","","YS"&amp;TEXT($C1061,"yyyymm")&amp;"-"&amp;TEXT(ROW()-4,"0000"))</f>
        <v/>
      </c>
      <c r="C1061" s="33"/>
      <c r="D1061" s="24"/>
      <c r="E1061" s="30" t="str">
        <f aca="false">IF($D1061="","",IFERROR(INDEX(合同单位,MATCH($D1061,合同键,0)),IFERROR(TRIM(LEFT($D1061,FIND("｜",$D1061)-1)),$D1061)))</f>
        <v/>
      </c>
      <c r="F1061" s="30" t="str">
        <f aca="false">IF($D1061="","",IFERROR(INDEX(合同项目,MATCH($D1061,合同键,0)),IFERROR(TRIM(MID($D1061,FIND("｜",$D1061)+1,99)),"")))</f>
        <v/>
      </c>
      <c r="G1061" s="24"/>
      <c r="H1061" s="35" t="str">
        <f aca="false">IF($G1061="","",IFERROR(INDEX(费用款别,MATCH($G1061,费用类别表,0)),"合同外款"))</f>
        <v/>
      </c>
      <c r="I1061" s="33"/>
      <c r="J1061" s="33"/>
      <c r="K1061" s="39"/>
      <c r="L1061" s="33"/>
      <c r="M1061" s="25"/>
      <c r="N1061" s="39"/>
      <c r="O1061" s="35" t="str">
        <f aca="false">IF($C1061="","",IF(N($N1061)&lt;=0,"未开票",IF(ROUND(N($N1061)-N($K1061),2)&gt;=0,"已开票",IFERROR("部分开票 "&amp;TEXT(N($N1061)/N($K1061),"0%"),"部分开票"))))</f>
        <v/>
      </c>
      <c r="P1061" s="40" t="str">
        <f aca="false">IF($C1061="","",ROUND($V1061+MIN($W1061,MAX(0,(SUMIF(收款键,$D1061,收款金额)-SUMIFS(收款金额,收款键,$D1061,收款关联,"&lt;&gt;"))-($X1061-$W1061))),2))</f>
        <v/>
      </c>
      <c r="Q1061" s="41" t="str">
        <f aca="false">IF($C1061="","",ROUND(N($K1061)-N($P1061),2))</f>
        <v/>
      </c>
      <c r="R1061" s="29" t="str">
        <f aca="false">IF($C1061="","",YEAR($C1061))</f>
        <v/>
      </c>
      <c r="S1061" s="24"/>
      <c r="T1061" s="35" t="str">
        <f aca="false">IF($C1061="","",IF($D1061="","★没选客户项目",IF(COUNTIF(合同键,$D1061)=0,"★《维保合同》里没这个项目",IF(N($K1061)&lt;=0,"★应收金额要填",IF(ROUND(N($N1061)-N($K1061),2)&gt;0.001,"★开票金额大于应收",IF(AND($L1061&lt;&gt;"",N($N1061)&lt;=0),"★填了开票日期没填开票金额",IF(AND($I1061&lt;&gt;"",$J1061&lt;&gt;"",$J1061&lt;$I1061),"★计费期间起止反了","OK")))))))</f>
        <v/>
      </c>
      <c r="U1061" s="29" t="str">
        <f aca="false">IF($L1061="","",YEAR($L1061))</f>
        <v/>
      </c>
      <c r="V1061" s="40" t="str">
        <f aca="false">IF($C1061="","",ROUND(SUMIF(收款关联,$B1061,收款金额),2))</f>
        <v/>
      </c>
      <c r="W1061" s="40" t="str">
        <f aca="false">IF($C1061="","",MAX(0,ROUND(N($K1061)-N($V1061),2)))</f>
        <v/>
      </c>
      <c r="X1061" s="40" t="str">
        <f aca="false">IF($C1061="","",ROUND(SUMIFS(应收净额,应收键,$D1061,应收行号,"&lt;="&amp;ROW()),2))</f>
        <v/>
      </c>
      <c r="Y1061" s="29" t="str">
        <f aca="false">IF($C1061="","",ROW())</f>
        <v/>
      </c>
    </row>
    <row r="1062" customFormat="false" ht="15" hidden="false" customHeight="false" outlineLevel="0" collapsed="false">
      <c r="A1062" s="29" t="str">
        <f aca="false">IF($C1062="","",ROW()-4)</f>
        <v/>
      </c>
      <c r="B1062" s="35" t="str">
        <f aca="false">IF($C1062="","","YS"&amp;TEXT($C1062,"yyyymm")&amp;"-"&amp;TEXT(ROW()-4,"0000"))</f>
        <v/>
      </c>
      <c r="C1062" s="33"/>
      <c r="D1062" s="24"/>
      <c r="E1062" s="30" t="str">
        <f aca="false">IF($D1062="","",IFERROR(INDEX(合同单位,MATCH($D1062,合同键,0)),IFERROR(TRIM(LEFT($D1062,FIND("｜",$D1062)-1)),$D1062)))</f>
        <v/>
      </c>
      <c r="F1062" s="30" t="str">
        <f aca="false">IF($D1062="","",IFERROR(INDEX(合同项目,MATCH($D1062,合同键,0)),IFERROR(TRIM(MID($D1062,FIND("｜",$D1062)+1,99)),"")))</f>
        <v/>
      </c>
      <c r="G1062" s="24"/>
      <c r="H1062" s="35" t="str">
        <f aca="false">IF($G1062="","",IFERROR(INDEX(费用款别,MATCH($G1062,费用类别表,0)),"合同外款"))</f>
        <v/>
      </c>
      <c r="I1062" s="33"/>
      <c r="J1062" s="33"/>
      <c r="K1062" s="39"/>
      <c r="L1062" s="33"/>
      <c r="M1062" s="25"/>
      <c r="N1062" s="39"/>
      <c r="O1062" s="35" t="str">
        <f aca="false">IF($C1062="","",IF(N($N1062)&lt;=0,"未开票",IF(ROUND(N($N1062)-N($K1062),2)&gt;=0,"已开票",IFERROR("部分开票 "&amp;TEXT(N($N1062)/N($K1062),"0%"),"部分开票"))))</f>
        <v/>
      </c>
      <c r="P1062" s="40" t="str">
        <f aca="false">IF($C1062="","",ROUND($V1062+MIN($W1062,MAX(0,(SUMIF(收款键,$D1062,收款金额)-SUMIFS(收款金额,收款键,$D1062,收款关联,"&lt;&gt;"))-($X1062-$W1062))),2))</f>
        <v/>
      </c>
      <c r="Q1062" s="41" t="str">
        <f aca="false">IF($C1062="","",ROUND(N($K1062)-N($P1062),2))</f>
        <v/>
      </c>
      <c r="R1062" s="29" t="str">
        <f aca="false">IF($C1062="","",YEAR($C1062))</f>
        <v/>
      </c>
      <c r="S1062" s="24"/>
      <c r="T1062" s="35" t="str">
        <f aca="false">IF($C1062="","",IF($D1062="","★没选客户项目",IF(COUNTIF(合同键,$D1062)=0,"★《维保合同》里没这个项目",IF(N($K1062)&lt;=0,"★应收金额要填",IF(ROUND(N($N1062)-N($K1062),2)&gt;0.001,"★开票金额大于应收",IF(AND($L1062&lt;&gt;"",N($N1062)&lt;=0),"★填了开票日期没填开票金额",IF(AND($I1062&lt;&gt;"",$J1062&lt;&gt;"",$J1062&lt;$I1062),"★计费期间起止反了","OK")))))))</f>
        <v/>
      </c>
      <c r="U1062" s="29" t="str">
        <f aca="false">IF($L1062="","",YEAR($L1062))</f>
        <v/>
      </c>
      <c r="V1062" s="40" t="str">
        <f aca="false">IF($C1062="","",ROUND(SUMIF(收款关联,$B1062,收款金额),2))</f>
        <v/>
      </c>
      <c r="W1062" s="40" t="str">
        <f aca="false">IF($C1062="","",MAX(0,ROUND(N($K1062)-N($V1062),2)))</f>
        <v/>
      </c>
      <c r="X1062" s="40" t="str">
        <f aca="false">IF($C1062="","",ROUND(SUMIFS(应收净额,应收键,$D1062,应收行号,"&lt;="&amp;ROW()),2))</f>
        <v/>
      </c>
      <c r="Y1062" s="29" t="str">
        <f aca="false">IF($C1062="","",ROW())</f>
        <v/>
      </c>
    </row>
    <row r="1063" customFormat="false" ht="15" hidden="false" customHeight="false" outlineLevel="0" collapsed="false">
      <c r="A1063" s="29" t="str">
        <f aca="false">IF($C1063="","",ROW()-4)</f>
        <v/>
      </c>
      <c r="B1063" s="35" t="str">
        <f aca="false">IF($C1063="","","YS"&amp;TEXT($C1063,"yyyymm")&amp;"-"&amp;TEXT(ROW()-4,"0000"))</f>
        <v/>
      </c>
      <c r="C1063" s="33"/>
      <c r="D1063" s="24"/>
      <c r="E1063" s="30" t="str">
        <f aca="false">IF($D1063="","",IFERROR(INDEX(合同单位,MATCH($D1063,合同键,0)),IFERROR(TRIM(LEFT($D1063,FIND("｜",$D1063)-1)),$D1063)))</f>
        <v/>
      </c>
      <c r="F1063" s="30" t="str">
        <f aca="false">IF($D1063="","",IFERROR(INDEX(合同项目,MATCH($D1063,合同键,0)),IFERROR(TRIM(MID($D1063,FIND("｜",$D1063)+1,99)),"")))</f>
        <v/>
      </c>
      <c r="G1063" s="24"/>
      <c r="H1063" s="35" t="str">
        <f aca="false">IF($G1063="","",IFERROR(INDEX(费用款别,MATCH($G1063,费用类别表,0)),"合同外款"))</f>
        <v/>
      </c>
      <c r="I1063" s="33"/>
      <c r="J1063" s="33"/>
      <c r="K1063" s="39"/>
      <c r="L1063" s="33"/>
      <c r="M1063" s="25"/>
      <c r="N1063" s="39"/>
      <c r="O1063" s="35" t="str">
        <f aca="false">IF($C1063="","",IF(N($N1063)&lt;=0,"未开票",IF(ROUND(N($N1063)-N($K1063),2)&gt;=0,"已开票",IFERROR("部分开票 "&amp;TEXT(N($N1063)/N($K1063),"0%"),"部分开票"))))</f>
        <v/>
      </c>
      <c r="P1063" s="40" t="str">
        <f aca="false">IF($C1063="","",ROUND($V1063+MIN($W1063,MAX(0,(SUMIF(收款键,$D1063,收款金额)-SUMIFS(收款金额,收款键,$D1063,收款关联,"&lt;&gt;"))-($X1063-$W1063))),2))</f>
        <v/>
      </c>
      <c r="Q1063" s="41" t="str">
        <f aca="false">IF($C1063="","",ROUND(N($K1063)-N($P1063),2))</f>
        <v/>
      </c>
      <c r="R1063" s="29" t="str">
        <f aca="false">IF($C1063="","",YEAR($C1063))</f>
        <v/>
      </c>
      <c r="S1063" s="24"/>
      <c r="T1063" s="35" t="str">
        <f aca="false">IF($C1063="","",IF($D1063="","★没选客户项目",IF(COUNTIF(合同键,$D1063)=0,"★《维保合同》里没这个项目",IF(N($K1063)&lt;=0,"★应收金额要填",IF(ROUND(N($N1063)-N($K1063),2)&gt;0.001,"★开票金额大于应收",IF(AND($L1063&lt;&gt;"",N($N1063)&lt;=0),"★填了开票日期没填开票金额",IF(AND($I1063&lt;&gt;"",$J1063&lt;&gt;"",$J1063&lt;$I1063),"★计费期间起止反了","OK")))))))</f>
        <v/>
      </c>
      <c r="U1063" s="29" t="str">
        <f aca="false">IF($L1063="","",YEAR($L1063))</f>
        <v/>
      </c>
      <c r="V1063" s="40" t="str">
        <f aca="false">IF($C1063="","",ROUND(SUMIF(收款关联,$B1063,收款金额),2))</f>
        <v/>
      </c>
      <c r="W1063" s="40" t="str">
        <f aca="false">IF($C1063="","",MAX(0,ROUND(N($K1063)-N($V1063),2)))</f>
        <v/>
      </c>
      <c r="X1063" s="40" t="str">
        <f aca="false">IF($C1063="","",ROUND(SUMIFS(应收净额,应收键,$D1063,应收行号,"&lt;="&amp;ROW()),2))</f>
        <v/>
      </c>
      <c r="Y1063" s="29" t="str">
        <f aca="false">IF($C1063="","",ROW())</f>
        <v/>
      </c>
    </row>
    <row r="1064" customFormat="false" ht="15" hidden="false" customHeight="false" outlineLevel="0" collapsed="false">
      <c r="A1064" s="29" t="str">
        <f aca="false">IF($C1064="","",ROW()-4)</f>
        <v/>
      </c>
      <c r="B1064" s="35" t="str">
        <f aca="false">IF($C1064="","","YS"&amp;TEXT($C1064,"yyyymm")&amp;"-"&amp;TEXT(ROW()-4,"0000"))</f>
        <v/>
      </c>
      <c r="C1064" s="33"/>
      <c r="D1064" s="24"/>
      <c r="E1064" s="30" t="str">
        <f aca="false">IF($D1064="","",IFERROR(INDEX(合同单位,MATCH($D1064,合同键,0)),IFERROR(TRIM(LEFT($D1064,FIND("｜",$D1064)-1)),$D1064)))</f>
        <v/>
      </c>
      <c r="F1064" s="30" t="str">
        <f aca="false">IF($D1064="","",IFERROR(INDEX(合同项目,MATCH($D1064,合同键,0)),IFERROR(TRIM(MID($D1064,FIND("｜",$D1064)+1,99)),"")))</f>
        <v/>
      </c>
      <c r="G1064" s="24"/>
      <c r="H1064" s="35" t="str">
        <f aca="false">IF($G1064="","",IFERROR(INDEX(费用款别,MATCH($G1064,费用类别表,0)),"合同外款"))</f>
        <v/>
      </c>
      <c r="I1064" s="33"/>
      <c r="J1064" s="33"/>
      <c r="K1064" s="39"/>
      <c r="L1064" s="33"/>
      <c r="M1064" s="25"/>
      <c r="N1064" s="39"/>
      <c r="O1064" s="35" t="str">
        <f aca="false">IF($C1064="","",IF(N($N1064)&lt;=0,"未开票",IF(ROUND(N($N1064)-N($K1064),2)&gt;=0,"已开票",IFERROR("部分开票 "&amp;TEXT(N($N1064)/N($K1064),"0%"),"部分开票"))))</f>
        <v/>
      </c>
      <c r="P1064" s="40" t="str">
        <f aca="false">IF($C1064="","",ROUND($V1064+MIN($W1064,MAX(0,(SUMIF(收款键,$D1064,收款金额)-SUMIFS(收款金额,收款键,$D1064,收款关联,"&lt;&gt;"))-($X1064-$W1064))),2))</f>
        <v/>
      </c>
      <c r="Q1064" s="41" t="str">
        <f aca="false">IF($C1064="","",ROUND(N($K1064)-N($P1064),2))</f>
        <v/>
      </c>
      <c r="R1064" s="29" t="str">
        <f aca="false">IF($C1064="","",YEAR($C1064))</f>
        <v/>
      </c>
      <c r="S1064" s="24"/>
      <c r="T1064" s="35" t="str">
        <f aca="false">IF($C1064="","",IF($D1064="","★没选客户项目",IF(COUNTIF(合同键,$D1064)=0,"★《维保合同》里没这个项目",IF(N($K1064)&lt;=0,"★应收金额要填",IF(ROUND(N($N1064)-N($K1064),2)&gt;0.001,"★开票金额大于应收",IF(AND($L1064&lt;&gt;"",N($N1064)&lt;=0),"★填了开票日期没填开票金额",IF(AND($I1064&lt;&gt;"",$J1064&lt;&gt;"",$J1064&lt;$I1064),"★计费期间起止反了","OK")))))))</f>
        <v/>
      </c>
      <c r="U1064" s="29" t="str">
        <f aca="false">IF($L1064="","",YEAR($L1064))</f>
        <v/>
      </c>
      <c r="V1064" s="40" t="str">
        <f aca="false">IF($C1064="","",ROUND(SUMIF(收款关联,$B1064,收款金额),2))</f>
        <v/>
      </c>
      <c r="W1064" s="40" t="str">
        <f aca="false">IF($C1064="","",MAX(0,ROUND(N($K1064)-N($V1064),2)))</f>
        <v/>
      </c>
      <c r="X1064" s="40" t="str">
        <f aca="false">IF($C1064="","",ROUND(SUMIFS(应收净额,应收键,$D1064,应收行号,"&lt;="&amp;ROW()),2))</f>
        <v/>
      </c>
      <c r="Y1064" s="29" t="str">
        <f aca="false">IF($C1064="","",ROW())</f>
        <v/>
      </c>
    </row>
    <row r="1065" customFormat="false" ht="15" hidden="false" customHeight="false" outlineLevel="0" collapsed="false">
      <c r="A1065" s="29" t="str">
        <f aca="false">IF($C1065="","",ROW()-4)</f>
        <v/>
      </c>
      <c r="B1065" s="35" t="str">
        <f aca="false">IF($C1065="","","YS"&amp;TEXT($C1065,"yyyymm")&amp;"-"&amp;TEXT(ROW()-4,"0000"))</f>
        <v/>
      </c>
      <c r="C1065" s="33"/>
      <c r="D1065" s="24"/>
      <c r="E1065" s="30" t="str">
        <f aca="false">IF($D1065="","",IFERROR(INDEX(合同单位,MATCH($D1065,合同键,0)),IFERROR(TRIM(LEFT($D1065,FIND("｜",$D1065)-1)),$D1065)))</f>
        <v/>
      </c>
      <c r="F1065" s="30" t="str">
        <f aca="false">IF($D1065="","",IFERROR(INDEX(合同项目,MATCH($D1065,合同键,0)),IFERROR(TRIM(MID($D1065,FIND("｜",$D1065)+1,99)),"")))</f>
        <v/>
      </c>
      <c r="G1065" s="24"/>
      <c r="H1065" s="35" t="str">
        <f aca="false">IF($G1065="","",IFERROR(INDEX(费用款别,MATCH($G1065,费用类别表,0)),"合同外款"))</f>
        <v/>
      </c>
      <c r="I1065" s="33"/>
      <c r="J1065" s="33"/>
      <c r="K1065" s="39"/>
      <c r="L1065" s="33"/>
      <c r="M1065" s="25"/>
      <c r="N1065" s="39"/>
      <c r="O1065" s="35" t="str">
        <f aca="false">IF($C1065="","",IF(N($N1065)&lt;=0,"未开票",IF(ROUND(N($N1065)-N($K1065),2)&gt;=0,"已开票",IFERROR("部分开票 "&amp;TEXT(N($N1065)/N($K1065),"0%"),"部分开票"))))</f>
        <v/>
      </c>
      <c r="P1065" s="40" t="str">
        <f aca="false">IF($C1065="","",ROUND($V1065+MIN($W1065,MAX(0,(SUMIF(收款键,$D1065,收款金额)-SUMIFS(收款金额,收款键,$D1065,收款关联,"&lt;&gt;"))-($X1065-$W1065))),2))</f>
        <v/>
      </c>
      <c r="Q1065" s="41" t="str">
        <f aca="false">IF($C1065="","",ROUND(N($K1065)-N($P1065),2))</f>
        <v/>
      </c>
      <c r="R1065" s="29" t="str">
        <f aca="false">IF($C1065="","",YEAR($C1065))</f>
        <v/>
      </c>
      <c r="S1065" s="24"/>
      <c r="T1065" s="35" t="str">
        <f aca="false">IF($C1065="","",IF($D1065="","★没选客户项目",IF(COUNTIF(合同键,$D1065)=0,"★《维保合同》里没这个项目",IF(N($K1065)&lt;=0,"★应收金额要填",IF(ROUND(N($N1065)-N($K1065),2)&gt;0.001,"★开票金额大于应收",IF(AND($L1065&lt;&gt;"",N($N1065)&lt;=0),"★填了开票日期没填开票金额",IF(AND($I1065&lt;&gt;"",$J1065&lt;&gt;"",$J1065&lt;$I1065),"★计费期间起止反了","OK")))))))</f>
        <v/>
      </c>
      <c r="U1065" s="29" t="str">
        <f aca="false">IF($L1065="","",YEAR($L1065))</f>
        <v/>
      </c>
      <c r="V1065" s="40" t="str">
        <f aca="false">IF($C1065="","",ROUND(SUMIF(收款关联,$B1065,收款金额),2))</f>
        <v/>
      </c>
      <c r="W1065" s="40" t="str">
        <f aca="false">IF($C1065="","",MAX(0,ROUND(N($K1065)-N($V1065),2)))</f>
        <v/>
      </c>
      <c r="X1065" s="40" t="str">
        <f aca="false">IF($C1065="","",ROUND(SUMIFS(应收净额,应收键,$D1065,应收行号,"&lt;="&amp;ROW()),2))</f>
        <v/>
      </c>
      <c r="Y1065" s="29" t="str">
        <f aca="false">IF($C1065="","",ROW())</f>
        <v/>
      </c>
    </row>
    <row r="1066" customFormat="false" ht="15" hidden="false" customHeight="false" outlineLevel="0" collapsed="false">
      <c r="A1066" s="29" t="str">
        <f aca="false">IF($C1066="","",ROW()-4)</f>
        <v/>
      </c>
      <c r="B1066" s="35" t="str">
        <f aca="false">IF($C1066="","","YS"&amp;TEXT($C1066,"yyyymm")&amp;"-"&amp;TEXT(ROW()-4,"0000"))</f>
        <v/>
      </c>
      <c r="C1066" s="33"/>
      <c r="D1066" s="24"/>
      <c r="E1066" s="30" t="str">
        <f aca="false">IF($D1066="","",IFERROR(INDEX(合同单位,MATCH($D1066,合同键,0)),IFERROR(TRIM(LEFT($D1066,FIND("｜",$D1066)-1)),$D1066)))</f>
        <v/>
      </c>
      <c r="F1066" s="30" t="str">
        <f aca="false">IF($D1066="","",IFERROR(INDEX(合同项目,MATCH($D1066,合同键,0)),IFERROR(TRIM(MID($D1066,FIND("｜",$D1066)+1,99)),"")))</f>
        <v/>
      </c>
      <c r="G1066" s="24"/>
      <c r="H1066" s="35" t="str">
        <f aca="false">IF($G1066="","",IFERROR(INDEX(费用款别,MATCH($G1066,费用类别表,0)),"合同外款"))</f>
        <v/>
      </c>
      <c r="I1066" s="33"/>
      <c r="J1066" s="33"/>
      <c r="K1066" s="39"/>
      <c r="L1066" s="33"/>
      <c r="M1066" s="25"/>
      <c r="N1066" s="39"/>
      <c r="O1066" s="35" t="str">
        <f aca="false">IF($C1066="","",IF(N($N1066)&lt;=0,"未开票",IF(ROUND(N($N1066)-N($K1066),2)&gt;=0,"已开票",IFERROR("部分开票 "&amp;TEXT(N($N1066)/N($K1066),"0%"),"部分开票"))))</f>
        <v/>
      </c>
      <c r="P1066" s="40" t="str">
        <f aca="false">IF($C1066="","",ROUND($V1066+MIN($W1066,MAX(0,(SUMIF(收款键,$D1066,收款金额)-SUMIFS(收款金额,收款键,$D1066,收款关联,"&lt;&gt;"))-($X1066-$W1066))),2))</f>
        <v/>
      </c>
      <c r="Q1066" s="41" t="str">
        <f aca="false">IF($C1066="","",ROUND(N($K1066)-N($P1066),2))</f>
        <v/>
      </c>
      <c r="R1066" s="29" t="str">
        <f aca="false">IF($C1066="","",YEAR($C1066))</f>
        <v/>
      </c>
      <c r="S1066" s="24"/>
      <c r="T1066" s="35" t="str">
        <f aca="false">IF($C1066="","",IF($D1066="","★没选客户项目",IF(COUNTIF(合同键,$D1066)=0,"★《维保合同》里没这个项目",IF(N($K1066)&lt;=0,"★应收金额要填",IF(ROUND(N($N1066)-N($K1066),2)&gt;0.001,"★开票金额大于应收",IF(AND($L1066&lt;&gt;"",N($N1066)&lt;=0),"★填了开票日期没填开票金额",IF(AND($I1066&lt;&gt;"",$J1066&lt;&gt;"",$J1066&lt;$I1066),"★计费期间起止反了","OK")))))))</f>
        <v/>
      </c>
      <c r="U1066" s="29" t="str">
        <f aca="false">IF($L1066="","",YEAR($L1066))</f>
        <v/>
      </c>
      <c r="V1066" s="40" t="str">
        <f aca="false">IF($C1066="","",ROUND(SUMIF(收款关联,$B1066,收款金额),2))</f>
        <v/>
      </c>
      <c r="W1066" s="40" t="str">
        <f aca="false">IF($C1066="","",MAX(0,ROUND(N($K1066)-N($V1066),2)))</f>
        <v/>
      </c>
      <c r="X1066" s="40" t="str">
        <f aca="false">IF($C1066="","",ROUND(SUMIFS(应收净额,应收键,$D1066,应收行号,"&lt;="&amp;ROW()),2))</f>
        <v/>
      </c>
      <c r="Y1066" s="29" t="str">
        <f aca="false">IF($C1066="","",ROW())</f>
        <v/>
      </c>
    </row>
    <row r="1067" customFormat="false" ht="15" hidden="false" customHeight="false" outlineLevel="0" collapsed="false">
      <c r="A1067" s="29" t="str">
        <f aca="false">IF($C1067="","",ROW()-4)</f>
        <v/>
      </c>
      <c r="B1067" s="35" t="str">
        <f aca="false">IF($C1067="","","YS"&amp;TEXT($C1067,"yyyymm")&amp;"-"&amp;TEXT(ROW()-4,"0000"))</f>
        <v/>
      </c>
      <c r="C1067" s="33"/>
      <c r="D1067" s="24"/>
      <c r="E1067" s="30" t="str">
        <f aca="false">IF($D1067="","",IFERROR(INDEX(合同单位,MATCH($D1067,合同键,0)),IFERROR(TRIM(LEFT($D1067,FIND("｜",$D1067)-1)),$D1067)))</f>
        <v/>
      </c>
      <c r="F1067" s="30" t="str">
        <f aca="false">IF($D1067="","",IFERROR(INDEX(合同项目,MATCH($D1067,合同键,0)),IFERROR(TRIM(MID($D1067,FIND("｜",$D1067)+1,99)),"")))</f>
        <v/>
      </c>
      <c r="G1067" s="24"/>
      <c r="H1067" s="35" t="str">
        <f aca="false">IF($G1067="","",IFERROR(INDEX(费用款别,MATCH($G1067,费用类别表,0)),"合同外款"))</f>
        <v/>
      </c>
      <c r="I1067" s="33"/>
      <c r="J1067" s="33"/>
      <c r="K1067" s="39"/>
      <c r="L1067" s="33"/>
      <c r="M1067" s="25"/>
      <c r="N1067" s="39"/>
      <c r="O1067" s="35" t="str">
        <f aca="false">IF($C1067="","",IF(N($N1067)&lt;=0,"未开票",IF(ROUND(N($N1067)-N($K1067),2)&gt;=0,"已开票",IFERROR("部分开票 "&amp;TEXT(N($N1067)/N($K1067),"0%"),"部分开票"))))</f>
        <v/>
      </c>
      <c r="P1067" s="40" t="str">
        <f aca="false">IF($C1067="","",ROUND($V1067+MIN($W1067,MAX(0,(SUMIF(收款键,$D1067,收款金额)-SUMIFS(收款金额,收款键,$D1067,收款关联,"&lt;&gt;"))-($X1067-$W1067))),2))</f>
        <v/>
      </c>
      <c r="Q1067" s="41" t="str">
        <f aca="false">IF($C1067="","",ROUND(N($K1067)-N($P1067),2))</f>
        <v/>
      </c>
      <c r="R1067" s="29" t="str">
        <f aca="false">IF($C1067="","",YEAR($C1067))</f>
        <v/>
      </c>
      <c r="S1067" s="24"/>
      <c r="T1067" s="35" t="str">
        <f aca="false">IF($C1067="","",IF($D1067="","★没选客户项目",IF(COUNTIF(合同键,$D1067)=0,"★《维保合同》里没这个项目",IF(N($K1067)&lt;=0,"★应收金额要填",IF(ROUND(N($N1067)-N($K1067),2)&gt;0.001,"★开票金额大于应收",IF(AND($L1067&lt;&gt;"",N($N1067)&lt;=0),"★填了开票日期没填开票金额",IF(AND($I1067&lt;&gt;"",$J1067&lt;&gt;"",$J1067&lt;$I1067),"★计费期间起止反了","OK")))))))</f>
        <v/>
      </c>
      <c r="U1067" s="29" t="str">
        <f aca="false">IF($L1067="","",YEAR($L1067))</f>
        <v/>
      </c>
      <c r="V1067" s="40" t="str">
        <f aca="false">IF($C1067="","",ROUND(SUMIF(收款关联,$B1067,收款金额),2))</f>
        <v/>
      </c>
      <c r="W1067" s="40" t="str">
        <f aca="false">IF($C1067="","",MAX(0,ROUND(N($K1067)-N($V1067),2)))</f>
        <v/>
      </c>
      <c r="X1067" s="40" t="str">
        <f aca="false">IF($C1067="","",ROUND(SUMIFS(应收净额,应收键,$D1067,应收行号,"&lt;="&amp;ROW()),2))</f>
        <v/>
      </c>
      <c r="Y1067" s="29" t="str">
        <f aca="false">IF($C1067="","",ROW())</f>
        <v/>
      </c>
    </row>
    <row r="1068" customFormat="false" ht="15" hidden="false" customHeight="false" outlineLevel="0" collapsed="false">
      <c r="A1068" s="29" t="str">
        <f aca="false">IF($C1068="","",ROW()-4)</f>
        <v/>
      </c>
      <c r="B1068" s="35" t="str">
        <f aca="false">IF($C1068="","","YS"&amp;TEXT($C1068,"yyyymm")&amp;"-"&amp;TEXT(ROW()-4,"0000"))</f>
        <v/>
      </c>
      <c r="C1068" s="33"/>
      <c r="D1068" s="24"/>
      <c r="E1068" s="30" t="str">
        <f aca="false">IF($D1068="","",IFERROR(INDEX(合同单位,MATCH($D1068,合同键,0)),IFERROR(TRIM(LEFT($D1068,FIND("｜",$D1068)-1)),$D1068)))</f>
        <v/>
      </c>
      <c r="F1068" s="30" t="str">
        <f aca="false">IF($D1068="","",IFERROR(INDEX(合同项目,MATCH($D1068,合同键,0)),IFERROR(TRIM(MID($D1068,FIND("｜",$D1068)+1,99)),"")))</f>
        <v/>
      </c>
      <c r="G1068" s="24"/>
      <c r="H1068" s="35" t="str">
        <f aca="false">IF($G1068="","",IFERROR(INDEX(费用款别,MATCH($G1068,费用类别表,0)),"合同外款"))</f>
        <v/>
      </c>
      <c r="I1068" s="33"/>
      <c r="J1068" s="33"/>
      <c r="K1068" s="39"/>
      <c r="L1068" s="33"/>
      <c r="M1068" s="25"/>
      <c r="N1068" s="39"/>
      <c r="O1068" s="35" t="str">
        <f aca="false">IF($C1068="","",IF(N($N1068)&lt;=0,"未开票",IF(ROUND(N($N1068)-N($K1068),2)&gt;=0,"已开票",IFERROR("部分开票 "&amp;TEXT(N($N1068)/N($K1068),"0%"),"部分开票"))))</f>
        <v/>
      </c>
      <c r="P1068" s="40" t="str">
        <f aca="false">IF($C1068="","",ROUND($V1068+MIN($W1068,MAX(0,(SUMIF(收款键,$D1068,收款金额)-SUMIFS(收款金额,收款键,$D1068,收款关联,"&lt;&gt;"))-($X1068-$W1068))),2))</f>
        <v/>
      </c>
      <c r="Q1068" s="41" t="str">
        <f aca="false">IF($C1068="","",ROUND(N($K1068)-N($P1068),2))</f>
        <v/>
      </c>
      <c r="R1068" s="29" t="str">
        <f aca="false">IF($C1068="","",YEAR($C1068))</f>
        <v/>
      </c>
      <c r="S1068" s="24"/>
      <c r="T1068" s="35" t="str">
        <f aca="false">IF($C1068="","",IF($D1068="","★没选客户项目",IF(COUNTIF(合同键,$D1068)=0,"★《维保合同》里没这个项目",IF(N($K1068)&lt;=0,"★应收金额要填",IF(ROUND(N($N1068)-N($K1068),2)&gt;0.001,"★开票金额大于应收",IF(AND($L1068&lt;&gt;"",N($N1068)&lt;=0),"★填了开票日期没填开票金额",IF(AND($I1068&lt;&gt;"",$J1068&lt;&gt;"",$J1068&lt;$I1068),"★计费期间起止反了","OK")))))))</f>
        <v/>
      </c>
      <c r="U1068" s="29" t="str">
        <f aca="false">IF($L1068="","",YEAR($L1068))</f>
        <v/>
      </c>
      <c r="V1068" s="40" t="str">
        <f aca="false">IF($C1068="","",ROUND(SUMIF(收款关联,$B1068,收款金额),2))</f>
        <v/>
      </c>
      <c r="W1068" s="40" t="str">
        <f aca="false">IF($C1068="","",MAX(0,ROUND(N($K1068)-N($V1068),2)))</f>
        <v/>
      </c>
      <c r="X1068" s="40" t="str">
        <f aca="false">IF($C1068="","",ROUND(SUMIFS(应收净额,应收键,$D1068,应收行号,"&lt;="&amp;ROW()),2))</f>
        <v/>
      </c>
      <c r="Y1068" s="29" t="str">
        <f aca="false">IF($C1068="","",ROW())</f>
        <v/>
      </c>
    </row>
    <row r="1069" customFormat="false" ht="15" hidden="false" customHeight="false" outlineLevel="0" collapsed="false">
      <c r="A1069" s="29" t="str">
        <f aca="false">IF($C1069="","",ROW()-4)</f>
        <v/>
      </c>
      <c r="B1069" s="35" t="str">
        <f aca="false">IF($C1069="","","YS"&amp;TEXT($C1069,"yyyymm")&amp;"-"&amp;TEXT(ROW()-4,"0000"))</f>
        <v/>
      </c>
      <c r="C1069" s="33"/>
      <c r="D1069" s="24"/>
      <c r="E1069" s="30" t="str">
        <f aca="false">IF($D1069="","",IFERROR(INDEX(合同单位,MATCH($D1069,合同键,0)),IFERROR(TRIM(LEFT($D1069,FIND("｜",$D1069)-1)),$D1069)))</f>
        <v/>
      </c>
      <c r="F1069" s="30" t="str">
        <f aca="false">IF($D1069="","",IFERROR(INDEX(合同项目,MATCH($D1069,合同键,0)),IFERROR(TRIM(MID($D1069,FIND("｜",$D1069)+1,99)),"")))</f>
        <v/>
      </c>
      <c r="G1069" s="24"/>
      <c r="H1069" s="35" t="str">
        <f aca="false">IF($G1069="","",IFERROR(INDEX(费用款别,MATCH($G1069,费用类别表,0)),"合同外款"))</f>
        <v/>
      </c>
      <c r="I1069" s="33"/>
      <c r="J1069" s="33"/>
      <c r="K1069" s="39"/>
      <c r="L1069" s="33"/>
      <c r="M1069" s="25"/>
      <c r="N1069" s="39"/>
      <c r="O1069" s="35" t="str">
        <f aca="false">IF($C1069="","",IF(N($N1069)&lt;=0,"未开票",IF(ROUND(N($N1069)-N($K1069),2)&gt;=0,"已开票",IFERROR("部分开票 "&amp;TEXT(N($N1069)/N($K1069),"0%"),"部分开票"))))</f>
        <v/>
      </c>
      <c r="P1069" s="40" t="str">
        <f aca="false">IF($C1069="","",ROUND($V1069+MIN($W1069,MAX(0,(SUMIF(收款键,$D1069,收款金额)-SUMIFS(收款金额,收款键,$D1069,收款关联,"&lt;&gt;"))-($X1069-$W1069))),2))</f>
        <v/>
      </c>
      <c r="Q1069" s="41" t="str">
        <f aca="false">IF($C1069="","",ROUND(N($K1069)-N($P1069),2))</f>
        <v/>
      </c>
      <c r="R1069" s="29" t="str">
        <f aca="false">IF($C1069="","",YEAR($C1069))</f>
        <v/>
      </c>
      <c r="S1069" s="24"/>
      <c r="T1069" s="35" t="str">
        <f aca="false">IF($C1069="","",IF($D1069="","★没选客户项目",IF(COUNTIF(合同键,$D1069)=0,"★《维保合同》里没这个项目",IF(N($K1069)&lt;=0,"★应收金额要填",IF(ROUND(N($N1069)-N($K1069),2)&gt;0.001,"★开票金额大于应收",IF(AND($L1069&lt;&gt;"",N($N1069)&lt;=0),"★填了开票日期没填开票金额",IF(AND($I1069&lt;&gt;"",$J1069&lt;&gt;"",$J1069&lt;$I1069),"★计费期间起止反了","OK")))))))</f>
        <v/>
      </c>
      <c r="U1069" s="29" t="str">
        <f aca="false">IF($L1069="","",YEAR($L1069))</f>
        <v/>
      </c>
      <c r="V1069" s="40" t="str">
        <f aca="false">IF($C1069="","",ROUND(SUMIF(收款关联,$B1069,收款金额),2))</f>
        <v/>
      </c>
      <c r="W1069" s="40" t="str">
        <f aca="false">IF($C1069="","",MAX(0,ROUND(N($K1069)-N($V1069),2)))</f>
        <v/>
      </c>
      <c r="X1069" s="40" t="str">
        <f aca="false">IF($C1069="","",ROUND(SUMIFS(应收净额,应收键,$D1069,应收行号,"&lt;="&amp;ROW()),2))</f>
        <v/>
      </c>
      <c r="Y1069" s="29" t="str">
        <f aca="false">IF($C1069="","",ROW())</f>
        <v/>
      </c>
    </row>
    <row r="1070" customFormat="false" ht="15" hidden="false" customHeight="false" outlineLevel="0" collapsed="false">
      <c r="A1070" s="29" t="str">
        <f aca="false">IF($C1070="","",ROW()-4)</f>
        <v/>
      </c>
      <c r="B1070" s="35" t="str">
        <f aca="false">IF($C1070="","","YS"&amp;TEXT($C1070,"yyyymm")&amp;"-"&amp;TEXT(ROW()-4,"0000"))</f>
        <v/>
      </c>
      <c r="C1070" s="33"/>
      <c r="D1070" s="24"/>
      <c r="E1070" s="30" t="str">
        <f aca="false">IF($D1070="","",IFERROR(INDEX(合同单位,MATCH($D1070,合同键,0)),IFERROR(TRIM(LEFT($D1070,FIND("｜",$D1070)-1)),$D1070)))</f>
        <v/>
      </c>
      <c r="F1070" s="30" t="str">
        <f aca="false">IF($D1070="","",IFERROR(INDEX(合同项目,MATCH($D1070,合同键,0)),IFERROR(TRIM(MID($D1070,FIND("｜",$D1070)+1,99)),"")))</f>
        <v/>
      </c>
      <c r="G1070" s="24"/>
      <c r="H1070" s="35" t="str">
        <f aca="false">IF($G1070="","",IFERROR(INDEX(费用款别,MATCH($G1070,费用类别表,0)),"合同外款"))</f>
        <v/>
      </c>
      <c r="I1070" s="33"/>
      <c r="J1070" s="33"/>
      <c r="K1070" s="39"/>
      <c r="L1070" s="33"/>
      <c r="M1070" s="25"/>
      <c r="N1070" s="39"/>
      <c r="O1070" s="35" t="str">
        <f aca="false">IF($C1070="","",IF(N($N1070)&lt;=0,"未开票",IF(ROUND(N($N1070)-N($K1070),2)&gt;=0,"已开票",IFERROR("部分开票 "&amp;TEXT(N($N1070)/N($K1070),"0%"),"部分开票"))))</f>
        <v/>
      </c>
      <c r="P1070" s="40" t="str">
        <f aca="false">IF($C1070="","",ROUND($V1070+MIN($W1070,MAX(0,(SUMIF(收款键,$D1070,收款金额)-SUMIFS(收款金额,收款键,$D1070,收款关联,"&lt;&gt;"))-($X1070-$W1070))),2))</f>
        <v/>
      </c>
      <c r="Q1070" s="41" t="str">
        <f aca="false">IF($C1070="","",ROUND(N($K1070)-N($P1070),2))</f>
        <v/>
      </c>
      <c r="R1070" s="29" t="str">
        <f aca="false">IF($C1070="","",YEAR($C1070))</f>
        <v/>
      </c>
      <c r="S1070" s="24"/>
      <c r="T1070" s="35" t="str">
        <f aca="false">IF($C1070="","",IF($D1070="","★没选客户项目",IF(COUNTIF(合同键,$D1070)=0,"★《维保合同》里没这个项目",IF(N($K1070)&lt;=0,"★应收金额要填",IF(ROUND(N($N1070)-N($K1070),2)&gt;0.001,"★开票金额大于应收",IF(AND($L1070&lt;&gt;"",N($N1070)&lt;=0),"★填了开票日期没填开票金额",IF(AND($I1070&lt;&gt;"",$J1070&lt;&gt;"",$J1070&lt;$I1070),"★计费期间起止反了","OK")))))))</f>
        <v/>
      </c>
      <c r="U1070" s="29" t="str">
        <f aca="false">IF($L1070="","",YEAR($L1070))</f>
        <v/>
      </c>
      <c r="V1070" s="40" t="str">
        <f aca="false">IF($C1070="","",ROUND(SUMIF(收款关联,$B1070,收款金额),2))</f>
        <v/>
      </c>
      <c r="W1070" s="40" t="str">
        <f aca="false">IF($C1070="","",MAX(0,ROUND(N($K1070)-N($V1070),2)))</f>
        <v/>
      </c>
      <c r="X1070" s="40" t="str">
        <f aca="false">IF($C1070="","",ROUND(SUMIFS(应收净额,应收键,$D1070,应收行号,"&lt;="&amp;ROW()),2))</f>
        <v/>
      </c>
      <c r="Y1070" s="29" t="str">
        <f aca="false">IF($C1070="","",ROW())</f>
        <v/>
      </c>
    </row>
    <row r="1071" customFormat="false" ht="15" hidden="false" customHeight="false" outlineLevel="0" collapsed="false">
      <c r="A1071" s="29" t="str">
        <f aca="false">IF($C1071="","",ROW()-4)</f>
        <v/>
      </c>
      <c r="B1071" s="35" t="str">
        <f aca="false">IF($C1071="","","YS"&amp;TEXT($C1071,"yyyymm")&amp;"-"&amp;TEXT(ROW()-4,"0000"))</f>
        <v/>
      </c>
      <c r="C1071" s="33"/>
      <c r="D1071" s="24"/>
      <c r="E1071" s="30" t="str">
        <f aca="false">IF($D1071="","",IFERROR(INDEX(合同单位,MATCH($D1071,合同键,0)),IFERROR(TRIM(LEFT($D1071,FIND("｜",$D1071)-1)),$D1071)))</f>
        <v/>
      </c>
      <c r="F1071" s="30" t="str">
        <f aca="false">IF($D1071="","",IFERROR(INDEX(合同项目,MATCH($D1071,合同键,0)),IFERROR(TRIM(MID($D1071,FIND("｜",$D1071)+1,99)),"")))</f>
        <v/>
      </c>
      <c r="G1071" s="24"/>
      <c r="H1071" s="35" t="str">
        <f aca="false">IF($G1071="","",IFERROR(INDEX(费用款别,MATCH($G1071,费用类别表,0)),"合同外款"))</f>
        <v/>
      </c>
      <c r="I1071" s="33"/>
      <c r="J1071" s="33"/>
      <c r="K1071" s="39"/>
      <c r="L1071" s="33"/>
      <c r="M1071" s="25"/>
      <c r="N1071" s="39"/>
      <c r="O1071" s="35" t="str">
        <f aca="false">IF($C1071="","",IF(N($N1071)&lt;=0,"未开票",IF(ROUND(N($N1071)-N($K1071),2)&gt;=0,"已开票",IFERROR("部分开票 "&amp;TEXT(N($N1071)/N($K1071),"0%"),"部分开票"))))</f>
        <v/>
      </c>
      <c r="P1071" s="40" t="str">
        <f aca="false">IF($C1071="","",ROUND($V1071+MIN($W1071,MAX(0,(SUMIF(收款键,$D1071,收款金额)-SUMIFS(收款金额,收款键,$D1071,收款关联,"&lt;&gt;"))-($X1071-$W1071))),2))</f>
        <v/>
      </c>
      <c r="Q1071" s="41" t="str">
        <f aca="false">IF($C1071="","",ROUND(N($K1071)-N($P1071),2))</f>
        <v/>
      </c>
      <c r="R1071" s="29" t="str">
        <f aca="false">IF($C1071="","",YEAR($C1071))</f>
        <v/>
      </c>
      <c r="S1071" s="24"/>
      <c r="T1071" s="35" t="str">
        <f aca="false">IF($C1071="","",IF($D1071="","★没选客户项目",IF(COUNTIF(合同键,$D1071)=0,"★《维保合同》里没这个项目",IF(N($K1071)&lt;=0,"★应收金额要填",IF(ROUND(N($N1071)-N($K1071),2)&gt;0.001,"★开票金额大于应收",IF(AND($L1071&lt;&gt;"",N($N1071)&lt;=0),"★填了开票日期没填开票金额",IF(AND($I1071&lt;&gt;"",$J1071&lt;&gt;"",$J1071&lt;$I1071),"★计费期间起止反了","OK")))))))</f>
        <v/>
      </c>
      <c r="U1071" s="29" t="str">
        <f aca="false">IF($L1071="","",YEAR($L1071))</f>
        <v/>
      </c>
      <c r="V1071" s="40" t="str">
        <f aca="false">IF($C1071="","",ROUND(SUMIF(收款关联,$B1071,收款金额),2))</f>
        <v/>
      </c>
      <c r="W1071" s="40" t="str">
        <f aca="false">IF($C1071="","",MAX(0,ROUND(N($K1071)-N($V1071),2)))</f>
        <v/>
      </c>
      <c r="X1071" s="40" t="str">
        <f aca="false">IF($C1071="","",ROUND(SUMIFS(应收净额,应收键,$D1071,应收行号,"&lt;="&amp;ROW()),2))</f>
        <v/>
      </c>
      <c r="Y1071" s="29" t="str">
        <f aca="false">IF($C1071="","",ROW())</f>
        <v/>
      </c>
    </row>
    <row r="1072" customFormat="false" ht="15" hidden="false" customHeight="false" outlineLevel="0" collapsed="false">
      <c r="A1072" s="29" t="str">
        <f aca="false">IF($C1072="","",ROW()-4)</f>
        <v/>
      </c>
      <c r="B1072" s="35" t="str">
        <f aca="false">IF($C1072="","","YS"&amp;TEXT($C1072,"yyyymm")&amp;"-"&amp;TEXT(ROW()-4,"0000"))</f>
        <v/>
      </c>
      <c r="C1072" s="33"/>
      <c r="D1072" s="24"/>
      <c r="E1072" s="30" t="str">
        <f aca="false">IF($D1072="","",IFERROR(INDEX(合同单位,MATCH($D1072,合同键,0)),IFERROR(TRIM(LEFT($D1072,FIND("｜",$D1072)-1)),$D1072)))</f>
        <v/>
      </c>
      <c r="F1072" s="30" t="str">
        <f aca="false">IF($D1072="","",IFERROR(INDEX(合同项目,MATCH($D1072,合同键,0)),IFERROR(TRIM(MID($D1072,FIND("｜",$D1072)+1,99)),"")))</f>
        <v/>
      </c>
      <c r="G1072" s="24"/>
      <c r="H1072" s="35" t="str">
        <f aca="false">IF($G1072="","",IFERROR(INDEX(费用款别,MATCH($G1072,费用类别表,0)),"合同外款"))</f>
        <v/>
      </c>
      <c r="I1072" s="33"/>
      <c r="J1072" s="33"/>
      <c r="K1072" s="39"/>
      <c r="L1072" s="33"/>
      <c r="M1072" s="25"/>
      <c r="N1072" s="39"/>
      <c r="O1072" s="35" t="str">
        <f aca="false">IF($C1072="","",IF(N($N1072)&lt;=0,"未开票",IF(ROUND(N($N1072)-N($K1072),2)&gt;=0,"已开票",IFERROR("部分开票 "&amp;TEXT(N($N1072)/N($K1072),"0%"),"部分开票"))))</f>
        <v/>
      </c>
      <c r="P1072" s="40" t="str">
        <f aca="false">IF($C1072="","",ROUND($V1072+MIN($W1072,MAX(0,(SUMIF(收款键,$D1072,收款金额)-SUMIFS(收款金额,收款键,$D1072,收款关联,"&lt;&gt;"))-($X1072-$W1072))),2))</f>
        <v/>
      </c>
      <c r="Q1072" s="41" t="str">
        <f aca="false">IF($C1072="","",ROUND(N($K1072)-N($P1072),2))</f>
        <v/>
      </c>
      <c r="R1072" s="29" t="str">
        <f aca="false">IF($C1072="","",YEAR($C1072))</f>
        <v/>
      </c>
      <c r="S1072" s="24"/>
      <c r="T1072" s="35" t="str">
        <f aca="false">IF($C1072="","",IF($D1072="","★没选客户项目",IF(COUNTIF(合同键,$D1072)=0,"★《维保合同》里没这个项目",IF(N($K1072)&lt;=0,"★应收金额要填",IF(ROUND(N($N1072)-N($K1072),2)&gt;0.001,"★开票金额大于应收",IF(AND($L1072&lt;&gt;"",N($N1072)&lt;=0),"★填了开票日期没填开票金额",IF(AND($I1072&lt;&gt;"",$J1072&lt;&gt;"",$J1072&lt;$I1072),"★计费期间起止反了","OK")))))))</f>
        <v/>
      </c>
      <c r="U1072" s="29" t="str">
        <f aca="false">IF($L1072="","",YEAR($L1072))</f>
        <v/>
      </c>
      <c r="V1072" s="40" t="str">
        <f aca="false">IF($C1072="","",ROUND(SUMIF(收款关联,$B1072,收款金额),2))</f>
        <v/>
      </c>
      <c r="W1072" s="40" t="str">
        <f aca="false">IF($C1072="","",MAX(0,ROUND(N($K1072)-N($V1072),2)))</f>
        <v/>
      </c>
      <c r="X1072" s="40" t="str">
        <f aca="false">IF($C1072="","",ROUND(SUMIFS(应收净额,应收键,$D1072,应收行号,"&lt;="&amp;ROW()),2))</f>
        <v/>
      </c>
      <c r="Y1072" s="29" t="str">
        <f aca="false">IF($C1072="","",ROW())</f>
        <v/>
      </c>
    </row>
    <row r="1073" customFormat="false" ht="15" hidden="false" customHeight="false" outlineLevel="0" collapsed="false">
      <c r="A1073" s="29" t="str">
        <f aca="false">IF($C1073="","",ROW()-4)</f>
        <v/>
      </c>
      <c r="B1073" s="35" t="str">
        <f aca="false">IF($C1073="","","YS"&amp;TEXT($C1073,"yyyymm")&amp;"-"&amp;TEXT(ROW()-4,"0000"))</f>
        <v/>
      </c>
      <c r="C1073" s="33"/>
      <c r="D1073" s="24"/>
      <c r="E1073" s="30" t="str">
        <f aca="false">IF($D1073="","",IFERROR(INDEX(合同单位,MATCH($D1073,合同键,0)),IFERROR(TRIM(LEFT($D1073,FIND("｜",$D1073)-1)),$D1073)))</f>
        <v/>
      </c>
      <c r="F1073" s="30" t="str">
        <f aca="false">IF($D1073="","",IFERROR(INDEX(合同项目,MATCH($D1073,合同键,0)),IFERROR(TRIM(MID($D1073,FIND("｜",$D1073)+1,99)),"")))</f>
        <v/>
      </c>
      <c r="G1073" s="24"/>
      <c r="H1073" s="35" t="str">
        <f aca="false">IF($G1073="","",IFERROR(INDEX(费用款别,MATCH($G1073,费用类别表,0)),"合同外款"))</f>
        <v/>
      </c>
      <c r="I1073" s="33"/>
      <c r="J1073" s="33"/>
      <c r="K1073" s="39"/>
      <c r="L1073" s="33"/>
      <c r="M1073" s="25"/>
      <c r="N1073" s="39"/>
      <c r="O1073" s="35" t="str">
        <f aca="false">IF($C1073="","",IF(N($N1073)&lt;=0,"未开票",IF(ROUND(N($N1073)-N($K1073),2)&gt;=0,"已开票",IFERROR("部分开票 "&amp;TEXT(N($N1073)/N($K1073),"0%"),"部分开票"))))</f>
        <v/>
      </c>
      <c r="P1073" s="40" t="str">
        <f aca="false">IF($C1073="","",ROUND($V1073+MIN($W1073,MAX(0,(SUMIF(收款键,$D1073,收款金额)-SUMIFS(收款金额,收款键,$D1073,收款关联,"&lt;&gt;"))-($X1073-$W1073))),2))</f>
        <v/>
      </c>
      <c r="Q1073" s="41" t="str">
        <f aca="false">IF($C1073="","",ROUND(N($K1073)-N($P1073),2))</f>
        <v/>
      </c>
      <c r="R1073" s="29" t="str">
        <f aca="false">IF($C1073="","",YEAR($C1073))</f>
        <v/>
      </c>
      <c r="S1073" s="24"/>
      <c r="T1073" s="35" t="str">
        <f aca="false">IF($C1073="","",IF($D1073="","★没选客户项目",IF(COUNTIF(合同键,$D1073)=0,"★《维保合同》里没这个项目",IF(N($K1073)&lt;=0,"★应收金额要填",IF(ROUND(N($N1073)-N($K1073),2)&gt;0.001,"★开票金额大于应收",IF(AND($L1073&lt;&gt;"",N($N1073)&lt;=0),"★填了开票日期没填开票金额",IF(AND($I1073&lt;&gt;"",$J1073&lt;&gt;"",$J1073&lt;$I1073),"★计费期间起止反了","OK")))))))</f>
        <v/>
      </c>
      <c r="U1073" s="29" t="str">
        <f aca="false">IF($L1073="","",YEAR($L1073))</f>
        <v/>
      </c>
      <c r="V1073" s="40" t="str">
        <f aca="false">IF($C1073="","",ROUND(SUMIF(收款关联,$B1073,收款金额),2))</f>
        <v/>
      </c>
      <c r="W1073" s="40" t="str">
        <f aca="false">IF($C1073="","",MAX(0,ROUND(N($K1073)-N($V1073),2)))</f>
        <v/>
      </c>
      <c r="X1073" s="40" t="str">
        <f aca="false">IF($C1073="","",ROUND(SUMIFS(应收净额,应收键,$D1073,应收行号,"&lt;="&amp;ROW()),2))</f>
        <v/>
      </c>
      <c r="Y1073" s="29" t="str">
        <f aca="false">IF($C1073="","",ROW())</f>
        <v/>
      </c>
    </row>
    <row r="1074" customFormat="false" ht="15" hidden="false" customHeight="false" outlineLevel="0" collapsed="false">
      <c r="A1074" s="29" t="str">
        <f aca="false">IF($C1074="","",ROW()-4)</f>
        <v/>
      </c>
      <c r="B1074" s="35" t="str">
        <f aca="false">IF($C1074="","","YS"&amp;TEXT($C1074,"yyyymm")&amp;"-"&amp;TEXT(ROW()-4,"0000"))</f>
        <v/>
      </c>
      <c r="C1074" s="33"/>
      <c r="D1074" s="24"/>
      <c r="E1074" s="30" t="str">
        <f aca="false">IF($D1074="","",IFERROR(INDEX(合同单位,MATCH($D1074,合同键,0)),IFERROR(TRIM(LEFT($D1074,FIND("｜",$D1074)-1)),$D1074)))</f>
        <v/>
      </c>
      <c r="F1074" s="30" t="str">
        <f aca="false">IF($D1074="","",IFERROR(INDEX(合同项目,MATCH($D1074,合同键,0)),IFERROR(TRIM(MID($D1074,FIND("｜",$D1074)+1,99)),"")))</f>
        <v/>
      </c>
      <c r="G1074" s="24"/>
      <c r="H1074" s="35" t="str">
        <f aca="false">IF($G1074="","",IFERROR(INDEX(费用款别,MATCH($G1074,费用类别表,0)),"合同外款"))</f>
        <v/>
      </c>
      <c r="I1074" s="33"/>
      <c r="J1074" s="33"/>
      <c r="K1074" s="39"/>
      <c r="L1074" s="33"/>
      <c r="M1074" s="25"/>
      <c r="N1074" s="39"/>
      <c r="O1074" s="35" t="str">
        <f aca="false">IF($C1074="","",IF(N($N1074)&lt;=0,"未开票",IF(ROUND(N($N1074)-N($K1074),2)&gt;=0,"已开票",IFERROR("部分开票 "&amp;TEXT(N($N1074)/N($K1074),"0%"),"部分开票"))))</f>
        <v/>
      </c>
      <c r="P1074" s="40" t="str">
        <f aca="false">IF($C1074="","",ROUND($V1074+MIN($W1074,MAX(0,(SUMIF(收款键,$D1074,收款金额)-SUMIFS(收款金额,收款键,$D1074,收款关联,"&lt;&gt;"))-($X1074-$W1074))),2))</f>
        <v/>
      </c>
      <c r="Q1074" s="41" t="str">
        <f aca="false">IF($C1074="","",ROUND(N($K1074)-N($P1074),2))</f>
        <v/>
      </c>
      <c r="R1074" s="29" t="str">
        <f aca="false">IF($C1074="","",YEAR($C1074))</f>
        <v/>
      </c>
      <c r="S1074" s="24"/>
      <c r="T1074" s="35" t="str">
        <f aca="false">IF($C1074="","",IF($D1074="","★没选客户项目",IF(COUNTIF(合同键,$D1074)=0,"★《维保合同》里没这个项目",IF(N($K1074)&lt;=0,"★应收金额要填",IF(ROUND(N($N1074)-N($K1074),2)&gt;0.001,"★开票金额大于应收",IF(AND($L1074&lt;&gt;"",N($N1074)&lt;=0),"★填了开票日期没填开票金额",IF(AND($I1074&lt;&gt;"",$J1074&lt;&gt;"",$J1074&lt;$I1074),"★计费期间起止反了","OK")))))))</f>
        <v/>
      </c>
      <c r="U1074" s="29" t="str">
        <f aca="false">IF($L1074="","",YEAR($L1074))</f>
        <v/>
      </c>
      <c r="V1074" s="40" t="str">
        <f aca="false">IF($C1074="","",ROUND(SUMIF(收款关联,$B1074,收款金额),2))</f>
        <v/>
      </c>
      <c r="W1074" s="40" t="str">
        <f aca="false">IF($C1074="","",MAX(0,ROUND(N($K1074)-N($V1074),2)))</f>
        <v/>
      </c>
      <c r="X1074" s="40" t="str">
        <f aca="false">IF($C1074="","",ROUND(SUMIFS(应收净额,应收键,$D1074,应收行号,"&lt;="&amp;ROW()),2))</f>
        <v/>
      </c>
      <c r="Y1074" s="29" t="str">
        <f aca="false">IF($C1074="","",ROW())</f>
        <v/>
      </c>
    </row>
    <row r="1075" customFormat="false" ht="15" hidden="false" customHeight="false" outlineLevel="0" collapsed="false">
      <c r="A1075" s="29" t="str">
        <f aca="false">IF($C1075="","",ROW()-4)</f>
        <v/>
      </c>
      <c r="B1075" s="35" t="str">
        <f aca="false">IF($C1075="","","YS"&amp;TEXT($C1075,"yyyymm")&amp;"-"&amp;TEXT(ROW()-4,"0000"))</f>
        <v/>
      </c>
      <c r="C1075" s="33"/>
      <c r="D1075" s="24"/>
      <c r="E1075" s="30" t="str">
        <f aca="false">IF($D1075="","",IFERROR(INDEX(合同单位,MATCH($D1075,合同键,0)),IFERROR(TRIM(LEFT($D1075,FIND("｜",$D1075)-1)),$D1075)))</f>
        <v/>
      </c>
      <c r="F1075" s="30" t="str">
        <f aca="false">IF($D1075="","",IFERROR(INDEX(合同项目,MATCH($D1075,合同键,0)),IFERROR(TRIM(MID($D1075,FIND("｜",$D1075)+1,99)),"")))</f>
        <v/>
      </c>
      <c r="G1075" s="24"/>
      <c r="H1075" s="35" t="str">
        <f aca="false">IF($G1075="","",IFERROR(INDEX(费用款别,MATCH($G1075,费用类别表,0)),"合同外款"))</f>
        <v/>
      </c>
      <c r="I1075" s="33"/>
      <c r="J1075" s="33"/>
      <c r="K1075" s="39"/>
      <c r="L1075" s="33"/>
      <c r="M1075" s="25"/>
      <c r="N1075" s="39"/>
      <c r="O1075" s="35" t="str">
        <f aca="false">IF($C1075="","",IF(N($N1075)&lt;=0,"未开票",IF(ROUND(N($N1075)-N($K1075),2)&gt;=0,"已开票",IFERROR("部分开票 "&amp;TEXT(N($N1075)/N($K1075),"0%"),"部分开票"))))</f>
        <v/>
      </c>
      <c r="P1075" s="40" t="str">
        <f aca="false">IF($C1075="","",ROUND($V1075+MIN($W1075,MAX(0,(SUMIF(收款键,$D1075,收款金额)-SUMIFS(收款金额,收款键,$D1075,收款关联,"&lt;&gt;"))-($X1075-$W1075))),2))</f>
        <v/>
      </c>
      <c r="Q1075" s="41" t="str">
        <f aca="false">IF($C1075="","",ROUND(N($K1075)-N($P1075),2))</f>
        <v/>
      </c>
      <c r="R1075" s="29" t="str">
        <f aca="false">IF($C1075="","",YEAR($C1075))</f>
        <v/>
      </c>
      <c r="S1075" s="24"/>
      <c r="T1075" s="35" t="str">
        <f aca="false">IF($C1075="","",IF($D1075="","★没选客户项目",IF(COUNTIF(合同键,$D1075)=0,"★《维保合同》里没这个项目",IF(N($K1075)&lt;=0,"★应收金额要填",IF(ROUND(N($N1075)-N($K1075),2)&gt;0.001,"★开票金额大于应收",IF(AND($L1075&lt;&gt;"",N($N1075)&lt;=0),"★填了开票日期没填开票金额",IF(AND($I1075&lt;&gt;"",$J1075&lt;&gt;"",$J1075&lt;$I1075),"★计费期间起止反了","OK")))))))</f>
        <v/>
      </c>
      <c r="U1075" s="29" t="str">
        <f aca="false">IF($L1075="","",YEAR($L1075))</f>
        <v/>
      </c>
      <c r="V1075" s="40" t="str">
        <f aca="false">IF($C1075="","",ROUND(SUMIF(收款关联,$B1075,收款金额),2))</f>
        <v/>
      </c>
      <c r="W1075" s="40" t="str">
        <f aca="false">IF($C1075="","",MAX(0,ROUND(N($K1075)-N($V1075),2)))</f>
        <v/>
      </c>
      <c r="X1075" s="40" t="str">
        <f aca="false">IF($C1075="","",ROUND(SUMIFS(应收净额,应收键,$D1075,应收行号,"&lt;="&amp;ROW()),2))</f>
        <v/>
      </c>
      <c r="Y1075" s="29" t="str">
        <f aca="false">IF($C1075="","",ROW())</f>
        <v/>
      </c>
    </row>
    <row r="1076" customFormat="false" ht="15" hidden="false" customHeight="false" outlineLevel="0" collapsed="false">
      <c r="A1076" s="29" t="str">
        <f aca="false">IF($C1076="","",ROW()-4)</f>
        <v/>
      </c>
      <c r="B1076" s="35" t="str">
        <f aca="false">IF($C1076="","","YS"&amp;TEXT($C1076,"yyyymm")&amp;"-"&amp;TEXT(ROW()-4,"0000"))</f>
        <v/>
      </c>
      <c r="C1076" s="33"/>
      <c r="D1076" s="24"/>
      <c r="E1076" s="30" t="str">
        <f aca="false">IF($D1076="","",IFERROR(INDEX(合同单位,MATCH($D1076,合同键,0)),IFERROR(TRIM(LEFT($D1076,FIND("｜",$D1076)-1)),$D1076)))</f>
        <v/>
      </c>
      <c r="F1076" s="30" t="str">
        <f aca="false">IF($D1076="","",IFERROR(INDEX(合同项目,MATCH($D1076,合同键,0)),IFERROR(TRIM(MID($D1076,FIND("｜",$D1076)+1,99)),"")))</f>
        <v/>
      </c>
      <c r="G1076" s="24"/>
      <c r="H1076" s="35" t="str">
        <f aca="false">IF($G1076="","",IFERROR(INDEX(费用款别,MATCH($G1076,费用类别表,0)),"合同外款"))</f>
        <v/>
      </c>
      <c r="I1076" s="33"/>
      <c r="J1076" s="33"/>
      <c r="K1076" s="39"/>
      <c r="L1076" s="33"/>
      <c r="M1076" s="25"/>
      <c r="N1076" s="39"/>
      <c r="O1076" s="35" t="str">
        <f aca="false">IF($C1076="","",IF(N($N1076)&lt;=0,"未开票",IF(ROUND(N($N1076)-N($K1076),2)&gt;=0,"已开票",IFERROR("部分开票 "&amp;TEXT(N($N1076)/N($K1076),"0%"),"部分开票"))))</f>
        <v/>
      </c>
      <c r="P1076" s="40" t="str">
        <f aca="false">IF($C1076="","",ROUND($V1076+MIN($W1076,MAX(0,(SUMIF(收款键,$D1076,收款金额)-SUMIFS(收款金额,收款键,$D1076,收款关联,"&lt;&gt;"))-($X1076-$W1076))),2))</f>
        <v/>
      </c>
      <c r="Q1076" s="41" t="str">
        <f aca="false">IF($C1076="","",ROUND(N($K1076)-N($P1076),2))</f>
        <v/>
      </c>
      <c r="R1076" s="29" t="str">
        <f aca="false">IF($C1076="","",YEAR($C1076))</f>
        <v/>
      </c>
      <c r="S1076" s="24"/>
      <c r="T1076" s="35" t="str">
        <f aca="false">IF($C1076="","",IF($D1076="","★没选客户项目",IF(COUNTIF(合同键,$D1076)=0,"★《维保合同》里没这个项目",IF(N($K1076)&lt;=0,"★应收金额要填",IF(ROUND(N($N1076)-N($K1076),2)&gt;0.001,"★开票金额大于应收",IF(AND($L1076&lt;&gt;"",N($N1076)&lt;=0),"★填了开票日期没填开票金额",IF(AND($I1076&lt;&gt;"",$J1076&lt;&gt;"",$J1076&lt;$I1076),"★计费期间起止反了","OK")))))))</f>
        <v/>
      </c>
      <c r="U1076" s="29" t="str">
        <f aca="false">IF($L1076="","",YEAR($L1076))</f>
        <v/>
      </c>
      <c r="V1076" s="40" t="str">
        <f aca="false">IF($C1076="","",ROUND(SUMIF(收款关联,$B1076,收款金额),2))</f>
        <v/>
      </c>
      <c r="W1076" s="40" t="str">
        <f aca="false">IF($C1076="","",MAX(0,ROUND(N($K1076)-N($V1076),2)))</f>
        <v/>
      </c>
      <c r="X1076" s="40" t="str">
        <f aca="false">IF($C1076="","",ROUND(SUMIFS(应收净额,应收键,$D1076,应收行号,"&lt;="&amp;ROW()),2))</f>
        <v/>
      </c>
      <c r="Y1076" s="29" t="str">
        <f aca="false">IF($C1076="","",ROW())</f>
        <v/>
      </c>
    </row>
    <row r="1077" customFormat="false" ht="15" hidden="false" customHeight="false" outlineLevel="0" collapsed="false">
      <c r="A1077" s="29" t="str">
        <f aca="false">IF($C1077="","",ROW()-4)</f>
        <v/>
      </c>
      <c r="B1077" s="35" t="str">
        <f aca="false">IF($C1077="","","YS"&amp;TEXT($C1077,"yyyymm")&amp;"-"&amp;TEXT(ROW()-4,"0000"))</f>
        <v/>
      </c>
      <c r="C1077" s="33"/>
      <c r="D1077" s="24"/>
      <c r="E1077" s="30" t="str">
        <f aca="false">IF($D1077="","",IFERROR(INDEX(合同单位,MATCH($D1077,合同键,0)),IFERROR(TRIM(LEFT($D1077,FIND("｜",$D1077)-1)),$D1077)))</f>
        <v/>
      </c>
      <c r="F1077" s="30" t="str">
        <f aca="false">IF($D1077="","",IFERROR(INDEX(合同项目,MATCH($D1077,合同键,0)),IFERROR(TRIM(MID($D1077,FIND("｜",$D1077)+1,99)),"")))</f>
        <v/>
      </c>
      <c r="G1077" s="24"/>
      <c r="H1077" s="35" t="str">
        <f aca="false">IF($G1077="","",IFERROR(INDEX(费用款别,MATCH($G1077,费用类别表,0)),"合同外款"))</f>
        <v/>
      </c>
      <c r="I1077" s="33"/>
      <c r="J1077" s="33"/>
      <c r="K1077" s="39"/>
      <c r="L1077" s="33"/>
      <c r="M1077" s="25"/>
      <c r="N1077" s="39"/>
      <c r="O1077" s="35" t="str">
        <f aca="false">IF($C1077="","",IF(N($N1077)&lt;=0,"未开票",IF(ROUND(N($N1077)-N($K1077),2)&gt;=0,"已开票",IFERROR("部分开票 "&amp;TEXT(N($N1077)/N($K1077),"0%"),"部分开票"))))</f>
        <v/>
      </c>
      <c r="P1077" s="40" t="str">
        <f aca="false">IF($C1077="","",ROUND($V1077+MIN($W1077,MAX(0,(SUMIF(收款键,$D1077,收款金额)-SUMIFS(收款金额,收款键,$D1077,收款关联,"&lt;&gt;"))-($X1077-$W1077))),2))</f>
        <v/>
      </c>
      <c r="Q1077" s="41" t="str">
        <f aca="false">IF($C1077="","",ROUND(N($K1077)-N($P1077),2))</f>
        <v/>
      </c>
      <c r="R1077" s="29" t="str">
        <f aca="false">IF($C1077="","",YEAR($C1077))</f>
        <v/>
      </c>
      <c r="S1077" s="24"/>
      <c r="T1077" s="35" t="str">
        <f aca="false">IF($C1077="","",IF($D1077="","★没选客户项目",IF(COUNTIF(合同键,$D1077)=0,"★《维保合同》里没这个项目",IF(N($K1077)&lt;=0,"★应收金额要填",IF(ROUND(N($N1077)-N($K1077),2)&gt;0.001,"★开票金额大于应收",IF(AND($L1077&lt;&gt;"",N($N1077)&lt;=0),"★填了开票日期没填开票金额",IF(AND($I1077&lt;&gt;"",$J1077&lt;&gt;"",$J1077&lt;$I1077),"★计费期间起止反了","OK")))))))</f>
        <v/>
      </c>
      <c r="U1077" s="29" t="str">
        <f aca="false">IF($L1077="","",YEAR($L1077))</f>
        <v/>
      </c>
      <c r="V1077" s="40" t="str">
        <f aca="false">IF($C1077="","",ROUND(SUMIF(收款关联,$B1077,收款金额),2))</f>
        <v/>
      </c>
      <c r="W1077" s="40" t="str">
        <f aca="false">IF($C1077="","",MAX(0,ROUND(N($K1077)-N($V1077),2)))</f>
        <v/>
      </c>
      <c r="X1077" s="40" t="str">
        <f aca="false">IF($C1077="","",ROUND(SUMIFS(应收净额,应收键,$D1077,应收行号,"&lt;="&amp;ROW()),2))</f>
        <v/>
      </c>
      <c r="Y1077" s="29" t="str">
        <f aca="false">IF($C1077="","",ROW())</f>
        <v/>
      </c>
    </row>
    <row r="1078" customFormat="false" ht="15" hidden="false" customHeight="false" outlineLevel="0" collapsed="false">
      <c r="A1078" s="29" t="str">
        <f aca="false">IF($C1078="","",ROW()-4)</f>
        <v/>
      </c>
      <c r="B1078" s="35" t="str">
        <f aca="false">IF($C1078="","","YS"&amp;TEXT($C1078,"yyyymm")&amp;"-"&amp;TEXT(ROW()-4,"0000"))</f>
        <v/>
      </c>
      <c r="C1078" s="33"/>
      <c r="D1078" s="24"/>
      <c r="E1078" s="30" t="str">
        <f aca="false">IF($D1078="","",IFERROR(INDEX(合同单位,MATCH($D1078,合同键,0)),IFERROR(TRIM(LEFT($D1078,FIND("｜",$D1078)-1)),$D1078)))</f>
        <v/>
      </c>
      <c r="F1078" s="30" t="str">
        <f aca="false">IF($D1078="","",IFERROR(INDEX(合同项目,MATCH($D1078,合同键,0)),IFERROR(TRIM(MID($D1078,FIND("｜",$D1078)+1,99)),"")))</f>
        <v/>
      </c>
      <c r="G1078" s="24"/>
      <c r="H1078" s="35" t="str">
        <f aca="false">IF($G1078="","",IFERROR(INDEX(费用款别,MATCH($G1078,费用类别表,0)),"合同外款"))</f>
        <v/>
      </c>
      <c r="I1078" s="33"/>
      <c r="J1078" s="33"/>
      <c r="K1078" s="39"/>
      <c r="L1078" s="33"/>
      <c r="M1078" s="25"/>
      <c r="N1078" s="39"/>
      <c r="O1078" s="35" t="str">
        <f aca="false">IF($C1078="","",IF(N($N1078)&lt;=0,"未开票",IF(ROUND(N($N1078)-N($K1078),2)&gt;=0,"已开票",IFERROR("部分开票 "&amp;TEXT(N($N1078)/N($K1078),"0%"),"部分开票"))))</f>
        <v/>
      </c>
      <c r="P1078" s="40" t="str">
        <f aca="false">IF($C1078="","",ROUND($V1078+MIN($W1078,MAX(0,(SUMIF(收款键,$D1078,收款金额)-SUMIFS(收款金额,收款键,$D1078,收款关联,"&lt;&gt;"))-($X1078-$W1078))),2))</f>
        <v/>
      </c>
      <c r="Q1078" s="41" t="str">
        <f aca="false">IF($C1078="","",ROUND(N($K1078)-N($P1078),2))</f>
        <v/>
      </c>
      <c r="R1078" s="29" t="str">
        <f aca="false">IF($C1078="","",YEAR($C1078))</f>
        <v/>
      </c>
      <c r="S1078" s="24"/>
      <c r="T1078" s="35" t="str">
        <f aca="false">IF($C1078="","",IF($D1078="","★没选客户项目",IF(COUNTIF(合同键,$D1078)=0,"★《维保合同》里没这个项目",IF(N($K1078)&lt;=0,"★应收金额要填",IF(ROUND(N($N1078)-N($K1078),2)&gt;0.001,"★开票金额大于应收",IF(AND($L1078&lt;&gt;"",N($N1078)&lt;=0),"★填了开票日期没填开票金额",IF(AND($I1078&lt;&gt;"",$J1078&lt;&gt;"",$J1078&lt;$I1078),"★计费期间起止反了","OK")))))))</f>
        <v/>
      </c>
      <c r="U1078" s="29" t="str">
        <f aca="false">IF($L1078="","",YEAR($L1078))</f>
        <v/>
      </c>
      <c r="V1078" s="40" t="str">
        <f aca="false">IF($C1078="","",ROUND(SUMIF(收款关联,$B1078,收款金额),2))</f>
        <v/>
      </c>
      <c r="W1078" s="40" t="str">
        <f aca="false">IF($C1078="","",MAX(0,ROUND(N($K1078)-N($V1078),2)))</f>
        <v/>
      </c>
      <c r="X1078" s="40" t="str">
        <f aca="false">IF($C1078="","",ROUND(SUMIFS(应收净额,应收键,$D1078,应收行号,"&lt;="&amp;ROW()),2))</f>
        <v/>
      </c>
      <c r="Y1078" s="29" t="str">
        <f aca="false">IF($C1078="","",ROW())</f>
        <v/>
      </c>
    </row>
    <row r="1079" customFormat="false" ht="15" hidden="false" customHeight="false" outlineLevel="0" collapsed="false">
      <c r="A1079" s="29" t="str">
        <f aca="false">IF($C1079="","",ROW()-4)</f>
        <v/>
      </c>
      <c r="B1079" s="35" t="str">
        <f aca="false">IF($C1079="","","YS"&amp;TEXT($C1079,"yyyymm")&amp;"-"&amp;TEXT(ROW()-4,"0000"))</f>
        <v/>
      </c>
      <c r="C1079" s="33"/>
      <c r="D1079" s="24"/>
      <c r="E1079" s="30" t="str">
        <f aca="false">IF($D1079="","",IFERROR(INDEX(合同单位,MATCH($D1079,合同键,0)),IFERROR(TRIM(LEFT($D1079,FIND("｜",$D1079)-1)),$D1079)))</f>
        <v/>
      </c>
      <c r="F1079" s="30" t="str">
        <f aca="false">IF($D1079="","",IFERROR(INDEX(合同项目,MATCH($D1079,合同键,0)),IFERROR(TRIM(MID($D1079,FIND("｜",$D1079)+1,99)),"")))</f>
        <v/>
      </c>
      <c r="G1079" s="24"/>
      <c r="H1079" s="35" t="str">
        <f aca="false">IF($G1079="","",IFERROR(INDEX(费用款别,MATCH($G1079,费用类别表,0)),"合同外款"))</f>
        <v/>
      </c>
      <c r="I1079" s="33"/>
      <c r="J1079" s="33"/>
      <c r="K1079" s="39"/>
      <c r="L1079" s="33"/>
      <c r="M1079" s="25"/>
      <c r="N1079" s="39"/>
      <c r="O1079" s="35" t="str">
        <f aca="false">IF($C1079="","",IF(N($N1079)&lt;=0,"未开票",IF(ROUND(N($N1079)-N($K1079),2)&gt;=0,"已开票",IFERROR("部分开票 "&amp;TEXT(N($N1079)/N($K1079),"0%"),"部分开票"))))</f>
        <v/>
      </c>
      <c r="P1079" s="40" t="str">
        <f aca="false">IF($C1079="","",ROUND($V1079+MIN($W1079,MAX(0,(SUMIF(收款键,$D1079,收款金额)-SUMIFS(收款金额,收款键,$D1079,收款关联,"&lt;&gt;"))-($X1079-$W1079))),2))</f>
        <v/>
      </c>
      <c r="Q1079" s="41" t="str">
        <f aca="false">IF($C1079="","",ROUND(N($K1079)-N($P1079),2))</f>
        <v/>
      </c>
      <c r="R1079" s="29" t="str">
        <f aca="false">IF($C1079="","",YEAR($C1079))</f>
        <v/>
      </c>
      <c r="S1079" s="24"/>
      <c r="T1079" s="35" t="str">
        <f aca="false">IF($C1079="","",IF($D1079="","★没选客户项目",IF(COUNTIF(合同键,$D1079)=0,"★《维保合同》里没这个项目",IF(N($K1079)&lt;=0,"★应收金额要填",IF(ROUND(N($N1079)-N($K1079),2)&gt;0.001,"★开票金额大于应收",IF(AND($L1079&lt;&gt;"",N($N1079)&lt;=0),"★填了开票日期没填开票金额",IF(AND($I1079&lt;&gt;"",$J1079&lt;&gt;"",$J1079&lt;$I1079),"★计费期间起止反了","OK")))))))</f>
        <v/>
      </c>
      <c r="U1079" s="29" t="str">
        <f aca="false">IF($L1079="","",YEAR($L1079))</f>
        <v/>
      </c>
      <c r="V1079" s="40" t="str">
        <f aca="false">IF($C1079="","",ROUND(SUMIF(收款关联,$B1079,收款金额),2))</f>
        <v/>
      </c>
      <c r="W1079" s="40" t="str">
        <f aca="false">IF($C1079="","",MAX(0,ROUND(N($K1079)-N($V1079),2)))</f>
        <v/>
      </c>
      <c r="X1079" s="40" t="str">
        <f aca="false">IF($C1079="","",ROUND(SUMIFS(应收净额,应收键,$D1079,应收行号,"&lt;="&amp;ROW()),2))</f>
        <v/>
      </c>
      <c r="Y1079" s="29" t="str">
        <f aca="false">IF($C1079="","",ROW())</f>
        <v/>
      </c>
    </row>
    <row r="1080" customFormat="false" ht="15" hidden="false" customHeight="false" outlineLevel="0" collapsed="false">
      <c r="A1080" s="29" t="str">
        <f aca="false">IF($C1080="","",ROW()-4)</f>
        <v/>
      </c>
      <c r="B1080" s="35" t="str">
        <f aca="false">IF($C1080="","","YS"&amp;TEXT($C1080,"yyyymm")&amp;"-"&amp;TEXT(ROW()-4,"0000"))</f>
        <v/>
      </c>
      <c r="C1080" s="33"/>
      <c r="D1080" s="24"/>
      <c r="E1080" s="30" t="str">
        <f aca="false">IF($D1080="","",IFERROR(INDEX(合同单位,MATCH($D1080,合同键,0)),IFERROR(TRIM(LEFT($D1080,FIND("｜",$D1080)-1)),$D1080)))</f>
        <v/>
      </c>
      <c r="F1080" s="30" t="str">
        <f aca="false">IF($D1080="","",IFERROR(INDEX(合同项目,MATCH($D1080,合同键,0)),IFERROR(TRIM(MID($D1080,FIND("｜",$D1080)+1,99)),"")))</f>
        <v/>
      </c>
      <c r="G1080" s="24"/>
      <c r="H1080" s="35" t="str">
        <f aca="false">IF($G1080="","",IFERROR(INDEX(费用款别,MATCH($G1080,费用类别表,0)),"合同外款"))</f>
        <v/>
      </c>
      <c r="I1080" s="33"/>
      <c r="J1080" s="33"/>
      <c r="K1080" s="39"/>
      <c r="L1080" s="33"/>
      <c r="M1080" s="25"/>
      <c r="N1080" s="39"/>
      <c r="O1080" s="35" t="str">
        <f aca="false">IF($C1080="","",IF(N($N1080)&lt;=0,"未开票",IF(ROUND(N($N1080)-N($K1080),2)&gt;=0,"已开票",IFERROR("部分开票 "&amp;TEXT(N($N1080)/N($K1080),"0%"),"部分开票"))))</f>
        <v/>
      </c>
      <c r="P1080" s="40" t="str">
        <f aca="false">IF($C1080="","",ROUND($V1080+MIN($W1080,MAX(0,(SUMIF(收款键,$D1080,收款金额)-SUMIFS(收款金额,收款键,$D1080,收款关联,"&lt;&gt;"))-($X1080-$W1080))),2))</f>
        <v/>
      </c>
      <c r="Q1080" s="41" t="str">
        <f aca="false">IF($C1080="","",ROUND(N($K1080)-N($P1080),2))</f>
        <v/>
      </c>
      <c r="R1080" s="29" t="str">
        <f aca="false">IF($C1080="","",YEAR($C1080))</f>
        <v/>
      </c>
      <c r="S1080" s="24"/>
      <c r="T1080" s="35" t="str">
        <f aca="false">IF($C1080="","",IF($D1080="","★没选客户项目",IF(COUNTIF(合同键,$D1080)=0,"★《维保合同》里没这个项目",IF(N($K1080)&lt;=0,"★应收金额要填",IF(ROUND(N($N1080)-N($K1080),2)&gt;0.001,"★开票金额大于应收",IF(AND($L1080&lt;&gt;"",N($N1080)&lt;=0),"★填了开票日期没填开票金额",IF(AND($I1080&lt;&gt;"",$J1080&lt;&gt;"",$J1080&lt;$I1080),"★计费期间起止反了","OK")))))))</f>
        <v/>
      </c>
      <c r="U1080" s="29" t="str">
        <f aca="false">IF($L1080="","",YEAR($L1080))</f>
        <v/>
      </c>
      <c r="V1080" s="40" t="str">
        <f aca="false">IF($C1080="","",ROUND(SUMIF(收款关联,$B1080,收款金额),2))</f>
        <v/>
      </c>
      <c r="W1080" s="40" t="str">
        <f aca="false">IF($C1080="","",MAX(0,ROUND(N($K1080)-N($V1080),2)))</f>
        <v/>
      </c>
      <c r="X1080" s="40" t="str">
        <f aca="false">IF($C1080="","",ROUND(SUMIFS(应收净额,应收键,$D1080,应收行号,"&lt;="&amp;ROW()),2))</f>
        <v/>
      </c>
      <c r="Y1080" s="29" t="str">
        <f aca="false">IF($C1080="","",ROW())</f>
        <v/>
      </c>
    </row>
    <row r="1081" customFormat="false" ht="15" hidden="false" customHeight="false" outlineLevel="0" collapsed="false">
      <c r="A1081" s="29" t="str">
        <f aca="false">IF($C1081="","",ROW()-4)</f>
        <v/>
      </c>
      <c r="B1081" s="35" t="str">
        <f aca="false">IF($C1081="","","YS"&amp;TEXT($C1081,"yyyymm")&amp;"-"&amp;TEXT(ROW()-4,"0000"))</f>
        <v/>
      </c>
      <c r="C1081" s="33"/>
      <c r="D1081" s="24"/>
      <c r="E1081" s="30" t="str">
        <f aca="false">IF($D1081="","",IFERROR(INDEX(合同单位,MATCH($D1081,合同键,0)),IFERROR(TRIM(LEFT($D1081,FIND("｜",$D1081)-1)),$D1081)))</f>
        <v/>
      </c>
      <c r="F1081" s="30" t="str">
        <f aca="false">IF($D1081="","",IFERROR(INDEX(合同项目,MATCH($D1081,合同键,0)),IFERROR(TRIM(MID($D1081,FIND("｜",$D1081)+1,99)),"")))</f>
        <v/>
      </c>
      <c r="G1081" s="24"/>
      <c r="H1081" s="35" t="str">
        <f aca="false">IF($G1081="","",IFERROR(INDEX(费用款别,MATCH($G1081,费用类别表,0)),"合同外款"))</f>
        <v/>
      </c>
      <c r="I1081" s="33"/>
      <c r="J1081" s="33"/>
      <c r="K1081" s="39"/>
      <c r="L1081" s="33"/>
      <c r="M1081" s="25"/>
      <c r="N1081" s="39"/>
      <c r="O1081" s="35" t="str">
        <f aca="false">IF($C1081="","",IF(N($N1081)&lt;=0,"未开票",IF(ROUND(N($N1081)-N($K1081),2)&gt;=0,"已开票",IFERROR("部分开票 "&amp;TEXT(N($N1081)/N($K1081),"0%"),"部分开票"))))</f>
        <v/>
      </c>
      <c r="P1081" s="40" t="str">
        <f aca="false">IF($C1081="","",ROUND($V1081+MIN($W1081,MAX(0,(SUMIF(收款键,$D1081,收款金额)-SUMIFS(收款金额,收款键,$D1081,收款关联,"&lt;&gt;"))-($X1081-$W1081))),2))</f>
        <v/>
      </c>
      <c r="Q1081" s="41" t="str">
        <f aca="false">IF($C1081="","",ROUND(N($K1081)-N($P1081),2))</f>
        <v/>
      </c>
      <c r="R1081" s="29" t="str">
        <f aca="false">IF($C1081="","",YEAR($C1081))</f>
        <v/>
      </c>
      <c r="S1081" s="24"/>
      <c r="T1081" s="35" t="str">
        <f aca="false">IF($C1081="","",IF($D1081="","★没选客户项目",IF(COUNTIF(合同键,$D1081)=0,"★《维保合同》里没这个项目",IF(N($K1081)&lt;=0,"★应收金额要填",IF(ROUND(N($N1081)-N($K1081),2)&gt;0.001,"★开票金额大于应收",IF(AND($L1081&lt;&gt;"",N($N1081)&lt;=0),"★填了开票日期没填开票金额",IF(AND($I1081&lt;&gt;"",$J1081&lt;&gt;"",$J1081&lt;$I1081),"★计费期间起止反了","OK")))))))</f>
        <v/>
      </c>
      <c r="U1081" s="29" t="str">
        <f aca="false">IF($L1081="","",YEAR($L1081))</f>
        <v/>
      </c>
      <c r="V1081" s="40" t="str">
        <f aca="false">IF($C1081="","",ROUND(SUMIF(收款关联,$B1081,收款金额),2))</f>
        <v/>
      </c>
      <c r="W1081" s="40" t="str">
        <f aca="false">IF($C1081="","",MAX(0,ROUND(N($K1081)-N($V1081),2)))</f>
        <v/>
      </c>
      <c r="X1081" s="40" t="str">
        <f aca="false">IF($C1081="","",ROUND(SUMIFS(应收净额,应收键,$D1081,应收行号,"&lt;="&amp;ROW()),2))</f>
        <v/>
      </c>
      <c r="Y1081" s="29" t="str">
        <f aca="false">IF($C1081="","",ROW())</f>
        <v/>
      </c>
    </row>
    <row r="1082" customFormat="false" ht="15" hidden="false" customHeight="false" outlineLevel="0" collapsed="false">
      <c r="A1082" s="29" t="str">
        <f aca="false">IF($C1082="","",ROW()-4)</f>
        <v/>
      </c>
      <c r="B1082" s="35" t="str">
        <f aca="false">IF($C1082="","","YS"&amp;TEXT($C1082,"yyyymm")&amp;"-"&amp;TEXT(ROW()-4,"0000"))</f>
        <v/>
      </c>
      <c r="C1082" s="33"/>
      <c r="D1082" s="24"/>
      <c r="E1082" s="30" t="str">
        <f aca="false">IF($D1082="","",IFERROR(INDEX(合同单位,MATCH($D1082,合同键,0)),IFERROR(TRIM(LEFT($D1082,FIND("｜",$D1082)-1)),$D1082)))</f>
        <v/>
      </c>
      <c r="F1082" s="30" t="str">
        <f aca="false">IF($D1082="","",IFERROR(INDEX(合同项目,MATCH($D1082,合同键,0)),IFERROR(TRIM(MID($D1082,FIND("｜",$D1082)+1,99)),"")))</f>
        <v/>
      </c>
      <c r="G1082" s="24"/>
      <c r="H1082" s="35" t="str">
        <f aca="false">IF($G1082="","",IFERROR(INDEX(费用款别,MATCH($G1082,费用类别表,0)),"合同外款"))</f>
        <v/>
      </c>
      <c r="I1082" s="33"/>
      <c r="J1082" s="33"/>
      <c r="K1082" s="39"/>
      <c r="L1082" s="33"/>
      <c r="M1082" s="25"/>
      <c r="N1082" s="39"/>
      <c r="O1082" s="35" t="str">
        <f aca="false">IF($C1082="","",IF(N($N1082)&lt;=0,"未开票",IF(ROUND(N($N1082)-N($K1082),2)&gt;=0,"已开票",IFERROR("部分开票 "&amp;TEXT(N($N1082)/N($K1082),"0%"),"部分开票"))))</f>
        <v/>
      </c>
      <c r="P1082" s="40" t="str">
        <f aca="false">IF($C1082="","",ROUND($V1082+MIN($W1082,MAX(0,(SUMIF(收款键,$D1082,收款金额)-SUMIFS(收款金额,收款键,$D1082,收款关联,"&lt;&gt;"))-($X1082-$W1082))),2))</f>
        <v/>
      </c>
      <c r="Q1082" s="41" t="str">
        <f aca="false">IF($C1082="","",ROUND(N($K1082)-N($P1082),2))</f>
        <v/>
      </c>
      <c r="R1082" s="29" t="str">
        <f aca="false">IF($C1082="","",YEAR($C1082))</f>
        <v/>
      </c>
      <c r="S1082" s="24"/>
      <c r="T1082" s="35" t="str">
        <f aca="false">IF($C1082="","",IF($D1082="","★没选客户项目",IF(COUNTIF(合同键,$D1082)=0,"★《维保合同》里没这个项目",IF(N($K1082)&lt;=0,"★应收金额要填",IF(ROUND(N($N1082)-N($K1082),2)&gt;0.001,"★开票金额大于应收",IF(AND($L1082&lt;&gt;"",N($N1082)&lt;=0),"★填了开票日期没填开票金额",IF(AND($I1082&lt;&gt;"",$J1082&lt;&gt;"",$J1082&lt;$I1082),"★计费期间起止反了","OK")))))))</f>
        <v/>
      </c>
      <c r="U1082" s="29" t="str">
        <f aca="false">IF($L1082="","",YEAR($L1082))</f>
        <v/>
      </c>
      <c r="V1082" s="40" t="str">
        <f aca="false">IF($C1082="","",ROUND(SUMIF(收款关联,$B1082,收款金额),2))</f>
        <v/>
      </c>
      <c r="W1082" s="40" t="str">
        <f aca="false">IF($C1082="","",MAX(0,ROUND(N($K1082)-N($V1082),2)))</f>
        <v/>
      </c>
      <c r="X1082" s="40" t="str">
        <f aca="false">IF($C1082="","",ROUND(SUMIFS(应收净额,应收键,$D1082,应收行号,"&lt;="&amp;ROW()),2))</f>
        <v/>
      </c>
      <c r="Y1082" s="29" t="str">
        <f aca="false">IF($C1082="","",ROW())</f>
        <v/>
      </c>
    </row>
    <row r="1083" customFormat="false" ht="15" hidden="false" customHeight="false" outlineLevel="0" collapsed="false">
      <c r="A1083" s="29" t="str">
        <f aca="false">IF($C1083="","",ROW()-4)</f>
        <v/>
      </c>
      <c r="B1083" s="35" t="str">
        <f aca="false">IF($C1083="","","YS"&amp;TEXT($C1083,"yyyymm")&amp;"-"&amp;TEXT(ROW()-4,"0000"))</f>
        <v/>
      </c>
      <c r="C1083" s="33"/>
      <c r="D1083" s="24"/>
      <c r="E1083" s="30" t="str">
        <f aca="false">IF($D1083="","",IFERROR(INDEX(合同单位,MATCH($D1083,合同键,0)),IFERROR(TRIM(LEFT($D1083,FIND("｜",$D1083)-1)),$D1083)))</f>
        <v/>
      </c>
      <c r="F1083" s="30" t="str">
        <f aca="false">IF($D1083="","",IFERROR(INDEX(合同项目,MATCH($D1083,合同键,0)),IFERROR(TRIM(MID($D1083,FIND("｜",$D1083)+1,99)),"")))</f>
        <v/>
      </c>
      <c r="G1083" s="24"/>
      <c r="H1083" s="35" t="str">
        <f aca="false">IF($G1083="","",IFERROR(INDEX(费用款别,MATCH($G1083,费用类别表,0)),"合同外款"))</f>
        <v/>
      </c>
      <c r="I1083" s="33"/>
      <c r="J1083" s="33"/>
      <c r="K1083" s="39"/>
      <c r="L1083" s="33"/>
      <c r="M1083" s="25"/>
      <c r="N1083" s="39"/>
      <c r="O1083" s="35" t="str">
        <f aca="false">IF($C1083="","",IF(N($N1083)&lt;=0,"未开票",IF(ROUND(N($N1083)-N($K1083),2)&gt;=0,"已开票",IFERROR("部分开票 "&amp;TEXT(N($N1083)/N($K1083),"0%"),"部分开票"))))</f>
        <v/>
      </c>
      <c r="P1083" s="40" t="str">
        <f aca="false">IF($C1083="","",ROUND($V1083+MIN($W1083,MAX(0,(SUMIF(收款键,$D1083,收款金额)-SUMIFS(收款金额,收款键,$D1083,收款关联,"&lt;&gt;"))-($X1083-$W1083))),2))</f>
        <v/>
      </c>
      <c r="Q1083" s="41" t="str">
        <f aca="false">IF($C1083="","",ROUND(N($K1083)-N($P1083),2))</f>
        <v/>
      </c>
      <c r="R1083" s="29" t="str">
        <f aca="false">IF($C1083="","",YEAR($C1083))</f>
        <v/>
      </c>
      <c r="S1083" s="24"/>
      <c r="T1083" s="35" t="str">
        <f aca="false">IF($C1083="","",IF($D1083="","★没选客户项目",IF(COUNTIF(合同键,$D1083)=0,"★《维保合同》里没这个项目",IF(N($K1083)&lt;=0,"★应收金额要填",IF(ROUND(N($N1083)-N($K1083),2)&gt;0.001,"★开票金额大于应收",IF(AND($L1083&lt;&gt;"",N($N1083)&lt;=0),"★填了开票日期没填开票金额",IF(AND($I1083&lt;&gt;"",$J1083&lt;&gt;"",$J1083&lt;$I1083),"★计费期间起止反了","OK")))))))</f>
        <v/>
      </c>
      <c r="U1083" s="29" t="str">
        <f aca="false">IF($L1083="","",YEAR($L1083))</f>
        <v/>
      </c>
      <c r="V1083" s="40" t="str">
        <f aca="false">IF($C1083="","",ROUND(SUMIF(收款关联,$B1083,收款金额),2))</f>
        <v/>
      </c>
      <c r="W1083" s="40" t="str">
        <f aca="false">IF($C1083="","",MAX(0,ROUND(N($K1083)-N($V1083),2)))</f>
        <v/>
      </c>
      <c r="X1083" s="40" t="str">
        <f aca="false">IF($C1083="","",ROUND(SUMIFS(应收净额,应收键,$D1083,应收行号,"&lt;="&amp;ROW()),2))</f>
        <v/>
      </c>
      <c r="Y1083" s="29" t="str">
        <f aca="false">IF($C1083="","",ROW())</f>
        <v/>
      </c>
    </row>
    <row r="1084" customFormat="false" ht="15" hidden="false" customHeight="false" outlineLevel="0" collapsed="false">
      <c r="A1084" s="29" t="str">
        <f aca="false">IF($C1084="","",ROW()-4)</f>
        <v/>
      </c>
      <c r="B1084" s="35" t="str">
        <f aca="false">IF($C1084="","","YS"&amp;TEXT($C1084,"yyyymm")&amp;"-"&amp;TEXT(ROW()-4,"0000"))</f>
        <v/>
      </c>
      <c r="C1084" s="33"/>
      <c r="D1084" s="24"/>
      <c r="E1084" s="30" t="str">
        <f aca="false">IF($D1084="","",IFERROR(INDEX(合同单位,MATCH($D1084,合同键,0)),IFERROR(TRIM(LEFT($D1084,FIND("｜",$D1084)-1)),$D1084)))</f>
        <v/>
      </c>
      <c r="F1084" s="30" t="str">
        <f aca="false">IF($D1084="","",IFERROR(INDEX(合同项目,MATCH($D1084,合同键,0)),IFERROR(TRIM(MID($D1084,FIND("｜",$D1084)+1,99)),"")))</f>
        <v/>
      </c>
      <c r="G1084" s="24"/>
      <c r="H1084" s="35" t="str">
        <f aca="false">IF($G1084="","",IFERROR(INDEX(费用款别,MATCH($G1084,费用类别表,0)),"合同外款"))</f>
        <v/>
      </c>
      <c r="I1084" s="33"/>
      <c r="J1084" s="33"/>
      <c r="K1084" s="39"/>
      <c r="L1084" s="33"/>
      <c r="M1084" s="25"/>
      <c r="N1084" s="39"/>
      <c r="O1084" s="35" t="str">
        <f aca="false">IF($C1084="","",IF(N($N1084)&lt;=0,"未开票",IF(ROUND(N($N1084)-N($K1084),2)&gt;=0,"已开票",IFERROR("部分开票 "&amp;TEXT(N($N1084)/N($K1084),"0%"),"部分开票"))))</f>
        <v/>
      </c>
      <c r="P1084" s="40" t="str">
        <f aca="false">IF($C1084="","",ROUND($V1084+MIN($W1084,MAX(0,(SUMIF(收款键,$D1084,收款金额)-SUMIFS(收款金额,收款键,$D1084,收款关联,"&lt;&gt;"))-($X1084-$W1084))),2))</f>
        <v/>
      </c>
      <c r="Q1084" s="41" t="str">
        <f aca="false">IF($C1084="","",ROUND(N($K1084)-N($P1084),2))</f>
        <v/>
      </c>
      <c r="R1084" s="29" t="str">
        <f aca="false">IF($C1084="","",YEAR($C1084))</f>
        <v/>
      </c>
      <c r="S1084" s="24"/>
      <c r="T1084" s="35" t="str">
        <f aca="false">IF($C1084="","",IF($D1084="","★没选客户项目",IF(COUNTIF(合同键,$D1084)=0,"★《维保合同》里没这个项目",IF(N($K1084)&lt;=0,"★应收金额要填",IF(ROUND(N($N1084)-N($K1084),2)&gt;0.001,"★开票金额大于应收",IF(AND($L1084&lt;&gt;"",N($N1084)&lt;=0),"★填了开票日期没填开票金额",IF(AND($I1084&lt;&gt;"",$J1084&lt;&gt;"",$J1084&lt;$I1084),"★计费期间起止反了","OK")))))))</f>
        <v/>
      </c>
      <c r="U1084" s="29" t="str">
        <f aca="false">IF($L1084="","",YEAR($L1084))</f>
        <v/>
      </c>
      <c r="V1084" s="40" t="str">
        <f aca="false">IF($C1084="","",ROUND(SUMIF(收款关联,$B1084,收款金额),2))</f>
        <v/>
      </c>
      <c r="W1084" s="40" t="str">
        <f aca="false">IF($C1084="","",MAX(0,ROUND(N($K1084)-N($V1084),2)))</f>
        <v/>
      </c>
      <c r="X1084" s="40" t="str">
        <f aca="false">IF($C1084="","",ROUND(SUMIFS(应收净额,应收键,$D1084,应收行号,"&lt;="&amp;ROW()),2))</f>
        <v/>
      </c>
      <c r="Y1084" s="29" t="str">
        <f aca="false">IF($C1084="","",ROW())</f>
        <v/>
      </c>
    </row>
    <row r="1085" customFormat="false" ht="15" hidden="false" customHeight="false" outlineLevel="0" collapsed="false">
      <c r="A1085" s="29" t="str">
        <f aca="false">IF($C1085="","",ROW()-4)</f>
        <v/>
      </c>
      <c r="B1085" s="35" t="str">
        <f aca="false">IF($C1085="","","YS"&amp;TEXT($C1085,"yyyymm")&amp;"-"&amp;TEXT(ROW()-4,"0000"))</f>
        <v/>
      </c>
      <c r="C1085" s="33"/>
      <c r="D1085" s="24"/>
      <c r="E1085" s="30" t="str">
        <f aca="false">IF($D1085="","",IFERROR(INDEX(合同单位,MATCH($D1085,合同键,0)),IFERROR(TRIM(LEFT($D1085,FIND("｜",$D1085)-1)),$D1085)))</f>
        <v/>
      </c>
      <c r="F1085" s="30" t="str">
        <f aca="false">IF($D1085="","",IFERROR(INDEX(合同项目,MATCH($D1085,合同键,0)),IFERROR(TRIM(MID($D1085,FIND("｜",$D1085)+1,99)),"")))</f>
        <v/>
      </c>
      <c r="G1085" s="24"/>
      <c r="H1085" s="35" t="str">
        <f aca="false">IF($G1085="","",IFERROR(INDEX(费用款别,MATCH($G1085,费用类别表,0)),"合同外款"))</f>
        <v/>
      </c>
      <c r="I1085" s="33"/>
      <c r="J1085" s="33"/>
      <c r="K1085" s="39"/>
      <c r="L1085" s="33"/>
      <c r="M1085" s="25"/>
      <c r="N1085" s="39"/>
      <c r="O1085" s="35" t="str">
        <f aca="false">IF($C1085="","",IF(N($N1085)&lt;=0,"未开票",IF(ROUND(N($N1085)-N($K1085),2)&gt;=0,"已开票",IFERROR("部分开票 "&amp;TEXT(N($N1085)/N($K1085),"0%"),"部分开票"))))</f>
        <v/>
      </c>
      <c r="P1085" s="40" t="str">
        <f aca="false">IF($C1085="","",ROUND($V1085+MIN($W1085,MAX(0,(SUMIF(收款键,$D1085,收款金额)-SUMIFS(收款金额,收款键,$D1085,收款关联,"&lt;&gt;"))-($X1085-$W1085))),2))</f>
        <v/>
      </c>
      <c r="Q1085" s="41" t="str">
        <f aca="false">IF($C1085="","",ROUND(N($K1085)-N($P1085),2))</f>
        <v/>
      </c>
      <c r="R1085" s="29" t="str">
        <f aca="false">IF($C1085="","",YEAR($C1085))</f>
        <v/>
      </c>
      <c r="S1085" s="24"/>
      <c r="T1085" s="35" t="str">
        <f aca="false">IF($C1085="","",IF($D1085="","★没选客户项目",IF(COUNTIF(合同键,$D1085)=0,"★《维保合同》里没这个项目",IF(N($K1085)&lt;=0,"★应收金额要填",IF(ROUND(N($N1085)-N($K1085),2)&gt;0.001,"★开票金额大于应收",IF(AND($L1085&lt;&gt;"",N($N1085)&lt;=0),"★填了开票日期没填开票金额",IF(AND($I1085&lt;&gt;"",$J1085&lt;&gt;"",$J1085&lt;$I1085),"★计费期间起止反了","OK")))))))</f>
        <v/>
      </c>
      <c r="U1085" s="29" t="str">
        <f aca="false">IF($L1085="","",YEAR($L1085))</f>
        <v/>
      </c>
      <c r="V1085" s="40" t="str">
        <f aca="false">IF($C1085="","",ROUND(SUMIF(收款关联,$B1085,收款金额),2))</f>
        <v/>
      </c>
      <c r="W1085" s="40" t="str">
        <f aca="false">IF($C1085="","",MAX(0,ROUND(N($K1085)-N($V1085),2)))</f>
        <v/>
      </c>
      <c r="X1085" s="40" t="str">
        <f aca="false">IF($C1085="","",ROUND(SUMIFS(应收净额,应收键,$D1085,应收行号,"&lt;="&amp;ROW()),2))</f>
        <v/>
      </c>
      <c r="Y1085" s="29" t="str">
        <f aca="false">IF($C1085="","",ROW())</f>
        <v/>
      </c>
    </row>
    <row r="1086" customFormat="false" ht="15" hidden="false" customHeight="false" outlineLevel="0" collapsed="false">
      <c r="A1086" s="29" t="str">
        <f aca="false">IF($C1086="","",ROW()-4)</f>
        <v/>
      </c>
      <c r="B1086" s="35" t="str">
        <f aca="false">IF($C1086="","","YS"&amp;TEXT($C1086,"yyyymm")&amp;"-"&amp;TEXT(ROW()-4,"0000"))</f>
        <v/>
      </c>
      <c r="C1086" s="33"/>
      <c r="D1086" s="24"/>
      <c r="E1086" s="30" t="str">
        <f aca="false">IF($D1086="","",IFERROR(INDEX(合同单位,MATCH($D1086,合同键,0)),IFERROR(TRIM(LEFT($D1086,FIND("｜",$D1086)-1)),$D1086)))</f>
        <v/>
      </c>
      <c r="F1086" s="30" t="str">
        <f aca="false">IF($D1086="","",IFERROR(INDEX(合同项目,MATCH($D1086,合同键,0)),IFERROR(TRIM(MID($D1086,FIND("｜",$D1086)+1,99)),"")))</f>
        <v/>
      </c>
      <c r="G1086" s="24"/>
      <c r="H1086" s="35" t="str">
        <f aca="false">IF($G1086="","",IFERROR(INDEX(费用款别,MATCH($G1086,费用类别表,0)),"合同外款"))</f>
        <v/>
      </c>
      <c r="I1086" s="33"/>
      <c r="J1086" s="33"/>
      <c r="K1086" s="39"/>
      <c r="L1086" s="33"/>
      <c r="M1086" s="25"/>
      <c r="N1086" s="39"/>
      <c r="O1086" s="35" t="str">
        <f aca="false">IF($C1086="","",IF(N($N1086)&lt;=0,"未开票",IF(ROUND(N($N1086)-N($K1086),2)&gt;=0,"已开票",IFERROR("部分开票 "&amp;TEXT(N($N1086)/N($K1086),"0%"),"部分开票"))))</f>
        <v/>
      </c>
      <c r="P1086" s="40" t="str">
        <f aca="false">IF($C1086="","",ROUND($V1086+MIN($W1086,MAX(0,(SUMIF(收款键,$D1086,收款金额)-SUMIFS(收款金额,收款键,$D1086,收款关联,"&lt;&gt;"))-($X1086-$W1086))),2))</f>
        <v/>
      </c>
      <c r="Q1086" s="41" t="str">
        <f aca="false">IF($C1086="","",ROUND(N($K1086)-N($P1086),2))</f>
        <v/>
      </c>
      <c r="R1086" s="29" t="str">
        <f aca="false">IF($C1086="","",YEAR($C1086))</f>
        <v/>
      </c>
      <c r="S1086" s="24"/>
      <c r="T1086" s="35" t="str">
        <f aca="false">IF($C1086="","",IF($D1086="","★没选客户项目",IF(COUNTIF(合同键,$D1086)=0,"★《维保合同》里没这个项目",IF(N($K1086)&lt;=0,"★应收金额要填",IF(ROUND(N($N1086)-N($K1086),2)&gt;0.001,"★开票金额大于应收",IF(AND($L1086&lt;&gt;"",N($N1086)&lt;=0),"★填了开票日期没填开票金额",IF(AND($I1086&lt;&gt;"",$J1086&lt;&gt;"",$J1086&lt;$I1086),"★计费期间起止反了","OK")))))))</f>
        <v/>
      </c>
      <c r="U1086" s="29" t="str">
        <f aca="false">IF($L1086="","",YEAR($L1086))</f>
        <v/>
      </c>
      <c r="V1086" s="40" t="str">
        <f aca="false">IF($C1086="","",ROUND(SUMIF(收款关联,$B1086,收款金额),2))</f>
        <v/>
      </c>
      <c r="W1086" s="40" t="str">
        <f aca="false">IF($C1086="","",MAX(0,ROUND(N($K1086)-N($V1086),2)))</f>
        <v/>
      </c>
      <c r="X1086" s="40" t="str">
        <f aca="false">IF($C1086="","",ROUND(SUMIFS(应收净额,应收键,$D1086,应收行号,"&lt;="&amp;ROW()),2))</f>
        <v/>
      </c>
      <c r="Y1086" s="29" t="str">
        <f aca="false">IF($C1086="","",ROW())</f>
        <v/>
      </c>
    </row>
    <row r="1087" customFormat="false" ht="15" hidden="false" customHeight="false" outlineLevel="0" collapsed="false">
      <c r="A1087" s="29" t="str">
        <f aca="false">IF($C1087="","",ROW()-4)</f>
        <v/>
      </c>
      <c r="B1087" s="35" t="str">
        <f aca="false">IF($C1087="","","YS"&amp;TEXT($C1087,"yyyymm")&amp;"-"&amp;TEXT(ROW()-4,"0000"))</f>
        <v/>
      </c>
      <c r="C1087" s="33"/>
      <c r="D1087" s="24"/>
      <c r="E1087" s="30" t="str">
        <f aca="false">IF($D1087="","",IFERROR(INDEX(合同单位,MATCH($D1087,合同键,0)),IFERROR(TRIM(LEFT($D1087,FIND("｜",$D1087)-1)),$D1087)))</f>
        <v/>
      </c>
      <c r="F1087" s="30" t="str">
        <f aca="false">IF($D1087="","",IFERROR(INDEX(合同项目,MATCH($D1087,合同键,0)),IFERROR(TRIM(MID($D1087,FIND("｜",$D1087)+1,99)),"")))</f>
        <v/>
      </c>
      <c r="G1087" s="24"/>
      <c r="H1087" s="35" t="str">
        <f aca="false">IF($G1087="","",IFERROR(INDEX(费用款别,MATCH($G1087,费用类别表,0)),"合同外款"))</f>
        <v/>
      </c>
      <c r="I1087" s="33"/>
      <c r="J1087" s="33"/>
      <c r="K1087" s="39"/>
      <c r="L1087" s="33"/>
      <c r="M1087" s="25"/>
      <c r="N1087" s="39"/>
      <c r="O1087" s="35" t="str">
        <f aca="false">IF($C1087="","",IF(N($N1087)&lt;=0,"未开票",IF(ROUND(N($N1087)-N($K1087),2)&gt;=0,"已开票",IFERROR("部分开票 "&amp;TEXT(N($N1087)/N($K1087),"0%"),"部分开票"))))</f>
        <v/>
      </c>
      <c r="P1087" s="40" t="str">
        <f aca="false">IF($C1087="","",ROUND($V1087+MIN($W1087,MAX(0,(SUMIF(收款键,$D1087,收款金额)-SUMIFS(收款金额,收款键,$D1087,收款关联,"&lt;&gt;"))-($X1087-$W1087))),2))</f>
        <v/>
      </c>
      <c r="Q1087" s="41" t="str">
        <f aca="false">IF($C1087="","",ROUND(N($K1087)-N($P1087),2))</f>
        <v/>
      </c>
      <c r="R1087" s="29" t="str">
        <f aca="false">IF($C1087="","",YEAR($C1087))</f>
        <v/>
      </c>
      <c r="S1087" s="24"/>
      <c r="T1087" s="35" t="str">
        <f aca="false">IF($C1087="","",IF($D1087="","★没选客户项目",IF(COUNTIF(合同键,$D1087)=0,"★《维保合同》里没这个项目",IF(N($K1087)&lt;=0,"★应收金额要填",IF(ROUND(N($N1087)-N($K1087),2)&gt;0.001,"★开票金额大于应收",IF(AND($L1087&lt;&gt;"",N($N1087)&lt;=0),"★填了开票日期没填开票金额",IF(AND($I1087&lt;&gt;"",$J1087&lt;&gt;"",$J1087&lt;$I1087),"★计费期间起止反了","OK")))))))</f>
        <v/>
      </c>
      <c r="U1087" s="29" t="str">
        <f aca="false">IF($L1087="","",YEAR($L1087))</f>
        <v/>
      </c>
      <c r="V1087" s="40" t="str">
        <f aca="false">IF($C1087="","",ROUND(SUMIF(收款关联,$B1087,收款金额),2))</f>
        <v/>
      </c>
      <c r="W1087" s="40" t="str">
        <f aca="false">IF($C1087="","",MAX(0,ROUND(N($K1087)-N($V1087),2)))</f>
        <v/>
      </c>
      <c r="X1087" s="40" t="str">
        <f aca="false">IF($C1087="","",ROUND(SUMIFS(应收净额,应收键,$D1087,应收行号,"&lt;="&amp;ROW()),2))</f>
        <v/>
      </c>
      <c r="Y1087" s="29" t="str">
        <f aca="false">IF($C1087="","",ROW())</f>
        <v/>
      </c>
    </row>
    <row r="1088" customFormat="false" ht="15" hidden="false" customHeight="false" outlineLevel="0" collapsed="false">
      <c r="A1088" s="29" t="str">
        <f aca="false">IF($C1088="","",ROW()-4)</f>
        <v/>
      </c>
      <c r="B1088" s="35" t="str">
        <f aca="false">IF($C1088="","","YS"&amp;TEXT($C1088,"yyyymm")&amp;"-"&amp;TEXT(ROW()-4,"0000"))</f>
        <v/>
      </c>
      <c r="C1088" s="33"/>
      <c r="D1088" s="24"/>
      <c r="E1088" s="30" t="str">
        <f aca="false">IF($D1088="","",IFERROR(INDEX(合同单位,MATCH($D1088,合同键,0)),IFERROR(TRIM(LEFT($D1088,FIND("｜",$D1088)-1)),$D1088)))</f>
        <v/>
      </c>
      <c r="F1088" s="30" t="str">
        <f aca="false">IF($D1088="","",IFERROR(INDEX(合同项目,MATCH($D1088,合同键,0)),IFERROR(TRIM(MID($D1088,FIND("｜",$D1088)+1,99)),"")))</f>
        <v/>
      </c>
      <c r="G1088" s="24"/>
      <c r="H1088" s="35" t="str">
        <f aca="false">IF($G1088="","",IFERROR(INDEX(费用款别,MATCH($G1088,费用类别表,0)),"合同外款"))</f>
        <v/>
      </c>
      <c r="I1088" s="33"/>
      <c r="J1088" s="33"/>
      <c r="K1088" s="39"/>
      <c r="L1088" s="33"/>
      <c r="M1088" s="25"/>
      <c r="N1088" s="39"/>
      <c r="O1088" s="35" t="str">
        <f aca="false">IF($C1088="","",IF(N($N1088)&lt;=0,"未开票",IF(ROUND(N($N1088)-N($K1088),2)&gt;=0,"已开票",IFERROR("部分开票 "&amp;TEXT(N($N1088)/N($K1088),"0%"),"部分开票"))))</f>
        <v/>
      </c>
      <c r="P1088" s="40" t="str">
        <f aca="false">IF($C1088="","",ROUND($V1088+MIN($W1088,MAX(0,(SUMIF(收款键,$D1088,收款金额)-SUMIFS(收款金额,收款键,$D1088,收款关联,"&lt;&gt;"))-($X1088-$W1088))),2))</f>
        <v/>
      </c>
      <c r="Q1088" s="41" t="str">
        <f aca="false">IF($C1088="","",ROUND(N($K1088)-N($P1088),2))</f>
        <v/>
      </c>
      <c r="R1088" s="29" t="str">
        <f aca="false">IF($C1088="","",YEAR($C1088))</f>
        <v/>
      </c>
      <c r="S1088" s="24"/>
      <c r="T1088" s="35" t="str">
        <f aca="false">IF($C1088="","",IF($D1088="","★没选客户项目",IF(COUNTIF(合同键,$D1088)=0,"★《维保合同》里没这个项目",IF(N($K1088)&lt;=0,"★应收金额要填",IF(ROUND(N($N1088)-N($K1088),2)&gt;0.001,"★开票金额大于应收",IF(AND($L1088&lt;&gt;"",N($N1088)&lt;=0),"★填了开票日期没填开票金额",IF(AND($I1088&lt;&gt;"",$J1088&lt;&gt;"",$J1088&lt;$I1088),"★计费期间起止反了","OK")))))))</f>
        <v/>
      </c>
      <c r="U1088" s="29" t="str">
        <f aca="false">IF($L1088="","",YEAR($L1088))</f>
        <v/>
      </c>
      <c r="V1088" s="40" t="str">
        <f aca="false">IF($C1088="","",ROUND(SUMIF(收款关联,$B1088,收款金额),2))</f>
        <v/>
      </c>
      <c r="W1088" s="40" t="str">
        <f aca="false">IF($C1088="","",MAX(0,ROUND(N($K1088)-N($V1088),2)))</f>
        <v/>
      </c>
      <c r="X1088" s="40" t="str">
        <f aca="false">IF($C1088="","",ROUND(SUMIFS(应收净额,应收键,$D1088,应收行号,"&lt;="&amp;ROW()),2))</f>
        <v/>
      </c>
      <c r="Y1088" s="29" t="str">
        <f aca="false">IF($C1088="","",ROW())</f>
        <v/>
      </c>
    </row>
    <row r="1089" customFormat="false" ht="15" hidden="false" customHeight="false" outlineLevel="0" collapsed="false">
      <c r="A1089" s="29" t="str">
        <f aca="false">IF($C1089="","",ROW()-4)</f>
        <v/>
      </c>
      <c r="B1089" s="35" t="str">
        <f aca="false">IF($C1089="","","YS"&amp;TEXT($C1089,"yyyymm")&amp;"-"&amp;TEXT(ROW()-4,"0000"))</f>
        <v/>
      </c>
      <c r="C1089" s="33"/>
      <c r="D1089" s="24"/>
      <c r="E1089" s="30" t="str">
        <f aca="false">IF($D1089="","",IFERROR(INDEX(合同单位,MATCH($D1089,合同键,0)),IFERROR(TRIM(LEFT($D1089,FIND("｜",$D1089)-1)),$D1089)))</f>
        <v/>
      </c>
      <c r="F1089" s="30" t="str">
        <f aca="false">IF($D1089="","",IFERROR(INDEX(合同项目,MATCH($D1089,合同键,0)),IFERROR(TRIM(MID($D1089,FIND("｜",$D1089)+1,99)),"")))</f>
        <v/>
      </c>
      <c r="G1089" s="24"/>
      <c r="H1089" s="35" t="str">
        <f aca="false">IF($G1089="","",IFERROR(INDEX(费用款别,MATCH($G1089,费用类别表,0)),"合同外款"))</f>
        <v/>
      </c>
      <c r="I1089" s="33"/>
      <c r="J1089" s="33"/>
      <c r="K1089" s="39"/>
      <c r="L1089" s="33"/>
      <c r="M1089" s="25"/>
      <c r="N1089" s="39"/>
      <c r="O1089" s="35" t="str">
        <f aca="false">IF($C1089="","",IF(N($N1089)&lt;=0,"未开票",IF(ROUND(N($N1089)-N($K1089),2)&gt;=0,"已开票",IFERROR("部分开票 "&amp;TEXT(N($N1089)/N($K1089),"0%"),"部分开票"))))</f>
        <v/>
      </c>
      <c r="P1089" s="40" t="str">
        <f aca="false">IF($C1089="","",ROUND($V1089+MIN($W1089,MAX(0,(SUMIF(收款键,$D1089,收款金额)-SUMIFS(收款金额,收款键,$D1089,收款关联,"&lt;&gt;"))-($X1089-$W1089))),2))</f>
        <v/>
      </c>
      <c r="Q1089" s="41" t="str">
        <f aca="false">IF($C1089="","",ROUND(N($K1089)-N($P1089),2))</f>
        <v/>
      </c>
      <c r="R1089" s="29" t="str">
        <f aca="false">IF($C1089="","",YEAR($C1089))</f>
        <v/>
      </c>
      <c r="S1089" s="24"/>
      <c r="T1089" s="35" t="str">
        <f aca="false">IF($C1089="","",IF($D1089="","★没选客户项目",IF(COUNTIF(合同键,$D1089)=0,"★《维保合同》里没这个项目",IF(N($K1089)&lt;=0,"★应收金额要填",IF(ROUND(N($N1089)-N($K1089),2)&gt;0.001,"★开票金额大于应收",IF(AND($L1089&lt;&gt;"",N($N1089)&lt;=0),"★填了开票日期没填开票金额",IF(AND($I1089&lt;&gt;"",$J1089&lt;&gt;"",$J1089&lt;$I1089),"★计费期间起止反了","OK")))))))</f>
        <v/>
      </c>
      <c r="U1089" s="29" t="str">
        <f aca="false">IF($L1089="","",YEAR($L1089))</f>
        <v/>
      </c>
      <c r="V1089" s="40" t="str">
        <f aca="false">IF($C1089="","",ROUND(SUMIF(收款关联,$B1089,收款金额),2))</f>
        <v/>
      </c>
      <c r="W1089" s="40" t="str">
        <f aca="false">IF($C1089="","",MAX(0,ROUND(N($K1089)-N($V1089),2)))</f>
        <v/>
      </c>
      <c r="X1089" s="40" t="str">
        <f aca="false">IF($C1089="","",ROUND(SUMIFS(应收净额,应收键,$D1089,应收行号,"&lt;="&amp;ROW()),2))</f>
        <v/>
      </c>
      <c r="Y1089" s="29" t="str">
        <f aca="false">IF($C1089="","",ROW())</f>
        <v/>
      </c>
    </row>
    <row r="1090" customFormat="false" ht="15" hidden="false" customHeight="false" outlineLevel="0" collapsed="false">
      <c r="A1090" s="29" t="str">
        <f aca="false">IF($C1090="","",ROW()-4)</f>
        <v/>
      </c>
      <c r="B1090" s="35" t="str">
        <f aca="false">IF($C1090="","","YS"&amp;TEXT($C1090,"yyyymm")&amp;"-"&amp;TEXT(ROW()-4,"0000"))</f>
        <v/>
      </c>
      <c r="C1090" s="33"/>
      <c r="D1090" s="24"/>
      <c r="E1090" s="30" t="str">
        <f aca="false">IF($D1090="","",IFERROR(INDEX(合同单位,MATCH($D1090,合同键,0)),IFERROR(TRIM(LEFT($D1090,FIND("｜",$D1090)-1)),$D1090)))</f>
        <v/>
      </c>
      <c r="F1090" s="30" t="str">
        <f aca="false">IF($D1090="","",IFERROR(INDEX(合同项目,MATCH($D1090,合同键,0)),IFERROR(TRIM(MID($D1090,FIND("｜",$D1090)+1,99)),"")))</f>
        <v/>
      </c>
      <c r="G1090" s="24"/>
      <c r="H1090" s="35" t="str">
        <f aca="false">IF($G1090="","",IFERROR(INDEX(费用款别,MATCH($G1090,费用类别表,0)),"合同外款"))</f>
        <v/>
      </c>
      <c r="I1090" s="33"/>
      <c r="J1090" s="33"/>
      <c r="K1090" s="39"/>
      <c r="L1090" s="33"/>
      <c r="M1090" s="25"/>
      <c r="N1090" s="39"/>
      <c r="O1090" s="35" t="str">
        <f aca="false">IF($C1090="","",IF(N($N1090)&lt;=0,"未开票",IF(ROUND(N($N1090)-N($K1090),2)&gt;=0,"已开票",IFERROR("部分开票 "&amp;TEXT(N($N1090)/N($K1090),"0%"),"部分开票"))))</f>
        <v/>
      </c>
      <c r="P1090" s="40" t="str">
        <f aca="false">IF($C1090="","",ROUND($V1090+MIN($W1090,MAX(0,(SUMIF(收款键,$D1090,收款金额)-SUMIFS(收款金额,收款键,$D1090,收款关联,"&lt;&gt;"))-($X1090-$W1090))),2))</f>
        <v/>
      </c>
      <c r="Q1090" s="41" t="str">
        <f aca="false">IF($C1090="","",ROUND(N($K1090)-N($P1090),2))</f>
        <v/>
      </c>
      <c r="R1090" s="29" t="str">
        <f aca="false">IF($C1090="","",YEAR($C1090))</f>
        <v/>
      </c>
      <c r="S1090" s="24"/>
      <c r="T1090" s="35" t="str">
        <f aca="false">IF($C1090="","",IF($D1090="","★没选客户项目",IF(COUNTIF(合同键,$D1090)=0,"★《维保合同》里没这个项目",IF(N($K1090)&lt;=0,"★应收金额要填",IF(ROUND(N($N1090)-N($K1090),2)&gt;0.001,"★开票金额大于应收",IF(AND($L1090&lt;&gt;"",N($N1090)&lt;=0),"★填了开票日期没填开票金额",IF(AND($I1090&lt;&gt;"",$J1090&lt;&gt;"",$J1090&lt;$I1090),"★计费期间起止反了","OK")))))))</f>
        <v/>
      </c>
      <c r="U1090" s="29" t="str">
        <f aca="false">IF($L1090="","",YEAR($L1090))</f>
        <v/>
      </c>
      <c r="V1090" s="40" t="str">
        <f aca="false">IF($C1090="","",ROUND(SUMIF(收款关联,$B1090,收款金额),2))</f>
        <v/>
      </c>
      <c r="W1090" s="40" t="str">
        <f aca="false">IF($C1090="","",MAX(0,ROUND(N($K1090)-N($V1090),2)))</f>
        <v/>
      </c>
      <c r="X1090" s="40" t="str">
        <f aca="false">IF($C1090="","",ROUND(SUMIFS(应收净额,应收键,$D1090,应收行号,"&lt;="&amp;ROW()),2))</f>
        <v/>
      </c>
      <c r="Y1090" s="29" t="str">
        <f aca="false">IF($C1090="","",ROW())</f>
        <v/>
      </c>
    </row>
    <row r="1091" customFormat="false" ht="15" hidden="false" customHeight="false" outlineLevel="0" collapsed="false">
      <c r="A1091" s="29" t="str">
        <f aca="false">IF($C1091="","",ROW()-4)</f>
        <v/>
      </c>
      <c r="B1091" s="35" t="str">
        <f aca="false">IF($C1091="","","YS"&amp;TEXT($C1091,"yyyymm")&amp;"-"&amp;TEXT(ROW()-4,"0000"))</f>
        <v/>
      </c>
      <c r="C1091" s="33"/>
      <c r="D1091" s="24"/>
      <c r="E1091" s="30" t="str">
        <f aca="false">IF($D1091="","",IFERROR(INDEX(合同单位,MATCH($D1091,合同键,0)),IFERROR(TRIM(LEFT($D1091,FIND("｜",$D1091)-1)),$D1091)))</f>
        <v/>
      </c>
      <c r="F1091" s="30" t="str">
        <f aca="false">IF($D1091="","",IFERROR(INDEX(合同项目,MATCH($D1091,合同键,0)),IFERROR(TRIM(MID($D1091,FIND("｜",$D1091)+1,99)),"")))</f>
        <v/>
      </c>
      <c r="G1091" s="24"/>
      <c r="H1091" s="35" t="str">
        <f aca="false">IF($G1091="","",IFERROR(INDEX(费用款别,MATCH($G1091,费用类别表,0)),"合同外款"))</f>
        <v/>
      </c>
      <c r="I1091" s="33"/>
      <c r="J1091" s="33"/>
      <c r="K1091" s="39"/>
      <c r="L1091" s="33"/>
      <c r="M1091" s="25"/>
      <c r="N1091" s="39"/>
      <c r="O1091" s="35" t="str">
        <f aca="false">IF($C1091="","",IF(N($N1091)&lt;=0,"未开票",IF(ROUND(N($N1091)-N($K1091),2)&gt;=0,"已开票",IFERROR("部分开票 "&amp;TEXT(N($N1091)/N($K1091),"0%"),"部分开票"))))</f>
        <v/>
      </c>
      <c r="P1091" s="40" t="str">
        <f aca="false">IF($C1091="","",ROUND($V1091+MIN($W1091,MAX(0,(SUMIF(收款键,$D1091,收款金额)-SUMIFS(收款金额,收款键,$D1091,收款关联,"&lt;&gt;"))-($X1091-$W1091))),2))</f>
        <v/>
      </c>
      <c r="Q1091" s="41" t="str">
        <f aca="false">IF($C1091="","",ROUND(N($K1091)-N($P1091),2))</f>
        <v/>
      </c>
      <c r="R1091" s="29" t="str">
        <f aca="false">IF($C1091="","",YEAR($C1091))</f>
        <v/>
      </c>
      <c r="S1091" s="24"/>
      <c r="T1091" s="35" t="str">
        <f aca="false">IF($C1091="","",IF($D1091="","★没选客户项目",IF(COUNTIF(合同键,$D1091)=0,"★《维保合同》里没这个项目",IF(N($K1091)&lt;=0,"★应收金额要填",IF(ROUND(N($N1091)-N($K1091),2)&gt;0.001,"★开票金额大于应收",IF(AND($L1091&lt;&gt;"",N($N1091)&lt;=0),"★填了开票日期没填开票金额",IF(AND($I1091&lt;&gt;"",$J1091&lt;&gt;"",$J1091&lt;$I1091),"★计费期间起止反了","OK")))))))</f>
        <v/>
      </c>
      <c r="U1091" s="29" t="str">
        <f aca="false">IF($L1091="","",YEAR($L1091))</f>
        <v/>
      </c>
      <c r="V1091" s="40" t="str">
        <f aca="false">IF($C1091="","",ROUND(SUMIF(收款关联,$B1091,收款金额),2))</f>
        <v/>
      </c>
      <c r="W1091" s="40" t="str">
        <f aca="false">IF($C1091="","",MAX(0,ROUND(N($K1091)-N($V1091),2)))</f>
        <v/>
      </c>
      <c r="X1091" s="40" t="str">
        <f aca="false">IF($C1091="","",ROUND(SUMIFS(应收净额,应收键,$D1091,应收行号,"&lt;="&amp;ROW()),2))</f>
        <v/>
      </c>
      <c r="Y1091" s="29" t="str">
        <f aca="false">IF($C1091="","",ROW())</f>
        <v/>
      </c>
    </row>
    <row r="1092" customFormat="false" ht="15" hidden="false" customHeight="false" outlineLevel="0" collapsed="false">
      <c r="A1092" s="29" t="str">
        <f aca="false">IF($C1092="","",ROW()-4)</f>
        <v/>
      </c>
      <c r="B1092" s="35" t="str">
        <f aca="false">IF($C1092="","","YS"&amp;TEXT($C1092,"yyyymm")&amp;"-"&amp;TEXT(ROW()-4,"0000"))</f>
        <v/>
      </c>
      <c r="C1092" s="33"/>
      <c r="D1092" s="24"/>
      <c r="E1092" s="30" t="str">
        <f aca="false">IF($D1092="","",IFERROR(INDEX(合同单位,MATCH($D1092,合同键,0)),IFERROR(TRIM(LEFT($D1092,FIND("｜",$D1092)-1)),$D1092)))</f>
        <v/>
      </c>
      <c r="F1092" s="30" t="str">
        <f aca="false">IF($D1092="","",IFERROR(INDEX(合同项目,MATCH($D1092,合同键,0)),IFERROR(TRIM(MID($D1092,FIND("｜",$D1092)+1,99)),"")))</f>
        <v/>
      </c>
      <c r="G1092" s="24"/>
      <c r="H1092" s="35" t="str">
        <f aca="false">IF($G1092="","",IFERROR(INDEX(费用款别,MATCH($G1092,费用类别表,0)),"合同外款"))</f>
        <v/>
      </c>
      <c r="I1092" s="33"/>
      <c r="J1092" s="33"/>
      <c r="K1092" s="39"/>
      <c r="L1092" s="33"/>
      <c r="M1092" s="25"/>
      <c r="N1092" s="39"/>
      <c r="O1092" s="35" t="str">
        <f aca="false">IF($C1092="","",IF(N($N1092)&lt;=0,"未开票",IF(ROUND(N($N1092)-N($K1092),2)&gt;=0,"已开票",IFERROR("部分开票 "&amp;TEXT(N($N1092)/N($K1092),"0%"),"部分开票"))))</f>
        <v/>
      </c>
      <c r="P1092" s="40" t="str">
        <f aca="false">IF($C1092="","",ROUND($V1092+MIN($W1092,MAX(0,(SUMIF(收款键,$D1092,收款金额)-SUMIFS(收款金额,收款键,$D1092,收款关联,"&lt;&gt;"))-($X1092-$W1092))),2))</f>
        <v/>
      </c>
      <c r="Q1092" s="41" t="str">
        <f aca="false">IF($C1092="","",ROUND(N($K1092)-N($P1092),2))</f>
        <v/>
      </c>
      <c r="R1092" s="29" t="str">
        <f aca="false">IF($C1092="","",YEAR($C1092))</f>
        <v/>
      </c>
      <c r="S1092" s="24"/>
      <c r="T1092" s="35" t="str">
        <f aca="false">IF($C1092="","",IF($D1092="","★没选客户项目",IF(COUNTIF(合同键,$D1092)=0,"★《维保合同》里没这个项目",IF(N($K1092)&lt;=0,"★应收金额要填",IF(ROUND(N($N1092)-N($K1092),2)&gt;0.001,"★开票金额大于应收",IF(AND($L1092&lt;&gt;"",N($N1092)&lt;=0),"★填了开票日期没填开票金额",IF(AND($I1092&lt;&gt;"",$J1092&lt;&gt;"",$J1092&lt;$I1092),"★计费期间起止反了","OK")))))))</f>
        <v/>
      </c>
      <c r="U1092" s="29" t="str">
        <f aca="false">IF($L1092="","",YEAR($L1092))</f>
        <v/>
      </c>
      <c r="V1092" s="40" t="str">
        <f aca="false">IF($C1092="","",ROUND(SUMIF(收款关联,$B1092,收款金额),2))</f>
        <v/>
      </c>
      <c r="W1092" s="40" t="str">
        <f aca="false">IF($C1092="","",MAX(0,ROUND(N($K1092)-N($V1092),2)))</f>
        <v/>
      </c>
      <c r="X1092" s="40" t="str">
        <f aca="false">IF($C1092="","",ROUND(SUMIFS(应收净额,应收键,$D1092,应收行号,"&lt;="&amp;ROW()),2))</f>
        <v/>
      </c>
      <c r="Y1092" s="29" t="str">
        <f aca="false">IF($C1092="","",ROW())</f>
        <v/>
      </c>
    </row>
    <row r="1093" customFormat="false" ht="15" hidden="false" customHeight="false" outlineLevel="0" collapsed="false">
      <c r="A1093" s="29" t="str">
        <f aca="false">IF($C1093="","",ROW()-4)</f>
        <v/>
      </c>
      <c r="B1093" s="35" t="str">
        <f aca="false">IF($C1093="","","YS"&amp;TEXT($C1093,"yyyymm")&amp;"-"&amp;TEXT(ROW()-4,"0000"))</f>
        <v/>
      </c>
      <c r="C1093" s="33"/>
      <c r="D1093" s="24"/>
      <c r="E1093" s="30" t="str">
        <f aca="false">IF($D1093="","",IFERROR(INDEX(合同单位,MATCH($D1093,合同键,0)),IFERROR(TRIM(LEFT($D1093,FIND("｜",$D1093)-1)),$D1093)))</f>
        <v/>
      </c>
      <c r="F1093" s="30" t="str">
        <f aca="false">IF($D1093="","",IFERROR(INDEX(合同项目,MATCH($D1093,合同键,0)),IFERROR(TRIM(MID($D1093,FIND("｜",$D1093)+1,99)),"")))</f>
        <v/>
      </c>
      <c r="G1093" s="24"/>
      <c r="H1093" s="35" t="str">
        <f aca="false">IF($G1093="","",IFERROR(INDEX(费用款别,MATCH($G1093,费用类别表,0)),"合同外款"))</f>
        <v/>
      </c>
      <c r="I1093" s="33"/>
      <c r="J1093" s="33"/>
      <c r="K1093" s="39"/>
      <c r="L1093" s="33"/>
      <c r="M1093" s="25"/>
      <c r="N1093" s="39"/>
      <c r="O1093" s="35" t="str">
        <f aca="false">IF($C1093="","",IF(N($N1093)&lt;=0,"未开票",IF(ROUND(N($N1093)-N($K1093),2)&gt;=0,"已开票",IFERROR("部分开票 "&amp;TEXT(N($N1093)/N($K1093),"0%"),"部分开票"))))</f>
        <v/>
      </c>
      <c r="P1093" s="40" t="str">
        <f aca="false">IF($C1093="","",ROUND($V1093+MIN($W1093,MAX(0,(SUMIF(收款键,$D1093,收款金额)-SUMIFS(收款金额,收款键,$D1093,收款关联,"&lt;&gt;"))-($X1093-$W1093))),2))</f>
        <v/>
      </c>
      <c r="Q1093" s="41" t="str">
        <f aca="false">IF($C1093="","",ROUND(N($K1093)-N($P1093),2))</f>
        <v/>
      </c>
      <c r="R1093" s="29" t="str">
        <f aca="false">IF($C1093="","",YEAR($C1093))</f>
        <v/>
      </c>
      <c r="S1093" s="24"/>
      <c r="T1093" s="35" t="str">
        <f aca="false">IF($C1093="","",IF($D1093="","★没选客户项目",IF(COUNTIF(合同键,$D1093)=0,"★《维保合同》里没这个项目",IF(N($K1093)&lt;=0,"★应收金额要填",IF(ROUND(N($N1093)-N($K1093),2)&gt;0.001,"★开票金额大于应收",IF(AND($L1093&lt;&gt;"",N($N1093)&lt;=0),"★填了开票日期没填开票金额",IF(AND($I1093&lt;&gt;"",$J1093&lt;&gt;"",$J1093&lt;$I1093),"★计费期间起止反了","OK")))))))</f>
        <v/>
      </c>
      <c r="U1093" s="29" t="str">
        <f aca="false">IF($L1093="","",YEAR($L1093))</f>
        <v/>
      </c>
      <c r="V1093" s="40" t="str">
        <f aca="false">IF($C1093="","",ROUND(SUMIF(收款关联,$B1093,收款金额),2))</f>
        <v/>
      </c>
      <c r="W1093" s="40" t="str">
        <f aca="false">IF($C1093="","",MAX(0,ROUND(N($K1093)-N($V1093),2)))</f>
        <v/>
      </c>
      <c r="X1093" s="40" t="str">
        <f aca="false">IF($C1093="","",ROUND(SUMIFS(应收净额,应收键,$D1093,应收行号,"&lt;="&amp;ROW()),2))</f>
        <v/>
      </c>
      <c r="Y1093" s="29" t="str">
        <f aca="false">IF($C1093="","",ROW())</f>
        <v/>
      </c>
    </row>
    <row r="1094" customFormat="false" ht="15" hidden="false" customHeight="false" outlineLevel="0" collapsed="false">
      <c r="A1094" s="29" t="str">
        <f aca="false">IF($C1094="","",ROW()-4)</f>
        <v/>
      </c>
      <c r="B1094" s="35" t="str">
        <f aca="false">IF($C1094="","","YS"&amp;TEXT($C1094,"yyyymm")&amp;"-"&amp;TEXT(ROW()-4,"0000"))</f>
        <v/>
      </c>
      <c r="C1094" s="33"/>
      <c r="D1094" s="24"/>
      <c r="E1094" s="30" t="str">
        <f aca="false">IF($D1094="","",IFERROR(INDEX(合同单位,MATCH($D1094,合同键,0)),IFERROR(TRIM(LEFT($D1094,FIND("｜",$D1094)-1)),$D1094)))</f>
        <v/>
      </c>
      <c r="F1094" s="30" t="str">
        <f aca="false">IF($D1094="","",IFERROR(INDEX(合同项目,MATCH($D1094,合同键,0)),IFERROR(TRIM(MID($D1094,FIND("｜",$D1094)+1,99)),"")))</f>
        <v/>
      </c>
      <c r="G1094" s="24"/>
      <c r="H1094" s="35" t="str">
        <f aca="false">IF($G1094="","",IFERROR(INDEX(费用款别,MATCH($G1094,费用类别表,0)),"合同外款"))</f>
        <v/>
      </c>
      <c r="I1094" s="33"/>
      <c r="J1094" s="33"/>
      <c r="K1094" s="39"/>
      <c r="L1094" s="33"/>
      <c r="M1094" s="25"/>
      <c r="N1094" s="39"/>
      <c r="O1094" s="35" t="str">
        <f aca="false">IF($C1094="","",IF(N($N1094)&lt;=0,"未开票",IF(ROUND(N($N1094)-N($K1094),2)&gt;=0,"已开票",IFERROR("部分开票 "&amp;TEXT(N($N1094)/N($K1094),"0%"),"部分开票"))))</f>
        <v/>
      </c>
      <c r="P1094" s="40" t="str">
        <f aca="false">IF($C1094="","",ROUND($V1094+MIN($W1094,MAX(0,(SUMIF(收款键,$D1094,收款金额)-SUMIFS(收款金额,收款键,$D1094,收款关联,"&lt;&gt;"))-($X1094-$W1094))),2))</f>
        <v/>
      </c>
      <c r="Q1094" s="41" t="str">
        <f aca="false">IF($C1094="","",ROUND(N($K1094)-N($P1094),2))</f>
        <v/>
      </c>
      <c r="R1094" s="29" t="str">
        <f aca="false">IF($C1094="","",YEAR($C1094))</f>
        <v/>
      </c>
      <c r="S1094" s="24"/>
      <c r="T1094" s="35" t="str">
        <f aca="false">IF($C1094="","",IF($D1094="","★没选客户项目",IF(COUNTIF(合同键,$D1094)=0,"★《维保合同》里没这个项目",IF(N($K1094)&lt;=0,"★应收金额要填",IF(ROUND(N($N1094)-N($K1094),2)&gt;0.001,"★开票金额大于应收",IF(AND($L1094&lt;&gt;"",N($N1094)&lt;=0),"★填了开票日期没填开票金额",IF(AND($I1094&lt;&gt;"",$J1094&lt;&gt;"",$J1094&lt;$I1094),"★计费期间起止反了","OK")))))))</f>
        <v/>
      </c>
      <c r="U1094" s="29" t="str">
        <f aca="false">IF($L1094="","",YEAR($L1094))</f>
        <v/>
      </c>
      <c r="V1094" s="40" t="str">
        <f aca="false">IF($C1094="","",ROUND(SUMIF(收款关联,$B1094,收款金额),2))</f>
        <v/>
      </c>
      <c r="W1094" s="40" t="str">
        <f aca="false">IF($C1094="","",MAX(0,ROUND(N($K1094)-N($V1094),2)))</f>
        <v/>
      </c>
      <c r="X1094" s="40" t="str">
        <f aca="false">IF($C1094="","",ROUND(SUMIFS(应收净额,应收键,$D1094,应收行号,"&lt;="&amp;ROW()),2))</f>
        <v/>
      </c>
      <c r="Y1094" s="29" t="str">
        <f aca="false">IF($C1094="","",ROW())</f>
        <v/>
      </c>
    </row>
    <row r="1095" customFormat="false" ht="15" hidden="false" customHeight="false" outlineLevel="0" collapsed="false">
      <c r="A1095" s="29" t="str">
        <f aca="false">IF($C1095="","",ROW()-4)</f>
        <v/>
      </c>
      <c r="B1095" s="35" t="str">
        <f aca="false">IF($C1095="","","YS"&amp;TEXT($C1095,"yyyymm")&amp;"-"&amp;TEXT(ROW()-4,"0000"))</f>
        <v/>
      </c>
      <c r="C1095" s="33"/>
      <c r="D1095" s="24"/>
      <c r="E1095" s="30" t="str">
        <f aca="false">IF($D1095="","",IFERROR(INDEX(合同单位,MATCH($D1095,合同键,0)),IFERROR(TRIM(LEFT($D1095,FIND("｜",$D1095)-1)),$D1095)))</f>
        <v/>
      </c>
      <c r="F1095" s="30" t="str">
        <f aca="false">IF($D1095="","",IFERROR(INDEX(合同项目,MATCH($D1095,合同键,0)),IFERROR(TRIM(MID($D1095,FIND("｜",$D1095)+1,99)),"")))</f>
        <v/>
      </c>
      <c r="G1095" s="24"/>
      <c r="H1095" s="35" t="str">
        <f aca="false">IF($G1095="","",IFERROR(INDEX(费用款别,MATCH($G1095,费用类别表,0)),"合同外款"))</f>
        <v/>
      </c>
      <c r="I1095" s="33"/>
      <c r="J1095" s="33"/>
      <c r="K1095" s="39"/>
      <c r="L1095" s="33"/>
      <c r="M1095" s="25"/>
      <c r="N1095" s="39"/>
      <c r="O1095" s="35" t="str">
        <f aca="false">IF($C1095="","",IF(N($N1095)&lt;=0,"未开票",IF(ROUND(N($N1095)-N($K1095),2)&gt;=0,"已开票",IFERROR("部分开票 "&amp;TEXT(N($N1095)/N($K1095),"0%"),"部分开票"))))</f>
        <v/>
      </c>
      <c r="P1095" s="40" t="str">
        <f aca="false">IF($C1095="","",ROUND($V1095+MIN($W1095,MAX(0,(SUMIF(收款键,$D1095,收款金额)-SUMIFS(收款金额,收款键,$D1095,收款关联,"&lt;&gt;"))-($X1095-$W1095))),2))</f>
        <v/>
      </c>
      <c r="Q1095" s="41" t="str">
        <f aca="false">IF($C1095="","",ROUND(N($K1095)-N($P1095),2))</f>
        <v/>
      </c>
      <c r="R1095" s="29" t="str">
        <f aca="false">IF($C1095="","",YEAR($C1095))</f>
        <v/>
      </c>
      <c r="S1095" s="24"/>
      <c r="T1095" s="35" t="str">
        <f aca="false">IF($C1095="","",IF($D1095="","★没选客户项目",IF(COUNTIF(合同键,$D1095)=0,"★《维保合同》里没这个项目",IF(N($K1095)&lt;=0,"★应收金额要填",IF(ROUND(N($N1095)-N($K1095),2)&gt;0.001,"★开票金额大于应收",IF(AND($L1095&lt;&gt;"",N($N1095)&lt;=0),"★填了开票日期没填开票金额",IF(AND($I1095&lt;&gt;"",$J1095&lt;&gt;"",$J1095&lt;$I1095),"★计费期间起止反了","OK")))))))</f>
        <v/>
      </c>
      <c r="U1095" s="29" t="str">
        <f aca="false">IF($L1095="","",YEAR($L1095))</f>
        <v/>
      </c>
      <c r="V1095" s="40" t="str">
        <f aca="false">IF($C1095="","",ROUND(SUMIF(收款关联,$B1095,收款金额),2))</f>
        <v/>
      </c>
      <c r="W1095" s="40" t="str">
        <f aca="false">IF($C1095="","",MAX(0,ROUND(N($K1095)-N($V1095),2)))</f>
        <v/>
      </c>
      <c r="X1095" s="40" t="str">
        <f aca="false">IF($C1095="","",ROUND(SUMIFS(应收净额,应收键,$D1095,应收行号,"&lt;="&amp;ROW()),2))</f>
        <v/>
      </c>
      <c r="Y1095" s="29" t="str">
        <f aca="false">IF($C1095="","",ROW())</f>
        <v/>
      </c>
    </row>
    <row r="1096" customFormat="false" ht="15" hidden="false" customHeight="false" outlineLevel="0" collapsed="false">
      <c r="A1096" s="29" t="str">
        <f aca="false">IF($C1096="","",ROW()-4)</f>
        <v/>
      </c>
      <c r="B1096" s="35" t="str">
        <f aca="false">IF($C1096="","","YS"&amp;TEXT($C1096,"yyyymm")&amp;"-"&amp;TEXT(ROW()-4,"0000"))</f>
        <v/>
      </c>
      <c r="C1096" s="33"/>
      <c r="D1096" s="24"/>
      <c r="E1096" s="30" t="str">
        <f aca="false">IF($D1096="","",IFERROR(INDEX(合同单位,MATCH($D1096,合同键,0)),IFERROR(TRIM(LEFT($D1096,FIND("｜",$D1096)-1)),$D1096)))</f>
        <v/>
      </c>
      <c r="F1096" s="30" t="str">
        <f aca="false">IF($D1096="","",IFERROR(INDEX(合同项目,MATCH($D1096,合同键,0)),IFERROR(TRIM(MID($D1096,FIND("｜",$D1096)+1,99)),"")))</f>
        <v/>
      </c>
      <c r="G1096" s="24"/>
      <c r="H1096" s="35" t="str">
        <f aca="false">IF($G1096="","",IFERROR(INDEX(费用款别,MATCH($G1096,费用类别表,0)),"合同外款"))</f>
        <v/>
      </c>
      <c r="I1096" s="33"/>
      <c r="J1096" s="33"/>
      <c r="K1096" s="39"/>
      <c r="L1096" s="33"/>
      <c r="M1096" s="25"/>
      <c r="N1096" s="39"/>
      <c r="O1096" s="35" t="str">
        <f aca="false">IF($C1096="","",IF(N($N1096)&lt;=0,"未开票",IF(ROUND(N($N1096)-N($K1096),2)&gt;=0,"已开票",IFERROR("部分开票 "&amp;TEXT(N($N1096)/N($K1096),"0%"),"部分开票"))))</f>
        <v/>
      </c>
      <c r="P1096" s="40" t="str">
        <f aca="false">IF($C1096="","",ROUND($V1096+MIN($W1096,MAX(0,(SUMIF(收款键,$D1096,收款金额)-SUMIFS(收款金额,收款键,$D1096,收款关联,"&lt;&gt;"))-($X1096-$W1096))),2))</f>
        <v/>
      </c>
      <c r="Q1096" s="41" t="str">
        <f aca="false">IF($C1096="","",ROUND(N($K1096)-N($P1096),2))</f>
        <v/>
      </c>
      <c r="R1096" s="29" t="str">
        <f aca="false">IF($C1096="","",YEAR($C1096))</f>
        <v/>
      </c>
      <c r="S1096" s="24"/>
      <c r="T1096" s="35" t="str">
        <f aca="false">IF($C1096="","",IF($D1096="","★没选客户项目",IF(COUNTIF(合同键,$D1096)=0,"★《维保合同》里没这个项目",IF(N($K1096)&lt;=0,"★应收金额要填",IF(ROUND(N($N1096)-N($K1096),2)&gt;0.001,"★开票金额大于应收",IF(AND($L1096&lt;&gt;"",N($N1096)&lt;=0),"★填了开票日期没填开票金额",IF(AND($I1096&lt;&gt;"",$J1096&lt;&gt;"",$J1096&lt;$I1096),"★计费期间起止反了","OK")))))))</f>
        <v/>
      </c>
      <c r="U1096" s="29" t="str">
        <f aca="false">IF($L1096="","",YEAR($L1096))</f>
        <v/>
      </c>
      <c r="V1096" s="40" t="str">
        <f aca="false">IF($C1096="","",ROUND(SUMIF(收款关联,$B1096,收款金额),2))</f>
        <v/>
      </c>
      <c r="W1096" s="40" t="str">
        <f aca="false">IF($C1096="","",MAX(0,ROUND(N($K1096)-N($V1096),2)))</f>
        <v/>
      </c>
      <c r="X1096" s="40" t="str">
        <f aca="false">IF($C1096="","",ROUND(SUMIFS(应收净额,应收键,$D1096,应收行号,"&lt;="&amp;ROW()),2))</f>
        <v/>
      </c>
      <c r="Y1096" s="29" t="str">
        <f aca="false">IF($C1096="","",ROW())</f>
        <v/>
      </c>
    </row>
    <row r="1097" customFormat="false" ht="15" hidden="false" customHeight="false" outlineLevel="0" collapsed="false">
      <c r="A1097" s="29" t="str">
        <f aca="false">IF($C1097="","",ROW()-4)</f>
        <v/>
      </c>
      <c r="B1097" s="35" t="str">
        <f aca="false">IF($C1097="","","YS"&amp;TEXT($C1097,"yyyymm")&amp;"-"&amp;TEXT(ROW()-4,"0000"))</f>
        <v/>
      </c>
      <c r="C1097" s="33"/>
      <c r="D1097" s="24"/>
      <c r="E1097" s="30" t="str">
        <f aca="false">IF($D1097="","",IFERROR(INDEX(合同单位,MATCH($D1097,合同键,0)),IFERROR(TRIM(LEFT($D1097,FIND("｜",$D1097)-1)),$D1097)))</f>
        <v/>
      </c>
      <c r="F1097" s="30" t="str">
        <f aca="false">IF($D1097="","",IFERROR(INDEX(合同项目,MATCH($D1097,合同键,0)),IFERROR(TRIM(MID($D1097,FIND("｜",$D1097)+1,99)),"")))</f>
        <v/>
      </c>
      <c r="G1097" s="24"/>
      <c r="H1097" s="35" t="str">
        <f aca="false">IF($G1097="","",IFERROR(INDEX(费用款别,MATCH($G1097,费用类别表,0)),"合同外款"))</f>
        <v/>
      </c>
      <c r="I1097" s="33"/>
      <c r="J1097" s="33"/>
      <c r="K1097" s="39"/>
      <c r="L1097" s="33"/>
      <c r="M1097" s="25"/>
      <c r="N1097" s="39"/>
      <c r="O1097" s="35" t="str">
        <f aca="false">IF($C1097="","",IF(N($N1097)&lt;=0,"未开票",IF(ROUND(N($N1097)-N($K1097),2)&gt;=0,"已开票",IFERROR("部分开票 "&amp;TEXT(N($N1097)/N($K1097),"0%"),"部分开票"))))</f>
        <v/>
      </c>
      <c r="P1097" s="40" t="str">
        <f aca="false">IF($C1097="","",ROUND($V1097+MIN($W1097,MAX(0,(SUMIF(收款键,$D1097,收款金额)-SUMIFS(收款金额,收款键,$D1097,收款关联,"&lt;&gt;"))-($X1097-$W1097))),2))</f>
        <v/>
      </c>
      <c r="Q1097" s="41" t="str">
        <f aca="false">IF($C1097="","",ROUND(N($K1097)-N($P1097),2))</f>
        <v/>
      </c>
      <c r="R1097" s="29" t="str">
        <f aca="false">IF($C1097="","",YEAR($C1097))</f>
        <v/>
      </c>
      <c r="S1097" s="24"/>
      <c r="T1097" s="35" t="str">
        <f aca="false">IF($C1097="","",IF($D1097="","★没选客户项目",IF(COUNTIF(合同键,$D1097)=0,"★《维保合同》里没这个项目",IF(N($K1097)&lt;=0,"★应收金额要填",IF(ROUND(N($N1097)-N($K1097),2)&gt;0.001,"★开票金额大于应收",IF(AND($L1097&lt;&gt;"",N($N1097)&lt;=0),"★填了开票日期没填开票金额",IF(AND($I1097&lt;&gt;"",$J1097&lt;&gt;"",$J1097&lt;$I1097),"★计费期间起止反了","OK")))))))</f>
        <v/>
      </c>
      <c r="U1097" s="29" t="str">
        <f aca="false">IF($L1097="","",YEAR($L1097))</f>
        <v/>
      </c>
      <c r="V1097" s="40" t="str">
        <f aca="false">IF($C1097="","",ROUND(SUMIF(收款关联,$B1097,收款金额),2))</f>
        <v/>
      </c>
      <c r="W1097" s="40" t="str">
        <f aca="false">IF($C1097="","",MAX(0,ROUND(N($K1097)-N($V1097),2)))</f>
        <v/>
      </c>
      <c r="X1097" s="40" t="str">
        <f aca="false">IF($C1097="","",ROUND(SUMIFS(应收净额,应收键,$D1097,应收行号,"&lt;="&amp;ROW()),2))</f>
        <v/>
      </c>
      <c r="Y1097" s="29" t="str">
        <f aca="false">IF($C1097="","",ROW())</f>
        <v/>
      </c>
    </row>
    <row r="1098" customFormat="false" ht="15" hidden="false" customHeight="false" outlineLevel="0" collapsed="false">
      <c r="A1098" s="29" t="str">
        <f aca="false">IF($C1098="","",ROW()-4)</f>
        <v/>
      </c>
      <c r="B1098" s="35" t="str">
        <f aca="false">IF($C1098="","","YS"&amp;TEXT($C1098,"yyyymm")&amp;"-"&amp;TEXT(ROW()-4,"0000"))</f>
        <v/>
      </c>
      <c r="C1098" s="33"/>
      <c r="D1098" s="24"/>
      <c r="E1098" s="30" t="str">
        <f aca="false">IF($D1098="","",IFERROR(INDEX(合同单位,MATCH($D1098,合同键,0)),IFERROR(TRIM(LEFT($D1098,FIND("｜",$D1098)-1)),$D1098)))</f>
        <v/>
      </c>
      <c r="F1098" s="30" t="str">
        <f aca="false">IF($D1098="","",IFERROR(INDEX(合同项目,MATCH($D1098,合同键,0)),IFERROR(TRIM(MID($D1098,FIND("｜",$D1098)+1,99)),"")))</f>
        <v/>
      </c>
      <c r="G1098" s="24"/>
      <c r="H1098" s="35" t="str">
        <f aca="false">IF($G1098="","",IFERROR(INDEX(费用款别,MATCH($G1098,费用类别表,0)),"合同外款"))</f>
        <v/>
      </c>
      <c r="I1098" s="33"/>
      <c r="J1098" s="33"/>
      <c r="K1098" s="39"/>
      <c r="L1098" s="33"/>
      <c r="M1098" s="25"/>
      <c r="N1098" s="39"/>
      <c r="O1098" s="35" t="str">
        <f aca="false">IF($C1098="","",IF(N($N1098)&lt;=0,"未开票",IF(ROUND(N($N1098)-N($K1098),2)&gt;=0,"已开票",IFERROR("部分开票 "&amp;TEXT(N($N1098)/N($K1098),"0%"),"部分开票"))))</f>
        <v/>
      </c>
      <c r="P1098" s="40" t="str">
        <f aca="false">IF($C1098="","",ROUND($V1098+MIN($W1098,MAX(0,(SUMIF(收款键,$D1098,收款金额)-SUMIFS(收款金额,收款键,$D1098,收款关联,"&lt;&gt;"))-($X1098-$W1098))),2))</f>
        <v/>
      </c>
      <c r="Q1098" s="41" t="str">
        <f aca="false">IF($C1098="","",ROUND(N($K1098)-N($P1098),2))</f>
        <v/>
      </c>
      <c r="R1098" s="29" t="str">
        <f aca="false">IF($C1098="","",YEAR($C1098))</f>
        <v/>
      </c>
      <c r="S1098" s="24"/>
      <c r="T1098" s="35" t="str">
        <f aca="false">IF($C1098="","",IF($D1098="","★没选客户项目",IF(COUNTIF(合同键,$D1098)=0,"★《维保合同》里没这个项目",IF(N($K1098)&lt;=0,"★应收金额要填",IF(ROUND(N($N1098)-N($K1098),2)&gt;0.001,"★开票金额大于应收",IF(AND($L1098&lt;&gt;"",N($N1098)&lt;=0),"★填了开票日期没填开票金额",IF(AND($I1098&lt;&gt;"",$J1098&lt;&gt;"",$J1098&lt;$I1098),"★计费期间起止反了","OK")))))))</f>
        <v/>
      </c>
      <c r="U1098" s="29" t="str">
        <f aca="false">IF($L1098="","",YEAR($L1098))</f>
        <v/>
      </c>
      <c r="V1098" s="40" t="str">
        <f aca="false">IF($C1098="","",ROUND(SUMIF(收款关联,$B1098,收款金额),2))</f>
        <v/>
      </c>
      <c r="W1098" s="40" t="str">
        <f aca="false">IF($C1098="","",MAX(0,ROUND(N($K1098)-N($V1098),2)))</f>
        <v/>
      </c>
      <c r="X1098" s="40" t="str">
        <f aca="false">IF($C1098="","",ROUND(SUMIFS(应收净额,应收键,$D1098,应收行号,"&lt;="&amp;ROW()),2))</f>
        <v/>
      </c>
      <c r="Y1098" s="29" t="str">
        <f aca="false">IF($C1098="","",ROW())</f>
        <v/>
      </c>
    </row>
    <row r="1099" customFormat="false" ht="15" hidden="false" customHeight="false" outlineLevel="0" collapsed="false">
      <c r="A1099" s="29" t="str">
        <f aca="false">IF($C1099="","",ROW()-4)</f>
        <v/>
      </c>
      <c r="B1099" s="35" t="str">
        <f aca="false">IF($C1099="","","YS"&amp;TEXT($C1099,"yyyymm")&amp;"-"&amp;TEXT(ROW()-4,"0000"))</f>
        <v/>
      </c>
      <c r="C1099" s="33"/>
      <c r="D1099" s="24"/>
      <c r="E1099" s="30" t="str">
        <f aca="false">IF($D1099="","",IFERROR(INDEX(合同单位,MATCH($D1099,合同键,0)),IFERROR(TRIM(LEFT($D1099,FIND("｜",$D1099)-1)),$D1099)))</f>
        <v/>
      </c>
      <c r="F1099" s="30" t="str">
        <f aca="false">IF($D1099="","",IFERROR(INDEX(合同项目,MATCH($D1099,合同键,0)),IFERROR(TRIM(MID($D1099,FIND("｜",$D1099)+1,99)),"")))</f>
        <v/>
      </c>
      <c r="G1099" s="24"/>
      <c r="H1099" s="35" t="str">
        <f aca="false">IF($G1099="","",IFERROR(INDEX(费用款别,MATCH($G1099,费用类别表,0)),"合同外款"))</f>
        <v/>
      </c>
      <c r="I1099" s="33"/>
      <c r="J1099" s="33"/>
      <c r="K1099" s="39"/>
      <c r="L1099" s="33"/>
      <c r="M1099" s="25"/>
      <c r="N1099" s="39"/>
      <c r="O1099" s="35" t="str">
        <f aca="false">IF($C1099="","",IF(N($N1099)&lt;=0,"未开票",IF(ROUND(N($N1099)-N($K1099),2)&gt;=0,"已开票",IFERROR("部分开票 "&amp;TEXT(N($N1099)/N($K1099),"0%"),"部分开票"))))</f>
        <v/>
      </c>
      <c r="P1099" s="40" t="str">
        <f aca="false">IF($C1099="","",ROUND($V1099+MIN($W1099,MAX(0,(SUMIF(收款键,$D1099,收款金额)-SUMIFS(收款金额,收款键,$D1099,收款关联,"&lt;&gt;"))-($X1099-$W1099))),2))</f>
        <v/>
      </c>
      <c r="Q1099" s="41" t="str">
        <f aca="false">IF($C1099="","",ROUND(N($K1099)-N($P1099),2))</f>
        <v/>
      </c>
      <c r="R1099" s="29" t="str">
        <f aca="false">IF($C1099="","",YEAR($C1099))</f>
        <v/>
      </c>
      <c r="S1099" s="24"/>
      <c r="T1099" s="35" t="str">
        <f aca="false">IF($C1099="","",IF($D1099="","★没选客户项目",IF(COUNTIF(合同键,$D1099)=0,"★《维保合同》里没这个项目",IF(N($K1099)&lt;=0,"★应收金额要填",IF(ROUND(N($N1099)-N($K1099),2)&gt;0.001,"★开票金额大于应收",IF(AND($L1099&lt;&gt;"",N($N1099)&lt;=0),"★填了开票日期没填开票金额",IF(AND($I1099&lt;&gt;"",$J1099&lt;&gt;"",$J1099&lt;$I1099),"★计费期间起止反了","OK")))))))</f>
        <v/>
      </c>
      <c r="U1099" s="29" t="str">
        <f aca="false">IF($L1099="","",YEAR($L1099))</f>
        <v/>
      </c>
      <c r="V1099" s="40" t="str">
        <f aca="false">IF($C1099="","",ROUND(SUMIF(收款关联,$B1099,收款金额),2))</f>
        <v/>
      </c>
      <c r="W1099" s="40" t="str">
        <f aca="false">IF($C1099="","",MAX(0,ROUND(N($K1099)-N($V1099),2)))</f>
        <v/>
      </c>
      <c r="X1099" s="40" t="str">
        <f aca="false">IF($C1099="","",ROUND(SUMIFS(应收净额,应收键,$D1099,应收行号,"&lt;="&amp;ROW()),2))</f>
        <v/>
      </c>
      <c r="Y1099" s="29" t="str">
        <f aca="false">IF($C1099="","",ROW())</f>
        <v/>
      </c>
    </row>
    <row r="1100" customFormat="false" ht="15" hidden="false" customHeight="false" outlineLevel="0" collapsed="false">
      <c r="A1100" s="29" t="str">
        <f aca="false">IF($C1100="","",ROW()-4)</f>
        <v/>
      </c>
      <c r="B1100" s="35" t="str">
        <f aca="false">IF($C1100="","","YS"&amp;TEXT($C1100,"yyyymm")&amp;"-"&amp;TEXT(ROW()-4,"0000"))</f>
        <v/>
      </c>
      <c r="C1100" s="33"/>
      <c r="D1100" s="24"/>
      <c r="E1100" s="30" t="str">
        <f aca="false">IF($D1100="","",IFERROR(INDEX(合同单位,MATCH($D1100,合同键,0)),IFERROR(TRIM(LEFT($D1100,FIND("｜",$D1100)-1)),$D1100)))</f>
        <v/>
      </c>
      <c r="F1100" s="30" t="str">
        <f aca="false">IF($D1100="","",IFERROR(INDEX(合同项目,MATCH($D1100,合同键,0)),IFERROR(TRIM(MID($D1100,FIND("｜",$D1100)+1,99)),"")))</f>
        <v/>
      </c>
      <c r="G1100" s="24"/>
      <c r="H1100" s="35" t="str">
        <f aca="false">IF($G1100="","",IFERROR(INDEX(费用款别,MATCH($G1100,费用类别表,0)),"合同外款"))</f>
        <v/>
      </c>
      <c r="I1100" s="33"/>
      <c r="J1100" s="33"/>
      <c r="K1100" s="39"/>
      <c r="L1100" s="33"/>
      <c r="M1100" s="25"/>
      <c r="N1100" s="39"/>
      <c r="O1100" s="35" t="str">
        <f aca="false">IF($C1100="","",IF(N($N1100)&lt;=0,"未开票",IF(ROUND(N($N1100)-N($K1100),2)&gt;=0,"已开票",IFERROR("部分开票 "&amp;TEXT(N($N1100)/N($K1100),"0%"),"部分开票"))))</f>
        <v/>
      </c>
      <c r="P1100" s="40" t="str">
        <f aca="false">IF($C1100="","",ROUND($V1100+MIN($W1100,MAX(0,(SUMIF(收款键,$D1100,收款金额)-SUMIFS(收款金额,收款键,$D1100,收款关联,"&lt;&gt;"))-($X1100-$W1100))),2))</f>
        <v/>
      </c>
      <c r="Q1100" s="41" t="str">
        <f aca="false">IF($C1100="","",ROUND(N($K1100)-N($P1100),2))</f>
        <v/>
      </c>
      <c r="R1100" s="29" t="str">
        <f aca="false">IF($C1100="","",YEAR($C1100))</f>
        <v/>
      </c>
      <c r="S1100" s="24"/>
      <c r="T1100" s="35" t="str">
        <f aca="false">IF($C1100="","",IF($D1100="","★没选客户项目",IF(COUNTIF(合同键,$D1100)=0,"★《维保合同》里没这个项目",IF(N($K1100)&lt;=0,"★应收金额要填",IF(ROUND(N($N1100)-N($K1100),2)&gt;0.001,"★开票金额大于应收",IF(AND($L1100&lt;&gt;"",N($N1100)&lt;=0),"★填了开票日期没填开票金额",IF(AND($I1100&lt;&gt;"",$J1100&lt;&gt;"",$J1100&lt;$I1100),"★计费期间起止反了","OK")))))))</f>
        <v/>
      </c>
      <c r="U1100" s="29" t="str">
        <f aca="false">IF($L1100="","",YEAR($L1100))</f>
        <v/>
      </c>
      <c r="V1100" s="40" t="str">
        <f aca="false">IF($C1100="","",ROUND(SUMIF(收款关联,$B1100,收款金额),2))</f>
        <v/>
      </c>
      <c r="W1100" s="40" t="str">
        <f aca="false">IF($C1100="","",MAX(0,ROUND(N($K1100)-N($V1100),2)))</f>
        <v/>
      </c>
      <c r="X1100" s="40" t="str">
        <f aca="false">IF($C1100="","",ROUND(SUMIFS(应收净额,应收键,$D1100,应收行号,"&lt;="&amp;ROW()),2))</f>
        <v/>
      </c>
      <c r="Y1100" s="29" t="str">
        <f aca="false">IF($C1100="","",ROW())</f>
        <v/>
      </c>
    </row>
    <row r="1101" customFormat="false" ht="15" hidden="false" customHeight="false" outlineLevel="0" collapsed="false">
      <c r="A1101" s="29" t="str">
        <f aca="false">IF($C1101="","",ROW()-4)</f>
        <v/>
      </c>
      <c r="B1101" s="35" t="str">
        <f aca="false">IF($C1101="","","YS"&amp;TEXT($C1101,"yyyymm")&amp;"-"&amp;TEXT(ROW()-4,"0000"))</f>
        <v/>
      </c>
      <c r="C1101" s="33"/>
      <c r="D1101" s="24"/>
      <c r="E1101" s="30" t="str">
        <f aca="false">IF($D1101="","",IFERROR(INDEX(合同单位,MATCH($D1101,合同键,0)),IFERROR(TRIM(LEFT($D1101,FIND("｜",$D1101)-1)),$D1101)))</f>
        <v/>
      </c>
      <c r="F1101" s="30" t="str">
        <f aca="false">IF($D1101="","",IFERROR(INDEX(合同项目,MATCH($D1101,合同键,0)),IFERROR(TRIM(MID($D1101,FIND("｜",$D1101)+1,99)),"")))</f>
        <v/>
      </c>
      <c r="G1101" s="24"/>
      <c r="H1101" s="35" t="str">
        <f aca="false">IF($G1101="","",IFERROR(INDEX(费用款别,MATCH($G1101,费用类别表,0)),"合同外款"))</f>
        <v/>
      </c>
      <c r="I1101" s="33"/>
      <c r="J1101" s="33"/>
      <c r="K1101" s="39"/>
      <c r="L1101" s="33"/>
      <c r="M1101" s="25"/>
      <c r="N1101" s="39"/>
      <c r="O1101" s="35" t="str">
        <f aca="false">IF($C1101="","",IF(N($N1101)&lt;=0,"未开票",IF(ROUND(N($N1101)-N($K1101),2)&gt;=0,"已开票",IFERROR("部分开票 "&amp;TEXT(N($N1101)/N($K1101),"0%"),"部分开票"))))</f>
        <v/>
      </c>
      <c r="P1101" s="40" t="str">
        <f aca="false">IF($C1101="","",ROUND($V1101+MIN($W1101,MAX(0,(SUMIF(收款键,$D1101,收款金额)-SUMIFS(收款金额,收款键,$D1101,收款关联,"&lt;&gt;"))-($X1101-$W1101))),2))</f>
        <v/>
      </c>
      <c r="Q1101" s="41" t="str">
        <f aca="false">IF($C1101="","",ROUND(N($K1101)-N($P1101),2))</f>
        <v/>
      </c>
      <c r="R1101" s="29" t="str">
        <f aca="false">IF($C1101="","",YEAR($C1101))</f>
        <v/>
      </c>
      <c r="S1101" s="24"/>
      <c r="T1101" s="35" t="str">
        <f aca="false">IF($C1101="","",IF($D1101="","★没选客户项目",IF(COUNTIF(合同键,$D1101)=0,"★《维保合同》里没这个项目",IF(N($K1101)&lt;=0,"★应收金额要填",IF(ROUND(N($N1101)-N($K1101),2)&gt;0.001,"★开票金额大于应收",IF(AND($L1101&lt;&gt;"",N($N1101)&lt;=0),"★填了开票日期没填开票金额",IF(AND($I1101&lt;&gt;"",$J1101&lt;&gt;"",$J1101&lt;$I1101),"★计费期间起止反了","OK")))))))</f>
        <v/>
      </c>
      <c r="U1101" s="29" t="str">
        <f aca="false">IF($L1101="","",YEAR($L1101))</f>
        <v/>
      </c>
      <c r="V1101" s="40" t="str">
        <f aca="false">IF($C1101="","",ROUND(SUMIF(收款关联,$B1101,收款金额),2))</f>
        <v/>
      </c>
      <c r="W1101" s="40" t="str">
        <f aca="false">IF($C1101="","",MAX(0,ROUND(N($K1101)-N($V1101),2)))</f>
        <v/>
      </c>
      <c r="X1101" s="40" t="str">
        <f aca="false">IF($C1101="","",ROUND(SUMIFS(应收净额,应收键,$D1101,应收行号,"&lt;="&amp;ROW()),2))</f>
        <v/>
      </c>
      <c r="Y1101" s="29" t="str">
        <f aca="false">IF($C1101="","",ROW())</f>
        <v/>
      </c>
    </row>
    <row r="1102" customFormat="false" ht="15" hidden="false" customHeight="false" outlineLevel="0" collapsed="false">
      <c r="A1102" s="29" t="str">
        <f aca="false">IF($C1102="","",ROW()-4)</f>
        <v/>
      </c>
      <c r="B1102" s="35" t="str">
        <f aca="false">IF($C1102="","","YS"&amp;TEXT($C1102,"yyyymm")&amp;"-"&amp;TEXT(ROW()-4,"0000"))</f>
        <v/>
      </c>
      <c r="C1102" s="33"/>
      <c r="D1102" s="24"/>
      <c r="E1102" s="30" t="str">
        <f aca="false">IF($D1102="","",IFERROR(INDEX(合同单位,MATCH($D1102,合同键,0)),IFERROR(TRIM(LEFT($D1102,FIND("｜",$D1102)-1)),$D1102)))</f>
        <v/>
      </c>
      <c r="F1102" s="30" t="str">
        <f aca="false">IF($D1102="","",IFERROR(INDEX(合同项目,MATCH($D1102,合同键,0)),IFERROR(TRIM(MID($D1102,FIND("｜",$D1102)+1,99)),"")))</f>
        <v/>
      </c>
      <c r="G1102" s="24"/>
      <c r="H1102" s="35" t="str">
        <f aca="false">IF($G1102="","",IFERROR(INDEX(费用款别,MATCH($G1102,费用类别表,0)),"合同外款"))</f>
        <v/>
      </c>
      <c r="I1102" s="33"/>
      <c r="J1102" s="33"/>
      <c r="K1102" s="39"/>
      <c r="L1102" s="33"/>
      <c r="M1102" s="25"/>
      <c r="N1102" s="39"/>
      <c r="O1102" s="35" t="str">
        <f aca="false">IF($C1102="","",IF(N($N1102)&lt;=0,"未开票",IF(ROUND(N($N1102)-N($K1102),2)&gt;=0,"已开票",IFERROR("部分开票 "&amp;TEXT(N($N1102)/N($K1102),"0%"),"部分开票"))))</f>
        <v/>
      </c>
      <c r="P1102" s="40" t="str">
        <f aca="false">IF($C1102="","",ROUND($V1102+MIN($W1102,MAX(0,(SUMIF(收款键,$D1102,收款金额)-SUMIFS(收款金额,收款键,$D1102,收款关联,"&lt;&gt;"))-($X1102-$W1102))),2))</f>
        <v/>
      </c>
      <c r="Q1102" s="41" t="str">
        <f aca="false">IF($C1102="","",ROUND(N($K1102)-N($P1102),2))</f>
        <v/>
      </c>
      <c r="R1102" s="29" t="str">
        <f aca="false">IF($C1102="","",YEAR($C1102))</f>
        <v/>
      </c>
      <c r="S1102" s="24"/>
      <c r="T1102" s="35" t="str">
        <f aca="false">IF($C1102="","",IF($D1102="","★没选客户项目",IF(COUNTIF(合同键,$D1102)=0,"★《维保合同》里没这个项目",IF(N($K1102)&lt;=0,"★应收金额要填",IF(ROUND(N($N1102)-N($K1102),2)&gt;0.001,"★开票金额大于应收",IF(AND($L1102&lt;&gt;"",N($N1102)&lt;=0),"★填了开票日期没填开票金额",IF(AND($I1102&lt;&gt;"",$J1102&lt;&gt;"",$J1102&lt;$I1102),"★计费期间起止反了","OK")))))))</f>
        <v/>
      </c>
      <c r="U1102" s="29" t="str">
        <f aca="false">IF($L1102="","",YEAR($L1102))</f>
        <v/>
      </c>
      <c r="V1102" s="40" t="str">
        <f aca="false">IF($C1102="","",ROUND(SUMIF(收款关联,$B1102,收款金额),2))</f>
        <v/>
      </c>
      <c r="W1102" s="40" t="str">
        <f aca="false">IF($C1102="","",MAX(0,ROUND(N($K1102)-N($V1102),2)))</f>
        <v/>
      </c>
      <c r="X1102" s="40" t="str">
        <f aca="false">IF($C1102="","",ROUND(SUMIFS(应收净额,应收键,$D1102,应收行号,"&lt;="&amp;ROW()),2))</f>
        <v/>
      </c>
      <c r="Y1102" s="29" t="str">
        <f aca="false">IF($C1102="","",ROW())</f>
        <v/>
      </c>
    </row>
    <row r="1103" customFormat="false" ht="15" hidden="false" customHeight="false" outlineLevel="0" collapsed="false">
      <c r="A1103" s="29" t="str">
        <f aca="false">IF($C1103="","",ROW()-4)</f>
        <v/>
      </c>
      <c r="B1103" s="35" t="str">
        <f aca="false">IF($C1103="","","YS"&amp;TEXT($C1103,"yyyymm")&amp;"-"&amp;TEXT(ROW()-4,"0000"))</f>
        <v/>
      </c>
      <c r="C1103" s="33"/>
      <c r="D1103" s="24"/>
      <c r="E1103" s="30" t="str">
        <f aca="false">IF($D1103="","",IFERROR(INDEX(合同单位,MATCH($D1103,合同键,0)),IFERROR(TRIM(LEFT($D1103,FIND("｜",$D1103)-1)),$D1103)))</f>
        <v/>
      </c>
      <c r="F1103" s="30" t="str">
        <f aca="false">IF($D1103="","",IFERROR(INDEX(合同项目,MATCH($D1103,合同键,0)),IFERROR(TRIM(MID($D1103,FIND("｜",$D1103)+1,99)),"")))</f>
        <v/>
      </c>
      <c r="G1103" s="24"/>
      <c r="H1103" s="35" t="str">
        <f aca="false">IF($G1103="","",IFERROR(INDEX(费用款别,MATCH($G1103,费用类别表,0)),"合同外款"))</f>
        <v/>
      </c>
      <c r="I1103" s="33"/>
      <c r="J1103" s="33"/>
      <c r="K1103" s="39"/>
      <c r="L1103" s="33"/>
      <c r="M1103" s="25"/>
      <c r="N1103" s="39"/>
      <c r="O1103" s="35" t="str">
        <f aca="false">IF($C1103="","",IF(N($N1103)&lt;=0,"未开票",IF(ROUND(N($N1103)-N($K1103),2)&gt;=0,"已开票",IFERROR("部分开票 "&amp;TEXT(N($N1103)/N($K1103),"0%"),"部分开票"))))</f>
        <v/>
      </c>
      <c r="P1103" s="40" t="str">
        <f aca="false">IF($C1103="","",ROUND($V1103+MIN($W1103,MAX(0,(SUMIF(收款键,$D1103,收款金额)-SUMIFS(收款金额,收款键,$D1103,收款关联,"&lt;&gt;"))-($X1103-$W1103))),2))</f>
        <v/>
      </c>
      <c r="Q1103" s="41" t="str">
        <f aca="false">IF($C1103="","",ROUND(N($K1103)-N($P1103),2))</f>
        <v/>
      </c>
      <c r="R1103" s="29" t="str">
        <f aca="false">IF($C1103="","",YEAR($C1103))</f>
        <v/>
      </c>
      <c r="S1103" s="24"/>
      <c r="T1103" s="35" t="str">
        <f aca="false">IF($C1103="","",IF($D1103="","★没选客户项目",IF(COUNTIF(合同键,$D1103)=0,"★《维保合同》里没这个项目",IF(N($K1103)&lt;=0,"★应收金额要填",IF(ROUND(N($N1103)-N($K1103),2)&gt;0.001,"★开票金额大于应收",IF(AND($L1103&lt;&gt;"",N($N1103)&lt;=0),"★填了开票日期没填开票金额",IF(AND($I1103&lt;&gt;"",$J1103&lt;&gt;"",$J1103&lt;$I1103),"★计费期间起止反了","OK")))))))</f>
        <v/>
      </c>
      <c r="U1103" s="29" t="str">
        <f aca="false">IF($L1103="","",YEAR($L1103))</f>
        <v/>
      </c>
      <c r="V1103" s="40" t="str">
        <f aca="false">IF($C1103="","",ROUND(SUMIF(收款关联,$B1103,收款金额),2))</f>
        <v/>
      </c>
      <c r="W1103" s="40" t="str">
        <f aca="false">IF($C1103="","",MAX(0,ROUND(N($K1103)-N($V1103),2)))</f>
        <v/>
      </c>
      <c r="X1103" s="40" t="str">
        <f aca="false">IF($C1103="","",ROUND(SUMIFS(应收净额,应收键,$D1103,应收行号,"&lt;="&amp;ROW()),2))</f>
        <v/>
      </c>
      <c r="Y1103" s="29" t="str">
        <f aca="false">IF($C1103="","",ROW())</f>
        <v/>
      </c>
    </row>
    <row r="1104" customFormat="false" ht="15" hidden="false" customHeight="false" outlineLevel="0" collapsed="false">
      <c r="A1104" s="29" t="str">
        <f aca="false">IF($C1104="","",ROW()-4)</f>
        <v/>
      </c>
      <c r="B1104" s="35" t="str">
        <f aca="false">IF($C1104="","","YS"&amp;TEXT($C1104,"yyyymm")&amp;"-"&amp;TEXT(ROW()-4,"0000"))</f>
        <v/>
      </c>
      <c r="C1104" s="33"/>
      <c r="D1104" s="24"/>
      <c r="E1104" s="30" t="str">
        <f aca="false">IF($D1104="","",IFERROR(INDEX(合同单位,MATCH($D1104,合同键,0)),IFERROR(TRIM(LEFT($D1104,FIND("｜",$D1104)-1)),$D1104)))</f>
        <v/>
      </c>
      <c r="F1104" s="30" t="str">
        <f aca="false">IF($D1104="","",IFERROR(INDEX(合同项目,MATCH($D1104,合同键,0)),IFERROR(TRIM(MID($D1104,FIND("｜",$D1104)+1,99)),"")))</f>
        <v/>
      </c>
      <c r="G1104" s="24"/>
      <c r="H1104" s="35" t="str">
        <f aca="false">IF($G1104="","",IFERROR(INDEX(费用款别,MATCH($G1104,费用类别表,0)),"合同外款"))</f>
        <v/>
      </c>
      <c r="I1104" s="33"/>
      <c r="J1104" s="33"/>
      <c r="K1104" s="39"/>
      <c r="L1104" s="33"/>
      <c r="M1104" s="25"/>
      <c r="N1104" s="39"/>
      <c r="O1104" s="35" t="str">
        <f aca="false">IF($C1104="","",IF(N($N1104)&lt;=0,"未开票",IF(ROUND(N($N1104)-N($K1104),2)&gt;=0,"已开票",IFERROR("部分开票 "&amp;TEXT(N($N1104)/N($K1104),"0%"),"部分开票"))))</f>
        <v/>
      </c>
      <c r="P1104" s="40" t="str">
        <f aca="false">IF($C1104="","",ROUND($V1104+MIN($W1104,MAX(0,(SUMIF(收款键,$D1104,收款金额)-SUMIFS(收款金额,收款键,$D1104,收款关联,"&lt;&gt;"))-($X1104-$W1104))),2))</f>
        <v/>
      </c>
      <c r="Q1104" s="41" t="str">
        <f aca="false">IF($C1104="","",ROUND(N($K1104)-N($P1104),2))</f>
        <v/>
      </c>
      <c r="R1104" s="29" t="str">
        <f aca="false">IF($C1104="","",YEAR($C1104))</f>
        <v/>
      </c>
      <c r="S1104" s="24"/>
      <c r="T1104" s="35" t="str">
        <f aca="false">IF($C1104="","",IF($D1104="","★没选客户项目",IF(COUNTIF(合同键,$D1104)=0,"★《维保合同》里没这个项目",IF(N($K1104)&lt;=0,"★应收金额要填",IF(ROUND(N($N1104)-N($K1104),2)&gt;0.001,"★开票金额大于应收",IF(AND($L1104&lt;&gt;"",N($N1104)&lt;=0),"★填了开票日期没填开票金额",IF(AND($I1104&lt;&gt;"",$J1104&lt;&gt;"",$J1104&lt;$I1104),"★计费期间起止反了","OK")))))))</f>
        <v/>
      </c>
      <c r="U1104" s="29" t="str">
        <f aca="false">IF($L1104="","",YEAR($L1104))</f>
        <v/>
      </c>
      <c r="V1104" s="40" t="str">
        <f aca="false">IF($C1104="","",ROUND(SUMIF(收款关联,$B1104,收款金额),2))</f>
        <v/>
      </c>
      <c r="W1104" s="40" t="str">
        <f aca="false">IF($C1104="","",MAX(0,ROUND(N($K1104)-N($V1104),2)))</f>
        <v/>
      </c>
      <c r="X1104" s="40" t="str">
        <f aca="false">IF($C1104="","",ROUND(SUMIFS(应收净额,应收键,$D1104,应收行号,"&lt;="&amp;ROW()),2))</f>
        <v/>
      </c>
      <c r="Y1104" s="29" t="str">
        <f aca="false">IF($C1104="","",ROW())</f>
        <v/>
      </c>
    </row>
    <row r="1105" customFormat="false" ht="15" hidden="false" customHeight="false" outlineLevel="0" collapsed="false">
      <c r="A1105" s="29" t="str">
        <f aca="false">IF($C1105="","",ROW()-4)</f>
        <v/>
      </c>
      <c r="B1105" s="35" t="str">
        <f aca="false">IF($C1105="","","YS"&amp;TEXT($C1105,"yyyymm")&amp;"-"&amp;TEXT(ROW()-4,"0000"))</f>
        <v/>
      </c>
      <c r="C1105" s="33"/>
      <c r="D1105" s="24"/>
      <c r="E1105" s="30" t="str">
        <f aca="false">IF($D1105="","",IFERROR(INDEX(合同单位,MATCH($D1105,合同键,0)),IFERROR(TRIM(LEFT($D1105,FIND("｜",$D1105)-1)),$D1105)))</f>
        <v/>
      </c>
      <c r="F1105" s="30" t="str">
        <f aca="false">IF($D1105="","",IFERROR(INDEX(合同项目,MATCH($D1105,合同键,0)),IFERROR(TRIM(MID($D1105,FIND("｜",$D1105)+1,99)),"")))</f>
        <v/>
      </c>
      <c r="G1105" s="24"/>
      <c r="H1105" s="35" t="str">
        <f aca="false">IF($G1105="","",IFERROR(INDEX(费用款别,MATCH($G1105,费用类别表,0)),"合同外款"))</f>
        <v/>
      </c>
      <c r="I1105" s="33"/>
      <c r="J1105" s="33"/>
      <c r="K1105" s="39"/>
      <c r="L1105" s="33"/>
      <c r="M1105" s="25"/>
      <c r="N1105" s="39"/>
      <c r="O1105" s="35" t="str">
        <f aca="false">IF($C1105="","",IF(N($N1105)&lt;=0,"未开票",IF(ROUND(N($N1105)-N($K1105),2)&gt;=0,"已开票",IFERROR("部分开票 "&amp;TEXT(N($N1105)/N($K1105),"0%"),"部分开票"))))</f>
        <v/>
      </c>
      <c r="P1105" s="40" t="str">
        <f aca="false">IF($C1105="","",ROUND($V1105+MIN($W1105,MAX(0,(SUMIF(收款键,$D1105,收款金额)-SUMIFS(收款金额,收款键,$D1105,收款关联,"&lt;&gt;"))-($X1105-$W1105))),2))</f>
        <v/>
      </c>
      <c r="Q1105" s="41" t="str">
        <f aca="false">IF($C1105="","",ROUND(N($K1105)-N($P1105),2))</f>
        <v/>
      </c>
      <c r="R1105" s="29" t="str">
        <f aca="false">IF($C1105="","",YEAR($C1105))</f>
        <v/>
      </c>
      <c r="S1105" s="24"/>
      <c r="T1105" s="35" t="str">
        <f aca="false">IF($C1105="","",IF($D1105="","★没选客户项目",IF(COUNTIF(合同键,$D1105)=0,"★《维保合同》里没这个项目",IF(N($K1105)&lt;=0,"★应收金额要填",IF(ROUND(N($N1105)-N($K1105),2)&gt;0.001,"★开票金额大于应收",IF(AND($L1105&lt;&gt;"",N($N1105)&lt;=0),"★填了开票日期没填开票金额",IF(AND($I1105&lt;&gt;"",$J1105&lt;&gt;"",$J1105&lt;$I1105),"★计费期间起止反了","OK")))))))</f>
        <v/>
      </c>
      <c r="U1105" s="29" t="str">
        <f aca="false">IF($L1105="","",YEAR($L1105))</f>
        <v/>
      </c>
      <c r="V1105" s="40" t="str">
        <f aca="false">IF($C1105="","",ROUND(SUMIF(收款关联,$B1105,收款金额),2))</f>
        <v/>
      </c>
      <c r="W1105" s="40" t="str">
        <f aca="false">IF($C1105="","",MAX(0,ROUND(N($K1105)-N($V1105),2)))</f>
        <v/>
      </c>
      <c r="X1105" s="40" t="str">
        <f aca="false">IF($C1105="","",ROUND(SUMIFS(应收净额,应收键,$D1105,应收行号,"&lt;="&amp;ROW()),2))</f>
        <v/>
      </c>
      <c r="Y1105" s="29" t="str">
        <f aca="false">IF($C1105="","",ROW())</f>
        <v/>
      </c>
    </row>
    <row r="1106" customFormat="false" ht="15" hidden="false" customHeight="false" outlineLevel="0" collapsed="false">
      <c r="A1106" s="29" t="str">
        <f aca="false">IF($C1106="","",ROW()-4)</f>
        <v/>
      </c>
      <c r="B1106" s="35" t="str">
        <f aca="false">IF($C1106="","","YS"&amp;TEXT($C1106,"yyyymm")&amp;"-"&amp;TEXT(ROW()-4,"0000"))</f>
        <v/>
      </c>
      <c r="C1106" s="33"/>
      <c r="D1106" s="24"/>
      <c r="E1106" s="30" t="str">
        <f aca="false">IF($D1106="","",IFERROR(INDEX(合同单位,MATCH($D1106,合同键,0)),IFERROR(TRIM(LEFT($D1106,FIND("｜",$D1106)-1)),$D1106)))</f>
        <v/>
      </c>
      <c r="F1106" s="30" t="str">
        <f aca="false">IF($D1106="","",IFERROR(INDEX(合同项目,MATCH($D1106,合同键,0)),IFERROR(TRIM(MID($D1106,FIND("｜",$D1106)+1,99)),"")))</f>
        <v/>
      </c>
      <c r="G1106" s="24"/>
      <c r="H1106" s="35" t="str">
        <f aca="false">IF($G1106="","",IFERROR(INDEX(费用款别,MATCH($G1106,费用类别表,0)),"合同外款"))</f>
        <v/>
      </c>
      <c r="I1106" s="33"/>
      <c r="J1106" s="33"/>
      <c r="K1106" s="39"/>
      <c r="L1106" s="33"/>
      <c r="M1106" s="25"/>
      <c r="N1106" s="39"/>
      <c r="O1106" s="35" t="str">
        <f aca="false">IF($C1106="","",IF(N($N1106)&lt;=0,"未开票",IF(ROUND(N($N1106)-N($K1106),2)&gt;=0,"已开票",IFERROR("部分开票 "&amp;TEXT(N($N1106)/N($K1106),"0%"),"部分开票"))))</f>
        <v/>
      </c>
      <c r="P1106" s="40" t="str">
        <f aca="false">IF($C1106="","",ROUND($V1106+MIN($W1106,MAX(0,(SUMIF(收款键,$D1106,收款金额)-SUMIFS(收款金额,收款键,$D1106,收款关联,"&lt;&gt;"))-($X1106-$W1106))),2))</f>
        <v/>
      </c>
      <c r="Q1106" s="41" t="str">
        <f aca="false">IF($C1106="","",ROUND(N($K1106)-N($P1106),2))</f>
        <v/>
      </c>
      <c r="R1106" s="29" t="str">
        <f aca="false">IF($C1106="","",YEAR($C1106))</f>
        <v/>
      </c>
      <c r="S1106" s="24"/>
      <c r="T1106" s="35" t="str">
        <f aca="false">IF($C1106="","",IF($D1106="","★没选客户项目",IF(COUNTIF(合同键,$D1106)=0,"★《维保合同》里没这个项目",IF(N($K1106)&lt;=0,"★应收金额要填",IF(ROUND(N($N1106)-N($K1106),2)&gt;0.001,"★开票金额大于应收",IF(AND($L1106&lt;&gt;"",N($N1106)&lt;=0),"★填了开票日期没填开票金额",IF(AND($I1106&lt;&gt;"",$J1106&lt;&gt;"",$J1106&lt;$I1106),"★计费期间起止反了","OK")))))))</f>
        <v/>
      </c>
      <c r="U1106" s="29" t="str">
        <f aca="false">IF($L1106="","",YEAR($L1106))</f>
        <v/>
      </c>
      <c r="V1106" s="40" t="str">
        <f aca="false">IF($C1106="","",ROUND(SUMIF(收款关联,$B1106,收款金额),2))</f>
        <v/>
      </c>
      <c r="W1106" s="40" t="str">
        <f aca="false">IF($C1106="","",MAX(0,ROUND(N($K1106)-N($V1106),2)))</f>
        <v/>
      </c>
      <c r="X1106" s="40" t="str">
        <f aca="false">IF($C1106="","",ROUND(SUMIFS(应收净额,应收键,$D1106,应收行号,"&lt;="&amp;ROW()),2))</f>
        <v/>
      </c>
      <c r="Y1106" s="29" t="str">
        <f aca="false">IF($C1106="","",ROW())</f>
        <v/>
      </c>
    </row>
    <row r="1107" customFormat="false" ht="15" hidden="false" customHeight="false" outlineLevel="0" collapsed="false">
      <c r="A1107" s="29" t="str">
        <f aca="false">IF($C1107="","",ROW()-4)</f>
        <v/>
      </c>
      <c r="B1107" s="35" t="str">
        <f aca="false">IF($C1107="","","YS"&amp;TEXT($C1107,"yyyymm")&amp;"-"&amp;TEXT(ROW()-4,"0000"))</f>
        <v/>
      </c>
      <c r="C1107" s="33"/>
      <c r="D1107" s="24"/>
      <c r="E1107" s="30" t="str">
        <f aca="false">IF($D1107="","",IFERROR(INDEX(合同单位,MATCH($D1107,合同键,0)),IFERROR(TRIM(LEFT($D1107,FIND("｜",$D1107)-1)),$D1107)))</f>
        <v/>
      </c>
      <c r="F1107" s="30" t="str">
        <f aca="false">IF($D1107="","",IFERROR(INDEX(合同项目,MATCH($D1107,合同键,0)),IFERROR(TRIM(MID($D1107,FIND("｜",$D1107)+1,99)),"")))</f>
        <v/>
      </c>
      <c r="G1107" s="24"/>
      <c r="H1107" s="35" t="str">
        <f aca="false">IF($G1107="","",IFERROR(INDEX(费用款别,MATCH($G1107,费用类别表,0)),"合同外款"))</f>
        <v/>
      </c>
      <c r="I1107" s="33"/>
      <c r="J1107" s="33"/>
      <c r="K1107" s="39"/>
      <c r="L1107" s="33"/>
      <c r="M1107" s="25"/>
      <c r="N1107" s="39"/>
      <c r="O1107" s="35" t="str">
        <f aca="false">IF($C1107="","",IF(N($N1107)&lt;=0,"未开票",IF(ROUND(N($N1107)-N($K1107),2)&gt;=0,"已开票",IFERROR("部分开票 "&amp;TEXT(N($N1107)/N($K1107),"0%"),"部分开票"))))</f>
        <v/>
      </c>
      <c r="P1107" s="40" t="str">
        <f aca="false">IF($C1107="","",ROUND($V1107+MIN($W1107,MAX(0,(SUMIF(收款键,$D1107,收款金额)-SUMIFS(收款金额,收款键,$D1107,收款关联,"&lt;&gt;"))-($X1107-$W1107))),2))</f>
        <v/>
      </c>
      <c r="Q1107" s="41" t="str">
        <f aca="false">IF($C1107="","",ROUND(N($K1107)-N($P1107),2))</f>
        <v/>
      </c>
      <c r="R1107" s="29" t="str">
        <f aca="false">IF($C1107="","",YEAR($C1107))</f>
        <v/>
      </c>
      <c r="S1107" s="24"/>
      <c r="T1107" s="35" t="str">
        <f aca="false">IF($C1107="","",IF($D1107="","★没选客户项目",IF(COUNTIF(合同键,$D1107)=0,"★《维保合同》里没这个项目",IF(N($K1107)&lt;=0,"★应收金额要填",IF(ROUND(N($N1107)-N($K1107),2)&gt;0.001,"★开票金额大于应收",IF(AND($L1107&lt;&gt;"",N($N1107)&lt;=0),"★填了开票日期没填开票金额",IF(AND($I1107&lt;&gt;"",$J1107&lt;&gt;"",$J1107&lt;$I1107),"★计费期间起止反了","OK")))))))</f>
        <v/>
      </c>
      <c r="U1107" s="29" t="str">
        <f aca="false">IF($L1107="","",YEAR($L1107))</f>
        <v/>
      </c>
      <c r="V1107" s="40" t="str">
        <f aca="false">IF($C1107="","",ROUND(SUMIF(收款关联,$B1107,收款金额),2))</f>
        <v/>
      </c>
      <c r="W1107" s="40" t="str">
        <f aca="false">IF($C1107="","",MAX(0,ROUND(N($K1107)-N($V1107),2)))</f>
        <v/>
      </c>
      <c r="X1107" s="40" t="str">
        <f aca="false">IF($C1107="","",ROUND(SUMIFS(应收净额,应收键,$D1107,应收行号,"&lt;="&amp;ROW()),2))</f>
        <v/>
      </c>
      <c r="Y1107" s="29" t="str">
        <f aca="false">IF($C1107="","",ROW())</f>
        <v/>
      </c>
    </row>
    <row r="1108" customFormat="false" ht="15" hidden="false" customHeight="false" outlineLevel="0" collapsed="false">
      <c r="A1108" s="29" t="str">
        <f aca="false">IF($C1108="","",ROW()-4)</f>
        <v/>
      </c>
      <c r="B1108" s="35" t="str">
        <f aca="false">IF($C1108="","","YS"&amp;TEXT($C1108,"yyyymm")&amp;"-"&amp;TEXT(ROW()-4,"0000"))</f>
        <v/>
      </c>
      <c r="C1108" s="33"/>
      <c r="D1108" s="24"/>
      <c r="E1108" s="30" t="str">
        <f aca="false">IF($D1108="","",IFERROR(INDEX(合同单位,MATCH($D1108,合同键,0)),IFERROR(TRIM(LEFT($D1108,FIND("｜",$D1108)-1)),$D1108)))</f>
        <v/>
      </c>
      <c r="F1108" s="30" t="str">
        <f aca="false">IF($D1108="","",IFERROR(INDEX(合同项目,MATCH($D1108,合同键,0)),IFERROR(TRIM(MID($D1108,FIND("｜",$D1108)+1,99)),"")))</f>
        <v/>
      </c>
      <c r="G1108" s="24"/>
      <c r="H1108" s="35" t="str">
        <f aca="false">IF($G1108="","",IFERROR(INDEX(费用款别,MATCH($G1108,费用类别表,0)),"合同外款"))</f>
        <v/>
      </c>
      <c r="I1108" s="33"/>
      <c r="J1108" s="33"/>
      <c r="K1108" s="39"/>
      <c r="L1108" s="33"/>
      <c r="M1108" s="25"/>
      <c r="N1108" s="39"/>
      <c r="O1108" s="35" t="str">
        <f aca="false">IF($C1108="","",IF(N($N1108)&lt;=0,"未开票",IF(ROUND(N($N1108)-N($K1108),2)&gt;=0,"已开票",IFERROR("部分开票 "&amp;TEXT(N($N1108)/N($K1108),"0%"),"部分开票"))))</f>
        <v/>
      </c>
      <c r="P1108" s="40" t="str">
        <f aca="false">IF($C1108="","",ROUND($V1108+MIN($W1108,MAX(0,(SUMIF(收款键,$D1108,收款金额)-SUMIFS(收款金额,收款键,$D1108,收款关联,"&lt;&gt;"))-($X1108-$W1108))),2))</f>
        <v/>
      </c>
      <c r="Q1108" s="41" t="str">
        <f aca="false">IF($C1108="","",ROUND(N($K1108)-N($P1108),2))</f>
        <v/>
      </c>
      <c r="R1108" s="29" t="str">
        <f aca="false">IF($C1108="","",YEAR($C1108))</f>
        <v/>
      </c>
      <c r="S1108" s="24"/>
      <c r="T1108" s="35" t="str">
        <f aca="false">IF($C1108="","",IF($D1108="","★没选客户项目",IF(COUNTIF(合同键,$D1108)=0,"★《维保合同》里没这个项目",IF(N($K1108)&lt;=0,"★应收金额要填",IF(ROUND(N($N1108)-N($K1108),2)&gt;0.001,"★开票金额大于应收",IF(AND($L1108&lt;&gt;"",N($N1108)&lt;=0),"★填了开票日期没填开票金额",IF(AND($I1108&lt;&gt;"",$J1108&lt;&gt;"",$J1108&lt;$I1108),"★计费期间起止反了","OK")))))))</f>
        <v/>
      </c>
      <c r="U1108" s="29" t="str">
        <f aca="false">IF($L1108="","",YEAR($L1108))</f>
        <v/>
      </c>
      <c r="V1108" s="40" t="str">
        <f aca="false">IF($C1108="","",ROUND(SUMIF(收款关联,$B1108,收款金额),2))</f>
        <v/>
      </c>
      <c r="W1108" s="40" t="str">
        <f aca="false">IF($C1108="","",MAX(0,ROUND(N($K1108)-N($V1108),2)))</f>
        <v/>
      </c>
      <c r="X1108" s="40" t="str">
        <f aca="false">IF($C1108="","",ROUND(SUMIFS(应收净额,应收键,$D1108,应收行号,"&lt;="&amp;ROW()),2))</f>
        <v/>
      </c>
      <c r="Y1108" s="29" t="str">
        <f aca="false">IF($C1108="","",ROW())</f>
        <v/>
      </c>
    </row>
    <row r="1109" customFormat="false" ht="15" hidden="false" customHeight="false" outlineLevel="0" collapsed="false">
      <c r="A1109" s="29" t="str">
        <f aca="false">IF($C1109="","",ROW()-4)</f>
        <v/>
      </c>
      <c r="B1109" s="35" t="str">
        <f aca="false">IF($C1109="","","YS"&amp;TEXT($C1109,"yyyymm")&amp;"-"&amp;TEXT(ROW()-4,"0000"))</f>
        <v/>
      </c>
      <c r="C1109" s="33"/>
      <c r="D1109" s="24"/>
      <c r="E1109" s="30" t="str">
        <f aca="false">IF($D1109="","",IFERROR(INDEX(合同单位,MATCH($D1109,合同键,0)),IFERROR(TRIM(LEFT($D1109,FIND("｜",$D1109)-1)),$D1109)))</f>
        <v/>
      </c>
      <c r="F1109" s="30" t="str">
        <f aca="false">IF($D1109="","",IFERROR(INDEX(合同项目,MATCH($D1109,合同键,0)),IFERROR(TRIM(MID($D1109,FIND("｜",$D1109)+1,99)),"")))</f>
        <v/>
      </c>
      <c r="G1109" s="24"/>
      <c r="H1109" s="35" t="str">
        <f aca="false">IF($G1109="","",IFERROR(INDEX(费用款别,MATCH($G1109,费用类别表,0)),"合同外款"))</f>
        <v/>
      </c>
      <c r="I1109" s="33"/>
      <c r="J1109" s="33"/>
      <c r="K1109" s="39"/>
      <c r="L1109" s="33"/>
      <c r="M1109" s="25"/>
      <c r="N1109" s="39"/>
      <c r="O1109" s="35" t="str">
        <f aca="false">IF($C1109="","",IF(N($N1109)&lt;=0,"未开票",IF(ROUND(N($N1109)-N($K1109),2)&gt;=0,"已开票",IFERROR("部分开票 "&amp;TEXT(N($N1109)/N($K1109),"0%"),"部分开票"))))</f>
        <v/>
      </c>
      <c r="P1109" s="40" t="str">
        <f aca="false">IF($C1109="","",ROUND($V1109+MIN($W1109,MAX(0,(SUMIF(收款键,$D1109,收款金额)-SUMIFS(收款金额,收款键,$D1109,收款关联,"&lt;&gt;"))-($X1109-$W1109))),2))</f>
        <v/>
      </c>
      <c r="Q1109" s="41" t="str">
        <f aca="false">IF($C1109="","",ROUND(N($K1109)-N($P1109),2))</f>
        <v/>
      </c>
      <c r="R1109" s="29" t="str">
        <f aca="false">IF($C1109="","",YEAR($C1109))</f>
        <v/>
      </c>
      <c r="S1109" s="24"/>
      <c r="T1109" s="35" t="str">
        <f aca="false">IF($C1109="","",IF($D1109="","★没选客户项目",IF(COUNTIF(合同键,$D1109)=0,"★《维保合同》里没这个项目",IF(N($K1109)&lt;=0,"★应收金额要填",IF(ROUND(N($N1109)-N($K1109),2)&gt;0.001,"★开票金额大于应收",IF(AND($L1109&lt;&gt;"",N($N1109)&lt;=0),"★填了开票日期没填开票金额",IF(AND($I1109&lt;&gt;"",$J1109&lt;&gt;"",$J1109&lt;$I1109),"★计费期间起止反了","OK")))))))</f>
        <v/>
      </c>
      <c r="U1109" s="29" t="str">
        <f aca="false">IF($L1109="","",YEAR($L1109))</f>
        <v/>
      </c>
      <c r="V1109" s="40" t="str">
        <f aca="false">IF($C1109="","",ROUND(SUMIF(收款关联,$B1109,收款金额),2))</f>
        <v/>
      </c>
      <c r="W1109" s="40" t="str">
        <f aca="false">IF($C1109="","",MAX(0,ROUND(N($K1109)-N($V1109),2)))</f>
        <v/>
      </c>
      <c r="X1109" s="40" t="str">
        <f aca="false">IF($C1109="","",ROUND(SUMIFS(应收净额,应收键,$D1109,应收行号,"&lt;="&amp;ROW()),2))</f>
        <v/>
      </c>
      <c r="Y1109" s="29" t="str">
        <f aca="false">IF($C1109="","",ROW())</f>
        <v/>
      </c>
    </row>
    <row r="1110" customFormat="false" ht="15" hidden="false" customHeight="false" outlineLevel="0" collapsed="false">
      <c r="A1110" s="29" t="str">
        <f aca="false">IF($C1110="","",ROW()-4)</f>
        <v/>
      </c>
      <c r="B1110" s="35" t="str">
        <f aca="false">IF($C1110="","","YS"&amp;TEXT($C1110,"yyyymm")&amp;"-"&amp;TEXT(ROW()-4,"0000"))</f>
        <v/>
      </c>
      <c r="C1110" s="33"/>
      <c r="D1110" s="24"/>
      <c r="E1110" s="30" t="str">
        <f aca="false">IF($D1110="","",IFERROR(INDEX(合同单位,MATCH($D1110,合同键,0)),IFERROR(TRIM(LEFT($D1110,FIND("｜",$D1110)-1)),$D1110)))</f>
        <v/>
      </c>
      <c r="F1110" s="30" t="str">
        <f aca="false">IF($D1110="","",IFERROR(INDEX(合同项目,MATCH($D1110,合同键,0)),IFERROR(TRIM(MID($D1110,FIND("｜",$D1110)+1,99)),"")))</f>
        <v/>
      </c>
      <c r="G1110" s="24"/>
      <c r="H1110" s="35" t="str">
        <f aca="false">IF($G1110="","",IFERROR(INDEX(费用款别,MATCH($G1110,费用类别表,0)),"合同外款"))</f>
        <v/>
      </c>
      <c r="I1110" s="33"/>
      <c r="J1110" s="33"/>
      <c r="K1110" s="39"/>
      <c r="L1110" s="33"/>
      <c r="M1110" s="25"/>
      <c r="N1110" s="39"/>
      <c r="O1110" s="35" t="str">
        <f aca="false">IF($C1110="","",IF(N($N1110)&lt;=0,"未开票",IF(ROUND(N($N1110)-N($K1110),2)&gt;=0,"已开票",IFERROR("部分开票 "&amp;TEXT(N($N1110)/N($K1110),"0%"),"部分开票"))))</f>
        <v/>
      </c>
      <c r="P1110" s="40" t="str">
        <f aca="false">IF($C1110="","",ROUND($V1110+MIN($W1110,MAX(0,(SUMIF(收款键,$D1110,收款金额)-SUMIFS(收款金额,收款键,$D1110,收款关联,"&lt;&gt;"))-($X1110-$W1110))),2))</f>
        <v/>
      </c>
      <c r="Q1110" s="41" t="str">
        <f aca="false">IF($C1110="","",ROUND(N($K1110)-N($P1110),2))</f>
        <v/>
      </c>
      <c r="R1110" s="29" t="str">
        <f aca="false">IF($C1110="","",YEAR($C1110))</f>
        <v/>
      </c>
      <c r="S1110" s="24"/>
      <c r="T1110" s="35" t="str">
        <f aca="false">IF($C1110="","",IF($D1110="","★没选客户项目",IF(COUNTIF(合同键,$D1110)=0,"★《维保合同》里没这个项目",IF(N($K1110)&lt;=0,"★应收金额要填",IF(ROUND(N($N1110)-N($K1110),2)&gt;0.001,"★开票金额大于应收",IF(AND($L1110&lt;&gt;"",N($N1110)&lt;=0),"★填了开票日期没填开票金额",IF(AND($I1110&lt;&gt;"",$J1110&lt;&gt;"",$J1110&lt;$I1110),"★计费期间起止反了","OK")))))))</f>
        <v/>
      </c>
      <c r="U1110" s="29" t="str">
        <f aca="false">IF($L1110="","",YEAR($L1110))</f>
        <v/>
      </c>
      <c r="V1110" s="40" t="str">
        <f aca="false">IF($C1110="","",ROUND(SUMIF(收款关联,$B1110,收款金额),2))</f>
        <v/>
      </c>
      <c r="W1110" s="40" t="str">
        <f aca="false">IF($C1110="","",MAX(0,ROUND(N($K1110)-N($V1110),2)))</f>
        <v/>
      </c>
      <c r="X1110" s="40" t="str">
        <f aca="false">IF($C1110="","",ROUND(SUMIFS(应收净额,应收键,$D1110,应收行号,"&lt;="&amp;ROW()),2))</f>
        <v/>
      </c>
      <c r="Y1110" s="29" t="str">
        <f aca="false">IF($C1110="","",ROW())</f>
        <v/>
      </c>
    </row>
    <row r="1111" customFormat="false" ht="15" hidden="false" customHeight="false" outlineLevel="0" collapsed="false">
      <c r="A1111" s="29" t="str">
        <f aca="false">IF($C1111="","",ROW()-4)</f>
        <v/>
      </c>
      <c r="B1111" s="35" t="str">
        <f aca="false">IF($C1111="","","YS"&amp;TEXT($C1111,"yyyymm")&amp;"-"&amp;TEXT(ROW()-4,"0000"))</f>
        <v/>
      </c>
      <c r="C1111" s="33"/>
      <c r="D1111" s="24"/>
      <c r="E1111" s="30" t="str">
        <f aca="false">IF($D1111="","",IFERROR(INDEX(合同单位,MATCH($D1111,合同键,0)),IFERROR(TRIM(LEFT($D1111,FIND("｜",$D1111)-1)),$D1111)))</f>
        <v/>
      </c>
      <c r="F1111" s="30" t="str">
        <f aca="false">IF($D1111="","",IFERROR(INDEX(合同项目,MATCH($D1111,合同键,0)),IFERROR(TRIM(MID($D1111,FIND("｜",$D1111)+1,99)),"")))</f>
        <v/>
      </c>
      <c r="G1111" s="24"/>
      <c r="H1111" s="35" t="str">
        <f aca="false">IF($G1111="","",IFERROR(INDEX(费用款别,MATCH($G1111,费用类别表,0)),"合同外款"))</f>
        <v/>
      </c>
      <c r="I1111" s="33"/>
      <c r="J1111" s="33"/>
      <c r="K1111" s="39"/>
      <c r="L1111" s="33"/>
      <c r="M1111" s="25"/>
      <c r="N1111" s="39"/>
      <c r="O1111" s="35" t="str">
        <f aca="false">IF($C1111="","",IF(N($N1111)&lt;=0,"未开票",IF(ROUND(N($N1111)-N($K1111),2)&gt;=0,"已开票",IFERROR("部分开票 "&amp;TEXT(N($N1111)/N($K1111),"0%"),"部分开票"))))</f>
        <v/>
      </c>
      <c r="P1111" s="40" t="str">
        <f aca="false">IF($C1111="","",ROUND($V1111+MIN($W1111,MAX(0,(SUMIF(收款键,$D1111,收款金额)-SUMIFS(收款金额,收款键,$D1111,收款关联,"&lt;&gt;"))-($X1111-$W1111))),2))</f>
        <v/>
      </c>
      <c r="Q1111" s="41" t="str">
        <f aca="false">IF($C1111="","",ROUND(N($K1111)-N($P1111),2))</f>
        <v/>
      </c>
      <c r="R1111" s="29" t="str">
        <f aca="false">IF($C1111="","",YEAR($C1111))</f>
        <v/>
      </c>
      <c r="S1111" s="24"/>
      <c r="T1111" s="35" t="str">
        <f aca="false">IF($C1111="","",IF($D1111="","★没选客户项目",IF(COUNTIF(合同键,$D1111)=0,"★《维保合同》里没这个项目",IF(N($K1111)&lt;=0,"★应收金额要填",IF(ROUND(N($N1111)-N($K1111),2)&gt;0.001,"★开票金额大于应收",IF(AND($L1111&lt;&gt;"",N($N1111)&lt;=0),"★填了开票日期没填开票金额",IF(AND($I1111&lt;&gt;"",$J1111&lt;&gt;"",$J1111&lt;$I1111),"★计费期间起止反了","OK")))))))</f>
        <v/>
      </c>
      <c r="U1111" s="29" t="str">
        <f aca="false">IF($L1111="","",YEAR($L1111))</f>
        <v/>
      </c>
      <c r="V1111" s="40" t="str">
        <f aca="false">IF($C1111="","",ROUND(SUMIF(收款关联,$B1111,收款金额),2))</f>
        <v/>
      </c>
      <c r="W1111" s="40" t="str">
        <f aca="false">IF($C1111="","",MAX(0,ROUND(N($K1111)-N($V1111),2)))</f>
        <v/>
      </c>
      <c r="X1111" s="40" t="str">
        <f aca="false">IF($C1111="","",ROUND(SUMIFS(应收净额,应收键,$D1111,应收行号,"&lt;="&amp;ROW()),2))</f>
        <v/>
      </c>
      <c r="Y1111" s="29" t="str">
        <f aca="false">IF($C1111="","",ROW())</f>
        <v/>
      </c>
    </row>
    <row r="1112" customFormat="false" ht="15" hidden="false" customHeight="false" outlineLevel="0" collapsed="false">
      <c r="A1112" s="29" t="str">
        <f aca="false">IF($C1112="","",ROW()-4)</f>
        <v/>
      </c>
      <c r="B1112" s="35" t="str">
        <f aca="false">IF($C1112="","","YS"&amp;TEXT($C1112,"yyyymm")&amp;"-"&amp;TEXT(ROW()-4,"0000"))</f>
        <v/>
      </c>
      <c r="C1112" s="33"/>
      <c r="D1112" s="24"/>
      <c r="E1112" s="30" t="str">
        <f aca="false">IF($D1112="","",IFERROR(INDEX(合同单位,MATCH($D1112,合同键,0)),IFERROR(TRIM(LEFT($D1112,FIND("｜",$D1112)-1)),$D1112)))</f>
        <v/>
      </c>
      <c r="F1112" s="30" t="str">
        <f aca="false">IF($D1112="","",IFERROR(INDEX(合同项目,MATCH($D1112,合同键,0)),IFERROR(TRIM(MID($D1112,FIND("｜",$D1112)+1,99)),"")))</f>
        <v/>
      </c>
      <c r="G1112" s="24"/>
      <c r="H1112" s="35" t="str">
        <f aca="false">IF($G1112="","",IFERROR(INDEX(费用款别,MATCH($G1112,费用类别表,0)),"合同外款"))</f>
        <v/>
      </c>
      <c r="I1112" s="33"/>
      <c r="J1112" s="33"/>
      <c r="K1112" s="39"/>
      <c r="L1112" s="33"/>
      <c r="M1112" s="25"/>
      <c r="N1112" s="39"/>
      <c r="O1112" s="35" t="str">
        <f aca="false">IF($C1112="","",IF(N($N1112)&lt;=0,"未开票",IF(ROUND(N($N1112)-N($K1112),2)&gt;=0,"已开票",IFERROR("部分开票 "&amp;TEXT(N($N1112)/N($K1112),"0%"),"部分开票"))))</f>
        <v/>
      </c>
      <c r="P1112" s="40" t="str">
        <f aca="false">IF($C1112="","",ROUND($V1112+MIN($W1112,MAX(0,(SUMIF(收款键,$D1112,收款金额)-SUMIFS(收款金额,收款键,$D1112,收款关联,"&lt;&gt;"))-($X1112-$W1112))),2))</f>
        <v/>
      </c>
      <c r="Q1112" s="41" t="str">
        <f aca="false">IF($C1112="","",ROUND(N($K1112)-N($P1112),2))</f>
        <v/>
      </c>
      <c r="R1112" s="29" t="str">
        <f aca="false">IF($C1112="","",YEAR($C1112))</f>
        <v/>
      </c>
      <c r="S1112" s="24"/>
      <c r="T1112" s="35" t="str">
        <f aca="false">IF($C1112="","",IF($D1112="","★没选客户项目",IF(COUNTIF(合同键,$D1112)=0,"★《维保合同》里没这个项目",IF(N($K1112)&lt;=0,"★应收金额要填",IF(ROUND(N($N1112)-N($K1112),2)&gt;0.001,"★开票金额大于应收",IF(AND($L1112&lt;&gt;"",N($N1112)&lt;=0),"★填了开票日期没填开票金额",IF(AND($I1112&lt;&gt;"",$J1112&lt;&gt;"",$J1112&lt;$I1112),"★计费期间起止反了","OK")))))))</f>
        <v/>
      </c>
      <c r="U1112" s="29" t="str">
        <f aca="false">IF($L1112="","",YEAR($L1112))</f>
        <v/>
      </c>
      <c r="V1112" s="40" t="str">
        <f aca="false">IF($C1112="","",ROUND(SUMIF(收款关联,$B1112,收款金额),2))</f>
        <v/>
      </c>
      <c r="W1112" s="40" t="str">
        <f aca="false">IF($C1112="","",MAX(0,ROUND(N($K1112)-N($V1112),2)))</f>
        <v/>
      </c>
      <c r="X1112" s="40" t="str">
        <f aca="false">IF($C1112="","",ROUND(SUMIFS(应收净额,应收键,$D1112,应收行号,"&lt;="&amp;ROW()),2))</f>
        <v/>
      </c>
      <c r="Y1112" s="29" t="str">
        <f aca="false">IF($C1112="","",ROW())</f>
        <v/>
      </c>
    </row>
    <row r="1113" customFormat="false" ht="15" hidden="false" customHeight="false" outlineLevel="0" collapsed="false">
      <c r="A1113" s="29" t="str">
        <f aca="false">IF($C1113="","",ROW()-4)</f>
        <v/>
      </c>
      <c r="B1113" s="35" t="str">
        <f aca="false">IF($C1113="","","YS"&amp;TEXT($C1113,"yyyymm")&amp;"-"&amp;TEXT(ROW()-4,"0000"))</f>
        <v/>
      </c>
      <c r="C1113" s="33"/>
      <c r="D1113" s="24"/>
      <c r="E1113" s="30" t="str">
        <f aca="false">IF($D1113="","",IFERROR(INDEX(合同单位,MATCH($D1113,合同键,0)),IFERROR(TRIM(LEFT($D1113,FIND("｜",$D1113)-1)),$D1113)))</f>
        <v/>
      </c>
      <c r="F1113" s="30" t="str">
        <f aca="false">IF($D1113="","",IFERROR(INDEX(合同项目,MATCH($D1113,合同键,0)),IFERROR(TRIM(MID($D1113,FIND("｜",$D1113)+1,99)),"")))</f>
        <v/>
      </c>
      <c r="G1113" s="24"/>
      <c r="H1113" s="35" t="str">
        <f aca="false">IF($G1113="","",IFERROR(INDEX(费用款别,MATCH($G1113,费用类别表,0)),"合同外款"))</f>
        <v/>
      </c>
      <c r="I1113" s="33"/>
      <c r="J1113" s="33"/>
      <c r="K1113" s="39"/>
      <c r="L1113" s="33"/>
      <c r="M1113" s="25"/>
      <c r="N1113" s="39"/>
      <c r="O1113" s="35" t="str">
        <f aca="false">IF($C1113="","",IF(N($N1113)&lt;=0,"未开票",IF(ROUND(N($N1113)-N($K1113),2)&gt;=0,"已开票",IFERROR("部分开票 "&amp;TEXT(N($N1113)/N($K1113),"0%"),"部分开票"))))</f>
        <v/>
      </c>
      <c r="P1113" s="40" t="str">
        <f aca="false">IF($C1113="","",ROUND($V1113+MIN($W1113,MAX(0,(SUMIF(收款键,$D1113,收款金额)-SUMIFS(收款金额,收款键,$D1113,收款关联,"&lt;&gt;"))-($X1113-$W1113))),2))</f>
        <v/>
      </c>
      <c r="Q1113" s="41" t="str">
        <f aca="false">IF($C1113="","",ROUND(N($K1113)-N($P1113),2))</f>
        <v/>
      </c>
      <c r="R1113" s="29" t="str">
        <f aca="false">IF($C1113="","",YEAR($C1113))</f>
        <v/>
      </c>
      <c r="S1113" s="24"/>
      <c r="T1113" s="35" t="str">
        <f aca="false">IF($C1113="","",IF($D1113="","★没选客户项目",IF(COUNTIF(合同键,$D1113)=0,"★《维保合同》里没这个项目",IF(N($K1113)&lt;=0,"★应收金额要填",IF(ROUND(N($N1113)-N($K1113),2)&gt;0.001,"★开票金额大于应收",IF(AND($L1113&lt;&gt;"",N($N1113)&lt;=0),"★填了开票日期没填开票金额",IF(AND($I1113&lt;&gt;"",$J1113&lt;&gt;"",$J1113&lt;$I1113),"★计费期间起止反了","OK")))))))</f>
        <v/>
      </c>
      <c r="U1113" s="29" t="str">
        <f aca="false">IF($L1113="","",YEAR($L1113))</f>
        <v/>
      </c>
      <c r="V1113" s="40" t="str">
        <f aca="false">IF($C1113="","",ROUND(SUMIF(收款关联,$B1113,收款金额),2))</f>
        <v/>
      </c>
      <c r="W1113" s="40" t="str">
        <f aca="false">IF($C1113="","",MAX(0,ROUND(N($K1113)-N($V1113),2)))</f>
        <v/>
      </c>
      <c r="X1113" s="40" t="str">
        <f aca="false">IF($C1113="","",ROUND(SUMIFS(应收净额,应收键,$D1113,应收行号,"&lt;="&amp;ROW()),2))</f>
        <v/>
      </c>
      <c r="Y1113" s="29" t="str">
        <f aca="false">IF($C1113="","",ROW())</f>
        <v/>
      </c>
    </row>
    <row r="1114" customFormat="false" ht="15" hidden="false" customHeight="false" outlineLevel="0" collapsed="false">
      <c r="A1114" s="29" t="str">
        <f aca="false">IF($C1114="","",ROW()-4)</f>
        <v/>
      </c>
      <c r="B1114" s="35" t="str">
        <f aca="false">IF($C1114="","","YS"&amp;TEXT($C1114,"yyyymm")&amp;"-"&amp;TEXT(ROW()-4,"0000"))</f>
        <v/>
      </c>
      <c r="C1114" s="33"/>
      <c r="D1114" s="24"/>
      <c r="E1114" s="30" t="str">
        <f aca="false">IF($D1114="","",IFERROR(INDEX(合同单位,MATCH($D1114,合同键,0)),IFERROR(TRIM(LEFT($D1114,FIND("｜",$D1114)-1)),$D1114)))</f>
        <v/>
      </c>
      <c r="F1114" s="30" t="str">
        <f aca="false">IF($D1114="","",IFERROR(INDEX(合同项目,MATCH($D1114,合同键,0)),IFERROR(TRIM(MID($D1114,FIND("｜",$D1114)+1,99)),"")))</f>
        <v/>
      </c>
      <c r="G1114" s="24"/>
      <c r="H1114" s="35" t="str">
        <f aca="false">IF($G1114="","",IFERROR(INDEX(费用款别,MATCH($G1114,费用类别表,0)),"合同外款"))</f>
        <v/>
      </c>
      <c r="I1114" s="33"/>
      <c r="J1114" s="33"/>
      <c r="K1114" s="39"/>
      <c r="L1114" s="33"/>
      <c r="M1114" s="25"/>
      <c r="N1114" s="39"/>
      <c r="O1114" s="35" t="str">
        <f aca="false">IF($C1114="","",IF(N($N1114)&lt;=0,"未开票",IF(ROUND(N($N1114)-N($K1114),2)&gt;=0,"已开票",IFERROR("部分开票 "&amp;TEXT(N($N1114)/N($K1114),"0%"),"部分开票"))))</f>
        <v/>
      </c>
      <c r="P1114" s="40" t="str">
        <f aca="false">IF($C1114="","",ROUND($V1114+MIN($W1114,MAX(0,(SUMIF(收款键,$D1114,收款金额)-SUMIFS(收款金额,收款键,$D1114,收款关联,"&lt;&gt;"))-($X1114-$W1114))),2))</f>
        <v/>
      </c>
      <c r="Q1114" s="41" t="str">
        <f aca="false">IF($C1114="","",ROUND(N($K1114)-N($P1114),2))</f>
        <v/>
      </c>
      <c r="R1114" s="29" t="str">
        <f aca="false">IF($C1114="","",YEAR($C1114))</f>
        <v/>
      </c>
      <c r="S1114" s="24"/>
      <c r="T1114" s="35" t="str">
        <f aca="false">IF($C1114="","",IF($D1114="","★没选客户项目",IF(COUNTIF(合同键,$D1114)=0,"★《维保合同》里没这个项目",IF(N($K1114)&lt;=0,"★应收金额要填",IF(ROUND(N($N1114)-N($K1114),2)&gt;0.001,"★开票金额大于应收",IF(AND($L1114&lt;&gt;"",N($N1114)&lt;=0),"★填了开票日期没填开票金额",IF(AND($I1114&lt;&gt;"",$J1114&lt;&gt;"",$J1114&lt;$I1114),"★计费期间起止反了","OK")))))))</f>
        <v/>
      </c>
      <c r="U1114" s="29" t="str">
        <f aca="false">IF($L1114="","",YEAR($L1114))</f>
        <v/>
      </c>
      <c r="V1114" s="40" t="str">
        <f aca="false">IF($C1114="","",ROUND(SUMIF(收款关联,$B1114,收款金额),2))</f>
        <v/>
      </c>
      <c r="W1114" s="40" t="str">
        <f aca="false">IF($C1114="","",MAX(0,ROUND(N($K1114)-N($V1114),2)))</f>
        <v/>
      </c>
      <c r="X1114" s="40" t="str">
        <f aca="false">IF($C1114="","",ROUND(SUMIFS(应收净额,应收键,$D1114,应收行号,"&lt;="&amp;ROW()),2))</f>
        <v/>
      </c>
      <c r="Y1114" s="29" t="str">
        <f aca="false">IF($C1114="","",ROW())</f>
        <v/>
      </c>
    </row>
    <row r="1115" customFormat="false" ht="15" hidden="false" customHeight="false" outlineLevel="0" collapsed="false">
      <c r="A1115" s="29" t="str">
        <f aca="false">IF($C1115="","",ROW()-4)</f>
        <v/>
      </c>
      <c r="B1115" s="35" t="str">
        <f aca="false">IF($C1115="","","YS"&amp;TEXT($C1115,"yyyymm")&amp;"-"&amp;TEXT(ROW()-4,"0000"))</f>
        <v/>
      </c>
      <c r="C1115" s="33"/>
      <c r="D1115" s="24"/>
      <c r="E1115" s="30" t="str">
        <f aca="false">IF($D1115="","",IFERROR(INDEX(合同单位,MATCH($D1115,合同键,0)),IFERROR(TRIM(LEFT($D1115,FIND("｜",$D1115)-1)),$D1115)))</f>
        <v/>
      </c>
      <c r="F1115" s="30" t="str">
        <f aca="false">IF($D1115="","",IFERROR(INDEX(合同项目,MATCH($D1115,合同键,0)),IFERROR(TRIM(MID($D1115,FIND("｜",$D1115)+1,99)),"")))</f>
        <v/>
      </c>
      <c r="G1115" s="24"/>
      <c r="H1115" s="35" t="str">
        <f aca="false">IF($G1115="","",IFERROR(INDEX(费用款别,MATCH($G1115,费用类别表,0)),"合同外款"))</f>
        <v/>
      </c>
      <c r="I1115" s="33"/>
      <c r="J1115" s="33"/>
      <c r="K1115" s="39"/>
      <c r="L1115" s="33"/>
      <c r="M1115" s="25"/>
      <c r="N1115" s="39"/>
      <c r="O1115" s="35" t="str">
        <f aca="false">IF($C1115="","",IF(N($N1115)&lt;=0,"未开票",IF(ROUND(N($N1115)-N($K1115),2)&gt;=0,"已开票",IFERROR("部分开票 "&amp;TEXT(N($N1115)/N($K1115),"0%"),"部分开票"))))</f>
        <v/>
      </c>
      <c r="P1115" s="40" t="str">
        <f aca="false">IF($C1115="","",ROUND($V1115+MIN($W1115,MAX(0,(SUMIF(收款键,$D1115,收款金额)-SUMIFS(收款金额,收款键,$D1115,收款关联,"&lt;&gt;"))-($X1115-$W1115))),2))</f>
        <v/>
      </c>
      <c r="Q1115" s="41" t="str">
        <f aca="false">IF($C1115="","",ROUND(N($K1115)-N($P1115),2))</f>
        <v/>
      </c>
      <c r="R1115" s="29" t="str">
        <f aca="false">IF($C1115="","",YEAR($C1115))</f>
        <v/>
      </c>
      <c r="S1115" s="24"/>
      <c r="T1115" s="35" t="str">
        <f aca="false">IF($C1115="","",IF($D1115="","★没选客户项目",IF(COUNTIF(合同键,$D1115)=0,"★《维保合同》里没这个项目",IF(N($K1115)&lt;=0,"★应收金额要填",IF(ROUND(N($N1115)-N($K1115),2)&gt;0.001,"★开票金额大于应收",IF(AND($L1115&lt;&gt;"",N($N1115)&lt;=0),"★填了开票日期没填开票金额",IF(AND($I1115&lt;&gt;"",$J1115&lt;&gt;"",$J1115&lt;$I1115),"★计费期间起止反了","OK")))))))</f>
        <v/>
      </c>
      <c r="U1115" s="29" t="str">
        <f aca="false">IF($L1115="","",YEAR($L1115))</f>
        <v/>
      </c>
      <c r="V1115" s="40" t="str">
        <f aca="false">IF($C1115="","",ROUND(SUMIF(收款关联,$B1115,收款金额),2))</f>
        <v/>
      </c>
      <c r="W1115" s="40" t="str">
        <f aca="false">IF($C1115="","",MAX(0,ROUND(N($K1115)-N($V1115),2)))</f>
        <v/>
      </c>
      <c r="X1115" s="40" t="str">
        <f aca="false">IF($C1115="","",ROUND(SUMIFS(应收净额,应收键,$D1115,应收行号,"&lt;="&amp;ROW()),2))</f>
        <v/>
      </c>
      <c r="Y1115" s="29" t="str">
        <f aca="false">IF($C1115="","",ROW())</f>
        <v/>
      </c>
    </row>
    <row r="1116" customFormat="false" ht="15" hidden="false" customHeight="false" outlineLevel="0" collapsed="false">
      <c r="A1116" s="29" t="str">
        <f aca="false">IF($C1116="","",ROW()-4)</f>
        <v/>
      </c>
      <c r="B1116" s="35" t="str">
        <f aca="false">IF($C1116="","","YS"&amp;TEXT($C1116,"yyyymm")&amp;"-"&amp;TEXT(ROW()-4,"0000"))</f>
        <v/>
      </c>
      <c r="C1116" s="33"/>
      <c r="D1116" s="24"/>
      <c r="E1116" s="30" t="str">
        <f aca="false">IF($D1116="","",IFERROR(INDEX(合同单位,MATCH($D1116,合同键,0)),IFERROR(TRIM(LEFT($D1116,FIND("｜",$D1116)-1)),$D1116)))</f>
        <v/>
      </c>
      <c r="F1116" s="30" t="str">
        <f aca="false">IF($D1116="","",IFERROR(INDEX(合同项目,MATCH($D1116,合同键,0)),IFERROR(TRIM(MID($D1116,FIND("｜",$D1116)+1,99)),"")))</f>
        <v/>
      </c>
      <c r="G1116" s="24"/>
      <c r="H1116" s="35" t="str">
        <f aca="false">IF($G1116="","",IFERROR(INDEX(费用款别,MATCH($G1116,费用类别表,0)),"合同外款"))</f>
        <v/>
      </c>
      <c r="I1116" s="33"/>
      <c r="J1116" s="33"/>
      <c r="K1116" s="39"/>
      <c r="L1116" s="33"/>
      <c r="M1116" s="25"/>
      <c r="N1116" s="39"/>
      <c r="O1116" s="35" t="str">
        <f aca="false">IF($C1116="","",IF(N($N1116)&lt;=0,"未开票",IF(ROUND(N($N1116)-N($K1116),2)&gt;=0,"已开票",IFERROR("部分开票 "&amp;TEXT(N($N1116)/N($K1116),"0%"),"部分开票"))))</f>
        <v/>
      </c>
      <c r="P1116" s="40" t="str">
        <f aca="false">IF($C1116="","",ROUND($V1116+MIN($W1116,MAX(0,(SUMIF(收款键,$D1116,收款金额)-SUMIFS(收款金额,收款键,$D1116,收款关联,"&lt;&gt;"))-($X1116-$W1116))),2))</f>
        <v/>
      </c>
      <c r="Q1116" s="41" t="str">
        <f aca="false">IF($C1116="","",ROUND(N($K1116)-N($P1116),2))</f>
        <v/>
      </c>
      <c r="R1116" s="29" t="str">
        <f aca="false">IF($C1116="","",YEAR($C1116))</f>
        <v/>
      </c>
      <c r="S1116" s="24"/>
      <c r="T1116" s="35" t="str">
        <f aca="false">IF($C1116="","",IF($D1116="","★没选客户项目",IF(COUNTIF(合同键,$D1116)=0,"★《维保合同》里没这个项目",IF(N($K1116)&lt;=0,"★应收金额要填",IF(ROUND(N($N1116)-N($K1116),2)&gt;0.001,"★开票金额大于应收",IF(AND($L1116&lt;&gt;"",N($N1116)&lt;=0),"★填了开票日期没填开票金额",IF(AND($I1116&lt;&gt;"",$J1116&lt;&gt;"",$J1116&lt;$I1116),"★计费期间起止反了","OK")))))))</f>
        <v/>
      </c>
      <c r="U1116" s="29" t="str">
        <f aca="false">IF($L1116="","",YEAR($L1116))</f>
        <v/>
      </c>
      <c r="V1116" s="40" t="str">
        <f aca="false">IF($C1116="","",ROUND(SUMIF(收款关联,$B1116,收款金额),2))</f>
        <v/>
      </c>
      <c r="W1116" s="40" t="str">
        <f aca="false">IF($C1116="","",MAX(0,ROUND(N($K1116)-N($V1116),2)))</f>
        <v/>
      </c>
      <c r="X1116" s="40" t="str">
        <f aca="false">IF($C1116="","",ROUND(SUMIFS(应收净额,应收键,$D1116,应收行号,"&lt;="&amp;ROW()),2))</f>
        <v/>
      </c>
      <c r="Y1116" s="29" t="str">
        <f aca="false">IF($C1116="","",ROW())</f>
        <v/>
      </c>
    </row>
    <row r="1117" customFormat="false" ht="15" hidden="false" customHeight="false" outlineLevel="0" collapsed="false">
      <c r="A1117" s="29" t="str">
        <f aca="false">IF($C1117="","",ROW()-4)</f>
        <v/>
      </c>
      <c r="B1117" s="35" t="str">
        <f aca="false">IF($C1117="","","YS"&amp;TEXT($C1117,"yyyymm")&amp;"-"&amp;TEXT(ROW()-4,"0000"))</f>
        <v/>
      </c>
      <c r="C1117" s="33"/>
      <c r="D1117" s="24"/>
      <c r="E1117" s="30" t="str">
        <f aca="false">IF($D1117="","",IFERROR(INDEX(合同单位,MATCH($D1117,合同键,0)),IFERROR(TRIM(LEFT($D1117,FIND("｜",$D1117)-1)),$D1117)))</f>
        <v/>
      </c>
      <c r="F1117" s="30" t="str">
        <f aca="false">IF($D1117="","",IFERROR(INDEX(合同项目,MATCH($D1117,合同键,0)),IFERROR(TRIM(MID($D1117,FIND("｜",$D1117)+1,99)),"")))</f>
        <v/>
      </c>
      <c r="G1117" s="24"/>
      <c r="H1117" s="35" t="str">
        <f aca="false">IF($G1117="","",IFERROR(INDEX(费用款别,MATCH($G1117,费用类别表,0)),"合同外款"))</f>
        <v/>
      </c>
      <c r="I1117" s="33"/>
      <c r="J1117" s="33"/>
      <c r="K1117" s="39"/>
      <c r="L1117" s="33"/>
      <c r="M1117" s="25"/>
      <c r="N1117" s="39"/>
      <c r="O1117" s="35" t="str">
        <f aca="false">IF($C1117="","",IF(N($N1117)&lt;=0,"未开票",IF(ROUND(N($N1117)-N($K1117),2)&gt;=0,"已开票",IFERROR("部分开票 "&amp;TEXT(N($N1117)/N($K1117),"0%"),"部分开票"))))</f>
        <v/>
      </c>
      <c r="P1117" s="40" t="str">
        <f aca="false">IF($C1117="","",ROUND($V1117+MIN($W1117,MAX(0,(SUMIF(收款键,$D1117,收款金额)-SUMIFS(收款金额,收款键,$D1117,收款关联,"&lt;&gt;"))-($X1117-$W1117))),2))</f>
        <v/>
      </c>
      <c r="Q1117" s="41" t="str">
        <f aca="false">IF($C1117="","",ROUND(N($K1117)-N($P1117),2))</f>
        <v/>
      </c>
      <c r="R1117" s="29" t="str">
        <f aca="false">IF($C1117="","",YEAR($C1117))</f>
        <v/>
      </c>
      <c r="S1117" s="24"/>
      <c r="T1117" s="35" t="str">
        <f aca="false">IF($C1117="","",IF($D1117="","★没选客户项目",IF(COUNTIF(合同键,$D1117)=0,"★《维保合同》里没这个项目",IF(N($K1117)&lt;=0,"★应收金额要填",IF(ROUND(N($N1117)-N($K1117),2)&gt;0.001,"★开票金额大于应收",IF(AND($L1117&lt;&gt;"",N($N1117)&lt;=0),"★填了开票日期没填开票金额",IF(AND($I1117&lt;&gt;"",$J1117&lt;&gt;"",$J1117&lt;$I1117),"★计费期间起止反了","OK")))))))</f>
        <v/>
      </c>
      <c r="U1117" s="29" t="str">
        <f aca="false">IF($L1117="","",YEAR($L1117))</f>
        <v/>
      </c>
      <c r="V1117" s="40" t="str">
        <f aca="false">IF($C1117="","",ROUND(SUMIF(收款关联,$B1117,收款金额),2))</f>
        <v/>
      </c>
      <c r="W1117" s="40" t="str">
        <f aca="false">IF($C1117="","",MAX(0,ROUND(N($K1117)-N($V1117),2)))</f>
        <v/>
      </c>
      <c r="X1117" s="40" t="str">
        <f aca="false">IF($C1117="","",ROUND(SUMIFS(应收净额,应收键,$D1117,应收行号,"&lt;="&amp;ROW()),2))</f>
        <v/>
      </c>
      <c r="Y1117" s="29" t="str">
        <f aca="false">IF($C1117="","",ROW())</f>
        <v/>
      </c>
    </row>
    <row r="1118" customFormat="false" ht="15" hidden="false" customHeight="false" outlineLevel="0" collapsed="false">
      <c r="A1118" s="29" t="str">
        <f aca="false">IF($C1118="","",ROW()-4)</f>
        <v/>
      </c>
      <c r="B1118" s="35" t="str">
        <f aca="false">IF($C1118="","","YS"&amp;TEXT($C1118,"yyyymm")&amp;"-"&amp;TEXT(ROW()-4,"0000"))</f>
        <v/>
      </c>
      <c r="C1118" s="33"/>
      <c r="D1118" s="24"/>
      <c r="E1118" s="30" t="str">
        <f aca="false">IF($D1118="","",IFERROR(INDEX(合同单位,MATCH($D1118,合同键,0)),IFERROR(TRIM(LEFT($D1118,FIND("｜",$D1118)-1)),$D1118)))</f>
        <v/>
      </c>
      <c r="F1118" s="30" t="str">
        <f aca="false">IF($D1118="","",IFERROR(INDEX(合同项目,MATCH($D1118,合同键,0)),IFERROR(TRIM(MID($D1118,FIND("｜",$D1118)+1,99)),"")))</f>
        <v/>
      </c>
      <c r="G1118" s="24"/>
      <c r="H1118" s="35" t="str">
        <f aca="false">IF($G1118="","",IFERROR(INDEX(费用款别,MATCH($G1118,费用类别表,0)),"合同外款"))</f>
        <v/>
      </c>
      <c r="I1118" s="33"/>
      <c r="J1118" s="33"/>
      <c r="K1118" s="39"/>
      <c r="L1118" s="33"/>
      <c r="M1118" s="25"/>
      <c r="N1118" s="39"/>
      <c r="O1118" s="35" t="str">
        <f aca="false">IF($C1118="","",IF(N($N1118)&lt;=0,"未开票",IF(ROUND(N($N1118)-N($K1118),2)&gt;=0,"已开票",IFERROR("部分开票 "&amp;TEXT(N($N1118)/N($K1118),"0%"),"部分开票"))))</f>
        <v/>
      </c>
      <c r="P1118" s="40" t="str">
        <f aca="false">IF($C1118="","",ROUND($V1118+MIN($W1118,MAX(0,(SUMIF(收款键,$D1118,收款金额)-SUMIFS(收款金额,收款键,$D1118,收款关联,"&lt;&gt;"))-($X1118-$W1118))),2))</f>
        <v/>
      </c>
      <c r="Q1118" s="41" t="str">
        <f aca="false">IF($C1118="","",ROUND(N($K1118)-N($P1118),2))</f>
        <v/>
      </c>
      <c r="R1118" s="29" t="str">
        <f aca="false">IF($C1118="","",YEAR($C1118))</f>
        <v/>
      </c>
      <c r="S1118" s="24"/>
      <c r="T1118" s="35" t="str">
        <f aca="false">IF($C1118="","",IF($D1118="","★没选客户项目",IF(COUNTIF(合同键,$D1118)=0,"★《维保合同》里没这个项目",IF(N($K1118)&lt;=0,"★应收金额要填",IF(ROUND(N($N1118)-N($K1118),2)&gt;0.001,"★开票金额大于应收",IF(AND($L1118&lt;&gt;"",N($N1118)&lt;=0),"★填了开票日期没填开票金额",IF(AND($I1118&lt;&gt;"",$J1118&lt;&gt;"",$J1118&lt;$I1118),"★计费期间起止反了","OK")))))))</f>
        <v/>
      </c>
      <c r="U1118" s="29" t="str">
        <f aca="false">IF($L1118="","",YEAR($L1118))</f>
        <v/>
      </c>
      <c r="V1118" s="40" t="str">
        <f aca="false">IF($C1118="","",ROUND(SUMIF(收款关联,$B1118,收款金额),2))</f>
        <v/>
      </c>
      <c r="W1118" s="40" t="str">
        <f aca="false">IF($C1118="","",MAX(0,ROUND(N($K1118)-N($V1118),2)))</f>
        <v/>
      </c>
      <c r="X1118" s="40" t="str">
        <f aca="false">IF($C1118="","",ROUND(SUMIFS(应收净额,应收键,$D1118,应收行号,"&lt;="&amp;ROW()),2))</f>
        <v/>
      </c>
      <c r="Y1118" s="29" t="str">
        <f aca="false">IF($C1118="","",ROW())</f>
        <v/>
      </c>
    </row>
    <row r="1119" customFormat="false" ht="15" hidden="false" customHeight="false" outlineLevel="0" collapsed="false">
      <c r="A1119" s="29" t="str">
        <f aca="false">IF($C1119="","",ROW()-4)</f>
        <v/>
      </c>
      <c r="B1119" s="35" t="str">
        <f aca="false">IF($C1119="","","YS"&amp;TEXT($C1119,"yyyymm")&amp;"-"&amp;TEXT(ROW()-4,"0000"))</f>
        <v/>
      </c>
      <c r="C1119" s="33"/>
      <c r="D1119" s="24"/>
      <c r="E1119" s="30" t="str">
        <f aca="false">IF($D1119="","",IFERROR(INDEX(合同单位,MATCH($D1119,合同键,0)),IFERROR(TRIM(LEFT($D1119,FIND("｜",$D1119)-1)),$D1119)))</f>
        <v/>
      </c>
      <c r="F1119" s="30" t="str">
        <f aca="false">IF($D1119="","",IFERROR(INDEX(合同项目,MATCH($D1119,合同键,0)),IFERROR(TRIM(MID($D1119,FIND("｜",$D1119)+1,99)),"")))</f>
        <v/>
      </c>
      <c r="G1119" s="24"/>
      <c r="H1119" s="35" t="str">
        <f aca="false">IF($G1119="","",IFERROR(INDEX(费用款别,MATCH($G1119,费用类别表,0)),"合同外款"))</f>
        <v/>
      </c>
      <c r="I1119" s="33"/>
      <c r="J1119" s="33"/>
      <c r="K1119" s="39"/>
      <c r="L1119" s="33"/>
      <c r="M1119" s="25"/>
      <c r="N1119" s="39"/>
      <c r="O1119" s="35" t="str">
        <f aca="false">IF($C1119="","",IF(N($N1119)&lt;=0,"未开票",IF(ROUND(N($N1119)-N($K1119),2)&gt;=0,"已开票",IFERROR("部分开票 "&amp;TEXT(N($N1119)/N($K1119),"0%"),"部分开票"))))</f>
        <v/>
      </c>
      <c r="P1119" s="40" t="str">
        <f aca="false">IF($C1119="","",ROUND($V1119+MIN($W1119,MAX(0,(SUMIF(收款键,$D1119,收款金额)-SUMIFS(收款金额,收款键,$D1119,收款关联,"&lt;&gt;"))-($X1119-$W1119))),2))</f>
        <v/>
      </c>
      <c r="Q1119" s="41" t="str">
        <f aca="false">IF($C1119="","",ROUND(N($K1119)-N($P1119),2))</f>
        <v/>
      </c>
      <c r="R1119" s="29" t="str">
        <f aca="false">IF($C1119="","",YEAR($C1119))</f>
        <v/>
      </c>
      <c r="S1119" s="24"/>
      <c r="T1119" s="35" t="str">
        <f aca="false">IF($C1119="","",IF($D1119="","★没选客户项目",IF(COUNTIF(合同键,$D1119)=0,"★《维保合同》里没这个项目",IF(N($K1119)&lt;=0,"★应收金额要填",IF(ROUND(N($N1119)-N($K1119),2)&gt;0.001,"★开票金额大于应收",IF(AND($L1119&lt;&gt;"",N($N1119)&lt;=0),"★填了开票日期没填开票金额",IF(AND($I1119&lt;&gt;"",$J1119&lt;&gt;"",$J1119&lt;$I1119),"★计费期间起止反了","OK")))))))</f>
        <v/>
      </c>
      <c r="U1119" s="29" t="str">
        <f aca="false">IF($L1119="","",YEAR($L1119))</f>
        <v/>
      </c>
      <c r="V1119" s="40" t="str">
        <f aca="false">IF($C1119="","",ROUND(SUMIF(收款关联,$B1119,收款金额),2))</f>
        <v/>
      </c>
      <c r="W1119" s="40" t="str">
        <f aca="false">IF($C1119="","",MAX(0,ROUND(N($K1119)-N($V1119),2)))</f>
        <v/>
      </c>
      <c r="X1119" s="40" t="str">
        <f aca="false">IF($C1119="","",ROUND(SUMIFS(应收净额,应收键,$D1119,应收行号,"&lt;="&amp;ROW()),2))</f>
        <v/>
      </c>
      <c r="Y1119" s="29" t="str">
        <f aca="false">IF($C1119="","",ROW())</f>
        <v/>
      </c>
    </row>
    <row r="1120" customFormat="false" ht="15" hidden="false" customHeight="false" outlineLevel="0" collapsed="false">
      <c r="A1120" s="29" t="str">
        <f aca="false">IF($C1120="","",ROW()-4)</f>
        <v/>
      </c>
      <c r="B1120" s="35" t="str">
        <f aca="false">IF($C1120="","","YS"&amp;TEXT($C1120,"yyyymm")&amp;"-"&amp;TEXT(ROW()-4,"0000"))</f>
        <v/>
      </c>
      <c r="C1120" s="33"/>
      <c r="D1120" s="24"/>
      <c r="E1120" s="30" t="str">
        <f aca="false">IF($D1120="","",IFERROR(INDEX(合同单位,MATCH($D1120,合同键,0)),IFERROR(TRIM(LEFT($D1120,FIND("｜",$D1120)-1)),$D1120)))</f>
        <v/>
      </c>
      <c r="F1120" s="30" t="str">
        <f aca="false">IF($D1120="","",IFERROR(INDEX(合同项目,MATCH($D1120,合同键,0)),IFERROR(TRIM(MID($D1120,FIND("｜",$D1120)+1,99)),"")))</f>
        <v/>
      </c>
      <c r="G1120" s="24"/>
      <c r="H1120" s="35" t="str">
        <f aca="false">IF($G1120="","",IFERROR(INDEX(费用款别,MATCH($G1120,费用类别表,0)),"合同外款"))</f>
        <v/>
      </c>
      <c r="I1120" s="33"/>
      <c r="J1120" s="33"/>
      <c r="K1120" s="39"/>
      <c r="L1120" s="33"/>
      <c r="M1120" s="25"/>
      <c r="N1120" s="39"/>
      <c r="O1120" s="35" t="str">
        <f aca="false">IF($C1120="","",IF(N($N1120)&lt;=0,"未开票",IF(ROUND(N($N1120)-N($K1120),2)&gt;=0,"已开票",IFERROR("部分开票 "&amp;TEXT(N($N1120)/N($K1120),"0%"),"部分开票"))))</f>
        <v/>
      </c>
      <c r="P1120" s="40" t="str">
        <f aca="false">IF($C1120="","",ROUND($V1120+MIN($W1120,MAX(0,(SUMIF(收款键,$D1120,收款金额)-SUMIFS(收款金额,收款键,$D1120,收款关联,"&lt;&gt;"))-($X1120-$W1120))),2))</f>
        <v/>
      </c>
      <c r="Q1120" s="41" t="str">
        <f aca="false">IF($C1120="","",ROUND(N($K1120)-N($P1120),2))</f>
        <v/>
      </c>
      <c r="R1120" s="29" t="str">
        <f aca="false">IF($C1120="","",YEAR($C1120))</f>
        <v/>
      </c>
      <c r="S1120" s="24"/>
      <c r="T1120" s="35" t="str">
        <f aca="false">IF($C1120="","",IF($D1120="","★没选客户项目",IF(COUNTIF(合同键,$D1120)=0,"★《维保合同》里没这个项目",IF(N($K1120)&lt;=0,"★应收金额要填",IF(ROUND(N($N1120)-N($K1120),2)&gt;0.001,"★开票金额大于应收",IF(AND($L1120&lt;&gt;"",N($N1120)&lt;=0),"★填了开票日期没填开票金额",IF(AND($I1120&lt;&gt;"",$J1120&lt;&gt;"",$J1120&lt;$I1120),"★计费期间起止反了","OK")))))))</f>
        <v/>
      </c>
      <c r="U1120" s="29" t="str">
        <f aca="false">IF($L1120="","",YEAR($L1120))</f>
        <v/>
      </c>
      <c r="V1120" s="40" t="str">
        <f aca="false">IF($C1120="","",ROUND(SUMIF(收款关联,$B1120,收款金额),2))</f>
        <v/>
      </c>
      <c r="W1120" s="40" t="str">
        <f aca="false">IF($C1120="","",MAX(0,ROUND(N($K1120)-N($V1120),2)))</f>
        <v/>
      </c>
      <c r="X1120" s="40" t="str">
        <f aca="false">IF($C1120="","",ROUND(SUMIFS(应收净额,应收键,$D1120,应收行号,"&lt;="&amp;ROW()),2))</f>
        <v/>
      </c>
      <c r="Y1120" s="29" t="str">
        <f aca="false">IF($C1120="","",ROW())</f>
        <v/>
      </c>
    </row>
    <row r="1121" customFormat="false" ht="15" hidden="false" customHeight="false" outlineLevel="0" collapsed="false">
      <c r="A1121" s="29" t="str">
        <f aca="false">IF($C1121="","",ROW()-4)</f>
        <v/>
      </c>
      <c r="B1121" s="35" t="str">
        <f aca="false">IF($C1121="","","YS"&amp;TEXT($C1121,"yyyymm")&amp;"-"&amp;TEXT(ROW()-4,"0000"))</f>
        <v/>
      </c>
      <c r="C1121" s="33"/>
      <c r="D1121" s="24"/>
      <c r="E1121" s="30" t="str">
        <f aca="false">IF($D1121="","",IFERROR(INDEX(合同单位,MATCH($D1121,合同键,0)),IFERROR(TRIM(LEFT($D1121,FIND("｜",$D1121)-1)),$D1121)))</f>
        <v/>
      </c>
      <c r="F1121" s="30" t="str">
        <f aca="false">IF($D1121="","",IFERROR(INDEX(合同项目,MATCH($D1121,合同键,0)),IFERROR(TRIM(MID($D1121,FIND("｜",$D1121)+1,99)),"")))</f>
        <v/>
      </c>
      <c r="G1121" s="24"/>
      <c r="H1121" s="35" t="str">
        <f aca="false">IF($G1121="","",IFERROR(INDEX(费用款别,MATCH($G1121,费用类别表,0)),"合同外款"))</f>
        <v/>
      </c>
      <c r="I1121" s="33"/>
      <c r="J1121" s="33"/>
      <c r="K1121" s="39"/>
      <c r="L1121" s="33"/>
      <c r="M1121" s="25"/>
      <c r="N1121" s="39"/>
      <c r="O1121" s="35" t="str">
        <f aca="false">IF($C1121="","",IF(N($N1121)&lt;=0,"未开票",IF(ROUND(N($N1121)-N($K1121),2)&gt;=0,"已开票",IFERROR("部分开票 "&amp;TEXT(N($N1121)/N($K1121),"0%"),"部分开票"))))</f>
        <v/>
      </c>
      <c r="P1121" s="40" t="str">
        <f aca="false">IF($C1121="","",ROUND($V1121+MIN($W1121,MAX(0,(SUMIF(收款键,$D1121,收款金额)-SUMIFS(收款金额,收款键,$D1121,收款关联,"&lt;&gt;"))-($X1121-$W1121))),2))</f>
        <v/>
      </c>
      <c r="Q1121" s="41" t="str">
        <f aca="false">IF($C1121="","",ROUND(N($K1121)-N($P1121),2))</f>
        <v/>
      </c>
      <c r="R1121" s="29" t="str">
        <f aca="false">IF($C1121="","",YEAR($C1121))</f>
        <v/>
      </c>
      <c r="S1121" s="24"/>
      <c r="T1121" s="35" t="str">
        <f aca="false">IF($C1121="","",IF($D1121="","★没选客户项目",IF(COUNTIF(合同键,$D1121)=0,"★《维保合同》里没这个项目",IF(N($K1121)&lt;=0,"★应收金额要填",IF(ROUND(N($N1121)-N($K1121),2)&gt;0.001,"★开票金额大于应收",IF(AND($L1121&lt;&gt;"",N($N1121)&lt;=0),"★填了开票日期没填开票金额",IF(AND($I1121&lt;&gt;"",$J1121&lt;&gt;"",$J1121&lt;$I1121),"★计费期间起止反了","OK")))))))</f>
        <v/>
      </c>
      <c r="U1121" s="29" t="str">
        <f aca="false">IF($L1121="","",YEAR($L1121))</f>
        <v/>
      </c>
      <c r="V1121" s="40" t="str">
        <f aca="false">IF($C1121="","",ROUND(SUMIF(收款关联,$B1121,收款金额),2))</f>
        <v/>
      </c>
      <c r="W1121" s="40" t="str">
        <f aca="false">IF($C1121="","",MAX(0,ROUND(N($K1121)-N($V1121),2)))</f>
        <v/>
      </c>
      <c r="X1121" s="40" t="str">
        <f aca="false">IF($C1121="","",ROUND(SUMIFS(应收净额,应收键,$D1121,应收行号,"&lt;="&amp;ROW()),2))</f>
        <v/>
      </c>
      <c r="Y1121" s="29" t="str">
        <f aca="false">IF($C1121="","",ROW())</f>
        <v/>
      </c>
    </row>
    <row r="1122" customFormat="false" ht="15" hidden="false" customHeight="false" outlineLevel="0" collapsed="false">
      <c r="A1122" s="29" t="str">
        <f aca="false">IF($C1122="","",ROW()-4)</f>
        <v/>
      </c>
      <c r="B1122" s="35" t="str">
        <f aca="false">IF($C1122="","","YS"&amp;TEXT($C1122,"yyyymm")&amp;"-"&amp;TEXT(ROW()-4,"0000"))</f>
        <v/>
      </c>
      <c r="C1122" s="33"/>
      <c r="D1122" s="24"/>
      <c r="E1122" s="30" t="str">
        <f aca="false">IF($D1122="","",IFERROR(INDEX(合同单位,MATCH($D1122,合同键,0)),IFERROR(TRIM(LEFT($D1122,FIND("｜",$D1122)-1)),$D1122)))</f>
        <v/>
      </c>
      <c r="F1122" s="30" t="str">
        <f aca="false">IF($D1122="","",IFERROR(INDEX(合同项目,MATCH($D1122,合同键,0)),IFERROR(TRIM(MID($D1122,FIND("｜",$D1122)+1,99)),"")))</f>
        <v/>
      </c>
      <c r="G1122" s="24"/>
      <c r="H1122" s="35" t="str">
        <f aca="false">IF($G1122="","",IFERROR(INDEX(费用款别,MATCH($G1122,费用类别表,0)),"合同外款"))</f>
        <v/>
      </c>
      <c r="I1122" s="33"/>
      <c r="J1122" s="33"/>
      <c r="K1122" s="39"/>
      <c r="L1122" s="33"/>
      <c r="M1122" s="25"/>
      <c r="N1122" s="39"/>
      <c r="O1122" s="35" t="str">
        <f aca="false">IF($C1122="","",IF(N($N1122)&lt;=0,"未开票",IF(ROUND(N($N1122)-N($K1122),2)&gt;=0,"已开票",IFERROR("部分开票 "&amp;TEXT(N($N1122)/N($K1122),"0%"),"部分开票"))))</f>
        <v/>
      </c>
      <c r="P1122" s="40" t="str">
        <f aca="false">IF($C1122="","",ROUND($V1122+MIN($W1122,MAX(0,(SUMIF(收款键,$D1122,收款金额)-SUMIFS(收款金额,收款键,$D1122,收款关联,"&lt;&gt;"))-($X1122-$W1122))),2))</f>
        <v/>
      </c>
      <c r="Q1122" s="41" t="str">
        <f aca="false">IF($C1122="","",ROUND(N($K1122)-N($P1122),2))</f>
        <v/>
      </c>
      <c r="R1122" s="29" t="str">
        <f aca="false">IF($C1122="","",YEAR($C1122))</f>
        <v/>
      </c>
      <c r="S1122" s="24"/>
      <c r="T1122" s="35" t="str">
        <f aca="false">IF($C1122="","",IF($D1122="","★没选客户项目",IF(COUNTIF(合同键,$D1122)=0,"★《维保合同》里没这个项目",IF(N($K1122)&lt;=0,"★应收金额要填",IF(ROUND(N($N1122)-N($K1122),2)&gt;0.001,"★开票金额大于应收",IF(AND($L1122&lt;&gt;"",N($N1122)&lt;=0),"★填了开票日期没填开票金额",IF(AND($I1122&lt;&gt;"",$J1122&lt;&gt;"",$J1122&lt;$I1122),"★计费期间起止反了","OK")))))))</f>
        <v/>
      </c>
      <c r="U1122" s="29" t="str">
        <f aca="false">IF($L1122="","",YEAR($L1122))</f>
        <v/>
      </c>
      <c r="V1122" s="40" t="str">
        <f aca="false">IF($C1122="","",ROUND(SUMIF(收款关联,$B1122,收款金额),2))</f>
        <v/>
      </c>
      <c r="W1122" s="40" t="str">
        <f aca="false">IF($C1122="","",MAX(0,ROUND(N($K1122)-N($V1122),2)))</f>
        <v/>
      </c>
      <c r="X1122" s="40" t="str">
        <f aca="false">IF($C1122="","",ROUND(SUMIFS(应收净额,应收键,$D1122,应收行号,"&lt;="&amp;ROW()),2))</f>
        <v/>
      </c>
      <c r="Y1122" s="29" t="str">
        <f aca="false">IF($C1122="","",ROW())</f>
        <v/>
      </c>
    </row>
    <row r="1123" customFormat="false" ht="15" hidden="false" customHeight="false" outlineLevel="0" collapsed="false">
      <c r="A1123" s="29" t="str">
        <f aca="false">IF($C1123="","",ROW()-4)</f>
        <v/>
      </c>
      <c r="B1123" s="35" t="str">
        <f aca="false">IF($C1123="","","YS"&amp;TEXT($C1123,"yyyymm")&amp;"-"&amp;TEXT(ROW()-4,"0000"))</f>
        <v/>
      </c>
      <c r="C1123" s="33"/>
      <c r="D1123" s="24"/>
      <c r="E1123" s="30" t="str">
        <f aca="false">IF($D1123="","",IFERROR(INDEX(合同单位,MATCH($D1123,合同键,0)),IFERROR(TRIM(LEFT($D1123,FIND("｜",$D1123)-1)),$D1123)))</f>
        <v/>
      </c>
      <c r="F1123" s="30" t="str">
        <f aca="false">IF($D1123="","",IFERROR(INDEX(合同项目,MATCH($D1123,合同键,0)),IFERROR(TRIM(MID($D1123,FIND("｜",$D1123)+1,99)),"")))</f>
        <v/>
      </c>
      <c r="G1123" s="24"/>
      <c r="H1123" s="35" t="str">
        <f aca="false">IF($G1123="","",IFERROR(INDEX(费用款别,MATCH($G1123,费用类别表,0)),"合同外款"))</f>
        <v/>
      </c>
      <c r="I1123" s="33"/>
      <c r="J1123" s="33"/>
      <c r="K1123" s="39"/>
      <c r="L1123" s="33"/>
      <c r="M1123" s="25"/>
      <c r="N1123" s="39"/>
      <c r="O1123" s="35" t="str">
        <f aca="false">IF($C1123="","",IF(N($N1123)&lt;=0,"未开票",IF(ROUND(N($N1123)-N($K1123),2)&gt;=0,"已开票",IFERROR("部分开票 "&amp;TEXT(N($N1123)/N($K1123),"0%"),"部分开票"))))</f>
        <v/>
      </c>
      <c r="P1123" s="40" t="str">
        <f aca="false">IF($C1123="","",ROUND($V1123+MIN($W1123,MAX(0,(SUMIF(收款键,$D1123,收款金额)-SUMIFS(收款金额,收款键,$D1123,收款关联,"&lt;&gt;"))-($X1123-$W1123))),2))</f>
        <v/>
      </c>
      <c r="Q1123" s="41" t="str">
        <f aca="false">IF($C1123="","",ROUND(N($K1123)-N($P1123),2))</f>
        <v/>
      </c>
      <c r="R1123" s="29" t="str">
        <f aca="false">IF($C1123="","",YEAR($C1123))</f>
        <v/>
      </c>
      <c r="S1123" s="24"/>
      <c r="T1123" s="35" t="str">
        <f aca="false">IF($C1123="","",IF($D1123="","★没选客户项目",IF(COUNTIF(合同键,$D1123)=0,"★《维保合同》里没这个项目",IF(N($K1123)&lt;=0,"★应收金额要填",IF(ROUND(N($N1123)-N($K1123),2)&gt;0.001,"★开票金额大于应收",IF(AND($L1123&lt;&gt;"",N($N1123)&lt;=0),"★填了开票日期没填开票金额",IF(AND($I1123&lt;&gt;"",$J1123&lt;&gt;"",$J1123&lt;$I1123),"★计费期间起止反了","OK")))))))</f>
        <v/>
      </c>
      <c r="U1123" s="29" t="str">
        <f aca="false">IF($L1123="","",YEAR($L1123))</f>
        <v/>
      </c>
      <c r="V1123" s="40" t="str">
        <f aca="false">IF($C1123="","",ROUND(SUMIF(收款关联,$B1123,收款金额),2))</f>
        <v/>
      </c>
      <c r="W1123" s="40" t="str">
        <f aca="false">IF($C1123="","",MAX(0,ROUND(N($K1123)-N($V1123),2)))</f>
        <v/>
      </c>
      <c r="X1123" s="40" t="str">
        <f aca="false">IF($C1123="","",ROUND(SUMIFS(应收净额,应收键,$D1123,应收行号,"&lt;="&amp;ROW()),2))</f>
        <v/>
      </c>
      <c r="Y1123" s="29" t="str">
        <f aca="false">IF($C1123="","",ROW())</f>
        <v/>
      </c>
    </row>
    <row r="1124" customFormat="false" ht="15" hidden="false" customHeight="false" outlineLevel="0" collapsed="false">
      <c r="A1124" s="29" t="str">
        <f aca="false">IF($C1124="","",ROW()-4)</f>
        <v/>
      </c>
      <c r="B1124" s="35" t="str">
        <f aca="false">IF($C1124="","","YS"&amp;TEXT($C1124,"yyyymm")&amp;"-"&amp;TEXT(ROW()-4,"0000"))</f>
        <v/>
      </c>
      <c r="C1124" s="33"/>
      <c r="D1124" s="24"/>
      <c r="E1124" s="30" t="str">
        <f aca="false">IF($D1124="","",IFERROR(INDEX(合同单位,MATCH($D1124,合同键,0)),IFERROR(TRIM(LEFT($D1124,FIND("｜",$D1124)-1)),$D1124)))</f>
        <v/>
      </c>
      <c r="F1124" s="30" t="str">
        <f aca="false">IF($D1124="","",IFERROR(INDEX(合同项目,MATCH($D1124,合同键,0)),IFERROR(TRIM(MID($D1124,FIND("｜",$D1124)+1,99)),"")))</f>
        <v/>
      </c>
      <c r="G1124" s="24"/>
      <c r="H1124" s="35" t="str">
        <f aca="false">IF($G1124="","",IFERROR(INDEX(费用款别,MATCH($G1124,费用类别表,0)),"合同外款"))</f>
        <v/>
      </c>
      <c r="I1124" s="33"/>
      <c r="J1124" s="33"/>
      <c r="K1124" s="39"/>
      <c r="L1124" s="33"/>
      <c r="M1124" s="25"/>
      <c r="N1124" s="39"/>
      <c r="O1124" s="35" t="str">
        <f aca="false">IF($C1124="","",IF(N($N1124)&lt;=0,"未开票",IF(ROUND(N($N1124)-N($K1124),2)&gt;=0,"已开票",IFERROR("部分开票 "&amp;TEXT(N($N1124)/N($K1124),"0%"),"部分开票"))))</f>
        <v/>
      </c>
      <c r="P1124" s="40" t="str">
        <f aca="false">IF($C1124="","",ROUND($V1124+MIN($W1124,MAX(0,(SUMIF(收款键,$D1124,收款金额)-SUMIFS(收款金额,收款键,$D1124,收款关联,"&lt;&gt;"))-($X1124-$W1124))),2))</f>
        <v/>
      </c>
      <c r="Q1124" s="41" t="str">
        <f aca="false">IF($C1124="","",ROUND(N($K1124)-N($P1124),2))</f>
        <v/>
      </c>
      <c r="R1124" s="29" t="str">
        <f aca="false">IF($C1124="","",YEAR($C1124))</f>
        <v/>
      </c>
      <c r="S1124" s="24"/>
      <c r="T1124" s="35" t="str">
        <f aca="false">IF($C1124="","",IF($D1124="","★没选客户项目",IF(COUNTIF(合同键,$D1124)=0,"★《维保合同》里没这个项目",IF(N($K1124)&lt;=0,"★应收金额要填",IF(ROUND(N($N1124)-N($K1124),2)&gt;0.001,"★开票金额大于应收",IF(AND($L1124&lt;&gt;"",N($N1124)&lt;=0),"★填了开票日期没填开票金额",IF(AND($I1124&lt;&gt;"",$J1124&lt;&gt;"",$J1124&lt;$I1124),"★计费期间起止反了","OK")))))))</f>
        <v/>
      </c>
      <c r="U1124" s="29" t="str">
        <f aca="false">IF($L1124="","",YEAR($L1124))</f>
        <v/>
      </c>
      <c r="V1124" s="40" t="str">
        <f aca="false">IF($C1124="","",ROUND(SUMIF(收款关联,$B1124,收款金额),2))</f>
        <v/>
      </c>
      <c r="W1124" s="40" t="str">
        <f aca="false">IF($C1124="","",MAX(0,ROUND(N($K1124)-N($V1124),2)))</f>
        <v/>
      </c>
      <c r="X1124" s="40" t="str">
        <f aca="false">IF($C1124="","",ROUND(SUMIFS(应收净额,应收键,$D1124,应收行号,"&lt;="&amp;ROW()),2))</f>
        <v/>
      </c>
      <c r="Y1124" s="29" t="str">
        <f aca="false">IF($C1124="","",ROW())</f>
        <v/>
      </c>
    </row>
    <row r="1125" customFormat="false" ht="15" hidden="false" customHeight="false" outlineLevel="0" collapsed="false">
      <c r="A1125" s="29" t="str">
        <f aca="false">IF($C1125="","",ROW()-4)</f>
        <v/>
      </c>
      <c r="B1125" s="35" t="str">
        <f aca="false">IF($C1125="","","YS"&amp;TEXT($C1125,"yyyymm")&amp;"-"&amp;TEXT(ROW()-4,"0000"))</f>
        <v/>
      </c>
      <c r="C1125" s="33"/>
      <c r="D1125" s="24"/>
      <c r="E1125" s="30" t="str">
        <f aca="false">IF($D1125="","",IFERROR(INDEX(合同单位,MATCH($D1125,合同键,0)),IFERROR(TRIM(LEFT($D1125,FIND("｜",$D1125)-1)),$D1125)))</f>
        <v/>
      </c>
      <c r="F1125" s="30" t="str">
        <f aca="false">IF($D1125="","",IFERROR(INDEX(合同项目,MATCH($D1125,合同键,0)),IFERROR(TRIM(MID($D1125,FIND("｜",$D1125)+1,99)),"")))</f>
        <v/>
      </c>
      <c r="G1125" s="24"/>
      <c r="H1125" s="35" t="str">
        <f aca="false">IF($G1125="","",IFERROR(INDEX(费用款别,MATCH($G1125,费用类别表,0)),"合同外款"))</f>
        <v/>
      </c>
      <c r="I1125" s="33"/>
      <c r="J1125" s="33"/>
      <c r="K1125" s="39"/>
      <c r="L1125" s="33"/>
      <c r="M1125" s="25"/>
      <c r="N1125" s="39"/>
      <c r="O1125" s="35" t="str">
        <f aca="false">IF($C1125="","",IF(N($N1125)&lt;=0,"未开票",IF(ROUND(N($N1125)-N($K1125),2)&gt;=0,"已开票",IFERROR("部分开票 "&amp;TEXT(N($N1125)/N($K1125),"0%"),"部分开票"))))</f>
        <v/>
      </c>
      <c r="P1125" s="40" t="str">
        <f aca="false">IF($C1125="","",ROUND($V1125+MIN($W1125,MAX(0,(SUMIF(收款键,$D1125,收款金额)-SUMIFS(收款金额,收款键,$D1125,收款关联,"&lt;&gt;"))-($X1125-$W1125))),2))</f>
        <v/>
      </c>
      <c r="Q1125" s="41" t="str">
        <f aca="false">IF($C1125="","",ROUND(N($K1125)-N($P1125),2))</f>
        <v/>
      </c>
      <c r="R1125" s="29" t="str">
        <f aca="false">IF($C1125="","",YEAR($C1125))</f>
        <v/>
      </c>
      <c r="S1125" s="24"/>
      <c r="T1125" s="35" t="str">
        <f aca="false">IF($C1125="","",IF($D1125="","★没选客户项目",IF(COUNTIF(合同键,$D1125)=0,"★《维保合同》里没这个项目",IF(N($K1125)&lt;=0,"★应收金额要填",IF(ROUND(N($N1125)-N($K1125),2)&gt;0.001,"★开票金额大于应收",IF(AND($L1125&lt;&gt;"",N($N1125)&lt;=0),"★填了开票日期没填开票金额",IF(AND($I1125&lt;&gt;"",$J1125&lt;&gt;"",$J1125&lt;$I1125),"★计费期间起止反了","OK")))))))</f>
        <v/>
      </c>
      <c r="U1125" s="29" t="str">
        <f aca="false">IF($L1125="","",YEAR($L1125))</f>
        <v/>
      </c>
      <c r="V1125" s="40" t="str">
        <f aca="false">IF($C1125="","",ROUND(SUMIF(收款关联,$B1125,收款金额),2))</f>
        <v/>
      </c>
      <c r="W1125" s="40" t="str">
        <f aca="false">IF($C1125="","",MAX(0,ROUND(N($K1125)-N($V1125),2)))</f>
        <v/>
      </c>
      <c r="X1125" s="40" t="str">
        <f aca="false">IF($C1125="","",ROUND(SUMIFS(应收净额,应收键,$D1125,应收行号,"&lt;="&amp;ROW()),2))</f>
        <v/>
      </c>
      <c r="Y1125" s="29" t="str">
        <f aca="false">IF($C1125="","",ROW())</f>
        <v/>
      </c>
    </row>
    <row r="1126" customFormat="false" ht="15" hidden="false" customHeight="false" outlineLevel="0" collapsed="false">
      <c r="A1126" s="29" t="str">
        <f aca="false">IF($C1126="","",ROW()-4)</f>
        <v/>
      </c>
      <c r="B1126" s="35" t="str">
        <f aca="false">IF($C1126="","","YS"&amp;TEXT($C1126,"yyyymm")&amp;"-"&amp;TEXT(ROW()-4,"0000"))</f>
        <v/>
      </c>
      <c r="C1126" s="33"/>
      <c r="D1126" s="24"/>
      <c r="E1126" s="30" t="str">
        <f aca="false">IF($D1126="","",IFERROR(INDEX(合同单位,MATCH($D1126,合同键,0)),IFERROR(TRIM(LEFT($D1126,FIND("｜",$D1126)-1)),$D1126)))</f>
        <v/>
      </c>
      <c r="F1126" s="30" t="str">
        <f aca="false">IF($D1126="","",IFERROR(INDEX(合同项目,MATCH($D1126,合同键,0)),IFERROR(TRIM(MID($D1126,FIND("｜",$D1126)+1,99)),"")))</f>
        <v/>
      </c>
      <c r="G1126" s="24"/>
      <c r="H1126" s="35" t="str">
        <f aca="false">IF($G1126="","",IFERROR(INDEX(费用款别,MATCH($G1126,费用类别表,0)),"合同外款"))</f>
        <v/>
      </c>
      <c r="I1126" s="33"/>
      <c r="J1126" s="33"/>
      <c r="K1126" s="39"/>
      <c r="L1126" s="33"/>
      <c r="M1126" s="25"/>
      <c r="N1126" s="39"/>
      <c r="O1126" s="35" t="str">
        <f aca="false">IF($C1126="","",IF(N($N1126)&lt;=0,"未开票",IF(ROUND(N($N1126)-N($K1126),2)&gt;=0,"已开票",IFERROR("部分开票 "&amp;TEXT(N($N1126)/N($K1126),"0%"),"部分开票"))))</f>
        <v/>
      </c>
      <c r="P1126" s="40" t="str">
        <f aca="false">IF($C1126="","",ROUND($V1126+MIN($W1126,MAX(0,(SUMIF(收款键,$D1126,收款金额)-SUMIFS(收款金额,收款键,$D1126,收款关联,"&lt;&gt;"))-($X1126-$W1126))),2))</f>
        <v/>
      </c>
      <c r="Q1126" s="41" t="str">
        <f aca="false">IF($C1126="","",ROUND(N($K1126)-N($P1126),2))</f>
        <v/>
      </c>
      <c r="R1126" s="29" t="str">
        <f aca="false">IF($C1126="","",YEAR($C1126))</f>
        <v/>
      </c>
      <c r="S1126" s="24"/>
      <c r="T1126" s="35" t="str">
        <f aca="false">IF($C1126="","",IF($D1126="","★没选客户项目",IF(COUNTIF(合同键,$D1126)=0,"★《维保合同》里没这个项目",IF(N($K1126)&lt;=0,"★应收金额要填",IF(ROUND(N($N1126)-N($K1126),2)&gt;0.001,"★开票金额大于应收",IF(AND($L1126&lt;&gt;"",N($N1126)&lt;=0),"★填了开票日期没填开票金额",IF(AND($I1126&lt;&gt;"",$J1126&lt;&gt;"",$J1126&lt;$I1126),"★计费期间起止反了","OK")))))))</f>
        <v/>
      </c>
      <c r="U1126" s="29" t="str">
        <f aca="false">IF($L1126="","",YEAR($L1126))</f>
        <v/>
      </c>
      <c r="V1126" s="40" t="str">
        <f aca="false">IF($C1126="","",ROUND(SUMIF(收款关联,$B1126,收款金额),2))</f>
        <v/>
      </c>
      <c r="W1126" s="40" t="str">
        <f aca="false">IF($C1126="","",MAX(0,ROUND(N($K1126)-N($V1126),2)))</f>
        <v/>
      </c>
      <c r="X1126" s="40" t="str">
        <f aca="false">IF($C1126="","",ROUND(SUMIFS(应收净额,应收键,$D1126,应收行号,"&lt;="&amp;ROW()),2))</f>
        <v/>
      </c>
      <c r="Y1126" s="29" t="str">
        <f aca="false">IF($C1126="","",ROW())</f>
        <v/>
      </c>
    </row>
    <row r="1127" customFormat="false" ht="15" hidden="false" customHeight="false" outlineLevel="0" collapsed="false">
      <c r="A1127" s="29" t="str">
        <f aca="false">IF($C1127="","",ROW()-4)</f>
        <v/>
      </c>
      <c r="B1127" s="35" t="str">
        <f aca="false">IF($C1127="","","YS"&amp;TEXT($C1127,"yyyymm")&amp;"-"&amp;TEXT(ROW()-4,"0000"))</f>
        <v/>
      </c>
      <c r="C1127" s="33"/>
      <c r="D1127" s="24"/>
      <c r="E1127" s="30" t="str">
        <f aca="false">IF($D1127="","",IFERROR(INDEX(合同单位,MATCH($D1127,合同键,0)),IFERROR(TRIM(LEFT($D1127,FIND("｜",$D1127)-1)),$D1127)))</f>
        <v/>
      </c>
      <c r="F1127" s="30" t="str">
        <f aca="false">IF($D1127="","",IFERROR(INDEX(合同项目,MATCH($D1127,合同键,0)),IFERROR(TRIM(MID($D1127,FIND("｜",$D1127)+1,99)),"")))</f>
        <v/>
      </c>
      <c r="G1127" s="24"/>
      <c r="H1127" s="35" t="str">
        <f aca="false">IF($G1127="","",IFERROR(INDEX(费用款别,MATCH($G1127,费用类别表,0)),"合同外款"))</f>
        <v/>
      </c>
      <c r="I1127" s="33"/>
      <c r="J1127" s="33"/>
      <c r="K1127" s="39"/>
      <c r="L1127" s="33"/>
      <c r="M1127" s="25"/>
      <c r="N1127" s="39"/>
      <c r="O1127" s="35" t="str">
        <f aca="false">IF($C1127="","",IF(N($N1127)&lt;=0,"未开票",IF(ROUND(N($N1127)-N($K1127),2)&gt;=0,"已开票",IFERROR("部分开票 "&amp;TEXT(N($N1127)/N($K1127),"0%"),"部分开票"))))</f>
        <v/>
      </c>
      <c r="P1127" s="40" t="str">
        <f aca="false">IF($C1127="","",ROUND($V1127+MIN($W1127,MAX(0,(SUMIF(收款键,$D1127,收款金额)-SUMIFS(收款金额,收款键,$D1127,收款关联,"&lt;&gt;"))-($X1127-$W1127))),2))</f>
        <v/>
      </c>
      <c r="Q1127" s="41" t="str">
        <f aca="false">IF($C1127="","",ROUND(N($K1127)-N($P1127),2))</f>
        <v/>
      </c>
      <c r="R1127" s="29" t="str">
        <f aca="false">IF($C1127="","",YEAR($C1127))</f>
        <v/>
      </c>
      <c r="S1127" s="24"/>
      <c r="T1127" s="35" t="str">
        <f aca="false">IF($C1127="","",IF($D1127="","★没选客户项目",IF(COUNTIF(合同键,$D1127)=0,"★《维保合同》里没这个项目",IF(N($K1127)&lt;=0,"★应收金额要填",IF(ROUND(N($N1127)-N($K1127),2)&gt;0.001,"★开票金额大于应收",IF(AND($L1127&lt;&gt;"",N($N1127)&lt;=0),"★填了开票日期没填开票金额",IF(AND($I1127&lt;&gt;"",$J1127&lt;&gt;"",$J1127&lt;$I1127),"★计费期间起止反了","OK")))))))</f>
        <v/>
      </c>
      <c r="U1127" s="29" t="str">
        <f aca="false">IF($L1127="","",YEAR($L1127))</f>
        <v/>
      </c>
      <c r="V1127" s="40" t="str">
        <f aca="false">IF($C1127="","",ROUND(SUMIF(收款关联,$B1127,收款金额),2))</f>
        <v/>
      </c>
      <c r="W1127" s="40" t="str">
        <f aca="false">IF($C1127="","",MAX(0,ROUND(N($K1127)-N($V1127),2)))</f>
        <v/>
      </c>
      <c r="X1127" s="40" t="str">
        <f aca="false">IF($C1127="","",ROUND(SUMIFS(应收净额,应收键,$D1127,应收行号,"&lt;="&amp;ROW()),2))</f>
        <v/>
      </c>
      <c r="Y1127" s="29" t="str">
        <f aca="false">IF($C1127="","",ROW())</f>
        <v/>
      </c>
    </row>
    <row r="1128" customFormat="false" ht="15" hidden="false" customHeight="false" outlineLevel="0" collapsed="false">
      <c r="A1128" s="29" t="str">
        <f aca="false">IF($C1128="","",ROW()-4)</f>
        <v/>
      </c>
      <c r="B1128" s="35" t="str">
        <f aca="false">IF($C1128="","","YS"&amp;TEXT($C1128,"yyyymm")&amp;"-"&amp;TEXT(ROW()-4,"0000"))</f>
        <v/>
      </c>
      <c r="C1128" s="33"/>
      <c r="D1128" s="24"/>
      <c r="E1128" s="30" t="str">
        <f aca="false">IF($D1128="","",IFERROR(INDEX(合同单位,MATCH($D1128,合同键,0)),IFERROR(TRIM(LEFT($D1128,FIND("｜",$D1128)-1)),$D1128)))</f>
        <v/>
      </c>
      <c r="F1128" s="30" t="str">
        <f aca="false">IF($D1128="","",IFERROR(INDEX(合同项目,MATCH($D1128,合同键,0)),IFERROR(TRIM(MID($D1128,FIND("｜",$D1128)+1,99)),"")))</f>
        <v/>
      </c>
      <c r="G1128" s="24"/>
      <c r="H1128" s="35" t="str">
        <f aca="false">IF($G1128="","",IFERROR(INDEX(费用款别,MATCH($G1128,费用类别表,0)),"合同外款"))</f>
        <v/>
      </c>
      <c r="I1128" s="33"/>
      <c r="J1128" s="33"/>
      <c r="K1128" s="39"/>
      <c r="L1128" s="33"/>
      <c r="M1128" s="25"/>
      <c r="N1128" s="39"/>
      <c r="O1128" s="35" t="str">
        <f aca="false">IF($C1128="","",IF(N($N1128)&lt;=0,"未开票",IF(ROUND(N($N1128)-N($K1128),2)&gt;=0,"已开票",IFERROR("部分开票 "&amp;TEXT(N($N1128)/N($K1128),"0%"),"部分开票"))))</f>
        <v/>
      </c>
      <c r="P1128" s="40" t="str">
        <f aca="false">IF($C1128="","",ROUND($V1128+MIN($W1128,MAX(0,(SUMIF(收款键,$D1128,收款金额)-SUMIFS(收款金额,收款键,$D1128,收款关联,"&lt;&gt;"))-($X1128-$W1128))),2))</f>
        <v/>
      </c>
      <c r="Q1128" s="41" t="str">
        <f aca="false">IF($C1128="","",ROUND(N($K1128)-N($P1128),2))</f>
        <v/>
      </c>
      <c r="R1128" s="29" t="str">
        <f aca="false">IF($C1128="","",YEAR($C1128))</f>
        <v/>
      </c>
      <c r="S1128" s="24"/>
      <c r="T1128" s="35" t="str">
        <f aca="false">IF($C1128="","",IF($D1128="","★没选客户项目",IF(COUNTIF(合同键,$D1128)=0,"★《维保合同》里没这个项目",IF(N($K1128)&lt;=0,"★应收金额要填",IF(ROUND(N($N1128)-N($K1128),2)&gt;0.001,"★开票金额大于应收",IF(AND($L1128&lt;&gt;"",N($N1128)&lt;=0),"★填了开票日期没填开票金额",IF(AND($I1128&lt;&gt;"",$J1128&lt;&gt;"",$J1128&lt;$I1128),"★计费期间起止反了","OK")))))))</f>
        <v/>
      </c>
      <c r="U1128" s="29" t="str">
        <f aca="false">IF($L1128="","",YEAR($L1128))</f>
        <v/>
      </c>
      <c r="V1128" s="40" t="str">
        <f aca="false">IF($C1128="","",ROUND(SUMIF(收款关联,$B1128,收款金额),2))</f>
        <v/>
      </c>
      <c r="W1128" s="40" t="str">
        <f aca="false">IF($C1128="","",MAX(0,ROUND(N($K1128)-N($V1128),2)))</f>
        <v/>
      </c>
      <c r="X1128" s="40" t="str">
        <f aca="false">IF($C1128="","",ROUND(SUMIFS(应收净额,应收键,$D1128,应收行号,"&lt;="&amp;ROW()),2))</f>
        <v/>
      </c>
      <c r="Y1128" s="29" t="str">
        <f aca="false">IF($C1128="","",ROW())</f>
        <v/>
      </c>
    </row>
    <row r="1129" customFormat="false" ht="15" hidden="false" customHeight="false" outlineLevel="0" collapsed="false">
      <c r="A1129" s="29" t="str">
        <f aca="false">IF($C1129="","",ROW()-4)</f>
        <v/>
      </c>
      <c r="B1129" s="35" t="str">
        <f aca="false">IF($C1129="","","YS"&amp;TEXT($C1129,"yyyymm")&amp;"-"&amp;TEXT(ROW()-4,"0000"))</f>
        <v/>
      </c>
      <c r="C1129" s="33"/>
      <c r="D1129" s="24"/>
      <c r="E1129" s="30" t="str">
        <f aca="false">IF($D1129="","",IFERROR(INDEX(合同单位,MATCH($D1129,合同键,0)),IFERROR(TRIM(LEFT($D1129,FIND("｜",$D1129)-1)),$D1129)))</f>
        <v/>
      </c>
      <c r="F1129" s="30" t="str">
        <f aca="false">IF($D1129="","",IFERROR(INDEX(合同项目,MATCH($D1129,合同键,0)),IFERROR(TRIM(MID($D1129,FIND("｜",$D1129)+1,99)),"")))</f>
        <v/>
      </c>
      <c r="G1129" s="24"/>
      <c r="H1129" s="35" t="str">
        <f aca="false">IF($G1129="","",IFERROR(INDEX(费用款别,MATCH($G1129,费用类别表,0)),"合同外款"))</f>
        <v/>
      </c>
      <c r="I1129" s="33"/>
      <c r="J1129" s="33"/>
      <c r="K1129" s="39"/>
      <c r="L1129" s="33"/>
      <c r="M1129" s="25"/>
      <c r="N1129" s="39"/>
      <c r="O1129" s="35" t="str">
        <f aca="false">IF($C1129="","",IF(N($N1129)&lt;=0,"未开票",IF(ROUND(N($N1129)-N($K1129),2)&gt;=0,"已开票",IFERROR("部分开票 "&amp;TEXT(N($N1129)/N($K1129),"0%"),"部分开票"))))</f>
        <v/>
      </c>
      <c r="P1129" s="40" t="str">
        <f aca="false">IF($C1129="","",ROUND($V1129+MIN($W1129,MAX(0,(SUMIF(收款键,$D1129,收款金额)-SUMIFS(收款金额,收款键,$D1129,收款关联,"&lt;&gt;"))-($X1129-$W1129))),2))</f>
        <v/>
      </c>
      <c r="Q1129" s="41" t="str">
        <f aca="false">IF($C1129="","",ROUND(N($K1129)-N($P1129),2))</f>
        <v/>
      </c>
      <c r="R1129" s="29" t="str">
        <f aca="false">IF($C1129="","",YEAR($C1129))</f>
        <v/>
      </c>
      <c r="S1129" s="24"/>
      <c r="T1129" s="35" t="str">
        <f aca="false">IF($C1129="","",IF($D1129="","★没选客户项目",IF(COUNTIF(合同键,$D1129)=0,"★《维保合同》里没这个项目",IF(N($K1129)&lt;=0,"★应收金额要填",IF(ROUND(N($N1129)-N($K1129),2)&gt;0.001,"★开票金额大于应收",IF(AND($L1129&lt;&gt;"",N($N1129)&lt;=0),"★填了开票日期没填开票金额",IF(AND($I1129&lt;&gt;"",$J1129&lt;&gt;"",$J1129&lt;$I1129),"★计费期间起止反了","OK")))))))</f>
        <v/>
      </c>
      <c r="U1129" s="29" t="str">
        <f aca="false">IF($L1129="","",YEAR($L1129))</f>
        <v/>
      </c>
      <c r="V1129" s="40" t="str">
        <f aca="false">IF($C1129="","",ROUND(SUMIF(收款关联,$B1129,收款金额),2))</f>
        <v/>
      </c>
      <c r="W1129" s="40" t="str">
        <f aca="false">IF($C1129="","",MAX(0,ROUND(N($K1129)-N($V1129),2)))</f>
        <v/>
      </c>
      <c r="X1129" s="40" t="str">
        <f aca="false">IF($C1129="","",ROUND(SUMIFS(应收净额,应收键,$D1129,应收行号,"&lt;="&amp;ROW()),2))</f>
        <v/>
      </c>
      <c r="Y1129" s="29" t="str">
        <f aca="false">IF($C1129="","",ROW())</f>
        <v/>
      </c>
    </row>
    <row r="1130" customFormat="false" ht="15" hidden="false" customHeight="false" outlineLevel="0" collapsed="false">
      <c r="A1130" s="29" t="str">
        <f aca="false">IF($C1130="","",ROW()-4)</f>
        <v/>
      </c>
      <c r="B1130" s="35" t="str">
        <f aca="false">IF($C1130="","","YS"&amp;TEXT($C1130,"yyyymm")&amp;"-"&amp;TEXT(ROW()-4,"0000"))</f>
        <v/>
      </c>
      <c r="C1130" s="33"/>
      <c r="D1130" s="24"/>
      <c r="E1130" s="30" t="str">
        <f aca="false">IF($D1130="","",IFERROR(INDEX(合同单位,MATCH($D1130,合同键,0)),IFERROR(TRIM(LEFT($D1130,FIND("｜",$D1130)-1)),$D1130)))</f>
        <v/>
      </c>
      <c r="F1130" s="30" t="str">
        <f aca="false">IF($D1130="","",IFERROR(INDEX(合同项目,MATCH($D1130,合同键,0)),IFERROR(TRIM(MID($D1130,FIND("｜",$D1130)+1,99)),"")))</f>
        <v/>
      </c>
      <c r="G1130" s="24"/>
      <c r="H1130" s="35" t="str">
        <f aca="false">IF($G1130="","",IFERROR(INDEX(费用款别,MATCH($G1130,费用类别表,0)),"合同外款"))</f>
        <v/>
      </c>
      <c r="I1130" s="33"/>
      <c r="J1130" s="33"/>
      <c r="K1130" s="39"/>
      <c r="L1130" s="33"/>
      <c r="M1130" s="25"/>
      <c r="N1130" s="39"/>
      <c r="O1130" s="35" t="str">
        <f aca="false">IF($C1130="","",IF(N($N1130)&lt;=0,"未开票",IF(ROUND(N($N1130)-N($K1130),2)&gt;=0,"已开票",IFERROR("部分开票 "&amp;TEXT(N($N1130)/N($K1130),"0%"),"部分开票"))))</f>
        <v/>
      </c>
      <c r="P1130" s="40" t="str">
        <f aca="false">IF($C1130="","",ROUND($V1130+MIN($W1130,MAX(0,(SUMIF(收款键,$D1130,收款金额)-SUMIFS(收款金额,收款键,$D1130,收款关联,"&lt;&gt;"))-($X1130-$W1130))),2))</f>
        <v/>
      </c>
      <c r="Q1130" s="41" t="str">
        <f aca="false">IF($C1130="","",ROUND(N($K1130)-N($P1130),2))</f>
        <v/>
      </c>
      <c r="R1130" s="29" t="str">
        <f aca="false">IF($C1130="","",YEAR($C1130))</f>
        <v/>
      </c>
      <c r="S1130" s="24"/>
      <c r="T1130" s="35" t="str">
        <f aca="false">IF($C1130="","",IF($D1130="","★没选客户项目",IF(COUNTIF(合同键,$D1130)=0,"★《维保合同》里没这个项目",IF(N($K1130)&lt;=0,"★应收金额要填",IF(ROUND(N($N1130)-N($K1130),2)&gt;0.001,"★开票金额大于应收",IF(AND($L1130&lt;&gt;"",N($N1130)&lt;=0),"★填了开票日期没填开票金额",IF(AND($I1130&lt;&gt;"",$J1130&lt;&gt;"",$J1130&lt;$I1130),"★计费期间起止反了","OK")))))))</f>
        <v/>
      </c>
      <c r="U1130" s="29" t="str">
        <f aca="false">IF($L1130="","",YEAR($L1130))</f>
        <v/>
      </c>
      <c r="V1130" s="40" t="str">
        <f aca="false">IF($C1130="","",ROUND(SUMIF(收款关联,$B1130,收款金额),2))</f>
        <v/>
      </c>
      <c r="W1130" s="40" t="str">
        <f aca="false">IF($C1130="","",MAX(0,ROUND(N($K1130)-N($V1130),2)))</f>
        <v/>
      </c>
      <c r="X1130" s="40" t="str">
        <f aca="false">IF($C1130="","",ROUND(SUMIFS(应收净额,应收键,$D1130,应收行号,"&lt;="&amp;ROW()),2))</f>
        <v/>
      </c>
      <c r="Y1130" s="29" t="str">
        <f aca="false">IF($C1130="","",ROW())</f>
        <v/>
      </c>
    </row>
    <row r="1131" customFormat="false" ht="15" hidden="false" customHeight="false" outlineLevel="0" collapsed="false">
      <c r="A1131" s="29" t="str">
        <f aca="false">IF($C1131="","",ROW()-4)</f>
        <v/>
      </c>
      <c r="B1131" s="35" t="str">
        <f aca="false">IF($C1131="","","YS"&amp;TEXT($C1131,"yyyymm")&amp;"-"&amp;TEXT(ROW()-4,"0000"))</f>
        <v/>
      </c>
      <c r="C1131" s="33"/>
      <c r="D1131" s="24"/>
      <c r="E1131" s="30" t="str">
        <f aca="false">IF($D1131="","",IFERROR(INDEX(合同单位,MATCH($D1131,合同键,0)),IFERROR(TRIM(LEFT($D1131,FIND("｜",$D1131)-1)),$D1131)))</f>
        <v/>
      </c>
      <c r="F1131" s="30" t="str">
        <f aca="false">IF($D1131="","",IFERROR(INDEX(合同项目,MATCH($D1131,合同键,0)),IFERROR(TRIM(MID($D1131,FIND("｜",$D1131)+1,99)),"")))</f>
        <v/>
      </c>
      <c r="G1131" s="24"/>
      <c r="H1131" s="35" t="str">
        <f aca="false">IF($G1131="","",IFERROR(INDEX(费用款别,MATCH($G1131,费用类别表,0)),"合同外款"))</f>
        <v/>
      </c>
      <c r="I1131" s="33"/>
      <c r="J1131" s="33"/>
      <c r="K1131" s="39"/>
      <c r="L1131" s="33"/>
      <c r="M1131" s="25"/>
      <c r="N1131" s="39"/>
      <c r="O1131" s="35" t="str">
        <f aca="false">IF($C1131="","",IF(N($N1131)&lt;=0,"未开票",IF(ROUND(N($N1131)-N($K1131),2)&gt;=0,"已开票",IFERROR("部分开票 "&amp;TEXT(N($N1131)/N($K1131),"0%"),"部分开票"))))</f>
        <v/>
      </c>
      <c r="P1131" s="40" t="str">
        <f aca="false">IF($C1131="","",ROUND($V1131+MIN($W1131,MAX(0,(SUMIF(收款键,$D1131,收款金额)-SUMIFS(收款金额,收款键,$D1131,收款关联,"&lt;&gt;"))-($X1131-$W1131))),2))</f>
        <v/>
      </c>
      <c r="Q1131" s="41" t="str">
        <f aca="false">IF($C1131="","",ROUND(N($K1131)-N($P1131),2))</f>
        <v/>
      </c>
      <c r="R1131" s="29" t="str">
        <f aca="false">IF($C1131="","",YEAR($C1131))</f>
        <v/>
      </c>
      <c r="S1131" s="24"/>
      <c r="T1131" s="35" t="str">
        <f aca="false">IF($C1131="","",IF($D1131="","★没选客户项目",IF(COUNTIF(合同键,$D1131)=0,"★《维保合同》里没这个项目",IF(N($K1131)&lt;=0,"★应收金额要填",IF(ROUND(N($N1131)-N($K1131),2)&gt;0.001,"★开票金额大于应收",IF(AND($L1131&lt;&gt;"",N($N1131)&lt;=0),"★填了开票日期没填开票金额",IF(AND($I1131&lt;&gt;"",$J1131&lt;&gt;"",$J1131&lt;$I1131),"★计费期间起止反了","OK")))))))</f>
        <v/>
      </c>
      <c r="U1131" s="29" t="str">
        <f aca="false">IF($L1131="","",YEAR($L1131))</f>
        <v/>
      </c>
      <c r="V1131" s="40" t="str">
        <f aca="false">IF($C1131="","",ROUND(SUMIF(收款关联,$B1131,收款金额),2))</f>
        <v/>
      </c>
      <c r="W1131" s="40" t="str">
        <f aca="false">IF($C1131="","",MAX(0,ROUND(N($K1131)-N($V1131),2)))</f>
        <v/>
      </c>
      <c r="X1131" s="40" t="str">
        <f aca="false">IF($C1131="","",ROUND(SUMIFS(应收净额,应收键,$D1131,应收行号,"&lt;="&amp;ROW()),2))</f>
        <v/>
      </c>
      <c r="Y1131" s="29" t="str">
        <f aca="false">IF($C1131="","",ROW())</f>
        <v/>
      </c>
    </row>
    <row r="1132" customFormat="false" ht="15" hidden="false" customHeight="false" outlineLevel="0" collapsed="false">
      <c r="A1132" s="29" t="str">
        <f aca="false">IF($C1132="","",ROW()-4)</f>
        <v/>
      </c>
      <c r="B1132" s="35" t="str">
        <f aca="false">IF($C1132="","","YS"&amp;TEXT($C1132,"yyyymm")&amp;"-"&amp;TEXT(ROW()-4,"0000"))</f>
        <v/>
      </c>
      <c r="C1132" s="33"/>
      <c r="D1132" s="24"/>
      <c r="E1132" s="30" t="str">
        <f aca="false">IF($D1132="","",IFERROR(INDEX(合同单位,MATCH($D1132,合同键,0)),IFERROR(TRIM(LEFT($D1132,FIND("｜",$D1132)-1)),$D1132)))</f>
        <v/>
      </c>
      <c r="F1132" s="30" t="str">
        <f aca="false">IF($D1132="","",IFERROR(INDEX(合同项目,MATCH($D1132,合同键,0)),IFERROR(TRIM(MID($D1132,FIND("｜",$D1132)+1,99)),"")))</f>
        <v/>
      </c>
      <c r="G1132" s="24"/>
      <c r="H1132" s="35" t="str">
        <f aca="false">IF($G1132="","",IFERROR(INDEX(费用款别,MATCH($G1132,费用类别表,0)),"合同外款"))</f>
        <v/>
      </c>
      <c r="I1132" s="33"/>
      <c r="J1132" s="33"/>
      <c r="K1132" s="39"/>
      <c r="L1132" s="33"/>
      <c r="M1132" s="25"/>
      <c r="N1132" s="39"/>
      <c r="O1132" s="35" t="str">
        <f aca="false">IF($C1132="","",IF(N($N1132)&lt;=0,"未开票",IF(ROUND(N($N1132)-N($K1132),2)&gt;=0,"已开票",IFERROR("部分开票 "&amp;TEXT(N($N1132)/N($K1132),"0%"),"部分开票"))))</f>
        <v/>
      </c>
      <c r="P1132" s="40" t="str">
        <f aca="false">IF($C1132="","",ROUND($V1132+MIN($W1132,MAX(0,(SUMIF(收款键,$D1132,收款金额)-SUMIFS(收款金额,收款键,$D1132,收款关联,"&lt;&gt;"))-($X1132-$W1132))),2))</f>
        <v/>
      </c>
      <c r="Q1132" s="41" t="str">
        <f aca="false">IF($C1132="","",ROUND(N($K1132)-N($P1132),2))</f>
        <v/>
      </c>
      <c r="R1132" s="29" t="str">
        <f aca="false">IF($C1132="","",YEAR($C1132))</f>
        <v/>
      </c>
      <c r="S1132" s="24"/>
      <c r="T1132" s="35" t="str">
        <f aca="false">IF($C1132="","",IF($D1132="","★没选客户项目",IF(COUNTIF(合同键,$D1132)=0,"★《维保合同》里没这个项目",IF(N($K1132)&lt;=0,"★应收金额要填",IF(ROUND(N($N1132)-N($K1132),2)&gt;0.001,"★开票金额大于应收",IF(AND($L1132&lt;&gt;"",N($N1132)&lt;=0),"★填了开票日期没填开票金额",IF(AND($I1132&lt;&gt;"",$J1132&lt;&gt;"",$J1132&lt;$I1132),"★计费期间起止反了","OK")))))))</f>
        <v/>
      </c>
      <c r="U1132" s="29" t="str">
        <f aca="false">IF($L1132="","",YEAR($L1132))</f>
        <v/>
      </c>
      <c r="V1132" s="40" t="str">
        <f aca="false">IF($C1132="","",ROUND(SUMIF(收款关联,$B1132,收款金额),2))</f>
        <v/>
      </c>
      <c r="W1132" s="40" t="str">
        <f aca="false">IF($C1132="","",MAX(0,ROUND(N($K1132)-N($V1132),2)))</f>
        <v/>
      </c>
      <c r="X1132" s="40" t="str">
        <f aca="false">IF($C1132="","",ROUND(SUMIFS(应收净额,应收键,$D1132,应收行号,"&lt;="&amp;ROW()),2))</f>
        <v/>
      </c>
      <c r="Y1132" s="29" t="str">
        <f aca="false">IF($C1132="","",ROW())</f>
        <v/>
      </c>
    </row>
    <row r="1133" customFormat="false" ht="15" hidden="false" customHeight="false" outlineLevel="0" collapsed="false">
      <c r="A1133" s="29" t="str">
        <f aca="false">IF($C1133="","",ROW()-4)</f>
        <v/>
      </c>
      <c r="B1133" s="35" t="str">
        <f aca="false">IF($C1133="","","YS"&amp;TEXT($C1133,"yyyymm")&amp;"-"&amp;TEXT(ROW()-4,"0000"))</f>
        <v/>
      </c>
      <c r="C1133" s="33"/>
      <c r="D1133" s="24"/>
      <c r="E1133" s="30" t="str">
        <f aca="false">IF($D1133="","",IFERROR(INDEX(合同单位,MATCH($D1133,合同键,0)),IFERROR(TRIM(LEFT($D1133,FIND("｜",$D1133)-1)),$D1133)))</f>
        <v/>
      </c>
      <c r="F1133" s="30" t="str">
        <f aca="false">IF($D1133="","",IFERROR(INDEX(合同项目,MATCH($D1133,合同键,0)),IFERROR(TRIM(MID($D1133,FIND("｜",$D1133)+1,99)),"")))</f>
        <v/>
      </c>
      <c r="G1133" s="24"/>
      <c r="H1133" s="35" t="str">
        <f aca="false">IF($G1133="","",IFERROR(INDEX(费用款别,MATCH($G1133,费用类别表,0)),"合同外款"))</f>
        <v/>
      </c>
      <c r="I1133" s="33"/>
      <c r="J1133" s="33"/>
      <c r="K1133" s="39"/>
      <c r="L1133" s="33"/>
      <c r="M1133" s="25"/>
      <c r="N1133" s="39"/>
      <c r="O1133" s="35" t="str">
        <f aca="false">IF($C1133="","",IF(N($N1133)&lt;=0,"未开票",IF(ROUND(N($N1133)-N($K1133),2)&gt;=0,"已开票",IFERROR("部分开票 "&amp;TEXT(N($N1133)/N($K1133),"0%"),"部分开票"))))</f>
        <v/>
      </c>
      <c r="P1133" s="40" t="str">
        <f aca="false">IF($C1133="","",ROUND($V1133+MIN($W1133,MAX(0,(SUMIF(收款键,$D1133,收款金额)-SUMIFS(收款金额,收款键,$D1133,收款关联,"&lt;&gt;"))-($X1133-$W1133))),2))</f>
        <v/>
      </c>
      <c r="Q1133" s="41" t="str">
        <f aca="false">IF($C1133="","",ROUND(N($K1133)-N($P1133),2))</f>
        <v/>
      </c>
      <c r="R1133" s="29" t="str">
        <f aca="false">IF($C1133="","",YEAR($C1133))</f>
        <v/>
      </c>
      <c r="S1133" s="24"/>
      <c r="T1133" s="35" t="str">
        <f aca="false">IF($C1133="","",IF($D1133="","★没选客户项目",IF(COUNTIF(合同键,$D1133)=0,"★《维保合同》里没这个项目",IF(N($K1133)&lt;=0,"★应收金额要填",IF(ROUND(N($N1133)-N($K1133),2)&gt;0.001,"★开票金额大于应收",IF(AND($L1133&lt;&gt;"",N($N1133)&lt;=0),"★填了开票日期没填开票金额",IF(AND($I1133&lt;&gt;"",$J1133&lt;&gt;"",$J1133&lt;$I1133),"★计费期间起止反了","OK")))))))</f>
        <v/>
      </c>
      <c r="U1133" s="29" t="str">
        <f aca="false">IF($L1133="","",YEAR($L1133))</f>
        <v/>
      </c>
      <c r="V1133" s="40" t="str">
        <f aca="false">IF($C1133="","",ROUND(SUMIF(收款关联,$B1133,收款金额),2))</f>
        <v/>
      </c>
      <c r="W1133" s="40" t="str">
        <f aca="false">IF($C1133="","",MAX(0,ROUND(N($K1133)-N($V1133),2)))</f>
        <v/>
      </c>
      <c r="X1133" s="40" t="str">
        <f aca="false">IF($C1133="","",ROUND(SUMIFS(应收净额,应收键,$D1133,应收行号,"&lt;="&amp;ROW()),2))</f>
        <v/>
      </c>
      <c r="Y1133" s="29" t="str">
        <f aca="false">IF($C1133="","",ROW())</f>
        <v/>
      </c>
    </row>
    <row r="1134" customFormat="false" ht="15" hidden="false" customHeight="false" outlineLevel="0" collapsed="false">
      <c r="A1134" s="29" t="str">
        <f aca="false">IF($C1134="","",ROW()-4)</f>
        <v/>
      </c>
      <c r="B1134" s="35" t="str">
        <f aca="false">IF($C1134="","","YS"&amp;TEXT($C1134,"yyyymm")&amp;"-"&amp;TEXT(ROW()-4,"0000"))</f>
        <v/>
      </c>
      <c r="C1134" s="33"/>
      <c r="D1134" s="24"/>
      <c r="E1134" s="30" t="str">
        <f aca="false">IF($D1134="","",IFERROR(INDEX(合同单位,MATCH($D1134,合同键,0)),IFERROR(TRIM(LEFT($D1134,FIND("｜",$D1134)-1)),$D1134)))</f>
        <v/>
      </c>
      <c r="F1134" s="30" t="str">
        <f aca="false">IF($D1134="","",IFERROR(INDEX(合同项目,MATCH($D1134,合同键,0)),IFERROR(TRIM(MID($D1134,FIND("｜",$D1134)+1,99)),"")))</f>
        <v/>
      </c>
      <c r="G1134" s="24"/>
      <c r="H1134" s="35" t="str">
        <f aca="false">IF($G1134="","",IFERROR(INDEX(费用款别,MATCH($G1134,费用类别表,0)),"合同外款"))</f>
        <v/>
      </c>
      <c r="I1134" s="33"/>
      <c r="J1134" s="33"/>
      <c r="K1134" s="39"/>
      <c r="L1134" s="33"/>
      <c r="M1134" s="25"/>
      <c r="N1134" s="39"/>
      <c r="O1134" s="35" t="str">
        <f aca="false">IF($C1134="","",IF(N($N1134)&lt;=0,"未开票",IF(ROUND(N($N1134)-N($K1134),2)&gt;=0,"已开票",IFERROR("部分开票 "&amp;TEXT(N($N1134)/N($K1134),"0%"),"部分开票"))))</f>
        <v/>
      </c>
      <c r="P1134" s="40" t="str">
        <f aca="false">IF($C1134="","",ROUND($V1134+MIN($W1134,MAX(0,(SUMIF(收款键,$D1134,收款金额)-SUMIFS(收款金额,收款键,$D1134,收款关联,"&lt;&gt;"))-($X1134-$W1134))),2))</f>
        <v/>
      </c>
      <c r="Q1134" s="41" t="str">
        <f aca="false">IF($C1134="","",ROUND(N($K1134)-N($P1134),2))</f>
        <v/>
      </c>
      <c r="R1134" s="29" t="str">
        <f aca="false">IF($C1134="","",YEAR($C1134))</f>
        <v/>
      </c>
      <c r="S1134" s="24"/>
      <c r="T1134" s="35" t="str">
        <f aca="false">IF($C1134="","",IF($D1134="","★没选客户项目",IF(COUNTIF(合同键,$D1134)=0,"★《维保合同》里没这个项目",IF(N($K1134)&lt;=0,"★应收金额要填",IF(ROUND(N($N1134)-N($K1134),2)&gt;0.001,"★开票金额大于应收",IF(AND($L1134&lt;&gt;"",N($N1134)&lt;=0),"★填了开票日期没填开票金额",IF(AND($I1134&lt;&gt;"",$J1134&lt;&gt;"",$J1134&lt;$I1134),"★计费期间起止反了","OK")))))))</f>
        <v/>
      </c>
      <c r="U1134" s="29" t="str">
        <f aca="false">IF($L1134="","",YEAR($L1134))</f>
        <v/>
      </c>
      <c r="V1134" s="40" t="str">
        <f aca="false">IF($C1134="","",ROUND(SUMIF(收款关联,$B1134,收款金额),2))</f>
        <v/>
      </c>
      <c r="W1134" s="40" t="str">
        <f aca="false">IF($C1134="","",MAX(0,ROUND(N($K1134)-N($V1134),2)))</f>
        <v/>
      </c>
      <c r="X1134" s="40" t="str">
        <f aca="false">IF($C1134="","",ROUND(SUMIFS(应收净额,应收键,$D1134,应收行号,"&lt;="&amp;ROW()),2))</f>
        <v/>
      </c>
      <c r="Y1134" s="29" t="str">
        <f aca="false">IF($C1134="","",ROW())</f>
        <v/>
      </c>
    </row>
    <row r="1135" customFormat="false" ht="15" hidden="false" customHeight="false" outlineLevel="0" collapsed="false">
      <c r="A1135" s="29" t="str">
        <f aca="false">IF($C1135="","",ROW()-4)</f>
        <v/>
      </c>
      <c r="B1135" s="35" t="str">
        <f aca="false">IF($C1135="","","YS"&amp;TEXT($C1135,"yyyymm")&amp;"-"&amp;TEXT(ROW()-4,"0000"))</f>
        <v/>
      </c>
      <c r="C1135" s="33"/>
      <c r="D1135" s="24"/>
      <c r="E1135" s="30" t="str">
        <f aca="false">IF($D1135="","",IFERROR(INDEX(合同单位,MATCH($D1135,合同键,0)),IFERROR(TRIM(LEFT($D1135,FIND("｜",$D1135)-1)),$D1135)))</f>
        <v/>
      </c>
      <c r="F1135" s="30" t="str">
        <f aca="false">IF($D1135="","",IFERROR(INDEX(合同项目,MATCH($D1135,合同键,0)),IFERROR(TRIM(MID($D1135,FIND("｜",$D1135)+1,99)),"")))</f>
        <v/>
      </c>
      <c r="G1135" s="24"/>
      <c r="H1135" s="35" t="str">
        <f aca="false">IF($G1135="","",IFERROR(INDEX(费用款别,MATCH($G1135,费用类别表,0)),"合同外款"))</f>
        <v/>
      </c>
      <c r="I1135" s="33"/>
      <c r="J1135" s="33"/>
      <c r="K1135" s="39"/>
      <c r="L1135" s="33"/>
      <c r="M1135" s="25"/>
      <c r="N1135" s="39"/>
      <c r="O1135" s="35" t="str">
        <f aca="false">IF($C1135="","",IF(N($N1135)&lt;=0,"未开票",IF(ROUND(N($N1135)-N($K1135),2)&gt;=0,"已开票",IFERROR("部分开票 "&amp;TEXT(N($N1135)/N($K1135),"0%"),"部分开票"))))</f>
        <v/>
      </c>
      <c r="P1135" s="40" t="str">
        <f aca="false">IF($C1135="","",ROUND($V1135+MIN($W1135,MAX(0,(SUMIF(收款键,$D1135,收款金额)-SUMIFS(收款金额,收款键,$D1135,收款关联,"&lt;&gt;"))-($X1135-$W1135))),2))</f>
        <v/>
      </c>
      <c r="Q1135" s="41" t="str">
        <f aca="false">IF($C1135="","",ROUND(N($K1135)-N($P1135),2))</f>
        <v/>
      </c>
      <c r="R1135" s="29" t="str">
        <f aca="false">IF($C1135="","",YEAR($C1135))</f>
        <v/>
      </c>
      <c r="S1135" s="24"/>
      <c r="T1135" s="35" t="str">
        <f aca="false">IF($C1135="","",IF($D1135="","★没选客户项目",IF(COUNTIF(合同键,$D1135)=0,"★《维保合同》里没这个项目",IF(N($K1135)&lt;=0,"★应收金额要填",IF(ROUND(N($N1135)-N($K1135),2)&gt;0.001,"★开票金额大于应收",IF(AND($L1135&lt;&gt;"",N($N1135)&lt;=0),"★填了开票日期没填开票金额",IF(AND($I1135&lt;&gt;"",$J1135&lt;&gt;"",$J1135&lt;$I1135),"★计费期间起止反了","OK")))))))</f>
        <v/>
      </c>
      <c r="U1135" s="29" t="str">
        <f aca="false">IF($L1135="","",YEAR($L1135))</f>
        <v/>
      </c>
      <c r="V1135" s="40" t="str">
        <f aca="false">IF($C1135="","",ROUND(SUMIF(收款关联,$B1135,收款金额),2))</f>
        <v/>
      </c>
      <c r="W1135" s="40" t="str">
        <f aca="false">IF($C1135="","",MAX(0,ROUND(N($K1135)-N($V1135),2)))</f>
        <v/>
      </c>
      <c r="X1135" s="40" t="str">
        <f aca="false">IF($C1135="","",ROUND(SUMIFS(应收净额,应收键,$D1135,应收行号,"&lt;="&amp;ROW()),2))</f>
        <v/>
      </c>
      <c r="Y1135" s="29" t="str">
        <f aca="false">IF($C1135="","",ROW())</f>
        <v/>
      </c>
    </row>
    <row r="1136" customFormat="false" ht="15" hidden="false" customHeight="false" outlineLevel="0" collapsed="false">
      <c r="A1136" s="29" t="str">
        <f aca="false">IF($C1136="","",ROW()-4)</f>
        <v/>
      </c>
      <c r="B1136" s="35" t="str">
        <f aca="false">IF($C1136="","","YS"&amp;TEXT($C1136,"yyyymm")&amp;"-"&amp;TEXT(ROW()-4,"0000"))</f>
        <v/>
      </c>
      <c r="C1136" s="33"/>
      <c r="D1136" s="24"/>
      <c r="E1136" s="30" t="str">
        <f aca="false">IF($D1136="","",IFERROR(INDEX(合同单位,MATCH($D1136,合同键,0)),IFERROR(TRIM(LEFT($D1136,FIND("｜",$D1136)-1)),$D1136)))</f>
        <v/>
      </c>
      <c r="F1136" s="30" t="str">
        <f aca="false">IF($D1136="","",IFERROR(INDEX(合同项目,MATCH($D1136,合同键,0)),IFERROR(TRIM(MID($D1136,FIND("｜",$D1136)+1,99)),"")))</f>
        <v/>
      </c>
      <c r="G1136" s="24"/>
      <c r="H1136" s="35" t="str">
        <f aca="false">IF($G1136="","",IFERROR(INDEX(费用款别,MATCH($G1136,费用类别表,0)),"合同外款"))</f>
        <v/>
      </c>
      <c r="I1136" s="33"/>
      <c r="J1136" s="33"/>
      <c r="K1136" s="39"/>
      <c r="L1136" s="33"/>
      <c r="M1136" s="25"/>
      <c r="N1136" s="39"/>
      <c r="O1136" s="35" t="str">
        <f aca="false">IF($C1136="","",IF(N($N1136)&lt;=0,"未开票",IF(ROUND(N($N1136)-N($K1136),2)&gt;=0,"已开票",IFERROR("部分开票 "&amp;TEXT(N($N1136)/N($K1136),"0%"),"部分开票"))))</f>
        <v/>
      </c>
      <c r="P1136" s="40" t="str">
        <f aca="false">IF($C1136="","",ROUND($V1136+MIN($W1136,MAX(0,(SUMIF(收款键,$D1136,收款金额)-SUMIFS(收款金额,收款键,$D1136,收款关联,"&lt;&gt;"))-($X1136-$W1136))),2))</f>
        <v/>
      </c>
      <c r="Q1136" s="41" t="str">
        <f aca="false">IF($C1136="","",ROUND(N($K1136)-N($P1136),2))</f>
        <v/>
      </c>
      <c r="R1136" s="29" t="str">
        <f aca="false">IF($C1136="","",YEAR($C1136))</f>
        <v/>
      </c>
      <c r="S1136" s="24"/>
      <c r="T1136" s="35" t="str">
        <f aca="false">IF($C1136="","",IF($D1136="","★没选客户项目",IF(COUNTIF(合同键,$D1136)=0,"★《维保合同》里没这个项目",IF(N($K1136)&lt;=0,"★应收金额要填",IF(ROUND(N($N1136)-N($K1136),2)&gt;0.001,"★开票金额大于应收",IF(AND($L1136&lt;&gt;"",N($N1136)&lt;=0),"★填了开票日期没填开票金额",IF(AND($I1136&lt;&gt;"",$J1136&lt;&gt;"",$J1136&lt;$I1136),"★计费期间起止反了","OK")))))))</f>
        <v/>
      </c>
      <c r="U1136" s="29" t="str">
        <f aca="false">IF($L1136="","",YEAR($L1136))</f>
        <v/>
      </c>
      <c r="V1136" s="40" t="str">
        <f aca="false">IF($C1136="","",ROUND(SUMIF(收款关联,$B1136,收款金额),2))</f>
        <v/>
      </c>
      <c r="W1136" s="40" t="str">
        <f aca="false">IF($C1136="","",MAX(0,ROUND(N($K1136)-N($V1136),2)))</f>
        <v/>
      </c>
      <c r="X1136" s="40" t="str">
        <f aca="false">IF($C1136="","",ROUND(SUMIFS(应收净额,应收键,$D1136,应收行号,"&lt;="&amp;ROW()),2))</f>
        <v/>
      </c>
      <c r="Y1136" s="29" t="str">
        <f aca="false">IF($C1136="","",ROW())</f>
        <v/>
      </c>
    </row>
    <row r="1137" customFormat="false" ht="15" hidden="false" customHeight="false" outlineLevel="0" collapsed="false">
      <c r="A1137" s="29" t="str">
        <f aca="false">IF($C1137="","",ROW()-4)</f>
        <v/>
      </c>
      <c r="B1137" s="35" t="str">
        <f aca="false">IF($C1137="","","YS"&amp;TEXT($C1137,"yyyymm")&amp;"-"&amp;TEXT(ROW()-4,"0000"))</f>
        <v/>
      </c>
      <c r="C1137" s="33"/>
      <c r="D1137" s="24"/>
      <c r="E1137" s="30" t="str">
        <f aca="false">IF($D1137="","",IFERROR(INDEX(合同单位,MATCH($D1137,合同键,0)),IFERROR(TRIM(LEFT($D1137,FIND("｜",$D1137)-1)),$D1137)))</f>
        <v/>
      </c>
      <c r="F1137" s="30" t="str">
        <f aca="false">IF($D1137="","",IFERROR(INDEX(合同项目,MATCH($D1137,合同键,0)),IFERROR(TRIM(MID($D1137,FIND("｜",$D1137)+1,99)),"")))</f>
        <v/>
      </c>
      <c r="G1137" s="24"/>
      <c r="H1137" s="35" t="str">
        <f aca="false">IF($G1137="","",IFERROR(INDEX(费用款别,MATCH($G1137,费用类别表,0)),"合同外款"))</f>
        <v/>
      </c>
      <c r="I1137" s="33"/>
      <c r="J1137" s="33"/>
      <c r="K1137" s="39"/>
      <c r="L1137" s="33"/>
      <c r="M1137" s="25"/>
      <c r="N1137" s="39"/>
      <c r="O1137" s="35" t="str">
        <f aca="false">IF($C1137="","",IF(N($N1137)&lt;=0,"未开票",IF(ROUND(N($N1137)-N($K1137),2)&gt;=0,"已开票",IFERROR("部分开票 "&amp;TEXT(N($N1137)/N($K1137),"0%"),"部分开票"))))</f>
        <v/>
      </c>
      <c r="P1137" s="40" t="str">
        <f aca="false">IF($C1137="","",ROUND($V1137+MIN($W1137,MAX(0,(SUMIF(收款键,$D1137,收款金额)-SUMIFS(收款金额,收款键,$D1137,收款关联,"&lt;&gt;"))-($X1137-$W1137))),2))</f>
        <v/>
      </c>
      <c r="Q1137" s="41" t="str">
        <f aca="false">IF($C1137="","",ROUND(N($K1137)-N($P1137),2))</f>
        <v/>
      </c>
      <c r="R1137" s="29" t="str">
        <f aca="false">IF($C1137="","",YEAR($C1137))</f>
        <v/>
      </c>
      <c r="S1137" s="24"/>
      <c r="T1137" s="35" t="str">
        <f aca="false">IF($C1137="","",IF($D1137="","★没选客户项目",IF(COUNTIF(合同键,$D1137)=0,"★《维保合同》里没这个项目",IF(N($K1137)&lt;=0,"★应收金额要填",IF(ROUND(N($N1137)-N($K1137),2)&gt;0.001,"★开票金额大于应收",IF(AND($L1137&lt;&gt;"",N($N1137)&lt;=0),"★填了开票日期没填开票金额",IF(AND($I1137&lt;&gt;"",$J1137&lt;&gt;"",$J1137&lt;$I1137),"★计费期间起止反了","OK")))))))</f>
        <v/>
      </c>
      <c r="U1137" s="29" t="str">
        <f aca="false">IF($L1137="","",YEAR($L1137))</f>
        <v/>
      </c>
      <c r="V1137" s="40" t="str">
        <f aca="false">IF($C1137="","",ROUND(SUMIF(收款关联,$B1137,收款金额),2))</f>
        <v/>
      </c>
      <c r="W1137" s="40" t="str">
        <f aca="false">IF($C1137="","",MAX(0,ROUND(N($K1137)-N($V1137),2)))</f>
        <v/>
      </c>
      <c r="X1137" s="40" t="str">
        <f aca="false">IF($C1137="","",ROUND(SUMIFS(应收净额,应收键,$D1137,应收行号,"&lt;="&amp;ROW()),2))</f>
        <v/>
      </c>
      <c r="Y1137" s="29" t="str">
        <f aca="false">IF($C1137="","",ROW())</f>
        <v/>
      </c>
    </row>
    <row r="1138" customFormat="false" ht="15" hidden="false" customHeight="false" outlineLevel="0" collapsed="false">
      <c r="A1138" s="29" t="str">
        <f aca="false">IF($C1138="","",ROW()-4)</f>
        <v/>
      </c>
      <c r="B1138" s="35" t="str">
        <f aca="false">IF($C1138="","","YS"&amp;TEXT($C1138,"yyyymm")&amp;"-"&amp;TEXT(ROW()-4,"0000"))</f>
        <v/>
      </c>
      <c r="C1138" s="33"/>
      <c r="D1138" s="24"/>
      <c r="E1138" s="30" t="str">
        <f aca="false">IF($D1138="","",IFERROR(INDEX(合同单位,MATCH($D1138,合同键,0)),IFERROR(TRIM(LEFT($D1138,FIND("｜",$D1138)-1)),$D1138)))</f>
        <v/>
      </c>
      <c r="F1138" s="30" t="str">
        <f aca="false">IF($D1138="","",IFERROR(INDEX(合同项目,MATCH($D1138,合同键,0)),IFERROR(TRIM(MID($D1138,FIND("｜",$D1138)+1,99)),"")))</f>
        <v/>
      </c>
      <c r="G1138" s="24"/>
      <c r="H1138" s="35" t="str">
        <f aca="false">IF($G1138="","",IFERROR(INDEX(费用款别,MATCH($G1138,费用类别表,0)),"合同外款"))</f>
        <v/>
      </c>
      <c r="I1138" s="33"/>
      <c r="J1138" s="33"/>
      <c r="K1138" s="39"/>
      <c r="L1138" s="33"/>
      <c r="M1138" s="25"/>
      <c r="N1138" s="39"/>
      <c r="O1138" s="35" t="str">
        <f aca="false">IF($C1138="","",IF(N($N1138)&lt;=0,"未开票",IF(ROUND(N($N1138)-N($K1138),2)&gt;=0,"已开票",IFERROR("部分开票 "&amp;TEXT(N($N1138)/N($K1138),"0%"),"部分开票"))))</f>
        <v/>
      </c>
      <c r="P1138" s="40" t="str">
        <f aca="false">IF($C1138="","",ROUND($V1138+MIN($W1138,MAX(0,(SUMIF(收款键,$D1138,收款金额)-SUMIFS(收款金额,收款键,$D1138,收款关联,"&lt;&gt;"))-($X1138-$W1138))),2))</f>
        <v/>
      </c>
      <c r="Q1138" s="41" t="str">
        <f aca="false">IF($C1138="","",ROUND(N($K1138)-N($P1138),2))</f>
        <v/>
      </c>
      <c r="R1138" s="29" t="str">
        <f aca="false">IF($C1138="","",YEAR($C1138))</f>
        <v/>
      </c>
      <c r="S1138" s="24"/>
      <c r="T1138" s="35" t="str">
        <f aca="false">IF($C1138="","",IF($D1138="","★没选客户项目",IF(COUNTIF(合同键,$D1138)=0,"★《维保合同》里没这个项目",IF(N($K1138)&lt;=0,"★应收金额要填",IF(ROUND(N($N1138)-N($K1138),2)&gt;0.001,"★开票金额大于应收",IF(AND($L1138&lt;&gt;"",N($N1138)&lt;=0),"★填了开票日期没填开票金额",IF(AND($I1138&lt;&gt;"",$J1138&lt;&gt;"",$J1138&lt;$I1138),"★计费期间起止反了","OK")))))))</f>
        <v/>
      </c>
      <c r="U1138" s="29" t="str">
        <f aca="false">IF($L1138="","",YEAR($L1138))</f>
        <v/>
      </c>
      <c r="V1138" s="40" t="str">
        <f aca="false">IF($C1138="","",ROUND(SUMIF(收款关联,$B1138,收款金额),2))</f>
        <v/>
      </c>
      <c r="W1138" s="40" t="str">
        <f aca="false">IF($C1138="","",MAX(0,ROUND(N($K1138)-N($V1138),2)))</f>
        <v/>
      </c>
      <c r="X1138" s="40" t="str">
        <f aca="false">IF($C1138="","",ROUND(SUMIFS(应收净额,应收键,$D1138,应收行号,"&lt;="&amp;ROW()),2))</f>
        <v/>
      </c>
      <c r="Y1138" s="29" t="str">
        <f aca="false">IF($C1138="","",ROW())</f>
        <v/>
      </c>
    </row>
    <row r="1139" customFormat="false" ht="15" hidden="false" customHeight="false" outlineLevel="0" collapsed="false">
      <c r="A1139" s="29" t="str">
        <f aca="false">IF($C1139="","",ROW()-4)</f>
        <v/>
      </c>
      <c r="B1139" s="35" t="str">
        <f aca="false">IF($C1139="","","YS"&amp;TEXT($C1139,"yyyymm")&amp;"-"&amp;TEXT(ROW()-4,"0000"))</f>
        <v/>
      </c>
      <c r="C1139" s="33"/>
      <c r="D1139" s="24"/>
      <c r="E1139" s="30" t="str">
        <f aca="false">IF($D1139="","",IFERROR(INDEX(合同单位,MATCH($D1139,合同键,0)),IFERROR(TRIM(LEFT($D1139,FIND("｜",$D1139)-1)),$D1139)))</f>
        <v/>
      </c>
      <c r="F1139" s="30" t="str">
        <f aca="false">IF($D1139="","",IFERROR(INDEX(合同项目,MATCH($D1139,合同键,0)),IFERROR(TRIM(MID($D1139,FIND("｜",$D1139)+1,99)),"")))</f>
        <v/>
      </c>
      <c r="G1139" s="24"/>
      <c r="H1139" s="35" t="str">
        <f aca="false">IF($G1139="","",IFERROR(INDEX(费用款别,MATCH($G1139,费用类别表,0)),"合同外款"))</f>
        <v/>
      </c>
      <c r="I1139" s="33"/>
      <c r="J1139" s="33"/>
      <c r="K1139" s="39"/>
      <c r="L1139" s="33"/>
      <c r="M1139" s="25"/>
      <c r="N1139" s="39"/>
      <c r="O1139" s="35" t="str">
        <f aca="false">IF($C1139="","",IF(N($N1139)&lt;=0,"未开票",IF(ROUND(N($N1139)-N($K1139),2)&gt;=0,"已开票",IFERROR("部分开票 "&amp;TEXT(N($N1139)/N($K1139),"0%"),"部分开票"))))</f>
        <v/>
      </c>
      <c r="P1139" s="40" t="str">
        <f aca="false">IF($C1139="","",ROUND($V1139+MIN($W1139,MAX(0,(SUMIF(收款键,$D1139,收款金额)-SUMIFS(收款金额,收款键,$D1139,收款关联,"&lt;&gt;"))-($X1139-$W1139))),2))</f>
        <v/>
      </c>
      <c r="Q1139" s="41" t="str">
        <f aca="false">IF($C1139="","",ROUND(N($K1139)-N($P1139),2))</f>
        <v/>
      </c>
      <c r="R1139" s="29" t="str">
        <f aca="false">IF($C1139="","",YEAR($C1139))</f>
        <v/>
      </c>
      <c r="S1139" s="24"/>
      <c r="T1139" s="35" t="str">
        <f aca="false">IF($C1139="","",IF($D1139="","★没选客户项目",IF(COUNTIF(合同键,$D1139)=0,"★《维保合同》里没这个项目",IF(N($K1139)&lt;=0,"★应收金额要填",IF(ROUND(N($N1139)-N($K1139),2)&gt;0.001,"★开票金额大于应收",IF(AND($L1139&lt;&gt;"",N($N1139)&lt;=0),"★填了开票日期没填开票金额",IF(AND($I1139&lt;&gt;"",$J1139&lt;&gt;"",$J1139&lt;$I1139),"★计费期间起止反了","OK")))))))</f>
        <v/>
      </c>
      <c r="U1139" s="29" t="str">
        <f aca="false">IF($L1139="","",YEAR($L1139))</f>
        <v/>
      </c>
      <c r="V1139" s="40" t="str">
        <f aca="false">IF($C1139="","",ROUND(SUMIF(收款关联,$B1139,收款金额),2))</f>
        <v/>
      </c>
      <c r="W1139" s="40" t="str">
        <f aca="false">IF($C1139="","",MAX(0,ROUND(N($K1139)-N($V1139),2)))</f>
        <v/>
      </c>
      <c r="X1139" s="40" t="str">
        <f aca="false">IF($C1139="","",ROUND(SUMIFS(应收净额,应收键,$D1139,应收行号,"&lt;="&amp;ROW()),2))</f>
        <v/>
      </c>
      <c r="Y1139" s="29" t="str">
        <f aca="false">IF($C1139="","",ROW())</f>
        <v/>
      </c>
    </row>
    <row r="1140" customFormat="false" ht="15" hidden="false" customHeight="false" outlineLevel="0" collapsed="false">
      <c r="A1140" s="29" t="str">
        <f aca="false">IF($C1140="","",ROW()-4)</f>
        <v/>
      </c>
      <c r="B1140" s="35" t="str">
        <f aca="false">IF($C1140="","","YS"&amp;TEXT($C1140,"yyyymm")&amp;"-"&amp;TEXT(ROW()-4,"0000"))</f>
        <v/>
      </c>
      <c r="C1140" s="33"/>
      <c r="D1140" s="24"/>
      <c r="E1140" s="30" t="str">
        <f aca="false">IF($D1140="","",IFERROR(INDEX(合同单位,MATCH($D1140,合同键,0)),IFERROR(TRIM(LEFT($D1140,FIND("｜",$D1140)-1)),$D1140)))</f>
        <v/>
      </c>
      <c r="F1140" s="30" t="str">
        <f aca="false">IF($D1140="","",IFERROR(INDEX(合同项目,MATCH($D1140,合同键,0)),IFERROR(TRIM(MID($D1140,FIND("｜",$D1140)+1,99)),"")))</f>
        <v/>
      </c>
      <c r="G1140" s="24"/>
      <c r="H1140" s="35" t="str">
        <f aca="false">IF($G1140="","",IFERROR(INDEX(费用款别,MATCH($G1140,费用类别表,0)),"合同外款"))</f>
        <v/>
      </c>
      <c r="I1140" s="33"/>
      <c r="J1140" s="33"/>
      <c r="K1140" s="39"/>
      <c r="L1140" s="33"/>
      <c r="M1140" s="25"/>
      <c r="N1140" s="39"/>
      <c r="O1140" s="35" t="str">
        <f aca="false">IF($C1140="","",IF(N($N1140)&lt;=0,"未开票",IF(ROUND(N($N1140)-N($K1140),2)&gt;=0,"已开票",IFERROR("部分开票 "&amp;TEXT(N($N1140)/N($K1140),"0%"),"部分开票"))))</f>
        <v/>
      </c>
      <c r="P1140" s="40" t="str">
        <f aca="false">IF($C1140="","",ROUND($V1140+MIN($W1140,MAX(0,(SUMIF(收款键,$D1140,收款金额)-SUMIFS(收款金额,收款键,$D1140,收款关联,"&lt;&gt;"))-($X1140-$W1140))),2))</f>
        <v/>
      </c>
      <c r="Q1140" s="41" t="str">
        <f aca="false">IF($C1140="","",ROUND(N($K1140)-N($P1140),2))</f>
        <v/>
      </c>
      <c r="R1140" s="29" t="str">
        <f aca="false">IF($C1140="","",YEAR($C1140))</f>
        <v/>
      </c>
      <c r="S1140" s="24"/>
      <c r="T1140" s="35" t="str">
        <f aca="false">IF($C1140="","",IF($D1140="","★没选客户项目",IF(COUNTIF(合同键,$D1140)=0,"★《维保合同》里没这个项目",IF(N($K1140)&lt;=0,"★应收金额要填",IF(ROUND(N($N1140)-N($K1140),2)&gt;0.001,"★开票金额大于应收",IF(AND($L1140&lt;&gt;"",N($N1140)&lt;=0),"★填了开票日期没填开票金额",IF(AND($I1140&lt;&gt;"",$J1140&lt;&gt;"",$J1140&lt;$I1140),"★计费期间起止反了","OK")))))))</f>
        <v/>
      </c>
      <c r="U1140" s="29" t="str">
        <f aca="false">IF($L1140="","",YEAR($L1140))</f>
        <v/>
      </c>
      <c r="V1140" s="40" t="str">
        <f aca="false">IF($C1140="","",ROUND(SUMIF(收款关联,$B1140,收款金额),2))</f>
        <v/>
      </c>
      <c r="W1140" s="40" t="str">
        <f aca="false">IF($C1140="","",MAX(0,ROUND(N($K1140)-N($V1140),2)))</f>
        <v/>
      </c>
      <c r="X1140" s="40" t="str">
        <f aca="false">IF($C1140="","",ROUND(SUMIFS(应收净额,应收键,$D1140,应收行号,"&lt;="&amp;ROW()),2))</f>
        <v/>
      </c>
      <c r="Y1140" s="29" t="str">
        <f aca="false">IF($C1140="","",ROW())</f>
        <v/>
      </c>
    </row>
    <row r="1141" customFormat="false" ht="15" hidden="false" customHeight="false" outlineLevel="0" collapsed="false">
      <c r="A1141" s="29" t="str">
        <f aca="false">IF($C1141="","",ROW()-4)</f>
        <v/>
      </c>
      <c r="B1141" s="35" t="str">
        <f aca="false">IF($C1141="","","YS"&amp;TEXT($C1141,"yyyymm")&amp;"-"&amp;TEXT(ROW()-4,"0000"))</f>
        <v/>
      </c>
      <c r="C1141" s="33"/>
      <c r="D1141" s="24"/>
      <c r="E1141" s="30" t="str">
        <f aca="false">IF($D1141="","",IFERROR(INDEX(合同单位,MATCH($D1141,合同键,0)),IFERROR(TRIM(LEFT($D1141,FIND("｜",$D1141)-1)),$D1141)))</f>
        <v/>
      </c>
      <c r="F1141" s="30" t="str">
        <f aca="false">IF($D1141="","",IFERROR(INDEX(合同项目,MATCH($D1141,合同键,0)),IFERROR(TRIM(MID($D1141,FIND("｜",$D1141)+1,99)),"")))</f>
        <v/>
      </c>
      <c r="G1141" s="24"/>
      <c r="H1141" s="35" t="str">
        <f aca="false">IF($G1141="","",IFERROR(INDEX(费用款别,MATCH($G1141,费用类别表,0)),"合同外款"))</f>
        <v/>
      </c>
      <c r="I1141" s="33"/>
      <c r="J1141" s="33"/>
      <c r="K1141" s="39"/>
      <c r="L1141" s="33"/>
      <c r="M1141" s="25"/>
      <c r="N1141" s="39"/>
      <c r="O1141" s="35" t="str">
        <f aca="false">IF($C1141="","",IF(N($N1141)&lt;=0,"未开票",IF(ROUND(N($N1141)-N($K1141),2)&gt;=0,"已开票",IFERROR("部分开票 "&amp;TEXT(N($N1141)/N($K1141),"0%"),"部分开票"))))</f>
        <v/>
      </c>
      <c r="P1141" s="40" t="str">
        <f aca="false">IF($C1141="","",ROUND($V1141+MIN($W1141,MAX(0,(SUMIF(收款键,$D1141,收款金额)-SUMIFS(收款金额,收款键,$D1141,收款关联,"&lt;&gt;"))-($X1141-$W1141))),2))</f>
        <v/>
      </c>
      <c r="Q1141" s="41" t="str">
        <f aca="false">IF($C1141="","",ROUND(N($K1141)-N($P1141),2))</f>
        <v/>
      </c>
      <c r="R1141" s="29" t="str">
        <f aca="false">IF($C1141="","",YEAR($C1141))</f>
        <v/>
      </c>
      <c r="S1141" s="24"/>
      <c r="T1141" s="35" t="str">
        <f aca="false">IF($C1141="","",IF($D1141="","★没选客户项目",IF(COUNTIF(合同键,$D1141)=0,"★《维保合同》里没这个项目",IF(N($K1141)&lt;=0,"★应收金额要填",IF(ROUND(N($N1141)-N($K1141),2)&gt;0.001,"★开票金额大于应收",IF(AND($L1141&lt;&gt;"",N($N1141)&lt;=0),"★填了开票日期没填开票金额",IF(AND($I1141&lt;&gt;"",$J1141&lt;&gt;"",$J1141&lt;$I1141),"★计费期间起止反了","OK")))))))</f>
        <v/>
      </c>
      <c r="U1141" s="29" t="str">
        <f aca="false">IF($L1141="","",YEAR($L1141))</f>
        <v/>
      </c>
      <c r="V1141" s="40" t="str">
        <f aca="false">IF($C1141="","",ROUND(SUMIF(收款关联,$B1141,收款金额),2))</f>
        <v/>
      </c>
      <c r="W1141" s="40" t="str">
        <f aca="false">IF($C1141="","",MAX(0,ROUND(N($K1141)-N($V1141),2)))</f>
        <v/>
      </c>
      <c r="X1141" s="40" t="str">
        <f aca="false">IF($C1141="","",ROUND(SUMIFS(应收净额,应收键,$D1141,应收行号,"&lt;="&amp;ROW()),2))</f>
        <v/>
      </c>
      <c r="Y1141" s="29" t="str">
        <f aca="false">IF($C1141="","",ROW())</f>
        <v/>
      </c>
    </row>
    <row r="1142" customFormat="false" ht="15" hidden="false" customHeight="false" outlineLevel="0" collapsed="false">
      <c r="A1142" s="29" t="str">
        <f aca="false">IF($C1142="","",ROW()-4)</f>
        <v/>
      </c>
      <c r="B1142" s="35" t="str">
        <f aca="false">IF($C1142="","","YS"&amp;TEXT($C1142,"yyyymm")&amp;"-"&amp;TEXT(ROW()-4,"0000"))</f>
        <v/>
      </c>
      <c r="C1142" s="33"/>
      <c r="D1142" s="24"/>
      <c r="E1142" s="30" t="str">
        <f aca="false">IF($D1142="","",IFERROR(INDEX(合同单位,MATCH($D1142,合同键,0)),IFERROR(TRIM(LEFT($D1142,FIND("｜",$D1142)-1)),$D1142)))</f>
        <v/>
      </c>
      <c r="F1142" s="30" t="str">
        <f aca="false">IF($D1142="","",IFERROR(INDEX(合同项目,MATCH($D1142,合同键,0)),IFERROR(TRIM(MID($D1142,FIND("｜",$D1142)+1,99)),"")))</f>
        <v/>
      </c>
      <c r="G1142" s="24"/>
      <c r="H1142" s="35" t="str">
        <f aca="false">IF($G1142="","",IFERROR(INDEX(费用款别,MATCH($G1142,费用类别表,0)),"合同外款"))</f>
        <v/>
      </c>
      <c r="I1142" s="33"/>
      <c r="J1142" s="33"/>
      <c r="K1142" s="39"/>
      <c r="L1142" s="33"/>
      <c r="M1142" s="25"/>
      <c r="N1142" s="39"/>
      <c r="O1142" s="35" t="str">
        <f aca="false">IF($C1142="","",IF(N($N1142)&lt;=0,"未开票",IF(ROUND(N($N1142)-N($K1142),2)&gt;=0,"已开票",IFERROR("部分开票 "&amp;TEXT(N($N1142)/N($K1142),"0%"),"部分开票"))))</f>
        <v/>
      </c>
      <c r="P1142" s="40" t="str">
        <f aca="false">IF($C1142="","",ROUND($V1142+MIN($W1142,MAX(0,(SUMIF(收款键,$D1142,收款金额)-SUMIFS(收款金额,收款键,$D1142,收款关联,"&lt;&gt;"))-($X1142-$W1142))),2))</f>
        <v/>
      </c>
      <c r="Q1142" s="41" t="str">
        <f aca="false">IF($C1142="","",ROUND(N($K1142)-N($P1142),2))</f>
        <v/>
      </c>
      <c r="R1142" s="29" t="str">
        <f aca="false">IF($C1142="","",YEAR($C1142))</f>
        <v/>
      </c>
      <c r="S1142" s="24"/>
      <c r="T1142" s="35" t="str">
        <f aca="false">IF($C1142="","",IF($D1142="","★没选客户项目",IF(COUNTIF(合同键,$D1142)=0,"★《维保合同》里没这个项目",IF(N($K1142)&lt;=0,"★应收金额要填",IF(ROUND(N($N1142)-N($K1142),2)&gt;0.001,"★开票金额大于应收",IF(AND($L1142&lt;&gt;"",N($N1142)&lt;=0),"★填了开票日期没填开票金额",IF(AND($I1142&lt;&gt;"",$J1142&lt;&gt;"",$J1142&lt;$I1142),"★计费期间起止反了","OK")))))))</f>
        <v/>
      </c>
      <c r="U1142" s="29" t="str">
        <f aca="false">IF($L1142="","",YEAR($L1142))</f>
        <v/>
      </c>
      <c r="V1142" s="40" t="str">
        <f aca="false">IF($C1142="","",ROUND(SUMIF(收款关联,$B1142,收款金额),2))</f>
        <v/>
      </c>
      <c r="W1142" s="40" t="str">
        <f aca="false">IF($C1142="","",MAX(0,ROUND(N($K1142)-N($V1142),2)))</f>
        <v/>
      </c>
      <c r="X1142" s="40" t="str">
        <f aca="false">IF($C1142="","",ROUND(SUMIFS(应收净额,应收键,$D1142,应收行号,"&lt;="&amp;ROW()),2))</f>
        <v/>
      </c>
      <c r="Y1142" s="29" t="str">
        <f aca="false">IF($C1142="","",ROW())</f>
        <v/>
      </c>
    </row>
    <row r="1143" customFormat="false" ht="15" hidden="false" customHeight="false" outlineLevel="0" collapsed="false">
      <c r="A1143" s="29" t="str">
        <f aca="false">IF($C1143="","",ROW()-4)</f>
        <v/>
      </c>
      <c r="B1143" s="35" t="str">
        <f aca="false">IF($C1143="","","YS"&amp;TEXT($C1143,"yyyymm")&amp;"-"&amp;TEXT(ROW()-4,"0000"))</f>
        <v/>
      </c>
      <c r="C1143" s="33"/>
      <c r="D1143" s="24"/>
      <c r="E1143" s="30" t="str">
        <f aca="false">IF($D1143="","",IFERROR(INDEX(合同单位,MATCH($D1143,合同键,0)),IFERROR(TRIM(LEFT($D1143,FIND("｜",$D1143)-1)),$D1143)))</f>
        <v/>
      </c>
      <c r="F1143" s="30" t="str">
        <f aca="false">IF($D1143="","",IFERROR(INDEX(合同项目,MATCH($D1143,合同键,0)),IFERROR(TRIM(MID($D1143,FIND("｜",$D1143)+1,99)),"")))</f>
        <v/>
      </c>
      <c r="G1143" s="24"/>
      <c r="H1143" s="35" t="str">
        <f aca="false">IF($G1143="","",IFERROR(INDEX(费用款别,MATCH($G1143,费用类别表,0)),"合同外款"))</f>
        <v/>
      </c>
      <c r="I1143" s="33"/>
      <c r="J1143" s="33"/>
      <c r="K1143" s="39"/>
      <c r="L1143" s="33"/>
      <c r="M1143" s="25"/>
      <c r="N1143" s="39"/>
      <c r="O1143" s="35" t="str">
        <f aca="false">IF($C1143="","",IF(N($N1143)&lt;=0,"未开票",IF(ROUND(N($N1143)-N($K1143),2)&gt;=0,"已开票",IFERROR("部分开票 "&amp;TEXT(N($N1143)/N($K1143),"0%"),"部分开票"))))</f>
        <v/>
      </c>
      <c r="P1143" s="40" t="str">
        <f aca="false">IF($C1143="","",ROUND($V1143+MIN($W1143,MAX(0,(SUMIF(收款键,$D1143,收款金额)-SUMIFS(收款金额,收款键,$D1143,收款关联,"&lt;&gt;"))-($X1143-$W1143))),2))</f>
        <v/>
      </c>
      <c r="Q1143" s="41" t="str">
        <f aca="false">IF($C1143="","",ROUND(N($K1143)-N($P1143),2))</f>
        <v/>
      </c>
      <c r="R1143" s="29" t="str">
        <f aca="false">IF($C1143="","",YEAR($C1143))</f>
        <v/>
      </c>
      <c r="S1143" s="24"/>
      <c r="T1143" s="35" t="str">
        <f aca="false">IF($C1143="","",IF($D1143="","★没选客户项目",IF(COUNTIF(合同键,$D1143)=0,"★《维保合同》里没这个项目",IF(N($K1143)&lt;=0,"★应收金额要填",IF(ROUND(N($N1143)-N($K1143),2)&gt;0.001,"★开票金额大于应收",IF(AND($L1143&lt;&gt;"",N($N1143)&lt;=0),"★填了开票日期没填开票金额",IF(AND($I1143&lt;&gt;"",$J1143&lt;&gt;"",$J1143&lt;$I1143),"★计费期间起止反了","OK")))))))</f>
        <v/>
      </c>
      <c r="U1143" s="29" t="str">
        <f aca="false">IF($L1143="","",YEAR($L1143))</f>
        <v/>
      </c>
      <c r="V1143" s="40" t="str">
        <f aca="false">IF($C1143="","",ROUND(SUMIF(收款关联,$B1143,收款金额),2))</f>
        <v/>
      </c>
      <c r="W1143" s="40" t="str">
        <f aca="false">IF($C1143="","",MAX(0,ROUND(N($K1143)-N($V1143),2)))</f>
        <v/>
      </c>
      <c r="X1143" s="40" t="str">
        <f aca="false">IF($C1143="","",ROUND(SUMIFS(应收净额,应收键,$D1143,应收行号,"&lt;="&amp;ROW()),2))</f>
        <v/>
      </c>
      <c r="Y1143" s="29" t="str">
        <f aca="false">IF($C1143="","",ROW())</f>
        <v/>
      </c>
    </row>
    <row r="1144" customFormat="false" ht="15" hidden="false" customHeight="false" outlineLevel="0" collapsed="false">
      <c r="A1144" s="29" t="str">
        <f aca="false">IF($C1144="","",ROW()-4)</f>
        <v/>
      </c>
      <c r="B1144" s="35" t="str">
        <f aca="false">IF($C1144="","","YS"&amp;TEXT($C1144,"yyyymm")&amp;"-"&amp;TEXT(ROW()-4,"0000"))</f>
        <v/>
      </c>
      <c r="C1144" s="33"/>
      <c r="D1144" s="24"/>
      <c r="E1144" s="30" t="str">
        <f aca="false">IF($D1144="","",IFERROR(INDEX(合同单位,MATCH($D1144,合同键,0)),IFERROR(TRIM(LEFT($D1144,FIND("｜",$D1144)-1)),$D1144)))</f>
        <v/>
      </c>
      <c r="F1144" s="30" t="str">
        <f aca="false">IF($D1144="","",IFERROR(INDEX(合同项目,MATCH($D1144,合同键,0)),IFERROR(TRIM(MID($D1144,FIND("｜",$D1144)+1,99)),"")))</f>
        <v/>
      </c>
      <c r="G1144" s="24"/>
      <c r="H1144" s="35" t="str">
        <f aca="false">IF($G1144="","",IFERROR(INDEX(费用款别,MATCH($G1144,费用类别表,0)),"合同外款"))</f>
        <v/>
      </c>
      <c r="I1144" s="33"/>
      <c r="J1144" s="33"/>
      <c r="K1144" s="39"/>
      <c r="L1144" s="33"/>
      <c r="M1144" s="25"/>
      <c r="N1144" s="39"/>
      <c r="O1144" s="35" t="str">
        <f aca="false">IF($C1144="","",IF(N($N1144)&lt;=0,"未开票",IF(ROUND(N($N1144)-N($K1144),2)&gt;=0,"已开票",IFERROR("部分开票 "&amp;TEXT(N($N1144)/N($K1144),"0%"),"部分开票"))))</f>
        <v/>
      </c>
      <c r="P1144" s="40" t="str">
        <f aca="false">IF($C1144="","",ROUND($V1144+MIN($W1144,MAX(0,(SUMIF(收款键,$D1144,收款金额)-SUMIFS(收款金额,收款键,$D1144,收款关联,"&lt;&gt;"))-($X1144-$W1144))),2))</f>
        <v/>
      </c>
      <c r="Q1144" s="41" t="str">
        <f aca="false">IF($C1144="","",ROUND(N($K1144)-N($P1144),2))</f>
        <v/>
      </c>
      <c r="R1144" s="29" t="str">
        <f aca="false">IF($C1144="","",YEAR($C1144))</f>
        <v/>
      </c>
      <c r="S1144" s="24"/>
      <c r="T1144" s="35" t="str">
        <f aca="false">IF($C1144="","",IF($D1144="","★没选客户项目",IF(COUNTIF(合同键,$D1144)=0,"★《维保合同》里没这个项目",IF(N($K1144)&lt;=0,"★应收金额要填",IF(ROUND(N($N1144)-N($K1144),2)&gt;0.001,"★开票金额大于应收",IF(AND($L1144&lt;&gt;"",N($N1144)&lt;=0),"★填了开票日期没填开票金额",IF(AND($I1144&lt;&gt;"",$J1144&lt;&gt;"",$J1144&lt;$I1144),"★计费期间起止反了","OK")))))))</f>
        <v/>
      </c>
      <c r="U1144" s="29" t="str">
        <f aca="false">IF($L1144="","",YEAR($L1144))</f>
        <v/>
      </c>
      <c r="V1144" s="40" t="str">
        <f aca="false">IF($C1144="","",ROUND(SUMIF(收款关联,$B1144,收款金额),2))</f>
        <v/>
      </c>
      <c r="W1144" s="40" t="str">
        <f aca="false">IF($C1144="","",MAX(0,ROUND(N($K1144)-N($V1144),2)))</f>
        <v/>
      </c>
      <c r="X1144" s="40" t="str">
        <f aca="false">IF($C1144="","",ROUND(SUMIFS(应收净额,应收键,$D1144,应收行号,"&lt;="&amp;ROW()),2))</f>
        <v/>
      </c>
      <c r="Y1144" s="29" t="str">
        <f aca="false">IF($C1144="","",ROW())</f>
        <v/>
      </c>
    </row>
    <row r="1145" customFormat="false" ht="15" hidden="false" customHeight="false" outlineLevel="0" collapsed="false">
      <c r="A1145" s="29" t="str">
        <f aca="false">IF($C1145="","",ROW()-4)</f>
        <v/>
      </c>
      <c r="B1145" s="35" t="str">
        <f aca="false">IF($C1145="","","YS"&amp;TEXT($C1145,"yyyymm")&amp;"-"&amp;TEXT(ROW()-4,"0000"))</f>
        <v/>
      </c>
      <c r="C1145" s="33"/>
      <c r="D1145" s="24"/>
      <c r="E1145" s="30" t="str">
        <f aca="false">IF($D1145="","",IFERROR(INDEX(合同单位,MATCH($D1145,合同键,0)),IFERROR(TRIM(LEFT($D1145,FIND("｜",$D1145)-1)),$D1145)))</f>
        <v/>
      </c>
      <c r="F1145" s="30" t="str">
        <f aca="false">IF($D1145="","",IFERROR(INDEX(合同项目,MATCH($D1145,合同键,0)),IFERROR(TRIM(MID($D1145,FIND("｜",$D1145)+1,99)),"")))</f>
        <v/>
      </c>
      <c r="G1145" s="24"/>
      <c r="H1145" s="35" t="str">
        <f aca="false">IF($G1145="","",IFERROR(INDEX(费用款别,MATCH($G1145,费用类别表,0)),"合同外款"))</f>
        <v/>
      </c>
      <c r="I1145" s="33"/>
      <c r="J1145" s="33"/>
      <c r="K1145" s="39"/>
      <c r="L1145" s="33"/>
      <c r="M1145" s="25"/>
      <c r="N1145" s="39"/>
      <c r="O1145" s="35" t="str">
        <f aca="false">IF($C1145="","",IF(N($N1145)&lt;=0,"未开票",IF(ROUND(N($N1145)-N($K1145),2)&gt;=0,"已开票",IFERROR("部分开票 "&amp;TEXT(N($N1145)/N($K1145),"0%"),"部分开票"))))</f>
        <v/>
      </c>
      <c r="P1145" s="40" t="str">
        <f aca="false">IF($C1145="","",ROUND($V1145+MIN($W1145,MAX(0,(SUMIF(收款键,$D1145,收款金额)-SUMIFS(收款金额,收款键,$D1145,收款关联,"&lt;&gt;"))-($X1145-$W1145))),2))</f>
        <v/>
      </c>
      <c r="Q1145" s="41" t="str">
        <f aca="false">IF($C1145="","",ROUND(N($K1145)-N($P1145),2))</f>
        <v/>
      </c>
      <c r="R1145" s="29" t="str">
        <f aca="false">IF($C1145="","",YEAR($C1145))</f>
        <v/>
      </c>
      <c r="S1145" s="24"/>
      <c r="T1145" s="35" t="str">
        <f aca="false">IF($C1145="","",IF($D1145="","★没选客户项目",IF(COUNTIF(合同键,$D1145)=0,"★《维保合同》里没这个项目",IF(N($K1145)&lt;=0,"★应收金额要填",IF(ROUND(N($N1145)-N($K1145),2)&gt;0.001,"★开票金额大于应收",IF(AND($L1145&lt;&gt;"",N($N1145)&lt;=0),"★填了开票日期没填开票金额",IF(AND($I1145&lt;&gt;"",$J1145&lt;&gt;"",$J1145&lt;$I1145),"★计费期间起止反了","OK")))))))</f>
        <v/>
      </c>
      <c r="U1145" s="29" t="str">
        <f aca="false">IF($L1145="","",YEAR($L1145))</f>
        <v/>
      </c>
      <c r="V1145" s="40" t="str">
        <f aca="false">IF($C1145="","",ROUND(SUMIF(收款关联,$B1145,收款金额),2))</f>
        <v/>
      </c>
      <c r="W1145" s="40" t="str">
        <f aca="false">IF($C1145="","",MAX(0,ROUND(N($K1145)-N($V1145),2)))</f>
        <v/>
      </c>
      <c r="X1145" s="40" t="str">
        <f aca="false">IF($C1145="","",ROUND(SUMIFS(应收净额,应收键,$D1145,应收行号,"&lt;="&amp;ROW()),2))</f>
        <v/>
      </c>
      <c r="Y1145" s="29" t="str">
        <f aca="false">IF($C1145="","",ROW())</f>
        <v/>
      </c>
    </row>
    <row r="1146" customFormat="false" ht="15" hidden="false" customHeight="false" outlineLevel="0" collapsed="false">
      <c r="A1146" s="29" t="str">
        <f aca="false">IF($C1146="","",ROW()-4)</f>
        <v/>
      </c>
      <c r="B1146" s="35" t="str">
        <f aca="false">IF($C1146="","","YS"&amp;TEXT($C1146,"yyyymm")&amp;"-"&amp;TEXT(ROW()-4,"0000"))</f>
        <v/>
      </c>
      <c r="C1146" s="33"/>
      <c r="D1146" s="24"/>
      <c r="E1146" s="30" t="str">
        <f aca="false">IF($D1146="","",IFERROR(INDEX(合同单位,MATCH($D1146,合同键,0)),IFERROR(TRIM(LEFT($D1146,FIND("｜",$D1146)-1)),$D1146)))</f>
        <v/>
      </c>
      <c r="F1146" s="30" t="str">
        <f aca="false">IF($D1146="","",IFERROR(INDEX(合同项目,MATCH($D1146,合同键,0)),IFERROR(TRIM(MID($D1146,FIND("｜",$D1146)+1,99)),"")))</f>
        <v/>
      </c>
      <c r="G1146" s="24"/>
      <c r="H1146" s="35" t="str">
        <f aca="false">IF($G1146="","",IFERROR(INDEX(费用款别,MATCH($G1146,费用类别表,0)),"合同外款"))</f>
        <v/>
      </c>
      <c r="I1146" s="33"/>
      <c r="J1146" s="33"/>
      <c r="K1146" s="39"/>
      <c r="L1146" s="33"/>
      <c r="M1146" s="25"/>
      <c r="N1146" s="39"/>
      <c r="O1146" s="35" t="str">
        <f aca="false">IF($C1146="","",IF(N($N1146)&lt;=0,"未开票",IF(ROUND(N($N1146)-N($K1146),2)&gt;=0,"已开票",IFERROR("部分开票 "&amp;TEXT(N($N1146)/N($K1146),"0%"),"部分开票"))))</f>
        <v/>
      </c>
      <c r="P1146" s="40" t="str">
        <f aca="false">IF($C1146="","",ROUND($V1146+MIN($W1146,MAX(0,(SUMIF(收款键,$D1146,收款金额)-SUMIFS(收款金额,收款键,$D1146,收款关联,"&lt;&gt;"))-($X1146-$W1146))),2))</f>
        <v/>
      </c>
      <c r="Q1146" s="41" t="str">
        <f aca="false">IF($C1146="","",ROUND(N($K1146)-N($P1146),2))</f>
        <v/>
      </c>
      <c r="R1146" s="29" t="str">
        <f aca="false">IF($C1146="","",YEAR($C1146))</f>
        <v/>
      </c>
      <c r="S1146" s="24"/>
      <c r="T1146" s="35" t="str">
        <f aca="false">IF($C1146="","",IF($D1146="","★没选客户项目",IF(COUNTIF(合同键,$D1146)=0,"★《维保合同》里没这个项目",IF(N($K1146)&lt;=0,"★应收金额要填",IF(ROUND(N($N1146)-N($K1146),2)&gt;0.001,"★开票金额大于应收",IF(AND($L1146&lt;&gt;"",N($N1146)&lt;=0),"★填了开票日期没填开票金额",IF(AND($I1146&lt;&gt;"",$J1146&lt;&gt;"",$J1146&lt;$I1146),"★计费期间起止反了","OK")))))))</f>
        <v/>
      </c>
      <c r="U1146" s="29" t="str">
        <f aca="false">IF($L1146="","",YEAR($L1146))</f>
        <v/>
      </c>
      <c r="V1146" s="40" t="str">
        <f aca="false">IF($C1146="","",ROUND(SUMIF(收款关联,$B1146,收款金额),2))</f>
        <v/>
      </c>
      <c r="W1146" s="40" t="str">
        <f aca="false">IF($C1146="","",MAX(0,ROUND(N($K1146)-N($V1146),2)))</f>
        <v/>
      </c>
      <c r="X1146" s="40" t="str">
        <f aca="false">IF($C1146="","",ROUND(SUMIFS(应收净额,应收键,$D1146,应收行号,"&lt;="&amp;ROW()),2))</f>
        <v/>
      </c>
      <c r="Y1146" s="29" t="str">
        <f aca="false">IF($C1146="","",ROW())</f>
        <v/>
      </c>
    </row>
    <row r="1147" customFormat="false" ht="15" hidden="false" customHeight="false" outlineLevel="0" collapsed="false">
      <c r="A1147" s="29" t="str">
        <f aca="false">IF($C1147="","",ROW()-4)</f>
        <v/>
      </c>
      <c r="B1147" s="35" t="str">
        <f aca="false">IF($C1147="","","YS"&amp;TEXT($C1147,"yyyymm")&amp;"-"&amp;TEXT(ROW()-4,"0000"))</f>
        <v/>
      </c>
      <c r="C1147" s="33"/>
      <c r="D1147" s="24"/>
      <c r="E1147" s="30" t="str">
        <f aca="false">IF($D1147="","",IFERROR(INDEX(合同单位,MATCH($D1147,合同键,0)),IFERROR(TRIM(LEFT($D1147,FIND("｜",$D1147)-1)),$D1147)))</f>
        <v/>
      </c>
      <c r="F1147" s="30" t="str">
        <f aca="false">IF($D1147="","",IFERROR(INDEX(合同项目,MATCH($D1147,合同键,0)),IFERROR(TRIM(MID($D1147,FIND("｜",$D1147)+1,99)),"")))</f>
        <v/>
      </c>
      <c r="G1147" s="24"/>
      <c r="H1147" s="35" t="str">
        <f aca="false">IF($G1147="","",IFERROR(INDEX(费用款别,MATCH($G1147,费用类别表,0)),"合同外款"))</f>
        <v/>
      </c>
      <c r="I1147" s="33"/>
      <c r="J1147" s="33"/>
      <c r="K1147" s="39"/>
      <c r="L1147" s="33"/>
      <c r="M1147" s="25"/>
      <c r="N1147" s="39"/>
      <c r="O1147" s="35" t="str">
        <f aca="false">IF($C1147="","",IF(N($N1147)&lt;=0,"未开票",IF(ROUND(N($N1147)-N($K1147),2)&gt;=0,"已开票",IFERROR("部分开票 "&amp;TEXT(N($N1147)/N($K1147),"0%"),"部分开票"))))</f>
        <v/>
      </c>
      <c r="P1147" s="40" t="str">
        <f aca="false">IF($C1147="","",ROUND($V1147+MIN($W1147,MAX(0,(SUMIF(收款键,$D1147,收款金额)-SUMIFS(收款金额,收款键,$D1147,收款关联,"&lt;&gt;"))-($X1147-$W1147))),2))</f>
        <v/>
      </c>
      <c r="Q1147" s="41" t="str">
        <f aca="false">IF($C1147="","",ROUND(N($K1147)-N($P1147),2))</f>
        <v/>
      </c>
      <c r="R1147" s="29" t="str">
        <f aca="false">IF($C1147="","",YEAR($C1147))</f>
        <v/>
      </c>
      <c r="S1147" s="24"/>
      <c r="T1147" s="35" t="str">
        <f aca="false">IF($C1147="","",IF($D1147="","★没选客户项目",IF(COUNTIF(合同键,$D1147)=0,"★《维保合同》里没这个项目",IF(N($K1147)&lt;=0,"★应收金额要填",IF(ROUND(N($N1147)-N($K1147),2)&gt;0.001,"★开票金额大于应收",IF(AND($L1147&lt;&gt;"",N($N1147)&lt;=0),"★填了开票日期没填开票金额",IF(AND($I1147&lt;&gt;"",$J1147&lt;&gt;"",$J1147&lt;$I1147),"★计费期间起止反了","OK")))))))</f>
        <v/>
      </c>
      <c r="U1147" s="29" t="str">
        <f aca="false">IF($L1147="","",YEAR($L1147))</f>
        <v/>
      </c>
      <c r="V1147" s="40" t="str">
        <f aca="false">IF($C1147="","",ROUND(SUMIF(收款关联,$B1147,收款金额),2))</f>
        <v/>
      </c>
      <c r="W1147" s="40" t="str">
        <f aca="false">IF($C1147="","",MAX(0,ROUND(N($K1147)-N($V1147),2)))</f>
        <v/>
      </c>
      <c r="X1147" s="40" t="str">
        <f aca="false">IF($C1147="","",ROUND(SUMIFS(应收净额,应收键,$D1147,应收行号,"&lt;="&amp;ROW()),2))</f>
        <v/>
      </c>
      <c r="Y1147" s="29" t="str">
        <f aca="false">IF($C1147="","",ROW())</f>
        <v/>
      </c>
    </row>
    <row r="1148" customFormat="false" ht="15" hidden="false" customHeight="false" outlineLevel="0" collapsed="false">
      <c r="A1148" s="29" t="str">
        <f aca="false">IF($C1148="","",ROW()-4)</f>
        <v/>
      </c>
      <c r="B1148" s="35" t="str">
        <f aca="false">IF($C1148="","","YS"&amp;TEXT($C1148,"yyyymm")&amp;"-"&amp;TEXT(ROW()-4,"0000"))</f>
        <v/>
      </c>
      <c r="C1148" s="33"/>
      <c r="D1148" s="24"/>
      <c r="E1148" s="30" t="str">
        <f aca="false">IF($D1148="","",IFERROR(INDEX(合同单位,MATCH($D1148,合同键,0)),IFERROR(TRIM(LEFT($D1148,FIND("｜",$D1148)-1)),$D1148)))</f>
        <v/>
      </c>
      <c r="F1148" s="30" t="str">
        <f aca="false">IF($D1148="","",IFERROR(INDEX(合同项目,MATCH($D1148,合同键,0)),IFERROR(TRIM(MID($D1148,FIND("｜",$D1148)+1,99)),"")))</f>
        <v/>
      </c>
      <c r="G1148" s="24"/>
      <c r="H1148" s="35" t="str">
        <f aca="false">IF($G1148="","",IFERROR(INDEX(费用款别,MATCH($G1148,费用类别表,0)),"合同外款"))</f>
        <v/>
      </c>
      <c r="I1148" s="33"/>
      <c r="J1148" s="33"/>
      <c r="K1148" s="39"/>
      <c r="L1148" s="33"/>
      <c r="M1148" s="25"/>
      <c r="N1148" s="39"/>
      <c r="O1148" s="35" t="str">
        <f aca="false">IF($C1148="","",IF(N($N1148)&lt;=0,"未开票",IF(ROUND(N($N1148)-N($K1148),2)&gt;=0,"已开票",IFERROR("部分开票 "&amp;TEXT(N($N1148)/N($K1148),"0%"),"部分开票"))))</f>
        <v/>
      </c>
      <c r="P1148" s="40" t="str">
        <f aca="false">IF($C1148="","",ROUND($V1148+MIN($W1148,MAX(0,(SUMIF(收款键,$D1148,收款金额)-SUMIFS(收款金额,收款键,$D1148,收款关联,"&lt;&gt;"))-($X1148-$W1148))),2))</f>
        <v/>
      </c>
      <c r="Q1148" s="41" t="str">
        <f aca="false">IF($C1148="","",ROUND(N($K1148)-N($P1148),2))</f>
        <v/>
      </c>
      <c r="R1148" s="29" t="str">
        <f aca="false">IF($C1148="","",YEAR($C1148))</f>
        <v/>
      </c>
      <c r="S1148" s="24"/>
      <c r="T1148" s="35" t="str">
        <f aca="false">IF($C1148="","",IF($D1148="","★没选客户项目",IF(COUNTIF(合同键,$D1148)=0,"★《维保合同》里没这个项目",IF(N($K1148)&lt;=0,"★应收金额要填",IF(ROUND(N($N1148)-N($K1148),2)&gt;0.001,"★开票金额大于应收",IF(AND($L1148&lt;&gt;"",N($N1148)&lt;=0),"★填了开票日期没填开票金额",IF(AND($I1148&lt;&gt;"",$J1148&lt;&gt;"",$J1148&lt;$I1148),"★计费期间起止反了","OK")))))))</f>
        <v/>
      </c>
      <c r="U1148" s="29" t="str">
        <f aca="false">IF($L1148="","",YEAR($L1148))</f>
        <v/>
      </c>
      <c r="V1148" s="40" t="str">
        <f aca="false">IF($C1148="","",ROUND(SUMIF(收款关联,$B1148,收款金额),2))</f>
        <v/>
      </c>
      <c r="W1148" s="40" t="str">
        <f aca="false">IF($C1148="","",MAX(0,ROUND(N($K1148)-N($V1148),2)))</f>
        <v/>
      </c>
      <c r="X1148" s="40" t="str">
        <f aca="false">IF($C1148="","",ROUND(SUMIFS(应收净额,应收键,$D1148,应收行号,"&lt;="&amp;ROW()),2))</f>
        <v/>
      </c>
      <c r="Y1148" s="29" t="str">
        <f aca="false">IF($C1148="","",ROW())</f>
        <v/>
      </c>
    </row>
    <row r="1149" customFormat="false" ht="15" hidden="false" customHeight="false" outlineLevel="0" collapsed="false">
      <c r="A1149" s="29" t="str">
        <f aca="false">IF($C1149="","",ROW()-4)</f>
        <v/>
      </c>
      <c r="B1149" s="35" t="str">
        <f aca="false">IF($C1149="","","YS"&amp;TEXT($C1149,"yyyymm")&amp;"-"&amp;TEXT(ROW()-4,"0000"))</f>
        <v/>
      </c>
      <c r="C1149" s="33"/>
      <c r="D1149" s="24"/>
      <c r="E1149" s="30" t="str">
        <f aca="false">IF($D1149="","",IFERROR(INDEX(合同单位,MATCH($D1149,合同键,0)),IFERROR(TRIM(LEFT($D1149,FIND("｜",$D1149)-1)),$D1149)))</f>
        <v/>
      </c>
      <c r="F1149" s="30" t="str">
        <f aca="false">IF($D1149="","",IFERROR(INDEX(合同项目,MATCH($D1149,合同键,0)),IFERROR(TRIM(MID($D1149,FIND("｜",$D1149)+1,99)),"")))</f>
        <v/>
      </c>
      <c r="G1149" s="24"/>
      <c r="H1149" s="35" t="str">
        <f aca="false">IF($G1149="","",IFERROR(INDEX(费用款别,MATCH($G1149,费用类别表,0)),"合同外款"))</f>
        <v/>
      </c>
      <c r="I1149" s="33"/>
      <c r="J1149" s="33"/>
      <c r="K1149" s="39"/>
      <c r="L1149" s="33"/>
      <c r="M1149" s="25"/>
      <c r="N1149" s="39"/>
      <c r="O1149" s="35" t="str">
        <f aca="false">IF($C1149="","",IF(N($N1149)&lt;=0,"未开票",IF(ROUND(N($N1149)-N($K1149),2)&gt;=0,"已开票",IFERROR("部分开票 "&amp;TEXT(N($N1149)/N($K1149),"0%"),"部分开票"))))</f>
        <v/>
      </c>
      <c r="P1149" s="40" t="str">
        <f aca="false">IF($C1149="","",ROUND($V1149+MIN($W1149,MAX(0,(SUMIF(收款键,$D1149,收款金额)-SUMIFS(收款金额,收款键,$D1149,收款关联,"&lt;&gt;"))-($X1149-$W1149))),2))</f>
        <v/>
      </c>
      <c r="Q1149" s="41" t="str">
        <f aca="false">IF($C1149="","",ROUND(N($K1149)-N($P1149),2))</f>
        <v/>
      </c>
      <c r="R1149" s="29" t="str">
        <f aca="false">IF($C1149="","",YEAR($C1149))</f>
        <v/>
      </c>
      <c r="S1149" s="24"/>
      <c r="T1149" s="35" t="str">
        <f aca="false">IF($C1149="","",IF($D1149="","★没选客户项目",IF(COUNTIF(合同键,$D1149)=0,"★《维保合同》里没这个项目",IF(N($K1149)&lt;=0,"★应收金额要填",IF(ROUND(N($N1149)-N($K1149),2)&gt;0.001,"★开票金额大于应收",IF(AND($L1149&lt;&gt;"",N($N1149)&lt;=0),"★填了开票日期没填开票金额",IF(AND($I1149&lt;&gt;"",$J1149&lt;&gt;"",$J1149&lt;$I1149),"★计费期间起止反了","OK")))))))</f>
        <v/>
      </c>
      <c r="U1149" s="29" t="str">
        <f aca="false">IF($L1149="","",YEAR($L1149))</f>
        <v/>
      </c>
      <c r="V1149" s="40" t="str">
        <f aca="false">IF($C1149="","",ROUND(SUMIF(收款关联,$B1149,收款金额),2))</f>
        <v/>
      </c>
      <c r="W1149" s="40" t="str">
        <f aca="false">IF($C1149="","",MAX(0,ROUND(N($K1149)-N($V1149),2)))</f>
        <v/>
      </c>
      <c r="X1149" s="40" t="str">
        <f aca="false">IF($C1149="","",ROUND(SUMIFS(应收净额,应收键,$D1149,应收行号,"&lt;="&amp;ROW()),2))</f>
        <v/>
      </c>
      <c r="Y1149" s="29" t="str">
        <f aca="false">IF($C1149="","",ROW())</f>
        <v/>
      </c>
    </row>
    <row r="1150" customFormat="false" ht="15" hidden="false" customHeight="false" outlineLevel="0" collapsed="false">
      <c r="A1150" s="29" t="str">
        <f aca="false">IF($C1150="","",ROW()-4)</f>
        <v/>
      </c>
      <c r="B1150" s="35" t="str">
        <f aca="false">IF($C1150="","","YS"&amp;TEXT($C1150,"yyyymm")&amp;"-"&amp;TEXT(ROW()-4,"0000"))</f>
        <v/>
      </c>
      <c r="C1150" s="33"/>
      <c r="D1150" s="24"/>
      <c r="E1150" s="30" t="str">
        <f aca="false">IF($D1150="","",IFERROR(INDEX(合同单位,MATCH($D1150,合同键,0)),IFERROR(TRIM(LEFT($D1150,FIND("｜",$D1150)-1)),$D1150)))</f>
        <v/>
      </c>
      <c r="F1150" s="30" t="str">
        <f aca="false">IF($D1150="","",IFERROR(INDEX(合同项目,MATCH($D1150,合同键,0)),IFERROR(TRIM(MID($D1150,FIND("｜",$D1150)+1,99)),"")))</f>
        <v/>
      </c>
      <c r="G1150" s="24"/>
      <c r="H1150" s="35" t="str">
        <f aca="false">IF($G1150="","",IFERROR(INDEX(费用款别,MATCH($G1150,费用类别表,0)),"合同外款"))</f>
        <v/>
      </c>
      <c r="I1150" s="33"/>
      <c r="J1150" s="33"/>
      <c r="K1150" s="39"/>
      <c r="L1150" s="33"/>
      <c r="M1150" s="25"/>
      <c r="N1150" s="39"/>
      <c r="O1150" s="35" t="str">
        <f aca="false">IF($C1150="","",IF(N($N1150)&lt;=0,"未开票",IF(ROUND(N($N1150)-N($K1150),2)&gt;=0,"已开票",IFERROR("部分开票 "&amp;TEXT(N($N1150)/N($K1150),"0%"),"部分开票"))))</f>
        <v/>
      </c>
      <c r="P1150" s="40" t="str">
        <f aca="false">IF($C1150="","",ROUND($V1150+MIN($W1150,MAX(0,(SUMIF(收款键,$D1150,收款金额)-SUMIFS(收款金额,收款键,$D1150,收款关联,"&lt;&gt;"))-($X1150-$W1150))),2))</f>
        <v/>
      </c>
      <c r="Q1150" s="41" t="str">
        <f aca="false">IF($C1150="","",ROUND(N($K1150)-N($P1150),2))</f>
        <v/>
      </c>
      <c r="R1150" s="29" t="str">
        <f aca="false">IF($C1150="","",YEAR($C1150))</f>
        <v/>
      </c>
      <c r="S1150" s="24"/>
      <c r="T1150" s="35" t="str">
        <f aca="false">IF($C1150="","",IF($D1150="","★没选客户项目",IF(COUNTIF(合同键,$D1150)=0,"★《维保合同》里没这个项目",IF(N($K1150)&lt;=0,"★应收金额要填",IF(ROUND(N($N1150)-N($K1150),2)&gt;0.001,"★开票金额大于应收",IF(AND($L1150&lt;&gt;"",N($N1150)&lt;=0),"★填了开票日期没填开票金额",IF(AND($I1150&lt;&gt;"",$J1150&lt;&gt;"",$J1150&lt;$I1150),"★计费期间起止反了","OK")))))))</f>
        <v/>
      </c>
      <c r="U1150" s="29" t="str">
        <f aca="false">IF($L1150="","",YEAR($L1150))</f>
        <v/>
      </c>
      <c r="V1150" s="40" t="str">
        <f aca="false">IF($C1150="","",ROUND(SUMIF(收款关联,$B1150,收款金额),2))</f>
        <v/>
      </c>
      <c r="W1150" s="40" t="str">
        <f aca="false">IF($C1150="","",MAX(0,ROUND(N($K1150)-N($V1150),2)))</f>
        <v/>
      </c>
      <c r="X1150" s="40" t="str">
        <f aca="false">IF($C1150="","",ROUND(SUMIFS(应收净额,应收键,$D1150,应收行号,"&lt;="&amp;ROW()),2))</f>
        <v/>
      </c>
      <c r="Y1150" s="29" t="str">
        <f aca="false">IF($C1150="","",ROW())</f>
        <v/>
      </c>
    </row>
    <row r="1151" customFormat="false" ht="15" hidden="false" customHeight="false" outlineLevel="0" collapsed="false">
      <c r="A1151" s="29" t="str">
        <f aca="false">IF($C1151="","",ROW()-4)</f>
        <v/>
      </c>
      <c r="B1151" s="35" t="str">
        <f aca="false">IF($C1151="","","YS"&amp;TEXT($C1151,"yyyymm")&amp;"-"&amp;TEXT(ROW()-4,"0000"))</f>
        <v/>
      </c>
      <c r="C1151" s="33"/>
      <c r="D1151" s="24"/>
      <c r="E1151" s="30" t="str">
        <f aca="false">IF($D1151="","",IFERROR(INDEX(合同单位,MATCH($D1151,合同键,0)),IFERROR(TRIM(LEFT($D1151,FIND("｜",$D1151)-1)),$D1151)))</f>
        <v/>
      </c>
      <c r="F1151" s="30" t="str">
        <f aca="false">IF($D1151="","",IFERROR(INDEX(合同项目,MATCH($D1151,合同键,0)),IFERROR(TRIM(MID($D1151,FIND("｜",$D1151)+1,99)),"")))</f>
        <v/>
      </c>
      <c r="G1151" s="24"/>
      <c r="H1151" s="35" t="str">
        <f aca="false">IF($G1151="","",IFERROR(INDEX(费用款别,MATCH($G1151,费用类别表,0)),"合同外款"))</f>
        <v/>
      </c>
      <c r="I1151" s="33"/>
      <c r="J1151" s="33"/>
      <c r="K1151" s="39"/>
      <c r="L1151" s="33"/>
      <c r="M1151" s="25"/>
      <c r="N1151" s="39"/>
      <c r="O1151" s="35" t="str">
        <f aca="false">IF($C1151="","",IF(N($N1151)&lt;=0,"未开票",IF(ROUND(N($N1151)-N($K1151),2)&gt;=0,"已开票",IFERROR("部分开票 "&amp;TEXT(N($N1151)/N($K1151),"0%"),"部分开票"))))</f>
        <v/>
      </c>
      <c r="P1151" s="40" t="str">
        <f aca="false">IF($C1151="","",ROUND($V1151+MIN($W1151,MAX(0,(SUMIF(收款键,$D1151,收款金额)-SUMIFS(收款金额,收款键,$D1151,收款关联,"&lt;&gt;"))-($X1151-$W1151))),2))</f>
        <v/>
      </c>
      <c r="Q1151" s="41" t="str">
        <f aca="false">IF($C1151="","",ROUND(N($K1151)-N($P1151),2))</f>
        <v/>
      </c>
      <c r="R1151" s="29" t="str">
        <f aca="false">IF($C1151="","",YEAR($C1151))</f>
        <v/>
      </c>
      <c r="S1151" s="24"/>
      <c r="T1151" s="35" t="str">
        <f aca="false">IF($C1151="","",IF($D1151="","★没选客户项目",IF(COUNTIF(合同键,$D1151)=0,"★《维保合同》里没这个项目",IF(N($K1151)&lt;=0,"★应收金额要填",IF(ROUND(N($N1151)-N($K1151),2)&gt;0.001,"★开票金额大于应收",IF(AND($L1151&lt;&gt;"",N($N1151)&lt;=0),"★填了开票日期没填开票金额",IF(AND($I1151&lt;&gt;"",$J1151&lt;&gt;"",$J1151&lt;$I1151),"★计费期间起止反了","OK")))))))</f>
        <v/>
      </c>
      <c r="U1151" s="29" t="str">
        <f aca="false">IF($L1151="","",YEAR($L1151))</f>
        <v/>
      </c>
      <c r="V1151" s="40" t="str">
        <f aca="false">IF($C1151="","",ROUND(SUMIF(收款关联,$B1151,收款金额),2))</f>
        <v/>
      </c>
      <c r="W1151" s="40" t="str">
        <f aca="false">IF($C1151="","",MAX(0,ROUND(N($K1151)-N($V1151),2)))</f>
        <v/>
      </c>
      <c r="X1151" s="40" t="str">
        <f aca="false">IF($C1151="","",ROUND(SUMIFS(应收净额,应收键,$D1151,应收行号,"&lt;="&amp;ROW()),2))</f>
        <v/>
      </c>
      <c r="Y1151" s="29" t="str">
        <f aca="false">IF($C1151="","",ROW())</f>
        <v/>
      </c>
    </row>
    <row r="1152" customFormat="false" ht="15" hidden="false" customHeight="false" outlineLevel="0" collapsed="false">
      <c r="A1152" s="29" t="str">
        <f aca="false">IF($C1152="","",ROW()-4)</f>
        <v/>
      </c>
      <c r="B1152" s="35" t="str">
        <f aca="false">IF($C1152="","","YS"&amp;TEXT($C1152,"yyyymm")&amp;"-"&amp;TEXT(ROW()-4,"0000"))</f>
        <v/>
      </c>
      <c r="C1152" s="33"/>
      <c r="D1152" s="24"/>
      <c r="E1152" s="30" t="str">
        <f aca="false">IF($D1152="","",IFERROR(INDEX(合同单位,MATCH($D1152,合同键,0)),IFERROR(TRIM(LEFT($D1152,FIND("｜",$D1152)-1)),$D1152)))</f>
        <v/>
      </c>
      <c r="F1152" s="30" t="str">
        <f aca="false">IF($D1152="","",IFERROR(INDEX(合同项目,MATCH($D1152,合同键,0)),IFERROR(TRIM(MID($D1152,FIND("｜",$D1152)+1,99)),"")))</f>
        <v/>
      </c>
      <c r="G1152" s="24"/>
      <c r="H1152" s="35" t="str">
        <f aca="false">IF($G1152="","",IFERROR(INDEX(费用款别,MATCH($G1152,费用类别表,0)),"合同外款"))</f>
        <v/>
      </c>
      <c r="I1152" s="33"/>
      <c r="J1152" s="33"/>
      <c r="K1152" s="39"/>
      <c r="L1152" s="33"/>
      <c r="M1152" s="25"/>
      <c r="N1152" s="39"/>
      <c r="O1152" s="35" t="str">
        <f aca="false">IF($C1152="","",IF(N($N1152)&lt;=0,"未开票",IF(ROUND(N($N1152)-N($K1152),2)&gt;=0,"已开票",IFERROR("部分开票 "&amp;TEXT(N($N1152)/N($K1152),"0%"),"部分开票"))))</f>
        <v/>
      </c>
      <c r="P1152" s="40" t="str">
        <f aca="false">IF($C1152="","",ROUND($V1152+MIN($W1152,MAX(0,(SUMIF(收款键,$D1152,收款金额)-SUMIFS(收款金额,收款键,$D1152,收款关联,"&lt;&gt;"))-($X1152-$W1152))),2))</f>
        <v/>
      </c>
      <c r="Q1152" s="41" t="str">
        <f aca="false">IF($C1152="","",ROUND(N($K1152)-N($P1152),2))</f>
        <v/>
      </c>
      <c r="R1152" s="29" t="str">
        <f aca="false">IF($C1152="","",YEAR($C1152))</f>
        <v/>
      </c>
      <c r="S1152" s="24"/>
      <c r="T1152" s="35" t="str">
        <f aca="false">IF($C1152="","",IF($D1152="","★没选客户项目",IF(COUNTIF(合同键,$D1152)=0,"★《维保合同》里没这个项目",IF(N($K1152)&lt;=0,"★应收金额要填",IF(ROUND(N($N1152)-N($K1152),2)&gt;0.001,"★开票金额大于应收",IF(AND($L1152&lt;&gt;"",N($N1152)&lt;=0),"★填了开票日期没填开票金额",IF(AND($I1152&lt;&gt;"",$J1152&lt;&gt;"",$J1152&lt;$I1152),"★计费期间起止反了","OK")))))))</f>
        <v/>
      </c>
      <c r="U1152" s="29" t="str">
        <f aca="false">IF($L1152="","",YEAR($L1152))</f>
        <v/>
      </c>
      <c r="V1152" s="40" t="str">
        <f aca="false">IF($C1152="","",ROUND(SUMIF(收款关联,$B1152,收款金额),2))</f>
        <v/>
      </c>
      <c r="W1152" s="40" t="str">
        <f aca="false">IF($C1152="","",MAX(0,ROUND(N($K1152)-N($V1152),2)))</f>
        <v/>
      </c>
      <c r="X1152" s="40" t="str">
        <f aca="false">IF($C1152="","",ROUND(SUMIFS(应收净额,应收键,$D1152,应收行号,"&lt;="&amp;ROW()),2))</f>
        <v/>
      </c>
      <c r="Y1152" s="29" t="str">
        <f aca="false">IF($C1152="","",ROW())</f>
        <v/>
      </c>
    </row>
    <row r="1153" customFormat="false" ht="15" hidden="false" customHeight="false" outlineLevel="0" collapsed="false">
      <c r="A1153" s="29" t="str">
        <f aca="false">IF($C1153="","",ROW()-4)</f>
        <v/>
      </c>
      <c r="B1153" s="35" t="str">
        <f aca="false">IF($C1153="","","YS"&amp;TEXT($C1153,"yyyymm")&amp;"-"&amp;TEXT(ROW()-4,"0000"))</f>
        <v/>
      </c>
      <c r="C1153" s="33"/>
      <c r="D1153" s="24"/>
      <c r="E1153" s="30" t="str">
        <f aca="false">IF($D1153="","",IFERROR(INDEX(合同单位,MATCH($D1153,合同键,0)),IFERROR(TRIM(LEFT($D1153,FIND("｜",$D1153)-1)),$D1153)))</f>
        <v/>
      </c>
      <c r="F1153" s="30" t="str">
        <f aca="false">IF($D1153="","",IFERROR(INDEX(合同项目,MATCH($D1153,合同键,0)),IFERROR(TRIM(MID($D1153,FIND("｜",$D1153)+1,99)),"")))</f>
        <v/>
      </c>
      <c r="G1153" s="24"/>
      <c r="H1153" s="35" t="str">
        <f aca="false">IF($G1153="","",IFERROR(INDEX(费用款别,MATCH($G1153,费用类别表,0)),"合同外款"))</f>
        <v/>
      </c>
      <c r="I1153" s="33"/>
      <c r="J1153" s="33"/>
      <c r="K1153" s="39"/>
      <c r="L1153" s="33"/>
      <c r="M1153" s="25"/>
      <c r="N1153" s="39"/>
      <c r="O1153" s="35" t="str">
        <f aca="false">IF($C1153="","",IF(N($N1153)&lt;=0,"未开票",IF(ROUND(N($N1153)-N($K1153),2)&gt;=0,"已开票",IFERROR("部分开票 "&amp;TEXT(N($N1153)/N($K1153),"0%"),"部分开票"))))</f>
        <v/>
      </c>
      <c r="P1153" s="40" t="str">
        <f aca="false">IF($C1153="","",ROUND($V1153+MIN($W1153,MAX(0,(SUMIF(收款键,$D1153,收款金额)-SUMIFS(收款金额,收款键,$D1153,收款关联,"&lt;&gt;"))-($X1153-$W1153))),2))</f>
        <v/>
      </c>
      <c r="Q1153" s="41" t="str">
        <f aca="false">IF($C1153="","",ROUND(N($K1153)-N($P1153),2))</f>
        <v/>
      </c>
      <c r="R1153" s="29" t="str">
        <f aca="false">IF($C1153="","",YEAR($C1153))</f>
        <v/>
      </c>
      <c r="S1153" s="24"/>
      <c r="T1153" s="35" t="str">
        <f aca="false">IF($C1153="","",IF($D1153="","★没选客户项目",IF(COUNTIF(合同键,$D1153)=0,"★《维保合同》里没这个项目",IF(N($K1153)&lt;=0,"★应收金额要填",IF(ROUND(N($N1153)-N($K1153),2)&gt;0.001,"★开票金额大于应收",IF(AND($L1153&lt;&gt;"",N($N1153)&lt;=0),"★填了开票日期没填开票金额",IF(AND($I1153&lt;&gt;"",$J1153&lt;&gt;"",$J1153&lt;$I1153),"★计费期间起止反了","OK")))))))</f>
        <v/>
      </c>
      <c r="U1153" s="29" t="str">
        <f aca="false">IF($L1153="","",YEAR($L1153))</f>
        <v/>
      </c>
      <c r="V1153" s="40" t="str">
        <f aca="false">IF($C1153="","",ROUND(SUMIF(收款关联,$B1153,收款金额),2))</f>
        <v/>
      </c>
      <c r="W1153" s="40" t="str">
        <f aca="false">IF($C1153="","",MAX(0,ROUND(N($K1153)-N($V1153),2)))</f>
        <v/>
      </c>
      <c r="X1153" s="40" t="str">
        <f aca="false">IF($C1153="","",ROUND(SUMIFS(应收净额,应收键,$D1153,应收行号,"&lt;="&amp;ROW()),2))</f>
        <v/>
      </c>
      <c r="Y1153" s="29" t="str">
        <f aca="false">IF($C1153="","",ROW())</f>
        <v/>
      </c>
    </row>
    <row r="1154" customFormat="false" ht="15" hidden="false" customHeight="false" outlineLevel="0" collapsed="false">
      <c r="A1154" s="29" t="str">
        <f aca="false">IF($C1154="","",ROW()-4)</f>
        <v/>
      </c>
      <c r="B1154" s="35" t="str">
        <f aca="false">IF($C1154="","","YS"&amp;TEXT($C1154,"yyyymm")&amp;"-"&amp;TEXT(ROW()-4,"0000"))</f>
        <v/>
      </c>
      <c r="C1154" s="33"/>
      <c r="D1154" s="24"/>
      <c r="E1154" s="30" t="str">
        <f aca="false">IF($D1154="","",IFERROR(INDEX(合同单位,MATCH($D1154,合同键,0)),IFERROR(TRIM(LEFT($D1154,FIND("｜",$D1154)-1)),$D1154)))</f>
        <v/>
      </c>
      <c r="F1154" s="30" t="str">
        <f aca="false">IF($D1154="","",IFERROR(INDEX(合同项目,MATCH($D1154,合同键,0)),IFERROR(TRIM(MID($D1154,FIND("｜",$D1154)+1,99)),"")))</f>
        <v/>
      </c>
      <c r="G1154" s="24"/>
      <c r="H1154" s="35" t="str">
        <f aca="false">IF($G1154="","",IFERROR(INDEX(费用款别,MATCH($G1154,费用类别表,0)),"合同外款"))</f>
        <v/>
      </c>
      <c r="I1154" s="33"/>
      <c r="J1154" s="33"/>
      <c r="K1154" s="39"/>
      <c r="L1154" s="33"/>
      <c r="M1154" s="25"/>
      <c r="N1154" s="39"/>
      <c r="O1154" s="35" t="str">
        <f aca="false">IF($C1154="","",IF(N($N1154)&lt;=0,"未开票",IF(ROUND(N($N1154)-N($K1154),2)&gt;=0,"已开票",IFERROR("部分开票 "&amp;TEXT(N($N1154)/N($K1154),"0%"),"部分开票"))))</f>
        <v/>
      </c>
      <c r="P1154" s="40" t="str">
        <f aca="false">IF($C1154="","",ROUND($V1154+MIN($W1154,MAX(0,(SUMIF(收款键,$D1154,收款金额)-SUMIFS(收款金额,收款键,$D1154,收款关联,"&lt;&gt;"))-($X1154-$W1154))),2))</f>
        <v/>
      </c>
      <c r="Q1154" s="41" t="str">
        <f aca="false">IF($C1154="","",ROUND(N($K1154)-N($P1154),2))</f>
        <v/>
      </c>
      <c r="R1154" s="29" t="str">
        <f aca="false">IF($C1154="","",YEAR($C1154))</f>
        <v/>
      </c>
      <c r="S1154" s="24"/>
      <c r="T1154" s="35" t="str">
        <f aca="false">IF($C1154="","",IF($D1154="","★没选客户项目",IF(COUNTIF(合同键,$D1154)=0,"★《维保合同》里没这个项目",IF(N($K1154)&lt;=0,"★应收金额要填",IF(ROUND(N($N1154)-N($K1154),2)&gt;0.001,"★开票金额大于应收",IF(AND($L1154&lt;&gt;"",N($N1154)&lt;=0),"★填了开票日期没填开票金额",IF(AND($I1154&lt;&gt;"",$J1154&lt;&gt;"",$J1154&lt;$I1154),"★计费期间起止反了","OK")))))))</f>
        <v/>
      </c>
      <c r="U1154" s="29" t="str">
        <f aca="false">IF($L1154="","",YEAR($L1154))</f>
        <v/>
      </c>
      <c r="V1154" s="40" t="str">
        <f aca="false">IF($C1154="","",ROUND(SUMIF(收款关联,$B1154,收款金额),2))</f>
        <v/>
      </c>
      <c r="W1154" s="40" t="str">
        <f aca="false">IF($C1154="","",MAX(0,ROUND(N($K1154)-N($V1154),2)))</f>
        <v/>
      </c>
      <c r="X1154" s="40" t="str">
        <f aca="false">IF($C1154="","",ROUND(SUMIFS(应收净额,应收键,$D1154,应收行号,"&lt;="&amp;ROW()),2))</f>
        <v/>
      </c>
      <c r="Y1154" s="29" t="str">
        <f aca="false">IF($C1154="","",ROW())</f>
        <v/>
      </c>
    </row>
    <row r="1155" customFormat="false" ht="15" hidden="false" customHeight="false" outlineLevel="0" collapsed="false">
      <c r="A1155" s="29" t="str">
        <f aca="false">IF($C1155="","",ROW()-4)</f>
        <v/>
      </c>
      <c r="B1155" s="35" t="str">
        <f aca="false">IF($C1155="","","YS"&amp;TEXT($C1155,"yyyymm")&amp;"-"&amp;TEXT(ROW()-4,"0000"))</f>
        <v/>
      </c>
      <c r="C1155" s="33"/>
      <c r="D1155" s="24"/>
      <c r="E1155" s="30" t="str">
        <f aca="false">IF($D1155="","",IFERROR(INDEX(合同单位,MATCH($D1155,合同键,0)),IFERROR(TRIM(LEFT($D1155,FIND("｜",$D1155)-1)),$D1155)))</f>
        <v/>
      </c>
      <c r="F1155" s="30" t="str">
        <f aca="false">IF($D1155="","",IFERROR(INDEX(合同项目,MATCH($D1155,合同键,0)),IFERROR(TRIM(MID($D1155,FIND("｜",$D1155)+1,99)),"")))</f>
        <v/>
      </c>
      <c r="G1155" s="24"/>
      <c r="H1155" s="35" t="str">
        <f aca="false">IF($G1155="","",IFERROR(INDEX(费用款别,MATCH($G1155,费用类别表,0)),"合同外款"))</f>
        <v/>
      </c>
      <c r="I1155" s="33"/>
      <c r="J1155" s="33"/>
      <c r="K1155" s="39"/>
      <c r="L1155" s="33"/>
      <c r="M1155" s="25"/>
      <c r="N1155" s="39"/>
      <c r="O1155" s="35" t="str">
        <f aca="false">IF($C1155="","",IF(N($N1155)&lt;=0,"未开票",IF(ROUND(N($N1155)-N($K1155),2)&gt;=0,"已开票",IFERROR("部分开票 "&amp;TEXT(N($N1155)/N($K1155),"0%"),"部分开票"))))</f>
        <v/>
      </c>
      <c r="P1155" s="40" t="str">
        <f aca="false">IF($C1155="","",ROUND($V1155+MIN($W1155,MAX(0,(SUMIF(收款键,$D1155,收款金额)-SUMIFS(收款金额,收款键,$D1155,收款关联,"&lt;&gt;"))-($X1155-$W1155))),2))</f>
        <v/>
      </c>
      <c r="Q1155" s="41" t="str">
        <f aca="false">IF($C1155="","",ROUND(N($K1155)-N($P1155),2))</f>
        <v/>
      </c>
      <c r="R1155" s="29" t="str">
        <f aca="false">IF($C1155="","",YEAR($C1155))</f>
        <v/>
      </c>
      <c r="S1155" s="24"/>
      <c r="T1155" s="35" t="str">
        <f aca="false">IF($C1155="","",IF($D1155="","★没选客户项目",IF(COUNTIF(合同键,$D1155)=0,"★《维保合同》里没这个项目",IF(N($K1155)&lt;=0,"★应收金额要填",IF(ROUND(N($N1155)-N($K1155),2)&gt;0.001,"★开票金额大于应收",IF(AND($L1155&lt;&gt;"",N($N1155)&lt;=0),"★填了开票日期没填开票金额",IF(AND($I1155&lt;&gt;"",$J1155&lt;&gt;"",$J1155&lt;$I1155),"★计费期间起止反了","OK")))))))</f>
        <v/>
      </c>
      <c r="U1155" s="29" t="str">
        <f aca="false">IF($L1155="","",YEAR($L1155))</f>
        <v/>
      </c>
      <c r="V1155" s="40" t="str">
        <f aca="false">IF($C1155="","",ROUND(SUMIF(收款关联,$B1155,收款金额),2))</f>
        <v/>
      </c>
      <c r="W1155" s="40" t="str">
        <f aca="false">IF($C1155="","",MAX(0,ROUND(N($K1155)-N($V1155),2)))</f>
        <v/>
      </c>
      <c r="X1155" s="40" t="str">
        <f aca="false">IF($C1155="","",ROUND(SUMIFS(应收净额,应收键,$D1155,应收行号,"&lt;="&amp;ROW()),2))</f>
        <v/>
      </c>
      <c r="Y1155" s="29" t="str">
        <f aca="false">IF($C1155="","",ROW())</f>
        <v/>
      </c>
    </row>
    <row r="1156" customFormat="false" ht="15" hidden="false" customHeight="false" outlineLevel="0" collapsed="false">
      <c r="A1156" s="29" t="str">
        <f aca="false">IF($C1156="","",ROW()-4)</f>
        <v/>
      </c>
      <c r="B1156" s="35" t="str">
        <f aca="false">IF($C1156="","","YS"&amp;TEXT($C1156,"yyyymm")&amp;"-"&amp;TEXT(ROW()-4,"0000"))</f>
        <v/>
      </c>
      <c r="C1156" s="33"/>
      <c r="D1156" s="24"/>
      <c r="E1156" s="30" t="str">
        <f aca="false">IF($D1156="","",IFERROR(INDEX(合同单位,MATCH($D1156,合同键,0)),IFERROR(TRIM(LEFT($D1156,FIND("｜",$D1156)-1)),$D1156)))</f>
        <v/>
      </c>
      <c r="F1156" s="30" t="str">
        <f aca="false">IF($D1156="","",IFERROR(INDEX(合同项目,MATCH($D1156,合同键,0)),IFERROR(TRIM(MID($D1156,FIND("｜",$D1156)+1,99)),"")))</f>
        <v/>
      </c>
      <c r="G1156" s="24"/>
      <c r="H1156" s="35" t="str">
        <f aca="false">IF($G1156="","",IFERROR(INDEX(费用款别,MATCH($G1156,费用类别表,0)),"合同外款"))</f>
        <v/>
      </c>
      <c r="I1156" s="33"/>
      <c r="J1156" s="33"/>
      <c r="K1156" s="39"/>
      <c r="L1156" s="33"/>
      <c r="M1156" s="25"/>
      <c r="N1156" s="39"/>
      <c r="O1156" s="35" t="str">
        <f aca="false">IF($C1156="","",IF(N($N1156)&lt;=0,"未开票",IF(ROUND(N($N1156)-N($K1156),2)&gt;=0,"已开票",IFERROR("部分开票 "&amp;TEXT(N($N1156)/N($K1156),"0%"),"部分开票"))))</f>
        <v/>
      </c>
      <c r="P1156" s="40" t="str">
        <f aca="false">IF($C1156="","",ROUND($V1156+MIN($W1156,MAX(0,(SUMIF(收款键,$D1156,收款金额)-SUMIFS(收款金额,收款键,$D1156,收款关联,"&lt;&gt;"))-($X1156-$W1156))),2))</f>
        <v/>
      </c>
      <c r="Q1156" s="41" t="str">
        <f aca="false">IF($C1156="","",ROUND(N($K1156)-N($P1156),2))</f>
        <v/>
      </c>
      <c r="R1156" s="29" t="str">
        <f aca="false">IF($C1156="","",YEAR($C1156))</f>
        <v/>
      </c>
      <c r="S1156" s="24"/>
      <c r="T1156" s="35" t="str">
        <f aca="false">IF($C1156="","",IF($D1156="","★没选客户项目",IF(COUNTIF(合同键,$D1156)=0,"★《维保合同》里没这个项目",IF(N($K1156)&lt;=0,"★应收金额要填",IF(ROUND(N($N1156)-N($K1156),2)&gt;0.001,"★开票金额大于应收",IF(AND($L1156&lt;&gt;"",N($N1156)&lt;=0),"★填了开票日期没填开票金额",IF(AND($I1156&lt;&gt;"",$J1156&lt;&gt;"",$J1156&lt;$I1156),"★计费期间起止反了","OK")))))))</f>
        <v/>
      </c>
      <c r="U1156" s="29" t="str">
        <f aca="false">IF($L1156="","",YEAR($L1156))</f>
        <v/>
      </c>
      <c r="V1156" s="40" t="str">
        <f aca="false">IF($C1156="","",ROUND(SUMIF(收款关联,$B1156,收款金额),2))</f>
        <v/>
      </c>
      <c r="W1156" s="40" t="str">
        <f aca="false">IF($C1156="","",MAX(0,ROUND(N($K1156)-N($V1156),2)))</f>
        <v/>
      </c>
      <c r="X1156" s="40" t="str">
        <f aca="false">IF($C1156="","",ROUND(SUMIFS(应收净额,应收键,$D1156,应收行号,"&lt;="&amp;ROW()),2))</f>
        <v/>
      </c>
      <c r="Y1156" s="29" t="str">
        <f aca="false">IF($C1156="","",ROW())</f>
        <v/>
      </c>
    </row>
    <row r="1157" customFormat="false" ht="15" hidden="false" customHeight="false" outlineLevel="0" collapsed="false">
      <c r="A1157" s="29" t="str">
        <f aca="false">IF($C1157="","",ROW()-4)</f>
        <v/>
      </c>
      <c r="B1157" s="35" t="str">
        <f aca="false">IF($C1157="","","YS"&amp;TEXT($C1157,"yyyymm")&amp;"-"&amp;TEXT(ROW()-4,"0000"))</f>
        <v/>
      </c>
      <c r="C1157" s="33"/>
      <c r="D1157" s="24"/>
      <c r="E1157" s="30" t="str">
        <f aca="false">IF($D1157="","",IFERROR(INDEX(合同单位,MATCH($D1157,合同键,0)),IFERROR(TRIM(LEFT($D1157,FIND("｜",$D1157)-1)),$D1157)))</f>
        <v/>
      </c>
      <c r="F1157" s="30" t="str">
        <f aca="false">IF($D1157="","",IFERROR(INDEX(合同项目,MATCH($D1157,合同键,0)),IFERROR(TRIM(MID($D1157,FIND("｜",$D1157)+1,99)),"")))</f>
        <v/>
      </c>
      <c r="G1157" s="24"/>
      <c r="H1157" s="35" t="str">
        <f aca="false">IF($G1157="","",IFERROR(INDEX(费用款别,MATCH($G1157,费用类别表,0)),"合同外款"))</f>
        <v/>
      </c>
      <c r="I1157" s="33"/>
      <c r="J1157" s="33"/>
      <c r="K1157" s="39"/>
      <c r="L1157" s="33"/>
      <c r="M1157" s="25"/>
      <c r="N1157" s="39"/>
      <c r="O1157" s="35" t="str">
        <f aca="false">IF($C1157="","",IF(N($N1157)&lt;=0,"未开票",IF(ROUND(N($N1157)-N($K1157),2)&gt;=0,"已开票",IFERROR("部分开票 "&amp;TEXT(N($N1157)/N($K1157),"0%"),"部分开票"))))</f>
        <v/>
      </c>
      <c r="P1157" s="40" t="str">
        <f aca="false">IF($C1157="","",ROUND($V1157+MIN($W1157,MAX(0,(SUMIF(收款键,$D1157,收款金额)-SUMIFS(收款金额,收款键,$D1157,收款关联,"&lt;&gt;"))-($X1157-$W1157))),2))</f>
        <v/>
      </c>
      <c r="Q1157" s="41" t="str">
        <f aca="false">IF($C1157="","",ROUND(N($K1157)-N($P1157),2))</f>
        <v/>
      </c>
      <c r="R1157" s="29" t="str">
        <f aca="false">IF($C1157="","",YEAR($C1157))</f>
        <v/>
      </c>
      <c r="S1157" s="24"/>
      <c r="T1157" s="35" t="str">
        <f aca="false">IF($C1157="","",IF($D1157="","★没选客户项目",IF(COUNTIF(合同键,$D1157)=0,"★《维保合同》里没这个项目",IF(N($K1157)&lt;=0,"★应收金额要填",IF(ROUND(N($N1157)-N($K1157),2)&gt;0.001,"★开票金额大于应收",IF(AND($L1157&lt;&gt;"",N($N1157)&lt;=0),"★填了开票日期没填开票金额",IF(AND($I1157&lt;&gt;"",$J1157&lt;&gt;"",$J1157&lt;$I1157),"★计费期间起止反了","OK")))))))</f>
        <v/>
      </c>
      <c r="U1157" s="29" t="str">
        <f aca="false">IF($L1157="","",YEAR($L1157))</f>
        <v/>
      </c>
      <c r="V1157" s="40" t="str">
        <f aca="false">IF($C1157="","",ROUND(SUMIF(收款关联,$B1157,收款金额),2))</f>
        <v/>
      </c>
      <c r="W1157" s="40" t="str">
        <f aca="false">IF($C1157="","",MAX(0,ROUND(N($K1157)-N($V1157),2)))</f>
        <v/>
      </c>
      <c r="X1157" s="40" t="str">
        <f aca="false">IF($C1157="","",ROUND(SUMIFS(应收净额,应收键,$D1157,应收行号,"&lt;="&amp;ROW()),2))</f>
        <v/>
      </c>
      <c r="Y1157" s="29" t="str">
        <f aca="false">IF($C1157="","",ROW())</f>
        <v/>
      </c>
    </row>
    <row r="1158" customFormat="false" ht="15" hidden="false" customHeight="false" outlineLevel="0" collapsed="false">
      <c r="A1158" s="29" t="str">
        <f aca="false">IF($C1158="","",ROW()-4)</f>
        <v/>
      </c>
      <c r="B1158" s="35" t="str">
        <f aca="false">IF($C1158="","","YS"&amp;TEXT($C1158,"yyyymm")&amp;"-"&amp;TEXT(ROW()-4,"0000"))</f>
        <v/>
      </c>
      <c r="C1158" s="33"/>
      <c r="D1158" s="24"/>
      <c r="E1158" s="30" t="str">
        <f aca="false">IF($D1158="","",IFERROR(INDEX(合同单位,MATCH($D1158,合同键,0)),IFERROR(TRIM(LEFT($D1158,FIND("｜",$D1158)-1)),$D1158)))</f>
        <v/>
      </c>
      <c r="F1158" s="30" t="str">
        <f aca="false">IF($D1158="","",IFERROR(INDEX(合同项目,MATCH($D1158,合同键,0)),IFERROR(TRIM(MID($D1158,FIND("｜",$D1158)+1,99)),"")))</f>
        <v/>
      </c>
      <c r="G1158" s="24"/>
      <c r="H1158" s="35" t="str">
        <f aca="false">IF($G1158="","",IFERROR(INDEX(费用款别,MATCH($G1158,费用类别表,0)),"合同外款"))</f>
        <v/>
      </c>
      <c r="I1158" s="33"/>
      <c r="J1158" s="33"/>
      <c r="K1158" s="39"/>
      <c r="L1158" s="33"/>
      <c r="M1158" s="25"/>
      <c r="N1158" s="39"/>
      <c r="O1158" s="35" t="str">
        <f aca="false">IF($C1158="","",IF(N($N1158)&lt;=0,"未开票",IF(ROUND(N($N1158)-N($K1158),2)&gt;=0,"已开票",IFERROR("部分开票 "&amp;TEXT(N($N1158)/N($K1158),"0%"),"部分开票"))))</f>
        <v/>
      </c>
      <c r="P1158" s="40" t="str">
        <f aca="false">IF($C1158="","",ROUND($V1158+MIN($W1158,MAX(0,(SUMIF(收款键,$D1158,收款金额)-SUMIFS(收款金额,收款键,$D1158,收款关联,"&lt;&gt;"))-($X1158-$W1158))),2))</f>
        <v/>
      </c>
      <c r="Q1158" s="41" t="str">
        <f aca="false">IF($C1158="","",ROUND(N($K1158)-N($P1158),2))</f>
        <v/>
      </c>
      <c r="R1158" s="29" t="str">
        <f aca="false">IF($C1158="","",YEAR($C1158))</f>
        <v/>
      </c>
      <c r="S1158" s="24"/>
      <c r="T1158" s="35" t="str">
        <f aca="false">IF($C1158="","",IF($D1158="","★没选客户项目",IF(COUNTIF(合同键,$D1158)=0,"★《维保合同》里没这个项目",IF(N($K1158)&lt;=0,"★应收金额要填",IF(ROUND(N($N1158)-N($K1158),2)&gt;0.001,"★开票金额大于应收",IF(AND($L1158&lt;&gt;"",N($N1158)&lt;=0),"★填了开票日期没填开票金额",IF(AND($I1158&lt;&gt;"",$J1158&lt;&gt;"",$J1158&lt;$I1158),"★计费期间起止反了","OK")))))))</f>
        <v/>
      </c>
      <c r="U1158" s="29" t="str">
        <f aca="false">IF($L1158="","",YEAR($L1158))</f>
        <v/>
      </c>
      <c r="V1158" s="40" t="str">
        <f aca="false">IF($C1158="","",ROUND(SUMIF(收款关联,$B1158,收款金额),2))</f>
        <v/>
      </c>
      <c r="W1158" s="40" t="str">
        <f aca="false">IF($C1158="","",MAX(0,ROUND(N($K1158)-N($V1158),2)))</f>
        <v/>
      </c>
      <c r="X1158" s="40" t="str">
        <f aca="false">IF($C1158="","",ROUND(SUMIFS(应收净额,应收键,$D1158,应收行号,"&lt;="&amp;ROW()),2))</f>
        <v/>
      </c>
      <c r="Y1158" s="29" t="str">
        <f aca="false">IF($C1158="","",ROW())</f>
        <v/>
      </c>
    </row>
    <row r="1159" customFormat="false" ht="15" hidden="false" customHeight="false" outlineLevel="0" collapsed="false">
      <c r="A1159" s="29" t="str">
        <f aca="false">IF($C1159="","",ROW()-4)</f>
        <v/>
      </c>
      <c r="B1159" s="35" t="str">
        <f aca="false">IF($C1159="","","YS"&amp;TEXT($C1159,"yyyymm")&amp;"-"&amp;TEXT(ROW()-4,"0000"))</f>
        <v/>
      </c>
      <c r="C1159" s="33"/>
      <c r="D1159" s="24"/>
      <c r="E1159" s="30" t="str">
        <f aca="false">IF($D1159="","",IFERROR(INDEX(合同单位,MATCH($D1159,合同键,0)),IFERROR(TRIM(LEFT($D1159,FIND("｜",$D1159)-1)),$D1159)))</f>
        <v/>
      </c>
      <c r="F1159" s="30" t="str">
        <f aca="false">IF($D1159="","",IFERROR(INDEX(合同项目,MATCH($D1159,合同键,0)),IFERROR(TRIM(MID($D1159,FIND("｜",$D1159)+1,99)),"")))</f>
        <v/>
      </c>
      <c r="G1159" s="24"/>
      <c r="H1159" s="35" t="str">
        <f aca="false">IF($G1159="","",IFERROR(INDEX(费用款别,MATCH($G1159,费用类别表,0)),"合同外款"))</f>
        <v/>
      </c>
      <c r="I1159" s="33"/>
      <c r="J1159" s="33"/>
      <c r="K1159" s="39"/>
      <c r="L1159" s="33"/>
      <c r="M1159" s="25"/>
      <c r="N1159" s="39"/>
      <c r="O1159" s="35" t="str">
        <f aca="false">IF($C1159="","",IF(N($N1159)&lt;=0,"未开票",IF(ROUND(N($N1159)-N($K1159),2)&gt;=0,"已开票",IFERROR("部分开票 "&amp;TEXT(N($N1159)/N($K1159),"0%"),"部分开票"))))</f>
        <v/>
      </c>
      <c r="P1159" s="40" t="str">
        <f aca="false">IF($C1159="","",ROUND($V1159+MIN($W1159,MAX(0,(SUMIF(收款键,$D1159,收款金额)-SUMIFS(收款金额,收款键,$D1159,收款关联,"&lt;&gt;"))-($X1159-$W1159))),2))</f>
        <v/>
      </c>
      <c r="Q1159" s="41" t="str">
        <f aca="false">IF($C1159="","",ROUND(N($K1159)-N($P1159),2))</f>
        <v/>
      </c>
      <c r="R1159" s="29" t="str">
        <f aca="false">IF($C1159="","",YEAR($C1159))</f>
        <v/>
      </c>
      <c r="S1159" s="24"/>
      <c r="T1159" s="35" t="str">
        <f aca="false">IF($C1159="","",IF($D1159="","★没选客户项目",IF(COUNTIF(合同键,$D1159)=0,"★《维保合同》里没这个项目",IF(N($K1159)&lt;=0,"★应收金额要填",IF(ROUND(N($N1159)-N($K1159),2)&gt;0.001,"★开票金额大于应收",IF(AND($L1159&lt;&gt;"",N($N1159)&lt;=0),"★填了开票日期没填开票金额",IF(AND($I1159&lt;&gt;"",$J1159&lt;&gt;"",$J1159&lt;$I1159),"★计费期间起止反了","OK")))))))</f>
        <v/>
      </c>
      <c r="U1159" s="29" t="str">
        <f aca="false">IF($L1159="","",YEAR($L1159))</f>
        <v/>
      </c>
      <c r="V1159" s="40" t="str">
        <f aca="false">IF($C1159="","",ROUND(SUMIF(收款关联,$B1159,收款金额),2))</f>
        <v/>
      </c>
      <c r="W1159" s="40" t="str">
        <f aca="false">IF($C1159="","",MAX(0,ROUND(N($K1159)-N($V1159),2)))</f>
        <v/>
      </c>
      <c r="X1159" s="40" t="str">
        <f aca="false">IF($C1159="","",ROUND(SUMIFS(应收净额,应收键,$D1159,应收行号,"&lt;="&amp;ROW()),2))</f>
        <v/>
      </c>
      <c r="Y1159" s="29" t="str">
        <f aca="false">IF($C1159="","",ROW())</f>
        <v/>
      </c>
    </row>
    <row r="1160" customFormat="false" ht="15" hidden="false" customHeight="false" outlineLevel="0" collapsed="false">
      <c r="A1160" s="29" t="str">
        <f aca="false">IF($C1160="","",ROW()-4)</f>
        <v/>
      </c>
      <c r="B1160" s="35" t="str">
        <f aca="false">IF($C1160="","","YS"&amp;TEXT($C1160,"yyyymm")&amp;"-"&amp;TEXT(ROW()-4,"0000"))</f>
        <v/>
      </c>
      <c r="C1160" s="33"/>
      <c r="D1160" s="24"/>
      <c r="E1160" s="30" t="str">
        <f aca="false">IF($D1160="","",IFERROR(INDEX(合同单位,MATCH($D1160,合同键,0)),IFERROR(TRIM(LEFT($D1160,FIND("｜",$D1160)-1)),$D1160)))</f>
        <v/>
      </c>
      <c r="F1160" s="30" t="str">
        <f aca="false">IF($D1160="","",IFERROR(INDEX(合同项目,MATCH($D1160,合同键,0)),IFERROR(TRIM(MID($D1160,FIND("｜",$D1160)+1,99)),"")))</f>
        <v/>
      </c>
      <c r="G1160" s="24"/>
      <c r="H1160" s="35" t="str">
        <f aca="false">IF($G1160="","",IFERROR(INDEX(费用款别,MATCH($G1160,费用类别表,0)),"合同外款"))</f>
        <v/>
      </c>
      <c r="I1160" s="33"/>
      <c r="J1160" s="33"/>
      <c r="K1160" s="39"/>
      <c r="L1160" s="33"/>
      <c r="M1160" s="25"/>
      <c r="N1160" s="39"/>
      <c r="O1160" s="35" t="str">
        <f aca="false">IF($C1160="","",IF(N($N1160)&lt;=0,"未开票",IF(ROUND(N($N1160)-N($K1160),2)&gt;=0,"已开票",IFERROR("部分开票 "&amp;TEXT(N($N1160)/N($K1160),"0%"),"部分开票"))))</f>
        <v/>
      </c>
      <c r="P1160" s="40" t="str">
        <f aca="false">IF($C1160="","",ROUND($V1160+MIN($W1160,MAX(0,(SUMIF(收款键,$D1160,收款金额)-SUMIFS(收款金额,收款键,$D1160,收款关联,"&lt;&gt;"))-($X1160-$W1160))),2))</f>
        <v/>
      </c>
      <c r="Q1160" s="41" t="str">
        <f aca="false">IF($C1160="","",ROUND(N($K1160)-N($P1160),2))</f>
        <v/>
      </c>
      <c r="R1160" s="29" t="str">
        <f aca="false">IF($C1160="","",YEAR($C1160))</f>
        <v/>
      </c>
      <c r="S1160" s="24"/>
      <c r="T1160" s="35" t="str">
        <f aca="false">IF($C1160="","",IF($D1160="","★没选客户项目",IF(COUNTIF(合同键,$D1160)=0,"★《维保合同》里没这个项目",IF(N($K1160)&lt;=0,"★应收金额要填",IF(ROUND(N($N1160)-N($K1160),2)&gt;0.001,"★开票金额大于应收",IF(AND($L1160&lt;&gt;"",N($N1160)&lt;=0),"★填了开票日期没填开票金额",IF(AND($I1160&lt;&gt;"",$J1160&lt;&gt;"",$J1160&lt;$I1160),"★计费期间起止反了","OK")))))))</f>
        <v/>
      </c>
      <c r="U1160" s="29" t="str">
        <f aca="false">IF($L1160="","",YEAR($L1160))</f>
        <v/>
      </c>
      <c r="V1160" s="40" t="str">
        <f aca="false">IF($C1160="","",ROUND(SUMIF(收款关联,$B1160,收款金额),2))</f>
        <v/>
      </c>
      <c r="W1160" s="40" t="str">
        <f aca="false">IF($C1160="","",MAX(0,ROUND(N($K1160)-N($V1160),2)))</f>
        <v/>
      </c>
      <c r="X1160" s="40" t="str">
        <f aca="false">IF($C1160="","",ROUND(SUMIFS(应收净额,应收键,$D1160,应收行号,"&lt;="&amp;ROW()),2))</f>
        <v/>
      </c>
      <c r="Y1160" s="29" t="str">
        <f aca="false">IF($C1160="","",ROW())</f>
        <v/>
      </c>
    </row>
    <row r="1161" customFormat="false" ht="15" hidden="false" customHeight="false" outlineLevel="0" collapsed="false">
      <c r="A1161" s="29" t="str">
        <f aca="false">IF($C1161="","",ROW()-4)</f>
        <v/>
      </c>
      <c r="B1161" s="35" t="str">
        <f aca="false">IF($C1161="","","YS"&amp;TEXT($C1161,"yyyymm")&amp;"-"&amp;TEXT(ROW()-4,"0000"))</f>
        <v/>
      </c>
      <c r="C1161" s="33"/>
      <c r="D1161" s="24"/>
      <c r="E1161" s="30" t="str">
        <f aca="false">IF($D1161="","",IFERROR(INDEX(合同单位,MATCH($D1161,合同键,0)),IFERROR(TRIM(LEFT($D1161,FIND("｜",$D1161)-1)),$D1161)))</f>
        <v/>
      </c>
      <c r="F1161" s="30" t="str">
        <f aca="false">IF($D1161="","",IFERROR(INDEX(合同项目,MATCH($D1161,合同键,0)),IFERROR(TRIM(MID($D1161,FIND("｜",$D1161)+1,99)),"")))</f>
        <v/>
      </c>
      <c r="G1161" s="24"/>
      <c r="H1161" s="35" t="str">
        <f aca="false">IF($G1161="","",IFERROR(INDEX(费用款别,MATCH($G1161,费用类别表,0)),"合同外款"))</f>
        <v/>
      </c>
      <c r="I1161" s="33"/>
      <c r="J1161" s="33"/>
      <c r="K1161" s="39"/>
      <c r="L1161" s="33"/>
      <c r="M1161" s="25"/>
      <c r="N1161" s="39"/>
      <c r="O1161" s="35" t="str">
        <f aca="false">IF($C1161="","",IF(N($N1161)&lt;=0,"未开票",IF(ROUND(N($N1161)-N($K1161),2)&gt;=0,"已开票",IFERROR("部分开票 "&amp;TEXT(N($N1161)/N($K1161),"0%"),"部分开票"))))</f>
        <v/>
      </c>
      <c r="P1161" s="40" t="str">
        <f aca="false">IF($C1161="","",ROUND($V1161+MIN($W1161,MAX(0,(SUMIF(收款键,$D1161,收款金额)-SUMIFS(收款金额,收款键,$D1161,收款关联,"&lt;&gt;"))-($X1161-$W1161))),2))</f>
        <v/>
      </c>
      <c r="Q1161" s="41" t="str">
        <f aca="false">IF($C1161="","",ROUND(N($K1161)-N($P1161),2))</f>
        <v/>
      </c>
      <c r="R1161" s="29" t="str">
        <f aca="false">IF($C1161="","",YEAR($C1161))</f>
        <v/>
      </c>
      <c r="S1161" s="24"/>
      <c r="T1161" s="35" t="str">
        <f aca="false">IF($C1161="","",IF($D1161="","★没选客户项目",IF(COUNTIF(合同键,$D1161)=0,"★《维保合同》里没这个项目",IF(N($K1161)&lt;=0,"★应收金额要填",IF(ROUND(N($N1161)-N($K1161),2)&gt;0.001,"★开票金额大于应收",IF(AND($L1161&lt;&gt;"",N($N1161)&lt;=0),"★填了开票日期没填开票金额",IF(AND($I1161&lt;&gt;"",$J1161&lt;&gt;"",$J1161&lt;$I1161),"★计费期间起止反了","OK")))))))</f>
        <v/>
      </c>
      <c r="U1161" s="29" t="str">
        <f aca="false">IF($L1161="","",YEAR($L1161))</f>
        <v/>
      </c>
      <c r="V1161" s="40" t="str">
        <f aca="false">IF($C1161="","",ROUND(SUMIF(收款关联,$B1161,收款金额),2))</f>
        <v/>
      </c>
      <c r="W1161" s="40" t="str">
        <f aca="false">IF($C1161="","",MAX(0,ROUND(N($K1161)-N($V1161),2)))</f>
        <v/>
      </c>
      <c r="X1161" s="40" t="str">
        <f aca="false">IF($C1161="","",ROUND(SUMIFS(应收净额,应收键,$D1161,应收行号,"&lt;="&amp;ROW()),2))</f>
        <v/>
      </c>
      <c r="Y1161" s="29" t="str">
        <f aca="false">IF($C1161="","",ROW())</f>
        <v/>
      </c>
    </row>
    <row r="1162" customFormat="false" ht="15" hidden="false" customHeight="false" outlineLevel="0" collapsed="false">
      <c r="A1162" s="29" t="str">
        <f aca="false">IF($C1162="","",ROW()-4)</f>
        <v/>
      </c>
      <c r="B1162" s="35" t="str">
        <f aca="false">IF($C1162="","","YS"&amp;TEXT($C1162,"yyyymm")&amp;"-"&amp;TEXT(ROW()-4,"0000"))</f>
        <v/>
      </c>
      <c r="C1162" s="33"/>
      <c r="D1162" s="24"/>
      <c r="E1162" s="30" t="str">
        <f aca="false">IF($D1162="","",IFERROR(INDEX(合同单位,MATCH($D1162,合同键,0)),IFERROR(TRIM(LEFT($D1162,FIND("｜",$D1162)-1)),$D1162)))</f>
        <v/>
      </c>
      <c r="F1162" s="30" t="str">
        <f aca="false">IF($D1162="","",IFERROR(INDEX(合同项目,MATCH($D1162,合同键,0)),IFERROR(TRIM(MID($D1162,FIND("｜",$D1162)+1,99)),"")))</f>
        <v/>
      </c>
      <c r="G1162" s="24"/>
      <c r="H1162" s="35" t="str">
        <f aca="false">IF($G1162="","",IFERROR(INDEX(费用款别,MATCH($G1162,费用类别表,0)),"合同外款"))</f>
        <v/>
      </c>
      <c r="I1162" s="33"/>
      <c r="J1162" s="33"/>
      <c r="K1162" s="39"/>
      <c r="L1162" s="33"/>
      <c r="M1162" s="25"/>
      <c r="N1162" s="39"/>
      <c r="O1162" s="35" t="str">
        <f aca="false">IF($C1162="","",IF(N($N1162)&lt;=0,"未开票",IF(ROUND(N($N1162)-N($K1162),2)&gt;=0,"已开票",IFERROR("部分开票 "&amp;TEXT(N($N1162)/N($K1162),"0%"),"部分开票"))))</f>
        <v/>
      </c>
      <c r="P1162" s="40" t="str">
        <f aca="false">IF($C1162="","",ROUND($V1162+MIN($W1162,MAX(0,(SUMIF(收款键,$D1162,收款金额)-SUMIFS(收款金额,收款键,$D1162,收款关联,"&lt;&gt;"))-($X1162-$W1162))),2))</f>
        <v/>
      </c>
      <c r="Q1162" s="41" t="str">
        <f aca="false">IF($C1162="","",ROUND(N($K1162)-N($P1162),2))</f>
        <v/>
      </c>
      <c r="R1162" s="29" t="str">
        <f aca="false">IF($C1162="","",YEAR($C1162))</f>
        <v/>
      </c>
      <c r="S1162" s="24"/>
      <c r="T1162" s="35" t="str">
        <f aca="false">IF($C1162="","",IF($D1162="","★没选客户项目",IF(COUNTIF(合同键,$D1162)=0,"★《维保合同》里没这个项目",IF(N($K1162)&lt;=0,"★应收金额要填",IF(ROUND(N($N1162)-N($K1162),2)&gt;0.001,"★开票金额大于应收",IF(AND($L1162&lt;&gt;"",N($N1162)&lt;=0),"★填了开票日期没填开票金额",IF(AND($I1162&lt;&gt;"",$J1162&lt;&gt;"",$J1162&lt;$I1162),"★计费期间起止反了","OK")))))))</f>
        <v/>
      </c>
      <c r="U1162" s="29" t="str">
        <f aca="false">IF($L1162="","",YEAR($L1162))</f>
        <v/>
      </c>
      <c r="V1162" s="40" t="str">
        <f aca="false">IF($C1162="","",ROUND(SUMIF(收款关联,$B1162,收款金额),2))</f>
        <v/>
      </c>
      <c r="W1162" s="40" t="str">
        <f aca="false">IF($C1162="","",MAX(0,ROUND(N($K1162)-N($V1162),2)))</f>
        <v/>
      </c>
      <c r="X1162" s="40" t="str">
        <f aca="false">IF($C1162="","",ROUND(SUMIFS(应收净额,应收键,$D1162,应收行号,"&lt;="&amp;ROW()),2))</f>
        <v/>
      </c>
      <c r="Y1162" s="29" t="str">
        <f aca="false">IF($C1162="","",ROW())</f>
        <v/>
      </c>
    </row>
    <row r="1163" customFormat="false" ht="15" hidden="false" customHeight="false" outlineLevel="0" collapsed="false">
      <c r="A1163" s="29" t="str">
        <f aca="false">IF($C1163="","",ROW()-4)</f>
        <v/>
      </c>
      <c r="B1163" s="35" t="str">
        <f aca="false">IF($C1163="","","YS"&amp;TEXT($C1163,"yyyymm")&amp;"-"&amp;TEXT(ROW()-4,"0000"))</f>
        <v/>
      </c>
      <c r="C1163" s="33"/>
      <c r="D1163" s="24"/>
      <c r="E1163" s="30" t="str">
        <f aca="false">IF($D1163="","",IFERROR(INDEX(合同单位,MATCH($D1163,合同键,0)),IFERROR(TRIM(LEFT($D1163,FIND("｜",$D1163)-1)),$D1163)))</f>
        <v/>
      </c>
      <c r="F1163" s="30" t="str">
        <f aca="false">IF($D1163="","",IFERROR(INDEX(合同项目,MATCH($D1163,合同键,0)),IFERROR(TRIM(MID($D1163,FIND("｜",$D1163)+1,99)),"")))</f>
        <v/>
      </c>
      <c r="G1163" s="24"/>
      <c r="H1163" s="35" t="str">
        <f aca="false">IF($G1163="","",IFERROR(INDEX(费用款别,MATCH($G1163,费用类别表,0)),"合同外款"))</f>
        <v/>
      </c>
      <c r="I1163" s="33"/>
      <c r="J1163" s="33"/>
      <c r="K1163" s="39"/>
      <c r="L1163" s="33"/>
      <c r="M1163" s="25"/>
      <c r="N1163" s="39"/>
      <c r="O1163" s="35" t="str">
        <f aca="false">IF($C1163="","",IF(N($N1163)&lt;=0,"未开票",IF(ROUND(N($N1163)-N($K1163),2)&gt;=0,"已开票",IFERROR("部分开票 "&amp;TEXT(N($N1163)/N($K1163),"0%"),"部分开票"))))</f>
        <v/>
      </c>
      <c r="P1163" s="40" t="str">
        <f aca="false">IF($C1163="","",ROUND($V1163+MIN($W1163,MAX(0,(SUMIF(收款键,$D1163,收款金额)-SUMIFS(收款金额,收款键,$D1163,收款关联,"&lt;&gt;"))-($X1163-$W1163))),2))</f>
        <v/>
      </c>
      <c r="Q1163" s="41" t="str">
        <f aca="false">IF($C1163="","",ROUND(N($K1163)-N($P1163),2))</f>
        <v/>
      </c>
      <c r="R1163" s="29" t="str">
        <f aca="false">IF($C1163="","",YEAR($C1163))</f>
        <v/>
      </c>
      <c r="S1163" s="24"/>
      <c r="T1163" s="35" t="str">
        <f aca="false">IF($C1163="","",IF($D1163="","★没选客户项目",IF(COUNTIF(合同键,$D1163)=0,"★《维保合同》里没这个项目",IF(N($K1163)&lt;=0,"★应收金额要填",IF(ROUND(N($N1163)-N($K1163),2)&gt;0.001,"★开票金额大于应收",IF(AND($L1163&lt;&gt;"",N($N1163)&lt;=0),"★填了开票日期没填开票金额",IF(AND($I1163&lt;&gt;"",$J1163&lt;&gt;"",$J1163&lt;$I1163),"★计费期间起止反了","OK")))))))</f>
        <v/>
      </c>
      <c r="U1163" s="29" t="str">
        <f aca="false">IF($L1163="","",YEAR($L1163))</f>
        <v/>
      </c>
      <c r="V1163" s="40" t="str">
        <f aca="false">IF($C1163="","",ROUND(SUMIF(收款关联,$B1163,收款金额),2))</f>
        <v/>
      </c>
      <c r="W1163" s="40" t="str">
        <f aca="false">IF($C1163="","",MAX(0,ROUND(N($K1163)-N($V1163),2)))</f>
        <v/>
      </c>
      <c r="X1163" s="40" t="str">
        <f aca="false">IF($C1163="","",ROUND(SUMIFS(应收净额,应收键,$D1163,应收行号,"&lt;="&amp;ROW()),2))</f>
        <v/>
      </c>
      <c r="Y1163" s="29" t="str">
        <f aca="false">IF($C1163="","",ROW())</f>
        <v/>
      </c>
    </row>
    <row r="1164" customFormat="false" ht="15" hidden="false" customHeight="false" outlineLevel="0" collapsed="false">
      <c r="A1164" s="29" t="str">
        <f aca="false">IF($C1164="","",ROW()-4)</f>
        <v/>
      </c>
      <c r="B1164" s="35" t="str">
        <f aca="false">IF($C1164="","","YS"&amp;TEXT($C1164,"yyyymm")&amp;"-"&amp;TEXT(ROW()-4,"0000"))</f>
        <v/>
      </c>
      <c r="C1164" s="33"/>
      <c r="D1164" s="24"/>
      <c r="E1164" s="30" t="str">
        <f aca="false">IF($D1164="","",IFERROR(INDEX(合同单位,MATCH($D1164,合同键,0)),IFERROR(TRIM(LEFT($D1164,FIND("｜",$D1164)-1)),$D1164)))</f>
        <v/>
      </c>
      <c r="F1164" s="30" t="str">
        <f aca="false">IF($D1164="","",IFERROR(INDEX(合同项目,MATCH($D1164,合同键,0)),IFERROR(TRIM(MID($D1164,FIND("｜",$D1164)+1,99)),"")))</f>
        <v/>
      </c>
      <c r="G1164" s="24"/>
      <c r="H1164" s="35" t="str">
        <f aca="false">IF($G1164="","",IFERROR(INDEX(费用款别,MATCH($G1164,费用类别表,0)),"合同外款"))</f>
        <v/>
      </c>
      <c r="I1164" s="33"/>
      <c r="J1164" s="33"/>
      <c r="K1164" s="39"/>
      <c r="L1164" s="33"/>
      <c r="M1164" s="25"/>
      <c r="N1164" s="39"/>
      <c r="O1164" s="35" t="str">
        <f aca="false">IF($C1164="","",IF(N($N1164)&lt;=0,"未开票",IF(ROUND(N($N1164)-N($K1164),2)&gt;=0,"已开票",IFERROR("部分开票 "&amp;TEXT(N($N1164)/N($K1164),"0%"),"部分开票"))))</f>
        <v/>
      </c>
      <c r="P1164" s="40" t="str">
        <f aca="false">IF($C1164="","",ROUND($V1164+MIN($W1164,MAX(0,(SUMIF(收款键,$D1164,收款金额)-SUMIFS(收款金额,收款键,$D1164,收款关联,"&lt;&gt;"))-($X1164-$W1164))),2))</f>
        <v/>
      </c>
      <c r="Q1164" s="41" t="str">
        <f aca="false">IF($C1164="","",ROUND(N($K1164)-N($P1164),2))</f>
        <v/>
      </c>
      <c r="R1164" s="29" t="str">
        <f aca="false">IF($C1164="","",YEAR($C1164))</f>
        <v/>
      </c>
      <c r="S1164" s="24"/>
      <c r="T1164" s="35" t="str">
        <f aca="false">IF($C1164="","",IF($D1164="","★没选客户项目",IF(COUNTIF(合同键,$D1164)=0,"★《维保合同》里没这个项目",IF(N($K1164)&lt;=0,"★应收金额要填",IF(ROUND(N($N1164)-N($K1164),2)&gt;0.001,"★开票金额大于应收",IF(AND($L1164&lt;&gt;"",N($N1164)&lt;=0),"★填了开票日期没填开票金额",IF(AND($I1164&lt;&gt;"",$J1164&lt;&gt;"",$J1164&lt;$I1164),"★计费期间起止反了","OK")))))))</f>
        <v/>
      </c>
      <c r="U1164" s="29" t="str">
        <f aca="false">IF($L1164="","",YEAR($L1164))</f>
        <v/>
      </c>
      <c r="V1164" s="40" t="str">
        <f aca="false">IF($C1164="","",ROUND(SUMIF(收款关联,$B1164,收款金额),2))</f>
        <v/>
      </c>
      <c r="W1164" s="40" t="str">
        <f aca="false">IF($C1164="","",MAX(0,ROUND(N($K1164)-N($V1164),2)))</f>
        <v/>
      </c>
      <c r="X1164" s="40" t="str">
        <f aca="false">IF($C1164="","",ROUND(SUMIFS(应收净额,应收键,$D1164,应收行号,"&lt;="&amp;ROW()),2))</f>
        <v/>
      </c>
      <c r="Y1164" s="29" t="str">
        <f aca="false">IF($C1164="","",ROW())</f>
        <v/>
      </c>
    </row>
    <row r="1165" customFormat="false" ht="15" hidden="false" customHeight="false" outlineLevel="0" collapsed="false">
      <c r="A1165" s="29" t="str">
        <f aca="false">IF($C1165="","",ROW()-4)</f>
        <v/>
      </c>
      <c r="B1165" s="35" t="str">
        <f aca="false">IF($C1165="","","YS"&amp;TEXT($C1165,"yyyymm")&amp;"-"&amp;TEXT(ROW()-4,"0000"))</f>
        <v/>
      </c>
      <c r="C1165" s="33"/>
      <c r="D1165" s="24"/>
      <c r="E1165" s="30" t="str">
        <f aca="false">IF($D1165="","",IFERROR(INDEX(合同单位,MATCH($D1165,合同键,0)),IFERROR(TRIM(LEFT($D1165,FIND("｜",$D1165)-1)),$D1165)))</f>
        <v/>
      </c>
      <c r="F1165" s="30" t="str">
        <f aca="false">IF($D1165="","",IFERROR(INDEX(合同项目,MATCH($D1165,合同键,0)),IFERROR(TRIM(MID($D1165,FIND("｜",$D1165)+1,99)),"")))</f>
        <v/>
      </c>
      <c r="G1165" s="24"/>
      <c r="H1165" s="35" t="str">
        <f aca="false">IF($G1165="","",IFERROR(INDEX(费用款别,MATCH($G1165,费用类别表,0)),"合同外款"))</f>
        <v/>
      </c>
      <c r="I1165" s="33"/>
      <c r="J1165" s="33"/>
      <c r="K1165" s="39"/>
      <c r="L1165" s="33"/>
      <c r="M1165" s="25"/>
      <c r="N1165" s="39"/>
      <c r="O1165" s="35" t="str">
        <f aca="false">IF($C1165="","",IF(N($N1165)&lt;=0,"未开票",IF(ROUND(N($N1165)-N($K1165),2)&gt;=0,"已开票",IFERROR("部分开票 "&amp;TEXT(N($N1165)/N($K1165),"0%"),"部分开票"))))</f>
        <v/>
      </c>
      <c r="P1165" s="40" t="str">
        <f aca="false">IF($C1165="","",ROUND($V1165+MIN($W1165,MAX(0,(SUMIF(收款键,$D1165,收款金额)-SUMIFS(收款金额,收款键,$D1165,收款关联,"&lt;&gt;"))-($X1165-$W1165))),2))</f>
        <v/>
      </c>
      <c r="Q1165" s="41" t="str">
        <f aca="false">IF($C1165="","",ROUND(N($K1165)-N($P1165),2))</f>
        <v/>
      </c>
      <c r="R1165" s="29" t="str">
        <f aca="false">IF($C1165="","",YEAR($C1165))</f>
        <v/>
      </c>
      <c r="S1165" s="24"/>
      <c r="T1165" s="35" t="str">
        <f aca="false">IF($C1165="","",IF($D1165="","★没选客户项目",IF(COUNTIF(合同键,$D1165)=0,"★《维保合同》里没这个项目",IF(N($K1165)&lt;=0,"★应收金额要填",IF(ROUND(N($N1165)-N($K1165),2)&gt;0.001,"★开票金额大于应收",IF(AND($L1165&lt;&gt;"",N($N1165)&lt;=0),"★填了开票日期没填开票金额",IF(AND($I1165&lt;&gt;"",$J1165&lt;&gt;"",$J1165&lt;$I1165),"★计费期间起止反了","OK")))))))</f>
        <v/>
      </c>
      <c r="U1165" s="29" t="str">
        <f aca="false">IF($L1165="","",YEAR($L1165))</f>
        <v/>
      </c>
      <c r="V1165" s="40" t="str">
        <f aca="false">IF($C1165="","",ROUND(SUMIF(收款关联,$B1165,收款金额),2))</f>
        <v/>
      </c>
      <c r="W1165" s="40" t="str">
        <f aca="false">IF($C1165="","",MAX(0,ROUND(N($K1165)-N($V1165),2)))</f>
        <v/>
      </c>
      <c r="X1165" s="40" t="str">
        <f aca="false">IF($C1165="","",ROUND(SUMIFS(应收净额,应收键,$D1165,应收行号,"&lt;="&amp;ROW()),2))</f>
        <v/>
      </c>
      <c r="Y1165" s="29" t="str">
        <f aca="false">IF($C1165="","",ROW())</f>
        <v/>
      </c>
    </row>
    <row r="1166" customFormat="false" ht="15" hidden="false" customHeight="false" outlineLevel="0" collapsed="false">
      <c r="A1166" s="29" t="str">
        <f aca="false">IF($C1166="","",ROW()-4)</f>
        <v/>
      </c>
      <c r="B1166" s="35" t="str">
        <f aca="false">IF($C1166="","","YS"&amp;TEXT($C1166,"yyyymm")&amp;"-"&amp;TEXT(ROW()-4,"0000"))</f>
        <v/>
      </c>
      <c r="C1166" s="33"/>
      <c r="D1166" s="24"/>
      <c r="E1166" s="30" t="str">
        <f aca="false">IF($D1166="","",IFERROR(INDEX(合同单位,MATCH($D1166,合同键,0)),IFERROR(TRIM(LEFT($D1166,FIND("｜",$D1166)-1)),$D1166)))</f>
        <v/>
      </c>
      <c r="F1166" s="30" t="str">
        <f aca="false">IF($D1166="","",IFERROR(INDEX(合同项目,MATCH($D1166,合同键,0)),IFERROR(TRIM(MID($D1166,FIND("｜",$D1166)+1,99)),"")))</f>
        <v/>
      </c>
      <c r="G1166" s="24"/>
      <c r="H1166" s="35" t="str">
        <f aca="false">IF($G1166="","",IFERROR(INDEX(费用款别,MATCH($G1166,费用类别表,0)),"合同外款"))</f>
        <v/>
      </c>
      <c r="I1166" s="33"/>
      <c r="J1166" s="33"/>
      <c r="K1166" s="39"/>
      <c r="L1166" s="33"/>
      <c r="M1166" s="25"/>
      <c r="N1166" s="39"/>
      <c r="O1166" s="35" t="str">
        <f aca="false">IF($C1166="","",IF(N($N1166)&lt;=0,"未开票",IF(ROUND(N($N1166)-N($K1166),2)&gt;=0,"已开票",IFERROR("部分开票 "&amp;TEXT(N($N1166)/N($K1166),"0%"),"部分开票"))))</f>
        <v/>
      </c>
      <c r="P1166" s="40" t="str">
        <f aca="false">IF($C1166="","",ROUND($V1166+MIN($W1166,MAX(0,(SUMIF(收款键,$D1166,收款金额)-SUMIFS(收款金额,收款键,$D1166,收款关联,"&lt;&gt;"))-($X1166-$W1166))),2))</f>
        <v/>
      </c>
      <c r="Q1166" s="41" t="str">
        <f aca="false">IF($C1166="","",ROUND(N($K1166)-N($P1166),2))</f>
        <v/>
      </c>
      <c r="R1166" s="29" t="str">
        <f aca="false">IF($C1166="","",YEAR($C1166))</f>
        <v/>
      </c>
      <c r="S1166" s="24"/>
      <c r="T1166" s="35" t="str">
        <f aca="false">IF($C1166="","",IF($D1166="","★没选客户项目",IF(COUNTIF(合同键,$D1166)=0,"★《维保合同》里没这个项目",IF(N($K1166)&lt;=0,"★应收金额要填",IF(ROUND(N($N1166)-N($K1166),2)&gt;0.001,"★开票金额大于应收",IF(AND($L1166&lt;&gt;"",N($N1166)&lt;=0),"★填了开票日期没填开票金额",IF(AND($I1166&lt;&gt;"",$J1166&lt;&gt;"",$J1166&lt;$I1166),"★计费期间起止反了","OK")))))))</f>
        <v/>
      </c>
      <c r="U1166" s="29" t="str">
        <f aca="false">IF($L1166="","",YEAR($L1166))</f>
        <v/>
      </c>
      <c r="V1166" s="40" t="str">
        <f aca="false">IF($C1166="","",ROUND(SUMIF(收款关联,$B1166,收款金额),2))</f>
        <v/>
      </c>
      <c r="W1166" s="40" t="str">
        <f aca="false">IF($C1166="","",MAX(0,ROUND(N($K1166)-N($V1166),2)))</f>
        <v/>
      </c>
      <c r="X1166" s="40" t="str">
        <f aca="false">IF($C1166="","",ROUND(SUMIFS(应收净额,应收键,$D1166,应收行号,"&lt;="&amp;ROW()),2))</f>
        <v/>
      </c>
      <c r="Y1166" s="29" t="str">
        <f aca="false">IF($C1166="","",ROW())</f>
        <v/>
      </c>
    </row>
    <row r="1167" customFormat="false" ht="15" hidden="false" customHeight="false" outlineLevel="0" collapsed="false">
      <c r="A1167" s="29" t="str">
        <f aca="false">IF($C1167="","",ROW()-4)</f>
        <v/>
      </c>
      <c r="B1167" s="35" t="str">
        <f aca="false">IF($C1167="","","YS"&amp;TEXT($C1167,"yyyymm")&amp;"-"&amp;TEXT(ROW()-4,"0000"))</f>
        <v/>
      </c>
      <c r="C1167" s="33"/>
      <c r="D1167" s="24"/>
      <c r="E1167" s="30" t="str">
        <f aca="false">IF($D1167="","",IFERROR(INDEX(合同单位,MATCH($D1167,合同键,0)),IFERROR(TRIM(LEFT($D1167,FIND("｜",$D1167)-1)),$D1167)))</f>
        <v/>
      </c>
      <c r="F1167" s="30" t="str">
        <f aca="false">IF($D1167="","",IFERROR(INDEX(合同项目,MATCH($D1167,合同键,0)),IFERROR(TRIM(MID($D1167,FIND("｜",$D1167)+1,99)),"")))</f>
        <v/>
      </c>
      <c r="G1167" s="24"/>
      <c r="H1167" s="35" t="str">
        <f aca="false">IF($G1167="","",IFERROR(INDEX(费用款别,MATCH($G1167,费用类别表,0)),"合同外款"))</f>
        <v/>
      </c>
      <c r="I1167" s="33"/>
      <c r="J1167" s="33"/>
      <c r="K1167" s="39"/>
      <c r="L1167" s="33"/>
      <c r="M1167" s="25"/>
      <c r="N1167" s="39"/>
      <c r="O1167" s="35" t="str">
        <f aca="false">IF($C1167="","",IF(N($N1167)&lt;=0,"未开票",IF(ROUND(N($N1167)-N($K1167),2)&gt;=0,"已开票",IFERROR("部分开票 "&amp;TEXT(N($N1167)/N($K1167),"0%"),"部分开票"))))</f>
        <v/>
      </c>
      <c r="P1167" s="40" t="str">
        <f aca="false">IF($C1167="","",ROUND($V1167+MIN($W1167,MAX(0,(SUMIF(收款键,$D1167,收款金额)-SUMIFS(收款金额,收款键,$D1167,收款关联,"&lt;&gt;"))-($X1167-$W1167))),2))</f>
        <v/>
      </c>
      <c r="Q1167" s="41" t="str">
        <f aca="false">IF($C1167="","",ROUND(N($K1167)-N($P1167),2))</f>
        <v/>
      </c>
      <c r="R1167" s="29" t="str">
        <f aca="false">IF($C1167="","",YEAR($C1167))</f>
        <v/>
      </c>
      <c r="S1167" s="24"/>
      <c r="T1167" s="35" t="str">
        <f aca="false">IF($C1167="","",IF($D1167="","★没选客户项目",IF(COUNTIF(合同键,$D1167)=0,"★《维保合同》里没这个项目",IF(N($K1167)&lt;=0,"★应收金额要填",IF(ROUND(N($N1167)-N($K1167),2)&gt;0.001,"★开票金额大于应收",IF(AND($L1167&lt;&gt;"",N($N1167)&lt;=0),"★填了开票日期没填开票金额",IF(AND($I1167&lt;&gt;"",$J1167&lt;&gt;"",$J1167&lt;$I1167),"★计费期间起止反了","OK")))))))</f>
        <v/>
      </c>
      <c r="U1167" s="29" t="str">
        <f aca="false">IF($L1167="","",YEAR($L1167))</f>
        <v/>
      </c>
      <c r="V1167" s="40" t="str">
        <f aca="false">IF($C1167="","",ROUND(SUMIF(收款关联,$B1167,收款金额),2))</f>
        <v/>
      </c>
      <c r="W1167" s="40" t="str">
        <f aca="false">IF($C1167="","",MAX(0,ROUND(N($K1167)-N($V1167),2)))</f>
        <v/>
      </c>
      <c r="X1167" s="40" t="str">
        <f aca="false">IF($C1167="","",ROUND(SUMIFS(应收净额,应收键,$D1167,应收行号,"&lt;="&amp;ROW()),2))</f>
        <v/>
      </c>
      <c r="Y1167" s="29" t="str">
        <f aca="false">IF($C1167="","",ROW())</f>
        <v/>
      </c>
    </row>
    <row r="1168" customFormat="false" ht="15" hidden="false" customHeight="false" outlineLevel="0" collapsed="false">
      <c r="A1168" s="29" t="str">
        <f aca="false">IF($C1168="","",ROW()-4)</f>
        <v/>
      </c>
      <c r="B1168" s="35" t="str">
        <f aca="false">IF($C1168="","","YS"&amp;TEXT($C1168,"yyyymm")&amp;"-"&amp;TEXT(ROW()-4,"0000"))</f>
        <v/>
      </c>
      <c r="C1168" s="33"/>
      <c r="D1168" s="24"/>
      <c r="E1168" s="30" t="str">
        <f aca="false">IF($D1168="","",IFERROR(INDEX(合同单位,MATCH($D1168,合同键,0)),IFERROR(TRIM(LEFT($D1168,FIND("｜",$D1168)-1)),$D1168)))</f>
        <v/>
      </c>
      <c r="F1168" s="30" t="str">
        <f aca="false">IF($D1168="","",IFERROR(INDEX(合同项目,MATCH($D1168,合同键,0)),IFERROR(TRIM(MID($D1168,FIND("｜",$D1168)+1,99)),"")))</f>
        <v/>
      </c>
      <c r="G1168" s="24"/>
      <c r="H1168" s="35" t="str">
        <f aca="false">IF($G1168="","",IFERROR(INDEX(费用款别,MATCH($G1168,费用类别表,0)),"合同外款"))</f>
        <v/>
      </c>
      <c r="I1168" s="33"/>
      <c r="J1168" s="33"/>
      <c r="K1168" s="39"/>
      <c r="L1168" s="33"/>
      <c r="M1168" s="25"/>
      <c r="N1168" s="39"/>
      <c r="O1168" s="35" t="str">
        <f aca="false">IF($C1168="","",IF(N($N1168)&lt;=0,"未开票",IF(ROUND(N($N1168)-N($K1168),2)&gt;=0,"已开票",IFERROR("部分开票 "&amp;TEXT(N($N1168)/N($K1168),"0%"),"部分开票"))))</f>
        <v/>
      </c>
      <c r="P1168" s="40" t="str">
        <f aca="false">IF($C1168="","",ROUND($V1168+MIN($W1168,MAX(0,(SUMIF(收款键,$D1168,收款金额)-SUMIFS(收款金额,收款键,$D1168,收款关联,"&lt;&gt;"))-($X1168-$W1168))),2))</f>
        <v/>
      </c>
      <c r="Q1168" s="41" t="str">
        <f aca="false">IF($C1168="","",ROUND(N($K1168)-N($P1168),2))</f>
        <v/>
      </c>
      <c r="R1168" s="29" t="str">
        <f aca="false">IF($C1168="","",YEAR($C1168))</f>
        <v/>
      </c>
      <c r="S1168" s="24"/>
      <c r="T1168" s="35" t="str">
        <f aca="false">IF($C1168="","",IF($D1168="","★没选客户项目",IF(COUNTIF(合同键,$D1168)=0,"★《维保合同》里没这个项目",IF(N($K1168)&lt;=0,"★应收金额要填",IF(ROUND(N($N1168)-N($K1168),2)&gt;0.001,"★开票金额大于应收",IF(AND($L1168&lt;&gt;"",N($N1168)&lt;=0),"★填了开票日期没填开票金额",IF(AND($I1168&lt;&gt;"",$J1168&lt;&gt;"",$J1168&lt;$I1168),"★计费期间起止反了","OK")))))))</f>
        <v/>
      </c>
      <c r="U1168" s="29" t="str">
        <f aca="false">IF($L1168="","",YEAR($L1168))</f>
        <v/>
      </c>
      <c r="V1168" s="40" t="str">
        <f aca="false">IF($C1168="","",ROUND(SUMIF(收款关联,$B1168,收款金额),2))</f>
        <v/>
      </c>
      <c r="W1168" s="40" t="str">
        <f aca="false">IF($C1168="","",MAX(0,ROUND(N($K1168)-N($V1168),2)))</f>
        <v/>
      </c>
      <c r="X1168" s="40" t="str">
        <f aca="false">IF($C1168="","",ROUND(SUMIFS(应收净额,应收键,$D1168,应收行号,"&lt;="&amp;ROW()),2))</f>
        <v/>
      </c>
      <c r="Y1168" s="29" t="str">
        <f aca="false">IF($C1168="","",ROW())</f>
        <v/>
      </c>
    </row>
    <row r="1169" customFormat="false" ht="15" hidden="false" customHeight="false" outlineLevel="0" collapsed="false">
      <c r="A1169" s="29" t="str">
        <f aca="false">IF($C1169="","",ROW()-4)</f>
        <v/>
      </c>
      <c r="B1169" s="35" t="str">
        <f aca="false">IF($C1169="","","YS"&amp;TEXT($C1169,"yyyymm")&amp;"-"&amp;TEXT(ROW()-4,"0000"))</f>
        <v/>
      </c>
      <c r="C1169" s="33"/>
      <c r="D1169" s="24"/>
      <c r="E1169" s="30" t="str">
        <f aca="false">IF($D1169="","",IFERROR(INDEX(合同单位,MATCH($D1169,合同键,0)),IFERROR(TRIM(LEFT($D1169,FIND("｜",$D1169)-1)),$D1169)))</f>
        <v/>
      </c>
      <c r="F1169" s="30" t="str">
        <f aca="false">IF($D1169="","",IFERROR(INDEX(合同项目,MATCH($D1169,合同键,0)),IFERROR(TRIM(MID($D1169,FIND("｜",$D1169)+1,99)),"")))</f>
        <v/>
      </c>
      <c r="G1169" s="24"/>
      <c r="H1169" s="35" t="str">
        <f aca="false">IF($G1169="","",IFERROR(INDEX(费用款别,MATCH($G1169,费用类别表,0)),"合同外款"))</f>
        <v/>
      </c>
      <c r="I1169" s="33"/>
      <c r="J1169" s="33"/>
      <c r="K1169" s="39"/>
      <c r="L1169" s="33"/>
      <c r="M1169" s="25"/>
      <c r="N1169" s="39"/>
      <c r="O1169" s="35" t="str">
        <f aca="false">IF($C1169="","",IF(N($N1169)&lt;=0,"未开票",IF(ROUND(N($N1169)-N($K1169),2)&gt;=0,"已开票",IFERROR("部分开票 "&amp;TEXT(N($N1169)/N($K1169),"0%"),"部分开票"))))</f>
        <v/>
      </c>
      <c r="P1169" s="40" t="str">
        <f aca="false">IF($C1169="","",ROUND($V1169+MIN($W1169,MAX(0,(SUMIF(收款键,$D1169,收款金额)-SUMIFS(收款金额,收款键,$D1169,收款关联,"&lt;&gt;"))-($X1169-$W1169))),2))</f>
        <v/>
      </c>
      <c r="Q1169" s="41" t="str">
        <f aca="false">IF($C1169="","",ROUND(N($K1169)-N($P1169),2))</f>
        <v/>
      </c>
      <c r="R1169" s="29" t="str">
        <f aca="false">IF($C1169="","",YEAR($C1169))</f>
        <v/>
      </c>
      <c r="S1169" s="24"/>
      <c r="T1169" s="35" t="str">
        <f aca="false">IF($C1169="","",IF($D1169="","★没选客户项目",IF(COUNTIF(合同键,$D1169)=0,"★《维保合同》里没这个项目",IF(N($K1169)&lt;=0,"★应收金额要填",IF(ROUND(N($N1169)-N($K1169),2)&gt;0.001,"★开票金额大于应收",IF(AND($L1169&lt;&gt;"",N($N1169)&lt;=0),"★填了开票日期没填开票金额",IF(AND($I1169&lt;&gt;"",$J1169&lt;&gt;"",$J1169&lt;$I1169),"★计费期间起止反了","OK")))))))</f>
        <v/>
      </c>
      <c r="U1169" s="29" t="str">
        <f aca="false">IF($L1169="","",YEAR($L1169))</f>
        <v/>
      </c>
      <c r="V1169" s="40" t="str">
        <f aca="false">IF($C1169="","",ROUND(SUMIF(收款关联,$B1169,收款金额),2))</f>
        <v/>
      </c>
      <c r="W1169" s="40" t="str">
        <f aca="false">IF($C1169="","",MAX(0,ROUND(N($K1169)-N($V1169),2)))</f>
        <v/>
      </c>
      <c r="X1169" s="40" t="str">
        <f aca="false">IF($C1169="","",ROUND(SUMIFS(应收净额,应收键,$D1169,应收行号,"&lt;="&amp;ROW()),2))</f>
        <v/>
      </c>
      <c r="Y1169" s="29" t="str">
        <f aca="false">IF($C1169="","",ROW())</f>
        <v/>
      </c>
    </row>
    <row r="1170" customFormat="false" ht="15" hidden="false" customHeight="false" outlineLevel="0" collapsed="false">
      <c r="A1170" s="29" t="str">
        <f aca="false">IF($C1170="","",ROW()-4)</f>
        <v/>
      </c>
      <c r="B1170" s="35" t="str">
        <f aca="false">IF($C1170="","","YS"&amp;TEXT($C1170,"yyyymm")&amp;"-"&amp;TEXT(ROW()-4,"0000"))</f>
        <v/>
      </c>
      <c r="C1170" s="33"/>
      <c r="D1170" s="24"/>
      <c r="E1170" s="30" t="str">
        <f aca="false">IF($D1170="","",IFERROR(INDEX(合同单位,MATCH($D1170,合同键,0)),IFERROR(TRIM(LEFT($D1170,FIND("｜",$D1170)-1)),$D1170)))</f>
        <v/>
      </c>
      <c r="F1170" s="30" t="str">
        <f aca="false">IF($D1170="","",IFERROR(INDEX(合同项目,MATCH($D1170,合同键,0)),IFERROR(TRIM(MID($D1170,FIND("｜",$D1170)+1,99)),"")))</f>
        <v/>
      </c>
      <c r="G1170" s="24"/>
      <c r="H1170" s="35" t="str">
        <f aca="false">IF($G1170="","",IFERROR(INDEX(费用款别,MATCH($G1170,费用类别表,0)),"合同外款"))</f>
        <v/>
      </c>
      <c r="I1170" s="33"/>
      <c r="J1170" s="33"/>
      <c r="K1170" s="39"/>
      <c r="L1170" s="33"/>
      <c r="M1170" s="25"/>
      <c r="N1170" s="39"/>
      <c r="O1170" s="35" t="str">
        <f aca="false">IF($C1170="","",IF(N($N1170)&lt;=0,"未开票",IF(ROUND(N($N1170)-N($K1170),2)&gt;=0,"已开票",IFERROR("部分开票 "&amp;TEXT(N($N1170)/N($K1170),"0%"),"部分开票"))))</f>
        <v/>
      </c>
      <c r="P1170" s="40" t="str">
        <f aca="false">IF($C1170="","",ROUND($V1170+MIN($W1170,MAX(0,(SUMIF(收款键,$D1170,收款金额)-SUMIFS(收款金额,收款键,$D1170,收款关联,"&lt;&gt;"))-($X1170-$W1170))),2))</f>
        <v/>
      </c>
      <c r="Q1170" s="41" t="str">
        <f aca="false">IF($C1170="","",ROUND(N($K1170)-N($P1170),2))</f>
        <v/>
      </c>
      <c r="R1170" s="29" t="str">
        <f aca="false">IF($C1170="","",YEAR($C1170))</f>
        <v/>
      </c>
      <c r="S1170" s="24"/>
      <c r="T1170" s="35" t="str">
        <f aca="false">IF($C1170="","",IF($D1170="","★没选客户项目",IF(COUNTIF(合同键,$D1170)=0,"★《维保合同》里没这个项目",IF(N($K1170)&lt;=0,"★应收金额要填",IF(ROUND(N($N1170)-N($K1170),2)&gt;0.001,"★开票金额大于应收",IF(AND($L1170&lt;&gt;"",N($N1170)&lt;=0),"★填了开票日期没填开票金额",IF(AND($I1170&lt;&gt;"",$J1170&lt;&gt;"",$J1170&lt;$I1170),"★计费期间起止反了","OK")))))))</f>
        <v/>
      </c>
      <c r="U1170" s="29" t="str">
        <f aca="false">IF($L1170="","",YEAR($L1170))</f>
        <v/>
      </c>
      <c r="V1170" s="40" t="str">
        <f aca="false">IF($C1170="","",ROUND(SUMIF(收款关联,$B1170,收款金额),2))</f>
        <v/>
      </c>
      <c r="W1170" s="40" t="str">
        <f aca="false">IF($C1170="","",MAX(0,ROUND(N($K1170)-N($V1170),2)))</f>
        <v/>
      </c>
      <c r="X1170" s="40" t="str">
        <f aca="false">IF($C1170="","",ROUND(SUMIFS(应收净额,应收键,$D1170,应收行号,"&lt;="&amp;ROW()),2))</f>
        <v/>
      </c>
      <c r="Y1170" s="29" t="str">
        <f aca="false">IF($C1170="","",ROW())</f>
        <v/>
      </c>
    </row>
    <row r="1171" customFormat="false" ht="15" hidden="false" customHeight="false" outlineLevel="0" collapsed="false">
      <c r="A1171" s="29" t="str">
        <f aca="false">IF($C1171="","",ROW()-4)</f>
        <v/>
      </c>
      <c r="B1171" s="35" t="str">
        <f aca="false">IF($C1171="","","YS"&amp;TEXT($C1171,"yyyymm")&amp;"-"&amp;TEXT(ROW()-4,"0000"))</f>
        <v/>
      </c>
      <c r="C1171" s="33"/>
      <c r="D1171" s="24"/>
      <c r="E1171" s="30" t="str">
        <f aca="false">IF($D1171="","",IFERROR(INDEX(合同单位,MATCH($D1171,合同键,0)),IFERROR(TRIM(LEFT($D1171,FIND("｜",$D1171)-1)),$D1171)))</f>
        <v/>
      </c>
      <c r="F1171" s="30" t="str">
        <f aca="false">IF($D1171="","",IFERROR(INDEX(合同项目,MATCH($D1171,合同键,0)),IFERROR(TRIM(MID($D1171,FIND("｜",$D1171)+1,99)),"")))</f>
        <v/>
      </c>
      <c r="G1171" s="24"/>
      <c r="H1171" s="35" t="str">
        <f aca="false">IF($G1171="","",IFERROR(INDEX(费用款别,MATCH($G1171,费用类别表,0)),"合同外款"))</f>
        <v/>
      </c>
      <c r="I1171" s="33"/>
      <c r="J1171" s="33"/>
      <c r="K1171" s="39"/>
      <c r="L1171" s="33"/>
      <c r="M1171" s="25"/>
      <c r="N1171" s="39"/>
      <c r="O1171" s="35" t="str">
        <f aca="false">IF($C1171="","",IF(N($N1171)&lt;=0,"未开票",IF(ROUND(N($N1171)-N($K1171),2)&gt;=0,"已开票",IFERROR("部分开票 "&amp;TEXT(N($N1171)/N($K1171),"0%"),"部分开票"))))</f>
        <v/>
      </c>
      <c r="P1171" s="40" t="str">
        <f aca="false">IF($C1171="","",ROUND($V1171+MIN($W1171,MAX(0,(SUMIF(收款键,$D1171,收款金额)-SUMIFS(收款金额,收款键,$D1171,收款关联,"&lt;&gt;"))-($X1171-$W1171))),2))</f>
        <v/>
      </c>
      <c r="Q1171" s="41" t="str">
        <f aca="false">IF($C1171="","",ROUND(N($K1171)-N($P1171),2))</f>
        <v/>
      </c>
      <c r="R1171" s="29" t="str">
        <f aca="false">IF($C1171="","",YEAR($C1171))</f>
        <v/>
      </c>
      <c r="S1171" s="24"/>
      <c r="T1171" s="35" t="str">
        <f aca="false">IF($C1171="","",IF($D1171="","★没选客户项目",IF(COUNTIF(合同键,$D1171)=0,"★《维保合同》里没这个项目",IF(N($K1171)&lt;=0,"★应收金额要填",IF(ROUND(N($N1171)-N($K1171),2)&gt;0.001,"★开票金额大于应收",IF(AND($L1171&lt;&gt;"",N($N1171)&lt;=0),"★填了开票日期没填开票金额",IF(AND($I1171&lt;&gt;"",$J1171&lt;&gt;"",$J1171&lt;$I1171),"★计费期间起止反了","OK")))))))</f>
        <v/>
      </c>
      <c r="U1171" s="29" t="str">
        <f aca="false">IF($L1171="","",YEAR($L1171))</f>
        <v/>
      </c>
      <c r="V1171" s="40" t="str">
        <f aca="false">IF($C1171="","",ROUND(SUMIF(收款关联,$B1171,收款金额),2))</f>
        <v/>
      </c>
      <c r="W1171" s="40" t="str">
        <f aca="false">IF($C1171="","",MAX(0,ROUND(N($K1171)-N($V1171),2)))</f>
        <v/>
      </c>
      <c r="X1171" s="40" t="str">
        <f aca="false">IF($C1171="","",ROUND(SUMIFS(应收净额,应收键,$D1171,应收行号,"&lt;="&amp;ROW()),2))</f>
        <v/>
      </c>
      <c r="Y1171" s="29" t="str">
        <f aca="false">IF($C1171="","",ROW())</f>
        <v/>
      </c>
    </row>
    <row r="1172" customFormat="false" ht="15" hidden="false" customHeight="false" outlineLevel="0" collapsed="false">
      <c r="A1172" s="29" t="str">
        <f aca="false">IF($C1172="","",ROW()-4)</f>
        <v/>
      </c>
      <c r="B1172" s="35" t="str">
        <f aca="false">IF($C1172="","","YS"&amp;TEXT($C1172,"yyyymm")&amp;"-"&amp;TEXT(ROW()-4,"0000"))</f>
        <v/>
      </c>
      <c r="C1172" s="33"/>
      <c r="D1172" s="24"/>
      <c r="E1172" s="30" t="str">
        <f aca="false">IF($D1172="","",IFERROR(INDEX(合同单位,MATCH($D1172,合同键,0)),IFERROR(TRIM(LEFT($D1172,FIND("｜",$D1172)-1)),$D1172)))</f>
        <v/>
      </c>
      <c r="F1172" s="30" t="str">
        <f aca="false">IF($D1172="","",IFERROR(INDEX(合同项目,MATCH($D1172,合同键,0)),IFERROR(TRIM(MID($D1172,FIND("｜",$D1172)+1,99)),"")))</f>
        <v/>
      </c>
      <c r="G1172" s="24"/>
      <c r="H1172" s="35" t="str">
        <f aca="false">IF($G1172="","",IFERROR(INDEX(费用款别,MATCH($G1172,费用类别表,0)),"合同外款"))</f>
        <v/>
      </c>
      <c r="I1172" s="33"/>
      <c r="J1172" s="33"/>
      <c r="K1172" s="39"/>
      <c r="L1172" s="33"/>
      <c r="M1172" s="25"/>
      <c r="N1172" s="39"/>
      <c r="O1172" s="35" t="str">
        <f aca="false">IF($C1172="","",IF(N($N1172)&lt;=0,"未开票",IF(ROUND(N($N1172)-N($K1172),2)&gt;=0,"已开票",IFERROR("部分开票 "&amp;TEXT(N($N1172)/N($K1172),"0%"),"部分开票"))))</f>
        <v/>
      </c>
      <c r="P1172" s="40" t="str">
        <f aca="false">IF($C1172="","",ROUND($V1172+MIN($W1172,MAX(0,(SUMIF(收款键,$D1172,收款金额)-SUMIFS(收款金额,收款键,$D1172,收款关联,"&lt;&gt;"))-($X1172-$W1172))),2))</f>
        <v/>
      </c>
      <c r="Q1172" s="41" t="str">
        <f aca="false">IF($C1172="","",ROUND(N($K1172)-N($P1172),2))</f>
        <v/>
      </c>
      <c r="R1172" s="29" t="str">
        <f aca="false">IF($C1172="","",YEAR($C1172))</f>
        <v/>
      </c>
      <c r="S1172" s="24"/>
      <c r="T1172" s="35" t="str">
        <f aca="false">IF($C1172="","",IF($D1172="","★没选客户项目",IF(COUNTIF(合同键,$D1172)=0,"★《维保合同》里没这个项目",IF(N($K1172)&lt;=0,"★应收金额要填",IF(ROUND(N($N1172)-N($K1172),2)&gt;0.001,"★开票金额大于应收",IF(AND($L1172&lt;&gt;"",N($N1172)&lt;=0),"★填了开票日期没填开票金额",IF(AND($I1172&lt;&gt;"",$J1172&lt;&gt;"",$J1172&lt;$I1172),"★计费期间起止反了","OK")))))))</f>
        <v/>
      </c>
      <c r="U1172" s="29" t="str">
        <f aca="false">IF($L1172="","",YEAR($L1172))</f>
        <v/>
      </c>
      <c r="V1172" s="40" t="str">
        <f aca="false">IF($C1172="","",ROUND(SUMIF(收款关联,$B1172,收款金额),2))</f>
        <v/>
      </c>
      <c r="W1172" s="40" t="str">
        <f aca="false">IF($C1172="","",MAX(0,ROUND(N($K1172)-N($V1172),2)))</f>
        <v/>
      </c>
      <c r="X1172" s="40" t="str">
        <f aca="false">IF($C1172="","",ROUND(SUMIFS(应收净额,应收键,$D1172,应收行号,"&lt;="&amp;ROW()),2))</f>
        <v/>
      </c>
      <c r="Y1172" s="29" t="str">
        <f aca="false">IF($C1172="","",ROW())</f>
        <v/>
      </c>
    </row>
    <row r="1173" customFormat="false" ht="15" hidden="false" customHeight="false" outlineLevel="0" collapsed="false">
      <c r="A1173" s="29" t="str">
        <f aca="false">IF($C1173="","",ROW()-4)</f>
        <v/>
      </c>
      <c r="B1173" s="35" t="str">
        <f aca="false">IF($C1173="","","YS"&amp;TEXT($C1173,"yyyymm")&amp;"-"&amp;TEXT(ROW()-4,"0000"))</f>
        <v/>
      </c>
      <c r="C1173" s="33"/>
      <c r="D1173" s="24"/>
      <c r="E1173" s="30" t="str">
        <f aca="false">IF($D1173="","",IFERROR(INDEX(合同单位,MATCH($D1173,合同键,0)),IFERROR(TRIM(LEFT($D1173,FIND("｜",$D1173)-1)),$D1173)))</f>
        <v/>
      </c>
      <c r="F1173" s="30" t="str">
        <f aca="false">IF($D1173="","",IFERROR(INDEX(合同项目,MATCH($D1173,合同键,0)),IFERROR(TRIM(MID($D1173,FIND("｜",$D1173)+1,99)),"")))</f>
        <v/>
      </c>
      <c r="G1173" s="24"/>
      <c r="H1173" s="35" t="str">
        <f aca="false">IF($G1173="","",IFERROR(INDEX(费用款别,MATCH($G1173,费用类别表,0)),"合同外款"))</f>
        <v/>
      </c>
      <c r="I1173" s="33"/>
      <c r="J1173" s="33"/>
      <c r="K1173" s="39"/>
      <c r="L1173" s="33"/>
      <c r="M1173" s="25"/>
      <c r="N1173" s="39"/>
      <c r="O1173" s="35" t="str">
        <f aca="false">IF($C1173="","",IF(N($N1173)&lt;=0,"未开票",IF(ROUND(N($N1173)-N($K1173),2)&gt;=0,"已开票",IFERROR("部分开票 "&amp;TEXT(N($N1173)/N($K1173),"0%"),"部分开票"))))</f>
        <v/>
      </c>
      <c r="P1173" s="40" t="str">
        <f aca="false">IF($C1173="","",ROUND($V1173+MIN($W1173,MAX(0,(SUMIF(收款键,$D1173,收款金额)-SUMIFS(收款金额,收款键,$D1173,收款关联,"&lt;&gt;"))-($X1173-$W1173))),2))</f>
        <v/>
      </c>
      <c r="Q1173" s="41" t="str">
        <f aca="false">IF($C1173="","",ROUND(N($K1173)-N($P1173),2))</f>
        <v/>
      </c>
      <c r="R1173" s="29" t="str">
        <f aca="false">IF($C1173="","",YEAR($C1173))</f>
        <v/>
      </c>
      <c r="S1173" s="24"/>
      <c r="T1173" s="35" t="str">
        <f aca="false">IF($C1173="","",IF($D1173="","★没选客户项目",IF(COUNTIF(合同键,$D1173)=0,"★《维保合同》里没这个项目",IF(N($K1173)&lt;=0,"★应收金额要填",IF(ROUND(N($N1173)-N($K1173),2)&gt;0.001,"★开票金额大于应收",IF(AND($L1173&lt;&gt;"",N($N1173)&lt;=0),"★填了开票日期没填开票金额",IF(AND($I1173&lt;&gt;"",$J1173&lt;&gt;"",$J1173&lt;$I1173),"★计费期间起止反了","OK")))))))</f>
        <v/>
      </c>
      <c r="U1173" s="29" t="str">
        <f aca="false">IF($L1173="","",YEAR($L1173))</f>
        <v/>
      </c>
      <c r="V1173" s="40" t="str">
        <f aca="false">IF($C1173="","",ROUND(SUMIF(收款关联,$B1173,收款金额),2))</f>
        <v/>
      </c>
      <c r="W1173" s="40" t="str">
        <f aca="false">IF($C1173="","",MAX(0,ROUND(N($K1173)-N($V1173),2)))</f>
        <v/>
      </c>
      <c r="X1173" s="40" t="str">
        <f aca="false">IF($C1173="","",ROUND(SUMIFS(应收净额,应收键,$D1173,应收行号,"&lt;="&amp;ROW()),2))</f>
        <v/>
      </c>
      <c r="Y1173" s="29" t="str">
        <f aca="false">IF($C1173="","",ROW())</f>
        <v/>
      </c>
    </row>
    <row r="1174" customFormat="false" ht="15" hidden="false" customHeight="false" outlineLevel="0" collapsed="false">
      <c r="A1174" s="29" t="str">
        <f aca="false">IF($C1174="","",ROW()-4)</f>
        <v/>
      </c>
      <c r="B1174" s="35" t="str">
        <f aca="false">IF($C1174="","","YS"&amp;TEXT($C1174,"yyyymm")&amp;"-"&amp;TEXT(ROW()-4,"0000"))</f>
        <v/>
      </c>
      <c r="C1174" s="33"/>
      <c r="D1174" s="24"/>
      <c r="E1174" s="30" t="str">
        <f aca="false">IF($D1174="","",IFERROR(INDEX(合同单位,MATCH($D1174,合同键,0)),IFERROR(TRIM(LEFT($D1174,FIND("｜",$D1174)-1)),$D1174)))</f>
        <v/>
      </c>
      <c r="F1174" s="30" t="str">
        <f aca="false">IF($D1174="","",IFERROR(INDEX(合同项目,MATCH($D1174,合同键,0)),IFERROR(TRIM(MID($D1174,FIND("｜",$D1174)+1,99)),"")))</f>
        <v/>
      </c>
      <c r="G1174" s="24"/>
      <c r="H1174" s="35" t="str">
        <f aca="false">IF($G1174="","",IFERROR(INDEX(费用款别,MATCH($G1174,费用类别表,0)),"合同外款"))</f>
        <v/>
      </c>
      <c r="I1174" s="33"/>
      <c r="J1174" s="33"/>
      <c r="K1174" s="39"/>
      <c r="L1174" s="33"/>
      <c r="M1174" s="25"/>
      <c r="N1174" s="39"/>
      <c r="O1174" s="35" t="str">
        <f aca="false">IF($C1174="","",IF(N($N1174)&lt;=0,"未开票",IF(ROUND(N($N1174)-N($K1174),2)&gt;=0,"已开票",IFERROR("部分开票 "&amp;TEXT(N($N1174)/N($K1174),"0%"),"部分开票"))))</f>
        <v/>
      </c>
      <c r="P1174" s="40" t="str">
        <f aca="false">IF($C1174="","",ROUND($V1174+MIN($W1174,MAX(0,(SUMIF(收款键,$D1174,收款金额)-SUMIFS(收款金额,收款键,$D1174,收款关联,"&lt;&gt;"))-($X1174-$W1174))),2))</f>
        <v/>
      </c>
      <c r="Q1174" s="41" t="str">
        <f aca="false">IF($C1174="","",ROUND(N($K1174)-N($P1174),2))</f>
        <v/>
      </c>
      <c r="R1174" s="29" t="str">
        <f aca="false">IF($C1174="","",YEAR($C1174))</f>
        <v/>
      </c>
      <c r="S1174" s="24"/>
      <c r="T1174" s="35" t="str">
        <f aca="false">IF($C1174="","",IF($D1174="","★没选客户项目",IF(COUNTIF(合同键,$D1174)=0,"★《维保合同》里没这个项目",IF(N($K1174)&lt;=0,"★应收金额要填",IF(ROUND(N($N1174)-N($K1174),2)&gt;0.001,"★开票金额大于应收",IF(AND($L1174&lt;&gt;"",N($N1174)&lt;=0),"★填了开票日期没填开票金额",IF(AND($I1174&lt;&gt;"",$J1174&lt;&gt;"",$J1174&lt;$I1174),"★计费期间起止反了","OK")))))))</f>
        <v/>
      </c>
      <c r="U1174" s="29" t="str">
        <f aca="false">IF($L1174="","",YEAR($L1174))</f>
        <v/>
      </c>
      <c r="V1174" s="40" t="str">
        <f aca="false">IF($C1174="","",ROUND(SUMIF(收款关联,$B1174,收款金额),2))</f>
        <v/>
      </c>
      <c r="W1174" s="40" t="str">
        <f aca="false">IF($C1174="","",MAX(0,ROUND(N($K1174)-N($V1174),2)))</f>
        <v/>
      </c>
      <c r="X1174" s="40" t="str">
        <f aca="false">IF($C1174="","",ROUND(SUMIFS(应收净额,应收键,$D1174,应收行号,"&lt;="&amp;ROW()),2))</f>
        <v/>
      </c>
      <c r="Y1174" s="29" t="str">
        <f aca="false">IF($C1174="","",ROW())</f>
        <v/>
      </c>
    </row>
    <row r="1175" customFormat="false" ht="15" hidden="false" customHeight="false" outlineLevel="0" collapsed="false">
      <c r="A1175" s="29" t="str">
        <f aca="false">IF($C1175="","",ROW()-4)</f>
        <v/>
      </c>
      <c r="B1175" s="35" t="str">
        <f aca="false">IF($C1175="","","YS"&amp;TEXT($C1175,"yyyymm")&amp;"-"&amp;TEXT(ROW()-4,"0000"))</f>
        <v/>
      </c>
      <c r="C1175" s="33"/>
      <c r="D1175" s="24"/>
      <c r="E1175" s="30" t="str">
        <f aca="false">IF($D1175="","",IFERROR(INDEX(合同单位,MATCH($D1175,合同键,0)),IFERROR(TRIM(LEFT($D1175,FIND("｜",$D1175)-1)),$D1175)))</f>
        <v/>
      </c>
      <c r="F1175" s="30" t="str">
        <f aca="false">IF($D1175="","",IFERROR(INDEX(合同项目,MATCH($D1175,合同键,0)),IFERROR(TRIM(MID($D1175,FIND("｜",$D1175)+1,99)),"")))</f>
        <v/>
      </c>
      <c r="G1175" s="24"/>
      <c r="H1175" s="35" t="str">
        <f aca="false">IF($G1175="","",IFERROR(INDEX(费用款别,MATCH($G1175,费用类别表,0)),"合同外款"))</f>
        <v/>
      </c>
      <c r="I1175" s="33"/>
      <c r="J1175" s="33"/>
      <c r="K1175" s="39"/>
      <c r="L1175" s="33"/>
      <c r="M1175" s="25"/>
      <c r="N1175" s="39"/>
      <c r="O1175" s="35" t="str">
        <f aca="false">IF($C1175="","",IF(N($N1175)&lt;=0,"未开票",IF(ROUND(N($N1175)-N($K1175),2)&gt;=0,"已开票",IFERROR("部分开票 "&amp;TEXT(N($N1175)/N($K1175),"0%"),"部分开票"))))</f>
        <v/>
      </c>
      <c r="P1175" s="40" t="str">
        <f aca="false">IF($C1175="","",ROUND($V1175+MIN($W1175,MAX(0,(SUMIF(收款键,$D1175,收款金额)-SUMIFS(收款金额,收款键,$D1175,收款关联,"&lt;&gt;"))-($X1175-$W1175))),2))</f>
        <v/>
      </c>
      <c r="Q1175" s="41" t="str">
        <f aca="false">IF($C1175="","",ROUND(N($K1175)-N($P1175),2))</f>
        <v/>
      </c>
      <c r="R1175" s="29" t="str">
        <f aca="false">IF($C1175="","",YEAR($C1175))</f>
        <v/>
      </c>
      <c r="S1175" s="24"/>
      <c r="T1175" s="35" t="str">
        <f aca="false">IF($C1175="","",IF($D1175="","★没选客户项目",IF(COUNTIF(合同键,$D1175)=0,"★《维保合同》里没这个项目",IF(N($K1175)&lt;=0,"★应收金额要填",IF(ROUND(N($N1175)-N($K1175),2)&gt;0.001,"★开票金额大于应收",IF(AND($L1175&lt;&gt;"",N($N1175)&lt;=0),"★填了开票日期没填开票金额",IF(AND($I1175&lt;&gt;"",$J1175&lt;&gt;"",$J1175&lt;$I1175),"★计费期间起止反了","OK")))))))</f>
        <v/>
      </c>
      <c r="U1175" s="29" t="str">
        <f aca="false">IF($L1175="","",YEAR($L1175))</f>
        <v/>
      </c>
      <c r="V1175" s="40" t="str">
        <f aca="false">IF($C1175="","",ROUND(SUMIF(收款关联,$B1175,收款金额),2))</f>
        <v/>
      </c>
      <c r="W1175" s="40" t="str">
        <f aca="false">IF($C1175="","",MAX(0,ROUND(N($K1175)-N($V1175),2)))</f>
        <v/>
      </c>
      <c r="X1175" s="40" t="str">
        <f aca="false">IF($C1175="","",ROUND(SUMIFS(应收净额,应收键,$D1175,应收行号,"&lt;="&amp;ROW()),2))</f>
        <v/>
      </c>
      <c r="Y1175" s="29" t="str">
        <f aca="false">IF($C1175="","",ROW())</f>
        <v/>
      </c>
    </row>
    <row r="1176" customFormat="false" ht="15" hidden="false" customHeight="false" outlineLevel="0" collapsed="false">
      <c r="A1176" s="29" t="str">
        <f aca="false">IF($C1176="","",ROW()-4)</f>
        <v/>
      </c>
      <c r="B1176" s="35" t="str">
        <f aca="false">IF($C1176="","","YS"&amp;TEXT($C1176,"yyyymm")&amp;"-"&amp;TEXT(ROW()-4,"0000"))</f>
        <v/>
      </c>
      <c r="C1176" s="33"/>
      <c r="D1176" s="24"/>
      <c r="E1176" s="30" t="str">
        <f aca="false">IF($D1176="","",IFERROR(INDEX(合同单位,MATCH($D1176,合同键,0)),IFERROR(TRIM(LEFT($D1176,FIND("｜",$D1176)-1)),$D1176)))</f>
        <v/>
      </c>
      <c r="F1176" s="30" t="str">
        <f aca="false">IF($D1176="","",IFERROR(INDEX(合同项目,MATCH($D1176,合同键,0)),IFERROR(TRIM(MID($D1176,FIND("｜",$D1176)+1,99)),"")))</f>
        <v/>
      </c>
      <c r="G1176" s="24"/>
      <c r="H1176" s="35" t="str">
        <f aca="false">IF($G1176="","",IFERROR(INDEX(费用款别,MATCH($G1176,费用类别表,0)),"合同外款"))</f>
        <v/>
      </c>
      <c r="I1176" s="33"/>
      <c r="J1176" s="33"/>
      <c r="K1176" s="39"/>
      <c r="L1176" s="33"/>
      <c r="M1176" s="25"/>
      <c r="N1176" s="39"/>
      <c r="O1176" s="35" t="str">
        <f aca="false">IF($C1176="","",IF(N($N1176)&lt;=0,"未开票",IF(ROUND(N($N1176)-N($K1176),2)&gt;=0,"已开票",IFERROR("部分开票 "&amp;TEXT(N($N1176)/N($K1176),"0%"),"部分开票"))))</f>
        <v/>
      </c>
      <c r="P1176" s="40" t="str">
        <f aca="false">IF($C1176="","",ROUND($V1176+MIN($W1176,MAX(0,(SUMIF(收款键,$D1176,收款金额)-SUMIFS(收款金额,收款键,$D1176,收款关联,"&lt;&gt;"))-($X1176-$W1176))),2))</f>
        <v/>
      </c>
      <c r="Q1176" s="41" t="str">
        <f aca="false">IF($C1176="","",ROUND(N($K1176)-N($P1176),2))</f>
        <v/>
      </c>
      <c r="R1176" s="29" t="str">
        <f aca="false">IF($C1176="","",YEAR($C1176))</f>
        <v/>
      </c>
      <c r="S1176" s="24"/>
      <c r="T1176" s="35" t="str">
        <f aca="false">IF($C1176="","",IF($D1176="","★没选客户项目",IF(COUNTIF(合同键,$D1176)=0,"★《维保合同》里没这个项目",IF(N($K1176)&lt;=0,"★应收金额要填",IF(ROUND(N($N1176)-N($K1176),2)&gt;0.001,"★开票金额大于应收",IF(AND($L1176&lt;&gt;"",N($N1176)&lt;=0),"★填了开票日期没填开票金额",IF(AND($I1176&lt;&gt;"",$J1176&lt;&gt;"",$J1176&lt;$I1176),"★计费期间起止反了","OK")))))))</f>
        <v/>
      </c>
      <c r="U1176" s="29" t="str">
        <f aca="false">IF($L1176="","",YEAR($L1176))</f>
        <v/>
      </c>
      <c r="V1176" s="40" t="str">
        <f aca="false">IF($C1176="","",ROUND(SUMIF(收款关联,$B1176,收款金额),2))</f>
        <v/>
      </c>
      <c r="W1176" s="40" t="str">
        <f aca="false">IF($C1176="","",MAX(0,ROUND(N($K1176)-N($V1176),2)))</f>
        <v/>
      </c>
      <c r="X1176" s="40" t="str">
        <f aca="false">IF($C1176="","",ROUND(SUMIFS(应收净额,应收键,$D1176,应收行号,"&lt;="&amp;ROW()),2))</f>
        <v/>
      </c>
      <c r="Y1176" s="29" t="str">
        <f aca="false">IF($C1176="","",ROW())</f>
        <v/>
      </c>
    </row>
    <row r="1177" customFormat="false" ht="15" hidden="false" customHeight="false" outlineLevel="0" collapsed="false">
      <c r="A1177" s="29" t="str">
        <f aca="false">IF($C1177="","",ROW()-4)</f>
        <v/>
      </c>
      <c r="B1177" s="35" t="str">
        <f aca="false">IF($C1177="","","YS"&amp;TEXT($C1177,"yyyymm")&amp;"-"&amp;TEXT(ROW()-4,"0000"))</f>
        <v/>
      </c>
      <c r="C1177" s="33"/>
      <c r="D1177" s="24"/>
      <c r="E1177" s="30" t="str">
        <f aca="false">IF($D1177="","",IFERROR(INDEX(合同单位,MATCH($D1177,合同键,0)),IFERROR(TRIM(LEFT($D1177,FIND("｜",$D1177)-1)),$D1177)))</f>
        <v/>
      </c>
      <c r="F1177" s="30" t="str">
        <f aca="false">IF($D1177="","",IFERROR(INDEX(合同项目,MATCH($D1177,合同键,0)),IFERROR(TRIM(MID($D1177,FIND("｜",$D1177)+1,99)),"")))</f>
        <v/>
      </c>
      <c r="G1177" s="24"/>
      <c r="H1177" s="35" t="str">
        <f aca="false">IF($G1177="","",IFERROR(INDEX(费用款别,MATCH($G1177,费用类别表,0)),"合同外款"))</f>
        <v/>
      </c>
      <c r="I1177" s="33"/>
      <c r="J1177" s="33"/>
      <c r="K1177" s="39"/>
      <c r="L1177" s="33"/>
      <c r="M1177" s="25"/>
      <c r="N1177" s="39"/>
      <c r="O1177" s="35" t="str">
        <f aca="false">IF($C1177="","",IF(N($N1177)&lt;=0,"未开票",IF(ROUND(N($N1177)-N($K1177),2)&gt;=0,"已开票",IFERROR("部分开票 "&amp;TEXT(N($N1177)/N($K1177),"0%"),"部分开票"))))</f>
        <v/>
      </c>
      <c r="P1177" s="40" t="str">
        <f aca="false">IF($C1177="","",ROUND($V1177+MIN($W1177,MAX(0,(SUMIF(收款键,$D1177,收款金额)-SUMIFS(收款金额,收款键,$D1177,收款关联,"&lt;&gt;"))-($X1177-$W1177))),2))</f>
        <v/>
      </c>
      <c r="Q1177" s="41" t="str">
        <f aca="false">IF($C1177="","",ROUND(N($K1177)-N($P1177),2))</f>
        <v/>
      </c>
      <c r="R1177" s="29" t="str">
        <f aca="false">IF($C1177="","",YEAR($C1177))</f>
        <v/>
      </c>
      <c r="S1177" s="24"/>
      <c r="T1177" s="35" t="str">
        <f aca="false">IF($C1177="","",IF($D1177="","★没选客户项目",IF(COUNTIF(合同键,$D1177)=0,"★《维保合同》里没这个项目",IF(N($K1177)&lt;=0,"★应收金额要填",IF(ROUND(N($N1177)-N($K1177),2)&gt;0.001,"★开票金额大于应收",IF(AND($L1177&lt;&gt;"",N($N1177)&lt;=0),"★填了开票日期没填开票金额",IF(AND($I1177&lt;&gt;"",$J1177&lt;&gt;"",$J1177&lt;$I1177),"★计费期间起止反了","OK")))))))</f>
        <v/>
      </c>
      <c r="U1177" s="29" t="str">
        <f aca="false">IF($L1177="","",YEAR($L1177))</f>
        <v/>
      </c>
      <c r="V1177" s="40" t="str">
        <f aca="false">IF($C1177="","",ROUND(SUMIF(收款关联,$B1177,收款金额),2))</f>
        <v/>
      </c>
      <c r="W1177" s="40" t="str">
        <f aca="false">IF($C1177="","",MAX(0,ROUND(N($K1177)-N($V1177),2)))</f>
        <v/>
      </c>
      <c r="X1177" s="40" t="str">
        <f aca="false">IF($C1177="","",ROUND(SUMIFS(应收净额,应收键,$D1177,应收行号,"&lt;="&amp;ROW()),2))</f>
        <v/>
      </c>
      <c r="Y1177" s="29" t="str">
        <f aca="false">IF($C1177="","",ROW())</f>
        <v/>
      </c>
    </row>
    <row r="1178" customFormat="false" ht="15" hidden="false" customHeight="false" outlineLevel="0" collapsed="false">
      <c r="A1178" s="29" t="str">
        <f aca="false">IF($C1178="","",ROW()-4)</f>
        <v/>
      </c>
      <c r="B1178" s="35" t="str">
        <f aca="false">IF($C1178="","","YS"&amp;TEXT($C1178,"yyyymm")&amp;"-"&amp;TEXT(ROW()-4,"0000"))</f>
        <v/>
      </c>
      <c r="C1178" s="33"/>
      <c r="D1178" s="24"/>
      <c r="E1178" s="30" t="str">
        <f aca="false">IF($D1178="","",IFERROR(INDEX(合同单位,MATCH($D1178,合同键,0)),IFERROR(TRIM(LEFT($D1178,FIND("｜",$D1178)-1)),$D1178)))</f>
        <v/>
      </c>
      <c r="F1178" s="30" t="str">
        <f aca="false">IF($D1178="","",IFERROR(INDEX(合同项目,MATCH($D1178,合同键,0)),IFERROR(TRIM(MID($D1178,FIND("｜",$D1178)+1,99)),"")))</f>
        <v/>
      </c>
      <c r="G1178" s="24"/>
      <c r="H1178" s="35" t="str">
        <f aca="false">IF($G1178="","",IFERROR(INDEX(费用款别,MATCH($G1178,费用类别表,0)),"合同外款"))</f>
        <v/>
      </c>
      <c r="I1178" s="33"/>
      <c r="J1178" s="33"/>
      <c r="K1178" s="39"/>
      <c r="L1178" s="33"/>
      <c r="M1178" s="25"/>
      <c r="N1178" s="39"/>
      <c r="O1178" s="35" t="str">
        <f aca="false">IF($C1178="","",IF(N($N1178)&lt;=0,"未开票",IF(ROUND(N($N1178)-N($K1178),2)&gt;=0,"已开票",IFERROR("部分开票 "&amp;TEXT(N($N1178)/N($K1178),"0%"),"部分开票"))))</f>
        <v/>
      </c>
      <c r="P1178" s="40" t="str">
        <f aca="false">IF($C1178="","",ROUND($V1178+MIN($W1178,MAX(0,(SUMIF(收款键,$D1178,收款金额)-SUMIFS(收款金额,收款键,$D1178,收款关联,"&lt;&gt;"))-($X1178-$W1178))),2))</f>
        <v/>
      </c>
      <c r="Q1178" s="41" t="str">
        <f aca="false">IF($C1178="","",ROUND(N($K1178)-N($P1178),2))</f>
        <v/>
      </c>
      <c r="R1178" s="29" t="str">
        <f aca="false">IF($C1178="","",YEAR($C1178))</f>
        <v/>
      </c>
      <c r="S1178" s="24"/>
      <c r="T1178" s="35" t="str">
        <f aca="false">IF($C1178="","",IF($D1178="","★没选客户项目",IF(COUNTIF(合同键,$D1178)=0,"★《维保合同》里没这个项目",IF(N($K1178)&lt;=0,"★应收金额要填",IF(ROUND(N($N1178)-N($K1178),2)&gt;0.001,"★开票金额大于应收",IF(AND($L1178&lt;&gt;"",N($N1178)&lt;=0),"★填了开票日期没填开票金额",IF(AND($I1178&lt;&gt;"",$J1178&lt;&gt;"",$J1178&lt;$I1178),"★计费期间起止反了","OK")))))))</f>
        <v/>
      </c>
      <c r="U1178" s="29" t="str">
        <f aca="false">IF($L1178="","",YEAR($L1178))</f>
        <v/>
      </c>
      <c r="V1178" s="40" t="str">
        <f aca="false">IF($C1178="","",ROUND(SUMIF(收款关联,$B1178,收款金额),2))</f>
        <v/>
      </c>
      <c r="W1178" s="40" t="str">
        <f aca="false">IF($C1178="","",MAX(0,ROUND(N($K1178)-N($V1178),2)))</f>
        <v/>
      </c>
      <c r="X1178" s="40" t="str">
        <f aca="false">IF($C1178="","",ROUND(SUMIFS(应收净额,应收键,$D1178,应收行号,"&lt;="&amp;ROW()),2))</f>
        <v/>
      </c>
      <c r="Y1178" s="29" t="str">
        <f aca="false">IF($C1178="","",ROW())</f>
        <v/>
      </c>
    </row>
    <row r="1179" customFormat="false" ht="15" hidden="false" customHeight="false" outlineLevel="0" collapsed="false">
      <c r="A1179" s="29" t="str">
        <f aca="false">IF($C1179="","",ROW()-4)</f>
        <v/>
      </c>
      <c r="B1179" s="35" t="str">
        <f aca="false">IF($C1179="","","YS"&amp;TEXT($C1179,"yyyymm")&amp;"-"&amp;TEXT(ROW()-4,"0000"))</f>
        <v/>
      </c>
      <c r="C1179" s="33"/>
      <c r="D1179" s="24"/>
      <c r="E1179" s="30" t="str">
        <f aca="false">IF($D1179="","",IFERROR(INDEX(合同单位,MATCH($D1179,合同键,0)),IFERROR(TRIM(LEFT($D1179,FIND("｜",$D1179)-1)),$D1179)))</f>
        <v/>
      </c>
      <c r="F1179" s="30" t="str">
        <f aca="false">IF($D1179="","",IFERROR(INDEX(合同项目,MATCH($D1179,合同键,0)),IFERROR(TRIM(MID($D1179,FIND("｜",$D1179)+1,99)),"")))</f>
        <v/>
      </c>
      <c r="G1179" s="24"/>
      <c r="H1179" s="35" t="str">
        <f aca="false">IF($G1179="","",IFERROR(INDEX(费用款别,MATCH($G1179,费用类别表,0)),"合同外款"))</f>
        <v/>
      </c>
      <c r="I1179" s="33"/>
      <c r="J1179" s="33"/>
      <c r="K1179" s="39"/>
      <c r="L1179" s="33"/>
      <c r="M1179" s="25"/>
      <c r="N1179" s="39"/>
      <c r="O1179" s="35" t="str">
        <f aca="false">IF($C1179="","",IF(N($N1179)&lt;=0,"未开票",IF(ROUND(N($N1179)-N($K1179),2)&gt;=0,"已开票",IFERROR("部分开票 "&amp;TEXT(N($N1179)/N($K1179),"0%"),"部分开票"))))</f>
        <v/>
      </c>
      <c r="P1179" s="40" t="str">
        <f aca="false">IF($C1179="","",ROUND($V1179+MIN($W1179,MAX(0,(SUMIF(收款键,$D1179,收款金额)-SUMIFS(收款金额,收款键,$D1179,收款关联,"&lt;&gt;"))-($X1179-$W1179))),2))</f>
        <v/>
      </c>
      <c r="Q1179" s="41" t="str">
        <f aca="false">IF($C1179="","",ROUND(N($K1179)-N($P1179),2))</f>
        <v/>
      </c>
      <c r="R1179" s="29" t="str">
        <f aca="false">IF($C1179="","",YEAR($C1179))</f>
        <v/>
      </c>
      <c r="S1179" s="24"/>
      <c r="T1179" s="35" t="str">
        <f aca="false">IF($C1179="","",IF($D1179="","★没选客户项目",IF(COUNTIF(合同键,$D1179)=0,"★《维保合同》里没这个项目",IF(N($K1179)&lt;=0,"★应收金额要填",IF(ROUND(N($N1179)-N($K1179),2)&gt;0.001,"★开票金额大于应收",IF(AND($L1179&lt;&gt;"",N($N1179)&lt;=0),"★填了开票日期没填开票金额",IF(AND($I1179&lt;&gt;"",$J1179&lt;&gt;"",$J1179&lt;$I1179),"★计费期间起止反了","OK")))))))</f>
        <v/>
      </c>
      <c r="U1179" s="29" t="str">
        <f aca="false">IF($L1179="","",YEAR($L1179))</f>
        <v/>
      </c>
      <c r="V1179" s="40" t="str">
        <f aca="false">IF($C1179="","",ROUND(SUMIF(收款关联,$B1179,收款金额),2))</f>
        <v/>
      </c>
      <c r="W1179" s="40" t="str">
        <f aca="false">IF($C1179="","",MAX(0,ROUND(N($K1179)-N($V1179),2)))</f>
        <v/>
      </c>
      <c r="X1179" s="40" t="str">
        <f aca="false">IF($C1179="","",ROUND(SUMIFS(应收净额,应收键,$D1179,应收行号,"&lt;="&amp;ROW()),2))</f>
        <v/>
      </c>
      <c r="Y1179" s="29" t="str">
        <f aca="false">IF($C1179="","",ROW())</f>
        <v/>
      </c>
    </row>
    <row r="1180" customFormat="false" ht="15" hidden="false" customHeight="false" outlineLevel="0" collapsed="false">
      <c r="A1180" s="29" t="str">
        <f aca="false">IF($C1180="","",ROW()-4)</f>
        <v/>
      </c>
      <c r="B1180" s="35" t="str">
        <f aca="false">IF($C1180="","","YS"&amp;TEXT($C1180,"yyyymm")&amp;"-"&amp;TEXT(ROW()-4,"0000"))</f>
        <v/>
      </c>
      <c r="C1180" s="33"/>
      <c r="D1180" s="24"/>
      <c r="E1180" s="30" t="str">
        <f aca="false">IF($D1180="","",IFERROR(INDEX(合同单位,MATCH($D1180,合同键,0)),IFERROR(TRIM(LEFT($D1180,FIND("｜",$D1180)-1)),$D1180)))</f>
        <v/>
      </c>
      <c r="F1180" s="30" t="str">
        <f aca="false">IF($D1180="","",IFERROR(INDEX(合同项目,MATCH($D1180,合同键,0)),IFERROR(TRIM(MID($D1180,FIND("｜",$D1180)+1,99)),"")))</f>
        <v/>
      </c>
      <c r="G1180" s="24"/>
      <c r="H1180" s="35" t="str">
        <f aca="false">IF($G1180="","",IFERROR(INDEX(费用款别,MATCH($G1180,费用类别表,0)),"合同外款"))</f>
        <v/>
      </c>
      <c r="I1180" s="33"/>
      <c r="J1180" s="33"/>
      <c r="K1180" s="39"/>
      <c r="L1180" s="33"/>
      <c r="M1180" s="25"/>
      <c r="N1180" s="39"/>
      <c r="O1180" s="35" t="str">
        <f aca="false">IF($C1180="","",IF(N($N1180)&lt;=0,"未开票",IF(ROUND(N($N1180)-N($K1180),2)&gt;=0,"已开票",IFERROR("部分开票 "&amp;TEXT(N($N1180)/N($K1180),"0%"),"部分开票"))))</f>
        <v/>
      </c>
      <c r="P1180" s="40" t="str">
        <f aca="false">IF($C1180="","",ROUND($V1180+MIN($W1180,MAX(0,(SUMIF(收款键,$D1180,收款金额)-SUMIFS(收款金额,收款键,$D1180,收款关联,"&lt;&gt;"))-($X1180-$W1180))),2))</f>
        <v/>
      </c>
      <c r="Q1180" s="41" t="str">
        <f aca="false">IF($C1180="","",ROUND(N($K1180)-N($P1180),2))</f>
        <v/>
      </c>
      <c r="R1180" s="29" t="str">
        <f aca="false">IF($C1180="","",YEAR($C1180))</f>
        <v/>
      </c>
      <c r="S1180" s="24"/>
      <c r="T1180" s="35" t="str">
        <f aca="false">IF($C1180="","",IF($D1180="","★没选客户项目",IF(COUNTIF(合同键,$D1180)=0,"★《维保合同》里没这个项目",IF(N($K1180)&lt;=0,"★应收金额要填",IF(ROUND(N($N1180)-N($K1180),2)&gt;0.001,"★开票金额大于应收",IF(AND($L1180&lt;&gt;"",N($N1180)&lt;=0),"★填了开票日期没填开票金额",IF(AND($I1180&lt;&gt;"",$J1180&lt;&gt;"",$J1180&lt;$I1180),"★计费期间起止反了","OK")))))))</f>
        <v/>
      </c>
      <c r="U1180" s="29" t="str">
        <f aca="false">IF($L1180="","",YEAR($L1180))</f>
        <v/>
      </c>
      <c r="V1180" s="40" t="str">
        <f aca="false">IF($C1180="","",ROUND(SUMIF(收款关联,$B1180,收款金额),2))</f>
        <v/>
      </c>
      <c r="W1180" s="40" t="str">
        <f aca="false">IF($C1180="","",MAX(0,ROUND(N($K1180)-N($V1180),2)))</f>
        <v/>
      </c>
      <c r="X1180" s="40" t="str">
        <f aca="false">IF($C1180="","",ROUND(SUMIFS(应收净额,应收键,$D1180,应收行号,"&lt;="&amp;ROW()),2))</f>
        <v/>
      </c>
      <c r="Y1180" s="29" t="str">
        <f aca="false">IF($C1180="","",ROW())</f>
        <v/>
      </c>
    </row>
    <row r="1181" customFormat="false" ht="15" hidden="false" customHeight="false" outlineLevel="0" collapsed="false">
      <c r="A1181" s="29" t="str">
        <f aca="false">IF($C1181="","",ROW()-4)</f>
        <v/>
      </c>
      <c r="B1181" s="35" t="str">
        <f aca="false">IF($C1181="","","YS"&amp;TEXT($C1181,"yyyymm")&amp;"-"&amp;TEXT(ROW()-4,"0000"))</f>
        <v/>
      </c>
      <c r="C1181" s="33"/>
      <c r="D1181" s="24"/>
      <c r="E1181" s="30" t="str">
        <f aca="false">IF($D1181="","",IFERROR(INDEX(合同单位,MATCH($D1181,合同键,0)),IFERROR(TRIM(LEFT($D1181,FIND("｜",$D1181)-1)),$D1181)))</f>
        <v/>
      </c>
      <c r="F1181" s="30" t="str">
        <f aca="false">IF($D1181="","",IFERROR(INDEX(合同项目,MATCH($D1181,合同键,0)),IFERROR(TRIM(MID($D1181,FIND("｜",$D1181)+1,99)),"")))</f>
        <v/>
      </c>
      <c r="G1181" s="24"/>
      <c r="H1181" s="35" t="str">
        <f aca="false">IF($G1181="","",IFERROR(INDEX(费用款别,MATCH($G1181,费用类别表,0)),"合同外款"))</f>
        <v/>
      </c>
      <c r="I1181" s="33"/>
      <c r="J1181" s="33"/>
      <c r="K1181" s="39"/>
      <c r="L1181" s="33"/>
      <c r="M1181" s="25"/>
      <c r="N1181" s="39"/>
      <c r="O1181" s="35" t="str">
        <f aca="false">IF($C1181="","",IF(N($N1181)&lt;=0,"未开票",IF(ROUND(N($N1181)-N($K1181),2)&gt;=0,"已开票",IFERROR("部分开票 "&amp;TEXT(N($N1181)/N($K1181),"0%"),"部分开票"))))</f>
        <v/>
      </c>
      <c r="P1181" s="40" t="str">
        <f aca="false">IF($C1181="","",ROUND($V1181+MIN($W1181,MAX(0,(SUMIF(收款键,$D1181,收款金额)-SUMIFS(收款金额,收款键,$D1181,收款关联,"&lt;&gt;"))-($X1181-$W1181))),2))</f>
        <v/>
      </c>
      <c r="Q1181" s="41" t="str">
        <f aca="false">IF($C1181="","",ROUND(N($K1181)-N($P1181),2))</f>
        <v/>
      </c>
      <c r="R1181" s="29" t="str">
        <f aca="false">IF($C1181="","",YEAR($C1181))</f>
        <v/>
      </c>
      <c r="S1181" s="24"/>
      <c r="T1181" s="35" t="str">
        <f aca="false">IF($C1181="","",IF($D1181="","★没选客户项目",IF(COUNTIF(合同键,$D1181)=0,"★《维保合同》里没这个项目",IF(N($K1181)&lt;=0,"★应收金额要填",IF(ROUND(N($N1181)-N($K1181),2)&gt;0.001,"★开票金额大于应收",IF(AND($L1181&lt;&gt;"",N($N1181)&lt;=0),"★填了开票日期没填开票金额",IF(AND($I1181&lt;&gt;"",$J1181&lt;&gt;"",$J1181&lt;$I1181),"★计费期间起止反了","OK")))))))</f>
        <v/>
      </c>
      <c r="U1181" s="29" t="str">
        <f aca="false">IF($L1181="","",YEAR($L1181))</f>
        <v/>
      </c>
      <c r="V1181" s="40" t="str">
        <f aca="false">IF($C1181="","",ROUND(SUMIF(收款关联,$B1181,收款金额),2))</f>
        <v/>
      </c>
      <c r="W1181" s="40" t="str">
        <f aca="false">IF($C1181="","",MAX(0,ROUND(N($K1181)-N($V1181),2)))</f>
        <v/>
      </c>
      <c r="X1181" s="40" t="str">
        <f aca="false">IF($C1181="","",ROUND(SUMIFS(应收净额,应收键,$D1181,应收行号,"&lt;="&amp;ROW()),2))</f>
        <v/>
      </c>
      <c r="Y1181" s="29" t="str">
        <f aca="false">IF($C1181="","",ROW())</f>
        <v/>
      </c>
    </row>
    <row r="1182" customFormat="false" ht="15" hidden="false" customHeight="false" outlineLevel="0" collapsed="false">
      <c r="A1182" s="29" t="str">
        <f aca="false">IF($C1182="","",ROW()-4)</f>
        <v/>
      </c>
      <c r="B1182" s="35" t="str">
        <f aca="false">IF($C1182="","","YS"&amp;TEXT($C1182,"yyyymm")&amp;"-"&amp;TEXT(ROW()-4,"0000"))</f>
        <v/>
      </c>
      <c r="C1182" s="33"/>
      <c r="D1182" s="24"/>
      <c r="E1182" s="30" t="str">
        <f aca="false">IF($D1182="","",IFERROR(INDEX(合同单位,MATCH($D1182,合同键,0)),IFERROR(TRIM(LEFT($D1182,FIND("｜",$D1182)-1)),$D1182)))</f>
        <v/>
      </c>
      <c r="F1182" s="30" t="str">
        <f aca="false">IF($D1182="","",IFERROR(INDEX(合同项目,MATCH($D1182,合同键,0)),IFERROR(TRIM(MID($D1182,FIND("｜",$D1182)+1,99)),"")))</f>
        <v/>
      </c>
      <c r="G1182" s="24"/>
      <c r="H1182" s="35" t="str">
        <f aca="false">IF($G1182="","",IFERROR(INDEX(费用款别,MATCH($G1182,费用类别表,0)),"合同外款"))</f>
        <v/>
      </c>
      <c r="I1182" s="33"/>
      <c r="J1182" s="33"/>
      <c r="K1182" s="39"/>
      <c r="L1182" s="33"/>
      <c r="M1182" s="25"/>
      <c r="N1182" s="39"/>
      <c r="O1182" s="35" t="str">
        <f aca="false">IF($C1182="","",IF(N($N1182)&lt;=0,"未开票",IF(ROUND(N($N1182)-N($K1182),2)&gt;=0,"已开票",IFERROR("部分开票 "&amp;TEXT(N($N1182)/N($K1182),"0%"),"部分开票"))))</f>
        <v/>
      </c>
      <c r="P1182" s="40" t="str">
        <f aca="false">IF($C1182="","",ROUND($V1182+MIN($W1182,MAX(0,(SUMIF(收款键,$D1182,收款金额)-SUMIFS(收款金额,收款键,$D1182,收款关联,"&lt;&gt;"))-($X1182-$W1182))),2))</f>
        <v/>
      </c>
      <c r="Q1182" s="41" t="str">
        <f aca="false">IF($C1182="","",ROUND(N($K1182)-N($P1182),2))</f>
        <v/>
      </c>
      <c r="R1182" s="29" t="str">
        <f aca="false">IF($C1182="","",YEAR($C1182))</f>
        <v/>
      </c>
      <c r="S1182" s="24"/>
      <c r="T1182" s="35" t="str">
        <f aca="false">IF($C1182="","",IF($D1182="","★没选客户项目",IF(COUNTIF(合同键,$D1182)=0,"★《维保合同》里没这个项目",IF(N($K1182)&lt;=0,"★应收金额要填",IF(ROUND(N($N1182)-N($K1182),2)&gt;0.001,"★开票金额大于应收",IF(AND($L1182&lt;&gt;"",N($N1182)&lt;=0),"★填了开票日期没填开票金额",IF(AND($I1182&lt;&gt;"",$J1182&lt;&gt;"",$J1182&lt;$I1182),"★计费期间起止反了","OK")))))))</f>
        <v/>
      </c>
      <c r="U1182" s="29" t="str">
        <f aca="false">IF($L1182="","",YEAR($L1182))</f>
        <v/>
      </c>
      <c r="V1182" s="40" t="str">
        <f aca="false">IF($C1182="","",ROUND(SUMIF(收款关联,$B1182,收款金额),2))</f>
        <v/>
      </c>
      <c r="W1182" s="40" t="str">
        <f aca="false">IF($C1182="","",MAX(0,ROUND(N($K1182)-N($V1182),2)))</f>
        <v/>
      </c>
      <c r="X1182" s="40" t="str">
        <f aca="false">IF($C1182="","",ROUND(SUMIFS(应收净额,应收键,$D1182,应收行号,"&lt;="&amp;ROW()),2))</f>
        <v/>
      </c>
      <c r="Y1182" s="29" t="str">
        <f aca="false">IF($C1182="","",ROW())</f>
        <v/>
      </c>
    </row>
    <row r="1183" customFormat="false" ht="15" hidden="false" customHeight="false" outlineLevel="0" collapsed="false">
      <c r="A1183" s="29" t="str">
        <f aca="false">IF($C1183="","",ROW()-4)</f>
        <v/>
      </c>
      <c r="B1183" s="35" t="str">
        <f aca="false">IF($C1183="","","YS"&amp;TEXT($C1183,"yyyymm")&amp;"-"&amp;TEXT(ROW()-4,"0000"))</f>
        <v/>
      </c>
      <c r="C1183" s="33"/>
      <c r="D1183" s="24"/>
      <c r="E1183" s="30" t="str">
        <f aca="false">IF($D1183="","",IFERROR(INDEX(合同单位,MATCH($D1183,合同键,0)),IFERROR(TRIM(LEFT($D1183,FIND("｜",$D1183)-1)),$D1183)))</f>
        <v/>
      </c>
      <c r="F1183" s="30" t="str">
        <f aca="false">IF($D1183="","",IFERROR(INDEX(合同项目,MATCH($D1183,合同键,0)),IFERROR(TRIM(MID($D1183,FIND("｜",$D1183)+1,99)),"")))</f>
        <v/>
      </c>
      <c r="G1183" s="24"/>
      <c r="H1183" s="35" t="str">
        <f aca="false">IF($G1183="","",IFERROR(INDEX(费用款别,MATCH($G1183,费用类别表,0)),"合同外款"))</f>
        <v/>
      </c>
      <c r="I1183" s="33"/>
      <c r="J1183" s="33"/>
      <c r="K1183" s="39"/>
      <c r="L1183" s="33"/>
      <c r="M1183" s="25"/>
      <c r="N1183" s="39"/>
      <c r="O1183" s="35" t="str">
        <f aca="false">IF($C1183="","",IF(N($N1183)&lt;=0,"未开票",IF(ROUND(N($N1183)-N($K1183),2)&gt;=0,"已开票",IFERROR("部分开票 "&amp;TEXT(N($N1183)/N($K1183),"0%"),"部分开票"))))</f>
        <v/>
      </c>
      <c r="P1183" s="40" t="str">
        <f aca="false">IF($C1183="","",ROUND($V1183+MIN($W1183,MAX(0,(SUMIF(收款键,$D1183,收款金额)-SUMIFS(收款金额,收款键,$D1183,收款关联,"&lt;&gt;"))-($X1183-$W1183))),2))</f>
        <v/>
      </c>
      <c r="Q1183" s="41" t="str">
        <f aca="false">IF($C1183="","",ROUND(N($K1183)-N($P1183),2))</f>
        <v/>
      </c>
      <c r="R1183" s="29" t="str">
        <f aca="false">IF($C1183="","",YEAR($C1183))</f>
        <v/>
      </c>
      <c r="S1183" s="24"/>
      <c r="T1183" s="35" t="str">
        <f aca="false">IF($C1183="","",IF($D1183="","★没选客户项目",IF(COUNTIF(合同键,$D1183)=0,"★《维保合同》里没这个项目",IF(N($K1183)&lt;=0,"★应收金额要填",IF(ROUND(N($N1183)-N($K1183),2)&gt;0.001,"★开票金额大于应收",IF(AND($L1183&lt;&gt;"",N($N1183)&lt;=0),"★填了开票日期没填开票金额",IF(AND($I1183&lt;&gt;"",$J1183&lt;&gt;"",$J1183&lt;$I1183),"★计费期间起止反了","OK")))))))</f>
        <v/>
      </c>
      <c r="U1183" s="29" t="str">
        <f aca="false">IF($L1183="","",YEAR($L1183))</f>
        <v/>
      </c>
      <c r="V1183" s="40" t="str">
        <f aca="false">IF($C1183="","",ROUND(SUMIF(收款关联,$B1183,收款金额),2))</f>
        <v/>
      </c>
      <c r="W1183" s="40" t="str">
        <f aca="false">IF($C1183="","",MAX(0,ROUND(N($K1183)-N($V1183),2)))</f>
        <v/>
      </c>
      <c r="X1183" s="40" t="str">
        <f aca="false">IF($C1183="","",ROUND(SUMIFS(应收净额,应收键,$D1183,应收行号,"&lt;="&amp;ROW()),2))</f>
        <v/>
      </c>
      <c r="Y1183" s="29" t="str">
        <f aca="false">IF($C1183="","",ROW())</f>
        <v/>
      </c>
    </row>
    <row r="1184" customFormat="false" ht="15" hidden="false" customHeight="false" outlineLevel="0" collapsed="false">
      <c r="A1184" s="29" t="str">
        <f aca="false">IF($C1184="","",ROW()-4)</f>
        <v/>
      </c>
      <c r="B1184" s="35" t="str">
        <f aca="false">IF($C1184="","","YS"&amp;TEXT($C1184,"yyyymm")&amp;"-"&amp;TEXT(ROW()-4,"0000"))</f>
        <v/>
      </c>
      <c r="C1184" s="33"/>
      <c r="D1184" s="24"/>
      <c r="E1184" s="30" t="str">
        <f aca="false">IF($D1184="","",IFERROR(INDEX(合同单位,MATCH($D1184,合同键,0)),IFERROR(TRIM(LEFT($D1184,FIND("｜",$D1184)-1)),$D1184)))</f>
        <v/>
      </c>
      <c r="F1184" s="30" t="str">
        <f aca="false">IF($D1184="","",IFERROR(INDEX(合同项目,MATCH($D1184,合同键,0)),IFERROR(TRIM(MID($D1184,FIND("｜",$D1184)+1,99)),"")))</f>
        <v/>
      </c>
      <c r="G1184" s="24"/>
      <c r="H1184" s="35" t="str">
        <f aca="false">IF($G1184="","",IFERROR(INDEX(费用款别,MATCH($G1184,费用类别表,0)),"合同外款"))</f>
        <v/>
      </c>
      <c r="I1184" s="33"/>
      <c r="J1184" s="33"/>
      <c r="K1184" s="39"/>
      <c r="L1184" s="33"/>
      <c r="M1184" s="25"/>
      <c r="N1184" s="39"/>
      <c r="O1184" s="35" t="str">
        <f aca="false">IF($C1184="","",IF(N($N1184)&lt;=0,"未开票",IF(ROUND(N($N1184)-N($K1184),2)&gt;=0,"已开票",IFERROR("部分开票 "&amp;TEXT(N($N1184)/N($K1184),"0%"),"部分开票"))))</f>
        <v/>
      </c>
      <c r="P1184" s="40" t="str">
        <f aca="false">IF($C1184="","",ROUND($V1184+MIN($W1184,MAX(0,(SUMIF(收款键,$D1184,收款金额)-SUMIFS(收款金额,收款键,$D1184,收款关联,"&lt;&gt;"))-($X1184-$W1184))),2))</f>
        <v/>
      </c>
      <c r="Q1184" s="41" t="str">
        <f aca="false">IF($C1184="","",ROUND(N($K1184)-N($P1184),2))</f>
        <v/>
      </c>
      <c r="R1184" s="29" t="str">
        <f aca="false">IF($C1184="","",YEAR($C1184))</f>
        <v/>
      </c>
      <c r="S1184" s="24"/>
      <c r="T1184" s="35" t="str">
        <f aca="false">IF($C1184="","",IF($D1184="","★没选客户项目",IF(COUNTIF(合同键,$D1184)=0,"★《维保合同》里没这个项目",IF(N($K1184)&lt;=0,"★应收金额要填",IF(ROUND(N($N1184)-N($K1184),2)&gt;0.001,"★开票金额大于应收",IF(AND($L1184&lt;&gt;"",N($N1184)&lt;=0),"★填了开票日期没填开票金额",IF(AND($I1184&lt;&gt;"",$J1184&lt;&gt;"",$J1184&lt;$I1184),"★计费期间起止反了","OK")))))))</f>
        <v/>
      </c>
      <c r="U1184" s="29" t="str">
        <f aca="false">IF($L1184="","",YEAR($L1184))</f>
        <v/>
      </c>
      <c r="V1184" s="40" t="str">
        <f aca="false">IF($C1184="","",ROUND(SUMIF(收款关联,$B1184,收款金额),2))</f>
        <v/>
      </c>
      <c r="W1184" s="40" t="str">
        <f aca="false">IF($C1184="","",MAX(0,ROUND(N($K1184)-N($V1184),2)))</f>
        <v/>
      </c>
      <c r="X1184" s="40" t="str">
        <f aca="false">IF($C1184="","",ROUND(SUMIFS(应收净额,应收键,$D1184,应收行号,"&lt;="&amp;ROW()),2))</f>
        <v/>
      </c>
      <c r="Y1184" s="29" t="str">
        <f aca="false">IF($C1184="","",ROW())</f>
        <v/>
      </c>
    </row>
    <row r="1185" customFormat="false" ht="15" hidden="false" customHeight="false" outlineLevel="0" collapsed="false">
      <c r="A1185" s="29" t="str">
        <f aca="false">IF($C1185="","",ROW()-4)</f>
        <v/>
      </c>
      <c r="B1185" s="35" t="str">
        <f aca="false">IF($C1185="","","YS"&amp;TEXT($C1185,"yyyymm")&amp;"-"&amp;TEXT(ROW()-4,"0000"))</f>
        <v/>
      </c>
      <c r="C1185" s="33"/>
      <c r="D1185" s="24"/>
      <c r="E1185" s="30" t="str">
        <f aca="false">IF($D1185="","",IFERROR(INDEX(合同单位,MATCH($D1185,合同键,0)),IFERROR(TRIM(LEFT($D1185,FIND("｜",$D1185)-1)),$D1185)))</f>
        <v/>
      </c>
      <c r="F1185" s="30" t="str">
        <f aca="false">IF($D1185="","",IFERROR(INDEX(合同项目,MATCH($D1185,合同键,0)),IFERROR(TRIM(MID($D1185,FIND("｜",$D1185)+1,99)),"")))</f>
        <v/>
      </c>
      <c r="G1185" s="24"/>
      <c r="H1185" s="35" t="str">
        <f aca="false">IF($G1185="","",IFERROR(INDEX(费用款别,MATCH($G1185,费用类别表,0)),"合同外款"))</f>
        <v/>
      </c>
      <c r="I1185" s="33"/>
      <c r="J1185" s="33"/>
      <c r="K1185" s="39"/>
      <c r="L1185" s="33"/>
      <c r="M1185" s="25"/>
      <c r="N1185" s="39"/>
      <c r="O1185" s="35" t="str">
        <f aca="false">IF($C1185="","",IF(N($N1185)&lt;=0,"未开票",IF(ROUND(N($N1185)-N($K1185),2)&gt;=0,"已开票",IFERROR("部分开票 "&amp;TEXT(N($N1185)/N($K1185),"0%"),"部分开票"))))</f>
        <v/>
      </c>
      <c r="P1185" s="40" t="str">
        <f aca="false">IF($C1185="","",ROUND($V1185+MIN($W1185,MAX(0,(SUMIF(收款键,$D1185,收款金额)-SUMIFS(收款金额,收款键,$D1185,收款关联,"&lt;&gt;"))-($X1185-$W1185))),2))</f>
        <v/>
      </c>
      <c r="Q1185" s="41" t="str">
        <f aca="false">IF($C1185="","",ROUND(N($K1185)-N($P1185),2))</f>
        <v/>
      </c>
      <c r="R1185" s="29" t="str">
        <f aca="false">IF($C1185="","",YEAR($C1185))</f>
        <v/>
      </c>
      <c r="S1185" s="24"/>
      <c r="T1185" s="35" t="str">
        <f aca="false">IF($C1185="","",IF($D1185="","★没选客户项目",IF(COUNTIF(合同键,$D1185)=0,"★《维保合同》里没这个项目",IF(N($K1185)&lt;=0,"★应收金额要填",IF(ROUND(N($N1185)-N($K1185),2)&gt;0.001,"★开票金额大于应收",IF(AND($L1185&lt;&gt;"",N($N1185)&lt;=0),"★填了开票日期没填开票金额",IF(AND($I1185&lt;&gt;"",$J1185&lt;&gt;"",$J1185&lt;$I1185),"★计费期间起止反了","OK")))))))</f>
        <v/>
      </c>
      <c r="U1185" s="29" t="str">
        <f aca="false">IF($L1185="","",YEAR($L1185))</f>
        <v/>
      </c>
      <c r="V1185" s="40" t="str">
        <f aca="false">IF($C1185="","",ROUND(SUMIF(收款关联,$B1185,收款金额),2))</f>
        <v/>
      </c>
      <c r="W1185" s="40" t="str">
        <f aca="false">IF($C1185="","",MAX(0,ROUND(N($K1185)-N($V1185),2)))</f>
        <v/>
      </c>
      <c r="X1185" s="40" t="str">
        <f aca="false">IF($C1185="","",ROUND(SUMIFS(应收净额,应收键,$D1185,应收行号,"&lt;="&amp;ROW()),2))</f>
        <v/>
      </c>
      <c r="Y1185" s="29" t="str">
        <f aca="false">IF($C1185="","",ROW())</f>
        <v/>
      </c>
    </row>
    <row r="1186" customFormat="false" ht="15" hidden="false" customHeight="false" outlineLevel="0" collapsed="false">
      <c r="A1186" s="29" t="str">
        <f aca="false">IF($C1186="","",ROW()-4)</f>
        <v/>
      </c>
      <c r="B1186" s="35" t="str">
        <f aca="false">IF($C1186="","","YS"&amp;TEXT($C1186,"yyyymm")&amp;"-"&amp;TEXT(ROW()-4,"0000"))</f>
        <v/>
      </c>
      <c r="C1186" s="33"/>
      <c r="D1186" s="24"/>
      <c r="E1186" s="30" t="str">
        <f aca="false">IF($D1186="","",IFERROR(INDEX(合同单位,MATCH($D1186,合同键,0)),IFERROR(TRIM(LEFT($D1186,FIND("｜",$D1186)-1)),$D1186)))</f>
        <v/>
      </c>
      <c r="F1186" s="30" t="str">
        <f aca="false">IF($D1186="","",IFERROR(INDEX(合同项目,MATCH($D1186,合同键,0)),IFERROR(TRIM(MID($D1186,FIND("｜",$D1186)+1,99)),"")))</f>
        <v/>
      </c>
      <c r="G1186" s="24"/>
      <c r="H1186" s="35" t="str">
        <f aca="false">IF($G1186="","",IFERROR(INDEX(费用款别,MATCH($G1186,费用类别表,0)),"合同外款"))</f>
        <v/>
      </c>
      <c r="I1186" s="33"/>
      <c r="J1186" s="33"/>
      <c r="K1186" s="39"/>
      <c r="L1186" s="33"/>
      <c r="M1186" s="25"/>
      <c r="N1186" s="39"/>
      <c r="O1186" s="35" t="str">
        <f aca="false">IF($C1186="","",IF(N($N1186)&lt;=0,"未开票",IF(ROUND(N($N1186)-N($K1186),2)&gt;=0,"已开票",IFERROR("部分开票 "&amp;TEXT(N($N1186)/N($K1186),"0%"),"部分开票"))))</f>
        <v/>
      </c>
      <c r="P1186" s="40" t="str">
        <f aca="false">IF($C1186="","",ROUND($V1186+MIN($W1186,MAX(0,(SUMIF(收款键,$D1186,收款金额)-SUMIFS(收款金额,收款键,$D1186,收款关联,"&lt;&gt;"))-($X1186-$W1186))),2))</f>
        <v/>
      </c>
      <c r="Q1186" s="41" t="str">
        <f aca="false">IF($C1186="","",ROUND(N($K1186)-N($P1186),2))</f>
        <v/>
      </c>
      <c r="R1186" s="29" t="str">
        <f aca="false">IF($C1186="","",YEAR($C1186))</f>
        <v/>
      </c>
      <c r="S1186" s="24"/>
      <c r="T1186" s="35" t="str">
        <f aca="false">IF($C1186="","",IF($D1186="","★没选客户项目",IF(COUNTIF(合同键,$D1186)=0,"★《维保合同》里没这个项目",IF(N($K1186)&lt;=0,"★应收金额要填",IF(ROUND(N($N1186)-N($K1186),2)&gt;0.001,"★开票金额大于应收",IF(AND($L1186&lt;&gt;"",N($N1186)&lt;=0),"★填了开票日期没填开票金额",IF(AND($I1186&lt;&gt;"",$J1186&lt;&gt;"",$J1186&lt;$I1186),"★计费期间起止反了","OK")))))))</f>
        <v/>
      </c>
      <c r="U1186" s="29" t="str">
        <f aca="false">IF($L1186="","",YEAR($L1186))</f>
        <v/>
      </c>
      <c r="V1186" s="40" t="str">
        <f aca="false">IF($C1186="","",ROUND(SUMIF(收款关联,$B1186,收款金额),2))</f>
        <v/>
      </c>
      <c r="W1186" s="40" t="str">
        <f aca="false">IF($C1186="","",MAX(0,ROUND(N($K1186)-N($V1186),2)))</f>
        <v/>
      </c>
      <c r="X1186" s="40" t="str">
        <f aca="false">IF($C1186="","",ROUND(SUMIFS(应收净额,应收键,$D1186,应收行号,"&lt;="&amp;ROW()),2))</f>
        <v/>
      </c>
      <c r="Y1186" s="29" t="str">
        <f aca="false">IF($C1186="","",ROW())</f>
        <v/>
      </c>
    </row>
    <row r="1187" customFormat="false" ht="15" hidden="false" customHeight="false" outlineLevel="0" collapsed="false">
      <c r="A1187" s="29" t="str">
        <f aca="false">IF($C1187="","",ROW()-4)</f>
        <v/>
      </c>
      <c r="B1187" s="35" t="str">
        <f aca="false">IF($C1187="","","YS"&amp;TEXT($C1187,"yyyymm")&amp;"-"&amp;TEXT(ROW()-4,"0000"))</f>
        <v/>
      </c>
      <c r="C1187" s="33"/>
      <c r="D1187" s="24"/>
      <c r="E1187" s="30" t="str">
        <f aca="false">IF($D1187="","",IFERROR(INDEX(合同单位,MATCH($D1187,合同键,0)),IFERROR(TRIM(LEFT($D1187,FIND("｜",$D1187)-1)),$D1187)))</f>
        <v/>
      </c>
      <c r="F1187" s="30" t="str">
        <f aca="false">IF($D1187="","",IFERROR(INDEX(合同项目,MATCH($D1187,合同键,0)),IFERROR(TRIM(MID($D1187,FIND("｜",$D1187)+1,99)),"")))</f>
        <v/>
      </c>
      <c r="G1187" s="24"/>
      <c r="H1187" s="35" t="str">
        <f aca="false">IF($G1187="","",IFERROR(INDEX(费用款别,MATCH($G1187,费用类别表,0)),"合同外款"))</f>
        <v/>
      </c>
      <c r="I1187" s="33"/>
      <c r="J1187" s="33"/>
      <c r="K1187" s="39"/>
      <c r="L1187" s="33"/>
      <c r="M1187" s="25"/>
      <c r="N1187" s="39"/>
      <c r="O1187" s="35" t="str">
        <f aca="false">IF($C1187="","",IF(N($N1187)&lt;=0,"未开票",IF(ROUND(N($N1187)-N($K1187),2)&gt;=0,"已开票",IFERROR("部分开票 "&amp;TEXT(N($N1187)/N($K1187),"0%"),"部分开票"))))</f>
        <v/>
      </c>
      <c r="P1187" s="40" t="str">
        <f aca="false">IF($C1187="","",ROUND($V1187+MIN($W1187,MAX(0,(SUMIF(收款键,$D1187,收款金额)-SUMIFS(收款金额,收款键,$D1187,收款关联,"&lt;&gt;"))-($X1187-$W1187))),2))</f>
        <v/>
      </c>
      <c r="Q1187" s="41" t="str">
        <f aca="false">IF($C1187="","",ROUND(N($K1187)-N($P1187),2))</f>
        <v/>
      </c>
      <c r="R1187" s="29" t="str">
        <f aca="false">IF($C1187="","",YEAR($C1187))</f>
        <v/>
      </c>
      <c r="S1187" s="24"/>
      <c r="T1187" s="35" t="str">
        <f aca="false">IF($C1187="","",IF($D1187="","★没选客户项目",IF(COUNTIF(合同键,$D1187)=0,"★《维保合同》里没这个项目",IF(N($K1187)&lt;=0,"★应收金额要填",IF(ROUND(N($N1187)-N($K1187),2)&gt;0.001,"★开票金额大于应收",IF(AND($L1187&lt;&gt;"",N($N1187)&lt;=0),"★填了开票日期没填开票金额",IF(AND($I1187&lt;&gt;"",$J1187&lt;&gt;"",$J1187&lt;$I1187),"★计费期间起止反了","OK")))))))</f>
        <v/>
      </c>
      <c r="U1187" s="29" t="str">
        <f aca="false">IF($L1187="","",YEAR($L1187))</f>
        <v/>
      </c>
      <c r="V1187" s="40" t="str">
        <f aca="false">IF($C1187="","",ROUND(SUMIF(收款关联,$B1187,收款金额),2))</f>
        <v/>
      </c>
      <c r="W1187" s="40" t="str">
        <f aca="false">IF($C1187="","",MAX(0,ROUND(N($K1187)-N($V1187),2)))</f>
        <v/>
      </c>
      <c r="X1187" s="40" t="str">
        <f aca="false">IF($C1187="","",ROUND(SUMIFS(应收净额,应收键,$D1187,应收行号,"&lt;="&amp;ROW()),2))</f>
        <v/>
      </c>
      <c r="Y1187" s="29" t="str">
        <f aca="false">IF($C1187="","",ROW())</f>
        <v/>
      </c>
    </row>
    <row r="1188" customFormat="false" ht="15" hidden="false" customHeight="false" outlineLevel="0" collapsed="false">
      <c r="A1188" s="29" t="str">
        <f aca="false">IF($C1188="","",ROW()-4)</f>
        <v/>
      </c>
      <c r="B1188" s="35" t="str">
        <f aca="false">IF($C1188="","","YS"&amp;TEXT($C1188,"yyyymm")&amp;"-"&amp;TEXT(ROW()-4,"0000"))</f>
        <v/>
      </c>
      <c r="C1188" s="33"/>
      <c r="D1188" s="24"/>
      <c r="E1188" s="30" t="str">
        <f aca="false">IF($D1188="","",IFERROR(INDEX(合同单位,MATCH($D1188,合同键,0)),IFERROR(TRIM(LEFT($D1188,FIND("｜",$D1188)-1)),$D1188)))</f>
        <v/>
      </c>
      <c r="F1188" s="30" t="str">
        <f aca="false">IF($D1188="","",IFERROR(INDEX(合同项目,MATCH($D1188,合同键,0)),IFERROR(TRIM(MID($D1188,FIND("｜",$D1188)+1,99)),"")))</f>
        <v/>
      </c>
      <c r="G1188" s="24"/>
      <c r="H1188" s="35" t="str">
        <f aca="false">IF($G1188="","",IFERROR(INDEX(费用款别,MATCH($G1188,费用类别表,0)),"合同外款"))</f>
        <v/>
      </c>
      <c r="I1188" s="33"/>
      <c r="J1188" s="33"/>
      <c r="K1188" s="39"/>
      <c r="L1188" s="33"/>
      <c r="M1188" s="25"/>
      <c r="N1188" s="39"/>
      <c r="O1188" s="35" t="str">
        <f aca="false">IF($C1188="","",IF(N($N1188)&lt;=0,"未开票",IF(ROUND(N($N1188)-N($K1188),2)&gt;=0,"已开票",IFERROR("部分开票 "&amp;TEXT(N($N1188)/N($K1188),"0%"),"部分开票"))))</f>
        <v/>
      </c>
      <c r="P1188" s="40" t="str">
        <f aca="false">IF($C1188="","",ROUND($V1188+MIN($W1188,MAX(0,(SUMIF(收款键,$D1188,收款金额)-SUMIFS(收款金额,收款键,$D1188,收款关联,"&lt;&gt;"))-($X1188-$W1188))),2))</f>
        <v/>
      </c>
      <c r="Q1188" s="41" t="str">
        <f aca="false">IF($C1188="","",ROUND(N($K1188)-N($P1188),2))</f>
        <v/>
      </c>
      <c r="R1188" s="29" t="str">
        <f aca="false">IF($C1188="","",YEAR($C1188))</f>
        <v/>
      </c>
      <c r="S1188" s="24"/>
      <c r="T1188" s="35" t="str">
        <f aca="false">IF($C1188="","",IF($D1188="","★没选客户项目",IF(COUNTIF(合同键,$D1188)=0,"★《维保合同》里没这个项目",IF(N($K1188)&lt;=0,"★应收金额要填",IF(ROUND(N($N1188)-N($K1188),2)&gt;0.001,"★开票金额大于应收",IF(AND($L1188&lt;&gt;"",N($N1188)&lt;=0),"★填了开票日期没填开票金额",IF(AND($I1188&lt;&gt;"",$J1188&lt;&gt;"",$J1188&lt;$I1188),"★计费期间起止反了","OK")))))))</f>
        <v/>
      </c>
      <c r="U1188" s="29" t="str">
        <f aca="false">IF($L1188="","",YEAR($L1188))</f>
        <v/>
      </c>
      <c r="V1188" s="40" t="str">
        <f aca="false">IF($C1188="","",ROUND(SUMIF(收款关联,$B1188,收款金额),2))</f>
        <v/>
      </c>
      <c r="W1188" s="40" t="str">
        <f aca="false">IF($C1188="","",MAX(0,ROUND(N($K1188)-N($V1188),2)))</f>
        <v/>
      </c>
      <c r="X1188" s="40" t="str">
        <f aca="false">IF($C1188="","",ROUND(SUMIFS(应收净额,应收键,$D1188,应收行号,"&lt;="&amp;ROW()),2))</f>
        <v/>
      </c>
      <c r="Y1188" s="29" t="str">
        <f aca="false">IF($C1188="","",ROW())</f>
        <v/>
      </c>
    </row>
    <row r="1189" customFormat="false" ht="15" hidden="false" customHeight="false" outlineLevel="0" collapsed="false">
      <c r="A1189" s="29" t="str">
        <f aca="false">IF($C1189="","",ROW()-4)</f>
        <v/>
      </c>
      <c r="B1189" s="35" t="str">
        <f aca="false">IF($C1189="","","YS"&amp;TEXT($C1189,"yyyymm")&amp;"-"&amp;TEXT(ROW()-4,"0000"))</f>
        <v/>
      </c>
      <c r="C1189" s="33"/>
      <c r="D1189" s="24"/>
      <c r="E1189" s="30" t="str">
        <f aca="false">IF($D1189="","",IFERROR(INDEX(合同单位,MATCH($D1189,合同键,0)),IFERROR(TRIM(LEFT($D1189,FIND("｜",$D1189)-1)),$D1189)))</f>
        <v/>
      </c>
      <c r="F1189" s="30" t="str">
        <f aca="false">IF($D1189="","",IFERROR(INDEX(合同项目,MATCH($D1189,合同键,0)),IFERROR(TRIM(MID($D1189,FIND("｜",$D1189)+1,99)),"")))</f>
        <v/>
      </c>
      <c r="G1189" s="24"/>
      <c r="H1189" s="35" t="str">
        <f aca="false">IF($G1189="","",IFERROR(INDEX(费用款别,MATCH($G1189,费用类别表,0)),"合同外款"))</f>
        <v/>
      </c>
      <c r="I1189" s="33"/>
      <c r="J1189" s="33"/>
      <c r="K1189" s="39"/>
      <c r="L1189" s="33"/>
      <c r="M1189" s="25"/>
      <c r="N1189" s="39"/>
      <c r="O1189" s="35" t="str">
        <f aca="false">IF($C1189="","",IF(N($N1189)&lt;=0,"未开票",IF(ROUND(N($N1189)-N($K1189),2)&gt;=0,"已开票",IFERROR("部分开票 "&amp;TEXT(N($N1189)/N($K1189),"0%"),"部分开票"))))</f>
        <v/>
      </c>
      <c r="P1189" s="40" t="str">
        <f aca="false">IF($C1189="","",ROUND($V1189+MIN($W1189,MAX(0,(SUMIF(收款键,$D1189,收款金额)-SUMIFS(收款金额,收款键,$D1189,收款关联,"&lt;&gt;"))-($X1189-$W1189))),2))</f>
        <v/>
      </c>
      <c r="Q1189" s="41" t="str">
        <f aca="false">IF($C1189="","",ROUND(N($K1189)-N($P1189),2))</f>
        <v/>
      </c>
      <c r="R1189" s="29" t="str">
        <f aca="false">IF($C1189="","",YEAR($C1189))</f>
        <v/>
      </c>
      <c r="S1189" s="24"/>
      <c r="T1189" s="35" t="str">
        <f aca="false">IF($C1189="","",IF($D1189="","★没选客户项目",IF(COUNTIF(合同键,$D1189)=0,"★《维保合同》里没这个项目",IF(N($K1189)&lt;=0,"★应收金额要填",IF(ROUND(N($N1189)-N($K1189),2)&gt;0.001,"★开票金额大于应收",IF(AND($L1189&lt;&gt;"",N($N1189)&lt;=0),"★填了开票日期没填开票金额",IF(AND($I1189&lt;&gt;"",$J1189&lt;&gt;"",$J1189&lt;$I1189),"★计费期间起止反了","OK")))))))</f>
        <v/>
      </c>
      <c r="U1189" s="29" t="str">
        <f aca="false">IF($L1189="","",YEAR($L1189))</f>
        <v/>
      </c>
      <c r="V1189" s="40" t="str">
        <f aca="false">IF($C1189="","",ROUND(SUMIF(收款关联,$B1189,收款金额),2))</f>
        <v/>
      </c>
      <c r="W1189" s="40" t="str">
        <f aca="false">IF($C1189="","",MAX(0,ROUND(N($K1189)-N($V1189),2)))</f>
        <v/>
      </c>
      <c r="X1189" s="40" t="str">
        <f aca="false">IF($C1189="","",ROUND(SUMIFS(应收净额,应收键,$D1189,应收行号,"&lt;="&amp;ROW()),2))</f>
        <v/>
      </c>
      <c r="Y1189" s="29" t="str">
        <f aca="false">IF($C1189="","",ROW())</f>
        <v/>
      </c>
    </row>
    <row r="1190" customFormat="false" ht="15" hidden="false" customHeight="false" outlineLevel="0" collapsed="false">
      <c r="A1190" s="29" t="str">
        <f aca="false">IF($C1190="","",ROW()-4)</f>
        <v/>
      </c>
      <c r="B1190" s="35" t="str">
        <f aca="false">IF($C1190="","","YS"&amp;TEXT($C1190,"yyyymm")&amp;"-"&amp;TEXT(ROW()-4,"0000"))</f>
        <v/>
      </c>
      <c r="C1190" s="33"/>
      <c r="D1190" s="24"/>
      <c r="E1190" s="30" t="str">
        <f aca="false">IF($D1190="","",IFERROR(INDEX(合同单位,MATCH($D1190,合同键,0)),IFERROR(TRIM(LEFT($D1190,FIND("｜",$D1190)-1)),$D1190)))</f>
        <v/>
      </c>
      <c r="F1190" s="30" t="str">
        <f aca="false">IF($D1190="","",IFERROR(INDEX(合同项目,MATCH($D1190,合同键,0)),IFERROR(TRIM(MID($D1190,FIND("｜",$D1190)+1,99)),"")))</f>
        <v/>
      </c>
      <c r="G1190" s="24"/>
      <c r="H1190" s="35" t="str">
        <f aca="false">IF($G1190="","",IFERROR(INDEX(费用款别,MATCH($G1190,费用类别表,0)),"合同外款"))</f>
        <v/>
      </c>
      <c r="I1190" s="33"/>
      <c r="J1190" s="33"/>
      <c r="K1190" s="39"/>
      <c r="L1190" s="33"/>
      <c r="M1190" s="25"/>
      <c r="N1190" s="39"/>
      <c r="O1190" s="35" t="str">
        <f aca="false">IF($C1190="","",IF(N($N1190)&lt;=0,"未开票",IF(ROUND(N($N1190)-N($K1190),2)&gt;=0,"已开票",IFERROR("部分开票 "&amp;TEXT(N($N1190)/N($K1190),"0%"),"部分开票"))))</f>
        <v/>
      </c>
      <c r="P1190" s="40" t="str">
        <f aca="false">IF($C1190="","",ROUND($V1190+MIN($W1190,MAX(0,(SUMIF(收款键,$D1190,收款金额)-SUMIFS(收款金额,收款键,$D1190,收款关联,"&lt;&gt;"))-($X1190-$W1190))),2))</f>
        <v/>
      </c>
      <c r="Q1190" s="41" t="str">
        <f aca="false">IF($C1190="","",ROUND(N($K1190)-N($P1190),2))</f>
        <v/>
      </c>
      <c r="R1190" s="29" t="str">
        <f aca="false">IF($C1190="","",YEAR($C1190))</f>
        <v/>
      </c>
      <c r="S1190" s="24"/>
      <c r="T1190" s="35" t="str">
        <f aca="false">IF($C1190="","",IF($D1190="","★没选客户项目",IF(COUNTIF(合同键,$D1190)=0,"★《维保合同》里没这个项目",IF(N($K1190)&lt;=0,"★应收金额要填",IF(ROUND(N($N1190)-N($K1190),2)&gt;0.001,"★开票金额大于应收",IF(AND($L1190&lt;&gt;"",N($N1190)&lt;=0),"★填了开票日期没填开票金额",IF(AND($I1190&lt;&gt;"",$J1190&lt;&gt;"",$J1190&lt;$I1190),"★计费期间起止反了","OK")))))))</f>
        <v/>
      </c>
      <c r="U1190" s="29" t="str">
        <f aca="false">IF($L1190="","",YEAR($L1190))</f>
        <v/>
      </c>
      <c r="V1190" s="40" t="str">
        <f aca="false">IF($C1190="","",ROUND(SUMIF(收款关联,$B1190,收款金额),2))</f>
        <v/>
      </c>
      <c r="W1190" s="40" t="str">
        <f aca="false">IF($C1190="","",MAX(0,ROUND(N($K1190)-N($V1190),2)))</f>
        <v/>
      </c>
      <c r="X1190" s="40" t="str">
        <f aca="false">IF($C1190="","",ROUND(SUMIFS(应收净额,应收键,$D1190,应收行号,"&lt;="&amp;ROW()),2))</f>
        <v/>
      </c>
      <c r="Y1190" s="29" t="str">
        <f aca="false">IF($C1190="","",ROW())</f>
        <v/>
      </c>
    </row>
    <row r="1191" customFormat="false" ht="15" hidden="false" customHeight="false" outlineLevel="0" collapsed="false">
      <c r="A1191" s="29" t="str">
        <f aca="false">IF($C1191="","",ROW()-4)</f>
        <v/>
      </c>
      <c r="B1191" s="35" t="str">
        <f aca="false">IF($C1191="","","YS"&amp;TEXT($C1191,"yyyymm")&amp;"-"&amp;TEXT(ROW()-4,"0000"))</f>
        <v/>
      </c>
      <c r="C1191" s="33"/>
      <c r="D1191" s="24"/>
      <c r="E1191" s="30" t="str">
        <f aca="false">IF($D1191="","",IFERROR(INDEX(合同单位,MATCH($D1191,合同键,0)),IFERROR(TRIM(LEFT($D1191,FIND("｜",$D1191)-1)),$D1191)))</f>
        <v/>
      </c>
      <c r="F1191" s="30" t="str">
        <f aca="false">IF($D1191="","",IFERROR(INDEX(合同项目,MATCH($D1191,合同键,0)),IFERROR(TRIM(MID($D1191,FIND("｜",$D1191)+1,99)),"")))</f>
        <v/>
      </c>
      <c r="G1191" s="24"/>
      <c r="H1191" s="35" t="str">
        <f aca="false">IF($G1191="","",IFERROR(INDEX(费用款别,MATCH($G1191,费用类别表,0)),"合同外款"))</f>
        <v/>
      </c>
      <c r="I1191" s="33"/>
      <c r="J1191" s="33"/>
      <c r="K1191" s="39"/>
      <c r="L1191" s="33"/>
      <c r="M1191" s="25"/>
      <c r="N1191" s="39"/>
      <c r="O1191" s="35" t="str">
        <f aca="false">IF($C1191="","",IF(N($N1191)&lt;=0,"未开票",IF(ROUND(N($N1191)-N($K1191),2)&gt;=0,"已开票",IFERROR("部分开票 "&amp;TEXT(N($N1191)/N($K1191),"0%"),"部分开票"))))</f>
        <v/>
      </c>
      <c r="P1191" s="40" t="str">
        <f aca="false">IF($C1191="","",ROUND($V1191+MIN($W1191,MAX(0,(SUMIF(收款键,$D1191,收款金额)-SUMIFS(收款金额,收款键,$D1191,收款关联,"&lt;&gt;"))-($X1191-$W1191))),2))</f>
        <v/>
      </c>
      <c r="Q1191" s="41" t="str">
        <f aca="false">IF($C1191="","",ROUND(N($K1191)-N($P1191),2))</f>
        <v/>
      </c>
      <c r="R1191" s="29" t="str">
        <f aca="false">IF($C1191="","",YEAR($C1191))</f>
        <v/>
      </c>
      <c r="S1191" s="24"/>
      <c r="T1191" s="35" t="str">
        <f aca="false">IF($C1191="","",IF($D1191="","★没选客户项目",IF(COUNTIF(合同键,$D1191)=0,"★《维保合同》里没这个项目",IF(N($K1191)&lt;=0,"★应收金额要填",IF(ROUND(N($N1191)-N($K1191),2)&gt;0.001,"★开票金额大于应收",IF(AND($L1191&lt;&gt;"",N($N1191)&lt;=0),"★填了开票日期没填开票金额",IF(AND($I1191&lt;&gt;"",$J1191&lt;&gt;"",$J1191&lt;$I1191),"★计费期间起止反了","OK")))))))</f>
        <v/>
      </c>
      <c r="U1191" s="29" t="str">
        <f aca="false">IF($L1191="","",YEAR($L1191))</f>
        <v/>
      </c>
      <c r="V1191" s="40" t="str">
        <f aca="false">IF($C1191="","",ROUND(SUMIF(收款关联,$B1191,收款金额),2))</f>
        <v/>
      </c>
      <c r="W1191" s="40" t="str">
        <f aca="false">IF($C1191="","",MAX(0,ROUND(N($K1191)-N($V1191),2)))</f>
        <v/>
      </c>
      <c r="X1191" s="40" t="str">
        <f aca="false">IF($C1191="","",ROUND(SUMIFS(应收净额,应收键,$D1191,应收行号,"&lt;="&amp;ROW()),2))</f>
        <v/>
      </c>
      <c r="Y1191" s="29" t="str">
        <f aca="false">IF($C1191="","",ROW())</f>
        <v/>
      </c>
    </row>
    <row r="1192" customFormat="false" ht="15" hidden="false" customHeight="false" outlineLevel="0" collapsed="false">
      <c r="A1192" s="29" t="str">
        <f aca="false">IF($C1192="","",ROW()-4)</f>
        <v/>
      </c>
      <c r="B1192" s="35" t="str">
        <f aca="false">IF($C1192="","","YS"&amp;TEXT($C1192,"yyyymm")&amp;"-"&amp;TEXT(ROW()-4,"0000"))</f>
        <v/>
      </c>
      <c r="C1192" s="33"/>
      <c r="D1192" s="24"/>
      <c r="E1192" s="30" t="str">
        <f aca="false">IF($D1192="","",IFERROR(INDEX(合同单位,MATCH($D1192,合同键,0)),IFERROR(TRIM(LEFT($D1192,FIND("｜",$D1192)-1)),$D1192)))</f>
        <v/>
      </c>
      <c r="F1192" s="30" t="str">
        <f aca="false">IF($D1192="","",IFERROR(INDEX(合同项目,MATCH($D1192,合同键,0)),IFERROR(TRIM(MID($D1192,FIND("｜",$D1192)+1,99)),"")))</f>
        <v/>
      </c>
      <c r="G1192" s="24"/>
      <c r="H1192" s="35" t="str">
        <f aca="false">IF($G1192="","",IFERROR(INDEX(费用款别,MATCH($G1192,费用类别表,0)),"合同外款"))</f>
        <v/>
      </c>
      <c r="I1192" s="33"/>
      <c r="J1192" s="33"/>
      <c r="K1192" s="39"/>
      <c r="L1192" s="33"/>
      <c r="M1192" s="25"/>
      <c r="N1192" s="39"/>
      <c r="O1192" s="35" t="str">
        <f aca="false">IF($C1192="","",IF(N($N1192)&lt;=0,"未开票",IF(ROUND(N($N1192)-N($K1192),2)&gt;=0,"已开票",IFERROR("部分开票 "&amp;TEXT(N($N1192)/N($K1192),"0%"),"部分开票"))))</f>
        <v/>
      </c>
      <c r="P1192" s="40" t="str">
        <f aca="false">IF($C1192="","",ROUND($V1192+MIN($W1192,MAX(0,(SUMIF(收款键,$D1192,收款金额)-SUMIFS(收款金额,收款键,$D1192,收款关联,"&lt;&gt;"))-($X1192-$W1192))),2))</f>
        <v/>
      </c>
      <c r="Q1192" s="41" t="str">
        <f aca="false">IF($C1192="","",ROUND(N($K1192)-N($P1192),2))</f>
        <v/>
      </c>
      <c r="R1192" s="29" t="str">
        <f aca="false">IF($C1192="","",YEAR($C1192))</f>
        <v/>
      </c>
      <c r="S1192" s="24"/>
      <c r="T1192" s="35" t="str">
        <f aca="false">IF($C1192="","",IF($D1192="","★没选客户项目",IF(COUNTIF(合同键,$D1192)=0,"★《维保合同》里没这个项目",IF(N($K1192)&lt;=0,"★应收金额要填",IF(ROUND(N($N1192)-N($K1192),2)&gt;0.001,"★开票金额大于应收",IF(AND($L1192&lt;&gt;"",N($N1192)&lt;=0),"★填了开票日期没填开票金额",IF(AND($I1192&lt;&gt;"",$J1192&lt;&gt;"",$J1192&lt;$I1192),"★计费期间起止反了","OK")))))))</f>
        <v/>
      </c>
      <c r="U1192" s="29" t="str">
        <f aca="false">IF($L1192="","",YEAR($L1192))</f>
        <v/>
      </c>
      <c r="V1192" s="40" t="str">
        <f aca="false">IF($C1192="","",ROUND(SUMIF(收款关联,$B1192,收款金额),2))</f>
        <v/>
      </c>
      <c r="W1192" s="40" t="str">
        <f aca="false">IF($C1192="","",MAX(0,ROUND(N($K1192)-N($V1192),2)))</f>
        <v/>
      </c>
      <c r="X1192" s="40" t="str">
        <f aca="false">IF($C1192="","",ROUND(SUMIFS(应收净额,应收键,$D1192,应收行号,"&lt;="&amp;ROW()),2))</f>
        <v/>
      </c>
      <c r="Y1192" s="29" t="str">
        <f aca="false">IF($C1192="","",ROW())</f>
        <v/>
      </c>
    </row>
    <row r="1193" customFormat="false" ht="15" hidden="false" customHeight="false" outlineLevel="0" collapsed="false">
      <c r="A1193" s="29" t="str">
        <f aca="false">IF($C1193="","",ROW()-4)</f>
        <v/>
      </c>
      <c r="B1193" s="35" t="str">
        <f aca="false">IF($C1193="","","YS"&amp;TEXT($C1193,"yyyymm")&amp;"-"&amp;TEXT(ROW()-4,"0000"))</f>
        <v/>
      </c>
      <c r="C1193" s="33"/>
      <c r="D1193" s="24"/>
      <c r="E1193" s="30" t="str">
        <f aca="false">IF($D1193="","",IFERROR(INDEX(合同单位,MATCH($D1193,合同键,0)),IFERROR(TRIM(LEFT($D1193,FIND("｜",$D1193)-1)),$D1193)))</f>
        <v/>
      </c>
      <c r="F1193" s="30" t="str">
        <f aca="false">IF($D1193="","",IFERROR(INDEX(合同项目,MATCH($D1193,合同键,0)),IFERROR(TRIM(MID($D1193,FIND("｜",$D1193)+1,99)),"")))</f>
        <v/>
      </c>
      <c r="G1193" s="24"/>
      <c r="H1193" s="35" t="str">
        <f aca="false">IF($G1193="","",IFERROR(INDEX(费用款别,MATCH($G1193,费用类别表,0)),"合同外款"))</f>
        <v/>
      </c>
      <c r="I1193" s="33"/>
      <c r="J1193" s="33"/>
      <c r="K1193" s="39"/>
      <c r="L1193" s="33"/>
      <c r="M1193" s="25"/>
      <c r="N1193" s="39"/>
      <c r="O1193" s="35" t="str">
        <f aca="false">IF($C1193="","",IF(N($N1193)&lt;=0,"未开票",IF(ROUND(N($N1193)-N($K1193),2)&gt;=0,"已开票",IFERROR("部分开票 "&amp;TEXT(N($N1193)/N($K1193),"0%"),"部分开票"))))</f>
        <v/>
      </c>
      <c r="P1193" s="40" t="str">
        <f aca="false">IF($C1193="","",ROUND($V1193+MIN($W1193,MAX(0,(SUMIF(收款键,$D1193,收款金额)-SUMIFS(收款金额,收款键,$D1193,收款关联,"&lt;&gt;"))-($X1193-$W1193))),2))</f>
        <v/>
      </c>
      <c r="Q1193" s="41" t="str">
        <f aca="false">IF($C1193="","",ROUND(N($K1193)-N($P1193),2))</f>
        <v/>
      </c>
      <c r="R1193" s="29" t="str">
        <f aca="false">IF($C1193="","",YEAR($C1193))</f>
        <v/>
      </c>
      <c r="S1193" s="24"/>
      <c r="T1193" s="35" t="str">
        <f aca="false">IF($C1193="","",IF($D1193="","★没选客户项目",IF(COUNTIF(合同键,$D1193)=0,"★《维保合同》里没这个项目",IF(N($K1193)&lt;=0,"★应收金额要填",IF(ROUND(N($N1193)-N($K1193),2)&gt;0.001,"★开票金额大于应收",IF(AND($L1193&lt;&gt;"",N($N1193)&lt;=0),"★填了开票日期没填开票金额",IF(AND($I1193&lt;&gt;"",$J1193&lt;&gt;"",$J1193&lt;$I1193),"★计费期间起止反了","OK")))))))</f>
        <v/>
      </c>
      <c r="U1193" s="29" t="str">
        <f aca="false">IF($L1193="","",YEAR($L1193))</f>
        <v/>
      </c>
      <c r="V1193" s="40" t="str">
        <f aca="false">IF($C1193="","",ROUND(SUMIF(收款关联,$B1193,收款金额),2))</f>
        <v/>
      </c>
      <c r="W1193" s="40" t="str">
        <f aca="false">IF($C1193="","",MAX(0,ROUND(N($K1193)-N($V1193),2)))</f>
        <v/>
      </c>
      <c r="X1193" s="40" t="str">
        <f aca="false">IF($C1193="","",ROUND(SUMIFS(应收净额,应收键,$D1193,应收行号,"&lt;="&amp;ROW()),2))</f>
        <v/>
      </c>
      <c r="Y1193" s="29" t="str">
        <f aca="false">IF($C1193="","",ROW())</f>
        <v/>
      </c>
    </row>
    <row r="1194" customFormat="false" ht="15" hidden="false" customHeight="false" outlineLevel="0" collapsed="false">
      <c r="A1194" s="29" t="str">
        <f aca="false">IF($C1194="","",ROW()-4)</f>
        <v/>
      </c>
      <c r="B1194" s="35" t="str">
        <f aca="false">IF($C1194="","","YS"&amp;TEXT($C1194,"yyyymm")&amp;"-"&amp;TEXT(ROW()-4,"0000"))</f>
        <v/>
      </c>
      <c r="C1194" s="33"/>
      <c r="D1194" s="24"/>
      <c r="E1194" s="30" t="str">
        <f aca="false">IF($D1194="","",IFERROR(INDEX(合同单位,MATCH($D1194,合同键,0)),IFERROR(TRIM(LEFT($D1194,FIND("｜",$D1194)-1)),$D1194)))</f>
        <v/>
      </c>
      <c r="F1194" s="30" t="str">
        <f aca="false">IF($D1194="","",IFERROR(INDEX(合同项目,MATCH($D1194,合同键,0)),IFERROR(TRIM(MID($D1194,FIND("｜",$D1194)+1,99)),"")))</f>
        <v/>
      </c>
      <c r="G1194" s="24"/>
      <c r="H1194" s="35" t="str">
        <f aca="false">IF($G1194="","",IFERROR(INDEX(费用款别,MATCH($G1194,费用类别表,0)),"合同外款"))</f>
        <v/>
      </c>
      <c r="I1194" s="33"/>
      <c r="J1194" s="33"/>
      <c r="K1194" s="39"/>
      <c r="L1194" s="33"/>
      <c r="M1194" s="25"/>
      <c r="N1194" s="39"/>
      <c r="O1194" s="35" t="str">
        <f aca="false">IF($C1194="","",IF(N($N1194)&lt;=0,"未开票",IF(ROUND(N($N1194)-N($K1194),2)&gt;=0,"已开票",IFERROR("部分开票 "&amp;TEXT(N($N1194)/N($K1194),"0%"),"部分开票"))))</f>
        <v/>
      </c>
      <c r="P1194" s="40" t="str">
        <f aca="false">IF($C1194="","",ROUND($V1194+MIN($W1194,MAX(0,(SUMIF(收款键,$D1194,收款金额)-SUMIFS(收款金额,收款键,$D1194,收款关联,"&lt;&gt;"))-($X1194-$W1194))),2))</f>
        <v/>
      </c>
      <c r="Q1194" s="41" t="str">
        <f aca="false">IF($C1194="","",ROUND(N($K1194)-N($P1194),2))</f>
        <v/>
      </c>
      <c r="R1194" s="29" t="str">
        <f aca="false">IF($C1194="","",YEAR($C1194))</f>
        <v/>
      </c>
      <c r="S1194" s="24"/>
      <c r="T1194" s="35" t="str">
        <f aca="false">IF($C1194="","",IF($D1194="","★没选客户项目",IF(COUNTIF(合同键,$D1194)=0,"★《维保合同》里没这个项目",IF(N($K1194)&lt;=0,"★应收金额要填",IF(ROUND(N($N1194)-N($K1194),2)&gt;0.001,"★开票金额大于应收",IF(AND($L1194&lt;&gt;"",N($N1194)&lt;=0),"★填了开票日期没填开票金额",IF(AND($I1194&lt;&gt;"",$J1194&lt;&gt;"",$J1194&lt;$I1194),"★计费期间起止反了","OK")))))))</f>
        <v/>
      </c>
      <c r="U1194" s="29" t="str">
        <f aca="false">IF($L1194="","",YEAR($L1194))</f>
        <v/>
      </c>
      <c r="V1194" s="40" t="str">
        <f aca="false">IF($C1194="","",ROUND(SUMIF(收款关联,$B1194,收款金额),2))</f>
        <v/>
      </c>
      <c r="W1194" s="40" t="str">
        <f aca="false">IF($C1194="","",MAX(0,ROUND(N($K1194)-N($V1194),2)))</f>
        <v/>
      </c>
      <c r="X1194" s="40" t="str">
        <f aca="false">IF($C1194="","",ROUND(SUMIFS(应收净额,应收键,$D1194,应收行号,"&lt;="&amp;ROW()),2))</f>
        <v/>
      </c>
      <c r="Y1194" s="29" t="str">
        <f aca="false">IF($C1194="","",ROW())</f>
        <v/>
      </c>
    </row>
    <row r="1195" customFormat="false" ht="15" hidden="false" customHeight="false" outlineLevel="0" collapsed="false">
      <c r="A1195" s="29" t="str">
        <f aca="false">IF($C1195="","",ROW()-4)</f>
        <v/>
      </c>
      <c r="B1195" s="35" t="str">
        <f aca="false">IF($C1195="","","YS"&amp;TEXT($C1195,"yyyymm")&amp;"-"&amp;TEXT(ROW()-4,"0000"))</f>
        <v/>
      </c>
      <c r="C1195" s="33"/>
      <c r="D1195" s="24"/>
      <c r="E1195" s="30" t="str">
        <f aca="false">IF($D1195="","",IFERROR(INDEX(合同单位,MATCH($D1195,合同键,0)),IFERROR(TRIM(LEFT($D1195,FIND("｜",$D1195)-1)),$D1195)))</f>
        <v/>
      </c>
      <c r="F1195" s="30" t="str">
        <f aca="false">IF($D1195="","",IFERROR(INDEX(合同项目,MATCH($D1195,合同键,0)),IFERROR(TRIM(MID($D1195,FIND("｜",$D1195)+1,99)),"")))</f>
        <v/>
      </c>
      <c r="G1195" s="24"/>
      <c r="H1195" s="35" t="str">
        <f aca="false">IF($G1195="","",IFERROR(INDEX(费用款别,MATCH($G1195,费用类别表,0)),"合同外款"))</f>
        <v/>
      </c>
      <c r="I1195" s="33"/>
      <c r="J1195" s="33"/>
      <c r="K1195" s="39"/>
      <c r="L1195" s="33"/>
      <c r="M1195" s="25"/>
      <c r="N1195" s="39"/>
      <c r="O1195" s="35" t="str">
        <f aca="false">IF($C1195="","",IF(N($N1195)&lt;=0,"未开票",IF(ROUND(N($N1195)-N($K1195),2)&gt;=0,"已开票",IFERROR("部分开票 "&amp;TEXT(N($N1195)/N($K1195),"0%"),"部分开票"))))</f>
        <v/>
      </c>
      <c r="P1195" s="40" t="str">
        <f aca="false">IF($C1195="","",ROUND($V1195+MIN($W1195,MAX(0,(SUMIF(收款键,$D1195,收款金额)-SUMIFS(收款金额,收款键,$D1195,收款关联,"&lt;&gt;"))-($X1195-$W1195))),2))</f>
        <v/>
      </c>
      <c r="Q1195" s="41" t="str">
        <f aca="false">IF($C1195="","",ROUND(N($K1195)-N($P1195),2))</f>
        <v/>
      </c>
      <c r="R1195" s="29" t="str">
        <f aca="false">IF($C1195="","",YEAR($C1195))</f>
        <v/>
      </c>
      <c r="S1195" s="24"/>
      <c r="T1195" s="35" t="str">
        <f aca="false">IF($C1195="","",IF($D1195="","★没选客户项目",IF(COUNTIF(合同键,$D1195)=0,"★《维保合同》里没这个项目",IF(N($K1195)&lt;=0,"★应收金额要填",IF(ROUND(N($N1195)-N($K1195),2)&gt;0.001,"★开票金额大于应收",IF(AND($L1195&lt;&gt;"",N($N1195)&lt;=0),"★填了开票日期没填开票金额",IF(AND($I1195&lt;&gt;"",$J1195&lt;&gt;"",$J1195&lt;$I1195),"★计费期间起止反了","OK")))))))</f>
        <v/>
      </c>
      <c r="U1195" s="29" t="str">
        <f aca="false">IF($L1195="","",YEAR($L1195))</f>
        <v/>
      </c>
      <c r="V1195" s="40" t="str">
        <f aca="false">IF($C1195="","",ROUND(SUMIF(收款关联,$B1195,收款金额),2))</f>
        <v/>
      </c>
      <c r="W1195" s="40" t="str">
        <f aca="false">IF($C1195="","",MAX(0,ROUND(N($K1195)-N($V1195),2)))</f>
        <v/>
      </c>
      <c r="X1195" s="40" t="str">
        <f aca="false">IF($C1195="","",ROUND(SUMIFS(应收净额,应收键,$D1195,应收行号,"&lt;="&amp;ROW()),2))</f>
        <v/>
      </c>
      <c r="Y1195" s="29" t="str">
        <f aca="false">IF($C1195="","",ROW())</f>
        <v/>
      </c>
    </row>
    <row r="1196" customFormat="false" ht="15" hidden="false" customHeight="false" outlineLevel="0" collapsed="false">
      <c r="A1196" s="29" t="str">
        <f aca="false">IF($C1196="","",ROW()-4)</f>
        <v/>
      </c>
      <c r="B1196" s="35" t="str">
        <f aca="false">IF($C1196="","","YS"&amp;TEXT($C1196,"yyyymm")&amp;"-"&amp;TEXT(ROW()-4,"0000"))</f>
        <v/>
      </c>
      <c r="C1196" s="33"/>
      <c r="D1196" s="24"/>
      <c r="E1196" s="30" t="str">
        <f aca="false">IF($D1196="","",IFERROR(INDEX(合同单位,MATCH($D1196,合同键,0)),IFERROR(TRIM(LEFT($D1196,FIND("｜",$D1196)-1)),$D1196)))</f>
        <v/>
      </c>
      <c r="F1196" s="30" t="str">
        <f aca="false">IF($D1196="","",IFERROR(INDEX(合同项目,MATCH($D1196,合同键,0)),IFERROR(TRIM(MID($D1196,FIND("｜",$D1196)+1,99)),"")))</f>
        <v/>
      </c>
      <c r="G1196" s="24"/>
      <c r="H1196" s="35" t="str">
        <f aca="false">IF($G1196="","",IFERROR(INDEX(费用款别,MATCH($G1196,费用类别表,0)),"合同外款"))</f>
        <v/>
      </c>
      <c r="I1196" s="33"/>
      <c r="J1196" s="33"/>
      <c r="K1196" s="39"/>
      <c r="L1196" s="33"/>
      <c r="M1196" s="25"/>
      <c r="N1196" s="39"/>
      <c r="O1196" s="35" t="str">
        <f aca="false">IF($C1196="","",IF(N($N1196)&lt;=0,"未开票",IF(ROUND(N($N1196)-N($K1196),2)&gt;=0,"已开票",IFERROR("部分开票 "&amp;TEXT(N($N1196)/N($K1196),"0%"),"部分开票"))))</f>
        <v/>
      </c>
      <c r="P1196" s="40" t="str">
        <f aca="false">IF($C1196="","",ROUND($V1196+MIN($W1196,MAX(0,(SUMIF(收款键,$D1196,收款金额)-SUMIFS(收款金额,收款键,$D1196,收款关联,"&lt;&gt;"))-($X1196-$W1196))),2))</f>
        <v/>
      </c>
      <c r="Q1196" s="41" t="str">
        <f aca="false">IF($C1196="","",ROUND(N($K1196)-N($P1196),2))</f>
        <v/>
      </c>
      <c r="R1196" s="29" t="str">
        <f aca="false">IF($C1196="","",YEAR($C1196))</f>
        <v/>
      </c>
      <c r="S1196" s="24"/>
      <c r="T1196" s="35" t="str">
        <f aca="false">IF($C1196="","",IF($D1196="","★没选客户项目",IF(COUNTIF(合同键,$D1196)=0,"★《维保合同》里没这个项目",IF(N($K1196)&lt;=0,"★应收金额要填",IF(ROUND(N($N1196)-N($K1196),2)&gt;0.001,"★开票金额大于应收",IF(AND($L1196&lt;&gt;"",N($N1196)&lt;=0),"★填了开票日期没填开票金额",IF(AND($I1196&lt;&gt;"",$J1196&lt;&gt;"",$J1196&lt;$I1196),"★计费期间起止反了","OK")))))))</f>
        <v/>
      </c>
      <c r="U1196" s="29" t="str">
        <f aca="false">IF($L1196="","",YEAR($L1196))</f>
        <v/>
      </c>
      <c r="V1196" s="40" t="str">
        <f aca="false">IF($C1196="","",ROUND(SUMIF(收款关联,$B1196,收款金额),2))</f>
        <v/>
      </c>
      <c r="W1196" s="40" t="str">
        <f aca="false">IF($C1196="","",MAX(0,ROUND(N($K1196)-N($V1196),2)))</f>
        <v/>
      </c>
      <c r="X1196" s="40" t="str">
        <f aca="false">IF($C1196="","",ROUND(SUMIFS(应收净额,应收键,$D1196,应收行号,"&lt;="&amp;ROW()),2))</f>
        <v/>
      </c>
      <c r="Y1196" s="29" t="str">
        <f aca="false">IF($C1196="","",ROW())</f>
        <v/>
      </c>
    </row>
    <row r="1197" customFormat="false" ht="15" hidden="false" customHeight="false" outlineLevel="0" collapsed="false">
      <c r="A1197" s="29" t="str">
        <f aca="false">IF($C1197="","",ROW()-4)</f>
        <v/>
      </c>
      <c r="B1197" s="35" t="str">
        <f aca="false">IF($C1197="","","YS"&amp;TEXT($C1197,"yyyymm")&amp;"-"&amp;TEXT(ROW()-4,"0000"))</f>
        <v/>
      </c>
      <c r="C1197" s="33"/>
      <c r="D1197" s="24"/>
      <c r="E1197" s="30" t="str">
        <f aca="false">IF($D1197="","",IFERROR(INDEX(合同单位,MATCH($D1197,合同键,0)),IFERROR(TRIM(LEFT($D1197,FIND("｜",$D1197)-1)),$D1197)))</f>
        <v/>
      </c>
      <c r="F1197" s="30" t="str">
        <f aca="false">IF($D1197="","",IFERROR(INDEX(合同项目,MATCH($D1197,合同键,0)),IFERROR(TRIM(MID($D1197,FIND("｜",$D1197)+1,99)),"")))</f>
        <v/>
      </c>
      <c r="G1197" s="24"/>
      <c r="H1197" s="35" t="str">
        <f aca="false">IF($G1197="","",IFERROR(INDEX(费用款别,MATCH($G1197,费用类别表,0)),"合同外款"))</f>
        <v/>
      </c>
      <c r="I1197" s="33"/>
      <c r="J1197" s="33"/>
      <c r="K1197" s="39"/>
      <c r="L1197" s="33"/>
      <c r="M1197" s="25"/>
      <c r="N1197" s="39"/>
      <c r="O1197" s="35" t="str">
        <f aca="false">IF($C1197="","",IF(N($N1197)&lt;=0,"未开票",IF(ROUND(N($N1197)-N($K1197),2)&gt;=0,"已开票",IFERROR("部分开票 "&amp;TEXT(N($N1197)/N($K1197),"0%"),"部分开票"))))</f>
        <v/>
      </c>
      <c r="P1197" s="40" t="str">
        <f aca="false">IF($C1197="","",ROUND($V1197+MIN($W1197,MAX(0,(SUMIF(收款键,$D1197,收款金额)-SUMIFS(收款金额,收款键,$D1197,收款关联,"&lt;&gt;"))-($X1197-$W1197))),2))</f>
        <v/>
      </c>
      <c r="Q1197" s="41" t="str">
        <f aca="false">IF($C1197="","",ROUND(N($K1197)-N($P1197),2))</f>
        <v/>
      </c>
      <c r="R1197" s="29" t="str">
        <f aca="false">IF($C1197="","",YEAR($C1197))</f>
        <v/>
      </c>
      <c r="S1197" s="24"/>
      <c r="T1197" s="35" t="str">
        <f aca="false">IF($C1197="","",IF($D1197="","★没选客户项目",IF(COUNTIF(合同键,$D1197)=0,"★《维保合同》里没这个项目",IF(N($K1197)&lt;=0,"★应收金额要填",IF(ROUND(N($N1197)-N($K1197),2)&gt;0.001,"★开票金额大于应收",IF(AND($L1197&lt;&gt;"",N($N1197)&lt;=0),"★填了开票日期没填开票金额",IF(AND($I1197&lt;&gt;"",$J1197&lt;&gt;"",$J1197&lt;$I1197),"★计费期间起止反了","OK")))))))</f>
        <v/>
      </c>
      <c r="U1197" s="29" t="str">
        <f aca="false">IF($L1197="","",YEAR($L1197))</f>
        <v/>
      </c>
      <c r="V1197" s="40" t="str">
        <f aca="false">IF($C1197="","",ROUND(SUMIF(收款关联,$B1197,收款金额),2))</f>
        <v/>
      </c>
      <c r="W1197" s="40" t="str">
        <f aca="false">IF($C1197="","",MAX(0,ROUND(N($K1197)-N($V1197),2)))</f>
        <v/>
      </c>
      <c r="X1197" s="40" t="str">
        <f aca="false">IF($C1197="","",ROUND(SUMIFS(应收净额,应收键,$D1197,应收行号,"&lt;="&amp;ROW()),2))</f>
        <v/>
      </c>
      <c r="Y1197" s="29" t="str">
        <f aca="false">IF($C1197="","",ROW())</f>
        <v/>
      </c>
    </row>
    <row r="1198" customFormat="false" ht="15" hidden="false" customHeight="false" outlineLevel="0" collapsed="false">
      <c r="A1198" s="29" t="str">
        <f aca="false">IF($C1198="","",ROW()-4)</f>
        <v/>
      </c>
      <c r="B1198" s="35" t="str">
        <f aca="false">IF($C1198="","","YS"&amp;TEXT($C1198,"yyyymm")&amp;"-"&amp;TEXT(ROW()-4,"0000"))</f>
        <v/>
      </c>
      <c r="C1198" s="33"/>
      <c r="D1198" s="24"/>
      <c r="E1198" s="30" t="str">
        <f aca="false">IF($D1198="","",IFERROR(INDEX(合同单位,MATCH($D1198,合同键,0)),IFERROR(TRIM(LEFT($D1198,FIND("｜",$D1198)-1)),$D1198)))</f>
        <v/>
      </c>
      <c r="F1198" s="30" t="str">
        <f aca="false">IF($D1198="","",IFERROR(INDEX(合同项目,MATCH($D1198,合同键,0)),IFERROR(TRIM(MID($D1198,FIND("｜",$D1198)+1,99)),"")))</f>
        <v/>
      </c>
      <c r="G1198" s="24"/>
      <c r="H1198" s="35" t="str">
        <f aca="false">IF($G1198="","",IFERROR(INDEX(费用款别,MATCH($G1198,费用类别表,0)),"合同外款"))</f>
        <v/>
      </c>
      <c r="I1198" s="33"/>
      <c r="J1198" s="33"/>
      <c r="K1198" s="39"/>
      <c r="L1198" s="33"/>
      <c r="M1198" s="25"/>
      <c r="N1198" s="39"/>
      <c r="O1198" s="35" t="str">
        <f aca="false">IF($C1198="","",IF(N($N1198)&lt;=0,"未开票",IF(ROUND(N($N1198)-N($K1198),2)&gt;=0,"已开票",IFERROR("部分开票 "&amp;TEXT(N($N1198)/N($K1198),"0%"),"部分开票"))))</f>
        <v/>
      </c>
      <c r="P1198" s="40" t="str">
        <f aca="false">IF($C1198="","",ROUND($V1198+MIN($W1198,MAX(0,(SUMIF(收款键,$D1198,收款金额)-SUMIFS(收款金额,收款键,$D1198,收款关联,"&lt;&gt;"))-($X1198-$W1198))),2))</f>
        <v/>
      </c>
      <c r="Q1198" s="41" t="str">
        <f aca="false">IF($C1198="","",ROUND(N($K1198)-N($P1198),2))</f>
        <v/>
      </c>
      <c r="R1198" s="29" t="str">
        <f aca="false">IF($C1198="","",YEAR($C1198))</f>
        <v/>
      </c>
      <c r="S1198" s="24"/>
      <c r="T1198" s="35" t="str">
        <f aca="false">IF($C1198="","",IF($D1198="","★没选客户项目",IF(COUNTIF(合同键,$D1198)=0,"★《维保合同》里没这个项目",IF(N($K1198)&lt;=0,"★应收金额要填",IF(ROUND(N($N1198)-N($K1198),2)&gt;0.001,"★开票金额大于应收",IF(AND($L1198&lt;&gt;"",N($N1198)&lt;=0),"★填了开票日期没填开票金额",IF(AND($I1198&lt;&gt;"",$J1198&lt;&gt;"",$J1198&lt;$I1198),"★计费期间起止反了","OK")))))))</f>
        <v/>
      </c>
      <c r="U1198" s="29" t="str">
        <f aca="false">IF($L1198="","",YEAR($L1198))</f>
        <v/>
      </c>
      <c r="V1198" s="40" t="str">
        <f aca="false">IF($C1198="","",ROUND(SUMIF(收款关联,$B1198,收款金额),2))</f>
        <v/>
      </c>
      <c r="W1198" s="40" t="str">
        <f aca="false">IF($C1198="","",MAX(0,ROUND(N($K1198)-N($V1198),2)))</f>
        <v/>
      </c>
      <c r="X1198" s="40" t="str">
        <f aca="false">IF($C1198="","",ROUND(SUMIFS(应收净额,应收键,$D1198,应收行号,"&lt;="&amp;ROW()),2))</f>
        <v/>
      </c>
      <c r="Y1198" s="29" t="str">
        <f aca="false">IF($C1198="","",ROW())</f>
        <v/>
      </c>
    </row>
    <row r="1199" customFormat="false" ht="15" hidden="false" customHeight="false" outlineLevel="0" collapsed="false">
      <c r="A1199" s="29" t="str">
        <f aca="false">IF($C1199="","",ROW()-4)</f>
        <v/>
      </c>
      <c r="B1199" s="35" t="str">
        <f aca="false">IF($C1199="","","YS"&amp;TEXT($C1199,"yyyymm")&amp;"-"&amp;TEXT(ROW()-4,"0000"))</f>
        <v/>
      </c>
      <c r="C1199" s="33"/>
      <c r="D1199" s="24"/>
      <c r="E1199" s="30" t="str">
        <f aca="false">IF($D1199="","",IFERROR(INDEX(合同单位,MATCH($D1199,合同键,0)),IFERROR(TRIM(LEFT($D1199,FIND("｜",$D1199)-1)),$D1199)))</f>
        <v/>
      </c>
      <c r="F1199" s="30" t="str">
        <f aca="false">IF($D1199="","",IFERROR(INDEX(合同项目,MATCH($D1199,合同键,0)),IFERROR(TRIM(MID($D1199,FIND("｜",$D1199)+1,99)),"")))</f>
        <v/>
      </c>
      <c r="G1199" s="24"/>
      <c r="H1199" s="35" t="str">
        <f aca="false">IF($G1199="","",IFERROR(INDEX(费用款别,MATCH($G1199,费用类别表,0)),"合同外款"))</f>
        <v/>
      </c>
      <c r="I1199" s="33"/>
      <c r="J1199" s="33"/>
      <c r="K1199" s="39"/>
      <c r="L1199" s="33"/>
      <c r="M1199" s="25"/>
      <c r="N1199" s="39"/>
      <c r="O1199" s="35" t="str">
        <f aca="false">IF($C1199="","",IF(N($N1199)&lt;=0,"未开票",IF(ROUND(N($N1199)-N($K1199),2)&gt;=0,"已开票",IFERROR("部分开票 "&amp;TEXT(N($N1199)/N($K1199),"0%"),"部分开票"))))</f>
        <v/>
      </c>
      <c r="P1199" s="40" t="str">
        <f aca="false">IF($C1199="","",ROUND($V1199+MIN($W1199,MAX(0,(SUMIF(收款键,$D1199,收款金额)-SUMIFS(收款金额,收款键,$D1199,收款关联,"&lt;&gt;"))-($X1199-$W1199))),2))</f>
        <v/>
      </c>
      <c r="Q1199" s="41" t="str">
        <f aca="false">IF($C1199="","",ROUND(N($K1199)-N($P1199),2))</f>
        <v/>
      </c>
      <c r="R1199" s="29" t="str">
        <f aca="false">IF($C1199="","",YEAR($C1199))</f>
        <v/>
      </c>
      <c r="S1199" s="24"/>
      <c r="T1199" s="35" t="str">
        <f aca="false">IF($C1199="","",IF($D1199="","★没选客户项目",IF(COUNTIF(合同键,$D1199)=0,"★《维保合同》里没这个项目",IF(N($K1199)&lt;=0,"★应收金额要填",IF(ROUND(N($N1199)-N($K1199),2)&gt;0.001,"★开票金额大于应收",IF(AND($L1199&lt;&gt;"",N($N1199)&lt;=0),"★填了开票日期没填开票金额",IF(AND($I1199&lt;&gt;"",$J1199&lt;&gt;"",$J1199&lt;$I1199),"★计费期间起止反了","OK")))))))</f>
        <v/>
      </c>
      <c r="U1199" s="29" t="str">
        <f aca="false">IF($L1199="","",YEAR($L1199))</f>
        <v/>
      </c>
      <c r="V1199" s="40" t="str">
        <f aca="false">IF($C1199="","",ROUND(SUMIF(收款关联,$B1199,收款金额),2))</f>
        <v/>
      </c>
      <c r="W1199" s="40" t="str">
        <f aca="false">IF($C1199="","",MAX(0,ROUND(N($K1199)-N($V1199),2)))</f>
        <v/>
      </c>
      <c r="X1199" s="40" t="str">
        <f aca="false">IF($C1199="","",ROUND(SUMIFS(应收净额,应收键,$D1199,应收行号,"&lt;="&amp;ROW()),2))</f>
        <v/>
      </c>
      <c r="Y1199" s="29" t="str">
        <f aca="false">IF($C1199="","",ROW())</f>
        <v/>
      </c>
    </row>
    <row r="1200" customFormat="false" ht="15" hidden="false" customHeight="false" outlineLevel="0" collapsed="false">
      <c r="A1200" s="29" t="str">
        <f aca="false">IF($C1200="","",ROW()-4)</f>
        <v/>
      </c>
      <c r="B1200" s="35" t="str">
        <f aca="false">IF($C1200="","","YS"&amp;TEXT($C1200,"yyyymm")&amp;"-"&amp;TEXT(ROW()-4,"0000"))</f>
        <v/>
      </c>
      <c r="C1200" s="33"/>
      <c r="D1200" s="24"/>
      <c r="E1200" s="30" t="str">
        <f aca="false">IF($D1200="","",IFERROR(INDEX(合同单位,MATCH($D1200,合同键,0)),IFERROR(TRIM(LEFT($D1200,FIND("｜",$D1200)-1)),$D1200)))</f>
        <v/>
      </c>
      <c r="F1200" s="30" t="str">
        <f aca="false">IF($D1200="","",IFERROR(INDEX(合同项目,MATCH($D1200,合同键,0)),IFERROR(TRIM(MID($D1200,FIND("｜",$D1200)+1,99)),"")))</f>
        <v/>
      </c>
      <c r="G1200" s="24"/>
      <c r="H1200" s="35" t="str">
        <f aca="false">IF($G1200="","",IFERROR(INDEX(费用款别,MATCH($G1200,费用类别表,0)),"合同外款"))</f>
        <v/>
      </c>
      <c r="I1200" s="33"/>
      <c r="J1200" s="33"/>
      <c r="K1200" s="39"/>
      <c r="L1200" s="33"/>
      <c r="M1200" s="25"/>
      <c r="N1200" s="39"/>
      <c r="O1200" s="35" t="str">
        <f aca="false">IF($C1200="","",IF(N($N1200)&lt;=0,"未开票",IF(ROUND(N($N1200)-N($K1200),2)&gt;=0,"已开票",IFERROR("部分开票 "&amp;TEXT(N($N1200)/N($K1200),"0%"),"部分开票"))))</f>
        <v/>
      </c>
      <c r="P1200" s="40" t="str">
        <f aca="false">IF($C1200="","",ROUND($V1200+MIN($W1200,MAX(0,(SUMIF(收款键,$D1200,收款金额)-SUMIFS(收款金额,收款键,$D1200,收款关联,"&lt;&gt;"))-($X1200-$W1200))),2))</f>
        <v/>
      </c>
      <c r="Q1200" s="41" t="str">
        <f aca="false">IF($C1200="","",ROUND(N($K1200)-N($P1200),2))</f>
        <v/>
      </c>
      <c r="R1200" s="29" t="str">
        <f aca="false">IF($C1200="","",YEAR($C1200))</f>
        <v/>
      </c>
      <c r="S1200" s="24"/>
      <c r="T1200" s="35" t="str">
        <f aca="false">IF($C1200="","",IF($D1200="","★没选客户项目",IF(COUNTIF(合同键,$D1200)=0,"★《维保合同》里没这个项目",IF(N($K1200)&lt;=0,"★应收金额要填",IF(ROUND(N($N1200)-N($K1200),2)&gt;0.001,"★开票金额大于应收",IF(AND($L1200&lt;&gt;"",N($N1200)&lt;=0),"★填了开票日期没填开票金额",IF(AND($I1200&lt;&gt;"",$J1200&lt;&gt;"",$J1200&lt;$I1200),"★计费期间起止反了","OK")))))))</f>
        <v/>
      </c>
      <c r="U1200" s="29" t="str">
        <f aca="false">IF($L1200="","",YEAR($L1200))</f>
        <v/>
      </c>
      <c r="V1200" s="40" t="str">
        <f aca="false">IF($C1200="","",ROUND(SUMIF(收款关联,$B1200,收款金额),2))</f>
        <v/>
      </c>
      <c r="W1200" s="40" t="str">
        <f aca="false">IF($C1200="","",MAX(0,ROUND(N($K1200)-N($V1200),2)))</f>
        <v/>
      </c>
      <c r="X1200" s="40" t="str">
        <f aca="false">IF($C1200="","",ROUND(SUMIFS(应收净额,应收键,$D1200,应收行号,"&lt;="&amp;ROW()),2))</f>
        <v/>
      </c>
      <c r="Y1200" s="29" t="str">
        <f aca="false">IF($C1200="","",ROW())</f>
        <v/>
      </c>
    </row>
    <row r="1201" customFormat="false" ht="15" hidden="false" customHeight="false" outlineLevel="0" collapsed="false">
      <c r="A1201" s="29" t="str">
        <f aca="false">IF($C1201="","",ROW()-4)</f>
        <v/>
      </c>
      <c r="B1201" s="35" t="str">
        <f aca="false">IF($C1201="","","YS"&amp;TEXT($C1201,"yyyymm")&amp;"-"&amp;TEXT(ROW()-4,"0000"))</f>
        <v/>
      </c>
      <c r="C1201" s="33"/>
      <c r="D1201" s="24"/>
      <c r="E1201" s="30" t="str">
        <f aca="false">IF($D1201="","",IFERROR(INDEX(合同单位,MATCH($D1201,合同键,0)),IFERROR(TRIM(LEFT($D1201,FIND("｜",$D1201)-1)),$D1201)))</f>
        <v/>
      </c>
      <c r="F1201" s="30" t="str">
        <f aca="false">IF($D1201="","",IFERROR(INDEX(合同项目,MATCH($D1201,合同键,0)),IFERROR(TRIM(MID($D1201,FIND("｜",$D1201)+1,99)),"")))</f>
        <v/>
      </c>
      <c r="G1201" s="24"/>
      <c r="H1201" s="35" t="str">
        <f aca="false">IF($G1201="","",IFERROR(INDEX(费用款别,MATCH($G1201,费用类别表,0)),"合同外款"))</f>
        <v/>
      </c>
      <c r="I1201" s="33"/>
      <c r="J1201" s="33"/>
      <c r="K1201" s="39"/>
      <c r="L1201" s="33"/>
      <c r="M1201" s="25"/>
      <c r="N1201" s="39"/>
      <c r="O1201" s="35" t="str">
        <f aca="false">IF($C1201="","",IF(N($N1201)&lt;=0,"未开票",IF(ROUND(N($N1201)-N($K1201),2)&gt;=0,"已开票",IFERROR("部分开票 "&amp;TEXT(N($N1201)/N($K1201),"0%"),"部分开票"))))</f>
        <v/>
      </c>
      <c r="P1201" s="40" t="str">
        <f aca="false">IF($C1201="","",ROUND($V1201+MIN($W1201,MAX(0,(SUMIF(收款键,$D1201,收款金额)-SUMIFS(收款金额,收款键,$D1201,收款关联,"&lt;&gt;"))-($X1201-$W1201))),2))</f>
        <v/>
      </c>
      <c r="Q1201" s="41" t="str">
        <f aca="false">IF($C1201="","",ROUND(N($K1201)-N($P1201),2))</f>
        <v/>
      </c>
      <c r="R1201" s="29" t="str">
        <f aca="false">IF($C1201="","",YEAR($C1201))</f>
        <v/>
      </c>
      <c r="S1201" s="24"/>
      <c r="T1201" s="35" t="str">
        <f aca="false">IF($C1201="","",IF($D1201="","★没选客户项目",IF(COUNTIF(合同键,$D1201)=0,"★《维保合同》里没这个项目",IF(N($K1201)&lt;=0,"★应收金额要填",IF(ROUND(N($N1201)-N($K1201),2)&gt;0.001,"★开票金额大于应收",IF(AND($L1201&lt;&gt;"",N($N1201)&lt;=0),"★填了开票日期没填开票金额",IF(AND($I1201&lt;&gt;"",$J1201&lt;&gt;"",$J1201&lt;$I1201),"★计费期间起止反了","OK")))))))</f>
        <v/>
      </c>
      <c r="U1201" s="29" t="str">
        <f aca="false">IF($L1201="","",YEAR($L1201))</f>
        <v/>
      </c>
      <c r="V1201" s="40" t="str">
        <f aca="false">IF($C1201="","",ROUND(SUMIF(收款关联,$B1201,收款金额),2))</f>
        <v/>
      </c>
      <c r="W1201" s="40" t="str">
        <f aca="false">IF($C1201="","",MAX(0,ROUND(N($K1201)-N($V1201),2)))</f>
        <v/>
      </c>
      <c r="X1201" s="40" t="str">
        <f aca="false">IF($C1201="","",ROUND(SUMIFS(应收净额,应收键,$D1201,应收行号,"&lt;="&amp;ROW()),2))</f>
        <v/>
      </c>
      <c r="Y1201" s="29" t="str">
        <f aca="false">IF($C1201="","",ROW())</f>
        <v/>
      </c>
    </row>
    <row r="1202" customFormat="false" ht="15" hidden="false" customHeight="false" outlineLevel="0" collapsed="false">
      <c r="A1202" s="29" t="str">
        <f aca="false">IF($C1202="","",ROW()-4)</f>
        <v/>
      </c>
      <c r="B1202" s="35" t="str">
        <f aca="false">IF($C1202="","","YS"&amp;TEXT($C1202,"yyyymm")&amp;"-"&amp;TEXT(ROW()-4,"0000"))</f>
        <v/>
      </c>
      <c r="C1202" s="33"/>
      <c r="D1202" s="24"/>
      <c r="E1202" s="30" t="str">
        <f aca="false">IF($D1202="","",IFERROR(INDEX(合同单位,MATCH($D1202,合同键,0)),IFERROR(TRIM(LEFT($D1202,FIND("｜",$D1202)-1)),$D1202)))</f>
        <v/>
      </c>
      <c r="F1202" s="30" t="str">
        <f aca="false">IF($D1202="","",IFERROR(INDEX(合同项目,MATCH($D1202,合同键,0)),IFERROR(TRIM(MID($D1202,FIND("｜",$D1202)+1,99)),"")))</f>
        <v/>
      </c>
      <c r="G1202" s="24"/>
      <c r="H1202" s="35" t="str">
        <f aca="false">IF($G1202="","",IFERROR(INDEX(费用款别,MATCH($G1202,费用类别表,0)),"合同外款"))</f>
        <v/>
      </c>
      <c r="I1202" s="33"/>
      <c r="J1202" s="33"/>
      <c r="K1202" s="39"/>
      <c r="L1202" s="33"/>
      <c r="M1202" s="25"/>
      <c r="N1202" s="39"/>
      <c r="O1202" s="35" t="str">
        <f aca="false">IF($C1202="","",IF(N($N1202)&lt;=0,"未开票",IF(ROUND(N($N1202)-N($K1202),2)&gt;=0,"已开票",IFERROR("部分开票 "&amp;TEXT(N($N1202)/N($K1202),"0%"),"部分开票"))))</f>
        <v/>
      </c>
      <c r="P1202" s="40" t="str">
        <f aca="false">IF($C1202="","",ROUND($V1202+MIN($W1202,MAX(0,(SUMIF(收款键,$D1202,收款金额)-SUMIFS(收款金额,收款键,$D1202,收款关联,"&lt;&gt;"))-($X1202-$W1202))),2))</f>
        <v/>
      </c>
      <c r="Q1202" s="41" t="str">
        <f aca="false">IF($C1202="","",ROUND(N($K1202)-N($P1202),2))</f>
        <v/>
      </c>
      <c r="R1202" s="29" t="str">
        <f aca="false">IF($C1202="","",YEAR($C1202))</f>
        <v/>
      </c>
      <c r="S1202" s="24"/>
      <c r="T1202" s="35" t="str">
        <f aca="false">IF($C1202="","",IF($D1202="","★没选客户项目",IF(COUNTIF(合同键,$D1202)=0,"★《维保合同》里没这个项目",IF(N($K1202)&lt;=0,"★应收金额要填",IF(ROUND(N($N1202)-N($K1202),2)&gt;0.001,"★开票金额大于应收",IF(AND($L1202&lt;&gt;"",N($N1202)&lt;=0),"★填了开票日期没填开票金额",IF(AND($I1202&lt;&gt;"",$J1202&lt;&gt;"",$J1202&lt;$I1202),"★计费期间起止反了","OK")))))))</f>
        <v/>
      </c>
      <c r="U1202" s="29" t="str">
        <f aca="false">IF($L1202="","",YEAR($L1202))</f>
        <v/>
      </c>
      <c r="V1202" s="40" t="str">
        <f aca="false">IF($C1202="","",ROUND(SUMIF(收款关联,$B1202,收款金额),2))</f>
        <v/>
      </c>
      <c r="W1202" s="40" t="str">
        <f aca="false">IF($C1202="","",MAX(0,ROUND(N($K1202)-N($V1202),2)))</f>
        <v/>
      </c>
      <c r="X1202" s="40" t="str">
        <f aca="false">IF($C1202="","",ROUND(SUMIFS(应收净额,应收键,$D1202,应收行号,"&lt;="&amp;ROW()),2))</f>
        <v/>
      </c>
      <c r="Y1202" s="29" t="str">
        <f aca="false">IF($C1202="","",ROW())</f>
        <v/>
      </c>
    </row>
    <row r="1203" customFormat="false" ht="15" hidden="false" customHeight="false" outlineLevel="0" collapsed="false">
      <c r="A1203" s="29" t="str">
        <f aca="false">IF($C1203="","",ROW()-4)</f>
        <v/>
      </c>
      <c r="B1203" s="35" t="str">
        <f aca="false">IF($C1203="","","YS"&amp;TEXT($C1203,"yyyymm")&amp;"-"&amp;TEXT(ROW()-4,"0000"))</f>
        <v/>
      </c>
      <c r="C1203" s="33"/>
      <c r="D1203" s="24"/>
      <c r="E1203" s="30" t="str">
        <f aca="false">IF($D1203="","",IFERROR(INDEX(合同单位,MATCH($D1203,合同键,0)),IFERROR(TRIM(LEFT($D1203,FIND("｜",$D1203)-1)),$D1203)))</f>
        <v/>
      </c>
      <c r="F1203" s="30" t="str">
        <f aca="false">IF($D1203="","",IFERROR(INDEX(合同项目,MATCH($D1203,合同键,0)),IFERROR(TRIM(MID($D1203,FIND("｜",$D1203)+1,99)),"")))</f>
        <v/>
      </c>
      <c r="G1203" s="24"/>
      <c r="H1203" s="35" t="str">
        <f aca="false">IF($G1203="","",IFERROR(INDEX(费用款别,MATCH($G1203,费用类别表,0)),"合同外款"))</f>
        <v/>
      </c>
      <c r="I1203" s="33"/>
      <c r="J1203" s="33"/>
      <c r="K1203" s="39"/>
      <c r="L1203" s="33"/>
      <c r="M1203" s="25"/>
      <c r="N1203" s="39"/>
      <c r="O1203" s="35" t="str">
        <f aca="false">IF($C1203="","",IF(N($N1203)&lt;=0,"未开票",IF(ROUND(N($N1203)-N($K1203),2)&gt;=0,"已开票",IFERROR("部分开票 "&amp;TEXT(N($N1203)/N($K1203),"0%"),"部分开票"))))</f>
        <v/>
      </c>
      <c r="P1203" s="40" t="str">
        <f aca="false">IF($C1203="","",ROUND($V1203+MIN($W1203,MAX(0,(SUMIF(收款键,$D1203,收款金额)-SUMIFS(收款金额,收款键,$D1203,收款关联,"&lt;&gt;"))-($X1203-$W1203))),2))</f>
        <v/>
      </c>
      <c r="Q1203" s="41" t="str">
        <f aca="false">IF($C1203="","",ROUND(N($K1203)-N($P1203),2))</f>
        <v/>
      </c>
      <c r="R1203" s="29" t="str">
        <f aca="false">IF($C1203="","",YEAR($C1203))</f>
        <v/>
      </c>
      <c r="S1203" s="24"/>
      <c r="T1203" s="35" t="str">
        <f aca="false">IF($C1203="","",IF($D1203="","★没选客户项目",IF(COUNTIF(合同键,$D1203)=0,"★《维保合同》里没这个项目",IF(N($K1203)&lt;=0,"★应收金额要填",IF(ROUND(N($N1203)-N($K1203),2)&gt;0.001,"★开票金额大于应收",IF(AND($L1203&lt;&gt;"",N($N1203)&lt;=0),"★填了开票日期没填开票金额",IF(AND($I1203&lt;&gt;"",$J1203&lt;&gt;"",$J1203&lt;$I1203),"★计费期间起止反了","OK")))))))</f>
        <v/>
      </c>
      <c r="U1203" s="29" t="str">
        <f aca="false">IF($L1203="","",YEAR($L1203))</f>
        <v/>
      </c>
      <c r="V1203" s="40" t="str">
        <f aca="false">IF($C1203="","",ROUND(SUMIF(收款关联,$B1203,收款金额),2))</f>
        <v/>
      </c>
      <c r="W1203" s="40" t="str">
        <f aca="false">IF($C1203="","",MAX(0,ROUND(N($K1203)-N($V1203),2)))</f>
        <v/>
      </c>
      <c r="X1203" s="40" t="str">
        <f aca="false">IF($C1203="","",ROUND(SUMIFS(应收净额,应收键,$D1203,应收行号,"&lt;="&amp;ROW()),2))</f>
        <v/>
      </c>
      <c r="Y1203" s="29" t="str">
        <f aca="false">IF($C1203="","",ROW())</f>
        <v/>
      </c>
    </row>
    <row r="1204" customFormat="false" ht="15" hidden="false" customHeight="false" outlineLevel="0" collapsed="false">
      <c r="A1204" s="29" t="str">
        <f aca="false">IF($C1204="","",ROW()-4)</f>
        <v/>
      </c>
      <c r="B1204" s="35" t="str">
        <f aca="false">IF($C1204="","","YS"&amp;TEXT($C1204,"yyyymm")&amp;"-"&amp;TEXT(ROW()-4,"0000"))</f>
        <v/>
      </c>
      <c r="C1204" s="33"/>
      <c r="D1204" s="24"/>
      <c r="E1204" s="30" t="str">
        <f aca="false">IF($D1204="","",IFERROR(INDEX(合同单位,MATCH($D1204,合同键,0)),IFERROR(TRIM(LEFT($D1204,FIND("｜",$D1204)-1)),$D1204)))</f>
        <v/>
      </c>
      <c r="F1204" s="30" t="str">
        <f aca="false">IF($D1204="","",IFERROR(INDEX(合同项目,MATCH($D1204,合同键,0)),IFERROR(TRIM(MID($D1204,FIND("｜",$D1204)+1,99)),"")))</f>
        <v/>
      </c>
      <c r="G1204" s="24"/>
      <c r="H1204" s="35" t="str">
        <f aca="false">IF($G1204="","",IFERROR(INDEX(费用款别,MATCH($G1204,费用类别表,0)),"合同外款"))</f>
        <v/>
      </c>
      <c r="I1204" s="33"/>
      <c r="J1204" s="33"/>
      <c r="K1204" s="39"/>
      <c r="L1204" s="33"/>
      <c r="M1204" s="25"/>
      <c r="N1204" s="39"/>
      <c r="O1204" s="35" t="str">
        <f aca="false">IF($C1204="","",IF(N($N1204)&lt;=0,"未开票",IF(ROUND(N($N1204)-N($K1204),2)&gt;=0,"已开票",IFERROR("部分开票 "&amp;TEXT(N($N1204)/N($K1204),"0%"),"部分开票"))))</f>
        <v/>
      </c>
      <c r="P1204" s="40" t="str">
        <f aca="false">IF($C1204="","",ROUND($V1204+MIN($W1204,MAX(0,(SUMIF(收款键,$D1204,收款金额)-SUMIFS(收款金额,收款键,$D1204,收款关联,"&lt;&gt;"))-($X1204-$W1204))),2))</f>
        <v/>
      </c>
      <c r="Q1204" s="41" t="str">
        <f aca="false">IF($C1204="","",ROUND(N($K1204)-N($P1204),2))</f>
        <v/>
      </c>
      <c r="R1204" s="29" t="str">
        <f aca="false">IF($C1204="","",YEAR($C1204))</f>
        <v/>
      </c>
      <c r="S1204" s="24"/>
      <c r="T1204" s="35" t="str">
        <f aca="false">IF($C1204="","",IF($D1204="","★没选客户项目",IF(COUNTIF(合同键,$D1204)=0,"★《维保合同》里没这个项目",IF(N($K1204)&lt;=0,"★应收金额要填",IF(ROUND(N($N1204)-N($K1204),2)&gt;0.001,"★开票金额大于应收",IF(AND($L1204&lt;&gt;"",N($N1204)&lt;=0),"★填了开票日期没填开票金额",IF(AND($I1204&lt;&gt;"",$J1204&lt;&gt;"",$J1204&lt;$I1204),"★计费期间起止反了","OK")))))))</f>
        <v/>
      </c>
      <c r="U1204" s="29" t="str">
        <f aca="false">IF($L1204="","",YEAR($L1204))</f>
        <v/>
      </c>
      <c r="V1204" s="40" t="str">
        <f aca="false">IF($C1204="","",ROUND(SUMIF(收款关联,$B1204,收款金额),2))</f>
        <v/>
      </c>
      <c r="W1204" s="40" t="str">
        <f aca="false">IF($C1204="","",MAX(0,ROUND(N($K1204)-N($V1204),2)))</f>
        <v/>
      </c>
      <c r="X1204" s="40" t="str">
        <f aca="false">IF($C1204="","",ROUND(SUMIFS(应收净额,应收键,$D1204,应收行号,"&lt;="&amp;ROW()),2))</f>
        <v/>
      </c>
      <c r="Y1204" s="29" t="str">
        <f aca="false">IF($C1204="","",ROW())</f>
        <v/>
      </c>
    </row>
    <row r="1205" customFormat="false" ht="15" hidden="false" customHeight="false" outlineLevel="0" collapsed="false">
      <c r="A1205" s="29" t="str">
        <f aca="false">IF($C1205="","",ROW()-4)</f>
        <v/>
      </c>
      <c r="B1205" s="35" t="str">
        <f aca="false">IF($C1205="","","YS"&amp;TEXT($C1205,"yyyymm")&amp;"-"&amp;TEXT(ROW()-4,"0000"))</f>
        <v/>
      </c>
      <c r="C1205" s="33"/>
      <c r="D1205" s="24"/>
      <c r="E1205" s="30" t="str">
        <f aca="false">IF($D1205="","",IFERROR(INDEX(合同单位,MATCH($D1205,合同键,0)),IFERROR(TRIM(LEFT($D1205,FIND("｜",$D1205)-1)),$D1205)))</f>
        <v/>
      </c>
      <c r="F1205" s="30" t="str">
        <f aca="false">IF($D1205="","",IFERROR(INDEX(合同项目,MATCH($D1205,合同键,0)),IFERROR(TRIM(MID($D1205,FIND("｜",$D1205)+1,99)),"")))</f>
        <v/>
      </c>
      <c r="G1205" s="24"/>
      <c r="H1205" s="35" t="str">
        <f aca="false">IF($G1205="","",IFERROR(INDEX(费用款别,MATCH($G1205,费用类别表,0)),"合同外款"))</f>
        <v/>
      </c>
      <c r="I1205" s="33"/>
      <c r="J1205" s="33"/>
      <c r="K1205" s="39"/>
      <c r="L1205" s="33"/>
      <c r="M1205" s="25"/>
      <c r="N1205" s="39"/>
      <c r="O1205" s="35" t="str">
        <f aca="false">IF($C1205="","",IF(N($N1205)&lt;=0,"未开票",IF(ROUND(N($N1205)-N($K1205),2)&gt;=0,"已开票",IFERROR("部分开票 "&amp;TEXT(N($N1205)/N($K1205),"0%"),"部分开票"))))</f>
        <v/>
      </c>
      <c r="P1205" s="40" t="str">
        <f aca="false">IF($C1205="","",ROUND($V1205+MIN($W1205,MAX(0,(SUMIF(收款键,$D1205,收款金额)-SUMIFS(收款金额,收款键,$D1205,收款关联,"&lt;&gt;"))-($X1205-$W1205))),2))</f>
        <v/>
      </c>
      <c r="Q1205" s="41" t="str">
        <f aca="false">IF($C1205="","",ROUND(N($K1205)-N($P1205),2))</f>
        <v/>
      </c>
      <c r="R1205" s="29" t="str">
        <f aca="false">IF($C1205="","",YEAR($C1205))</f>
        <v/>
      </c>
      <c r="S1205" s="24"/>
      <c r="T1205" s="35" t="str">
        <f aca="false">IF($C1205="","",IF($D1205="","★没选客户项目",IF(COUNTIF(合同键,$D1205)=0,"★《维保合同》里没这个项目",IF(N($K1205)&lt;=0,"★应收金额要填",IF(ROUND(N($N1205)-N($K1205),2)&gt;0.001,"★开票金额大于应收",IF(AND($L1205&lt;&gt;"",N($N1205)&lt;=0),"★填了开票日期没填开票金额",IF(AND($I1205&lt;&gt;"",$J1205&lt;&gt;"",$J1205&lt;$I1205),"★计费期间起止反了","OK")))))))</f>
        <v/>
      </c>
      <c r="U1205" s="29" t="str">
        <f aca="false">IF($L1205="","",YEAR($L1205))</f>
        <v/>
      </c>
      <c r="V1205" s="40" t="str">
        <f aca="false">IF($C1205="","",ROUND(SUMIF(收款关联,$B1205,收款金额),2))</f>
        <v/>
      </c>
      <c r="W1205" s="40" t="str">
        <f aca="false">IF($C1205="","",MAX(0,ROUND(N($K1205)-N($V1205),2)))</f>
        <v/>
      </c>
      <c r="X1205" s="40" t="str">
        <f aca="false">IF($C1205="","",ROUND(SUMIFS(应收净额,应收键,$D1205,应收行号,"&lt;="&amp;ROW()),2))</f>
        <v/>
      </c>
      <c r="Y1205" s="29" t="str">
        <f aca="false">IF($C1205="","",ROW())</f>
        <v/>
      </c>
    </row>
    <row r="1206" customFormat="false" ht="15" hidden="false" customHeight="false" outlineLevel="0" collapsed="false">
      <c r="A1206" s="29" t="str">
        <f aca="false">IF($C1206="","",ROW()-4)</f>
        <v/>
      </c>
      <c r="B1206" s="35" t="str">
        <f aca="false">IF($C1206="","","YS"&amp;TEXT($C1206,"yyyymm")&amp;"-"&amp;TEXT(ROW()-4,"0000"))</f>
        <v/>
      </c>
      <c r="C1206" s="33"/>
      <c r="D1206" s="24"/>
      <c r="E1206" s="30" t="str">
        <f aca="false">IF($D1206="","",IFERROR(INDEX(合同单位,MATCH($D1206,合同键,0)),IFERROR(TRIM(LEFT($D1206,FIND("｜",$D1206)-1)),$D1206)))</f>
        <v/>
      </c>
      <c r="F1206" s="30" t="str">
        <f aca="false">IF($D1206="","",IFERROR(INDEX(合同项目,MATCH($D1206,合同键,0)),IFERROR(TRIM(MID($D1206,FIND("｜",$D1206)+1,99)),"")))</f>
        <v/>
      </c>
      <c r="G1206" s="24"/>
      <c r="H1206" s="35" t="str">
        <f aca="false">IF($G1206="","",IFERROR(INDEX(费用款别,MATCH($G1206,费用类别表,0)),"合同外款"))</f>
        <v/>
      </c>
      <c r="I1206" s="33"/>
      <c r="J1206" s="33"/>
      <c r="K1206" s="39"/>
      <c r="L1206" s="33"/>
      <c r="M1206" s="25"/>
      <c r="N1206" s="39"/>
      <c r="O1206" s="35" t="str">
        <f aca="false">IF($C1206="","",IF(N($N1206)&lt;=0,"未开票",IF(ROUND(N($N1206)-N($K1206),2)&gt;=0,"已开票",IFERROR("部分开票 "&amp;TEXT(N($N1206)/N($K1206),"0%"),"部分开票"))))</f>
        <v/>
      </c>
      <c r="P1206" s="40" t="str">
        <f aca="false">IF($C1206="","",ROUND($V1206+MIN($W1206,MAX(0,(SUMIF(收款键,$D1206,收款金额)-SUMIFS(收款金额,收款键,$D1206,收款关联,"&lt;&gt;"))-($X1206-$W1206))),2))</f>
        <v/>
      </c>
      <c r="Q1206" s="41" t="str">
        <f aca="false">IF($C1206="","",ROUND(N($K1206)-N($P1206),2))</f>
        <v/>
      </c>
      <c r="R1206" s="29" t="str">
        <f aca="false">IF($C1206="","",YEAR($C1206))</f>
        <v/>
      </c>
      <c r="S1206" s="24"/>
      <c r="T1206" s="35" t="str">
        <f aca="false">IF($C1206="","",IF($D1206="","★没选客户项目",IF(COUNTIF(合同键,$D1206)=0,"★《维保合同》里没这个项目",IF(N($K1206)&lt;=0,"★应收金额要填",IF(ROUND(N($N1206)-N($K1206),2)&gt;0.001,"★开票金额大于应收",IF(AND($L1206&lt;&gt;"",N($N1206)&lt;=0),"★填了开票日期没填开票金额",IF(AND($I1206&lt;&gt;"",$J1206&lt;&gt;"",$J1206&lt;$I1206),"★计费期间起止反了","OK")))))))</f>
        <v/>
      </c>
      <c r="U1206" s="29" t="str">
        <f aca="false">IF($L1206="","",YEAR($L1206))</f>
        <v/>
      </c>
      <c r="V1206" s="40" t="str">
        <f aca="false">IF($C1206="","",ROUND(SUMIF(收款关联,$B1206,收款金额),2))</f>
        <v/>
      </c>
      <c r="W1206" s="40" t="str">
        <f aca="false">IF($C1206="","",MAX(0,ROUND(N($K1206)-N($V1206),2)))</f>
        <v/>
      </c>
      <c r="X1206" s="40" t="str">
        <f aca="false">IF($C1206="","",ROUND(SUMIFS(应收净额,应收键,$D1206,应收行号,"&lt;="&amp;ROW()),2))</f>
        <v/>
      </c>
      <c r="Y1206" s="29" t="str">
        <f aca="false">IF($C1206="","",ROW())</f>
        <v/>
      </c>
    </row>
    <row r="1207" customFormat="false" ht="15" hidden="false" customHeight="false" outlineLevel="0" collapsed="false">
      <c r="A1207" s="29" t="str">
        <f aca="false">IF($C1207="","",ROW()-4)</f>
        <v/>
      </c>
      <c r="B1207" s="35" t="str">
        <f aca="false">IF($C1207="","","YS"&amp;TEXT($C1207,"yyyymm")&amp;"-"&amp;TEXT(ROW()-4,"0000"))</f>
        <v/>
      </c>
      <c r="C1207" s="33"/>
      <c r="D1207" s="24"/>
      <c r="E1207" s="30" t="str">
        <f aca="false">IF($D1207="","",IFERROR(INDEX(合同单位,MATCH($D1207,合同键,0)),IFERROR(TRIM(LEFT($D1207,FIND("｜",$D1207)-1)),$D1207)))</f>
        <v/>
      </c>
      <c r="F1207" s="30" t="str">
        <f aca="false">IF($D1207="","",IFERROR(INDEX(合同项目,MATCH($D1207,合同键,0)),IFERROR(TRIM(MID($D1207,FIND("｜",$D1207)+1,99)),"")))</f>
        <v/>
      </c>
      <c r="G1207" s="24"/>
      <c r="H1207" s="35" t="str">
        <f aca="false">IF($G1207="","",IFERROR(INDEX(费用款别,MATCH($G1207,费用类别表,0)),"合同外款"))</f>
        <v/>
      </c>
      <c r="I1207" s="33"/>
      <c r="J1207" s="33"/>
      <c r="K1207" s="39"/>
      <c r="L1207" s="33"/>
      <c r="M1207" s="25"/>
      <c r="N1207" s="39"/>
      <c r="O1207" s="35" t="str">
        <f aca="false">IF($C1207="","",IF(N($N1207)&lt;=0,"未开票",IF(ROUND(N($N1207)-N($K1207),2)&gt;=0,"已开票",IFERROR("部分开票 "&amp;TEXT(N($N1207)/N($K1207),"0%"),"部分开票"))))</f>
        <v/>
      </c>
      <c r="P1207" s="40" t="str">
        <f aca="false">IF($C1207="","",ROUND($V1207+MIN($W1207,MAX(0,(SUMIF(收款键,$D1207,收款金额)-SUMIFS(收款金额,收款键,$D1207,收款关联,"&lt;&gt;"))-($X1207-$W1207))),2))</f>
        <v/>
      </c>
      <c r="Q1207" s="41" t="str">
        <f aca="false">IF($C1207="","",ROUND(N($K1207)-N($P1207),2))</f>
        <v/>
      </c>
      <c r="R1207" s="29" t="str">
        <f aca="false">IF($C1207="","",YEAR($C1207))</f>
        <v/>
      </c>
      <c r="S1207" s="24"/>
      <c r="T1207" s="35" t="str">
        <f aca="false">IF($C1207="","",IF($D1207="","★没选客户项目",IF(COUNTIF(合同键,$D1207)=0,"★《维保合同》里没这个项目",IF(N($K1207)&lt;=0,"★应收金额要填",IF(ROUND(N($N1207)-N($K1207),2)&gt;0.001,"★开票金额大于应收",IF(AND($L1207&lt;&gt;"",N($N1207)&lt;=0),"★填了开票日期没填开票金额",IF(AND($I1207&lt;&gt;"",$J1207&lt;&gt;"",$J1207&lt;$I1207),"★计费期间起止反了","OK")))))))</f>
        <v/>
      </c>
      <c r="U1207" s="29" t="str">
        <f aca="false">IF($L1207="","",YEAR($L1207))</f>
        <v/>
      </c>
      <c r="V1207" s="40" t="str">
        <f aca="false">IF($C1207="","",ROUND(SUMIF(收款关联,$B1207,收款金额),2))</f>
        <v/>
      </c>
      <c r="W1207" s="40" t="str">
        <f aca="false">IF($C1207="","",MAX(0,ROUND(N($K1207)-N($V1207),2)))</f>
        <v/>
      </c>
      <c r="X1207" s="40" t="str">
        <f aca="false">IF($C1207="","",ROUND(SUMIFS(应收净额,应收键,$D1207,应收行号,"&lt;="&amp;ROW()),2))</f>
        <v/>
      </c>
      <c r="Y1207" s="29" t="str">
        <f aca="false">IF($C1207="","",ROW())</f>
        <v/>
      </c>
    </row>
    <row r="1208" customFormat="false" ht="15" hidden="false" customHeight="false" outlineLevel="0" collapsed="false">
      <c r="A1208" s="29" t="str">
        <f aca="false">IF($C1208="","",ROW()-4)</f>
        <v/>
      </c>
      <c r="B1208" s="35" t="str">
        <f aca="false">IF($C1208="","","YS"&amp;TEXT($C1208,"yyyymm")&amp;"-"&amp;TEXT(ROW()-4,"0000"))</f>
        <v/>
      </c>
      <c r="C1208" s="33"/>
      <c r="D1208" s="24"/>
      <c r="E1208" s="30" t="str">
        <f aca="false">IF($D1208="","",IFERROR(INDEX(合同单位,MATCH($D1208,合同键,0)),IFERROR(TRIM(LEFT($D1208,FIND("｜",$D1208)-1)),$D1208)))</f>
        <v/>
      </c>
      <c r="F1208" s="30" t="str">
        <f aca="false">IF($D1208="","",IFERROR(INDEX(合同项目,MATCH($D1208,合同键,0)),IFERROR(TRIM(MID($D1208,FIND("｜",$D1208)+1,99)),"")))</f>
        <v/>
      </c>
      <c r="G1208" s="24"/>
      <c r="H1208" s="35" t="str">
        <f aca="false">IF($G1208="","",IFERROR(INDEX(费用款别,MATCH($G1208,费用类别表,0)),"合同外款"))</f>
        <v/>
      </c>
      <c r="I1208" s="33"/>
      <c r="J1208" s="33"/>
      <c r="K1208" s="39"/>
      <c r="L1208" s="33"/>
      <c r="M1208" s="25"/>
      <c r="N1208" s="39"/>
      <c r="O1208" s="35" t="str">
        <f aca="false">IF($C1208="","",IF(N($N1208)&lt;=0,"未开票",IF(ROUND(N($N1208)-N($K1208),2)&gt;=0,"已开票",IFERROR("部分开票 "&amp;TEXT(N($N1208)/N($K1208),"0%"),"部分开票"))))</f>
        <v/>
      </c>
      <c r="P1208" s="40" t="str">
        <f aca="false">IF($C1208="","",ROUND($V1208+MIN($W1208,MAX(0,(SUMIF(收款键,$D1208,收款金额)-SUMIFS(收款金额,收款键,$D1208,收款关联,"&lt;&gt;"))-($X1208-$W1208))),2))</f>
        <v/>
      </c>
      <c r="Q1208" s="41" t="str">
        <f aca="false">IF($C1208="","",ROUND(N($K1208)-N($P1208),2))</f>
        <v/>
      </c>
      <c r="R1208" s="29" t="str">
        <f aca="false">IF($C1208="","",YEAR($C1208))</f>
        <v/>
      </c>
      <c r="S1208" s="24"/>
      <c r="T1208" s="35" t="str">
        <f aca="false">IF($C1208="","",IF($D1208="","★没选客户项目",IF(COUNTIF(合同键,$D1208)=0,"★《维保合同》里没这个项目",IF(N($K1208)&lt;=0,"★应收金额要填",IF(ROUND(N($N1208)-N($K1208),2)&gt;0.001,"★开票金额大于应收",IF(AND($L1208&lt;&gt;"",N($N1208)&lt;=0),"★填了开票日期没填开票金额",IF(AND($I1208&lt;&gt;"",$J1208&lt;&gt;"",$J1208&lt;$I1208),"★计费期间起止反了","OK")))))))</f>
        <v/>
      </c>
      <c r="U1208" s="29" t="str">
        <f aca="false">IF($L1208="","",YEAR($L1208))</f>
        <v/>
      </c>
      <c r="V1208" s="40" t="str">
        <f aca="false">IF($C1208="","",ROUND(SUMIF(收款关联,$B1208,收款金额),2))</f>
        <v/>
      </c>
      <c r="W1208" s="40" t="str">
        <f aca="false">IF($C1208="","",MAX(0,ROUND(N($K1208)-N($V1208),2)))</f>
        <v/>
      </c>
      <c r="X1208" s="40" t="str">
        <f aca="false">IF($C1208="","",ROUND(SUMIFS(应收净额,应收键,$D1208,应收行号,"&lt;="&amp;ROW()),2))</f>
        <v/>
      </c>
      <c r="Y1208" s="29" t="str">
        <f aca="false">IF($C1208="","",ROW())</f>
        <v/>
      </c>
    </row>
    <row r="1209" customFormat="false" ht="15" hidden="false" customHeight="false" outlineLevel="0" collapsed="false">
      <c r="A1209" s="29" t="str">
        <f aca="false">IF($C1209="","",ROW()-4)</f>
        <v/>
      </c>
      <c r="B1209" s="35" t="str">
        <f aca="false">IF($C1209="","","YS"&amp;TEXT($C1209,"yyyymm")&amp;"-"&amp;TEXT(ROW()-4,"0000"))</f>
        <v/>
      </c>
      <c r="C1209" s="33"/>
      <c r="D1209" s="24"/>
      <c r="E1209" s="30" t="str">
        <f aca="false">IF($D1209="","",IFERROR(INDEX(合同单位,MATCH($D1209,合同键,0)),IFERROR(TRIM(LEFT($D1209,FIND("｜",$D1209)-1)),$D1209)))</f>
        <v/>
      </c>
      <c r="F1209" s="30" t="str">
        <f aca="false">IF($D1209="","",IFERROR(INDEX(合同项目,MATCH($D1209,合同键,0)),IFERROR(TRIM(MID($D1209,FIND("｜",$D1209)+1,99)),"")))</f>
        <v/>
      </c>
      <c r="G1209" s="24"/>
      <c r="H1209" s="35" t="str">
        <f aca="false">IF($G1209="","",IFERROR(INDEX(费用款别,MATCH($G1209,费用类别表,0)),"合同外款"))</f>
        <v/>
      </c>
      <c r="I1209" s="33"/>
      <c r="J1209" s="33"/>
      <c r="K1209" s="39"/>
      <c r="L1209" s="33"/>
      <c r="M1209" s="25"/>
      <c r="N1209" s="39"/>
      <c r="O1209" s="35" t="str">
        <f aca="false">IF($C1209="","",IF(N($N1209)&lt;=0,"未开票",IF(ROUND(N($N1209)-N($K1209),2)&gt;=0,"已开票",IFERROR("部分开票 "&amp;TEXT(N($N1209)/N($K1209),"0%"),"部分开票"))))</f>
        <v/>
      </c>
      <c r="P1209" s="40" t="str">
        <f aca="false">IF($C1209="","",ROUND($V1209+MIN($W1209,MAX(0,(SUMIF(收款键,$D1209,收款金额)-SUMIFS(收款金额,收款键,$D1209,收款关联,"&lt;&gt;"))-($X1209-$W1209))),2))</f>
        <v/>
      </c>
      <c r="Q1209" s="41" t="str">
        <f aca="false">IF($C1209="","",ROUND(N($K1209)-N($P1209),2))</f>
        <v/>
      </c>
      <c r="R1209" s="29" t="str">
        <f aca="false">IF($C1209="","",YEAR($C1209))</f>
        <v/>
      </c>
      <c r="S1209" s="24"/>
      <c r="T1209" s="35" t="str">
        <f aca="false">IF($C1209="","",IF($D1209="","★没选客户项目",IF(COUNTIF(合同键,$D1209)=0,"★《维保合同》里没这个项目",IF(N($K1209)&lt;=0,"★应收金额要填",IF(ROUND(N($N1209)-N($K1209),2)&gt;0.001,"★开票金额大于应收",IF(AND($L1209&lt;&gt;"",N($N1209)&lt;=0),"★填了开票日期没填开票金额",IF(AND($I1209&lt;&gt;"",$J1209&lt;&gt;"",$J1209&lt;$I1209),"★计费期间起止反了","OK")))))))</f>
        <v/>
      </c>
      <c r="U1209" s="29" t="str">
        <f aca="false">IF($L1209="","",YEAR($L1209))</f>
        <v/>
      </c>
      <c r="V1209" s="40" t="str">
        <f aca="false">IF($C1209="","",ROUND(SUMIF(收款关联,$B1209,收款金额),2))</f>
        <v/>
      </c>
      <c r="W1209" s="40" t="str">
        <f aca="false">IF($C1209="","",MAX(0,ROUND(N($K1209)-N($V1209),2)))</f>
        <v/>
      </c>
      <c r="X1209" s="40" t="str">
        <f aca="false">IF($C1209="","",ROUND(SUMIFS(应收净额,应收键,$D1209,应收行号,"&lt;="&amp;ROW()),2))</f>
        <v/>
      </c>
      <c r="Y1209" s="29" t="str">
        <f aca="false">IF($C1209="","",ROW())</f>
        <v/>
      </c>
    </row>
    <row r="1210" customFormat="false" ht="15" hidden="false" customHeight="false" outlineLevel="0" collapsed="false">
      <c r="A1210" s="29" t="str">
        <f aca="false">IF($C1210="","",ROW()-4)</f>
        <v/>
      </c>
      <c r="B1210" s="35" t="str">
        <f aca="false">IF($C1210="","","YS"&amp;TEXT($C1210,"yyyymm")&amp;"-"&amp;TEXT(ROW()-4,"0000"))</f>
        <v/>
      </c>
      <c r="C1210" s="33"/>
      <c r="D1210" s="24"/>
      <c r="E1210" s="30" t="str">
        <f aca="false">IF($D1210="","",IFERROR(INDEX(合同单位,MATCH($D1210,合同键,0)),IFERROR(TRIM(LEFT($D1210,FIND("｜",$D1210)-1)),$D1210)))</f>
        <v/>
      </c>
      <c r="F1210" s="30" t="str">
        <f aca="false">IF($D1210="","",IFERROR(INDEX(合同项目,MATCH($D1210,合同键,0)),IFERROR(TRIM(MID($D1210,FIND("｜",$D1210)+1,99)),"")))</f>
        <v/>
      </c>
      <c r="G1210" s="24"/>
      <c r="H1210" s="35" t="str">
        <f aca="false">IF($G1210="","",IFERROR(INDEX(费用款别,MATCH($G1210,费用类别表,0)),"合同外款"))</f>
        <v/>
      </c>
      <c r="I1210" s="33"/>
      <c r="J1210" s="33"/>
      <c r="K1210" s="39"/>
      <c r="L1210" s="33"/>
      <c r="M1210" s="25"/>
      <c r="N1210" s="39"/>
      <c r="O1210" s="35" t="str">
        <f aca="false">IF($C1210="","",IF(N($N1210)&lt;=0,"未开票",IF(ROUND(N($N1210)-N($K1210),2)&gt;=0,"已开票",IFERROR("部分开票 "&amp;TEXT(N($N1210)/N($K1210),"0%"),"部分开票"))))</f>
        <v/>
      </c>
      <c r="P1210" s="40" t="str">
        <f aca="false">IF($C1210="","",ROUND($V1210+MIN($W1210,MAX(0,(SUMIF(收款键,$D1210,收款金额)-SUMIFS(收款金额,收款键,$D1210,收款关联,"&lt;&gt;"))-($X1210-$W1210))),2))</f>
        <v/>
      </c>
      <c r="Q1210" s="41" t="str">
        <f aca="false">IF($C1210="","",ROUND(N($K1210)-N($P1210),2))</f>
        <v/>
      </c>
      <c r="R1210" s="29" t="str">
        <f aca="false">IF($C1210="","",YEAR($C1210))</f>
        <v/>
      </c>
      <c r="S1210" s="24"/>
      <c r="T1210" s="35" t="str">
        <f aca="false">IF($C1210="","",IF($D1210="","★没选客户项目",IF(COUNTIF(合同键,$D1210)=0,"★《维保合同》里没这个项目",IF(N($K1210)&lt;=0,"★应收金额要填",IF(ROUND(N($N1210)-N($K1210),2)&gt;0.001,"★开票金额大于应收",IF(AND($L1210&lt;&gt;"",N($N1210)&lt;=0),"★填了开票日期没填开票金额",IF(AND($I1210&lt;&gt;"",$J1210&lt;&gt;"",$J1210&lt;$I1210),"★计费期间起止反了","OK")))))))</f>
        <v/>
      </c>
      <c r="U1210" s="29" t="str">
        <f aca="false">IF($L1210="","",YEAR($L1210))</f>
        <v/>
      </c>
      <c r="V1210" s="40" t="str">
        <f aca="false">IF($C1210="","",ROUND(SUMIF(收款关联,$B1210,收款金额),2))</f>
        <v/>
      </c>
      <c r="W1210" s="40" t="str">
        <f aca="false">IF($C1210="","",MAX(0,ROUND(N($K1210)-N($V1210),2)))</f>
        <v/>
      </c>
      <c r="X1210" s="40" t="str">
        <f aca="false">IF($C1210="","",ROUND(SUMIFS(应收净额,应收键,$D1210,应收行号,"&lt;="&amp;ROW()),2))</f>
        <v/>
      </c>
      <c r="Y1210" s="29" t="str">
        <f aca="false">IF($C1210="","",ROW())</f>
        <v/>
      </c>
    </row>
    <row r="1211" customFormat="false" ht="15" hidden="false" customHeight="false" outlineLevel="0" collapsed="false">
      <c r="A1211" s="29" t="str">
        <f aca="false">IF($C1211="","",ROW()-4)</f>
        <v/>
      </c>
      <c r="B1211" s="35" t="str">
        <f aca="false">IF($C1211="","","YS"&amp;TEXT($C1211,"yyyymm")&amp;"-"&amp;TEXT(ROW()-4,"0000"))</f>
        <v/>
      </c>
      <c r="C1211" s="33"/>
      <c r="D1211" s="24"/>
      <c r="E1211" s="30" t="str">
        <f aca="false">IF($D1211="","",IFERROR(INDEX(合同单位,MATCH($D1211,合同键,0)),IFERROR(TRIM(LEFT($D1211,FIND("｜",$D1211)-1)),$D1211)))</f>
        <v/>
      </c>
      <c r="F1211" s="30" t="str">
        <f aca="false">IF($D1211="","",IFERROR(INDEX(合同项目,MATCH($D1211,合同键,0)),IFERROR(TRIM(MID($D1211,FIND("｜",$D1211)+1,99)),"")))</f>
        <v/>
      </c>
      <c r="G1211" s="24"/>
      <c r="H1211" s="35" t="str">
        <f aca="false">IF($G1211="","",IFERROR(INDEX(费用款别,MATCH($G1211,费用类别表,0)),"合同外款"))</f>
        <v/>
      </c>
      <c r="I1211" s="33"/>
      <c r="J1211" s="33"/>
      <c r="K1211" s="39"/>
      <c r="L1211" s="33"/>
      <c r="M1211" s="25"/>
      <c r="N1211" s="39"/>
      <c r="O1211" s="35" t="str">
        <f aca="false">IF($C1211="","",IF(N($N1211)&lt;=0,"未开票",IF(ROUND(N($N1211)-N($K1211),2)&gt;=0,"已开票",IFERROR("部分开票 "&amp;TEXT(N($N1211)/N($K1211),"0%"),"部分开票"))))</f>
        <v/>
      </c>
      <c r="P1211" s="40" t="str">
        <f aca="false">IF($C1211="","",ROUND($V1211+MIN($W1211,MAX(0,(SUMIF(收款键,$D1211,收款金额)-SUMIFS(收款金额,收款键,$D1211,收款关联,"&lt;&gt;"))-($X1211-$W1211))),2))</f>
        <v/>
      </c>
      <c r="Q1211" s="41" t="str">
        <f aca="false">IF($C1211="","",ROUND(N($K1211)-N($P1211),2))</f>
        <v/>
      </c>
      <c r="R1211" s="29" t="str">
        <f aca="false">IF($C1211="","",YEAR($C1211))</f>
        <v/>
      </c>
      <c r="S1211" s="24"/>
      <c r="T1211" s="35" t="str">
        <f aca="false">IF($C1211="","",IF($D1211="","★没选客户项目",IF(COUNTIF(合同键,$D1211)=0,"★《维保合同》里没这个项目",IF(N($K1211)&lt;=0,"★应收金额要填",IF(ROUND(N($N1211)-N($K1211),2)&gt;0.001,"★开票金额大于应收",IF(AND($L1211&lt;&gt;"",N($N1211)&lt;=0),"★填了开票日期没填开票金额",IF(AND($I1211&lt;&gt;"",$J1211&lt;&gt;"",$J1211&lt;$I1211),"★计费期间起止反了","OK")))))))</f>
        <v/>
      </c>
      <c r="U1211" s="29" t="str">
        <f aca="false">IF($L1211="","",YEAR($L1211))</f>
        <v/>
      </c>
      <c r="V1211" s="40" t="str">
        <f aca="false">IF($C1211="","",ROUND(SUMIF(收款关联,$B1211,收款金额),2))</f>
        <v/>
      </c>
      <c r="W1211" s="40" t="str">
        <f aca="false">IF($C1211="","",MAX(0,ROUND(N($K1211)-N($V1211),2)))</f>
        <v/>
      </c>
      <c r="X1211" s="40" t="str">
        <f aca="false">IF($C1211="","",ROUND(SUMIFS(应收净额,应收键,$D1211,应收行号,"&lt;="&amp;ROW()),2))</f>
        <v/>
      </c>
      <c r="Y1211" s="29" t="str">
        <f aca="false">IF($C1211="","",ROW())</f>
        <v/>
      </c>
    </row>
    <row r="1212" customFormat="false" ht="15" hidden="false" customHeight="false" outlineLevel="0" collapsed="false">
      <c r="A1212" s="29" t="str">
        <f aca="false">IF($C1212="","",ROW()-4)</f>
        <v/>
      </c>
      <c r="B1212" s="35" t="str">
        <f aca="false">IF($C1212="","","YS"&amp;TEXT($C1212,"yyyymm")&amp;"-"&amp;TEXT(ROW()-4,"0000"))</f>
        <v/>
      </c>
      <c r="C1212" s="33"/>
      <c r="D1212" s="24"/>
      <c r="E1212" s="30" t="str">
        <f aca="false">IF($D1212="","",IFERROR(INDEX(合同单位,MATCH($D1212,合同键,0)),IFERROR(TRIM(LEFT($D1212,FIND("｜",$D1212)-1)),$D1212)))</f>
        <v/>
      </c>
      <c r="F1212" s="30" t="str">
        <f aca="false">IF($D1212="","",IFERROR(INDEX(合同项目,MATCH($D1212,合同键,0)),IFERROR(TRIM(MID($D1212,FIND("｜",$D1212)+1,99)),"")))</f>
        <v/>
      </c>
      <c r="G1212" s="24"/>
      <c r="H1212" s="35" t="str">
        <f aca="false">IF($G1212="","",IFERROR(INDEX(费用款别,MATCH($G1212,费用类别表,0)),"合同外款"))</f>
        <v/>
      </c>
      <c r="I1212" s="33"/>
      <c r="J1212" s="33"/>
      <c r="K1212" s="39"/>
      <c r="L1212" s="33"/>
      <c r="M1212" s="25"/>
      <c r="N1212" s="39"/>
      <c r="O1212" s="35" t="str">
        <f aca="false">IF($C1212="","",IF(N($N1212)&lt;=0,"未开票",IF(ROUND(N($N1212)-N($K1212),2)&gt;=0,"已开票",IFERROR("部分开票 "&amp;TEXT(N($N1212)/N($K1212),"0%"),"部分开票"))))</f>
        <v/>
      </c>
      <c r="P1212" s="40" t="str">
        <f aca="false">IF($C1212="","",ROUND($V1212+MIN($W1212,MAX(0,(SUMIF(收款键,$D1212,收款金额)-SUMIFS(收款金额,收款键,$D1212,收款关联,"&lt;&gt;"))-($X1212-$W1212))),2))</f>
        <v/>
      </c>
      <c r="Q1212" s="41" t="str">
        <f aca="false">IF($C1212="","",ROUND(N($K1212)-N($P1212),2))</f>
        <v/>
      </c>
      <c r="R1212" s="29" t="str">
        <f aca="false">IF($C1212="","",YEAR($C1212))</f>
        <v/>
      </c>
      <c r="S1212" s="24"/>
      <c r="T1212" s="35" t="str">
        <f aca="false">IF($C1212="","",IF($D1212="","★没选客户项目",IF(COUNTIF(合同键,$D1212)=0,"★《维保合同》里没这个项目",IF(N($K1212)&lt;=0,"★应收金额要填",IF(ROUND(N($N1212)-N($K1212),2)&gt;0.001,"★开票金额大于应收",IF(AND($L1212&lt;&gt;"",N($N1212)&lt;=0),"★填了开票日期没填开票金额",IF(AND($I1212&lt;&gt;"",$J1212&lt;&gt;"",$J1212&lt;$I1212),"★计费期间起止反了","OK")))))))</f>
        <v/>
      </c>
      <c r="U1212" s="29" t="str">
        <f aca="false">IF($L1212="","",YEAR($L1212))</f>
        <v/>
      </c>
      <c r="V1212" s="40" t="str">
        <f aca="false">IF($C1212="","",ROUND(SUMIF(收款关联,$B1212,收款金额),2))</f>
        <v/>
      </c>
      <c r="W1212" s="40" t="str">
        <f aca="false">IF($C1212="","",MAX(0,ROUND(N($K1212)-N($V1212),2)))</f>
        <v/>
      </c>
      <c r="X1212" s="40" t="str">
        <f aca="false">IF($C1212="","",ROUND(SUMIFS(应收净额,应收键,$D1212,应收行号,"&lt;="&amp;ROW()),2))</f>
        <v/>
      </c>
      <c r="Y1212" s="29" t="str">
        <f aca="false">IF($C1212="","",ROW())</f>
        <v/>
      </c>
    </row>
    <row r="1213" customFormat="false" ht="15" hidden="false" customHeight="false" outlineLevel="0" collapsed="false">
      <c r="A1213" s="29" t="str">
        <f aca="false">IF($C1213="","",ROW()-4)</f>
        <v/>
      </c>
      <c r="B1213" s="35" t="str">
        <f aca="false">IF($C1213="","","YS"&amp;TEXT($C1213,"yyyymm")&amp;"-"&amp;TEXT(ROW()-4,"0000"))</f>
        <v/>
      </c>
      <c r="C1213" s="33"/>
      <c r="D1213" s="24"/>
      <c r="E1213" s="30" t="str">
        <f aca="false">IF($D1213="","",IFERROR(INDEX(合同单位,MATCH($D1213,合同键,0)),IFERROR(TRIM(LEFT($D1213,FIND("｜",$D1213)-1)),$D1213)))</f>
        <v/>
      </c>
      <c r="F1213" s="30" t="str">
        <f aca="false">IF($D1213="","",IFERROR(INDEX(合同项目,MATCH($D1213,合同键,0)),IFERROR(TRIM(MID($D1213,FIND("｜",$D1213)+1,99)),"")))</f>
        <v/>
      </c>
      <c r="G1213" s="24"/>
      <c r="H1213" s="35" t="str">
        <f aca="false">IF($G1213="","",IFERROR(INDEX(费用款别,MATCH($G1213,费用类别表,0)),"合同外款"))</f>
        <v/>
      </c>
      <c r="I1213" s="33"/>
      <c r="J1213" s="33"/>
      <c r="K1213" s="39"/>
      <c r="L1213" s="33"/>
      <c r="M1213" s="25"/>
      <c r="N1213" s="39"/>
      <c r="O1213" s="35" t="str">
        <f aca="false">IF($C1213="","",IF(N($N1213)&lt;=0,"未开票",IF(ROUND(N($N1213)-N($K1213),2)&gt;=0,"已开票",IFERROR("部分开票 "&amp;TEXT(N($N1213)/N($K1213),"0%"),"部分开票"))))</f>
        <v/>
      </c>
      <c r="P1213" s="40" t="str">
        <f aca="false">IF($C1213="","",ROUND($V1213+MIN($W1213,MAX(0,(SUMIF(收款键,$D1213,收款金额)-SUMIFS(收款金额,收款键,$D1213,收款关联,"&lt;&gt;"))-($X1213-$W1213))),2))</f>
        <v/>
      </c>
      <c r="Q1213" s="41" t="str">
        <f aca="false">IF($C1213="","",ROUND(N($K1213)-N($P1213),2))</f>
        <v/>
      </c>
      <c r="R1213" s="29" t="str">
        <f aca="false">IF($C1213="","",YEAR($C1213))</f>
        <v/>
      </c>
      <c r="S1213" s="24"/>
      <c r="T1213" s="35" t="str">
        <f aca="false">IF($C1213="","",IF($D1213="","★没选客户项目",IF(COUNTIF(合同键,$D1213)=0,"★《维保合同》里没这个项目",IF(N($K1213)&lt;=0,"★应收金额要填",IF(ROUND(N($N1213)-N($K1213),2)&gt;0.001,"★开票金额大于应收",IF(AND($L1213&lt;&gt;"",N($N1213)&lt;=0),"★填了开票日期没填开票金额",IF(AND($I1213&lt;&gt;"",$J1213&lt;&gt;"",$J1213&lt;$I1213),"★计费期间起止反了","OK")))))))</f>
        <v/>
      </c>
      <c r="U1213" s="29" t="str">
        <f aca="false">IF($L1213="","",YEAR($L1213))</f>
        <v/>
      </c>
      <c r="V1213" s="40" t="str">
        <f aca="false">IF($C1213="","",ROUND(SUMIF(收款关联,$B1213,收款金额),2))</f>
        <v/>
      </c>
      <c r="W1213" s="40" t="str">
        <f aca="false">IF($C1213="","",MAX(0,ROUND(N($K1213)-N($V1213),2)))</f>
        <v/>
      </c>
      <c r="X1213" s="40" t="str">
        <f aca="false">IF($C1213="","",ROUND(SUMIFS(应收净额,应收键,$D1213,应收行号,"&lt;="&amp;ROW()),2))</f>
        <v/>
      </c>
      <c r="Y1213" s="29" t="str">
        <f aca="false">IF($C1213="","",ROW())</f>
        <v/>
      </c>
    </row>
    <row r="1214" customFormat="false" ht="15" hidden="false" customHeight="false" outlineLevel="0" collapsed="false">
      <c r="A1214" s="29" t="str">
        <f aca="false">IF($C1214="","",ROW()-4)</f>
        <v/>
      </c>
      <c r="B1214" s="35" t="str">
        <f aca="false">IF($C1214="","","YS"&amp;TEXT($C1214,"yyyymm")&amp;"-"&amp;TEXT(ROW()-4,"0000"))</f>
        <v/>
      </c>
      <c r="C1214" s="33"/>
      <c r="D1214" s="24"/>
      <c r="E1214" s="30" t="str">
        <f aca="false">IF($D1214="","",IFERROR(INDEX(合同单位,MATCH($D1214,合同键,0)),IFERROR(TRIM(LEFT($D1214,FIND("｜",$D1214)-1)),$D1214)))</f>
        <v/>
      </c>
      <c r="F1214" s="30" t="str">
        <f aca="false">IF($D1214="","",IFERROR(INDEX(合同项目,MATCH($D1214,合同键,0)),IFERROR(TRIM(MID($D1214,FIND("｜",$D1214)+1,99)),"")))</f>
        <v/>
      </c>
      <c r="G1214" s="24"/>
      <c r="H1214" s="35" t="str">
        <f aca="false">IF($G1214="","",IFERROR(INDEX(费用款别,MATCH($G1214,费用类别表,0)),"合同外款"))</f>
        <v/>
      </c>
      <c r="I1214" s="33"/>
      <c r="J1214" s="33"/>
      <c r="K1214" s="39"/>
      <c r="L1214" s="33"/>
      <c r="M1214" s="25"/>
      <c r="N1214" s="39"/>
      <c r="O1214" s="35" t="str">
        <f aca="false">IF($C1214="","",IF(N($N1214)&lt;=0,"未开票",IF(ROUND(N($N1214)-N($K1214),2)&gt;=0,"已开票",IFERROR("部分开票 "&amp;TEXT(N($N1214)/N($K1214),"0%"),"部分开票"))))</f>
        <v/>
      </c>
      <c r="P1214" s="40" t="str">
        <f aca="false">IF($C1214="","",ROUND($V1214+MIN($W1214,MAX(0,(SUMIF(收款键,$D1214,收款金额)-SUMIFS(收款金额,收款键,$D1214,收款关联,"&lt;&gt;"))-($X1214-$W1214))),2))</f>
        <v/>
      </c>
      <c r="Q1214" s="41" t="str">
        <f aca="false">IF($C1214="","",ROUND(N($K1214)-N($P1214),2))</f>
        <v/>
      </c>
      <c r="R1214" s="29" t="str">
        <f aca="false">IF($C1214="","",YEAR($C1214))</f>
        <v/>
      </c>
      <c r="S1214" s="24"/>
      <c r="T1214" s="35" t="str">
        <f aca="false">IF($C1214="","",IF($D1214="","★没选客户项目",IF(COUNTIF(合同键,$D1214)=0,"★《维保合同》里没这个项目",IF(N($K1214)&lt;=0,"★应收金额要填",IF(ROUND(N($N1214)-N($K1214),2)&gt;0.001,"★开票金额大于应收",IF(AND($L1214&lt;&gt;"",N($N1214)&lt;=0),"★填了开票日期没填开票金额",IF(AND($I1214&lt;&gt;"",$J1214&lt;&gt;"",$J1214&lt;$I1214),"★计费期间起止反了","OK")))))))</f>
        <v/>
      </c>
      <c r="U1214" s="29" t="str">
        <f aca="false">IF($L1214="","",YEAR($L1214))</f>
        <v/>
      </c>
      <c r="V1214" s="40" t="str">
        <f aca="false">IF($C1214="","",ROUND(SUMIF(收款关联,$B1214,收款金额),2))</f>
        <v/>
      </c>
      <c r="W1214" s="40" t="str">
        <f aca="false">IF($C1214="","",MAX(0,ROUND(N($K1214)-N($V1214),2)))</f>
        <v/>
      </c>
      <c r="X1214" s="40" t="str">
        <f aca="false">IF($C1214="","",ROUND(SUMIFS(应收净额,应收键,$D1214,应收行号,"&lt;="&amp;ROW()),2))</f>
        <v/>
      </c>
      <c r="Y1214" s="29" t="str">
        <f aca="false">IF($C1214="","",ROW())</f>
        <v/>
      </c>
    </row>
    <row r="1215" customFormat="false" ht="15" hidden="false" customHeight="false" outlineLevel="0" collapsed="false">
      <c r="A1215" s="29" t="str">
        <f aca="false">IF($C1215="","",ROW()-4)</f>
        <v/>
      </c>
      <c r="B1215" s="35" t="str">
        <f aca="false">IF($C1215="","","YS"&amp;TEXT($C1215,"yyyymm")&amp;"-"&amp;TEXT(ROW()-4,"0000"))</f>
        <v/>
      </c>
      <c r="C1215" s="33"/>
      <c r="D1215" s="24"/>
      <c r="E1215" s="30" t="str">
        <f aca="false">IF($D1215="","",IFERROR(INDEX(合同单位,MATCH($D1215,合同键,0)),IFERROR(TRIM(LEFT($D1215,FIND("｜",$D1215)-1)),$D1215)))</f>
        <v/>
      </c>
      <c r="F1215" s="30" t="str">
        <f aca="false">IF($D1215="","",IFERROR(INDEX(合同项目,MATCH($D1215,合同键,0)),IFERROR(TRIM(MID($D1215,FIND("｜",$D1215)+1,99)),"")))</f>
        <v/>
      </c>
      <c r="G1215" s="24"/>
      <c r="H1215" s="35" t="str">
        <f aca="false">IF($G1215="","",IFERROR(INDEX(费用款别,MATCH($G1215,费用类别表,0)),"合同外款"))</f>
        <v/>
      </c>
      <c r="I1215" s="33"/>
      <c r="J1215" s="33"/>
      <c r="K1215" s="39"/>
      <c r="L1215" s="33"/>
      <c r="M1215" s="25"/>
      <c r="N1215" s="39"/>
      <c r="O1215" s="35" t="str">
        <f aca="false">IF($C1215="","",IF(N($N1215)&lt;=0,"未开票",IF(ROUND(N($N1215)-N($K1215),2)&gt;=0,"已开票",IFERROR("部分开票 "&amp;TEXT(N($N1215)/N($K1215),"0%"),"部分开票"))))</f>
        <v/>
      </c>
      <c r="P1215" s="40" t="str">
        <f aca="false">IF($C1215="","",ROUND($V1215+MIN($W1215,MAX(0,(SUMIF(收款键,$D1215,收款金额)-SUMIFS(收款金额,收款键,$D1215,收款关联,"&lt;&gt;"))-($X1215-$W1215))),2))</f>
        <v/>
      </c>
      <c r="Q1215" s="41" t="str">
        <f aca="false">IF($C1215="","",ROUND(N($K1215)-N($P1215),2))</f>
        <v/>
      </c>
      <c r="R1215" s="29" t="str">
        <f aca="false">IF($C1215="","",YEAR($C1215))</f>
        <v/>
      </c>
      <c r="S1215" s="24"/>
      <c r="T1215" s="35" t="str">
        <f aca="false">IF($C1215="","",IF($D1215="","★没选客户项目",IF(COUNTIF(合同键,$D1215)=0,"★《维保合同》里没这个项目",IF(N($K1215)&lt;=0,"★应收金额要填",IF(ROUND(N($N1215)-N($K1215),2)&gt;0.001,"★开票金额大于应收",IF(AND($L1215&lt;&gt;"",N($N1215)&lt;=0),"★填了开票日期没填开票金额",IF(AND($I1215&lt;&gt;"",$J1215&lt;&gt;"",$J1215&lt;$I1215),"★计费期间起止反了","OK")))))))</f>
        <v/>
      </c>
      <c r="U1215" s="29" t="str">
        <f aca="false">IF($L1215="","",YEAR($L1215))</f>
        <v/>
      </c>
      <c r="V1215" s="40" t="str">
        <f aca="false">IF($C1215="","",ROUND(SUMIF(收款关联,$B1215,收款金额),2))</f>
        <v/>
      </c>
      <c r="W1215" s="40" t="str">
        <f aca="false">IF($C1215="","",MAX(0,ROUND(N($K1215)-N($V1215),2)))</f>
        <v/>
      </c>
      <c r="X1215" s="40" t="str">
        <f aca="false">IF($C1215="","",ROUND(SUMIFS(应收净额,应收键,$D1215,应收行号,"&lt;="&amp;ROW()),2))</f>
        <v/>
      </c>
      <c r="Y1215" s="29" t="str">
        <f aca="false">IF($C1215="","",ROW())</f>
        <v/>
      </c>
    </row>
    <row r="1216" customFormat="false" ht="15" hidden="false" customHeight="false" outlineLevel="0" collapsed="false">
      <c r="A1216" s="29" t="str">
        <f aca="false">IF($C1216="","",ROW()-4)</f>
        <v/>
      </c>
      <c r="B1216" s="35" t="str">
        <f aca="false">IF($C1216="","","YS"&amp;TEXT($C1216,"yyyymm")&amp;"-"&amp;TEXT(ROW()-4,"0000"))</f>
        <v/>
      </c>
      <c r="C1216" s="33"/>
      <c r="D1216" s="24"/>
      <c r="E1216" s="30" t="str">
        <f aca="false">IF($D1216="","",IFERROR(INDEX(合同单位,MATCH($D1216,合同键,0)),IFERROR(TRIM(LEFT($D1216,FIND("｜",$D1216)-1)),$D1216)))</f>
        <v/>
      </c>
      <c r="F1216" s="30" t="str">
        <f aca="false">IF($D1216="","",IFERROR(INDEX(合同项目,MATCH($D1216,合同键,0)),IFERROR(TRIM(MID($D1216,FIND("｜",$D1216)+1,99)),"")))</f>
        <v/>
      </c>
      <c r="G1216" s="24"/>
      <c r="H1216" s="35" t="str">
        <f aca="false">IF($G1216="","",IFERROR(INDEX(费用款别,MATCH($G1216,费用类别表,0)),"合同外款"))</f>
        <v/>
      </c>
      <c r="I1216" s="33"/>
      <c r="J1216" s="33"/>
      <c r="K1216" s="39"/>
      <c r="L1216" s="33"/>
      <c r="M1216" s="25"/>
      <c r="N1216" s="39"/>
      <c r="O1216" s="35" t="str">
        <f aca="false">IF($C1216="","",IF(N($N1216)&lt;=0,"未开票",IF(ROUND(N($N1216)-N($K1216),2)&gt;=0,"已开票",IFERROR("部分开票 "&amp;TEXT(N($N1216)/N($K1216),"0%"),"部分开票"))))</f>
        <v/>
      </c>
      <c r="P1216" s="40" t="str">
        <f aca="false">IF($C1216="","",ROUND($V1216+MIN($W1216,MAX(0,(SUMIF(收款键,$D1216,收款金额)-SUMIFS(收款金额,收款键,$D1216,收款关联,"&lt;&gt;"))-($X1216-$W1216))),2))</f>
        <v/>
      </c>
      <c r="Q1216" s="41" t="str">
        <f aca="false">IF($C1216="","",ROUND(N($K1216)-N($P1216),2))</f>
        <v/>
      </c>
      <c r="R1216" s="29" t="str">
        <f aca="false">IF($C1216="","",YEAR($C1216))</f>
        <v/>
      </c>
      <c r="S1216" s="24"/>
      <c r="T1216" s="35" t="str">
        <f aca="false">IF($C1216="","",IF($D1216="","★没选客户项目",IF(COUNTIF(合同键,$D1216)=0,"★《维保合同》里没这个项目",IF(N($K1216)&lt;=0,"★应收金额要填",IF(ROUND(N($N1216)-N($K1216),2)&gt;0.001,"★开票金额大于应收",IF(AND($L1216&lt;&gt;"",N($N1216)&lt;=0),"★填了开票日期没填开票金额",IF(AND($I1216&lt;&gt;"",$J1216&lt;&gt;"",$J1216&lt;$I1216),"★计费期间起止反了","OK")))))))</f>
        <v/>
      </c>
      <c r="U1216" s="29" t="str">
        <f aca="false">IF($L1216="","",YEAR($L1216))</f>
        <v/>
      </c>
      <c r="V1216" s="40" t="str">
        <f aca="false">IF($C1216="","",ROUND(SUMIF(收款关联,$B1216,收款金额),2))</f>
        <v/>
      </c>
      <c r="W1216" s="40" t="str">
        <f aca="false">IF($C1216="","",MAX(0,ROUND(N($K1216)-N($V1216),2)))</f>
        <v/>
      </c>
      <c r="X1216" s="40" t="str">
        <f aca="false">IF($C1216="","",ROUND(SUMIFS(应收净额,应收键,$D1216,应收行号,"&lt;="&amp;ROW()),2))</f>
        <v/>
      </c>
      <c r="Y1216" s="29" t="str">
        <f aca="false">IF($C1216="","",ROW())</f>
        <v/>
      </c>
    </row>
    <row r="1217" customFormat="false" ht="15" hidden="false" customHeight="false" outlineLevel="0" collapsed="false">
      <c r="A1217" s="29" t="str">
        <f aca="false">IF($C1217="","",ROW()-4)</f>
        <v/>
      </c>
      <c r="B1217" s="35" t="str">
        <f aca="false">IF($C1217="","","YS"&amp;TEXT($C1217,"yyyymm")&amp;"-"&amp;TEXT(ROW()-4,"0000"))</f>
        <v/>
      </c>
      <c r="C1217" s="33"/>
      <c r="D1217" s="24"/>
      <c r="E1217" s="30" t="str">
        <f aca="false">IF($D1217="","",IFERROR(INDEX(合同单位,MATCH($D1217,合同键,0)),IFERROR(TRIM(LEFT($D1217,FIND("｜",$D1217)-1)),$D1217)))</f>
        <v/>
      </c>
      <c r="F1217" s="30" t="str">
        <f aca="false">IF($D1217="","",IFERROR(INDEX(合同项目,MATCH($D1217,合同键,0)),IFERROR(TRIM(MID($D1217,FIND("｜",$D1217)+1,99)),"")))</f>
        <v/>
      </c>
      <c r="G1217" s="24"/>
      <c r="H1217" s="35" t="str">
        <f aca="false">IF($G1217="","",IFERROR(INDEX(费用款别,MATCH($G1217,费用类别表,0)),"合同外款"))</f>
        <v/>
      </c>
      <c r="I1217" s="33"/>
      <c r="J1217" s="33"/>
      <c r="K1217" s="39"/>
      <c r="L1217" s="33"/>
      <c r="M1217" s="25"/>
      <c r="N1217" s="39"/>
      <c r="O1217" s="35" t="str">
        <f aca="false">IF($C1217="","",IF(N($N1217)&lt;=0,"未开票",IF(ROUND(N($N1217)-N($K1217),2)&gt;=0,"已开票",IFERROR("部分开票 "&amp;TEXT(N($N1217)/N($K1217),"0%"),"部分开票"))))</f>
        <v/>
      </c>
      <c r="P1217" s="40" t="str">
        <f aca="false">IF($C1217="","",ROUND($V1217+MIN($W1217,MAX(0,(SUMIF(收款键,$D1217,收款金额)-SUMIFS(收款金额,收款键,$D1217,收款关联,"&lt;&gt;"))-($X1217-$W1217))),2))</f>
        <v/>
      </c>
      <c r="Q1217" s="41" t="str">
        <f aca="false">IF($C1217="","",ROUND(N($K1217)-N($P1217),2))</f>
        <v/>
      </c>
      <c r="R1217" s="29" t="str">
        <f aca="false">IF($C1217="","",YEAR($C1217))</f>
        <v/>
      </c>
      <c r="S1217" s="24"/>
      <c r="T1217" s="35" t="str">
        <f aca="false">IF($C1217="","",IF($D1217="","★没选客户项目",IF(COUNTIF(合同键,$D1217)=0,"★《维保合同》里没这个项目",IF(N($K1217)&lt;=0,"★应收金额要填",IF(ROUND(N($N1217)-N($K1217),2)&gt;0.001,"★开票金额大于应收",IF(AND($L1217&lt;&gt;"",N($N1217)&lt;=0),"★填了开票日期没填开票金额",IF(AND($I1217&lt;&gt;"",$J1217&lt;&gt;"",$J1217&lt;$I1217),"★计费期间起止反了","OK")))))))</f>
        <v/>
      </c>
      <c r="U1217" s="29" t="str">
        <f aca="false">IF($L1217="","",YEAR($L1217))</f>
        <v/>
      </c>
      <c r="V1217" s="40" t="str">
        <f aca="false">IF($C1217="","",ROUND(SUMIF(收款关联,$B1217,收款金额),2))</f>
        <v/>
      </c>
      <c r="W1217" s="40" t="str">
        <f aca="false">IF($C1217="","",MAX(0,ROUND(N($K1217)-N($V1217),2)))</f>
        <v/>
      </c>
      <c r="X1217" s="40" t="str">
        <f aca="false">IF($C1217="","",ROUND(SUMIFS(应收净额,应收键,$D1217,应收行号,"&lt;="&amp;ROW()),2))</f>
        <v/>
      </c>
      <c r="Y1217" s="29" t="str">
        <f aca="false">IF($C1217="","",ROW())</f>
        <v/>
      </c>
    </row>
    <row r="1218" customFormat="false" ht="15" hidden="false" customHeight="false" outlineLevel="0" collapsed="false">
      <c r="A1218" s="29" t="str">
        <f aca="false">IF($C1218="","",ROW()-4)</f>
        <v/>
      </c>
      <c r="B1218" s="35" t="str">
        <f aca="false">IF($C1218="","","YS"&amp;TEXT($C1218,"yyyymm")&amp;"-"&amp;TEXT(ROW()-4,"0000"))</f>
        <v/>
      </c>
      <c r="C1218" s="33"/>
      <c r="D1218" s="24"/>
      <c r="E1218" s="30" t="str">
        <f aca="false">IF($D1218="","",IFERROR(INDEX(合同单位,MATCH($D1218,合同键,0)),IFERROR(TRIM(LEFT($D1218,FIND("｜",$D1218)-1)),$D1218)))</f>
        <v/>
      </c>
      <c r="F1218" s="30" t="str">
        <f aca="false">IF($D1218="","",IFERROR(INDEX(合同项目,MATCH($D1218,合同键,0)),IFERROR(TRIM(MID($D1218,FIND("｜",$D1218)+1,99)),"")))</f>
        <v/>
      </c>
      <c r="G1218" s="24"/>
      <c r="H1218" s="35" t="str">
        <f aca="false">IF($G1218="","",IFERROR(INDEX(费用款别,MATCH($G1218,费用类别表,0)),"合同外款"))</f>
        <v/>
      </c>
      <c r="I1218" s="33"/>
      <c r="J1218" s="33"/>
      <c r="K1218" s="39"/>
      <c r="L1218" s="33"/>
      <c r="M1218" s="25"/>
      <c r="N1218" s="39"/>
      <c r="O1218" s="35" t="str">
        <f aca="false">IF($C1218="","",IF(N($N1218)&lt;=0,"未开票",IF(ROUND(N($N1218)-N($K1218),2)&gt;=0,"已开票",IFERROR("部分开票 "&amp;TEXT(N($N1218)/N($K1218),"0%"),"部分开票"))))</f>
        <v/>
      </c>
      <c r="P1218" s="40" t="str">
        <f aca="false">IF($C1218="","",ROUND($V1218+MIN($W1218,MAX(0,(SUMIF(收款键,$D1218,收款金额)-SUMIFS(收款金额,收款键,$D1218,收款关联,"&lt;&gt;"))-($X1218-$W1218))),2))</f>
        <v/>
      </c>
      <c r="Q1218" s="41" t="str">
        <f aca="false">IF($C1218="","",ROUND(N($K1218)-N($P1218),2))</f>
        <v/>
      </c>
      <c r="R1218" s="29" t="str">
        <f aca="false">IF($C1218="","",YEAR($C1218))</f>
        <v/>
      </c>
      <c r="S1218" s="24"/>
      <c r="T1218" s="35" t="str">
        <f aca="false">IF($C1218="","",IF($D1218="","★没选客户项目",IF(COUNTIF(合同键,$D1218)=0,"★《维保合同》里没这个项目",IF(N($K1218)&lt;=0,"★应收金额要填",IF(ROUND(N($N1218)-N($K1218),2)&gt;0.001,"★开票金额大于应收",IF(AND($L1218&lt;&gt;"",N($N1218)&lt;=0),"★填了开票日期没填开票金额",IF(AND($I1218&lt;&gt;"",$J1218&lt;&gt;"",$J1218&lt;$I1218),"★计费期间起止反了","OK")))))))</f>
        <v/>
      </c>
      <c r="U1218" s="29" t="str">
        <f aca="false">IF($L1218="","",YEAR($L1218))</f>
        <v/>
      </c>
      <c r="V1218" s="40" t="str">
        <f aca="false">IF($C1218="","",ROUND(SUMIF(收款关联,$B1218,收款金额),2))</f>
        <v/>
      </c>
      <c r="W1218" s="40" t="str">
        <f aca="false">IF($C1218="","",MAX(0,ROUND(N($K1218)-N($V1218),2)))</f>
        <v/>
      </c>
      <c r="X1218" s="40" t="str">
        <f aca="false">IF($C1218="","",ROUND(SUMIFS(应收净额,应收键,$D1218,应收行号,"&lt;="&amp;ROW()),2))</f>
        <v/>
      </c>
      <c r="Y1218" s="29" t="str">
        <f aca="false">IF($C1218="","",ROW())</f>
        <v/>
      </c>
    </row>
    <row r="1219" customFormat="false" ht="15" hidden="false" customHeight="false" outlineLevel="0" collapsed="false">
      <c r="A1219" s="29" t="str">
        <f aca="false">IF($C1219="","",ROW()-4)</f>
        <v/>
      </c>
      <c r="B1219" s="35" t="str">
        <f aca="false">IF($C1219="","","YS"&amp;TEXT($C1219,"yyyymm")&amp;"-"&amp;TEXT(ROW()-4,"0000"))</f>
        <v/>
      </c>
      <c r="C1219" s="33"/>
      <c r="D1219" s="24"/>
      <c r="E1219" s="30" t="str">
        <f aca="false">IF($D1219="","",IFERROR(INDEX(合同单位,MATCH($D1219,合同键,0)),IFERROR(TRIM(LEFT($D1219,FIND("｜",$D1219)-1)),$D1219)))</f>
        <v/>
      </c>
      <c r="F1219" s="30" t="str">
        <f aca="false">IF($D1219="","",IFERROR(INDEX(合同项目,MATCH($D1219,合同键,0)),IFERROR(TRIM(MID($D1219,FIND("｜",$D1219)+1,99)),"")))</f>
        <v/>
      </c>
      <c r="G1219" s="24"/>
      <c r="H1219" s="35" t="str">
        <f aca="false">IF($G1219="","",IFERROR(INDEX(费用款别,MATCH($G1219,费用类别表,0)),"合同外款"))</f>
        <v/>
      </c>
      <c r="I1219" s="33"/>
      <c r="J1219" s="33"/>
      <c r="K1219" s="39"/>
      <c r="L1219" s="33"/>
      <c r="M1219" s="25"/>
      <c r="N1219" s="39"/>
      <c r="O1219" s="35" t="str">
        <f aca="false">IF($C1219="","",IF(N($N1219)&lt;=0,"未开票",IF(ROUND(N($N1219)-N($K1219),2)&gt;=0,"已开票",IFERROR("部分开票 "&amp;TEXT(N($N1219)/N($K1219),"0%"),"部分开票"))))</f>
        <v/>
      </c>
      <c r="P1219" s="40" t="str">
        <f aca="false">IF($C1219="","",ROUND($V1219+MIN($W1219,MAX(0,(SUMIF(收款键,$D1219,收款金额)-SUMIFS(收款金额,收款键,$D1219,收款关联,"&lt;&gt;"))-($X1219-$W1219))),2))</f>
        <v/>
      </c>
      <c r="Q1219" s="41" t="str">
        <f aca="false">IF($C1219="","",ROUND(N($K1219)-N($P1219),2))</f>
        <v/>
      </c>
      <c r="R1219" s="29" t="str">
        <f aca="false">IF($C1219="","",YEAR($C1219))</f>
        <v/>
      </c>
      <c r="S1219" s="24"/>
      <c r="T1219" s="35" t="str">
        <f aca="false">IF($C1219="","",IF($D1219="","★没选客户项目",IF(COUNTIF(合同键,$D1219)=0,"★《维保合同》里没这个项目",IF(N($K1219)&lt;=0,"★应收金额要填",IF(ROUND(N($N1219)-N($K1219),2)&gt;0.001,"★开票金额大于应收",IF(AND($L1219&lt;&gt;"",N($N1219)&lt;=0),"★填了开票日期没填开票金额",IF(AND($I1219&lt;&gt;"",$J1219&lt;&gt;"",$J1219&lt;$I1219),"★计费期间起止反了","OK")))))))</f>
        <v/>
      </c>
      <c r="U1219" s="29" t="str">
        <f aca="false">IF($L1219="","",YEAR($L1219))</f>
        <v/>
      </c>
      <c r="V1219" s="40" t="str">
        <f aca="false">IF($C1219="","",ROUND(SUMIF(收款关联,$B1219,收款金额),2))</f>
        <v/>
      </c>
      <c r="W1219" s="40" t="str">
        <f aca="false">IF($C1219="","",MAX(0,ROUND(N($K1219)-N($V1219),2)))</f>
        <v/>
      </c>
      <c r="X1219" s="40" t="str">
        <f aca="false">IF($C1219="","",ROUND(SUMIFS(应收净额,应收键,$D1219,应收行号,"&lt;="&amp;ROW()),2))</f>
        <v/>
      </c>
      <c r="Y1219" s="29" t="str">
        <f aca="false">IF($C1219="","",ROW())</f>
        <v/>
      </c>
    </row>
    <row r="1220" customFormat="false" ht="15" hidden="false" customHeight="false" outlineLevel="0" collapsed="false">
      <c r="A1220" s="29" t="str">
        <f aca="false">IF($C1220="","",ROW()-4)</f>
        <v/>
      </c>
      <c r="B1220" s="35" t="str">
        <f aca="false">IF($C1220="","","YS"&amp;TEXT($C1220,"yyyymm")&amp;"-"&amp;TEXT(ROW()-4,"0000"))</f>
        <v/>
      </c>
      <c r="C1220" s="33"/>
      <c r="D1220" s="24"/>
      <c r="E1220" s="30" t="str">
        <f aca="false">IF($D1220="","",IFERROR(INDEX(合同单位,MATCH($D1220,合同键,0)),IFERROR(TRIM(LEFT($D1220,FIND("｜",$D1220)-1)),$D1220)))</f>
        <v/>
      </c>
      <c r="F1220" s="30" t="str">
        <f aca="false">IF($D1220="","",IFERROR(INDEX(合同项目,MATCH($D1220,合同键,0)),IFERROR(TRIM(MID($D1220,FIND("｜",$D1220)+1,99)),"")))</f>
        <v/>
      </c>
      <c r="G1220" s="24"/>
      <c r="H1220" s="35" t="str">
        <f aca="false">IF($G1220="","",IFERROR(INDEX(费用款别,MATCH($G1220,费用类别表,0)),"合同外款"))</f>
        <v/>
      </c>
      <c r="I1220" s="33"/>
      <c r="J1220" s="33"/>
      <c r="K1220" s="39"/>
      <c r="L1220" s="33"/>
      <c r="M1220" s="25"/>
      <c r="N1220" s="39"/>
      <c r="O1220" s="35" t="str">
        <f aca="false">IF($C1220="","",IF(N($N1220)&lt;=0,"未开票",IF(ROUND(N($N1220)-N($K1220),2)&gt;=0,"已开票",IFERROR("部分开票 "&amp;TEXT(N($N1220)/N($K1220),"0%"),"部分开票"))))</f>
        <v/>
      </c>
      <c r="P1220" s="40" t="str">
        <f aca="false">IF($C1220="","",ROUND($V1220+MIN($W1220,MAX(0,(SUMIF(收款键,$D1220,收款金额)-SUMIFS(收款金额,收款键,$D1220,收款关联,"&lt;&gt;"))-($X1220-$W1220))),2))</f>
        <v/>
      </c>
      <c r="Q1220" s="41" t="str">
        <f aca="false">IF($C1220="","",ROUND(N($K1220)-N($P1220),2))</f>
        <v/>
      </c>
      <c r="R1220" s="29" t="str">
        <f aca="false">IF($C1220="","",YEAR($C1220))</f>
        <v/>
      </c>
      <c r="S1220" s="24"/>
      <c r="T1220" s="35" t="str">
        <f aca="false">IF($C1220="","",IF($D1220="","★没选客户项目",IF(COUNTIF(合同键,$D1220)=0,"★《维保合同》里没这个项目",IF(N($K1220)&lt;=0,"★应收金额要填",IF(ROUND(N($N1220)-N($K1220),2)&gt;0.001,"★开票金额大于应收",IF(AND($L1220&lt;&gt;"",N($N1220)&lt;=0),"★填了开票日期没填开票金额",IF(AND($I1220&lt;&gt;"",$J1220&lt;&gt;"",$J1220&lt;$I1220),"★计费期间起止反了","OK")))))))</f>
        <v/>
      </c>
      <c r="U1220" s="29" t="str">
        <f aca="false">IF($L1220="","",YEAR($L1220))</f>
        <v/>
      </c>
      <c r="V1220" s="40" t="str">
        <f aca="false">IF($C1220="","",ROUND(SUMIF(收款关联,$B1220,收款金额),2))</f>
        <v/>
      </c>
      <c r="W1220" s="40" t="str">
        <f aca="false">IF($C1220="","",MAX(0,ROUND(N($K1220)-N($V1220),2)))</f>
        <v/>
      </c>
      <c r="X1220" s="40" t="str">
        <f aca="false">IF($C1220="","",ROUND(SUMIFS(应收净额,应收键,$D1220,应收行号,"&lt;="&amp;ROW()),2))</f>
        <v/>
      </c>
      <c r="Y1220" s="29" t="str">
        <f aca="false">IF($C1220="","",ROW())</f>
        <v/>
      </c>
    </row>
    <row r="1221" customFormat="false" ht="15" hidden="false" customHeight="false" outlineLevel="0" collapsed="false">
      <c r="A1221" s="29" t="str">
        <f aca="false">IF($C1221="","",ROW()-4)</f>
        <v/>
      </c>
      <c r="B1221" s="35" t="str">
        <f aca="false">IF($C1221="","","YS"&amp;TEXT($C1221,"yyyymm")&amp;"-"&amp;TEXT(ROW()-4,"0000"))</f>
        <v/>
      </c>
      <c r="C1221" s="33"/>
      <c r="D1221" s="24"/>
      <c r="E1221" s="30" t="str">
        <f aca="false">IF($D1221="","",IFERROR(INDEX(合同单位,MATCH($D1221,合同键,0)),IFERROR(TRIM(LEFT($D1221,FIND("｜",$D1221)-1)),$D1221)))</f>
        <v/>
      </c>
      <c r="F1221" s="30" t="str">
        <f aca="false">IF($D1221="","",IFERROR(INDEX(合同项目,MATCH($D1221,合同键,0)),IFERROR(TRIM(MID($D1221,FIND("｜",$D1221)+1,99)),"")))</f>
        <v/>
      </c>
      <c r="G1221" s="24"/>
      <c r="H1221" s="35" t="str">
        <f aca="false">IF($G1221="","",IFERROR(INDEX(费用款别,MATCH($G1221,费用类别表,0)),"合同外款"))</f>
        <v/>
      </c>
      <c r="I1221" s="33"/>
      <c r="J1221" s="33"/>
      <c r="K1221" s="39"/>
      <c r="L1221" s="33"/>
      <c r="M1221" s="25"/>
      <c r="N1221" s="39"/>
      <c r="O1221" s="35" t="str">
        <f aca="false">IF($C1221="","",IF(N($N1221)&lt;=0,"未开票",IF(ROUND(N($N1221)-N($K1221),2)&gt;=0,"已开票",IFERROR("部分开票 "&amp;TEXT(N($N1221)/N($K1221),"0%"),"部分开票"))))</f>
        <v/>
      </c>
      <c r="P1221" s="40" t="str">
        <f aca="false">IF($C1221="","",ROUND($V1221+MIN($W1221,MAX(0,(SUMIF(收款键,$D1221,收款金额)-SUMIFS(收款金额,收款键,$D1221,收款关联,"&lt;&gt;"))-($X1221-$W1221))),2))</f>
        <v/>
      </c>
      <c r="Q1221" s="41" t="str">
        <f aca="false">IF($C1221="","",ROUND(N($K1221)-N($P1221),2))</f>
        <v/>
      </c>
      <c r="R1221" s="29" t="str">
        <f aca="false">IF($C1221="","",YEAR($C1221))</f>
        <v/>
      </c>
      <c r="S1221" s="24"/>
      <c r="T1221" s="35" t="str">
        <f aca="false">IF($C1221="","",IF($D1221="","★没选客户项目",IF(COUNTIF(合同键,$D1221)=0,"★《维保合同》里没这个项目",IF(N($K1221)&lt;=0,"★应收金额要填",IF(ROUND(N($N1221)-N($K1221),2)&gt;0.001,"★开票金额大于应收",IF(AND($L1221&lt;&gt;"",N($N1221)&lt;=0),"★填了开票日期没填开票金额",IF(AND($I1221&lt;&gt;"",$J1221&lt;&gt;"",$J1221&lt;$I1221),"★计费期间起止反了","OK")))))))</f>
        <v/>
      </c>
      <c r="U1221" s="29" t="str">
        <f aca="false">IF($L1221="","",YEAR($L1221))</f>
        <v/>
      </c>
      <c r="V1221" s="40" t="str">
        <f aca="false">IF($C1221="","",ROUND(SUMIF(收款关联,$B1221,收款金额),2))</f>
        <v/>
      </c>
      <c r="W1221" s="40" t="str">
        <f aca="false">IF($C1221="","",MAX(0,ROUND(N($K1221)-N($V1221),2)))</f>
        <v/>
      </c>
      <c r="X1221" s="40" t="str">
        <f aca="false">IF($C1221="","",ROUND(SUMIFS(应收净额,应收键,$D1221,应收行号,"&lt;="&amp;ROW()),2))</f>
        <v/>
      </c>
      <c r="Y1221" s="29" t="str">
        <f aca="false">IF($C1221="","",ROW())</f>
        <v/>
      </c>
    </row>
    <row r="1222" customFormat="false" ht="15" hidden="false" customHeight="false" outlineLevel="0" collapsed="false">
      <c r="A1222" s="29" t="str">
        <f aca="false">IF($C1222="","",ROW()-4)</f>
        <v/>
      </c>
      <c r="B1222" s="35" t="str">
        <f aca="false">IF($C1222="","","YS"&amp;TEXT($C1222,"yyyymm")&amp;"-"&amp;TEXT(ROW()-4,"0000"))</f>
        <v/>
      </c>
      <c r="C1222" s="33"/>
      <c r="D1222" s="24"/>
      <c r="E1222" s="30" t="str">
        <f aca="false">IF($D1222="","",IFERROR(INDEX(合同单位,MATCH($D1222,合同键,0)),IFERROR(TRIM(LEFT($D1222,FIND("｜",$D1222)-1)),$D1222)))</f>
        <v/>
      </c>
      <c r="F1222" s="30" t="str">
        <f aca="false">IF($D1222="","",IFERROR(INDEX(合同项目,MATCH($D1222,合同键,0)),IFERROR(TRIM(MID($D1222,FIND("｜",$D1222)+1,99)),"")))</f>
        <v/>
      </c>
      <c r="G1222" s="24"/>
      <c r="H1222" s="35" t="str">
        <f aca="false">IF($G1222="","",IFERROR(INDEX(费用款别,MATCH($G1222,费用类别表,0)),"合同外款"))</f>
        <v/>
      </c>
      <c r="I1222" s="33"/>
      <c r="J1222" s="33"/>
      <c r="K1222" s="39"/>
      <c r="L1222" s="33"/>
      <c r="M1222" s="25"/>
      <c r="N1222" s="39"/>
      <c r="O1222" s="35" t="str">
        <f aca="false">IF($C1222="","",IF(N($N1222)&lt;=0,"未开票",IF(ROUND(N($N1222)-N($K1222),2)&gt;=0,"已开票",IFERROR("部分开票 "&amp;TEXT(N($N1222)/N($K1222),"0%"),"部分开票"))))</f>
        <v/>
      </c>
      <c r="P1222" s="40" t="str">
        <f aca="false">IF($C1222="","",ROUND($V1222+MIN($W1222,MAX(0,(SUMIF(收款键,$D1222,收款金额)-SUMIFS(收款金额,收款键,$D1222,收款关联,"&lt;&gt;"))-($X1222-$W1222))),2))</f>
        <v/>
      </c>
      <c r="Q1222" s="41" t="str">
        <f aca="false">IF($C1222="","",ROUND(N($K1222)-N($P1222),2))</f>
        <v/>
      </c>
      <c r="R1222" s="29" t="str">
        <f aca="false">IF($C1222="","",YEAR($C1222))</f>
        <v/>
      </c>
      <c r="S1222" s="24"/>
      <c r="T1222" s="35" t="str">
        <f aca="false">IF($C1222="","",IF($D1222="","★没选客户项目",IF(COUNTIF(合同键,$D1222)=0,"★《维保合同》里没这个项目",IF(N($K1222)&lt;=0,"★应收金额要填",IF(ROUND(N($N1222)-N($K1222),2)&gt;0.001,"★开票金额大于应收",IF(AND($L1222&lt;&gt;"",N($N1222)&lt;=0),"★填了开票日期没填开票金额",IF(AND($I1222&lt;&gt;"",$J1222&lt;&gt;"",$J1222&lt;$I1222),"★计费期间起止反了","OK")))))))</f>
        <v/>
      </c>
      <c r="U1222" s="29" t="str">
        <f aca="false">IF($L1222="","",YEAR($L1222))</f>
        <v/>
      </c>
      <c r="V1222" s="40" t="str">
        <f aca="false">IF($C1222="","",ROUND(SUMIF(收款关联,$B1222,收款金额),2))</f>
        <v/>
      </c>
      <c r="W1222" s="40" t="str">
        <f aca="false">IF($C1222="","",MAX(0,ROUND(N($K1222)-N($V1222),2)))</f>
        <v/>
      </c>
      <c r="X1222" s="40" t="str">
        <f aca="false">IF($C1222="","",ROUND(SUMIFS(应收净额,应收键,$D1222,应收行号,"&lt;="&amp;ROW()),2))</f>
        <v/>
      </c>
      <c r="Y1222" s="29" t="str">
        <f aca="false">IF($C1222="","",ROW())</f>
        <v/>
      </c>
    </row>
    <row r="1223" customFormat="false" ht="15" hidden="false" customHeight="false" outlineLevel="0" collapsed="false">
      <c r="A1223" s="29" t="str">
        <f aca="false">IF($C1223="","",ROW()-4)</f>
        <v/>
      </c>
      <c r="B1223" s="35" t="str">
        <f aca="false">IF($C1223="","","YS"&amp;TEXT($C1223,"yyyymm")&amp;"-"&amp;TEXT(ROW()-4,"0000"))</f>
        <v/>
      </c>
      <c r="C1223" s="33"/>
      <c r="D1223" s="24"/>
      <c r="E1223" s="30" t="str">
        <f aca="false">IF($D1223="","",IFERROR(INDEX(合同单位,MATCH($D1223,合同键,0)),IFERROR(TRIM(LEFT($D1223,FIND("｜",$D1223)-1)),$D1223)))</f>
        <v/>
      </c>
      <c r="F1223" s="30" t="str">
        <f aca="false">IF($D1223="","",IFERROR(INDEX(合同项目,MATCH($D1223,合同键,0)),IFERROR(TRIM(MID($D1223,FIND("｜",$D1223)+1,99)),"")))</f>
        <v/>
      </c>
      <c r="G1223" s="24"/>
      <c r="H1223" s="35" t="str">
        <f aca="false">IF($G1223="","",IFERROR(INDEX(费用款别,MATCH($G1223,费用类别表,0)),"合同外款"))</f>
        <v/>
      </c>
      <c r="I1223" s="33"/>
      <c r="J1223" s="33"/>
      <c r="K1223" s="39"/>
      <c r="L1223" s="33"/>
      <c r="M1223" s="25"/>
      <c r="N1223" s="39"/>
      <c r="O1223" s="35" t="str">
        <f aca="false">IF($C1223="","",IF(N($N1223)&lt;=0,"未开票",IF(ROUND(N($N1223)-N($K1223),2)&gt;=0,"已开票",IFERROR("部分开票 "&amp;TEXT(N($N1223)/N($K1223),"0%"),"部分开票"))))</f>
        <v/>
      </c>
      <c r="P1223" s="40" t="str">
        <f aca="false">IF($C1223="","",ROUND($V1223+MIN($W1223,MAX(0,(SUMIF(收款键,$D1223,收款金额)-SUMIFS(收款金额,收款键,$D1223,收款关联,"&lt;&gt;"))-($X1223-$W1223))),2))</f>
        <v/>
      </c>
      <c r="Q1223" s="41" t="str">
        <f aca="false">IF($C1223="","",ROUND(N($K1223)-N($P1223),2))</f>
        <v/>
      </c>
      <c r="R1223" s="29" t="str">
        <f aca="false">IF($C1223="","",YEAR($C1223))</f>
        <v/>
      </c>
      <c r="S1223" s="24"/>
      <c r="T1223" s="35" t="str">
        <f aca="false">IF($C1223="","",IF($D1223="","★没选客户项目",IF(COUNTIF(合同键,$D1223)=0,"★《维保合同》里没这个项目",IF(N($K1223)&lt;=0,"★应收金额要填",IF(ROUND(N($N1223)-N($K1223),2)&gt;0.001,"★开票金额大于应收",IF(AND($L1223&lt;&gt;"",N($N1223)&lt;=0),"★填了开票日期没填开票金额",IF(AND($I1223&lt;&gt;"",$J1223&lt;&gt;"",$J1223&lt;$I1223),"★计费期间起止反了","OK")))))))</f>
        <v/>
      </c>
      <c r="U1223" s="29" t="str">
        <f aca="false">IF($L1223="","",YEAR($L1223))</f>
        <v/>
      </c>
      <c r="V1223" s="40" t="str">
        <f aca="false">IF($C1223="","",ROUND(SUMIF(收款关联,$B1223,收款金额),2))</f>
        <v/>
      </c>
      <c r="W1223" s="40" t="str">
        <f aca="false">IF($C1223="","",MAX(0,ROUND(N($K1223)-N($V1223),2)))</f>
        <v/>
      </c>
      <c r="X1223" s="40" t="str">
        <f aca="false">IF($C1223="","",ROUND(SUMIFS(应收净额,应收键,$D1223,应收行号,"&lt;="&amp;ROW()),2))</f>
        <v/>
      </c>
      <c r="Y1223" s="29" t="str">
        <f aca="false">IF($C1223="","",ROW())</f>
        <v/>
      </c>
    </row>
    <row r="1224" customFormat="false" ht="15" hidden="false" customHeight="false" outlineLevel="0" collapsed="false">
      <c r="A1224" s="29" t="str">
        <f aca="false">IF($C1224="","",ROW()-4)</f>
        <v/>
      </c>
      <c r="B1224" s="35" t="str">
        <f aca="false">IF($C1224="","","YS"&amp;TEXT($C1224,"yyyymm")&amp;"-"&amp;TEXT(ROW()-4,"0000"))</f>
        <v/>
      </c>
      <c r="C1224" s="33"/>
      <c r="D1224" s="24"/>
      <c r="E1224" s="30" t="str">
        <f aca="false">IF($D1224="","",IFERROR(INDEX(合同单位,MATCH($D1224,合同键,0)),IFERROR(TRIM(LEFT($D1224,FIND("｜",$D1224)-1)),$D1224)))</f>
        <v/>
      </c>
      <c r="F1224" s="30" t="str">
        <f aca="false">IF($D1224="","",IFERROR(INDEX(合同项目,MATCH($D1224,合同键,0)),IFERROR(TRIM(MID($D1224,FIND("｜",$D1224)+1,99)),"")))</f>
        <v/>
      </c>
      <c r="G1224" s="24"/>
      <c r="H1224" s="35" t="str">
        <f aca="false">IF($G1224="","",IFERROR(INDEX(费用款别,MATCH($G1224,费用类别表,0)),"合同外款"))</f>
        <v/>
      </c>
      <c r="I1224" s="33"/>
      <c r="J1224" s="33"/>
      <c r="K1224" s="39"/>
      <c r="L1224" s="33"/>
      <c r="M1224" s="25"/>
      <c r="N1224" s="39"/>
      <c r="O1224" s="35" t="str">
        <f aca="false">IF($C1224="","",IF(N($N1224)&lt;=0,"未开票",IF(ROUND(N($N1224)-N($K1224),2)&gt;=0,"已开票",IFERROR("部分开票 "&amp;TEXT(N($N1224)/N($K1224),"0%"),"部分开票"))))</f>
        <v/>
      </c>
      <c r="P1224" s="40" t="str">
        <f aca="false">IF($C1224="","",ROUND($V1224+MIN($W1224,MAX(0,(SUMIF(收款键,$D1224,收款金额)-SUMIFS(收款金额,收款键,$D1224,收款关联,"&lt;&gt;"))-($X1224-$W1224))),2))</f>
        <v/>
      </c>
      <c r="Q1224" s="41" t="str">
        <f aca="false">IF($C1224="","",ROUND(N($K1224)-N($P1224),2))</f>
        <v/>
      </c>
      <c r="R1224" s="29" t="str">
        <f aca="false">IF($C1224="","",YEAR($C1224))</f>
        <v/>
      </c>
      <c r="S1224" s="24"/>
      <c r="T1224" s="35" t="str">
        <f aca="false">IF($C1224="","",IF($D1224="","★没选客户项目",IF(COUNTIF(合同键,$D1224)=0,"★《维保合同》里没这个项目",IF(N($K1224)&lt;=0,"★应收金额要填",IF(ROUND(N($N1224)-N($K1224),2)&gt;0.001,"★开票金额大于应收",IF(AND($L1224&lt;&gt;"",N($N1224)&lt;=0),"★填了开票日期没填开票金额",IF(AND($I1224&lt;&gt;"",$J1224&lt;&gt;"",$J1224&lt;$I1224),"★计费期间起止反了","OK")))))))</f>
        <v/>
      </c>
      <c r="U1224" s="29" t="str">
        <f aca="false">IF($L1224="","",YEAR($L1224))</f>
        <v/>
      </c>
      <c r="V1224" s="40" t="str">
        <f aca="false">IF($C1224="","",ROUND(SUMIF(收款关联,$B1224,收款金额),2))</f>
        <v/>
      </c>
      <c r="W1224" s="40" t="str">
        <f aca="false">IF($C1224="","",MAX(0,ROUND(N($K1224)-N($V1224),2)))</f>
        <v/>
      </c>
      <c r="X1224" s="40" t="str">
        <f aca="false">IF($C1224="","",ROUND(SUMIFS(应收净额,应收键,$D1224,应收行号,"&lt;="&amp;ROW()),2))</f>
        <v/>
      </c>
      <c r="Y1224" s="29" t="str">
        <f aca="false">IF($C1224="","",ROW())</f>
        <v/>
      </c>
    </row>
    <row r="1225" customFormat="false" ht="15" hidden="false" customHeight="false" outlineLevel="0" collapsed="false">
      <c r="A1225" s="29" t="str">
        <f aca="false">IF($C1225="","",ROW()-4)</f>
        <v/>
      </c>
      <c r="B1225" s="35" t="str">
        <f aca="false">IF($C1225="","","YS"&amp;TEXT($C1225,"yyyymm")&amp;"-"&amp;TEXT(ROW()-4,"0000"))</f>
        <v/>
      </c>
      <c r="C1225" s="33"/>
      <c r="D1225" s="24"/>
      <c r="E1225" s="30" t="str">
        <f aca="false">IF($D1225="","",IFERROR(INDEX(合同单位,MATCH($D1225,合同键,0)),IFERROR(TRIM(LEFT($D1225,FIND("｜",$D1225)-1)),$D1225)))</f>
        <v/>
      </c>
      <c r="F1225" s="30" t="str">
        <f aca="false">IF($D1225="","",IFERROR(INDEX(合同项目,MATCH($D1225,合同键,0)),IFERROR(TRIM(MID($D1225,FIND("｜",$D1225)+1,99)),"")))</f>
        <v/>
      </c>
      <c r="G1225" s="24"/>
      <c r="H1225" s="35" t="str">
        <f aca="false">IF($G1225="","",IFERROR(INDEX(费用款别,MATCH($G1225,费用类别表,0)),"合同外款"))</f>
        <v/>
      </c>
      <c r="I1225" s="33"/>
      <c r="J1225" s="33"/>
      <c r="K1225" s="39"/>
      <c r="L1225" s="33"/>
      <c r="M1225" s="25"/>
      <c r="N1225" s="39"/>
      <c r="O1225" s="35" t="str">
        <f aca="false">IF($C1225="","",IF(N($N1225)&lt;=0,"未开票",IF(ROUND(N($N1225)-N($K1225),2)&gt;=0,"已开票",IFERROR("部分开票 "&amp;TEXT(N($N1225)/N($K1225),"0%"),"部分开票"))))</f>
        <v/>
      </c>
      <c r="P1225" s="40" t="str">
        <f aca="false">IF($C1225="","",ROUND($V1225+MIN($W1225,MAX(0,(SUMIF(收款键,$D1225,收款金额)-SUMIFS(收款金额,收款键,$D1225,收款关联,"&lt;&gt;"))-($X1225-$W1225))),2))</f>
        <v/>
      </c>
      <c r="Q1225" s="41" t="str">
        <f aca="false">IF($C1225="","",ROUND(N($K1225)-N($P1225),2))</f>
        <v/>
      </c>
      <c r="R1225" s="29" t="str">
        <f aca="false">IF($C1225="","",YEAR($C1225))</f>
        <v/>
      </c>
      <c r="S1225" s="24"/>
      <c r="T1225" s="35" t="str">
        <f aca="false">IF($C1225="","",IF($D1225="","★没选客户项目",IF(COUNTIF(合同键,$D1225)=0,"★《维保合同》里没这个项目",IF(N($K1225)&lt;=0,"★应收金额要填",IF(ROUND(N($N1225)-N($K1225),2)&gt;0.001,"★开票金额大于应收",IF(AND($L1225&lt;&gt;"",N($N1225)&lt;=0),"★填了开票日期没填开票金额",IF(AND($I1225&lt;&gt;"",$J1225&lt;&gt;"",$J1225&lt;$I1225),"★计费期间起止反了","OK")))))))</f>
        <v/>
      </c>
      <c r="U1225" s="29" t="str">
        <f aca="false">IF($L1225="","",YEAR($L1225))</f>
        <v/>
      </c>
      <c r="V1225" s="40" t="str">
        <f aca="false">IF($C1225="","",ROUND(SUMIF(收款关联,$B1225,收款金额),2))</f>
        <v/>
      </c>
      <c r="W1225" s="40" t="str">
        <f aca="false">IF($C1225="","",MAX(0,ROUND(N($K1225)-N($V1225),2)))</f>
        <v/>
      </c>
      <c r="X1225" s="40" t="str">
        <f aca="false">IF($C1225="","",ROUND(SUMIFS(应收净额,应收键,$D1225,应收行号,"&lt;="&amp;ROW()),2))</f>
        <v/>
      </c>
      <c r="Y1225" s="29" t="str">
        <f aca="false">IF($C1225="","",ROW())</f>
        <v/>
      </c>
    </row>
    <row r="1226" customFormat="false" ht="15" hidden="false" customHeight="false" outlineLevel="0" collapsed="false">
      <c r="A1226" s="29" t="str">
        <f aca="false">IF($C1226="","",ROW()-4)</f>
        <v/>
      </c>
      <c r="B1226" s="35" t="str">
        <f aca="false">IF($C1226="","","YS"&amp;TEXT($C1226,"yyyymm")&amp;"-"&amp;TEXT(ROW()-4,"0000"))</f>
        <v/>
      </c>
      <c r="C1226" s="33"/>
      <c r="D1226" s="24"/>
      <c r="E1226" s="30" t="str">
        <f aca="false">IF($D1226="","",IFERROR(INDEX(合同单位,MATCH($D1226,合同键,0)),IFERROR(TRIM(LEFT($D1226,FIND("｜",$D1226)-1)),$D1226)))</f>
        <v/>
      </c>
      <c r="F1226" s="30" t="str">
        <f aca="false">IF($D1226="","",IFERROR(INDEX(合同项目,MATCH($D1226,合同键,0)),IFERROR(TRIM(MID($D1226,FIND("｜",$D1226)+1,99)),"")))</f>
        <v/>
      </c>
      <c r="G1226" s="24"/>
      <c r="H1226" s="35" t="str">
        <f aca="false">IF($G1226="","",IFERROR(INDEX(费用款别,MATCH($G1226,费用类别表,0)),"合同外款"))</f>
        <v/>
      </c>
      <c r="I1226" s="33"/>
      <c r="J1226" s="33"/>
      <c r="K1226" s="39"/>
      <c r="L1226" s="33"/>
      <c r="M1226" s="25"/>
      <c r="N1226" s="39"/>
      <c r="O1226" s="35" t="str">
        <f aca="false">IF($C1226="","",IF(N($N1226)&lt;=0,"未开票",IF(ROUND(N($N1226)-N($K1226),2)&gt;=0,"已开票",IFERROR("部分开票 "&amp;TEXT(N($N1226)/N($K1226),"0%"),"部分开票"))))</f>
        <v/>
      </c>
      <c r="P1226" s="40" t="str">
        <f aca="false">IF($C1226="","",ROUND($V1226+MIN($W1226,MAX(0,(SUMIF(收款键,$D1226,收款金额)-SUMIFS(收款金额,收款键,$D1226,收款关联,"&lt;&gt;"))-($X1226-$W1226))),2))</f>
        <v/>
      </c>
      <c r="Q1226" s="41" t="str">
        <f aca="false">IF($C1226="","",ROUND(N($K1226)-N($P1226),2))</f>
        <v/>
      </c>
      <c r="R1226" s="29" t="str">
        <f aca="false">IF($C1226="","",YEAR($C1226))</f>
        <v/>
      </c>
      <c r="S1226" s="24"/>
      <c r="T1226" s="35" t="str">
        <f aca="false">IF($C1226="","",IF($D1226="","★没选客户项目",IF(COUNTIF(合同键,$D1226)=0,"★《维保合同》里没这个项目",IF(N($K1226)&lt;=0,"★应收金额要填",IF(ROUND(N($N1226)-N($K1226),2)&gt;0.001,"★开票金额大于应收",IF(AND($L1226&lt;&gt;"",N($N1226)&lt;=0),"★填了开票日期没填开票金额",IF(AND($I1226&lt;&gt;"",$J1226&lt;&gt;"",$J1226&lt;$I1226),"★计费期间起止反了","OK")))))))</f>
        <v/>
      </c>
      <c r="U1226" s="29" t="str">
        <f aca="false">IF($L1226="","",YEAR($L1226))</f>
        <v/>
      </c>
      <c r="V1226" s="40" t="str">
        <f aca="false">IF($C1226="","",ROUND(SUMIF(收款关联,$B1226,收款金额),2))</f>
        <v/>
      </c>
      <c r="W1226" s="40" t="str">
        <f aca="false">IF($C1226="","",MAX(0,ROUND(N($K1226)-N($V1226),2)))</f>
        <v/>
      </c>
      <c r="X1226" s="40" t="str">
        <f aca="false">IF($C1226="","",ROUND(SUMIFS(应收净额,应收键,$D1226,应收行号,"&lt;="&amp;ROW()),2))</f>
        <v/>
      </c>
      <c r="Y1226" s="29" t="str">
        <f aca="false">IF($C1226="","",ROW())</f>
        <v/>
      </c>
    </row>
    <row r="1227" customFormat="false" ht="15" hidden="false" customHeight="false" outlineLevel="0" collapsed="false">
      <c r="A1227" s="29" t="str">
        <f aca="false">IF($C1227="","",ROW()-4)</f>
        <v/>
      </c>
      <c r="B1227" s="35" t="str">
        <f aca="false">IF($C1227="","","YS"&amp;TEXT($C1227,"yyyymm")&amp;"-"&amp;TEXT(ROW()-4,"0000"))</f>
        <v/>
      </c>
      <c r="C1227" s="33"/>
      <c r="D1227" s="24"/>
      <c r="E1227" s="30" t="str">
        <f aca="false">IF($D1227="","",IFERROR(INDEX(合同单位,MATCH($D1227,合同键,0)),IFERROR(TRIM(LEFT($D1227,FIND("｜",$D1227)-1)),$D1227)))</f>
        <v/>
      </c>
      <c r="F1227" s="30" t="str">
        <f aca="false">IF($D1227="","",IFERROR(INDEX(合同项目,MATCH($D1227,合同键,0)),IFERROR(TRIM(MID($D1227,FIND("｜",$D1227)+1,99)),"")))</f>
        <v/>
      </c>
      <c r="G1227" s="24"/>
      <c r="H1227" s="35" t="str">
        <f aca="false">IF($G1227="","",IFERROR(INDEX(费用款别,MATCH($G1227,费用类别表,0)),"合同外款"))</f>
        <v/>
      </c>
      <c r="I1227" s="33"/>
      <c r="J1227" s="33"/>
      <c r="K1227" s="39"/>
      <c r="L1227" s="33"/>
      <c r="M1227" s="25"/>
      <c r="N1227" s="39"/>
      <c r="O1227" s="35" t="str">
        <f aca="false">IF($C1227="","",IF(N($N1227)&lt;=0,"未开票",IF(ROUND(N($N1227)-N($K1227),2)&gt;=0,"已开票",IFERROR("部分开票 "&amp;TEXT(N($N1227)/N($K1227),"0%"),"部分开票"))))</f>
        <v/>
      </c>
      <c r="P1227" s="40" t="str">
        <f aca="false">IF($C1227="","",ROUND($V1227+MIN($W1227,MAX(0,(SUMIF(收款键,$D1227,收款金额)-SUMIFS(收款金额,收款键,$D1227,收款关联,"&lt;&gt;"))-($X1227-$W1227))),2))</f>
        <v/>
      </c>
      <c r="Q1227" s="41" t="str">
        <f aca="false">IF($C1227="","",ROUND(N($K1227)-N($P1227),2))</f>
        <v/>
      </c>
      <c r="R1227" s="29" t="str">
        <f aca="false">IF($C1227="","",YEAR($C1227))</f>
        <v/>
      </c>
      <c r="S1227" s="24"/>
      <c r="T1227" s="35" t="str">
        <f aca="false">IF($C1227="","",IF($D1227="","★没选客户项目",IF(COUNTIF(合同键,$D1227)=0,"★《维保合同》里没这个项目",IF(N($K1227)&lt;=0,"★应收金额要填",IF(ROUND(N($N1227)-N($K1227),2)&gt;0.001,"★开票金额大于应收",IF(AND($L1227&lt;&gt;"",N($N1227)&lt;=0),"★填了开票日期没填开票金额",IF(AND($I1227&lt;&gt;"",$J1227&lt;&gt;"",$J1227&lt;$I1227),"★计费期间起止反了","OK")))))))</f>
        <v/>
      </c>
      <c r="U1227" s="29" t="str">
        <f aca="false">IF($L1227="","",YEAR($L1227))</f>
        <v/>
      </c>
      <c r="V1227" s="40" t="str">
        <f aca="false">IF($C1227="","",ROUND(SUMIF(收款关联,$B1227,收款金额),2))</f>
        <v/>
      </c>
      <c r="W1227" s="40" t="str">
        <f aca="false">IF($C1227="","",MAX(0,ROUND(N($K1227)-N($V1227),2)))</f>
        <v/>
      </c>
      <c r="X1227" s="40" t="str">
        <f aca="false">IF($C1227="","",ROUND(SUMIFS(应收净额,应收键,$D1227,应收行号,"&lt;="&amp;ROW()),2))</f>
        <v/>
      </c>
      <c r="Y1227" s="29" t="str">
        <f aca="false">IF($C1227="","",ROW())</f>
        <v/>
      </c>
    </row>
    <row r="1228" customFormat="false" ht="15" hidden="false" customHeight="false" outlineLevel="0" collapsed="false">
      <c r="A1228" s="29" t="str">
        <f aca="false">IF($C1228="","",ROW()-4)</f>
        <v/>
      </c>
      <c r="B1228" s="35" t="str">
        <f aca="false">IF($C1228="","","YS"&amp;TEXT($C1228,"yyyymm")&amp;"-"&amp;TEXT(ROW()-4,"0000"))</f>
        <v/>
      </c>
      <c r="C1228" s="33"/>
      <c r="D1228" s="24"/>
      <c r="E1228" s="30" t="str">
        <f aca="false">IF($D1228="","",IFERROR(INDEX(合同单位,MATCH($D1228,合同键,0)),IFERROR(TRIM(LEFT($D1228,FIND("｜",$D1228)-1)),$D1228)))</f>
        <v/>
      </c>
      <c r="F1228" s="30" t="str">
        <f aca="false">IF($D1228="","",IFERROR(INDEX(合同项目,MATCH($D1228,合同键,0)),IFERROR(TRIM(MID($D1228,FIND("｜",$D1228)+1,99)),"")))</f>
        <v/>
      </c>
      <c r="G1228" s="24"/>
      <c r="H1228" s="35" t="str">
        <f aca="false">IF($G1228="","",IFERROR(INDEX(费用款别,MATCH($G1228,费用类别表,0)),"合同外款"))</f>
        <v/>
      </c>
      <c r="I1228" s="33"/>
      <c r="J1228" s="33"/>
      <c r="K1228" s="39"/>
      <c r="L1228" s="33"/>
      <c r="M1228" s="25"/>
      <c r="N1228" s="39"/>
      <c r="O1228" s="35" t="str">
        <f aca="false">IF($C1228="","",IF(N($N1228)&lt;=0,"未开票",IF(ROUND(N($N1228)-N($K1228),2)&gt;=0,"已开票",IFERROR("部分开票 "&amp;TEXT(N($N1228)/N($K1228),"0%"),"部分开票"))))</f>
        <v/>
      </c>
      <c r="P1228" s="40" t="str">
        <f aca="false">IF($C1228="","",ROUND($V1228+MIN($W1228,MAX(0,(SUMIF(收款键,$D1228,收款金额)-SUMIFS(收款金额,收款键,$D1228,收款关联,"&lt;&gt;"))-($X1228-$W1228))),2))</f>
        <v/>
      </c>
      <c r="Q1228" s="41" t="str">
        <f aca="false">IF($C1228="","",ROUND(N($K1228)-N($P1228),2))</f>
        <v/>
      </c>
      <c r="R1228" s="29" t="str">
        <f aca="false">IF($C1228="","",YEAR($C1228))</f>
        <v/>
      </c>
      <c r="S1228" s="24"/>
      <c r="T1228" s="35" t="str">
        <f aca="false">IF($C1228="","",IF($D1228="","★没选客户项目",IF(COUNTIF(合同键,$D1228)=0,"★《维保合同》里没这个项目",IF(N($K1228)&lt;=0,"★应收金额要填",IF(ROUND(N($N1228)-N($K1228),2)&gt;0.001,"★开票金额大于应收",IF(AND($L1228&lt;&gt;"",N($N1228)&lt;=0),"★填了开票日期没填开票金额",IF(AND($I1228&lt;&gt;"",$J1228&lt;&gt;"",$J1228&lt;$I1228),"★计费期间起止反了","OK")))))))</f>
        <v/>
      </c>
      <c r="U1228" s="29" t="str">
        <f aca="false">IF($L1228="","",YEAR($L1228))</f>
        <v/>
      </c>
      <c r="V1228" s="40" t="str">
        <f aca="false">IF($C1228="","",ROUND(SUMIF(收款关联,$B1228,收款金额),2))</f>
        <v/>
      </c>
      <c r="W1228" s="40" t="str">
        <f aca="false">IF($C1228="","",MAX(0,ROUND(N($K1228)-N($V1228),2)))</f>
        <v/>
      </c>
      <c r="X1228" s="40" t="str">
        <f aca="false">IF($C1228="","",ROUND(SUMIFS(应收净额,应收键,$D1228,应收行号,"&lt;="&amp;ROW()),2))</f>
        <v/>
      </c>
      <c r="Y1228" s="29" t="str">
        <f aca="false">IF($C1228="","",ROW())</f>
        <v/>
      </c>
    </row>
    <row r="1229" customFormat="false" ht="15" hidden="false" customHeight="false" outlineLevel="0" collapsed="false">
      <c r="A1229" s="29" t="str">
        <f aca="false">IF($C1229="","",ROW()-4)</f>
        <v/>
      </c>
      <c r="B1229" s="35" t="str">
        <f aca="false">IF($C1229="","","YS"&amp;TEXT($C1229,"yyyymm")&amp;"-"&amp;TEXT(ROW()-4,"0000"))</f>
        <v/>
      </c>
      <c r="C1229" s="33"/>
      <c r="D1229" s="24"/>
      <c r="E1229" s="30" t="str">
        <f aca="false">IF($D1229="","",IFERROR(INDEX(合同单位,MATCH($D1229,合同键,0)),IFERROR(TRIM(LEFT($D1229,FIND("｜",$D1229)-1)),$D1229)))</f>
        <v/>
      </c>
      <c r="F1229" s="30" t="str">
        <f aca="false">IF($D1229="","",IFERROR(INDEX(合同项目,MATCH($D1229,合同键,0)),IFERROR(TRIM(MID($D1229,FIND("｜",$D1229)+1,99)),"")))</f>
        <v/>
      </c>
      <c r="G1229" s="24"/>
      <c r="H1229" s="35" t="str">
        <f aca="false">IF($G1229="","",IFERROR(INDEX(费用款别,MATCH($G1229,费用类别表,0)),"合同外款"))</f>
        <v/>
      </c>
      <c r="I1229" s="33"/>
      <c r="J1229" s="33"/>
      <c r="K1229" s="39"/>
      <c r="L1229" s="33"/>
      <c r="M1229" s="25"/>
      <c r="N1229" s="39"/>
      <c r="O1229" s="35" t="str">
        <f aca="false">IF($C1229="","",IF(N($N1229)&lt;=0,"未开票",IF(ROUND(N($N1229)-N($K1229),2)&gt;=0,"已开票",IFERROR("部分开票 "&amp;TEXT(N($N1229)/N($K1229),"0%"),"部分开票"))))</f>
        <v/>
      </c>
      <c r="P1229" s="40" t="str">
        <f aca="false">IF($C1229="","",ROUND($V1229+MIN($W1229,MAX(0,(SUMIF(收款键,$D1229,收款金额)-SUMIFS(收款金额,收款键,$D1229,收款关联,"&lt;&gt;"))-($X1229-$W1229))),2))</f>
        <v/>
      </c>
      <c r="Q1229" s="41" t="str">
        <f aca="false">IF($C1229="","",ROUND(N($K1229)-N($P1229),2))</f>
        <v/>
      </c>
      <c r="R1229" s="29" t="str">
        <f aca="false">IF($C1229="","",YEAR($C1229))</f>
        <v/>
      </c>
      <c r="S1229" s="24"/>
      <c r="T1229" s="35" t="str">
        <f aca="false">IF($C1229="","",IF($D1229="","★没选客户项目",IF(COUNTIF(合同键,$D1229)=0,"★《维保合同》里没这个项目",IF(N($K1229)&lt;=0,"★应收金额要填",IF(ROUND(N($N1229)-N($K1229),2)&gt;0.001,"★开票金额大于应收",IF(AND($L1229&lt;&gt;"",N($N1229)&lt;=0),"★填了开票日期没填开票金额",IF(AND($I1229&lt;&gt;"",$J1229&lt;&gt;"",$J1229&lt;$I1229),"★计费期间起止反了","OK")))))))</f>
        <v/>
      </c>
      <c r="U1229" s="29" t="str">
        <f aca="false">IF($L1229="","",YEAR($L1229))</f>
        <v/>
      </c>
      <c r="V1229" s="40" t="str">
        <f aca="false">IF($C1229="","",ROUND(SUMIF(收款关联,$B1229,收款金额),2))</f>
        <v/>
      </c>
      <c r="W1229" s="40" t="str">
        <f aca="false">IF($C1229="","",MAX(0,ROUND(N($K1229)-N($V1229),2)))</f>
        <v/>
      </c>
      <c r="X1229" s="40" t="str">
        <f aca="false">IF($C1229="","",ROUND(SUMIFS(应收净额,应收键,$D1229,应收行号,"&lt;="&amp;ROW()),2))</f>
        <v/>
      </c>
      <c r="Y1229" s="29" t="str">
        <f aca="false">IF($C1229="","",ROW())</f>
        <v/>
      </c>
    </row>
    <row r="1230" customFormat="false" ht="15" hidden="false" customHeight="false" outlineLevel="0" collapsed="false">
      <c r="A1230" s="29" t="str">
        <f aca="false">IF($C1230="","",ROW()-4)</f>
        <v/>
      </c>
      <c r="B1230" s="35" t="str">
        <f aca="false">IF($C1230="","","YS"&amp;TEXT($C1230,"yyyymm")&amp;"-"&amp;TEXT(ROW()-4,"0000"))</f>
        <v/>
      </c>
      <c r="C1230" s="33"/>
      <c r="D1230" s="24"/>
      <c r="E1230" s="30" t="str">
        <f aca="false">IF($D1230="","",IFERROR(INDEX(合同单位,MATCH($D1230,合同键,0)),IFERROR(TRIM(LEFT($D1230,FIND("｜",$D1230)-1)),$D1230)))</f>
        <v/>
      </c>
      <c r="F1230" s="30" t="str">
        <f aca="false">IF($D1230="","",IFERROR(INDEX(合同项目,MATCH($D1230,合同键,0)),IFERROR(TRIM(MID($D1230,FIND("｜",$D1230)+1,99)),"")))</f>
        <v/>
      </c>
      <c r="G1230" s="24"/>
      <c r="H1230" s="35" t="str">
        <f aca="false">IF($G1230="","",IFERROR(INDEX(费用款别,MATCH($G1230,费用类别表,0)),"合同外款"))</f>
        <v/>
      </c>
      <c r="I1230" s="33"/>
      <c r="J1230" s="33"/>
      <c r="K1230" s="39"/>
      <c r="L1230" s="33"/>
      <c r="M1230" s="25"/>
      <c r="N1230" s="39"/>
      <c r="O1230" s="35" t="str">
        <f aca="false">IF($C1230="","",IF(N($N1230)&lt;=0,"未开票",IF(ROUND(N($N1230)-N($K1230),2)&gt;=0,"已开票",IFERROR("部分开票 "&amp;TEXT(N($N1230)/N($K1230),"0%"),"部分开票"))))</f>
        <v/>
      </c>
      <c r="P1230" s="40" t="str">
        <f aca="false">IF($C1230="","",ROUND($V1230+MIN($W1230,MAX(0,(SUMIF(收款键,$D1230,收款金额)-SUMIFS(收款金额,收款键,$D1230,收款关联,"&lt;&gt;"))-($X1230-$W1230))),2))</f>
        <v/>
      </c>
      <c r="Q1230" s="41" t="str">
        <f aca="false">IF($C1230="","",ROUND(N($K1230)-N($P1230),2))</f>
        <v/>
      </c>
      <c r="R1230" s="29" t="str">
        <f aca="false">IF($C1230="","",YEAR($C1230))</f>
        <v/>
      </c>
      <c r="S1230" s="24"/>
      <c r="T1230" s="35" t="str">
        <f aca="false">IF($C1230="","",IF($D1230="","★没选客户项目",IF(COUNTIF(合同键,$D1230)=0,"★《维保合同》里没这个项目",IF(N($K1230)&lt;=0,"★应收金额要填",IF(ROUND(N($N1230)-N($K1230),2)&gt;0.001,"★开票金额大于应收",IF(AND($L1230&lt;&gt;"",N($N1230)&lt;=0),"★填了开票日期没填开票金额",IF(AND($I1230&lt;&gt;"",$J1230&lt;&gt;"",$J1230&lt;$I1230),"★计费期间起止反了","OK")))))))</f>
        <v/>
      </c>
      <c r="U1230" s="29" t="str">
        <f aca="false">IF($L1230="","",YEAR($L1230))</f>
        <v/>
      </c>
      <c r="V1230" s="40" t="str">
        <f aca="false">IF($C1230="","",ROUND(SUMIF(收款关联,$B1230,收款金额),2))</f>
        <v/>
      </c>
      <c r="W1230" s="40" t="str">
        <f aca="false">IF($C1230="","",MAX(0,ROUND(N($K1230)-N($V1230),2)))</f>
        <v/>
      </c>
      <c r="X1230" s="40" t="str">
        <f aca="false">IF($C1230="","",ROUND(SUMIFS(应收净额,应收键,$D1230,应收行号,"&lt;="&amp;ROW()),2))</f>
        <v/>
      </c>
      <c r="Y1230" s="29" t="str">
        <f aca="false">IF($C1230="","",ROW())</f>
        <v/>
      </c>
    </row>
    <row r="1231" customFormat="false" ht="15" hidden="false" customHeight="false" outlineLevel="0" collapsed="false">
      <c r="A1231" s="29" t="str">
        <f aca="false">IF($C1231="","",ROW()-4)</f>
        <v/>
      </c>
      <c r="B1231" s="35" t="str">
        <f aca="false">IF($C1231="","","YS"&amp;TEXT($C1231,"yyyymm")&amp;"-"&amp;TEXT(ROW()-4,"0000"))</f>
        <v/>
      </c>
      <c r="C1231" s="33"/>
      <c r="D1231" s="24"/>
      <c r="E1231" s="30" t="str">
        <f aca="false">IF($D1231="","",IFERROR(INDEX(合同单位,MATCH($D1231,合同键,0)),IFERROR(TRIM(LEFT($D1231,FIND("｜",$D1231)-1)),$D1231)))</f>
        <v/>
      </c>
      <c r="F1231" s="30" t="str">
        <f aca="false">IF($D1231="","",IFERROR(INDEX(合同项目,MATCH($D1231,合同键,0)),IFERROR(TRIM(MID($D1231,FIND("｜",$D1231)+1,99)),"")))</f>
        <v/>
      </c>
      <c r="G1231" s="24"/>
      <c r="H1231" s="35" t="str">
        <f aca="false">IF($G1231="","",IFERROR(INDEX(费用款别,MATCH($G1231,费用类别表,0)),"合同外款"))</f>
        <v/>
      </c>
      <c r="I1231" s="33"/>
      <c r="J1231" s="33"/>
      <c r="K1231" s="39"/>
      <c r="L1231" s="33"/>
      <c r="M1231" s="25"/>
      <c r="N1231" s="39"/>
      <c r="O1231" s="35" t="str">
        <f aca="false">IF($C1231="","",IF(N($N1231)&lt;=0,"未开票",IF(ROUND(N($N1231)-N($K1231),2)&gt;=0,"已开票",IFERROR("部分开票 "&amp;TEXT(N($N1231)/N($K1231),"0%"),"部分开票"))))</f>
        <v/>
      </c>
      <c r="P1231" s="40" t="str">
        <f aca="false">IF($C1231="","",ROUND($V1231+MIN($W1231,MAX(0,(SUMIF(收款键,$D1231,收款金额)-SUMIFS(收款金额,收款键,$D1231,收款关联,"&lt;&gt;"))-($X1231-$W1231))),2))</f>
        <v/>
      </c>
      <c r="Q1231" s="41" t="str">
        <f aca="false">IF($C1231="","",ROUND(N($K1231)-N($P1231),2))</f>
        <v/>
      </c>
      <c r="R1231" s="29" t="str">
        <f aca="false">IF($C1231="","",YEAR($C1231))</f>
        <v/>
      </c>
      <c r="S1231" s="24"/>
      <c r="T1231" s="35" t="str">
        <f aca="false">IF($C1231="","",IF($D1231="","★没选客户项目",IF(COUNTIF(合同键,$D1231)=0,"★《维保合同》里没这个项目",IF(N($K1231)&lt;=0,"★应收金额要填",IF(ROUND(N($N1231)-N($K1231),2)&gt;0.001,"★开票金额大于应收",IF(AND($L1231&lt;&gt;"",N($N1231)&lt;=0),"★填了开票日期没填开票金额",IF(AND($I1231&lt;&gt;"",$J1231&lt;&gt;"",$J1231&lt;$I1231),"★计费期间起止反了","OK")))))))</f>
        <v/>
      </c>
      <c r="U1231" s="29" t="str">
        <f aca="false">IF($L1231="","",YEAR($L1231))</f>
        <v/>
      </c>
      <c r="V1231" s="40" t="str">
        <f aca="false">IF($C1231="","",ROUND(SUMIF(收款关联,$B1231,收款金额),2))</f>
        <v/>
      </c>
      <c r="W1231" s="40" t="str">
        <f aca="false">IF($C1231="","",MAX(0,ROUND(N($K1231)-N($V1231),2)))</f>
        <v/>
      </c>
      <c r="X1231" s="40" t="str">
        <f aca="false">IF($C1231="","",ROUND(SUMIFS(应收净额,应收键,$D1231,应收行号,"&lt;="&amp;ROW()),2))</f>
        <v/>
      </c>
      <c r="Y1231" s="29" t="str">
        <f aca="false">IF($C1231="","",ROW())</f>
        <v/>
      </c>
    </row>
    <row r="1232" customFormat="false" ht="15" hidden="false" customHeight="false" outlineLevel="0" collapsed="false">
      <c r="A1232" s="29" t="str">
        <f aca="false">IF($C1232="","",ROW()-4)</f>
        <v/>
      </c>
      <c r="B1232" s="35" t="str">
        <f aca="false">IF($C1232="","","YS"&amp;TEXT($C1232,"yyyymm")&amp;"-"&amp;TEXT(ROW()-4,"0000"))</f>
        <v/>
      </c>
      <c r="C1232" s="33"/>
      <c r="D1232" s="24"/>
      <c r="E1232" s="30" t="str">
        <f aca="false">IF($D1232="","",IFERROR(INDEX(合同单位,MATCH($D1232,合同键,0)),IFERROR(TRIM(LEFT($D1232,FIND("｜",$D1232)-1)),$D1232)))</f>
        <v/>
      </c>
      <c r="F1232" s="30" t="str">
        <f aca="false">IF($D1232="","",IFERROR(INDEX(合同项目,MATCH($D1232,合同键,0)),IFERROR(TRIM(MID($D1232,FIND("｜",$D1232)+1,99)),"")))</f>
        <v/>
      </c>
      <c r="G1232" s="24"/>
      <c r="H1232" s="35" t="str">
        <f aca="false">IF($G1232="","",IFERROR(INDEX(费用款别,MATCH($G1232,费用类别表,0)),"合同外款"))</f>
        <v/>
      </c>
      <c r="I1232" s="33"/>
      <c r="J1232" s="33"/>
      <c r="K1232" s="39"/>
      <c r="L1232" s="33"/>
      <c r="M1232" s="25"/>
      <c r="N1232" s="39"/>
      <c r="O1232" s="35" t="str">
        <f aca="false">IF($C1232="","",IF(N($N1232)&lt;=0,"未开票",IF(ROUND(N($N1232)-N($K1232),2)&gt;=0,"已开票",IFERROR("部分开票 "&amp;TEXT(N($N1232)/N($K1232),"0%"),"部分开票"))))</f>
        <v/>
      </c>
      <c r="P1232" s="40" t="str">
        <f aca="false">IF($C1232="","",ROUND($V1232+MIN($W1232,MAX(0,(SUMIF(收款键,$D1232,收款金额)-SUMIFS(收款金额,收款键,$D1232,收款关联,"&lt;&gt;"))-($X1232-$W1232))),2))</f>
        <v/>
      </c>
      <c r="Q1232" s="41" t="str">
        <f aca="false">IF($C1232="","",ROUND(N($K1232)-N($P1232),2))</f>
        <v/>
      </c>
      <c r="R1232" s="29" t="str">
        <f aca="false">IF($C1232="","",YEAR($C1232))</f>
        <v/>
      </c>
      <c r="S1232" s="24"/>
      <c r="T1232" s="35" t="str">
        <f aca="false">IF($C1232="","",IF($D1232="","★没选客户项目",IF(COUNTIF(合同键,$D1232)=0,"★《维保合同》里没这个项目",IF(N($K1232)&lt;=0,"★应收金额要填",IF(ROUND(N($N1232)-N($K1232),2)&gt;0.001,"★开票金额大于应收",IF(AND($L1232&lt;&gt;"",N($N1232)&lt;=0),"★填了开票日期没填开票金额",IF(AND($I1232&lt;&gt;"",$J1232&lt;&gt;"",$J1232&lt;$I1232),"★计费期间起止反了","OK")))))))</f>
        <v/>
      </c>
      <c r="U1232" s="29" t="str">
        <f aca="false">IF($L1232="","",YEAR($L1232))</f>
        <v/>
      </c>
      <c r="V1232" s="40" t="str">
        <f aca="false">IF($C1232="","",ROUND(SUMIF(收款关联,$B1232,收款金额),2))</f>
        <v/>
      </c>
      <c r="W1232" s="40" t="str">
        <f aca="false">IF($C1232="","",MAX(0,ROUND(N($K1232)-N($V1232),2)))</f>
        <v/>
      </c>
      <c r="X1232" s="40" t="str">
        <f aca="false">IF($C1232="","",ROUND(SUMIFS(应收净额,应收键,$D1232,应收行号,"&lt;="&amp;ROW()),2))</f>
        <v/>
      </c>
      <c r="Y1232" s="29" t="str">
        <f aca="false">IF($C1232="","",ROW())</f>
        <v/>
      </c>
    </row>
    <row r="1233" customFormat="false" ht="15" hidden="false" customHeight="false" outlineLevel="0" collapsed="false">
      <c r="A1233" s="29" t="str">
        <f aca="false">IF($C1233="","",ROW()-4)</f>
        <v/>
      </c>
      <c r="B1233" s="35" t="str">
        <f aca="false">IF($C1233="","","YS"&amp;TEXT($C1233,"yyyymm")&amp;"-"&amp;TEXT(ROW()-4,"0000"))</f>
        <v/>
      </c>
      <c r="C1233" s="33"/>
      <c r="D1233" s="24"/>
      <c r="E1233" s="30" t="str">
        <f aca="false">IF($D1233="","",IFERROR(INDEX(合同单位,MATCH($D1233,合同键,0)),IFERROR(TRIM(LEFT($D1233,FIND("｜",$D1233)-1)),$D1233)))</f>
        <v/>
      </c>
      <c r="F1233" s="30" t="str">
        <f aca="false">IF($D1233="","",IFERROR(INDEX(合同项目,MATCH($D1233,合同键,0)),IFERROR(TRIM(MID($D1233,FIND("｜",$D1233)+1,99)),"")))</f>
        <v/>
      </c>
      <c r="G1233" s="24"/>
      <c r="H1233" s="35" t="str">
        <f aca="false">IF($G1233="","",IFERROR(INDEX(费用款别,MATCH($G1233,费用类别表,0)),"合同外款"))</f>
        <v/>
      </c>
      <c r="I1233" s="33"/>
      <c r="J1233" s="33"/>
      <c r="K1233" s="39"/>
      <c r="L1233" s="33"/>
      <c r="M1233" s="25"/>
      <c r="N1233" s="39"/>
      <c r="O1233" s="35" t="str">
        <f aca="false">IF($C1233="","",IF(N($N1233)&lt;=0,"未开票",IF(ROUND(N($N1233)-N($K1233),2)&gt;=0,"已开票",IFERROR("部分开票 "&amp;TEXT(N($N1233)/N($K1233),"0%"),"部分开票"))))</f>
        <v/>
      </c>
      <c r="P1233" s="40" t="str">
        <f aca="false">IF($C1233="","",ROUND($V1233+MIN($W1233,MAX(0,(SUMIF(收款键,$D1233,收款金额)-SUMIFS(收款金额,收款键,$D1233,收款关联,"&lt;&gt;"))-($X1233-$W1233))),2))</f>
        <v/>
      </c>
      <c r="Q1233" s="41" t="str">
        <f aca="false">IF($C1233="","",ROUND(N($K1233)-N($P1233),2))</f>
        <v/>
      </c>
      <c r="R1233" s="29" t="str">
        <f aca="false">IF($C1233="","",YEAR($C1233))</f>
        <v/>
      </c>
      <c r="S1233" s="24"/>
      <c r="T1233" s="35" t="str">
        <f aca="false">IF($C1233="","",IF($D1233="","★没选客户项目",IF(COUNTIF(合同键,$D1233)=0,"★《维保合同》里没这个项目",IF(N($K1233)&lt;=0,"★应收金额要填",IF(ROUND(N($N1233)-N($K1233),2)&gt;0.001,"★开票金额大于应收",IF(AND($L1233&lt;&gt;"",N($N1233)&lt;=0),"★填了开票日期没填开票金额",IF(AND($I1233&lt;&gt;"",$J1233&lt;&gt;"",$J1233&lt;$I1233),"★计费期间起止反了","OK")))))))</f>
        <v/>
      </c>
      <c r="U1233" s="29" t="str">
        <f aca="false">IF($L1233="","",YEAR($L1233))</f>
        <v/>
      </c>
      <c r="V1233" s="40" t="str">
        <f aca="false">IF($C1233="","",ROUND(SUMIF(收款关联,$B1233,收款金额),2))</f>
        <v/>
      </c>
      <c r="W1233" s="40" t="str">
        <f aca="false">IF($C1233="","",MAX(0,ROUND(N($K1233)-N($V1233),2)))</f>
        <v/>
      </c>
      <c r="X1233" s="40" t="str">
        <f aca="false">IF($C1233="","",ROUND(SUMIFS(应收净额,应收键,$D1233,应收行号,"&lt;="&amp;ROW()),2))</f>
        <v/>
      </c>
      <c r="Y1233" s="29" t="str">
        <f aca="false">IF($C1233="","",ROW())</f>
        <v/>
      </c>
    </row>
    <row r="1234" customFormat="false" ht="15" hidden="false" customHeight="false" outlineLevel="0" collapsed="false">
      <c r="A1234" s="29" t="str">
        <f aca="false">IF($C1234="","",ROW()-4)</f>
        <v/>
      </c>
      <c r="B1234" s="35" t="str">
        <f aca="false">IF($C1234="","","YS"&amp;TEXT($C1234,"yyyymm")&amp;"-"&amp;TEXT(ROW()-4,"0000"))</f>
        <v/>
      </c>
      <c r="C1234" s="33"/>
      <c r="D1234" s="24"/>
      <c r="E1234" s="30" t="str">
        <f aca="false">IF($D1234="","",IFERROR(INDEX(合同单位,MATCH($D1234,合同键,0)),IFERROR(TRIM(LEFT($D1234,FIND("｜",$D1234)-1)),$D1234)))</f>
        <v/>
      </c>
      <c r="F1234" s="30" t="str">
        <f aca="false">IF($D1234="","",IFERROR(INDEX(合同项目,MATCH($D1234,合同键,0)),IFERROR(TRIM(MID($D1234,FIND("｜",$D1234)+1,99)),"")))</f>
        <v/>
      </c>
      <c r="G1234" s="24"/>
      <c r="H1234" s="35" t="str">
        <f aca="false">IF($G1234="","",IFERROR(INDEX(费用款别,MATCH($G1234,费用类别表,0)),"合同外款"))</f>
        <v/>
      </c>
      <c r="I1234" s="33"/>
      <c r="J1234" s="33"/>
      <c r="K1234" s="39"/>
      <c r="L1234" s="33"/>
      <c r="M1234" s="25"/>
      <c r="N1234" s="39"/>
      <c r="O1234" s="35" t="str">
        <f aca="false">IF($C1234="","",IF(N($N1234)&lt;=0,"未开票",IF(ROUND(N($N1234)-N($K1234),2)&gt;=0,"已开票",IFERROR("部分开票 "&amp;TEXT(N($N1234)/N($K1234),"0%"),"部分开票"))))</f>
        <v/>
      </c>
      <c r="P1234" s="40" t="str">
        <f aca="false">IF($C1234="","",ROUND($V1234+MIN($W1234,MAX(0,(SUMIF(收款键,$D1234,收款金额)-SUMIFS(收款金额,收款键,$D1234,收款关联,"&lt;&gt;"))-($X1234-$W1234))),2))</f>
        <v/>
      </c>
      <c r="Q1234" s="41" t="str">
        <f aca="false">IF($C1234="","",ROUND(N($K1234)-N($P1234),2))</f>
        <v/>
      </c>
      <c r="R1234" s="29" t="str">
        <f aca="false">IF($C1234="","",YEAR($C1234))</f>
        <v/>
      </c>
      <c r="S1234" s="24"/>
      <c r="T1234" s="35" t="str">
        <f aca="false">IF($C1234="","",IF($D1234="","★没选客户项目",IF(COUNTIF(合同键,$D1234)=0,"★《维保合同》里没这个项目",IF(N($K1234)&lt;=0,"★应收金额要填",IF(ROUND(N($N1234)-N($K1234),2)&gt;0.001,"★开票金额大于应收",IF(AND($L1234&lt;&gt;"",N($N1234)&lt;=0),"★填了开票日期没填开票金额",IF(AND($I1234&lt;&gt;"",$J1234&lt;&gt;"",$J1234&lt;$I1234),"★计费期间起止反了","OK")))))))</f>
        <v/>
      </c>
      <c r="U1234" s="29" t="str">
        <f aca="false">IF($L1234="","",YEAR($L1234))</f>
        <v/>
      </c>
      <c r="V1234" s="40" t="str">
        <f aca="false">IF($C1234="","",ROUND(SUMIF(收款关联,$B1234,收款金额),2))</f>
        <v/>
      </c>
      <c r="W1234" s="40" t="str">
        <f aca="false">IF($C1234="","",MAX(0,ROUND(N($K1234)-N($V1234),2)))</f>
        <v/>
      </c>
      <c r="X1234" s="40" t="str">
        <f aca="false">IF($C1234="","",ROUND(SUMIFS(应收净额,应收键,$D1234,应收行号,"&lt;="&amp;ROW()),2))</f>
        <v/>
      </c>
      <c r="Y1234" s="29" t="str">
        <f aca="false">IF($C1234="","",ROW())</f>
        <v/>
      </c>
    </row>
    <row r="1235" customFormat="false" ht="15" hidden="false" customHeight="false" outlineLevel="0" collapsed="false">
      <c r="A1235" s="29" t="str">
        <f aca="false">IF($C1235="","",ROW()-4)</f>
        <v/>
      </c>
      <c r="B1235" s="35" t="str">
        <f aca="false">IF($C1235="","","YS"&amp;TEXT($C1235,"yyyymm")&amp;"-"&amp;TEXT(ROW()-4,"0000"))</f>
        <v/>
      </c>
      <c r="C1235" s="33"/>
      <c r="D1235" s="24"/>
      <c r="E1235" s="30" t="str">
        <f aca="false">IF($D1235="","",IFERROR(INDEX(合同单位,MATCH($D1235,合同键,0)),IFERROR(TRIM(LEFT($D1235,FIND("｜",$D1235)-1)),$D1235)))</f>
        <v/>
      </c>
      <c r="F1235" s="30" t="str">
        <f aca="false">IF($D1235="","",IFERROR(INDEX(合同项目,MATCH($D1235,合同键,0)),IFERROR(TRIM(MID($D1235,FIND("｜",$D1235)+1,99)),"")))</f>
        <v/>
      </c>
      <c r="G1235" s="24"/>
      <c r="H1235" s="35" t="str">
        <f aca="false">IF($G1235="","",IFERROR(INDEX(费用款别,MATCH($G1235,费用类别表,0)),"合同外款"))</f>
        <v/>
      </c>
      <c r="I1235" s="33"/>
      <c r="J1235" s="33"/>
      <c r="K1235" s="39"/>
      <c r="L1235" s="33"/>
      <c r="M1235" s="25"/>
      <c r="N1235" s="39"/>
      <c r="O1235" s="35" t="str">
        <f aca="false">IF($C1235="","",IF(N($N1235)&lt;=0,"未开票",IF(ROUND(N($N1235)-N($K1235),2)&gt;=0,"已开票",IFERROR("部分开票 "&amp;TEXT(N($N1235)/N($K1235),"0%"),"部分开票"))))</f>
        <v/>
      </c>
      <c r="P1235" s="40" t="str">
        <f aca="false">IF($C1235="","",ROUND($V1235+MIN($W1235,MAX(0,(SUMIF(收款键,$D1235,收款金额)-SUMIFS(收款金额,收款键,$D1235,收款关联,"&lt;&gt;"))-($X1235-$W1235))),2))</f>
        <v/>
      </c>
      <c r="Q1235" s="41" t="str">
        <f aca="false">IF($C1235="","",ROUND(N($K1235)-N($P1235),2))</f>
        <v/>
      </c>
      <c r="R1235" s="29" t="str">
        <f aca="false">IF($C1235="","",YEAR($C1235))</f>
        <v/>
      </c>
      <c r="S1235" s="24"/>
      <c r="T1235" s="35" t="str">
        <f aca="false">IF($C1235="","",IF($D1235="","★没选客户项目",IF(COUNTIF(合同键,$D1235)=0,"★《维保合同》里没这个项目",IF(N($K1235)&lt;=0,"★应收金额要填",IF(ROUND(N($N1235)-N($K1235),2)&gt;0.001,"★开票金额大于应收",IF(AND($L1235&lt;&gt;"",N($N1235)&lt;=0),"★填了开票日期没填开票金额",IF(AND($I1235&lt;&gt;"",$J1235&lt;&gt;"",$J1235&lt;$I1235),"★计费期间起止反了","OK")))))))</f>
        <v/>
      </c>
      <c r="U1235" s="29" t="str">
        <f aca="false">IF($L1235="","",YEAR($L1235))</f>
        <v/>
      </c>
      <c r="V1235" s="40" t="str">
        <f aca="false">IF($C1235="","",ROUND(SUMIF(收款关联,$B1235,收款金额),2))</f>
        <v/>
      </c>
      <c r="W1235" s="40" t="str">
        <f aca="false">IF($C1235="","",MAX(0,ROUND(N($K1235)-N($V1235),2)))</f>
        <v/>
      </c>
      <c r="X1235" s="40" t="str">
        <f aca="false">IF($C1235="","",ROUND(SUMIFS(应收净额,应收键,$D1235,应收行号,"&lt;="&amp;ROW()),2))</f>
        <v/>
      </c>
      <c r="Y1235" s="29" t="str">
        <f aca="false">IF($C1235="","",ROW())</f>
        <v/>
      </c>
    </row>
    <row r="1236" customFormat="false" ht="15" hidden="false" customHeight="false" outlineLevel="0" collapsed="false">
      <c r="A1236" s="29" t="str">
        <f aca="false">IF($C1236="","",ROW()-4)</f>
        <v/>
      </c>
      <c r="B1236" s="35" t="str">
        <f aca="false">IF($C1236="","","YS"&amp;TEXT($C1236,"yyyymm")&amp;"-"&amp;TEXT(ROW()-4,"0000"))</f>
        <v/>
      </c>
      <c r="C1236" s="33"/>
      <c r="D1236" s="24"/>
      <c r="E1236" s="30" t="str">
        <f aca="false">IF($D1236="","",IFERROR(INDEX(合同单位,MATCH($D1236,合同键,0)),IFERROR(TRIM(LEFT($D1236,FIND("｜",$D1236)-1)),$D1236)))</f>
        <v/>
      </c>
      <c r="F1236" s="30" t="str">
        <f aca="false">IF($D1236="","",IFERROR(INDEX(合同项目,MATCH($D1236,合同键,0)),IFERROR(TRIM(MID($D1236,FIND("｜",$D1236)+1,99)),"")))</f>
        <v/>
      </c>
      <c r="G1236" s="24"/>
      <c r="H1236" s="35" t="str">
        <f aca="false">IF($G1236="","",IFERROR(INDEX(费用款别,MATCH($G1236,费用类别表,0)),"合同外款"))</f>
        <v/>
      </c>
      <c r="I1236" s="33"/>
      <c r="J1236" s="33"/>
      <c r="K1236" s="39"/>
      <c r="L1236" s="33"/>
      <c r="M1236" s="25"/>
      <c r="N1236" s="39"/>
      <c r="O1236" s="35" t="str">
        <f aca="false">IF($C1236="","",IF(N($N1236)&lt;=0,"未开票",IF(ROUND(N($N1236)-N($K1236),2)&gt;=0,"已开票",IFERROR("部分开票 "&amp;TEXT(N($N1236)/N($K1236),"0%"),"部分开票"))))</f>
        <v/>
      </c>
      <c r="P1236" s="40" t="str">
        <f aca="false">IF($C1236="","",ROUND($V1236+MIN($W1236,MAX(0,(SUMIF(收款键,$D1236,收款金额)-SUMIFS(收款金额,收款键,$D1236,收款关联,"&lt;&gt;"))-($X1236-$W1236))),2))</f>
        <v/>
      </c>
      <c r="Q1236" s="41" t="str">
        <f aca="false">IF($C1236="","",ROUND(N($K1236)-N($P1236),2))</f>
        <v/>
      </c>
      <c r="R1236" s="29" t="str">
        <f aca="false">IF($C1236="","",YEAR($C1236))</f>
        <v/>
      </c>
      <c r="S1236" s="24"/>
      <c r="T1236" s="35" t="str">
        <f aca="false">IF($C1236="","",IF($D1236="","★没选客户项目",IF(COUNTIF(合同键,$D1236)=0,"★《维保合同》里没这个项目",IF(N($K1236)&lt;=0,"★应收金额要填",IF(ROUND(N($N1236)-N($K1236),2)&gt;0.001,"★开票金额大于应收",IF(AND($L1236&lt;&gt;"",N($N1236)&lt;=0),"★填了开票日期没填开票金额",IF(AND($I1236&lt;&gt;"",$J1236&lt;&gt;"",$J1236&lt;$I1236),"★计费期间起止反了","OK")))))))</f>
        <v/>
      </c>
      <c r="U1236" s="29" t="str">
        <f aca="false">IF($L1236="","",YEAR($L1236))</f>
        <v/>
      </c>
      <c r="V1236" s="40" t="str">
        <f aca="false">IF($C1236="","",ROUND(SUMIF(收款关联,$B1236,收款金额),2))</f>
        <v/>
      </c>
      <c r="W1236" s="40" t="str">
        <f aca="false">IF($C1236="","",MAX(0,ROUND(N($K1236)-N($V1236),2)))</f>
        <v/>
      </c>
      <c r="X1236" s="40" t="str">
        <f aca="false">IF($C1236="","",ROUND(SUMIFS(应收净额,应收键,$D1236,应收行号,"&lt;="&amp;ROW()),2))</f>
        <v/>
      </c>
      <c r="Y1236" s="29" t="str">
        <f aca="false">IF($C1236="","",ROW())</f>
        <v/>
      </c>
    </row>
    <row r="1237" customFormat="false" ht="15" hidden="false" customHeight="false" outlineLevel="0" collapsed="false">
      <c r="A1237" s="29" t="str">
        <f aca="false">IF($C1237="","",ROW()-4)</f>
        <v/>
      </c>
      <c r="B1237" s="35" t="str">
        <f aca="false">IF($C1237="","","YS"&amp;TEXT($C1237,"yyyymm")&amp;"-"&amp;TEXT(ROW()-4,"0000"))</f>
        <v/>
      </c>
      <c r="C1237" s="33"/>
      <c r="D1237" s="24"/>
      <c r="E1237" s="30" t="str">
        <f aca="false">IF($D1237="","",IFERROR(INDEX(合同单位,MATCH($D1237,合同键,0)),IFERROR(TRIM(LEFT($D1237,FIND("｜",$D1237)-1)),$D1237)))</f>
        <v/>
      </c>
      <c r="F1237" s="30" t="str">
        <f aca="false">IF($D1237="","",IFERROR(INDEX(合同项目,MATCH($D1237,合同键,0)),IFERROR(TRIM(MID($D1237,FIND("｜",$D1237)+1,99)),"")))</f>
        <v/>
      </c>
      <c r="G1237" s="24"/>
      <c r="H1237" s="35" t="str">
        <f aca="false">IF($G1237="","",IFERROR(INDEX(费用款别,MATCH($G1237,费用类别表,0)),"合同外款"))</f>
        <v/>
      </c>
      <c r="I1237" s="33"/>
      <c r="J1237" s="33"/>
      <c r="K1237" s="39"/>
      <c r="L1237" s="33"/>
      <c r="M1237" s="25"/>
      <c r="N1237" s="39"/>
      <c r="O1237" s="35" t="str">
        <f aca="false">IF($C1237="","",IF(N($N1237)&lt;=0,"未开票",IF(ROUND(N($N1237)-N($K1237),2)&gt;=0,"已开票",IFERROR("部分开票 "&amp;TEXT(N($N1237)/N($K1237),"0%"),"部分开票"))))</f>
        <v/>
      </c>
      <c r="P1237" s="40" t="str">
        <f aca="false">IF($C1237="","",ROUND($V1237+MIN($W1237,MAX(0,(SUMIF(收款键,$D1237,收款金额)-SUMIFS(收款金额,收款键,$D1237,收款关联,"&lt;&gt;"))-($X1237-$W1237))),2))</f>
        <v/>
      </c>
      <c r="Q1237" s="41" t="str">
        <f aca="false">IF($C1237="","",ROUND(N($K1237)-N($P1237),2))</f>
        <v/>
      </c>
      <c r="R1237" s="29" t="str">
        <f aca="false">IF($C1237="","",YEAR($C1237))</f>
        <v/>
      </c>
      <c r="S1237" s="24"/>
      <c r="T1237" s="35" t="str">
        <f aca="false">IF($C1237="","",IF($D1237="","★没选客户项目",IF(COUNTIF(合同键,$D1237)=0,"★《维保合同》里没这个项目",IF(N($K1237)&lt;=0,"★应收金额要填",IF(ROUND(N($N1237)-N($K1237),2)&gt;0.001,"★开票金额大于应收",IF(AND($L1237&lt;&gt;"",N($N1237)&lt;=0),"★填了开票日期没填开票金额",IF(AND($I1237&lt;&gt;"",$J1237&lt;&gt;"",$J1237&lt;$I1237),"★计费期间起止反了","OK")))))))</f>
        <v/>
      </c>
      <c r="U1237" s="29" t="str">
        <f aca="false">IF($L1237="","",YEAR($L1237))</f>
        <v/>
      </c>
      <c r="V1237" s="40" t="str">
        <f aca="false">IF($C1237="","",ROUND(SUMIF(收款关联,$B1237,收款金额),2))</f>
        <v/>
      </c>
      <c r="W1237" s="40" t="str">
        <f aca="false">IF($C1237="","",MAX(0,ROUND(N($K1237)-N($V1237),2)))</f>
        <v/>
      </c>
      <c r="X1237" s="40" t="str">
        <f aca="false">IF($C1237="","",ROUND(SUMIFS(应收净额,应收键,$D1237,应收行号,"&lt;="&amp;ROW()),2))</f>
        <v/>
      </c>
      <c r="Y1237" s="29" t="str">
        <f aca="false">IF($C1237="","",ROW())</f>
        <v/>
      </c>
    </row>
    <row r="1238" customFormat="false" ht="15" hidden="false" customHeight="false" outlineLevel="0" collapsed="false">
      <c r="A1238" s="29" t="str">
        <f aca="false">IF($C1238="","",ROW()-4)</f>
        <v/>
      </c>
      <c r="B1238" s="35" t="str">
        <f aca="false">IF($C1238="","","YS"&amp;TEXT($C1238,"yyyymm")&amp;"-"&amp;TEXT(ROW()-4,"0000"))</f>
        <v/>
      </c>
      <c r="C1238" s="33"/>
      <c r="D1238" s="24"/>
      <c r="E1238" s="30" t="str">
        <f aca="false">IF($D1238="","",IFERROR(INDEX(合同单位,MATCH($D1238,合同键,0)),IFERROR(TRIM(LEFT($D1238,FIND("｜",$D1238)-1)),$D1238)))</f>
        <v/>
      </c>
      <c r="F1238" s="30" t="str">
        <f aca="false">IF($D1238="","",IFERROR(INDEX(合同项目,MATCH($D1238,合同键,0)),IFERROR(TRIM(MID($D1238,FIND("｜",$D1238)+1,99)),"")))</f>
        <v/>
      </c>
      <c r="G1238" s="24"/>
      <c r="H1238" s="35" t="str">
        <f aca="false">IF($G1238="","",IFERROR(INDEX(费用款别,MATCH($G1238,费用类别表,0)),"合同外款"))</f>
        <v/>
      </c>
      <c r="I1238" s="33"/>
      <c r="J1238" s="33"/>
      <c r="K1238" s="39"/>
      <c r="L1238" s="33"/>
      <c r="M1238" s="25"/>
      <c r="N1238" s="39"/>
      <c r="O1238" s="35" t="str">
        <f aca="false">IF($C1238="","",IF(N($N1238)&lt;=0,"未开票",IF(ROUND(N($N1238)-N($K1238),2)&gt;=0,"已开票",IFERROR("部分开票 "&amp;TEXT(N($N1238)/N($K1238),"0%"),"部分开票"))))</f>
        <v/>
      </c>
      <c r="P1238" s="40" t="str">
        <f aca="false">IF($C1238="","",ROUND($V1238+MIN($W1238,MAX(0,(SUMIF(收款键,$D1238,收款金额)-SUMIFS(收款金额,收款键,$D1238,收款关联,"&lt;&gt;"))-($X1238-$W1238))),2))</f>
        <v/>
      </c>
      <c r="Q1238" s="41" t="str">
        <f aca="false">IF($C1238="","",ROUND(N($K1238)-N($P1238),2))</f>
        <v/>
      </c>
      <c r="R1238" s="29" t="str">
        <f aca="false">IF($C1238="","",YEAR($C1238))</f>
        <v/>
      </c>
      <c r="S1238" s="24"/>
      <c r="T1238" s="35" t="str">
        <f aca="false">IF($C1238="","",IF($D1238="","★没选客户项目",IF(COUNTIF(合同键,$D1238)=0,"★《维保合同》里没这个项目",IF(N($K1238)&lt;=0,"★应收金额要填",IF(ROUND(N($N1238)-N($K1238),2)&gt;0.001,"★开票金额大于应收",IF(AND($L1238&lt;&gt;"",N($N1238)&lt;=0),"★填了开票日期没填开票金额",IF(AND($I1238&lt;&gt;"",$J1238&lt;&gt;"",$J1238&lt;$I1238),"★计费期间起止反了","OK")))))))</f>
        <v/>
      </c>
      <c r="U1238" s="29" t="str">
        <f aca="false">IF($L1238="","",YEAR($L1238))</f>
        <v/>
      </c>
      <c r="V1238" s="40" t="str">
        <f aca="false">IF($C1238="","",ROUND(SUMIF(收款关联,$B1238,收款金额),2))</f>
        <v/>
      </c>
      <c r="W1238" s="40" t="str">
        <f aca="false">IF($C1238="","",MAX(0,ROUND(N($K1238)-N($V1238),2)))</f>
        <v/>
      </c>
      <c r="X1238" s="40" t="str">
        <f aca="false">IF($C1238="","",ROUND(SUMIFS(应收净额,应收键,$D1238,应收行号,"&lt;="&amp;ROW()),2))</f>
        <v/>
      </c>
      <c r="Y1238" s="29" t="str">
        <f aca="false">IF($C1238="","",ROW())</f>
        <v/>
      </c>
    </row>
    <row r="1239" customFormat="false" ht="15" hidden="false" customHeight="false" outlineLevel="0" collapsed="false">
      <c r="A1239" s="29" t="str">
        <f aca="false">IF($C1239="","",ROW()-4)</f>
        <v/>
      </c>
      <c r="B1239" s="35" t="str">
        <f aca="false">IF($C1239="","","YS"&amp;TEXT($C1239,"yyyymm")&amp;"-"&amp;TEXT(ROW()-4,"0000"))</f>
        <v/>
      </c>
      <c r="C1239" s="33"/>
      <c r="D1239" s="24"/>
      <c r="E1239" s="30" t="str">
        <f aca="false">IF($D1239="","",IFERROR(INDEX(合同单位,MATCH($D1239,合同键,0)),IFERROR(TRIM(LEFT($D1239,FIND("｜",$D1239)-1)),$D1239)))</f>
        <v/>
      </c>
      <c r="F1239" s="30" t="str">
        <f aca="false">IF($D1239="","",IFERROR(INDEX(合同项目,MATCH($D1239,合同键,0)),IFERROR(TRIM(MID($D1239,FIND("｜",$D1239)+1,99)),"")))</f>
        <v/>
      </c>
      <c r="G1239" s="24"/>
      <c r="H1239" s="35" t="str">
        <f aca="false">IF($G1239="","",IFERROR(INDEX(费用款别,MATCH($G1239,费用类别表,0)),"合同外款"))</f>
        <v/>
      </c>
      <c r="I1239" s="33"/>
      <c r="J1239" s="33"/>
      <c r="K1239" s="39"/>
      <c r="L1239" s="33"/>
      <c r="M1239" s="25"/>
      <c r="N1239" s="39"/>
      <c r="O1239" s="35" t="str">
        <f aca="false">IF($C1239="","",IF(N($N1239)&lt;=0,"未开票",IF(ROUND(N($N1239)-N($K1239),2)&gt;=0,"已开票",IFERROR("部分开票 "&amp;TEXT(N($N1239)/N($K1239),"0%"),"部分开票"))))</f>
        <v/>
      </c>
      <c r="P1239" s="40" t="str">
        <f aca="false">IF($C1239="","",ROUND($V1239+MIN($W1239,MAX(0,(SUMIF(收款键,$D1239,收款金额)-SUMIFS(收款金额,收款键,$D1239,收款关联,"&lt;&gt;"))-($X1239-$W1239))),2))</f>
        <v/>
      </c>
      <c r="Q1239" s="41" t="str">
        <f aca="false">IF($C1239="","",ROUND(N($K1239)-N($P1239),2))</f>
        <v/>
      </c>
      <c r="R1239" s="29" t="str">
        <f aca="false">IF($C1239="","",YEAR($C1239))</f>
        <v/>
      </c>
      <c r="S1239" s="24"/>
      <c r="T1239" s="35" t="str">
        <f aca="false">IF($C1239="","",IF($D1239="","★没选客户项目",IF(COUNTIF(合同键,$D1239)=0,"★《维保合同》里没这个项目",IF(N($K1239)&lt;=0,"★应收金额要填",IF(ROUND(N($N1239)-N($K1239),2)&gt;0.001,"★开票金额大于应收",IF(AND($L1239&lt;&gt;"",N($N1239)&lt;=0),"★填了开票日期没填开票金额",IF(AND($I1239&lt;&gt;"",$J1239&lt;&gt;"",$J1239&lt;$I1239),"★计费期间起止反了","OK")))))))</f>
        <v/>
      </c>
      <c r="U1239" s="29" t="str">
        <f aca="false">IF($L1239="","",YEAR($L1239))</f>
        <v/>
      </c>
      <c r="V1239" s="40" t="str">
        <f aca="false">IF($C1239="","",ROUND(SUMIF(收款关联,$B1239,收款金额),2))</f>
        <v/>
      </c>
      <c r="W1239" s="40" t="str">
        <f aca="false">IF($C1239="","",MAX(0,ROUND(N($K1239)-N($V1239),2)))</f>
        <v/>
      </c>
      <c r="X1239" s="40" t="str">
        <f aca="false">IF($C1239="","",ROUND(SUMIFS(应收净额,应收键,$D1239,应收行号,"&lt;="&amp;ROW()),2))</f>
        <v/>
      </c>
      <c r="Y1239" s="29" t="str">
        <f aca="false">IF($C1239="","",ROW())</f>
        <v/>
      </c>
    </row>
    <row r="1240" customFormat="false" ht="15" hidden="false" customHeight="false" outlineLevel="0" collapsed="false">
      <c r="A1240" s="29" t="str">
        <f aca="false">IF($C1240="","",ROW()-4)</f>
        <v/>
      </c>
      <c r="B1240" s="35" t="str">
        <f aca="false">IF($C1240="","","YS"&amp;TEXT($C1240,"yyyymm")&amp;"-"&amp;TEXT(ROW()-4,"0000"))</f>
        <v/>
      </c>
      <c r="C1240" s="33"/>
      <c r="D1240" s="24"/>
      <c r="E1240" s="30" t="str">
        <f aca="false">IF($D1240="","",IFERROR(INDEX(合同单位,MATCH($D1240,合同键,0)),IFERROR(TRIM(LEFT($D1240,FIND("｜",$D1240)-1)),$D1240)))</f>
        <v/>
      </c>
      <c r="F1240" s="30" t="str">
        <f aca="false">IF($D1240="","",IFERROR(INDEX(合同项目,MATCH($D1240,合同键,0)),IFERROR(TRIM(MID($D1240,FIND("｜",$D1240)+1,99)),"")))</f>
        <v/>
      </c>
      <c r="G1240" s="24"/>
      <c r="H1240" s="35" t="str">
        <f aca="false">IF($G1240="","",IFERROR(INDEX(费用款别,MATCH($G1240,费用类别表,0)),"合同外款"))</f>
        <v/>
      </c>
      <c r="I1240" s="33"/>
      <c r="J1240" s="33"/>
      <c r="K1240" s="39"/>
      <c r="L1240" s="33"/>
      <c r="M1240" s="25"/>
      <c r="N1240" s="39"/>
      <c r="O1240" s="35" t="str">
        <f aca="false">IF($C1240="","",IF(N($N1240)&lt;=0,"未开票",IF(ROUND(N($N1240)-N($K1240),2)&gt;=0,"已开票",IFERROR("部分开票 "&amp;TEXT(N($N1240)/N($K1240),"0%"),"部分开票"))))</f>
        <v/>
      </c>
      <c r="P1240" s="40" t="str">
        <f aca="false">IF($C1240="","",ROUND($V1240+MIN($W1240,MAX(0,(SUMIF(收款键,$D1240,收款金额)-SUMIFS(收款金额,收款键,$D1240,收款关联,"&lt;&gt;"))-($X1240-$W1240))),2))</f>
        <v/>
      </c>
      <c r="Q1240" s="41" t="str">
        <f aca="false">IF($C1240="","",ROUND(N($K1240)-N($P1240),2))</f>
        <v/>
      </c>
      <c r="R1240" s="29" t="str">
        <f aca="false">IF($C1240="","",YEAR($C1240))</f>
        <v/>
      </c>
      <c r="S1240" s="24"/>
      <c r="T1240" s="35" t="str">
        <f aca="false">IF($C1240="","",IF($D1240="","★没选客户项目",IF(COUNTIF(合同键,$D1240)=0,"★《维保合同》里没这个项目",IF(N($K1240)&lt;=0,"★应收金额要填",IF(ROUND(N($N1240)-N($K1240),2)&gt;0.001,"★开票金额大于应收",IF(AND($L1240&lt;&gt;"",N($N1240)&lt;=0),"★填了开票日期没填开票金额",IF(AND($I1240&lt;&gt;"",$J1240&lt;&gt;"",$J1240&lt;$I1240),"★计费期间起止反了","OK")))))))</f>
        <v/>
      </c>
      <c r="U1240" s="29" t="str">
        <f aca="false">IF($L1240="","",YEAR($L1240))</f>
        <v/>
      </c>
      <c r="V1240" s="40" t="str">
        <f aca="false">IF($C1240="","",ROUND(SUMIF(收款关联,$B1240,收款金额),2))</f>
        <v/>
      </c>
      <c r="W1240" s="40" t="str">
        <f aca="false">IF($C1240="","",MAX(0,ROUND(N($K1240)-N($V1240),2)))</f>
        <v/>
      </c>
      <c r="X1240" s="40" t="str">
        <f aca="false">IF($C1240="","",ROUND(SUMIFS(应收净额,应收键,$D1240,应收行号,"&lt;="&amp;ROW()),2))</f>
        <v/>
      </c>
      <c r="Y1240" s="29" t="str">
        <f aca="false">IF($C1240="","",ROW())</f>
        <v/>
      </c>
    </row>
    <row r="1241" customFormat="false" ht="15" hidden="false" customHeight="false" outlineLevel="0" collapsed="false">
      <c r="A1241" s="29" t="str">
        <f aca="false">IF($C1241="","",ROW()-4)</f>
        <v/>
      </c>
      <c r="B1241" s="35" t="str">
        <f aca="false">IF($C1241="","","YS"&amp;TEXT($C1241,"yyyymm")&amp;"-"&amp;TEXT(ROW()-4,"0000"))</f>
        <v/>
      </c>
      <c r="C1241" s="33"/>
      <c r="D1241" s="24"/>
      <c r="E1241" s="30" t="str">
        <f aca="false">IF($D1241="","",IFERROR(INDEX(合同单位,MATCH($D1241,合同键,0)),IFERROR(TRIM(LEFT($D1241,FIND("｜",$D1241)-1)),$D1241)))</f>
        <v/>
      </c>
      <c r="F1241" s="30" t="str">
        <f aca="false">IF($D1241="","",IFERROR(INDEX(合同项目,MATCH($D1241,合同键,0)),IFERROR(TRIM(MID($D1241,FIND("｜",$D1241)+1,99)),"")))</f>
        <v/>
      </c>
      <c r="G1241" s="24"/>
      <c r="H1241" s="35" t="str">
        <f aca="false">IF($G1241="","",IFERROR(INDEX(费用款别,MATCH($G1241,费用类别表,0)),"合同外款"))</f>
        <v/>
      </c>
      <c r="I1241" s="33"/>
      <c r="J1241" s="33"/>
      <c r="K1241" s="39"/>
      <c r="L1241" s="33"/>
      <c r="M1241" s="25"/>
      <c r="N1241" s="39"/>
      <c r="O1241" s="35" t="str">
        <f aca="false">IF($C1241="","",IF(N($N1241)&lt;=0,"未开票",IF(ROUND(N($N1241)-N($K1241),2)&gt;=0,"已开票",IFERROR("部分开票 "&amp;TEXT(N($N1241)/N($K1241),"0%"),"部分开票"))))</f>
        <v/>
      </c>
      <c r="P1241" s="40" t="str">
        <f aca="false">IF($C1241="","",ROUND($V1241+MIN($W1241,MAX(0,(SUMIF(收款键,$D1241,收款金额)-SUMIFS(收款金额,收款键,$D1241,收款关联,"&lt;&gt;"))-($X1241-$W1241))),2))</f>
        <v/>
      </c>
      <c r="Q1241" s="41" t="str">
        <f aca="false">IF($C1241="","",ROUND(N($K1241)-N($P1241),2))</f>
        <v/>
      </c>
      <c r="R1241" s="29" t="str">
        <f aca="false">IF($C1241="","",YEAR($C1241))</f>
        <v/>
      </c>
      <c r="S1241" s="24"/>
      <c r="T1241" s="35" t="str">
        <f aca="false">IF($C1241="","",IF($D1241="","★没选客户项目",IF(COUNTIF(合同键,$D1241)=0,"★《维保合同》里没这个项目",IF(N($K1241)&lt;=0,"★应收金额要填",IF(ROUND(N($N1241)-N($K1241),2)&gt;0.001,"★开票金额大于应收",IF(AND($L1241&lt;&gt;"",N($N1241)&lt;=0),"★填了开票日期没填开票金额",IF(AND($I1241&lt;&gt;"",$J1241&lt;&gt;"",$J1241&lt;$I1241),"★计费期间起止反了","OK")))))))</f>
        <v/>
      </c>
      <c r="U1241" s="29" t="str">
        <f aca="false">IF($L1241="","",YEAR($L1241))</f>
        <v/>
      </c>
      <c r="V1241" s="40" t="str">
        <f aca="false">IF($C1241="","",ROUND(SUMIF(收款关联,$B1241,收款金额),2))</f>
        <v/>
      </c>
      <c r="W1241" s="40" t="str">
        <f aca="false">IF($C1241="","",MAX(0,ROUND(N($K1241)-N($V1241),2)))</f>
        <v/>
      </c>
      <c r="X1241" s="40" t="str">
        <f aca="false">IF($C1241="","",ROUND(SUMIFS(应收净额,应收键,$D1241,应收行号,"&lt;="&amp;ROW()),2))</f>
        <v/>
      </c>
      <c r="Y1241" s="29" t="str">
        <f aca="false">IF($C1241="","",ROW())</f>
        <v/>
      </c>
    </row>
    <row r="1242" customFormat="false" ht="15" hidden="false" customHeight="false" outlineLevel="0" collapsed="false">
      <c r="A1242" s="29" t="str">
        <f aca="false">IF($C1242="","",ROW()-4)</f>
        <v/>
      </c>
      <c r="B1242" s="35" t="str">
        <f aca="false">IF($C1242="","","YS"&amp;TEXT($C1242,"yyyymm")&amp;"-"&amp;TEXT(ROW()-4,"0000"))</f>
        <v/>
      </c>
      <c r="C1242" s="33"/>
      <c r="D1242" s="24"/>
      <c r="E1242" s="30" t="str">
        <f aca="false">IF($D1242="","",IFERROR(INDEX(合同单位,MATCH($D1242,合同键,0)),IFERROR(TRIM(LEFT($D1242,FIND("｜",$D1242)-1)),$D1242)))</f>
        <v/>
      </c>
      <c r="F1242" s="30" t="str">
        <f aca="false">IF($D1242="","",IFERROR(INDEX(合同项目,MATCH($D1242,合同键,0)),IFERROR(TRIM(MID($D1242,FIND("｜",$D1242)+1,99)),"")))</f>
        <v/>
      </c>
      <c r="G1242" s="24"/>
      <c r="H1242" s="35" t="str">
        <f aca="false">IF($G1242="","",IFERROR(INDEX(费用款别,MATCH($G1242,费用类别表,0)),"合同外款"))</f>
        <v/>
      </c>
      <c r="I1242" s="33"/>
      <c r="J1242" s="33"/>
      <c r="K1242" s="39"/>
      <c r="L1242" s="33"/>
      <c r="M1242" s="25"/>
      <c r="N1242" s="39"/>
      <c r="O1242" s="35" t="str">
        <f aca="false">IF($C1242="","",IF(N($N1242)&lt;=0,"未开票",IF(ROUND(N($N1242)-N($K1242),2)&gt;=0,"已开票",IFERROR("部分开票 "&amp;TEXT(N($N1242)/N($K1242),"0%"),"部分开票"))))</f>
        <v/>
      </c>
      <c r="P1242" s="40" t="str">
        <f aca="false">IF($C1242="","",ROUND($V1242+MIN($W1242,MAX(0,(SUMIF(收款键,$D1242,收款金额)-SUMIFS(收款金额,收款键,$D1242,收款关联,"&lt;&gt;"))-($X1242-$W1242))),2))</f>
        <v/>
      </c>
      <c r="Q1242" s="41" t="str">
        <f aca="false">IF($C1242="","",ROUND(N($K1242)-N($P1242),2))</f>
        <v/>
      </c>
      <c r="R1242" s="29" t="str">
        <f aca="false">IF($C1242="","",YEAR($C1242))</f>
        <v/>
      </c>
      <c r="S1242" s="24"/>
      <c r="T1242" s="35" t="str">
        <f aca="false">IF($C1242="","",IF($D1242="","★没选客户项目",IF(COUNTIF(合同键,$D1242)=0,"★《维保合同》里没这个项目",IF(N($K1242)&lt;=0,"★应收金额要填",IF(ROUND(N($N1242)-N($K1242),2)&gt;0.001,"★开票金额大于应收",IF(AND($L1242&lt;&gt;"",N($N1242)&lt;=0),"★填了开票日期没填开票金额",IF(AND($I1242&lt;&gt;"",$J1242&lt;&gt;"",$J1242&lt;$I1242),"★计费期间起止反了","OK")))))))</f>
        <v/>
      </c>
      <c r="U1242" s="29" t="str">
        <f aca="false">IF($L1242="","",YEAR($L1242))</f>
        <v/>
      </c>
      <c r="V1242" s="40" t="str">
        <f aca="false">IF($C1242="","",ROUND(SUMIF(收款关联,$B1242,收款金额),2))</f>
        <v/>
      </c>
      <c r="W1242" s="40" t="str">
        <f aca="false">IF($C1242="","",MAX(0,ROUND(N($K1242)-N($V1242),2)))</f>
        <v/>
      </c>
      <c r="X1242" s="40" t="str">
        <f aca="false">IF($C1242="","",ROUND(SUMIFS(应收净额,应收键,$D1242,应收行号,"&lt;="&amp;ROW()),2))</f>
        <v/>
      </c>
      <c r="Y1242" s="29" t="str">
        <f aca="false">IF($C1242="","",ROW())</f>
        <v/>
      </c>
    </row>
    <row r="1243" customFormat="false" ht="15" hidden="false" customHeight="false" outlineLevel="0" collapsed="false">
      <c r="A1243" s="29" t="str">
        <f aca="false">IF($C1243="","",ROW()-4)</f>
        <v/>
      </c>
      <c r="B1243" s="35" t="str">
        <f aca="false">IF($C1243="","","YS"&amp;TEXT($C1243,"yyyymm")&amp;"-"&amp;TEXT(ROW()-4,"0000"))</f>
        <v/>
      </c>
      <c r="C1243" s="33"/>
      <c r="D1243" s="24"/>
      <c r="E1243" s="30" t="str">
        <f aca="false">IF($D1243="","",IFERROR(INDEX(合同单位,MATCH($D1243,合同键,0)),IFERROR(TRIM(LEFT($D1243,FIND("｜",$D1243)-1)),$D1243)))</f>
        <v/>
      </c>
      <c r="F1243" s="30" t="str">
        <f aca="false">IF($D1243="","",IFERROR(INDEX(合同项目,MATCH($D1243,合同键,0)),IFERROR(TRIM(MID($D1243,FIND("｜",$D1243)+1,99)),"")))</f>
        <v/>
      </c>
      <c r="G1243" s="24"/>
      <c r="H1243" s="35" t="str">
        <f aca="false">IF($G1243="","",IFERROR(INDEX(费用款别,MATCH($G1243,费用类别表,0)),"合同外款"))</f>
        <v/>
      </c>
      <c r="I1243" s="33"/>
      <c r="J1243" s="33"/>
      <c r="K1243" s="39"/>
      <c r="L1243" s="33"/>
      <c r="M1243" s="25"/>
      <c r="N1243" s="39"/>
      <c r="O1243" s="35" t="str">
        <f aca="false">IF($C1243="","",IF(N($N1243)&lt;=0,"未开票",IF(ROUND(N($N1243)-N($K1243),2)&gt;=0,"已开票",IFERROR("部分开票 "&amp;TEXT(N($N1243)/N($K1243),"0%"),"部分开票"))))</f>
        <v/>
      </c>
      <c r="P1243" s="40" t="str">
        <f aca="false">IF($C1243="","",ROUND($V1243+MIN($W1243,MAX(0,(SUMIF(收款键,$D1243,收款金额)-SUMIFS(收款金额,收款键,$D1243,收款关联,"&lt;&gt;"))-($X1243-$W1243))),2))</f>
        <v/>
      </c>
      <c r="Q1243" s="41" t="str">
        <f aca="false">IF($C1243="","",ROUND(N($K1243)-N($P1243),2))</f>
        <v/>
      </c>
      <c r="R1243" s="29" t="str">
        <f aca="false">IF($C1243="","",YEAR($C1243))</f>
        <v/>
      </c>
      <c r="S1243" s="24"/>
      <c r="T1243" s="35" t="str">
        <f aca="false">IF($C1243="","",IF($D1243="","★没选客户项目",IF(COUNTIF(合同键,$D1243)=0,"★《维保合同》里没这个项目",IF(N($K1243)&lt;=0,"★应收金额要填",IF(ROUND(N($N1243)-N($K1243),2)&gt;0.001,"★开票金额大于应收",IF(AND($L1243&lt;&gt;"",N($N1243)&lt;=0),"★填了开票日期没填开票金额",IF(AND($I1243&lt;&gt;"",$J1243&lt;&gt;"",$J1243&lt;$I1243),"★计费期间起止反了","OK")))))))</f>
        <v/>
      </c>
      <c r="U1243" s="29" t="str">
        <f aca="false">IF($L1243="","",YEAR($L1243))</f>
        <v/>
      </c>
      <c r="V1243" s="40" t="str">
        <f aca="false">IF($C1243="","",ROUND(SUMIF(收款关联,$B1243,收款金额),2))</f>
        <v/>
      </c>
      <c r="W1243" s="40" t="str">
        <f aca="false">IF($C1243="","",MAX(0,ROUND(N($K1243)-N($V1243),2)))</f>
        <v/>
      </c>
      <c r="X1243" s="40" t="str">
        <f aca="false">IF($C1243="","",ROUND(SUMIFS(应收净额,应收键,$D1243,应收行号,"&lt;="&amp;ROW()),2))</f>
        <v/>
      </c>
      <c r="Y1243" s="29" t="str">
        <f aca="false">IF($C1243="","",ROW())</f>
        <v/>
      </c>
    </row>
    <row r="1244" customFormat="false" ht="15" hidden="false" customHeight="false" outlineLevel="0" collapsed="false">
      <c r="A1244" s="29" t="str">
        <f aca="false">IF($C1244="","",ROW()-4)</f>
        <v/>
      </c>
      <c r="B1244" s="35" t="str">
        <f aca="false">IF($C1244="","","YS"&amp;TEXT($C1244,"yyyymm")&amp;"-"&amp;TEXT(ROW()-4,"0000"))</f>
        <v/>
      </c>
      <c r="C1244" s="33"/>
      <c r="D1244" s="24"/>
      <c r="E1244" s="30" t="str">
        <f aca="false">IF($D1244="","",IFERROR(INDEX(合同单位,MATCH($D1244,合同键,0)),IFERROR(TRIM(LEFT($D1244,FIND("｜",$D1244)-1)),$D1244)))</f>
        <v/>
      </c>
      <c r="F1244" s="30" t="str">
        <f aca="false">IF($D1244="","",IFERROR(INDEX(合同项目,MATCH($D1244,合同键,0)),IFERROR(TRIM(MID($D1244,FIND("｜",$D1244)+1,99)),"")))</f>
        <v/>
      </c>
      <c r="G1244" s="24"/>
      <c r="H1244" s="35" t="str">
        <f aca="false">IF($G1244="","",IFERROR(INDEX(费用款别,MATCH($G1244,费用类别表,0)),"合同外款"))</f>
        <v/>
      </c>
      <c r="I1244" s="33"/>
      <c r="J1244" s="33"/>
      <c r="K1244" s="39"/>
      <c r="L1244" s="33"/>
      <c r="M1244" s="25"/>
      <c r="N1244" s="39"/>
      <c r="O1244" s="35" t="str">
        <f aca="false">IF($C1244="","",IF(N($N1244)&lt;=0,"未开票",IF(ROUND(N($N1244)-N($K1244),2)&gt;=0,"已开票",IFERROR("部分开票 "&amp;TEXT(N($N1244)/N($K1244),"0%"),"部分开票"))))</f>
        <v/>
      </c>
      <c r="P1244" s="40" t="str">
        <f aca="false">IF($C1244="","",ROUND($V1244+MIN($W1244,MAX(0,(SUMIF(收款键,$D1244,收款金额)-SUMIFS(收款金额,收款键,$D1244,收款关联,"&lt;&gt;"))-($X1244-$W1244))),2))</f>
        <v/>
      </c>
      <c r="Q1244" s="41" t="str">
        <f aca="false">IF($C1244="","",ROUND(N($K1244)-N($P1244),2))</f>
        <v/>
      </c>
      <c r="R1244" s="29" t="str">
        <f aca="false">IF($C1244="","",YEAR($C1244))</f>
        <v/>
      </c>
      <c r="S1244" s="24"/>
      <c r="T1244" s="35" t="str">
        <f aca="false">IF($C1244="","",IF($D1244="","★没选客户项目",IF(COUNTIF(合同键,$D1244)=0,"★《维保合同》里没这个项目",IF(N($K1244)&lt;=0,"★应收金额要填",IF(ROUND(N($N1244)-N($K1244),2)&gt;0.001,"★开票金额大于应收",IF(AND($L1244&lt;&gt;"",N($N1244)&lt;=0),"★填了开票日期没填开票金额",IF(AND($I1244&lt;&gt;"",$J1244&lt;&gt;"",$J1244&lt;$I1244),"★计费期间起止反了","OK")))))))</f>
        <v/>
      </c>
      <c r="U1244" s="29" t="str">
        <f aca="false">IF($L1244="","",YEAR($L1244))</f>
        <v/>
      </c>
      <c r="V1244" s="40" t="str">
        <f aca="false">IF($C1244="","",ROUND(SUMIF(收款关联,$B1244,收款金额),2))</f>
        <v/>
      </c>
      <c r="W1244" s="40" t="str">
        <f aca="false">IF($C1244="","",MAX(0,ROUND(N($K1244)-N($V1244),2)))</f>
        <v/>
      </c>
      <c r="X1244" s="40" t="str">
        <f aca="false">IF($C1244="","",ROUND(SUMIFS(应收净额,应收键,$D1244,应收行号,"&lt;="&amp;ROW()),2))</f>
        <v/>
      </c>
      <c r="Y1244" s="29" t="str">
        <f aca="false">IF($C1244="","",ROW())</f>
        <v/>
      </c>
    </row>
    <row r="1245" customFormat="false" ht="15" hidden="false" customHeight="false" outlineLevel="0" collapsed="false">
      <c r="A1245" s="29" t="str">
        <f aca="false">IF($C1245="","",ROW()-4)</f>
        <v/>
      </c>
      <c r="B1245" s="35" t="str">
        <f aca="false">IF($C1245="","","YS"&amp;TEXT($C1245,"yyyymm")&amp;"-"&amp;TEXT(ROW()-4,"0000"))</f>
        <v/>
      </c>
      <c r="C1245" s="33"/>
      <c r="D1245" s="24"/>
      <c r="E1245" s="30" t="str">
        <f aca="false">IF($D1245="","",IFERROR(INDEX(合同单位,MATCH($D1245,合同键,0)),IFERROR(TRIM(LEFT($D1245,FIND("｜",$D1245)-1)),$D1245)))</f>
        <v/>
      </c>
      <c r="F1245" s="30" t="str">
        <f aca="false">IF($D1245="","",IFERROR(INDEX(合同项目,MATCH($D1245,合同键,0)),IFERROR(TRIM(MID($D1245,FIND("｜",$D1245)+1,99)),"")))</f>
        <v/>
      </c>
      <c r="G1245" s="24"/>
      <c r="H1245" s="35" t="str">
        <f aca="false">IF($G1245="","",IFERROR(INDEX(费用款别,MATCH($G1245,费用类别表,0)),"合同外款"))</f>
        <v/>
      </c>
      <c r="I1245" s="33"/>
      <c r="J1245" s="33"/>
      <c r="K1245" s="39"/>
      <c r="L1245" s="33"/>
      <c r="M1245" s="25"/>
      <c r="N1245" s="39"/>
      <c r="O1245" s="35" t="str">
        <f aca="false">IF($C1245="","",IF(N($N1245)&lt;=0,"未开票",IF(ROUND(N($N1245)-N($K1245),2)&gt;=0,"已开票",IFERROR("部分开票 "&amp;TEXT(N($N1245)/N($K1245),"0%"),"部分开票"))))</f>
        <v/>
      </c>
      <c r="P1245" s="40" t="str">
        <f aca="false">IF($C1245="","",ROUND($V1245+MIN($W1245,MAX(0,(SUMIF(收款键,$D1245,收款金额)-SUMIFS(收款金额,收款键,$D1245,收款关联,"&lt;&gt;"))-($X1245-$W1245))),2))</f>
        <v/>
      </c>
      <c r="Q1245" s="41" t="str">
        <f aca="false">IF($C1245="","",ROUND(N($K1245)-N($P1245),2))</f>
        <v/>
      </c>
      <c r="R1245" s="29" t="str">
        <f aca="false">IF($C1245="","",YEAR($C1245))</f>
        <v/>
      </c>
      <c r="S1245" s="24"/>
      <c r="T1245" s="35" t="str">
        <f aca="false">IF($C1245="","",IF($D1245="","★没选客户项目",IF(COUNTIF(合同键,$D1245)=0,"★《维保合同》里没这个项目",IF(N($K1245)&lt;=0,"★应收金额要填",IF(ROUND(N($N1245)-N($K1245),2)&gt;0.001,"★开票金额大于应收",IF(AND($L1245&lt;&gt;"",N($N1245)&lt;=0),"★填了开票日期没填开票金额",IF(AND($I1245&lt;&gt;"",$J1245&lt;&gt;"",$J1245&lt;$I1245),"★计费期间起止反了","OK")))))))</f>
        <v/>
      </c>
      <c r="U1245" s="29" t="str">
        <f aca="false">IF($L1245="","",YEAR($L1245))</f>
        <v/>
      </c>
      <c r="V1245" s="40" t="str">
        <f aca="false">IF($C1245="","",ROUND(SUMIF(收款关联,$B1245,收款金额),2))</f>
        <v/>
      </c>
      <c r="W1245" s="40" t="str">
        <f aca="false">IF($C1245="","",MAX(0,ROUND(N($K1245)-N($V1245),2)))</f>
        <v/>
      </c>
      <c r="X1245" s="40" t="str">
        <f aca="false">IF($C1245="","",ROUND(SUMIFS(应收净额,应收键,$D1245,应收行号,"&lt;="&amp;ROW()),2))</f>
        <v/>
      </c>
      <c r="Y1245" s="29" t="str">
        <f aca="false">IF($C1245="","",ROW())</f>
        <v/>
      </c>
    </row>
    <row r="1246" customFormat="false" ht="15" hidden="false" customHeight="false" outlineLevel="0" collapsed="false">
      <c r="A1246" s="29" t="str">
        <f aca="false">IF($C1246="","",ROW()-4)</f>
        <v/>
      </c>
      <c r="B1246" s="35" t="str">
        <f aca="false">IF($C1246="","","YS"&amp;TEXT($C1246,"yyyymm")&amp;"-"&amp;TEXT(ROW()-4,"0000"))</f>
        <v/>
      </c>
      <c r="C1246" s="33"/>
      <c r="D1246" s="24"/>
      <c r="E1246" s="30" t="str">
        <f aca="false">IF($D1246="","",IFERROR(INDEX(合同单位,MATCH($D1246,合同键,0)),IFERROR(TRIM(LEFT($D1246,FIND("｜",$D1246)-1)),$D1246)))</f>
        <v/>
      </c>
      <c r="F1246" s="30" t="str">
        <f aca="false">IF($D1246="","",IFERROR(INDEX(合同项目,MATCH($D1246,合同键,0)),IFERROR(TRIM(MID($D1246,FIND("｜",$D1246)+1,99)),"")))</f>
        <v/>
      </c>
      <c r="G1246" s="24"/>
      <c r="H1246" s="35" t="str">
        <f aca="false">IF($G1246="","",IFERROR(INDEX(费用款别,MATCH($G1246,费用类别表,0)),"合同外款"))</f>
        <v/>
      </c>
      <c r="I1246" s="33"/>
      <c r="J1246" s="33"/>
      <c r="K1246" s="39"/>
      <c r="L1246" s="33"/>
      <c r="M1246" s="25"/>
      <c r="N1246" s="39"/>
      <c r="O1246" s="35" t="str">
        <f aca="false">IF($C1246="","",IF(N($N1246)&lt;=0,"未开票",IF(ROUND(N($N1246)-N($K1246),2)&gt;=0,"已开票",IFERROR("部分开票 "&amp;TEXT(N($N1246)/N($K1246),"0%"),"部分开票"))))</f>
        <v/>
      </c>
      <c r="P1246" s="40" t="str">
        <f aca="false">IF($C1246="","",ROUND($V1246+MIN($W1246,MAX(0,(SUMIF(收款键,$D1246,收款金额)-SUMIFS(收款金额,收款键,$D1246,收款关联,"&lt;&gt;"))-($X1246-$W1246))),2))</f>
        <v/>
      </c>
      <c r="Q1246" s="41" t="str">
        <f aca="false">IF($C1246="","",ROUND(N($K1246)-N($P1246),2))</f>
        <v/>
      </c>
      <c r="R1246" s="29" t="str">
        <f aca="false">IF($C1246="","",YEAR($C1246))</f>
        <v/>
      </c>
      <c r="S1246" s="24"/>
      <c r="T1246" s="35" t="str">
        <f aca="false">IF($C1246="","",IF($D1246="","★没选客户项目",IF(COUNTIF(合同键,$D1246)=0,"★《维保合同》里没这个项目",IF(N($K1246)&lt;=0,"★应收金额要填",IF(ROUND(N($N1246)-N($K1246),2)&gt;0.001,"★开票金额大于应收",IF(AND($L1246&lt;&gt;"",N($N1246)&lt;=0),"★填了开票日期没填开票金额",IF(AND($I1246&lt;&gt;"",$J1246&lt;&gt;"",$J1246&lt;$I1246),"★计费期间起止反了","OK")))))))</f>
        <v/>
      </c>
      <c r="U1246" s="29" t="str">
        <f aca="false">IF($L1246="","",YEAR($L1246))</f>
        <v/>
      </c>
      <c r="V1246" s="40" t="str">
        <f aca="false">IF($C1246="","",ROUND(SUMIF(收款关联,$B1246,收款金额),2))</f>
        <v/>
      </c>
      <c r="W1246" s="40" t="str">
        <f aca="false">IF($C1246="","",MAX(0,ROUND(N($K1246)-N($V1246),2)))</f>
        <v/>
      </c>
      <c r="X1246" s="40" t="str">
        <f aca="false">IF($C1246="","",ROUND(SUMIFS(应收净额,应收键,$D1246,应收行号,"&lt;="&amp;ROW()),2))</f>
        <v/>
      </c>
      <c r="Y1246" s="29" t="str">
        <f aca="false">IF($C1246="","",ROW())</f>
        <v/>
      </c>
    </row>
    <row r="1247" customFormat="false" ht="15" hidden="false" customHeight="false" outlineLevel="0" collapsed="false">
      <c r="A1247" s="29" t="str">
        <f aca="false">IF($C1247="","",ROW()-4)</f>
        <v/>
      </c>
      <c r="B1247" s="35" t="str">
        <f aca="false">IF($C1247="","","YS"&amp;TEXT($C1247,"yyyymm")&amp;"-"&amp;TEXT(ROW()-4,"0000"))</f>
        <v/>
      </c>
      <c r="C1247" s="33"/>
      <c r="D1247" s="24"/>
      <c r="E1247" s="30" t="str">
        <f aca="false">IF($D1247="","",IFERROR(INDEX(合同单位,MATCH($D1247,合同键,0)),IFERROR(TRIM(LEFT($D1247,FIND("｜",$D1247)-1)),$D1247)))</f>
        <v/>
      </c>
      <c r="F1247" s="30" t="str">
        <f aca="false">IF($D1247="","",IFERROR(INDEX(合同项目,MATCH($D1247,合同键,0)),IFERROR(TRIM(MID($D1247,FIND("｜",$D1247)+1,99)),"")))</f>
        <v/>
      </c>
      <c r="G1247" s="24"/>
      <c r="H1247" s="35" t="str">
        <f aca="false">IF($G1247="","",IFERROR(INDEX(费用款别,MATCH($G1247,费用类别表,0)),"合同外款"))</f>
        <v/>
      </c>
      <c r="I1247" s="33"/>
      <c r="J1247" s="33"/>
      <c r="K1247" s="39"/>
      <c r="L1247" s="33"/>
      <c r="M1247" s="25"/>
      <c r="N1247" s="39"/>
      <c r="O1247" s="35" t="str">
        <f aca="false">IF($C1247="","",IF(N($N1247)&lt;=0,"未开票",IF(ROUND(N($N1247)-N($K1247),2)&gt;=0,"已开票",IFERROR("部分开票 "&amp;TEXT(N($N1247)/N($K1247),"0%"),"部分开票"))))</f>
        <v/>
      </c>
      <c r="P1247" s="40" t="str">
        <f aca="false">IF($C1247="","",ROUND($V1247+MIN($W1247,MAX(0,(SUMIF(收款键,$D1247,收款金额)-SUMIFS(收款金额,收款键,$D1247,收款关联,"&lt;&gt;"))-($X1247-$W1247))),2))</f>
        <v/>
      </c>
      <c r="Q1247" s="41" t="str">
        <f aca="false">IF($C1247="","",ROUND(N($K1247)-N($P1247),2))</f>
        <v/>
      </c>
      <c r="R1247" s="29" t="str">
        <f aca="false">IF($C1247="","",YEAR($C1247))</f>
        <v/>
      </c>
      <c r="S1247" s="24"/>
      <c r="T1247" s="35" t="str">
        <f aca="false">IF($C1247="","",IF($D1247="","★没选客户项目",IF(COUNTIF(合同键,$D1247)=0,"★《维保合同》里没这个项目",IF(N($K1247)&lt;=0,"★应收金额要填",IF(ROUND(N($N1247)-N($K1247),2)&gt;0.001,"★开票金额大于应收",IF(AND($L1247&lt;&gt;"",N($N1247)&lt;=0),"★填了开票日期没填开票金额",IF(AND($I1247&lt;&gt;"",$J1247&lt;&gt;"",$J1247&lt;$I1247),"★计费期间起止反了","OK")))))))</f>
        <v/>
      </c>
      <c r="U1247" s="29" t="str">
        <f aca="false">IF($L1247="","",YEAR($L1247))</f>
        <v/>
      </c>
      <c r="V1247" s="40" t="str">
        <f aca="false">IF($C1247="","",ROUND(SUMIF(收款关联,$B1247,收款金额),2))</f>
        <v/>
      </c>
      <c r="W1247" s="40" t="str">
        <f aca="false">IF($C1247="","",MAX(0,ROUND(N($K1247)-N($V1247),2)))</f>
        <v/>
      </c>
      <c r="X1247" s="40" t="str">
        <f aca="false">IF($C1247="","",ROUND(SUMIFS(应收净额,应收键,$D1247,应收行号,"&lt;="&amp;ROW()),2))</f>
        <v/>
      </c>
      <c r="Y1247" s="29" t="str">
        <f aca="false">IF($C1247="","",ROW())</f>
        <v/>
      </c>
    </row>
    <row r="1248" customFormat="false" ht="15" hidden="false" customHeight="false" outlineLevel="0" collapsed="false">
      <c r="A1248" s="29" t="str">
        <f aca="false">IF($C1248="","",ROW()-4)</f>
        <v/>
      </c>
      <c r="B1248" s="35" t="str">
        <f aca="false">IF($C1248="","","YS"&amp;TEXT($C1248,"yyyymm")&amp;"-"&amp;TEXT(ROW()-4,"0000"))</f>
        <v/>
      </c>
      <c r="C1248" s="33"/>
      <c r="D1248" s="24"/>
      <c r="E1248" s="30" t="str">
        <f aca="false">IF($D1248="","",IFERROR(INDEX(合同单位,MATCH($D1248,合同键,0)),IFERROR(TRIM(LEFT($D1248,FIND("｜",$D1248)-1)),$D1248)))</f>
        <v/>
      </c>
      <c r="F1248" s="30" t="str">
        <f aca="false">IF($D1248="","",IFERROR(INDEX(合同项目,MATCH($D1248,合同键,0)),IFERROR(TRIM(MID($D1248,FIND("｜",$D1248)+1,99)),"")))</f>
        <v/>
      </c>
      <c r="G1248" s="24"/>
      <c r="H1248" s="35" t="str">
        <f aca="false">IF($G1248="","",IFERROR(INDEX(费用款别,MATCH($G1248,费用类别表,0)),"合同外款"))</f>
        <v/>
      </c>
      <c r="I1248" s="33"/>
      <c r="J1248" s="33"/>
      <c r="K1248" s="39"/>
      <c r="L1248" s="33"/>
      <c r="M1248" s="25"/>
      <c r="N1248" s="39"/>
      <c r="O1248" s="35" t="str">
        <f aca="false">IF($C1248="","",IF(N($N1248)&lt;=0,"未开票",IF(ROUND(N($N1248)-N($K1248),2)&gt;=0,"已开票",IFERROR("部分开票 "&amp;TEXT(N($N1248)/N($K1248),"0%"),"部分开票"))))</f>
        <v/>
      </c>
      <c r="P1248" s="40" t="str">
        <f aca="false">IF($C1248="","",ROUND($V1248+MIN($W1248,MAX(0,(SUMIF(收款键,$D1248,收款金额)-SUMIFS(收款金额,收款键,$D1248,收款关联,"&lt;&gt;"))-($X1248-$W1248))),2))</f>
        <v/>
      </c>
      <c r="Q1248" s="41" t="str">
        <f aca="false">IF($C1248="","",ROUND(N($K1248)-N($P1248),2))</f>
        <v/>
      </c>
      <c r="R1248" s="29" t="str">
        <f aca="false">IF($C1248="","",YEAR($C1248))</f>
        <v/>
      </c>
      <c r="S1248" s="24"/>
      <c r="T1248" s="35" t="str">
        <f aca="false">IF($C1248="","",IF($D1248="","★没选客户项目",IF(COUNTIF(合同键,$D1248)=0,"★《维保合同》里没这个项目",IF(N($K1248)&lt;=0,"★应收金额要填",IF(ROUND(N($N1248)-N($K1248),2)&gt;0.001,"★开票金额大于应收",IF(AND($L1248&lt;&gt;"",N($N1248)&lt;=0),"★填了开票日期没填开票金额",IF(AND($I1248&lt;&gt;"",$J1248&lt;&gt;"",$J1248&lt;$I1248),"★计费期间起止反了","OK")))))))</f>
        <v/>
      </c>
      <c r="U1248" s="29" t="str">
        <f aca="false">IF($L1248="","",YEAR($L1248))</f>
        <v/>
      </c>
      <c r="V1248" s="40" t="str">
        <f aca="false">IF($C1248="","",ROUND(SUMIF(收款关联,$B1248,收款金额),2))</f>
        <v/>
      </c>
      <c r="W1248" s="40" t="str">
        <f aca="false">IF($C1248="","",MAX(0,ROUND(N($K1248)-N($V1248),2)))</f>
        <v/>
      </c>
      <c r="X1248" s="40" t="str">
        <f aca="false">IF($C1248="","",ROUND(SUMIFS(应收净额,应收键,$D1248,应收行号,"&lt;="&amp;ROW()),2))</f>
        <v/>
      </c>
      <c r="Y1248" s="29" t="str">
        <f aca="false">IF($C1248="","",ROW())</f>
        <v/>
      </c>
    </row>
    <row r="1249" customFormat="false" ht="15" hidden="false" customHeight="false" outlineLevel="0" collapsed="false">
      <c r="A1249" s="29" t="str">
        <f aca="false">IF($C1249="","",ROW()-4)</f>
        <v/>
      </c>
      <c r="B1249" s="35" t="str">
        <f aca="false">IF($C1249="","","YS"&amp;TEXT($C1249,"yyyymm")&amp;"-"&amp;TEXT(ROW()-4,"0000"))</f>
        <v/>
      </c>
      <c r="C1249" s="33"/>
      <c r="D1249" s="24"/>
      <c r="E1249" s="30" t="str">
        <f aca="false">IF($D1249="","",IFERROR(INDEX(合同单位,MATCH($D1249,合同键,0)),IFERROR(TRIM(LEFT($D1249,FIND("｜",$D1249)-1)),$D1249)))</f>
        <v/>
      </c>
      <c r="F1249" s="30" t="str">
        <f aca="false">IF($D1249="","",IFERROR(INDEX(合同项目,MATCH($D1249,合同键,0)),IFERROR(TRIM(MID($D1249,FIND("｜",$D1249)+1,99)),"")))</f>
        <v/>
      </c>
      <c r="G1249" s="24"/>
      <c r="H1249" s="35" t="str">
        <f aca="false">IF($G1249="","",IFERROR(INDEX(费用款别,MATCH($G1249,费用类别表,0)),"合同外款"))</f>
        <v/>
      </c>
      <c r="I1249" s="33"/>
      <c r="J1249" s="33"/>
      <c r="K1249" s="39"/>
      <c r="L1249" s="33"/>
      <c r="M1249" s="25"/>
      <c r="N1249" s="39"/>
      <c r="O1249" s="35" t="str">
        <f aca="false">IF($C1249="","",IF(N($N1249)&lt;=0,"未开票",IF(ROUND(N($N1249)-N($K1249),2)&gt;=0,"已开票",IFERROR("部分开票 "&amp;TEXT(N($N1249)/N($K1249),"0%"),"部分开票"))))</f>
        <v/>
      </c>
      <c r="P1249" s="40" t="str">
        <f aca="false">IF($C1249="","",ROUND($V1249+MIN($W1249,MAX(0,(SUMIF(收款键,$D1249,收款金额)-SUMIFS(收款金额,收款键,$D1249,收款关联,"&lt;&gt;"))-($X1249-$W1249))),2))</f>
        <v/>
      </c>
      <c r="Q1249" s="41" t="str">
        <f aca="false">IF($C1249="","",ROUND(N($K1249)-N($P1249),2))</f>
        <v/>
      </c>
      <c r="R1249" s="29" t="str">
        <f aca="false">IF($C1249="","",YEAR($C1249))</f>
        <v/>
      </c>
      <c r="S1249" s="24"/>
      <c r="T1249" s="35" t="str">
        <f aca="false">IF($C1249="","",IF($D1249="","★没选客户项目",IF(COUNTIF(合同键,$D1249)=0,"★《维保合同》里没这个项目",IF(N($K1249)&lt;=0,"★应收金额要填",IF(ROUND(N($N1249)-N($K1249),2)&gt;0.001,"★开票金额大于应收",IF(AND($L1249&lt;&gt;"",N($N1249)&lt;=0),"★填了开票日期没填开票金额",IF(AND($I1249&lt;&gt;"",$J1249&lt;&gt;"",$J1249&lt;$I1249),"★计费期间起止反了","OK")))))))</f>
        <v/>
      </c>
      <c r="U1249" s="29" t="str">
        <f aca="false">IF($L1249="","",YEAR($L1249))</f>
        <v/>
      </c>
      <c r="V1249" s="40" t="str">
        <f aca="false">IF($C1249="","",ROUND(SUMIF(收款关联,$B1249,收款金额),2))</f>
        <v/>
      </c>
      <c r="W1249" s="40" t="str">
        <f aca="false">IF($C1249="","",MAX(0,ROUND(N($K1249)-N($V1249),2)))</f>
        <v/>
      </c>
      <c r="X1249" s="40" t="str">
        <f aca="false">IF($C1249="","",ROUND(SUMIFS(应收净额,应收键,$D1249,应收行号,"&lt;="&amp;ROW()),2))</f>
        <v/>
      </c>
      <c r="Y1249" s="29" t="str">
        <f aca="false">IF($C1249="","",ROW())</f>
        <v/>
      </c>
    </row>
    <row r="1250" customFormat="false" ht="15" hidden="false" customHeight="false" outlineLevel="0" collapsed="false">
      <c r="A1250" s="29" t="str">
        <f aca="false">IF($C1250="","",ROW()-4)</f>
        <v/>
      </c>
      <c r="B1250" s="35" t="str">
        <f aca="false">IF($C1250="","","YS"&amp;TEXT($C1250,"yyyymm")&amp;"-"&amp;TEXT(ROW()-4,"0000"))</f>
        <v/>
      </c>
      <c r="C1250" s="33"/>
      <c r="D1250" s="24"/>
      <c r="E1250" s="30" t="str">
        <f aca="false">IF($D1250="","",IFERROR(INDEX(合同单位,MATCH($D1250,合同键,0)),IFERROR(TRIM(LEFT($D1250,FIND("｜",$D1250)-1)),$D1250)))</f>
        <v/>
      </c>
      <c r="F1250" s="30" t="str">
        <f aca="false">IF($D1250="","",IFERROR(INDEX(合同项目,MATCH($D1250,合同键,0)),IFERROR(TRIM(MID($D1250,FIND("｜",$D1250)+1,99)),"")))</f>
        <v/>
      </c>
      <c r="G1250" s="24"/>
      <c r="H1250" s="35" t="str">
        <f aca="false">IF($G1250="","",IFERROR(INDEX(费用款别,MATCH($G1250,费用类别表,0)),"合同外款"))</f>
        <v/>
      </c>
      <c r="I1250" s="33"/>
      <c r="J1250" s="33"/>
      <c r="K1250" s="39"/>
      <c r="L1250" s="33"/>
      <c r="M1250" s="25"/>
      <c r="N1250" s="39"/>
      <c r="O1250" s="35" t="str">
        <f aca="false">IF($C1250="","",IF(N($N1250)&lt;=0,"未开票",IF(ROUND(N($N1250)-N($K1250),2)&gt;=0,"已开票",IFERROR("部分开票 "&amp;TEXT(N($N1250)/N($K1250),"0%"),"部分开票"))))</f>
        <v/>
      </c>
      <c r="P1250" s="40" t="str">
        <f aca="false">IF($C1250="","",ROUND($V1250+MIN($W1250,MAX(0,(SUMIF(收款键,$D1250,收款金额)-SUMIFS(收款金额,收款键,$D1250,收款关联,"&lt;&gt;"))-($X1250-$W1250))),2))</f>
        <v/>
      </c>
      <c r="Q1250" s="41" t="str">
        <f aca="false">IF($C1250="","",ROUND(N($K1250)-N($P1250),2))</f>
        <v/>
      </c>
      <c r="R1250" s="29" t="str">
        <f aca="false">IF($C1250="","",YEAR($C1250))</f>
        <v/>
      </c>
      <c r="S1250" s="24"/>
      <c r="T1250" s="35" t="str">
        <f aca="false">IF($C1250="","",IF($D1250="","★没选客户项目",IF(COUNTIF(合同键,$D1250)=0,"★《维保合同》里没这个项目",IF(N($K1250)&lt;=0,"★应收金额要填",IF(ROUND(N($N1250)-N($K1250),2)&gt;0.001,"★开票金额大于应收",IF(AND($L1250&lt;&gt;"",N($N1250)&lt;=0),"★填了开票日期没填开票金额",IF(AND($I1250&lt;&gt;"",$J1250&lt;&gt;"",$J1250&lt;$I1250),"★计费期间起止反了","OK")))))))</f>
        <v/>
      </c>
      <c r="U1250" s="29" t="str">
        <f aca="false">IF($L1250="","",YEAR($L1250))</f>
        <v/>
      </c>
      <c r="V1250" s="40" t="str">
        <f aca="false">IF($C1250="","",ROUND(SUMIF(收款关联,$B1250,收款金额),2))</f>
        <v/>
      </c>
      <c r="W1250" s="40" t="str">
        <f aca="false">IF($C1250="","",MAX(0,ROUND(N($K1250)-N($V1250),2)))</f>
        <v/>
      </c>
      <c r="X1250" s="40" t="str">
        <f aca="false">IF($C1250="","",ROUND(SUMIFS(应收净额,应收键,$D1250,应收行号,"&lt;="&amp;ROW()),2))</f>
        <v/>
      </c>
      <c r="Y1250" s="29" t="str">
        <f aca="false">IF($C1250="","",ROW())</f>
        <v/>
      </c>
    </row>
    <row r="1251" customFormat="false" ht="15" hidden="false" customHeight="false" outlineLevel="0" collapsed="false">
      <c r="A1251" s="29" t="str">
        <f aca="false">IF($C1251="","",ROW()-4)</f>
        <v/>
      </c>
      <c r="B1251" s="35" t="str">
        <f aca="false">IF($C1251="","","YS"&amp;TEXT($C1251,"yyyymm")&amp;"-"&amp;TEXT(ROW()-4,"0000"))</f>
        <v/>
      </c>
      <c r="C1251" s="33"/>
      <c r="D1251" s="24"/>
      <c r="E1251" s="30" t="str">
        <f aca="false">IF($D1251="","",IFERROR(INDEX(合同单位,MATCH($D1251,合同键,0)),IFERROR(TRIM(LEFT($D1251,FIND("｜",$D1251)-1)),$D1251)))</f>
        <v/>
      </c>
      <c r="F1251" s="30" t="str">
        <f aca="false">IF($D1251="","",IFERROR(INDEX(合同项目,MATCH($D1251,合同键,0)),IFERROR(TRIM(MID($D1251,FIND("｜",$D1251)+1,99)),"")))</f>
        <v/>
      </c>
      <c r="G1251" s="24"/>
      <c r="H1251" s="35" t="str">
        <f aca="false">IF($G1251="","",IFERROR(INDEX(费用款别,MATCH($G1251,费用类别表,0)),"合同外款"))</f>
        <v/>
      </c>
      <c r="I1251" s="33"/>
      <c r="J1251" s="33"/>
      <c r="K1251" s="39"/>
      <c r="L1251" s="33"/>
      <c r="M1251" s="25"/>
      <c r="N1251" s="39"/>
      <c r="O1251" s="35" t="str">
        <f aca="false">IF($C1251="","",IF(N($N1251)&lt;=0,"未开票",IF(ROUND(N($N1251)-N($K1251),2)&gt;=0,"已开票",IFERROR("部分开票 "&amp;TEXT(N($N1251)/N($K1251),"0%"),"部分开票"))))</f>
        <v/>
      </c>
      <c r="P1251" s="40" t="str">
        <f aca="false">IF($C1251="","",ROUND($V1251+MIN($W1251,MAX(0,(SUMIF(收款键,$D1251,收款金额)-SUMIFS(收款金额,收款键,$D1251,收款关联,"&lt;&gt;"))-($X1251-$W1251))),2))</f>
        <v/>
      </c>
      <c r="Q1251" s="41" t="str">
        <f aca="false">IF($C1251="","",ROUND(N($K1251)-N($P1251),2))</f>
        <v/>
      </c>
      <c r="R1251" s="29" t="str">
        <f aca="false">IF($C1251="","",YEAR($C1251))</f>
        <v/>
      </c>
      <c r="S1251" s="24"/>
      <c r="T1251" s="35" t="str">
        <f aca="false">IF($C1251="","",IF($D1251="","★没选客户项目",IF(COUNTIF(合同键,$D1251)=0,"★《维保合同》里没这个项目",IF(N($K1251)&lt;=0,"★应收金额要填",IF(ROUND(N($N1251)-N($K1251),2)&gt;0.001,"★开票金额大于应收",IF(AND($L1251&lt;&gt;"",N($N1251)&lt;=0),"★填了开票日期没填开票金额",IF(AND($I1251&lt;&gt;"",$J1251&lt;&gt;"",$J1251&lt;$I1251),"★计费期间起止反了","OK")))))))</f>
        <v/>
      </c>
      <c r="U1251" s="29" t="str">
        <f aca="false">IF($L1251="","",YEAR($L1251))</f>
        <v/>
      </c>
      <c r="V1251" s="40" t="str">
        <f aca="false">IF($C1251="","",ROUND(SUMIF(收款关联,$B1251,收款金额),2))</f>
        <v/>
      </c>
      <c r="W1251" s="40" t="str">
        <f aca="false">IF($C1251="","",MAX(0,ROUND(N($K1251)-N($V1251),2)))</f>
        <v/>
      </c>
      <c r="X1251" s="40" t="str">
        <f aca="false">IF($C1251="","",ROUND(SUMIFS(应收净额,应收键,$D1251,应收行号,"&lt;="&amp;ROW()),2))</f>
        <v/>
      </c>
      <c r="Y1251" s="29" t="str">
        <f aca="false">IF($C1251="","",ROW())</f>
        <v/>
      </c>
    </row>
    <row r="1252" customFormat="false" ht="15" hidden="false" customHeight="false" outlineLevel="0" collapsed="false">
      <c r="A1252" s="29" t="str">
        <f aca="false">IF($C1252="","",ROW()-4)</f>
        <v/>
      </c>
      <c r="B1252" s="35" t="str">
        <f aca="false">IF($C1252="","","YS"&amp;TEXT($C1252,"yyyymm")&amp;"-"&amp;TEXT(ROW()-4,"0000"))</f>
        <v/>
      </c>
      <c r="C1252" s="33"/>
      <c r="D1252" s="24"/>
      <c r="E1252" s="30" t="str">
        <f aca="false">IF($D1252="","",IFERROR(INDEX(合同单位,MATCH($D1252,合同键,0)),IFERROR(TRIM(LEFT($D1252,FIND("｜",$D1252)-1)),$D1252)))</f>
        <v/>
      </c>
      <c r="F1252" s="30" t="str">
        <f aca="false">IF($D1252="","",IFERROR(INDEX(合同项目,MATCH($D1252,合同键,0)),IFERROR(TRIM(MID($D1252,FIND("｜",$D1252)+1,99)),"")))</f>
        <v/>
      </c>
      <c r="G1252" s="24"/>
      <c r="H1252" s="35" t="str">
        <f aca="false">IF($G1252="","",IFERROR(INDEX(费用款别,MATCH($G1252,费用类别表,0)),"合同外款"))</f>
        <v/>
      </c>
      <c r="I1252" s="33"/>
      <c r="J1252" s="33"/>
      <c r="K1252" s="39"/>
      <c r="L1252" s="33"/>
      <c r="M1252" s="25"/>
      <c r="N1252" s="39"/>
      <c r="O1252" s="35" t="str">
        <f aca="false">IF($C1252="","",IF(N($N1252)&lt;=0,"未开票",IF(ROUND(N($N1252)-N($K1252),2)&gt;=0,"已开票",IFERROR("部分开票 "&amp;TEXT(N($N1252)/N($K1252),"0%"),"部分开票"))))</f>
        <v/>
      </c>
      <c r="P1252" s="40" t="str">
        <f aca="false">IF($C1252="","",ROUND($V1252+MIN($W1252,MAX(0,(SUMIF(收款键,$D1252,收款金额)-SUMIFS(收款金额,收款键,$D1252,收款关联,"&lt;&gt;"))-($X1252-$W1252))),2))</f>
        <v/>
      </c>
      <c r="Q1252" s="41" t="str">
        <f aca="false">IF($C1252="","",ROUND(N($K1252)-N($P1252),2))</f>
        <v/>
      </c>
      <c r="R1252" s="29" t="str">
        <f aca="false">IF($C1252="","",YEAR($C1252))</f>
        <v/>
      </c>
      <c r="S1252" s="24"/>
      <c r="T1252" s="35" t="str">
        <f aca="false">IF($C1252="","",IF($D1252="","★没选客户项目",IF(COUNTIF(合同键,$D1252)=0,"★《维保合同》里没这个项目",IF(N($K1252)&lt;=0,"★应收金额要填",IF(ROUND(N($N1252)-N($K1252),2)&gt;0.001,"★开票金额大于应收",IF(AND($L1252&lt;&gt;"",N($N1252)&lt;=0),"★填了开票日期没填开票金额",IF(AND($I1252&lt;&gt;"",$J1252&lt;&gt;"",$J1252&lt;$I1252),"★计费期间起止反了","OK")))))))</f>
        <v/>
      </c>
      <c r="U1252" s="29" t="str">
        <f aca="false">IF($L1252="","",YEAR($L1252))</f>
        <v/>
      </c>
      <c r="V1252" s="40" t="str">
        <f aca="false">IF($C1252="","",ROUND(SUMIF(收款关联,$B1252,收款金额),2))</f>
        <v/>
      </c>
      <c r="W1252" s="40" t="str">
        <f aca="false">IF($C1252="","",MAX(0,ROUND(N($K1252)-N($V1252),2)))</f>
        <v/>
      </c>
      <c r="X1252" s="40" t="str">
        <f aca="false">IF($C1252="","",ROUND(SUMIFS(应收净额,应收键,$D1252,应收行号,"&lt;="&amp;ROW()),2))</f>
        <v/>
      </c>
      <c r="Y1252" s="29" t="str">
        <f aca="false">IF($C1252="","",ROW())</f>
        <v/>
      </c>
    </row>
    <row r="1253" customFormat="false" ht="15" hidden="false" customHeight="false" outlineLevel="0" collapsed="false">
      <c r="A1253" s="29" t="str">
        <f aca="false">IF($C1253="","",ROW()-4)</f>
        <v/>
      </c>
      <c r="B1253" s="35" t="str">
        <f aca="false">IF($C1253="","","YS"&amp;TEXT($C1253,"yyyymm")&amp;"-"&amp;TEXT(ROW()-4,"0000"))</f>
        <v/>
      </c>
      <c r="C1253" s="33"/>
      <c r="D1253" s="24"/>
      <c r="E1253" s="30" t="str">
        <f aca="false">IF($D1253="","",IFERROR(INDEX(合同单位,MATCH($D1253,合同键,0)),IFERROR(TRIM(LEFT($D1253,FIND("｜",$D1253)-1)),$D1253)))</f>
        <v/>
      </c>
      <c r="F1253" s="30" t="str">
        <f aca="false">IF($D1253="","",IFERROR(INDEX(合同项目,MATCH($D1253,合同键,0)),IFERROR(TRIM(MID($D1253,FIND("｜",$D1253)+1,99)),"")))</f>
        <v/>
      </c>
      <c r="G1253" s="24"/>
      <c r="H1253" s="35" t="str">
        <f aca="false">IF($G1253="","",IFERROR(INDEX(费用款别,MATCH($G1253,费用类别表,0)),"合同外款"))</f>
        <v/>
      </c>
      <c r="I1253" s="33"/>
      <c r="J1253" s="33"/>
      <c r="K1253" s="39"/>
      <c r="L1253" s="33"/>
      <c r="M1253" s="25"/>
      <c r="N1253" s="39"/>
      <c r="O1253" s="35" t="str">
        <f aca="false">IF($C1253="","",IF(N($N1253)&lt;=0,"未开票",IF(ROUND(N($N1253)-N($K1253),2)&gt;=0,"已开票",IFERROR("部分开票 "&amp;TEXT(N($N1253)/N($K1253),"0%"),"部分开票"))))</f>
        <v/>
      </c>
      <c r="P1253" s="40" t="str">
        <f aca="false">IF($C1253="","",ROUND($V1253+MIN($W1253,MAX(0,(SUMIF(收款键,$D1253,收款金额)-SUMIFS(收款金额,收款键,$D1253,收款关联,"&lt;&gt;"))-($X1253-$W1253))),2))</f>
        <v/>
      </c>
      <c r="Q1253" s="41" t="str">
        <f aca="false">IF($C1253="","",ROUND(N($K1253)-N($P1253),2))</f>
        <v/>
      </c>
      <c r="R1253" s="29" t="str">
        <f aca="false">IF($C1253="","",YEAR($C1253))</f>
        <v/>
      </c>
      <c r="S1253" s="24"/>
      <c r="T1253" s="35" t="str">
        <f aca="false">IF($C1253="","",IF($D1253="","★没选客户项目",IF(COUNTIF(合同键,$D1253)=0,"★《维保合同》里没这个项目",IF(N($K1253)&lt;=0,"★应收金额要填",IF(ROUND(N($N1253)-N($K1253),2)&gt;0.001,"★开票金额大于应收",IF(AND($L1253&lt;&gt;"",N($N1253)&lt;=0),"★填了开票日期没填开票金额",IF(AND($I1253&lt;&gt;"",$J1253&lt;&gt;"",$J1253&lt;$I1253),"★计费期间起止反了","OK")))))))</f>
        <v/>
      </c>
      <c r="U1253" s="29" t="str">
        <f aca="false">IF($L1253="","",YEAR($L1253))</f>
        <v/>
      </c>
      <c r="V1253" s="40" t="str">
        <f aca="false">IF($C1253="","",ROUND(SUMIF(收款关联,$B1253,收款金额),2))</f>
        <v/>
      </c>
      <c r="W1253" s="40" t="str">
        <f aca="false">IF($C1253="","",MAX(0,ROUND(N($K1253)-N($V1253),2)))</f>
        <v/>
      </c>
      <c r="X1253" s="40" t="str">
        <f aca="false">IF($C1253="","",ROUND(SUMIFS(应收净额,应收键,$D1253,应收行号,"&lt;="&amp;ROW()),2))</f>
        <v/>
      </c>
      <c r="Y1253" s="29" t="str">
        <f aca="false">IF($C1253="","",ROW())</f>
        <v/>
      </c>
    </row>
    <row r="1254" customFormat="false" ht="15" hidden="false" customHeight="false" outlineLevel="0" collapsed="false">
      <c r="A1254" s="29" t="str">
        <f aca="false">IF($C1254="","",ROW()-4)</f>
        <v/>
      </c>
      <c r="B1254" s="35" t="str">
        <f aca="false">IF($C1254="","","YS"&amp;TEXT($C1254,"yyyymm")&amp;"-"&amp;TEXT(ROW()-4,"0000"))</f>
        <v/>
      </c>
      <c r="C1254" s="33"/>
      <c r="D1254" s="24"/>
      <c r="E1254" s="30" t="str">
        <f aca="false">IF($D1254="","",IFERROR(INDEX(合同单位,MATCH($D1254,合同键,0)),IFERROR(TRIM(LEFT($D1254,FIND("｜",$D1254)-1)),$D1254)))</f>
        <v/>
      </c>
      <c r="F1254" s="30" t="str">
        <f aca="false">IF($D1254="","",IFERROR(INDEX(合同项目,MATCH($D1254,合同键,0)),IFERROR(TRIM(MID($D1254,FIND("｜",$D1254)+1,99)),"")))</f>
        <v/>
      </c>
      <c r="G1254" s="24"/>
      <c r="H1254" s="35" t="str">
        <f aca="false">IF($G1254="","",IFERROR(INDEX(费用款别,MATCH($G1254,费用类别表,0)),"合同外款"))</f>
        <v/>
      </c>
      <c r="I1254" s="33"/>
      <c r="J1254" s="33"/>
      <c r="K1254" s="39"/>
      <c r="L1254" s="33"/>
      <c r="M1254" s="25"/>
      <c r="N1254" s="39"/>
      <c r="O1254" s="35" t="str">
        <f aca="false">IF($C1254="","",IF(N($N1254)&lt;=0,"未开票",IF(ROUND(N($N1254)-N($K1254),2)&gt;=0,"已开票",IFERROR("部分开票 "&amp;TEXT(N($N1254)/N($K1254),"0%"),"部分开票"))))</f>
        <v/>
      </c>
      <c r="P1254" s="40" t="str">
        <f aca="false">IF($C1254="","",ROUND($V1254+MIN($W1254,MAX(0,(SUMIF(收款键,$D1254,收款金额)-SUMIFS(收款金额,收款键,$D1254,收款关联,"&lt;&gt;"))-($X1254-$W1254))),2))</f>
        <v/>
      </c>
      <c r="Q1254" s="41" t="str">
        <f aca="false">IF($C1254="","",ROUND(N($K1254)-N($P1254),2))</f>
        <v/>
      </c>
      <c r="R1254" s="29" t="str">
        <f aca="false">IF($C1254="","",YEAR($C1254))</f>
        <v/>
      </c>
      <c r="S1254" s="24"/>
      <c r="T1254" s="35" t="str">
        <f aca="false">IF($C1254="","",IF($D1254="","★没选客户项目",IF(COUNTIF(合同键,$D1254)=0,"★《维保合同》里没这个项目",IF(N($K1254)&lt;=0,"★应收金额要填",IF(ROUND(N($N1254)-N($K1254),2)&gt;0.001,"★开票金额大于应收",IF(AND($L1254&lt;&gt;"",N($N1254)&lt;=0),"★填了开票日期没填开票金额",IF(AND($I1254&lt;&gt;"",$J1254&lt;&gt;"",$J1254&lt;$I1254),"★计费期间起止反了","OK")))))))</f>
        <v/>
      </c>
      <c r="U1254" s="29" t="str">
        <f aca="false">IF($L1254="","",YEAR($L1254))</f>
        <v/>
      </c>
      <c r="V1254" s="40" t="str">
        <f aca="false">IF($C1254="","",ROUND(SUMIF(收款关联,$B1254,收款金额),2))</f>
        <v/>
      </c>
      <c r="W1254" s="40" t="str">
        <f aca="false">IF($C1254="","",MAX(0,ROUND(N($K1254)-N($V1254),2)))</f>
        <v/>
      </c>
      <c r="X1254" s="40" t="str">
        <f aca="false">IF($C1254="","",ROUND(SUMIFS(应收净额,应收键,$D1254,应收行号,"&lt;="&amp;ROW()),2))</f>
        <v/>
      </c>
      <c r="Y1254" s="29" t="str">
        <f aca="false">IF($C1254="","",ROW())</f>
        <v/>
      </c>
    </row>
    <row r="1255" customFormat="false" ht="15" hidden="false" customHeight="false" outlineLevel="0" collapsed="false">
      <c r="A1255" s="29" t="str">
        <f aca="false">IF($C1255="","",ROW()-4)</f>
        <v/>
      </c>
      <c r="B1255" s="35" t="str">
        <f aca="false">IF($C1255="","","YS"&amp;TEXT($C1255,"yyyymm")&amp;"-"&amp;TEXT(ROW()-4,"0000"))</f>
        <v/>
      </c>
      <c r="C1255" s="33"/>
      <c r="D1255" s="24"/>
      <c r="E1255" s="30" t="str">
        <f aca="false">IF($D1255="","",IFERROR(INDEX(合同单位,MATCH($D1255,合同键,0)),IFERROR(TRIM(LEFT($D1255,FIND("｜",$D1255)-1)),$D1255)))</f>
        <v/>
      </c>
      <c r="F1255" s="30" t="str">
        <f aca="false">IF($D1255="","",IFERROR(INDEX(合同项目,MATCH($D1255,合同键,0)),IFERROR(TRIM(MID($D1255,FIND("｜",$D1255)+1,99)),"")))</f>
        <v/>
      </c>
      <c r="G1255" s="24"/>
      <c r="H1255" s="35" t="str">
        <f aca="false">IF($G1255="","",IFERROR(INDEX(费用款别,MATCH($G1255,费用类别表,0)),"合同外款"))</f>
        <v/>
      </c>
      <c r="I1255" s="33"/>
      <c r="J1255" s="33"/>
      <c r="K1255" s="39"/>
      <c r="L1255" s="33"/>
      <c r="M1255" s="25"/>
      <c r="N1255" s="39"/>
      <c r="O1255" s="35" t="str">
        <f aca="false">IF($C1255="","",IF(N($N1255)&lt;=0,"未开票",IF(ROUND(N($N1255)-N($K1255),2)&gt;=0,"已开票",IFERROR("部分开票 "&amp;TEXT(N($N1255)/N($K1255),"0%"),"部分开票"))))</f>
        <v/>
      </c>
      <c r="P1255" s="40" t="str">
        <f aca="false">IF($C1255="","",ROUND($V1255+MIN($W1255,MAX(0,(SUMIF(收款键,$D1255,收款金额)-SUMIFS(收款金额,收款键,$D1255,收款关联,"&lt;&gt;"))-($X1255-$W1255))),2))</f>
        <v/>
      </c>
      <c r="Q1255" s="41" t="str">
        <f aca="false">IF($C1255="","",ROUND(N($K1255)-N($P1255),2))</f>
        <v/>
      </c>
      <c r="R1255" s="29" t="str">
        <f aca="false">IF($C1255="","",YEAR($C1255))</f>
        <v/>
      </c>
      <c r="S1255" s="24"/>
      <c r="T1255" s="35" t="str">
        <f aca="false">IF($C1255="","",IF($D1255="","★没选客户项目",IF(COUNTIF(合同键,$D1255)=0,"★《维保合同》里没这个项目",IF(N($K1255)&lt;=0,"★应收金额要填",IF(ROUND(N($N1255)-N($K1255),2)&gt;0.001,"★开票金额大于应收",IF(AND($L1255&lt;&gt;"",N($N1255)&lt;=0),"★填了开票日期没填开票金额",IF(AND($I1255&lt;&gt;"",$J1255&lt;&gt;"",$J1255&lt;$I1255),"★计费期间起止反了","OK")))))))</f>
        <v/>
      </c>
      <c r="U1255" s="29" t="str">
        <f aca="false">IF($L1255="","",YEAR($L1255))</f>
        <v/>
      </c>
      <c r="V1255" s="40" t="str">
        <f aca="false">IF($C1255="","",ROUND(SUMIF(收款关联,$B1255,收款金额),2))</f>
        <v/>
      </c>
      <c r="W1255" s="40" t="str">
        <f aca="false">IF($C1255="","",MAX(0,ROUND(N($K1255)-N($V1255),2)))</f>
        <v/>
      </c>
      <c r="X1255" s="40" t="str">
        <f aca="false">IF($C1255="","",ROUND(SUMIFS(应收净额,应收键,$D1255,应收行号,"&lt;="&amp;ROW()),2))</f>
        <v/>
      </c>
      <c r="Y1255" s="29" t="str">
        <f aca="false">IF($C1255="","",ROW())</f>
        <v/>
      </c>
    </row>
    <row r="1256" customFormat="false" ht="15" hidden="false" customHeight="false" outlineLevel="0" collapsed="false">
      <c r="A1256" s="29" t="str">
        <f aca="false">IF($C1256="","",ROW()-4)</f>
        <v/>
      </c>
      <c r="B1256" s="35" t="str">
        <f aca="false">IF($C1256="","","YS"&amp;TEXT($C1256,"yyyymm")&amp;"-"&amp;TEXT(ROW()-4,"0000"))</f>
        <v/>
      </c>
      <c r="C1256" s="33"/>
      <c r="D1256" s="24"/>
      <c r="E1256" s="30" t="str">
        <f aca="false">IF($D1256="","",IFERROR(INDEX(合同单位,MATCH($D1256,合同键,0)),IFERROR(TRIM(LEFT($D1256,FIND("｜",$D1256)-1)),$D1256)))</f>
        <v/>
      </c>
      <c r="F1256" s="30" t="str">
        <f aca="false">IF($D1256="","",IFERROR(INDEX(合同项目,MATCH($D1256,合同键,0)),IFERROR(TRIM(MID($D1256,FIND("｜",$D1256)+1,99)),"")))</f>
        <v/>
      </c>
      <c r="G1256" s="24"/>
      <c r="H1256" s="35" t="str">
        <f aca="false">IF($G1256="","",IFERROR(INDEX(费用款别,MATCH($G1256,费用类别表,0)),"合同外款"))</f>
        <v/>
      </c>
      <c r="I1256" s="33"/>
      <c r="J1256" s="33"/>
      <c r="K1256" s="39"/>
      <c r="L1256" s="33"/>
      <c r="M1256" s="25"/>
      <c r="N1256" s="39"/>
      <c r="O1256" s="35" t="str">
        <f aca="false">IF($C1256="","",IF(N($N1256)&lt;=0,"未开票",IF(ROUND(N($N1256)-N($K1256),2)&gt;=0,"已开票",IFERROR("部分开票 "&amp;TEXT(N($N1256)/N($K1256),"0%"),"部分开票"))))</f>
        <v/>
      </c>
      <c r="P1256" s="40" t="str">
        <f aca="false">IF($C1256="","",ROUND($V1256+MIN($W1256,MAX(0,(SUMIF(收款键,$D1256,收款金额)-SUMIFS(收款金额,收款键,$D1256,收款关联,"&lt;&gt;"))-($X1256-$W1256))),2))</f>
        <v/>
      </c>
      <c r="Q1256" s="41" t="str">
        <f aca="false">IF($C1256="","",ROUND(N($K1256)-N($P1256),2))</f>
        <v/>
      </c>
      <c r="R1256" s="29" t="str">
        <f aca="false">IF($C1256="","",YEAR($C1256))</f>
        <v/>
      </c>
      <c r="S1256" s="24"/>
      <c r="T1256" s="35" t="str">
        <f aca="false">IF($C1256="","",IF($D1256="","★没选客户项目",IF(COUNTIF(合同键,$D1256)=0,"★《维保合同》里没这个项目",IF(N($K1256)&lt;=0,"★应收金额要填",IF(ROUND(N($N1256)-N($K1256),2)&gt;0.001,"★开票金额大于应收",IF(AND($L1256&lt;&gt;"",N($N1256)&lt;=0),"★填了开票日期没填开票金额",IF(AND($I1256&lt;&gt;"",$J1256&lt;&gt;"",$J1256&lt;$I1256),"★计费期间起止反了","OK")))))))</f>
        <v/>
      </c>
      <c r="U1256" s="29" t="str">
        <f aca="false">IF($L1256="","",YEAR($L1256))</f>
        <v/>
      </c>
      <c r="V1256" s="40" t="str">
        <f aca="false">IF($C1256="","",ROUND(SUMIF(收款关联,$B1256,收款金额),2))</f>
        <v/>
      </c>
      <c r="W1256" s="40" t="str">
        <f aca="false">IF($C1256="","",MAX(0,ROUND(N($K1256)-N($V1256),2)))</f>
        <v/>
      </c>
      <c r="X1256" s="40" t="str">
        <f aca="false">IF($C1256="","",ROUND(SUMIFS(应收净额,应收键,$D1256,应收行号,"&lt;="&amp;ROW()),2))</f>
        <v/>
      </c>
      <c r="Y1256" s="29" t="str">
        <f aca="false">IF($C1256="","",ROW())</f>
        <v/>
      </c>
    </row>
    <row r="1257" customFormat="false" ht="15" hidden="false" customHeight="false" outlineLevel="0" collapsed="false">
      <c r="A1257" s="29" t="str">
        <f aca="false">IF($C1257="","",ROW()-4)</f>
        <v/>
      </c>
      <c r="B1257" s="35" t="str">
        <f aca="false">IF($C1257="","","YS"&amp;TEXT($C1257,"yyyymm")&amp;"-"&amp;TEXT(ROW()-4,"0000"))</f>
        <v/>
      </c>
      <c r="C1257" s="33"/>
      <c r="D1257" s="24"/>
      <c r="E1257" s="30" t="str">
        <f aca="false">IF($D1257="","",IFERROR(INDEX(合同单位,MATCH($D1257,合同键,0)),IFERROR(TRIM(LEFT($D1257,FIND("｜",$D1257)-1)),$D1257)))</f>
        <v/>
      </c>
      <c r="F1257" s="30" t="str">
        <f aca="false">IF($D1257="","",IFERROR(INDEX(合同项目,MATCH($D1257,合同键,0)),IFERROR(TRIM(MID($D1257,FIND("｜",$D1257)+1,99)),"")))</f>
        <v/>
      </c>
      <c r="G1257" s="24"/>
      <c r="H1257" s="35" t="str">
        <f aca="false">IF($G1257="","",IFERROR(INDEX(费用款别,MATCH($G1257,费用类别表,0)),"合同外款"))</f>
        <v/>
      </c>
      <c r="I1257" s="33"/>
      <c r="J1257" s="33"/>
      <c r="K1257" s="39"/>
      <c r="L1257" s="33"/>
      <c r="M1257" s="25"/>
      <c r="N1257" s="39"/>
      <c r="O1257" s="35" t="str">
        <f aca="false">IF($C1257="","",IF(N($N1257)&lt;=0,"未开票",IF(ROUND(N($N1257)-N($K1257),2)&gt;=0,"已开票",IFERROR("部分开票 "&amp;TEXT(N($N1257)/N($K1257),"0%"),"部分开票"))))</f>
        <v/>
      </c>
      <c r="P1257" s="40" t="str">
        <f aca="false">IF($C1257="","",ROUND($V1257+MIN($W1257,MAX(0,(SUMIF(收款键,$D1257,收款金额)-SUMIFS(收款金额,收款键,$D1257,收款关联,"&lt;&gt;"))-($X1257-$W1257))),2))</f>
        <v/>
      </c>
      <c r="Q1257" s="41" t="str">
        <f aca="false">IF($C1257="","",ROUND(N($K1257)-N($P1257),2))</f>
        <v/>
      </c>
      <c r="R1257" s="29" t="str">
        <f aca="false">IF($C1257="","",YEAR($C1257))</f>
        <v/>
      </c>
      <c r="S1257" s="24"/>
      <c r="T1257" s="35" t="str">
        <f aca="false">IF($C1257="","",IF($D1257="","★没选客户项目",IF(COUNTIF(合同键,$D1257)=0,"★《维保合同》里没这个项目",IF(N($K1257)&lt;=0,"★应收金额要填",IF(ROUND(N($N1257)-N($K1257),2)&gt;0.001,"★开票金额大于应收",IF(AND($L1257&lt;&gt;"",N($N1257)&lt;=0),"★填了开票日期没填开票金额",IF(AND($I1257&lt;&gt;"",$J1257&lt;&gt;"",$J1257&lt;$I1257),"★计费期间起止反了","OK")))))))</f>
        <v/>
      </c>
      <c r="U1257" s="29" t="str">
        <f aca="false">IF($L1257="","",YEAR($L1257))</f>
        <v/>
      </c>
      <c r="V1257" s="40" t="str">
        <f aca="false">IF($C1257="","",ROUND(SUMIF(收款关联,$B1257,收款金额),2))</f>
        <v/>
      </c>
      <c r="W1257" s="40" t="str">
        <f aca="false">IF($C1257="","",MAX(0,ROUND(N($K1257)-N($V1257),2)))</f>
        <v/>
      </c>
      <c r="X1257" s="40" t="str">
        <f aca="false">IF($C1257="","",ROUND(SUMIFS(应收净额,应收键,$D1257,应收行号,"&lt;="&amp;ROW()),2))</f>
        <v/>
      </c>
      <c r="Y1257" s="29" t="str">
        <f aca="false">IF($C1257="","",ROW())</f>
        <v/>
      </c>
    </row>
    <row r="1258" customFormat="false" ht="15" hidden="false" customHeight="false" outlineLevel="0" collapsed="false">
      <c r="A1258" s="29" t="str">
        <f aca="false">IF($C1258="","",ROW()-4)</f>
        <v/>
      </c>
      <c r="B1258" s="35" t="str">
        <f aca="false">IF($C1258="","","YS"&amp;TEXT($C1258,"yyyymm")&amp;"-"&amp;TEXT(ROW()-4,"0000"))</f>
        <v/>
      </c>
      <c r="C1258" s="33"/>
      <c r="D1258" s="24"/>
      <c r="E1258" s="30" t="str">
        <f aca="false">IF($D1258="","",IFERROR(INDEX(合同单位,MATCH($D1258,合同键,0)),IFERROR(TRIM(LEFT($D1258,FIND("｜",$D1258)-1)),$D1258)))</f>
        <v/>
      </c>
      <c r="F1258" s="30" t="str">
        <f aca="false">IF($D1258="","",IFERROR(INDEX(合同项目,MATCH($D1258,合同键,0)),IFERROR(TRIM(MID($D1258,FIND("｜",$D1258)+1,99)),"")))</f>
        <v/>
      </c>
      <c r="G1258" s="24"/>
      <c r="H1258" s="35" t="str">
        <f aca="false">IF($G1258="","",IFERROR(INDEX(费用款别,MATCH($G1258,费用类别表,0)),"合同外款"))</f>
        <v/>
      </c>
      <c r="I1258" s="33"/>
      <c r="J1258" s="33"/>
      <c r="K1258" s="39"/>
      <c r="L1258" s="33"/>
      <c r="M1258" s="25"/>
      <c r="N1258" s="39"/>
      <c r="O1258" s="35" t="str">
        <f aca="false">IF($C1258="","",IF(N($N1258)&lt;=0,"未开票",IF(ROUND(N($N1258)-N($K1258),2)&gt;=0,"已开票",IFERROR("部分开票 "&amp;TEXT(N($N1258)/N($K1258),"0%"),"部分开票"))))</f>
        <v/>
      </c>
      <c r="P1258" s="40" t="str">
        <f aca="false">IF($C1258="","",ROUND($V1258+MIN($W1258,MAX(0,(SUMIF(收款键,$D1258,收款金额)-SUMIFS(收款金额,收款键,$D1258,收款关联,"&lt;&gt;"))-($X1258-$W1258))),2))</f>
        <v/>
      </c>
      <c r="Q1258" s="41" t="str">
        <f aca="false">IF($C1258="","",ROUND(N($K1258)-N($P1258),2))</f>
        <v/>
      </c>
      <c r="R1258" s="29" t="str">
        <f aca="false">IF($C1258="","",YEAR($C1258))</f>
        <v/>
      </c>
      <c r="S1258" s="24"/>
      <c r="T1258" s="35" t="str">
        <f aca="false">IF($C1258="","",IF($D1258="","★没选客户项目",IF(COUNTIF(合同键,$D1258)=0,"★《维保合同》里没这个项目",IF(N($K1258)&lt;=0,"★应收金额要填",IF(ROUND(N($N1258)-N($K1258),2)&gt;0.001,"★开票金额大于应收",IF(AND($L1258&lt;&gt;"",N($N1258)&lt;=0),"★填了开票日期没填开票金额",IF(AND($I1258&lt;&gt;"",$J1258&lt;&gt;"",$J1258&lt;$I1258),"★计费期间起止反了","OK")))))))</f>
        <v/>
      </c>
      <c r="U1258" s="29" t="str">
        <f aca="false">IF($L1258="","",YEAR($L1258))</f>
        <v/>
      </c>
      <c r="V1258" s="40" t="str">
        <f aca="false">IF($C1258="","",ROUND(SUMIF(收款关联,$B1258,收款金额),2))</f>
        <v/>
      </c>
      <c r="W1258" s="40" t="str">
        <f aca="false">IF($C1258="","",MAX(0,ROUND(N($K1258)-N($V1258),2)))</f>
        <v/>
      </c>
      <c r="X1258" s="40" t="str">
        <f aca="false">IF($C1258="","",ROUND(SUMIFS(应收净额,应收键,$D1258,应收行号,"&lt;="&amp;ROW()),2))</f>
        <v/>
      </c>
      <c r="Y1258" s="29" t="str">
        <f aca="false">IF($C1258="","",ROW())</f>
        <v/>
      </c>
    </row>
    <row r="1259" customFormat="false" ht="15" hidden="false" customHeight="false" outlineLevel="0" collapsed="false">
      <c r="A1259" s="29" t="str">
        <f aca="false">IF($C1259="","",ROW()-4)</f>
        <v/>
      </c>
      <c r="B1259" s="35" t="str">
        <f aca="false">IF($C1259="","","YS"&amp;TEXT($C1259,"yyyymm")&amp;"-"&amp;TEXT(ROW()-4,"0000"))</f>
        <v/>
      </c>
      <c r="C1259" s="33"/>
      <c r="D1259" s="24"/>
      <c r="E1259" s="30" t="str">
        <f aca="false">IF($D1259="","",IFERROR(INDEX(合同单位,MATCH($D1259,合同键,0)),IFERROR(TRIM(LEFT($D1259,FIND("｜",$D1259)-1)),$D1259)))</f>
        <v/>
      </c>
      <c r="F1259" s="30" t="str">
        <f aca="false">IF($D1259="","",IFERROR(INDEX(合同项目,MATCH($D1259,合同键,0)),IFERROR(TRIM(MID($D1259,FIND("｜",$D1259)+1,99)),"")))</f>
        <v/>
      </c>
      <c r="G1259" s="24"/>
      <c r="H1259" s="35" t="str">
        <f aca="false">IF($G1259="","",IFERROR(INDEX(费用款别,MATCH($G1259,费用类别表,0)),"合同外款"))</f>
        <v/>
      </c>
      <c r="I1259" s="33"/>
      <c r="J1259" s="33"/>
      <c r="K1259" s="39"/>
      <c r="L1259" s="33"/>
      <c r="M1259" s="25"/>
      <c r="N1259" s="39"/>
      <c r="O1259" s="35" t="str">
        <f aca="false">IF($C1259="","",IF(N($N1259)&lt;=0,"未开票",IF(ROUND(N($N1259)-N($K1259),2)&gt;=0,"已开票",IFERROR("部分开票 "&amp;TEXT(N($N1259)/N($K1259),"0%"),"部分开票"))))</f>
        <v/>
      </c>
      <c r="P1259" s="40" t="str">
        <f aca="false">IF($C1259="","",ROUND($V1259+MIN($W1259,MAX(0,(SUMIF(收款键,$D1259,收款金额)-SUMIFS(收款金额,收款键,$D1259,收款关联,"&lt;&gt;"))-($X1259-$W1259))),2))</f>
        <v/>
      </c>
      <c r="Q1259" s="41" t="str">
        <f aca="false">IF($C1259="","",ROUND(N($K1259)-N($P1259),2))</f>
        <v/>
      </c>
      <c r="R1259" s="29" t="str">
        <f aca="false">IF($C1259="","",YEAR($C1259))</f>
        <v/>
      </c>
      <c r="S1259" s="24"/>
      <c r="T1259" s="35" t="str">
        <f aca="false">IF($C1259="","",IF($D1259="","★没选客户项目",IF(COUNTIF(合同键,$D1259)=0,"★《维保合同》里没这个项目",IF(N($K1259)&lt;=0,"★应收金额要填",IF(ROUND(N($N1259)-N($K1259),2)&gt;0.001,"★开票金额大于应收",IF(AND($L1259&lt;&gt;"",N($N1259)&lt;=0),"★填了开票日期没填开票金额",IF(AND($I1259&lt;&gt;"",$J1259&lt;&gt;"",$J1259&lt;$I1259),"★计费期间起止反了","OK")))))))</f>
        <v/>
      </c>
      <c r="U1259" s="29" t="str">
        <f aca="false">IF($L1259="","",YEAR($L1259))</f>
        <v/>
      </c>
      <c r="V1259" s="40" t="str">
        <f aca="false">IF($C1259="","",ROUND(SUMIF(收款关联,$B1259,收款金额),2))</f>
        <v/>
      </c>
      <c r="W1259" s="40" t="str">
        <f aca="false">IF($C1259="","",MAX(0,ROUND(N($K1259)-N($V1259),2)))</f>
        <v/>
      </c>
      <c r="X1259" s="40" t="str">
        <f aca="false">IF($C1259="","",ROUND(SUMIFS(应收净额,应收键,$D1259,应收行号,"&lt;="&amp;ROW()),2))</f>
        <v/>
      </c>
      <c r="Y1259" s="29" t="str">
        <f aca="false">IF($C1259="","",ROW())</f>
        <v/>
      </c>
    </row>
    <row r="1260" customFormat="false" ht="15" hidden="false" customHeight="false" outlineLevel="0" collapsed="false">
      <c r="A1260" s="29" t="str">
        <f aca="false">IF($C1260="","",ROW()-4)</f>
        <v/>
      </c>
      <c r="B1260" s="35" t="str">
        <f aca="false">IF($C1260="","","YS"&amp;TEXT($C1260,"yyyymm")&amp;"-"&amp;TEXT(ROW()-4,"0000"))</f>
        <v/>
      </c>
      <c r="C1260" s="33"/>
      <c r="D1260" s="24"/>
      <c r="E1260" s="30" t="str">
        <f aca="false">IF($D1260="","",IFERROR(INDEX(合同单位,MATCH($D1260,合同键,0)),IFERROR(TRIM(LEFT($D1260,FIND("｜",$D1260)-1)),$D1260)))</f>
        <v/>
      </c>
      <c r="F1260" s="30" t="str">
        <f aca="false">IF($D1260="","",IFERROR(INDEX(合同项目,MATCH($D1260,合同键,0)),IFERROR(TRIM(MID($D1260,FIND("｜",$D1260)+1,99)),"")))</f>
        <v/>
      </c>
      <c r="G1260" s="24"/>
      <c r="H1260" s="35" t="str">
        <f aca="false">IF($G1260="","",IFERROR(INDEX(费用款别,MATCH($G1260,费用类别表,0)),"合同外款"))</f>
        <v/>
      </c>
      <c r="I1260" s="33"/>
      <c r="J1260" s="33"/>
      <c r="K1260" s="39"/>
      <c r="L1260" s="33"/>
      <c r="M1260" s="25"/>
      <c r="N1260" s="39"/>
      <c r="O1260" s="35" t="str">
        <f aca="false">IF($C1260="","",IF(N($N1260)&lt;=0,"未开票",IF(ROUND(N($N1260)-N($K1260),2)&gt;=0,"已开票",IFERROR("部分开票 "&amp;TEXT(N($N1260)/N($K1260),"0%"),"部分开票"))))</f>
        <v/>
      </c>
      <c r="P1260" s="40" t="str">
        <f aca="false">IF($C1260="","",ROUND($V1260+MIN($W1260,MAX(0,(SUMIF(收款键,$D1260,收款金额)-SUMIFS(收款金额,收款键,$D1260,收款关联,"&lt;&gt;"))-($X1260-$W1260))),2))</f>
        <v/>
      </c>
      <c r="Q1260" s="41" t="str">
        <f aca="false">IF($C1260="","",ROUND(N($K1260)-N($P1260),2))</f>
        <v/>
      </c>
      <c r="R1260" s="29" t="str">
        <f aca="false">IF($C1260="","",YEAR($C1260))</f>
        <v/>
      </c>
      <c r="S1260" s="24"/>
      <c r="T1260" s="35" t="str">
        <f aca="false">IF($C1260="","",IF($D1260="","★没选客户项目",IF(COUNTIF(合同键,$D1260)=0,"★《维保合同》里没这个项目",IF(N($K1260)&lt;=0,"★应收金额要填",IF(ROUND(N($N1260)-N($K1260),2)&gt;0.001,"★开票金额大于应收",IF(AND($L1260&lt;&gt;"",N($N1260)&lt;=0),"★填了开票日期没填开票金额",IF(AND($I1260&lt;&gt;"",$J1260&lt;&gt;"",$J1260&lt;$I1260),"★计费期间起止反了","OK")))))))</f>
        <v/>
      </c>
      <c r="U1260" s="29" t="str">
        <f aca="false">IF($L1260="","",YEAR($L1260))</f>
        <v/>
      </c>
      <c r="V1260" s="40" t="str">
        <f aca="false">IF($C1260="","",ROUND(SUMIF(收款关联,$B1260,收款金额),2))</f>
        <v/>
      </c>
      <c r="W1260" s="40" t="str">
        <f aca="false">IF($C1260="","",MAX(0,ROUND(N($K1260)-N($V1260),2)))</f>
        <v/>
      </c>
      <c r="X1260" s="40" t="str">
        <f aca="false">IF($C1260="","",ROUND(SUMIFS(应收净额,应收键,$D1260,应收行号,"&lt;="&amp;ROW()),2))</f>
        <v/>
      </c>
      <c r="Y1260" s="29" t="str">
        <f aca="false">IF($C1260="","",ROW())</f>
        <v/>
      </c>
    </row>
    <row r="1261" customFormat="false" ht="15" hidden="false" customHeight="false" outlineLevel="0" collapsed="false">
      <c r="A1261" s="29" t="str">
        <f aca="false">IF($C1261="","",ROW()-4)</f>
        <v/>
      </c>
      <c r="B1261" s="35" t="str">
        <f aca="false">IF($C1261="","","YS"&amp;TEXT($C1261,"yyyymm")&amp;"-"&amp;TEXT(ROW()-4,"0000"))</f>
        <v/>
      </c>
      <c r="C1261" s="33"/>
      <c r="D1261" s="24"/>
      <c r="E1261" s="30" t="str">
        <f aca="false">IF($D1261="","",IFERROR(INDEX(合同单位,MATCH($D1261,合同键,0)),IFERROR(TRIM(LEFT($D1261,FIND("｜",$D1261)-1)),$D1261)))</f>
        <v/>
      </c>
      <c r="F1261" s="30" t="str">
        <f aca="false">IF($D1261="","",IFERROR(INDEX(合同项目,MATCH($D1261,合同键,0)),IFERROR(TRIM(MID($D1261,FIND("｜",$D1261)+1,99)),"")))</f>
        <v/>
      </c>
      <c r="G1261" s="24"/>
      <c r="H1261" s="35" t="str">
        <f aca="false">IF($G1261="","",IFERROR(INDEX(费用款别,MATCH($G1261,费用类别表,0)),"合同外款"))</f>
        <v/>
      </c>
      <c r="I1261" s="33"/>
      <c r="J1261" s="33"/>
      <c r="K1261" s="39"/>
      <c r="L1261" s="33"/>
      <c r="M1261" s="25"/>
      <c r="N1261" s="39"/>
      <c r="O1261" s="35" t="str">
        <f aca="false">IF($C1261="","",IF(N($N1261)&lt;=0,"未开票",IF(ROUND(N($N1261)-N($K1261),2)&gt;=0,"已开票",IFERROR("部分开票 "&amp;TEXT(N($N1261)/N($K1261),"0%"),"部分开票"))))</f>
        <v/>
      </c>
      <c r="P1261" s="40" t="str">
        <f aca="false">IF($C1261="","",ROUND($V1261+MIN($W1261,MAX(0,(SUMIF(收款键,$D1261,收款金额)-SUMIFS(收款金额,收款键,$D1261,收款关联,"&lt;&gt;"))-($X1261-$W1261))),2))</f>
        <v/>
      </c>
      <c r="Q1261" s="41" t="str">
        <f aca="false">IF($C1261="","",ROUND(N($K1261)-N($P1261),2))</f>
        <v/>
      </c>
      <c r="R1261" s="29" t="str">
        <f aca="false">IF($C1261="","",YEAR($C1261))</f>
        <v/>
      </c>
      <c r="S1261" s="24"/>
      <c r="T1261" s="35" t="str">
        <f aca="false">IF($C1261="","",IF($D1261="","★没选客户项目",IF(COUNTIF(合同键,$D1261)=0,"★《维保合同》里没这个项目",IF(N($K1261)&lt;=0,"★应收金额要填",IF(ROUND(N($N1261)-N($K1261),2)&gt;0.001,"★开票金额大于应收",IF(AND($L1261&lt;&gt;"",N($N1261)&lt;=0),"★填了开票日期没填开票金额",IF(AND($I1261&lt;&gt;"",$J1261&lt;&gt;"",$J1261&lt;$I1261),"★计费期间起止反了","OK")))))))</f>
        <v/>
      </c>
      <c r="U1261" s="29" t="str">
        <f aca="false">IF($L1261="","",YEAR($L1261))</f>
        <v/>
      </c>
      <c r="V1261" s="40" t="str">
        <f aca="false">IF($C1261="","",ROUND(SUMIF(收款关联,$B1261,收款金额),2))</f>
        <v/>
      </c>
      <c r="W1261" s="40" t="str">
        <f aca="false">IF($C1261="","",MAX(0,ROUND(N($K1261)-N($V1261),2)))</f>
        <v/>
      </c>
      <c r="X1261" s="40" t="str">
        <f aca="false">IF($C1261="","",ROUND(SUMIFS(应收净额,应收键,$D1261,应收行号,"&lt;="&amp;ROW()),2))</f>
        <v/>
      </c>
      <c r="Y1261" s="29" t="str">
        <f aca="false">IF($C1261="","",ROW())</f>
        <v/>
      </c>
    </row>
    <row r="1262" customFormat="false" ht="15" hidden="false" customHeight="false" outlineLevel="0" collapsed="false">
      <c r="A1262" s="29" t="str">
        <f aca="false">IF($C1262="","",ROW()-4)</f>
        <v/>
      </c>
      <c r="B1262" s="35" t="str">
        <f aca="false">IF($C1262="","","YS"&amp;TEXT($C1262,"yyyymm")&amp;"-"&amp;TEXT(ROW()-4,"0000"))</f>
        <v/>
      </c>
      <c r="C1262" s="33"/>
      <c r="D1262" s="24"/>
      <c r="E1262" s="30" t="str">
        <f aca="false">IF($D1262="","",IFERROR(INDEX(合同单位,MATCH($D1262,合同键,0)),IFERROR(TRIM(LEFT($D1262,FIND("｜",$D1262)-1)),$D1262)))</f>
        <v/>
      </c>
      <c r="F1262" s="30" t="str">
        <f aca="false">IF($D1262="","",IFERROR(INDEX(合同项目,MATCH($D1262,合同键,0)),IFERROR(TRIM(MID($D1262,FIND("｜",$D1262)+1,99)),"")))</f>
        <v/>
      </c>
      <c r="G1262" s="24"/>
      <c r="H1262" s="35" t="str">
        <f aca="false">IF($G1262="","",IFERROR(INDEX(费用款别,MATCH($G1262,费用类别表,0)),"合同外款"))</f>
        <v/>
      </c>
      <c r="I1262" s="33"/>
      <c r="J1262" s="33"/>
      <c r="K1262" s="39"/>
      <c r="L1262" s="33"/>
      <c r="M1262" s="25"/>
      <c r="N1262" s="39"/>
      <c r="O1262" s="35" t="str">
        <f aca="false">IF($C1262="","",IF(N($N1262)&lt;=0,"未开票",IF(ROUND(N($N1262)-N($K1262),2)&gt;=0,"已开票",IFERROR("部分开票 "&amp;TEXT(N($N1262)/N($K1262),"0%"),"部分开票"))))</f>
        <v/>
      </c>
      <c r="P1262" s="40" t="str">
        <f aca="false">IF($C1262="","",ROUND($V1262+MIN($W1262,MAX(0,(SUMIF(收款键,$D1262,收款金额)-SUMIFS(收款金额,收款键,$D1262,收款关联,"&lt;&gt;"))-($X1262-$W1262))),2))</f>
        <v/>
      </c>
      <c r="Q1262" s="41" t="str">
        <f aca="false">IF($C1262="","",ROUND(N($K1262)-N($P1262),2))</f>
        <v/>
      </c>
      <c r="R1262" s="29" t="str">
        <f aca="false">IF($C1262="","",YEAR($C1262))</f>
        <v/>
      </c>
      <c r="S1262" s="24"/>
      <c r="T1262" s="35" t="str">
        <f aca="false">IF($C1262="","",IF($D1262="","★没选客户项目",IF(COUNTIF(合同键,$D1262)=0,"★《维保合同》里没这个项目",IF(N($K1262)&lt;=0,"★应收金额要填",IF(ROUND(N($N1262)-N($K1262),2)&gt;0.001,"★开票金额大于应收",IF(AND($L1262&lt;&gt;"",N($N1262)&lt;=0),"★填了开票日期没填开票金额",IF(AND($I1262&lt;&gt;"",$J1262&lt;&gt;"",$J1262&lt;$I1262),"★计费期间起止反了","OK")))))))</f>
        <v/>
      </c>
      <c r="U1262" s="29" t="str">
        <f aca="false">IF($L1262="","",YEAR($L1262))</f>
        <v/>
      </c>
      <c r="V1262" s="40" t="str">
        <f aca="false">IF($C1262="","",ROUND(SUMIF(收款关联,$B1262,收款金额),2))</f>
        <v/>
      </c>
      <c r="W1262" s="40" t="str">
        <f aca="false">IF($C1262="","",MAX(0,ROUND(N($K1262)-N($V1262),2)))</f>
        <v/>
      </c>
      <c r="X1262" s="40" t="str">
        <f aca="false">IF($C1262="","",ROUND(SUMIFS(应收净额,应收键,$D1262,应收行号,"&lt;="&amp;ROW()),2))</f>
        <v/>
      </c>
      <c r="Y1262" s="29" t="str">
        <f aca="false">IF($C1262="","",ROW())</f>
        <v/>
      </c>
    </row>
    <row r="1263" customFormat="false" ht="15" hidden="false" customHeight="false" outlineLevel="0" collapsed="false">
      <c r="A1263" s="29" t="str">
        <f aca="false">IF($C1263="","",ROW()-4)</f>
        <v/>
      </c>
      <c r="B1263" s="35" t="str">
        <f aca="false">IF($C1263="","","YS"&amp;TEXT($C1263,"yyyymm")&amp;"-"&amp;TEXT(ROW()-4,"0000"))</f>
        <v/>
      </c>
      <c r="C1263" s="33"/>
      <c r="D1263" s="24"/>
      <c r="E1263" s="30" t="str">
        <f aca="false">IF($D1263="","",IFERROR(INDEX(合同单位,MATCH($D1263,合同键,0)),IFERROR(TRIM(LEFT($D1263,FIND("｜",$D1263)-1)),$D1263)))</f>
        <v/>
      </c>
      <c r="F1263" s="30" t="str">
        <f aca="false">IF($D1263="","",IFERROR(INDEX(合同项目,MATCH($D1263,合同键,0)),IFERROR(TRIM(MID($D1263,FIND("｜",$D1263)+1,99)),"")))</f>
        <v/>
      </c>
      <c r="G1263" s="24"/>
      <c r="H1263" s="35" t="str">
        <f aca="false">IF($G1263="","",IFERROR(INDEX(费用款别,MATCH($G1263,费用类别表,0)),"合同外款"))</f>
        <v/>
      </c>
      <c r="I1263" s="33"/>
      <c r="J1263" s="33"/>
      <c r="K1263" s="39"/>
      <c r="L1263" s="33"/>
      <c r="M1263" s="25"/>
      <c r="N1263" s="39"/>
      <c r="O1263" s="35" t="str">
        <f aca="false">IF($C1263="","",IF(N($N1263)&lt;=0,"未开票",IF(ROUND(N($N1263)-N($K1263),2)&gt;=0,"已开票",IFERROR("部分开票 "&amp;TEXT(N($N1263)/N($K1263),"0%"),"部分开票"))))</f>
        <v/>
      </c>
      <c r="P1263" s="40" t="str">
        <f aca="false">IF($C1263="","",ROUND($V1263+MIN($W1263,MAX(0,(SUMIF(收款键,$D1263,收款金额)-SUMIFS(收款金额,收款键,$D1263,收款关联,"&lt;&gt;"))-($X1263-$W1263))),2))</f>
        <v/>
      </c>
      <c r="Q1263" s="41" t="str">
        <f aca="false">IF($C1263="","",ROUND(N($K1263)-N($P1263),2))</f>
        <v/>
      </c>
      <c r="R1263" s="29" t="str">
        <f aca="false">IF($C1263="","",YEAR($C1263))</f>
        <v/>
      </c>
      <c r="S1263" s="24"/>
      <c r="T1263" s="35" t="str">
        <f aca="false">IF($C1263="","",IF($D1263="","★没选客户项目",IF(COUNTIF(合同键,$D1263)=0,"★《维保合同》里没这个项目",IF(N($K1263)&lt;=0,"★应收金额要填",IF(ROUND(N($N1263)-N($K1263),2)&gt;0.001,"★开票金额大于应收",IF(AND($L1263&lt;&gt;"",N($N1263)&lt;=0),"★填了开票日期没填开票金额",IF(AND($I1263&lt;&gt;"",$J1263&lt;&gt;"",$J1263&lt;$I1263),"★计费期间起止反了","OK")))))))</f>
        <v/>
      </c>
      <c r="U1263" s="29" t="str">
        <f aca="false">IF($L1263="","",YEAR($L1263))</f>
        <v/>
      </c>
      <c r="V1263" s="40" t="str">
        <f aca="false">IF($C1263="","",ROUND(SUMIF(收款关联,$B1263,收款金额),2))</f>
        <v/>
      </c>
      <c r="W1263" s="40" t="str">
        <f aca="false">IF($C1263="","",MAX(0,ROUND(N($K1263)-N($V1263),2)))</f>
        <v/>
      </c>
      <c r="X1263" s="40" t="str">
        <f aca="false">IF($C1263="","",ROUND(SUMIFS(应收净额,应收键,$D1263,应收行号,"&lt;="&amp;ROW()),2))</f>
        <v/>
      </c>
      <c r="Y1263" s="29" t="str">
        <f aca="false">IF($C1263="","",ROW())</f>
        <v/>
      </c>
    </row>
    <row r="1264" customFormat="false" ht="15" hidden="false" customHeight="false" outlineLevel="0" collapsed="false">
      <c r="A1264" s="29" t="str">
        <f aca="false">IF($C1264="","",ROW()-4)</f>
        <v/>
      </c>
      <c r="B1264" s="35" t="str">
        <f aca="false">IF($C1264="","","YS"&amp;TEXT($C1264,"yyyymm")&amp;"-"&amp;TEXT(ROW()-4,"0000"))</f>
        <v/>
      </c>
      <c r="C1264" s="33"/>
      <c r="D1264" s="24"/>
      <c r="E1264" s="30" t="str">
        <f aca="false">IF($D1264="","",IFERROR(INDEX(合同单位,MATCH($D1264,合同键,0)),IFERROR(TRIM(LEFT($D1264,FIND("｜",$D1264)-1)),$D1264)))</f>
        <v/>
      </c>
      <c r="F1264" s="30" t="str">
        <f aca="false">IF($D1264="","",IFERROR(INDEX(合同项目,MATCH($D1264,合同键,0)),IFERROR(TRIM(MID($D1264,FIND("｜",$D1264)+1,99)),"")))</f>
        <v/>
      </c>
      <c r="G1264" s="24"/>
      <c r="H1264" s="35" t="str">
        <f aca="false">IF($G1264="","",IFERROR(INDEX(费用款别,MATCH($G1264,费用类别表,0)),"合同外款"))</f>
        <v/>
      </c>
      <c r="I1264" s="33"/>
      <c r="J1264" s="33"/>
      <c r="K1264" s="39"/>
      <c r="L1264" s="33"/>
      <c r="M1264" s="25"/>
      <c r="N1264" s="39"/>
      <c r="O1264" s="35" t="str">
        <f aca="false">IF($C1264="","",IF(N($N1264)&lt;=0,"未开票",IF(ROUND(N($N1264)-N($K1264),2)&gt;=0,"已开票",IFERROR("部分开票 "&amp;TEXT(N($N1264)/N($K1264),"0%"),"部分开票"))))</f>
        <v/>
      </c>
      <c r="P1264" s="40" t="str">
        <f aca="false">IF($C1264="","",ROUND($V1264+MIN($W1264,MAX(0,(SUMIF(收款键,$D1264,收款金额)-SUMIFS(收款金额,收款键,$D1264,收款关联,"&lt;&gt;"))-($X1264-$W1264))),2))</f>
        <v/>
      </c>
      <c r="Q1264" s="41" t="str">
        <f aca="false">IF($C1264="","",ROUND(N($K1264)-N($P1264),2))</f>
        <v/>
      </c>
      <c r="R1264" s="29" t="str">
        <f aca="false">IF($C1264="","",YEAR($C1264))</f>
        <v/>
      </c>
      <c r="S1264" s="24"/>
      <c r="T1264" s="35" t="str">
        <f aca="false">IF($C1264="","",IF($D1264="","★没选客户项目",IF(COUNTIF(合同键,$D1264)=0,"★《维保合同》里没这个项目",IF(N($K1264)&lt;=0,"★应收金额要填",IF(ROUND(N($N1264)-N($K1264),2)&gt;0.001,"★开票金额大于应收",IF(AND($L1264&lt;&gt;"",N($N1264)&lt;=0),"★填了开票日期没填开票金额",IF(AND($I1264&lt;&gt;"",$J1264&lt;&gt;"",$J1264&lt;$I1264),"★计费期间起止反了","OK")))))))</f>
        <v/>
      </c>
      <c r="U1264" s="29" t="str">
        <f aca="false">IF($L1264="","",YEAR($L1264))</f>
        <v/>
      </c>
      <c r="V1264" s="40" t="str">
        <f aca="false">IF($C1264="","",ROUND(SUMIF(收款关联,$B1264,收款金额),2))</f>
        <v/>
      </c>
      <c r="W1264" s="40" t="str">
        <f aca="false">IF($C1264="","",MAX(0,ROUND(N($K1264)-N($V1264),2)))</f>
        <v/>
      </c>
      <c r="X1264" s="40" t="str">
        <f aca="false">IF($C1264="","",ROUND(SUMIFS(应收净额,应收键,$D1264,应收行号,"&lt;="&amp;ROW()),2))</f>
        <v/>
      </c>
      <c r="Y1264" s="29" t="str">
        <f aca="false">IF($C1264="","",ROW())</f>
        <v/>
      </c>
    </row>
    <row r="1265" customFormat="false" ht="15" hidden="false" customHeight="false" outlineLevel="0" collapsed="false">
      <c r="A1265" s="29" t="str">
        <f aca="false">IF($C1265="","",ROW()-4)</f>
        <v/>
      </c>
      <c r="B1265" s="35" t="str">
        <f aca="false">IF($C1265="","","YS"&amp;TEXT($C1265,"yyyymm")&amp;"-"&amp;TEXT(ROW()-4,"0000"))</f>
        <v/>
      </c>
      <c r="C1265" s="33"/>
      <c r="D1265" s="24"/>
      <c r="E1265" s="30" t="str">
        <f aca="false">IF($D1265="","",IFERROR(INDEX(合同单位,MATCH($D1265,合同键,0)),IFERROR(TRIM(LEFT($D1265,FIND("｜",$D1265)-1)),$D1265)))</f>
        <v/>
      </c>
      <c r="F1265" s="30" t="str">
        <f aca="false">IF($D1265="","",IFERROR(INDEX(合同项目,MATCH($D1265,合同键,0)),IFERROR(TRIM(MID($D1265,FIND("｜",$D1265)+1,99)),"")))</f>
        <v/>
      </c>
      <c r="G1265" s="24"/>
      <c r="H1265" s="35" t="str">
        <f aca="false">IF($G1265="","",IFERROR(INDEX(费用款别,MATCH($G1265,费用类别表,0)),"合同外款"))</f>
        <v/>
      </c>
      <c r="I1265" s="33"/>
      <c r="J1265" s="33"/>
      <c r="K1265" s="39"/>
      <c r="L1265" s="33"/>
      <c r="M1265" s="25"/>
      <c r="N1265" s="39"/>
      <c r="O1265" s="35" t="str">
        <f aca="false">IF($C1265="","",IF(N($N1265)&lt;=0,"未开票",IF(ROUND(N($N1265)-N($K1265),2)&gt;=0,"已开票",IFERROR("部分开票 "&amp;TEXT(N($N1265)/N($K1265),"0%"),"部分开票"))))</f>
        <v/>
      </c>
      <c r="P1265" s="40" t="str">
        <f aca="false">IF($C1265="","",ROUND($V1265+MIN($W1265,MAX(0,(SUMIF(收款键,$D1265,收款金额)-SUMIFS(收款金额,收款键,$D1265,收款关联,"&lt;&gt;"))-($X1265-$W1265))),2))</f>
        <v/>
      </c>
      <c r="Q1265" s="41" t="str">
        <f aca="false">IF($C1265="","",ROUND(N($K1265)-N($P1265),2))</f>
        <v/>
      </c>
      <c r="R1265" s="29" t="str">
        <f aca="false">IF($C1265="","",YEAR($C1265))</f>
        <v/>
      </c>
      <c r="S1265" s="24"/>
      <c r="T1265" s="35" t="str">
        <f aca="false">IF($C1265="","",IF($D1265="","★没选客户项目",IF(COUNTIF(合同键,$D1265)=0,"★《维保合同》里没这个项目",IF(N($K1265)&lt;=0,"★应收金额要填",IF(ROUND(N($N1265)-N($K1265),2)&gt;0.001,"★开票金额大于应收",IF(AND($L1265&lt;&gt;"",N($N1265)&lt;=0),"★填了开票日期没填开票金额",IF(AND($I1265&lt;&gt;"",$J1265&lt;&gt;"",$J1265&lt;$I1265),"★计费期间起止反了","OK")))))))</f>
        <v/>
      </c>
      <c r="U1265" s="29" t="str">
        <f aca="false">IF($L1265="","",YEAR($L1265))</f>
        <v/>
      </c>
      <c r="V1265" s="40" t="str">
        <f aca="false">IF($C1265="","",ROUND(SUMIF(收款关联,$B1265,收款金额),2))</f>
        <v/>
      </c>
      <c r="W1265" s="40" t="str">
        <f aca="false">IF($C1265="","",MAX(0,ROUND(N($K1265)-N($V1265),2)))</f>
        <v/>
      </c>
      <c r="X1265" s="40" t="str">
        <f aca="false">IF($C1265="","",ROUND(SUMIFS(应收净额,应收键,$D1265,应收行号,"&lt;="&amp;ROW()),2))</f>
        <v/>
      </c>
      <c r="Y1265" s="29" t="str">
        <f aca="false">IF($C1265="","",ROW())</f>
        <v/>
      </c>
    </row>
    <row r="1266" customFormat="false" ht="15" hidden="false" customHeight="false" outlineLevel="0" collapsed="false">
      <c r="A1266" s="29" t="str">
        <f aca="false">IF($C1266="","",ROW()-4)</f>
        <v/>
      </c>
      <c r="B1266" s="35" t="str">
        <f aca="false">IF($C1266="","","YS"&amp;TEXT($C1266,"yyyymm")&amp;"-"&amp;TEXT(ROW()-4,"0000"))</f>
        <v/>
      </c>
      <c r="C1266" s="33"/>
      <c r="D1266" s="24"/>
      <c r="E1266" s="30" t="str">
        <f aca="false">IF($D1266="","",IFERROR(INDEX(合同单位,MATCH($D1266,合同键,0)),IFERROR(TRIM(LEFT($D1266,FIND("｜",$D1266)-1)),$D1266)))</f>
        <v/>
      </c>
      <c r="F1266" s="30" t="str">
        <f aca="false">IF($D1266="","",IFERROR(INDEX(合同项目,MATCH($D1266,合同键,0)),IFERROR(TRIM(MID($D1266,FIND("｜",$D1266)+1,99)),"")))</f>
        <v/>
      </c>
      <c r="G1266" s="24"/>
      <c r="H1266" s="35" t="str">
        <f aca="false">IF($G1266="","",IFERROR(INDEX(费用款别,MATCH($G1266,费用类别表,0)),"合同外款"))</f>
        <v/>
      </c>
      <c r="I1266" s="33"/>
      <c r="J1266" s="33"/>
      <c r="K1266" s="39"/>
      <c r="L1266" s="33"/>
      <c r="M1266" s="25"/>
      <c r="N1266" s="39"/>
      <c r="O1266" s="35" t="str">
        <f aca="false">IF($C1266="","",IF(N($N1266)&lt;=0,"未开票",IF(ROUND(N($N1266)-N($K1266),2)&gt;=0,"已开票",IFERROR("部分开票 "&amp;TEXT(N($N1266)/N($K1266),"0%"),"部分开票"))))</f>
        <v/>
      </c>
      <c r="P1266" s="40" t="str">
        <f aca="false">IF($C1266="","",ROUND($V1266+MIN($W1266,MAX(0,(SUMIF(收款键,$D1266,收款金额)-SUMIFS(收款金额,收款键,$D1266,收款关联,"&lt;&gt;"))-($X1266-$W1266))),2))</f>
        <v/>
      </c>
      <c r="Q1266" s="41" t="str">
        <f aca="false">IF($C1266="","",ROUND(N($K1266)-N($P1266),2))</f>
        <v/>
      </c>
      <c r="R1266" s="29" t="str">
        <f aca="false">IF($C1266="","",YEAR($C1266))</f>
        <v/>
      </c>
      <c r="S1266" s="24"/>
      <c r="T1266" s="35" t="str">
        <f aca="false">IF($C1266="","",IF($D1266="","★没选客户项目",IF(COUNTIF(合同键,$D1266)=0,"★《维保合同》里没这个项目",IF(N($K1266)&lt;=0,"★应收金额要填",IF(ROUND(N($N1266)-N($K1266),2)&gt;0.001,"★开票金额大于应收",IF(AND($L1266&lt;&gt;"",N($N1266)&lt;=0),"★填了开票日期没填开票金额",IF(AND($I1266&lt;&gt;"",$J1266&lt;&gt;"",$J1266&lt;$I1266),"★计费期间起止反了","OK")))))))</f>
        <v/>
      </c>
      <c r="U1266" s="29" t="str">
        <f aca="false">IF($L1266="","",YEAR($L1266))</f>
        <v/>
      </c>
      <c r="V1266" s="40" t="str">
        <f aca="false">IF($C1266="","",ROUND(SUMIF(收款关联,$B1266,收款金额),2))</f>
        <v/>
      </c>
      <c r="W1266" s="40" t="str">
        <f aca="false">IF($C1266="","",MAX(0,ROUND(N($K1266)-N($V1266),2)))</f>
        <v/>
      </c>
      <c r="X1266" s="40" t="str">
        <f aca="false">IF($C1266="","",ROUND(SUMIFS(应收净额,应收键,$D1266,应收行号,"&lt;="&amp;ROW()),2))</f>
        <v/>
      </c>
      <c r="Y1266" s="29" t="str">
        <f aca="false">IF($C1266="","",ROW())</f>
        <v/>
      </c>
    </row>
    <row r="1267" customFormat="false" ht="15" hidden="false" customHeight="false" outlineLevel="0" collapsed="false">
      <c r="A1267" s="29" t="str">
        <f aca="false">IF($C1267="","",ROW()-4)</f>
        <v/>
      </c>
      <c r="B1267" s="35" t="str">
        <f aca="false">IF($C1267="","","YS"&amp;TEXT($C1267,"yyyymm")&amp;"-"&amp;TEXT(ROW()-4,"0000"))</f>
        <v/>
      </c>
      <c r="C1267" s="33"/>
      <c r="D1267" s="24"/>
      <c r="E1267" s="30" t="str">
        <f aca="false">IF($D1267="","",IFERROR(INDEX(合同单位,MATCH($D1267,合同键,0)),IFERROR(TRIM(LEFT($D1267,FIND("｜",$D1267)-1)),$D1267)))</f>
        <v/>
      </c>
      <c r="F1267" s="30" t="str">
        <f aca="false">IF($D1267="","",IFERROR(INDEX(合同项目,MATCH($D1267,合同键,0)),IFERROR(TRIM(MID($D1267,FIND("｜",$D1267)+1,99)),"")))</f>
        <v/>
      </c>
      <c r="G1267" s="24"/>
      <c r="H1267" s="35" t="str">
        <f aca="false">IF($G1267="","",IFERROR(INDEX(费用款别,MATCH($G1267,费用类别表,0)),"合同外款"))</f>
        <v/>
      </c>
      <c r="I1267" s="33"/>
      <c r="J1267" s="33"/>
      <c r="K1267" s="39"/>
      <c r="L1267" s="33"/>
      <c r="M1267" s="25"/>
      <c r="N1267" s="39"/>
      <c r="O1267" s="35" t="str">
        <f aca="false">IF($C1267="","",IF(N($N1267)&lt;=0,"未开票",IF(ROUND(N($N1267)-N($K1267),2)&gt;=0,"已开票",IFERROR("部分开票 "&amp;TEXT(N($N1267)/N($K1267),"0%"),"部分开票"))))</f>
        <v/>
      </c>
      <c r="P1267" s="40" t="str">
        <f aca="false">IF($C1267="","",ROUND($V1267+MIN($W1267,MAX(0,(SUMIF(收款键,$D1267,收款金额)-SUMIFS(收款金额,收款键,$D1267,收款关联,"&lt;&gt;"))-($X1267-$W1267))),2))</f>
        <v/>
      </c>
      <c r="Q1267" s="41" t="str">
        <f aca="false">IF($C1267="","",ROUND(N($K1267)-N($P1267),2))</f>
        <v/>
      </c>
      <c r="R1267" s="29" t="str">
        <f aca="false">IF($C1267="","",YEAR($C1267))</f>
        <v/>
      </c>
      <c r="S1267" s="24"/>
      <c r="T1267" s="35" t="str">
        <f aca="false">IF($C1267="","",IF($D1267="","★没选客户项目",IF(COUNTIF(合同键,$D1267)=0,"★《维保合同》里没这个项目",IF(N($K1267)&lt;=0,"★应收金额要填",IF(ROUND(N($N1267)-N($K1267),2)&gt;0.001,"★开票金额大于应收",IF(AND($L1267&lt;&gt;"",N($N1267)&lt;=0),"★填了开票日期没填开票金额",IF(AND($I1267&lt;&gt;"",$J1267&lt;&gt;"",$J1267&lt;$I1267),"★计费期间起止反了","OK")))))))</f>
        <v/>
      </c>
      <c r="U1267" s="29" t="str">
        <f aca="false">IF($L1267="","",YEAR($L1267))</f>
        <v/>
      </c>
      <c r="V1267" s="40" t="str">
        <f aca="false">IF($C1267="","",ROUND(SUMIF(收款关联,$B1267,收款金额),2))</f>
        <v/>
      </c>
      <c r="W1267" s="40" t="str">
        <f aca="false">IF($C1267="","",MAX(0,ROUND(N($K1267)-N($V1267),2)))</f>
        <v/>
      </c>
      <c r="X1267" s="40" t="str">
        <f aca="false">IF($C1267="","",ROUND(SUMIFS(应收净额,应收键,$D1267,应收行号,"&lt;="&amp;ROW()),2))</f>
        <v/>
      </c>
      <c r="Y1267" s="29" t="str">
        <f aca="false">IF($C1267="","",ROW())</f>
        <v/>
      </c>
    </row>
    <row r="1268" customFormat="false" ht="15" hidden="false" customHeight="false" outlineLevel="0" collapsed="false">
      <c r="A1268" s="29" t="str">
        <f aca="false">IF($C1268="","",ROW()-4)</f>
        <v/>
      </c>
      <c r="B1268" s="35" t="str">
        <f aca="false">IF($C1268="","","YS"&amp;TEXT($C1268,"yyyymm")&amp;"-"&amp;TEXT(ROW()-4,"0000"))</f>
        <v/>
      </c>
      <c r="C1268" s="33"/>
      <c r="D1268" s="24"/>
      <c r="E1268" s="30" t="str">
        <f aca="false">IF($D1268="","",IFERROR(INDEX(合同单位,MATCH($D1268,合同键,0)),IFERROR(TRIM(LEFT($D1268,FIND("｜",$D1268)-1)),$D1268)))</f>
        <v/>
      </c>
      <c r="F1268" s="30" t="str">
        <f aca="false">IF($D1268="","",IFERROR(INDEX(合同项目,MATCH($D1268,合同键,0)),IFERROR(TRIM(MID($D1268,FIND("｜",$D1268)+1,99)),"")))</f>
        <v/>
      </c>
      <c r="G1268" s="24"/>
      <c r="H1268" s="35" t="str">
        <f aca="false">IF($G1268="","",IFERROR(INDEX(费用款别,MATCH($G1268,费用类别表,0)),"合同外款"))</f>
        <v/>
      </c>
      <c r="I1268" s="33"/>
      <c r="J1268" s="33"/>
      <c r="K1268" s="39"/>
      <c r="L1268" s="33"/>
      <c r="M1268" s="25"/>
      <c r="N1268" s="39"/>
      <c r="O1268" s="35" t="str">
        <f aca="false">IF($C1268="","",IF(N($N1268)&lt;=0,"未开票",IF(ROUND(N($N1268)-N($K1268),2)&gt;=0,"已开票",IFERROR("部分开票 "&amp;TEXT(N($N1268)/N($K1268),"0%"),"部分开票"))))</f>
        <v/>
      </c>
      <c r="P1268" s="40" t="str">
        <f aca="false">IF($C1268="","",ROUND($V1268+MIN($W1268,MAX(0,(SUMIF(收款键,$D1268,收款金额)-SUMIFS(收款金额,收款键,$D1268,收款关联,"&lt;&gt;"))-($X1268-$W1268))),2))</f>
        <v/>
      </c>
      <c r="Q1268" s="41" t="str">
        <f aca="false">IF($C1268="","",ROUND(N($K1268)-N($P1268),2))</f>
        <v/>
      </c>
      <c r="R1268" s="29" t="str">
        <f aca="false">IF($C1268="","",YEAR($C1268))</f>
        <v/>
      </c>
      <c r="S1268" s="24"/>
      <c r="T1268" s="35" t="str">
        <f aca="false">IF($C1268="","",IF($D1268="","★没选客户项目",IF(COUNTIF(合同键,$D1268)=0,"★《维保合同》里没这个项目",IF(N($K1268)&lt;=0,"★应收金额要填",IF(ROUND(N($N1268)-N($K1268),2)&gt;0.001,"★开票金额大于应收",IF(AND($L1268&lt;&gt;"",N($N1268)&lt;=0),"★填了开票日期没填开票金额",IF(AND($I1268&lt;&gt;"",$J1268&lt;&gt;"",$J1268&lt;$I1268),"★计费期间起止反了","OK")))))))</f>
        <v/>
      </c>
      <c r="U1268" s="29" t="str">
        <f aca="false">IF($L1268="","",YEAR($L1268))</f>
        <v/>
      </c>
      <c r="V1268" s="40" t="str">
        <f aca="false">IF($C1268="","",ROUND(SUMIF(收款关联,$B1268,收款金额),2))</f>
        <v/>
      </c>
      <c r="W1268" s="40" t="str">
        <f aca="false">IF($C1268="","",MAX(0,ROUND(N($K1268)-N($V1268),2)))</f>
        <v/>
      </c>
      <c r="X1268" s="40" t="str">
        <f aca="false">IF($C1268="","",ROUND(SUMIFS(应收净额,应收键,$D1268,应收行号,"&lt;="&amp;ROW()),2))</f>
        <v/>
      </c>
      <c r="Y1268" s="29" t="str">
        <f aca="false">IF($C1268="","",ROW())</f>
        <v/>
      </c>
    </row>
    <row r="1269" customFormat="false" ht="15" hidden="false" customHeight="false" outlineLevel="0" collapsed="false">
      <c r="A1269" s="29" t="str">
        <f aca="false">IF($C1269="","",ROW()-4)</f>
        <v/>
      </c>
      <c r="B1269" s="35" t="str">
        <f aca="false">IF($C1269="","","YS"&amp;TEXT($C1269,"yyyymm")&amp;"-"&amp;TEXT(ROW()-4,"0000"))</f>
        <v/>
      </c>
      <c r="C1269" s="33"/>
      <c r="D1269" s="24"/>
      <c r="E1269" s="30" t="str">
        <f aca="false">IF($D1269="","",IFERROR(INDEX(合同单位,MATCH($D1269,合同键,0)),IFERROR(TRIM(LEFT($D1269,FIND("｜",$D1269)-1)),$D1269)))</f>
        <v/>
      </c>
      <c r="F1269" s="30" t="str">
        <f aca="false">IF($D1269="","",IFERROR(INDEX(合同项目,MATCH($D1269,合同键,0)),IFERROR(TRIM(MID($D1269,FIND("｜",$D1269)+1,99)),"")))</f>
        <v/>
      </c>
      <c r="G1269" s="24"/>
      <c r="H1269" s="35" t="str">
        <f aca="false">IF($G1269="","",IFERROR(INDEX(费用款别,MATCH($G1269,费用类别表,0)),"合同外款"))</f>
        <v/>
      </c>
      <c r="I1269" s="33"/>
      <c r="J1269" s="33"/>
      <c r="K1269" s="39"/>
      <c r="L1269" s="33"/>
      <c r="M1269" s="25"/>
      <c r="N1269" s="39"/>
      <c r="O1269" s="35" t="str">
        <f aca="false">IF($C1269="","",IF(N($N1269)&lt;=0,"未开票",IF(ROUND(N($N1269)-N($K1269),2)&gt;=0,"已开票",IFERROR("部分开票 "&amp;TEXT(N($N1269)/N($K1269),"0%"),"部分开票"))))</f>
        <v/>
      </c>
      <c r="P1269" s="40" t="str">
        <f aca="false">IF($C1269="","",ROUND($V1269+MIN($W1269,MAX(0,(SUMIF(收款键,$D1269,收款金额)-SUMIFS(收款金额,收款键,$D1269,收款关联,"&lt;&gt;"))-($X1269-$W1269))),2))</f>
        <v/>
      </c>
      <c r="Q1269" s="41" t="str">
        <f aca="false">IF($C1269="","",ROUND(N($K1269)-N($P1269),2))</f>
        <v/>
      </c>
      <c r="R1269" s="29" t="str">
        <f aca="false">IF($C1269="","",YEAR($C1269))</f>
        <v/>
      </c>
      <c r="S1269" s="24"/>
      <c r="T1269" s="35" t="str">
        <f aca="false">IF($C1269="","",IF($D1269="","★没选客户项目",IF(COUNTIF(合同键,$D1269)=0,"★《维保合同》里没这个项目",IF(N($K1269)&lt;=0,"★应收金额要填",IF(ROUND(N($N1269)-N($K1269),2)&gt;0.001,"★开票金额大于应收",IF(AND($L1269&lt;&gt;"",N($N1269)&lt;=0),"★填了开票日期没填开票金额",IF(AND($I1269&lt;&gt;"",$J1269&lt;&gt;"",$J1269&lt;$I1269),"★计费期间起止反了","OK")))))))</f>
        <v/>
      </c>
      <c r="U1269" s="29" t="str">
        <f aca="false">IF($L1269="","",YEAR($L1269))</f>
        <v/>
      </c>
      <c r="V1269" s="40" t="str">
        <f aca="false">IF($C1269="","",ROUND(SUMIF(收款关联,$B1269,收款金额),2))</f>
        <v/>
      </c>
      <c r="W1269" s="40" t="str">
        <f aca="false">IF($C1269="","",MAX(0,ROUND(N($K1269)-N($V1269),2)))</f>
        <v/>
      </c>
      <c r="X1269" s="40" t="str">
        <f aca="false">IF($C1269="","",ROUND(SUMIFS(应收净额,应收键,$D1269,应收行号,"&lt;="&amp;ROW()),2))</f>
        <v/>
      </c>
      <c r="Y1269" s="29" t="str">
        <f aca="false">IF($C1269="","",ROW())</f>
        <v/>
      </c>
    </row>
    <row r="1270" customFormat="false" ht="15" hidden="false" customHeight="false" outlineLevel="0" collapsed="false">
      <c r="A1270" s="29" t="str">
        <f aca="false">IF($C1270="","",ROW()-4)</f>
        <v/>
      </c>
      <c r="B1270" s="35" t="str">
        <f aca="false">IF($C1270="","","YS"&amp;TEXT($C1270,"yyyymm")&amp;"-"&amp;TEXT(ROW()-4,"0000"))</f>
        <v/>
      </c>
      <c r="C1270" s="33"/>
      <c r="D1270" s="24"/>
      <c r="E1270" s="30" t="str">
        <f aca="false">IF($D1270="","",IFERROR(INDEX(合同单位,MATCH($D1270,合同键,0)),IFERROR(TRIM(LEFT($D1270,FIND("｜",$D1270)-1)),$D1270)))</f>
        <v/>
      </c>
      <c r="F1270" s="30" t="str">
        <f aca="false">IF($D1270="","",IFERROR(INDEX(合同项目,MATCH($D1270,合同键,0)),IFERROR(TRIM(MID($D1270,FIND("｜",$D1270)+1,99)),"")))</f>
        <v/>
      </c>
      <c r="G1270" s="24"/>
      <c r="H1270" s="35" t="str">
        <f aca="false">IF($G1270="","",IFERROR(INDEX(费用款别,MATCH($G1270,费用类别表,0)),"合同外款"))</f>
        <v/>
      </c>
      <c r="I1270" s="33"/>
      <c r="J1270" s="33"/>
      <c r="K1270" s="39"/>
      <c r="L1270" s="33"/>
      <c r="M1270" s="25"/>
      <c r="N1270" s="39"/>
      <c r="O1270" s="35" t="str">
        <f aca="false">IF($C1270="","",IF(N($N1270)&lt;=0,"未开票",IF(ROUND(N($N1270)-N($K1270),2)&gt;=0,"已开票",IFERROR("部分开票 "&amp;TEXT(N($N1270)/N($K1270),"0%"),"部分开票"))))</f>
        <v/>
      </c>
      <c r="P1270" s="40" t="str">
        <f aca="false">IF($C1270="","",ROUND($V1270+MIN($W1270,MAX(0,(SUMIF(收款键,$D1270,收款金额)-SUMIFS(收款金额,收款键,$D1270,收款关联,"&lt;&gt;"))-($X1270-$W1270))),2))</f>
        <v/>
      </c>
      <c r="Q1270" s="41" t="str">
        <f aca="false">IF($C1270="","",ROUND(N($K1270)-N($P1270),2))</f>
        <v/>
      </c>
      <c r="R1270" s="29" t="str">
        <f aca="false">IF($C1270="","",YEAR($C1270))</f>
        <v/>
      </c>
      <c r="S1270" s="24"/>
      <c r="T1270" s="35" t="str">
        <f aca="false">IF($C1270="","",IF($D1270="","★没选客户项目",IF(COUNTIF(合同键,$D1270)=0,"★《维保合同》里没这个项目",IF(N($K1270)&lt;=0,"★应收金额要填",IF(ROUND(N($N1270)-N($K1270),2)&gt;0.001,"★开票金额大于应收",IF(AND($L1270&lt;&gt;"",N($N1270)&lt;=0),"★填了开票日期没填开票金额",IF(AND($I1270&lt;&gt;"",$J1270&lt;&gt;"",$J1270&lt;$I1270),"★计费期间起止反了","OK")))))))</f>
        <v/>
      </c>
      <c r="U1270" s="29" t="str">
        <f aca="false">IF($L1270="","",YEAR($L1270))</f>
        <v/>
      </c>
      <c r="V1270" s="40" t="str">
        <f aca="false">IF($C1270="","",ROUND(SUMIF(收款关联,$B1270,收款金额),2))</f>
        <v/>
      </c>
      <c r="W1270" s="40" t="str">
        <f aca="false">IF($C1270="","",MAX(0,ROUND(N($K1270)-N($V1270),2)))</f>
        <v/>
      </c>
      <c r="X1270" s="40" t="str">
        <f aca="false">IF($C1270="","",ROUND(SUMIFS(应收净额,应收键,$D1270,应收行号,"&lt;="&amp;ROW()),2))</f>
        <v/>
      </c>
      <c r="Y1270" s="29" t="str">
        <f aca="false">IF($C1270="","",ROW())</f>
        <v/>
      </c>
    </row>
    <row r="1271" customFormat="false" ht="15" hidden="false" customHeight="false" outlineLevel="0" collapsed="false">
      <c r="A1271" s="29" t="str">
        <f aca="false">IF($C1271="","",ROW()-4)</f>
        <v/>
      </c>
      <c r="B1271" s="35" t="str">
        <f aca="false">IF($C1271="","","YS"&amp;TEXT($C1271,"yyyymm")&amp;"-"&amp;TEXT(ROW()-4,"0000"))</f>
        <v/>
      </c>
      <c r="C1271" s="33"/>
      <c r="D1271" s="24"/>
      <c r="E1271" s="30" t="str">
        <f aca="false">IF($D1271="","",IFERROR(INDEX(合同单位,MATCH($D1271,合同键,0)),IFERROR(TRIM(LEFT($D1271,FIND("｜",$D1271)-1)),$D1271)))</f>
        <v/>
      </c>
      <c r="F1271" s="30" t="str">
        <f aca="false">IF($D1271="","",IFERROR(INDEX(合同项目,MATCH($D1271,合同键,0)),IFERROR(TRIM(MID($D1271,FIND("｜",$D1271)+1,99)),"")))</f>
        <v/>
      </c>
      <c r="G1271" s="24"/>
      <c r="H1271" s="35" t="str">
        <f aca="false">IF($G1271="","",IFERROR(INDEX(费用款别,MATCH($G1271,费用类别表,0)),"合同外款"))</f>
        <v/>
      </c>
      <c r="I1271" s="33"/>
      <c r="J1271" s="33"/>
      <c r="K1271" s="39"/>
      <c r="L1271" s="33"/>
      <c r="M1271" s="25"/>
      <c r="N1271" s="39"/>
      <c r="O1271" s="35" t="str">
        <f aca="false">IF($C1271="","",IF(N($N1271)&lt;=0,"未开票",IF(ROUND(N($N1271)-N($K1271),2)&gt;=0,"已开票",IFERROR("部分开票 "&amp;TEXT(N($N1271)/N($K1271),"0%"),"部分开票"))))</f>
        <v/>
      </c>
      <c r="P1271" s="40" t="str">
        <f aca="false">IF($C1271="","",ROUND($V1271+MIN($W1271,MAX(0,(SUMIF(收款键,$D1271,收款金额)-SUMIFS(收款金额,收款键,$D1271,收款关联,"&lt;&gt;"))-($X1271-$W1271))),2))</f>
        <v/>
      </c>
      <c r="Q1271" s="41" t="str">
        <f aca="false">IF($C1271="","",ROUND(N($K1271)-N($P1271),2))</f>
        <v/>
      </c>
      <c r="R1271" s="29" t="str">
        <f aca="false">IF($C1271="","",YEAR($C1271))</f>
        <v/>
      </c>
      <c r="S1271" s="24"/>
      <c r="T1271" s="35" t="str">
        <f aca="false">IF($C1271="","",IF($D1271="","★没选客户项目",IF(COUNTIF(合同键,$D1271)=0,"★《维保合同》里没这个项目",IF(N($K1271)&lt;=0,"★应收金额要填",IF(ROUND(N($N1271)-N($K1271),2)&gt;0.001,"★开票金额大于应收",IF(AND($L1271&lt;&gt;"",N($N1271)&lt;=0),"★填了开票日期没填开票金额",IF(AND($I1271&lt;&gt;"",$J1271&lt;&gt;"",$J1271&lt;$I1271),"★计费期间起止反了","OK")))))))</f>
        <v/>
      </c>
      <c r="U1271" s="29" t="str">
        <f aca="false">IF($L1271="","",YEAR($L1271))</f>
        <v/>
      </c>
      <c r="V1271" s="40" t="str">
        <f aca="false">IF($C1271="","",ROUND(SUMIF(收款关联,$B1271,收款金额),2))</f>
        <v/>
      </c>
      <c r="W1271" s="40" t="str">
        <f aca="false">IF($C1271="","",MAX(0,ROUND(N($K1271)-N($V1271),2)))</f>
        <v/>
      </c>
      <c r="X1271" s="40" t="str">
        <f aca="false">IF($C1271="","",ROUND(SUMIFS(应收净额,应收键,$D1271,应收行号,"&lt;="&amp;ROW()),2))</f>
        <v/>
      </c>
      <c r="Y1271" s="29" t="str">
        <f aca="false">IF($C1271="","",ROW())</f>
        <v/>
      </c>
    </row>
    <row r="1272" customFormat="false" ht="15" hidden="false" customHeight="false" outlineLevel="0" collapsed="false">
      <c r="A1272" s="29" t="str">
        <f aca="false">IF($C1272="","",ROW()-4)</f>
        <v/>
      </c>
      <c r="B1272" s="35" t="str">
        <f aca="false">IF($C1272="","","YS"&amp;TEXT($C1272,"yyyymm")&amp;"-"&amp;TEXT(ROW()-4,"0000"))</f>
        <v/>
      </c>
      <c r="C1272" s="33"/>
      <c r="D1272" s="24"/>
      <c r="E1272" s="30" t="str">
        <f aca="false">IF($D1272="","",IFERROR(INDEX(合同单位,MATCH($D1272,合同键,0)),IFERROR(TRIM(LEFT($D1272,FIND("｜",$D1272)-1)),$D1272)))</f>
        <v/>
      </c>
      <c r="F1272" s="30" t="str">
        <f aca="false">IF($D1272="","",IFERROR(INDEX(合同项目,MATCH($D1272,合同键,0)),IFERROR(TRIM(MID($D1272,FIND("｜",$D1272)+1,99)),"")))</f>
        <v/>
      </c>
      <c r="G1272" s="24"/>
      <c r="H1272" s="35" t="str">
        <f aca="false">IF($G1272="","",IFERROR(INDEX(费用款别,MATCH($G1272,费用类别表,0)),"合同外款"))</f>
        <v/>
      </c>
      <c r="I1272" s="33"/>
      <c r="J1272" s="33"/>
      <c r="K1272" s="39"/>
      <c r="L1272" s="33"/>
      <c r="M1272" s="25"/>
      <c r="N1272" s="39"/>
      <c r="O1272" s="35" t="str">
        <f aca="false">IF($C1272="","",IF(N($N1272)&lt;=0,"未开票",IF(ROUND(N($N1272)-N($K1272),2)&gt;=0,"已开票",IFERROR("部分开票 "&amp;TEXT(N($N1272)/N($K1272),"0%"),"部分开票"))))</f>
        <v/>
      </c>
      <c r="P1272" s="40" t="str">
        <f aca="false">IF($C1272="","",ROUND($V1272+MIN($W1272,MAX(0,(SUMIF(收款键,$D1272,收款金额)-SUMIFS(收款金额,收款键,$D1272,收款关联,"&lt;&gt;"))-($X1272-$W1272))),2))</f>
        <v/>
      </c>
      <c r="Q1272" s="41" t="str">
        <f aca="false">IF($C1272="","",ROUND(N($K1272)-N($P1272),2))</f>
        <v/>
      </c>
      <c r="R1272" s="29" t="str">
        <f aca="false">IF($C1272="","",YEAR($C1272))</f>
        <v/>
      </c>
      <c r="S1272" s="24"/>
      <c r="T1272" s="35" t="str">
        <f aca="false">IF($C1272="","",IF($D1272="","★没选客户项目",IF(COUNTIF(合同键,$D1272)=0,"★《维保合同》里没这个项目",IF(N($K1272)&lt;=0,"★应收金额要填",IF(ROUND(N($N1272)-N($K1272),2)&gt;0.001,"★开票金额大于应收",IF(AND($L1272&lt;&gt;"",N($N1272)&lt;=0),"★填了开票日期没填开票金额",IF(AND($I1272&lt;&gt;"",$J1272&lt;&gt;"",$J1272&lt;$I1272),"★计费期间起止反了","OK")))))))</f>
        <v/>
      </c>
      <c r="U1272" s="29" t="str">
        <f aca="false">IF($L1272="","",YEAR($L1272))</f>
        <v/>
      </c>
      <c r="V1272" s="40" t="str">
        <f aca="false">IF($C1272="","",ROUND(SUMIF(收款关联,$B1272,收款金额),2))</f>
        <v/>
      </c>
      <c r="W1272" s="40" t="str">
        <f aca="false">IF($C1272="","",MAX(0,ROUND(N($K1272)-N($V1272),2)))</f>
        <v/>
      </c>
      <c r="X1272" s="40" t="str">
        <f aca="false">IF($C1272="","",ROUND(SUMIFS(应收净额,应收键,$D1272,应收行号,"&lt;="&amp;ROW()),2))</f>
        <v/>
      </c>
      <c r="Y1272" s="29" t="str">
        <f aca="false">IF($C1272="","",ROW())</f>
        <v/>
      </c>
    </row>
    <row r="1273" customFormat="false" ht="15" hidden="false" customHeight="false" outlineLevel="0" collapsed="false">
      <c r="A1273" s="29" t="str">
        <f aca="false">IF($C1273="","",ROW()-4)</f>
        <v/>
      </c>
      <c r="B1273" s="35" t="str">
        <f aca="false">IF($C1273="","","YS"&amp;TEXT($C1273,"yyyymm")&amp;"-"&amp;TEXT(ROW()-4,"0000"))</f>
        <v/>
      </c>
      <c r="C1273" s="33"/>
      <c r="D1273" s="24"/>
      <c r="E1273" s="30" t="str">
        <f aca="false">IF($D1273="","",IFERROR(INDEX(合同单位,MATCH($D1273,合同键,0)),IFERROR(TRIM(LEFT($D1273,FIND("｜",$D1273)-1)),$D1273)))</f>
        <v/>
      </c>
      <c r="F1273" s="30" t="str">
        <f aca="false">IF($D1273="","",IFERROR(INDEX(合同项目,MATCH($D1273,合同键,0)),IFERROR(TRIM(MID($D1273,FIND("｜",$D1273)+1,99)),"")))</f>
        <v/>
      </c>
      <c r="G1273" s="24"/>
      <c r="H1273" s="35" t="str">
        <f aca="false">IF($G1273="","",IFERROR(INDEX(费用款别,MATCH($G1273,费用类别表,0)),"合同外款"))</f>
        <v/>
      </c>
      <c r="I1273" s="33"/>
      <c r="J1273" s="33"/>
      <c r="K1273" s="39"/>
      <c r="L1273" s="33"/>
      <c r="M1273" s="25"/>
      <c r="N1273" s="39"/>
      <c r="O1273" s="35" t="str">
        <f aca="false">IF($C1273="","",IF(N($N1273)&lt;=0,"未开票",IF(ROUND(N($N1273)-N($K1273),2)&gt;=0,"已开票",IFERROR("部分开票 "&amp;TEXT(N($N1273)/N($K1273),"0%"),"部分开票"))))</f>
        <v/>
      </c>
      <c r="P1273" s="40" t="str">
        <f aca="false">IF($C1273="","",ROUND($V1273+MIN($W1273,MAX(0,(SUMIF(收款键,$D1273,收款金额)-SUMIFS(收款金额,收款键,$D1273,收款关联,"&lt;&gt;"))-($X1273-$W1273))),2))</f>
        <v/>
      </c>
      <c r="Q1273" s="41" t="str">
        <f aca="false">IF($C1273="","",ROUND(N($K1273)-N($P1273),2))</f>
        <v/>
      </c>
      <c r="R1273" s="29" t="str">
        <f aca="false">IF($C1273="","",YEAR($C1273))</f>
        <v/>
      </c>
      <c r="S1273" s="24"/>
      <c r="T1273" s="35" t="str">
        <f aca="false">IF($C1273="","",IF($D1273="","★没选客户项目",IF(COUNTIF(合同键,$D1273)=0,"★《维保合同》里没这个项目",IF(N($K1273)&lt;=0,"★应收金额要填",IF(ROUND(N($N1273)-N($K1273),2)&gt;0.001,"★开票金额大于应收",IF(AND($L1273&lt;&gt;"",N($N1273)&lt;=0),"★填了开票日期没填开票金额",IF(AND($I1273&lt;&gt;"",$J1273&lt;&gt;"",$J1273&lt;$I1273),"★计费期间起止反了","OK")))))))</f>
        <v/>
      </c>
      <c r="U1273" s="29" t="str">
        <f aca="false">IF($L1273="","",YEAR($L1273))</f>
        <v/>
      </c>
      <c r="V1273" s="40" t="str">
        <f aca="false">IF($C1273="","",ROUND(SUMIF(收款关联,$B1273,收款金额),2))</f>
        <v/>
      </c>
      <c r="W1273" s="40" t="str">
        <f aca="false">IF($C1273="","",MAX(0,ROUND(N($K1273)-N($V1273),2)))</f>
        <v/>
      </c>
      <c r="X1273" s="40" t="str">
        <f aca="false">IF($C1273="","",ROUND(SUMIFS(应收净额,应收键,$D1273,应收行号,"&lt;="&amp;ROW()),2))</f>
        <v/>
      </c>
      <c r="Y1273" s="29" t="str">
        <f aca="false">IF($C1273="","",ROW())</f>
        <v/>
      </c>
    </row>
    <row r="1274" customFormat="false" ht="15" hidden="false" customHeight="false" outlineLevel="0" collapsed="false">
      <c r="A1274" s="29" t="str">
        <f aca="false">IF($C1274="","",ROW()-4)</f>
        <v/>
      </c>
      <c r="B1274" s="35" t="str">
        <f aca="false">IF($C1274="","","YS"&amp;TEXT($C1274,"yyyymm")&amp;"-"&amp;TEXT(ROW()-4,"0000"))</f>
        <v/>
      </c>
      <c r="C1274" s="33"/>
      <c r="D1274" s="24"/>
      <c r="E1274" s="30" t="str">
        <f aca="false">IF($D1274="","",IFERROR(INDEX(合同单位,MATCH($D1274,合同键,0)),IFERROR(TRIM(LEFT($D1274,FIND("｜",$D1274)-1)),$D1274)))</f>
        <v/>
      </c>
      <c r="F1274" s="30" t="str">
        <f aca="false">IF($D1274="","",IFERROR(INDEX(合同项目,MATCH($D1274,合同键,0)),IFERROR(TRIM(MID($D1274,FIND("｜",$D1274)+1,99)),"")))</f>
        <v/>
      </c>
      <c r="G1274" s="24"/>
      <c r="H1274" s="35" t="str">
        <f aca="false">IF($G1274="","",IFERROR(INDEX(费用款别,MATCH($G1274,费用类别表,0)),"合同外款"))</f>
        <v/>
      </c>
      <c r="I1274" s="33"/>
      <c r="J1274" s="33"/>
      <c r="K1274" s="39"/>
      <c r="L1274" s="33"/>
      <c r="M1274" s="25"/>
      <c r="N1274" s="39"/>
      <c r="O1274" s="35" t="str">
        <f aca="false">IF($C1274="","",IF(N($N1274)&lt;=0,"未开票",IF(ROUND(N($N1274)-N($K1274),2)&gt;=0,"已开票",IFERROR("部分开票 "&amp;TEXT(N($N1274)/N($K1274),"0%"),"部分开票"))))</f>
        <v/>
      </c>
      <c r="P1274" s="40" t="str">
        <f aca="false">IF($C1274="","",ROUND($V1274+MIN($W1274,MAX(0,(SUMIF(收款键,$D1274,收款金额)-SUMIFS(收款金额,收款键,$D1274,收款关联,"&lt;&gt;"))-($X1274-$W1274))),2))</f>
        <v/>
      </c>
      <c r="Q1274" s="41" t="str">
        <f aca="false">IF($C1274="","",ROUND(N($K1274)-N($P1274),2))</f>
        <v/>
      </c>
      <c r="R1274" s="29" t="str">
        <f aca="false">IF($C1274="","",YEAR($C1274))</f>
        <v/>
      </c>
      <c r="S1274" s="24"/>
      <c r="T1274" s="35" t="str">
        <f aca="false">IF($C1274="","",IF($D1274="","★没选客户项目",IF(COUNTIF(合同键,$D1274)=0,"★《维保合同》里没这个项目",IF(N($K1274)&lt;=0,"★应收金额要填",IF(ROUND(N($N1274)-N($K1274),2)&gt;0.001,"★开票金额大于应收",IF(AND($L1274&lt;&gt;"",N($N1274)&lt;=0),"★填了开票日期没填开票金额",IF(AND($I1274&lt;&gt;"",$J1274&lt;&gt;"",$J1274&lt;$I1274),"★计费期间起止反了","OK")))))))</f>
        <v/>
      </c>
      <c r="U1274" s="29" t="str">
        <f aca="false">IF($L1274="","",YEAR($L1274))</f>
        <v/>
      </c>
      <c r="V1274" s="40" t="str">
        <f aca="false">IF($C1274="","",ROUND(SUMIF(收款关联,$B1274,收款金额),2))</f>
        <v/>
      </c>
      <c r="W1274" s="40" t="str">
        <f aca="false">IF($C1274="","",MAX(0,ROUND(N($K1274)-N($V1274),2)))</f>
        <v/>
      </c>
      <c r="X1274" s="40" t="str">
        <f aca="false">IF($C1274="","",ROUND(SUMIFS(应收净额,应收键,$D1274,应收行号,"&lt;="&amp;ROW()),2))</f>
        <v/>
      </c>
      <c r="Y1274" s="29" t="str">
        <f aca="false">IF($C1274="","",ROW())</f>
        <v/>
      </c>
    </row>
    <row r="1275" customFormat="false" ht="15" hidden="false" customHeight="false" outlineLevel="0" collapsed="false">
      <c r="A1275" s="29" t="str">
        <f aca="false">IF($C1275="","",ROW()-4)</f>
        <v/>
      </c>
      <c r="B1275" s="35" t="str">
        <f aca="false">IF($C1275="","","YS"&amp;TEXT($C1275,"yyyymm")&amp;"-"&amp;TEXT(ROW()-4,"0000"))</f>
        <v/>
      </c>
      <c r="C1275" s="33"/>
      <c r="D1275" s="24"/>
      <c r="E1275" s="30" t="str">
        <f aca="false">IF($D1275="","",IFERROR(INDEX(合同单位,MATCH($D1275,合同键,0)),IFERROR(TRIM(LEFT($D1275,FIND("｜",$D1275)-1)),$D1275)))</f>
        <v/>
      </c>
      <c r="F1275" s="30" t="str">
        <f aca="false">IF($D1275="","",IFERROR(INDEX(合同项目,MATCH($D1275,合同键,0)),IFERROR(TRIM(MID($D1275,FIND("｜",$D1275)+1,99)),"")))</f>
        <v/>
      </c>
      <c r="G1275" s="24"/>
      <c r="H1275" s="35" t="str">
        <f aca="false">IF($G1275="","",IFERROR(INDEX(费用款别,MATCH($G1275,费用类别表,0)),"合同外款"))</f>
        <v/>
      </c>
      <c r="I1275" s="33"/>
      <c r="J1275" s="33"/>
      <c r="K1275" s="39"/>
      <c r="L1275" s="33"/>
      <c r="M1275" s="25"/>
      <c r="N1275" s="39"/>
      <c r="O1275" s="35" t="str">
        <f aca="false">IF($C1275="","",IF(N($N1275)&lt;=0,"未开票",IF(ROUND(N($N1275)-N($K1275),2)&gt;=0,"已开票",IFERROR("部分开票 "&amp;TEXT(N($N1275)/N($K1275),"0%"),"部分开票"))))</f>
        <v/>
      </c>
      <c r="P1275" s="40" t="str">
        <f aca="false">IF($C1275="","",ROUND($V1275+MIN($W1275,MAX(0,(SUMIF(收款键,$D1275,收款金额)-SUMIFS(收款金额,收款键,$D1275,收款关联,"&lt;&gt;"))-($X1275-$W1275))),2))</f>
        <v/>
      </c>
      <c r="Q1275" s="41" t="str">
        <f aca="false">IF($C1275="","",ROUND(N($K1275)-N($P1275),2))</f>
        <v/>
      </c>
      <c r="R1275" s="29" t="str">
        <f aca="false">IF($C1275="","",YEAR($C1275))</f>
        <v/>
      </c>
      <c r="S1275" s="24"/>
      <c r="T1275" s="35" t="str">
        <f aca="false">IF($C1275="","",IF($D1275="","★没选客户项目",IF(COUNTIF(合同键,$D1275)=0,"★《维保合同》里没这个项目",IF(N($K1275)&lt;=0,"★应收金额要填",IF(ROUND(N($N1275)-N($K1275),2)&gt;0.001,"★开票金额大于应收",IF(AND($L1275&lt;&gt;"",N($N1275)&lt;=0),"★填了开票日期没填开票金额",IF(AND($I1275&lt;&gt;"",$J1275&lt;&gt;"",$J1275&lt;$I1275),"★计费期间起止反了","OK")))))))</f>
        <v/>
      </c>
      <c r="U1275" s="29" t="str">
        <f aca="false">IF($L1275="","",YEAR($L1275))</f>
        <v/>
      </c>
      <c r="V1275" s="40" t="str">
        <f aca="false">IF($C1275="","",ROUND(SUMIF(收款关联,$B1275,收款金额),2))</f>
        <v/>
      </c>
      <c r="W1275" s="40" t="str">
        <f aca="false">IF($C1275="","",MAX(0,ROUND(N($K1275)-N($V1275),2)))</f>
        <v/>
      </c>
      <c r="X1275" s="40" t="str">
        <f aca="false">IF($C1275="","",ROUND(SUMIFS(应收净额,应收键,$D1275,应收行号,"&lt;="&amp;ROW()),2))</f>
        <v/>
      </c>
      <c r="Y1275" s="29" t="str">
        <f aca="false">IF($C1275="","",ROW())</f>
        <v/>
      </c>
    </row>
    <row r="1276" customFormat="false" ht="15" hidden="false" customHeight="false" outlineLevel="0" collapsed="false">
      <c r="A1276" s="29" t="str">
        <f aca="false">IF($C1276="","",ROW()-4)</f>
        <v/>
      </c>
      <c r="B1276" s="35" t="str">
        <f aca="false">IF($C1276="","","YS"&amp;TEXT($C1276,"yyyymm")&amp;"-"&amp;TEXT(ROW()-4,"0000"))</f>
        <v/>
      </c>
      <c r="C1276" s="33"/>
      <c r="D1276" s="24"/>
      <c r="E1276" s="30" t="str">
        <f aca="false">IF($D1276="","",IFERROR(INDEX(合同单位,MATCH($D1276,合同键,0)),IFERROR(TRIM(LEFT($D1276,FIND("｜",$D1276)-1)),$D1276)))</f>
        <v/>
      </c>
      <c r="F1276" s="30" t="str">
        <f aca="false">IF($D1276="","",IFERROR(INDEX(合同项目,MATCH($D1276,合同键,0)),IFERROR(TRIM(MID($D1276,FIND("｜",$D1276)+1,99)),"")))</f>
        <v/>
      </c>
      <c r="G1276" s="24"/>
      <c r="H1276" s="35" t="str">
        <f aca="false">IF($G1276="","",IFERROR(INDEX(费用款别,MATCH($G1276,费用类别表,0)),"合同外款"))</f>
        <v/>
      </c>
      <c r="I1276" s="33"/>
      <c r="J1276" s="33"/>
      <c r="K1276" s="39"/>
      <c r="L1276" s="33"/>
      <c r="M1276" s="25"/>
      <c r="N1276" s="39"/>
      <c r="O1276" s="35" t="str">
        <f aca="false">IF($C1276="","",IF(N($N1276)&lt;=0,"未开票",IF(ROUND(N($N1276)-N($K1276),2)&gt;=0,"已开票",IFERROR("部分开票 "&amp;TEXT(N($N1276)/N($K1276),"0%"),"部分开票"))))</f>
        <v/>
      </c>
      <c r="P1276" s="40" t="str">
        <f aca="false">IF($C1276="","",ROUND($V1276+MIN($W1276,MAX(0,(SUMIF(收款键,$D1276,收款金额)-SUMIFS(收款金额,收款键,$D1276,收款关联,"&lt;&gt;"))-($X1276-$W1276))),2))</f>
        <v/>
      </c>
      <c r="Q1276" s="41" t="str">
        <f aca="false">IF($C1276="","",ROUND(N($K1276)-N($P1276),2))</f>
        <v/>
      </c>
      <c r="R1276" s="29" t="str">
        <f aca="false">IF($C1276="","",YEAR($C1276))</f>
        <v/>
      </c>
      <c r="S1276" s="24"/>
      <c r="T1276" s="35" t="str">
        <f aca="false">IF($C1276="","",IF($D1276="","★没选客户项目",IF(COUNTIF(合同键,$D1276)=0,"★《维保合同》里没这个项目",IF(N($K1276)&lt;=0,"★应收金额要填",IF(ROUND(N($N1276)-N($K1276),2)&gt;0.001,"★开票金额大于应收",IF(AND($L1276&lt;&gt;"",N($N1276)&lt;=0),"★填了开票日期没填开票金额",IF(AND($I1276&lt;&gt;"",$J1276&lt;&gt;"",$J1276&lt;$I1276),"★计费期间起止反了","OK")))))))</f>
        <v/>
      </c>
      <c r="U1276" s="29" t="str">
        <f aca="false">IF($L1276="","",YEAR($L1276))</f>
        <v/>
      </c>
      <c r="V1276" s="40" t="str">
        <f aca="false">IF($C1276="","",ROUND(SUMIF(收款关联,$B1276,收款金额),2))</f>
        <v/>
      </c>
      <c r="W1276" s="40" t="str">
        <f aca="false">IF($C1276="","",MAX(0,ROUND(N($K1276)-N($V1276),2)))</f>
        <v/>
      </c>
      <c r="X1276" s="40" t="str">
        <f aca="false">IF($C1276="","",ROUND(SUMIFS(应收净额,应收键,$D1276,应收行号,"&lt;="&amp;ROW()),2))</f>
        <v/>
      </c>
      <c r="Y1276" s="29" t="str">
        <f aca="false">IF($C1276="","",ROW())</f>
        <v/>
      </c>
    </row>
    <row r="1277" customFormat="false" ht="15" hidden="false" customHeight="false" outlineLevel="0" collapsed="false">
      <c r="A1277" s="29" t="str">
        <f aca="false">IF($C1277="","",ROW()-4)</f>
        <v/>
      </c>
      <c r="B1277" s="35" t="str">
        <f aca="false">IF($C1277="","","YS"&amp;TEXT($C1277,"yyyymm")&amp;"-"&amp;TEXT(ROW()-4,"0000"))</f>
        <v/>
      </c>
      <c r="C1277" s="33"/>
      <c r="D1277" s="24"/>
      <c r="E1277" s="30" t="str">
        <f aca="false">IF($D1277="","",IFERROR(INDEX(合同单位,MATCH($D1277,合同键,0)),IFERROR(TRIM(LEFT($D1277,FIND("｜",$D1277)-1)),$D1277)))</f>
        <v/>
      </c>
      <c r="F1277" s="30" t="str">
        <f aca="false">IF($D1277="","",IFERROR(INDEX(合同项目,MATCH($D1277,合同键,0)),IFERROR(TRIM(MID($D1277,FIND("｜",$D1277)+1,99)),"")))</f>
        <v/>
      </c>
      <c r="G1277" s="24"/>
      <c r="H1277" s="35" t="str">
        <f aca="false">IF($G1277="","",IFERROR(INDEX(费用款别,MATCH($G1277,费用类别表,0)),"合同外款"))</f>
        <v/>
      </c>
      <c r="I1277" s="33"/>
      <c r="J1277" s="33"/>
      <c r="K1277" s="39"/>
      <c r="L1277" s="33"/>
      <c r="M1277" s="25"/>
      <c r="N1277" s="39"/>
      <c r="O1277" s="35" t="str">
        <f aca="false">IF($C1277="","",IF(N($N1277)&lt;=0,"未开票",IF(ROUND(N($N1277)-N($K1277),2)&gt;=0,"已开票",IFERROR("部分开票 "&amp;TEXT(N($N1277)/N($K1277),"0%"),"部分开票"))))</f>
        <v/>
      </c>
      <c r="P1277" s="40" t="str">
        <f aca="false">IF($C1277="","",ROUND($V1277+MIN($W1277,MAX(0,(SUMIF(收款键,$D1277,收款金额)-SUMIFS(收款金额,收款键,$D1277,收款关联,"&lt;&gt;"))-($X1277-$W1277))),2))</f>
        <v/>
      </c>
      <c r="Q1277" s="41" t="str">
        <f aca="false">IF($C1277="","",ROUND(N($K1277)-N($P1277),2))</f>
        <v/>
      </c>
      <c r="R1277" s="29" t="str">
        <f aca="false">IF($C1277="","",YEAR($C1277))</f>
        <v/>
      </c>
      <c r="S1277" s="24"/>
      <c r="T1277" s="35" t="str">
        <f aca="false">IF($C1277="","",IF($D1277="","★没选客户项目",IF(COUNTIF(合同键,$D1277)=0,"★《维保合同》里没这个项目",IF(N($K1277)&lt;=0,"★应收金额要填",IF(ROUND(N($N1277)-N($K1277),2)&gt;0.001,"★开票金额大于应收",IF(AND($L1277&lt;&gt;"",N($N1277)&lt;=0),"★填了开票日期没填开票金额",IF(AND($I1277&lt;&gt;"",$J1277&lt;&gt;"",$J1277&lt;$I1277),"★计费期间起止反了","OK")))))))</f>
        <v/>
      </c>
      <c r="U1277" s="29" t="str">
        <f aca="false">IF($L1277="","",YEAR($L1277))</f>
        <v/>
      </c>
      <c r="V1277" s="40" t="str">
        <f aca="false">IF($C1277="","",ROUND(SUMIF(收款关联,$B1277,收款金额),2))</f>
        <v/>
      </c>
      <c r="W1277" s="40" t="str">
        <f aca="false">IF($C1277="","",MAX(0,ROUND(N($K1277)-N($V1277),2)))</f>
        <v/>
      </c>
      <c r="X1277" s="40" t="str">
        <f aca="false">IF($C1277="","",ROUND(SUMIFS(应收净额,应收键,$D1277,应收行号,"&lt;="&amp;ROW()),2))</f>
        <v/>
      </c>
      <c r="Y1277" s="29" t="str">
        <f aca="false">IF($C1277="","",ROW())</f>
        <v/>
      </c>
    </row>
    <row r="1278" customFormat="false" ht="15" hidden="false" customHeight="false" outlineLevel="0" collapsed="false">
      <c r="A1278" s="29" t="str">
        <f aca="false">IF($C1278="","",ROW()-4)</f>
        <v/>
      </c>
      <c r="B1278" s="35" t="str">
        <f aca="false">IF($C1278="","","YS"&amp;TEXT($C1278,"yyyymm")&amp;"-"&amp;TEXT(ROW()-4,"0000"))</f>
        <v/>
      </c>
      <c r="C1278" s="33"/>
      <c r="D1278" s="24"/>
      <c r="E1278" s="30" t="str">
        <f aca="false">IF($D1278="","",IFERROR(INDEX(合同单位,MATCH($D1278,合同键,0)),IFERROR(TRIM(LEFT($D1278,FIND("｜",$D1278)-1)),$D1278)))</f>
        <v/>
      </c>
      <c r="F1278" s="30" t="str">
        <f aca="false">IF($D1278="","",IFERROR(INDEX(合同项目,MATCH($D1278,合同键,0)),IFERROR(TRIM(MID($D1278,FIND("｜",$D1278)+1,99)),"")))</f>
        <v/>
      </c>
      <c r="G1278" s="24"/>
      <c r="H1278" s="35" t="str">
        <f aca="false">IF($G1278="","",IFERROR(INDEX(费用款别,MATCH($G1278,费用类别表,0)),"合同外款"))</f>
        <v/>
      </c>
      <c r="I1278" s="33"/>
      <c r="J1278" s="33"/>
      <c r="K1278" s="39"/>
      <c r="L1278" s="33"/>
      <c r="M1278" s="25"/>
      <c r="N1278" s="39"/>
      <c r="O1278" s="35" t="str">
        <f aca="false">IF($C1278="","",IF(N($N1278)&lt;=0,"未开票",IF(ROUND(N($N1278)-N($K1278),2)&gt;=0,"已开票",IFERROR("部分开票 "&amp;TEXT(N($N1278)/N($K1278),"0%"),"部分开票"))))</f>
        <v/>
      </c>
      <c r="P1278" s="40" t="str">
        <f aca="false">IF($C1278="","",ROUND($V1278+MIN($W1278,MAX(0,(SUMIF(收款键,$D1278,收款金额)-SUMIFS(收款金额,收款键,$D1278,收款关联,"&lt;&gt;"))-($X1278-$W1278))),2))</f>
        <v/>
      </c>
      <c r="Q1278" s="41" t="str">
        <f aca="false">IF($C1278="","",ROUND(N($K1278)-N($P1278),2))</f>
        <v/>
      </c>
      <c r="R1278" s="29" t="str">
        <f aca="false">IF($C1278="","",YEAR($C1278))</f>
        <v/>
      </c>
      <c r="S1278" s="24"/>
      <c r="T1278" s="35" t="str">
        <f aca="false">IF($C1278="","",IF($D1278="","★没选客户项目",IF(COUNTIF(合同键,$D1278)=0,"★《维保合同》里没这个项目",IF(N($K1278)&lt;=0,"★应收金额要填",IF(ROUND(N($N1278)-N($K1278),2)&gt;0.001,"★开票金额大于应收",IF(AND($L1278&lt;&gt;"",N($N1278)&lt;=0),"★填了开票日期没填开票金额",IF(AND($I1278&lt;&gt;"",$J1278&lt;&gt;"",$J1278&lt;$I1278),"★计费期间起止反了","OK")))))))</f>
        <v/>
      </c>
      <c r="U1278" s="29" t="str">
        <f aca="false">IF($L1278="","",YEAR($L1278))</f>
        <v/>
      </c>
      <c r="V1278" s="40" t="str">
        <f aca="false">IF($C1278="","",ROUND(SUMIF(收款关联,$B1278,收款金额),2))</f>
        <v/>
      </c>
      <c r="W1278" s="40" t="str">
        <f aca="false">IF($C1278="","",MAX(0,ROUND(N($K1278)-N($V1278),2)))</f>
        <v/>
      </c>
      <c r="X1278" s="40" t="str">
        <f aca="false">IF($C1278="","",ROUND(SUMIFS(应收净额,应收键,$D1278,应收行号,"&lt;="&amp;ROW()),2))</f>
        <v/>
      </c>
      <c r="Y1278" s="29" t="str">
        <f aca="false">IF($C1278="","",ROW())</f>
        <v/>
      </c>
    </row>
    <row r="1279" customFormat="false" ht="15" hidden="false" customHeight="false" outlineLevel="0" collapsed="false">
      <c r="A1279" s="29" t="str">
        <f aca="false">IF($C1279="","",ROW()-4)</f>
        <v/>
      </c>
      <c r="B1279" s="35" t="str">
        <f aca="false">IF($C1279="","","YS"&amp;TEXT($C1279,"yyyymm")&amp;"-"&amp;TEXT(ROW()-4,"0000"))</f>
        <v/>
      </c>
      <c r="C1279" s="33"/>
      <c r="D1279" s="24"/>
      <c r="E1279" s="30" t="str">
        <f aca="false">IF($D1279="","",IFERROR(INDEX(合同单位,MATCH($D1279,合同键,0)),IFERROR(TRIM(LEFT($D1279,FIND("｜",$D1279)-1)),$D1279)))</f>
        <v/>
      </c>
      <c r="F1279" s="30" t="str">
        <f aca="false">IF($D1279="","",IFERROR(INDEX(合同项目,MATCH($D1279,合同键,0)),IFERROR(TRIM(MID($D1279,FIND("｜",$D1279)+1,99)),"")))</f>
        <v/>
      </c>
      <c r="G1279" s="24"/>
      <c r="H1279" s="35" t="str">
        <f aca="false">IF($G1279="","",IFERROR(INDEX(费用款别,MATCH($G1279,费用类别表,0)),"合同外款"))</f>
        <v/>
      </c>
      <c r="I1279" s="33"/>
      <c r="J1279" s="33"/>
      <c r="K1279" s="39"/>
      <c r="L1279" s="33"/>
      <c r="M1279" s="25"/>
      <c r="N1279" s="39"/>
      <c r="O1279" s="35" t="str">
        <f aca="false">IF($C1279="","",IF(N($N1279)&lt;=0,"未开票",IF(ROUND(N($N1279)-N($K1279),2)&gt;=0,"已开票",IFERROR("部分开票 "&amp;TEXT(N($N1279)/N($K1279),"0%"),"部分开票"))))</f>
        <v/>
      </c>
      <c r="P1279" s="40" t="str">
        <f aca="false">IF($C1279="","",ROUND($V1279+MIN($W1279,MAX(0,(SUMIF(收款键,$D1279,收款金额)-SUMIFS(收款金额,收款键,$D1279,收款关联,"&lt;&gt;"))-($X1279-$W1279))),2))</f>
        <v/>
      </c>
      <c r="Q1279" s="41" t="str">
        <f aca="false">IF($C1279="","",ROUND(N($K1279)-N($P1279),2))</f>
        <v/>
      </c>
      <c r="R1279" s="29" t="str">
        <f aca="false">IF($C1279="","",YEAR($C1279))</f>
        <v/>
      </c>
      <c r="S1279" s="24"/>
      <c r="T1279" s="35" t="str">
        <f aca="false">IF($C1279="","",IF($D1279="","★没选客户项目",IF(COUNTIF(合同键,$D1279)=0,"★《维保合同》里没这个项目",IF(N($K1279)&lt;=0,"★应收金额要填",IF(ROUND(N($N1279)-N($K1279),2)&gt;0.001,"★开票金额大于应收",IF(AND($L1279&lt;&gt;"",N($N1279)&lt;=0),"★填了开票日期没填开票金额",IF(AND($I1279&lt;&gt;"",$J1279&lt;&gt;"",$J1279&lt;$I1279),"★计费期间起止反了","OK")))))))</f>
        <v/>
      </c>
      <c r="U1279" s="29" t="str">
        <f aca="false">IF($L1279="","",YEAR($L1279))</f>
        <v/>
      </c>
      <c r="V1279" s="40" t="str">
        <f aca="false">IF($C1279="","",ROUND(SUMIF(收款关联,$B1279,收款金额),2))</f>
        <v/>
      </c>
      <c r="W1279" s="40" t="str">
        <f aca="false">IF($C1279="","",MAX(0,ROUND(N($K1279)-N($V1279),2)))</f>
        <v/>
      </c>
      <c r="X1279" s="40" t="str">
        <f aca="false">IF($C1279="","",ROUND(SUMIFS(应收净额,应收键,$D1279,应收行号,"&lt;="&amp;ROW()),2))</f>
        <v/>
      </c>
      <c r="Y1279" s="29" t="str">
        <f aca="false">IF($C1279="","",ROW())</f>
        <v/>
      </c>
    </row>
    <row r="1280" customFormat="false" ht="15" hidden="false" customHeight="false" outlineLevel="0" collapsed="false">
      <c r="A1280" s="29" t="str">
        <f aca="false">IF($C1280="","",ROW()-4)</f>
        <v/>
      </c>
      <c r="B1280" s="35" t="str">
        <f aca="false">IF($C1280="","","YS"&amp;TEXT($C1280,"yyyymm")&amp;"-"&amp;TEXT(ROW()-4,"0000"))</f>
        <v/>
      </c>
      <c r="C1280" s="33"/>
      <c r="D1280" s="24"/>
      <c r="E1280" s="30" t="str">
        <f aca="false">IF($D1280="","",IFERROR(INDEX(合同单位,MATCH($D1280,合同键,0)),IFERROR(TRIM(LEFT($D1280,FIND("｜",$D1280)-1)),$D1280)))</f>
        <v/>
      </c>
      <c r="F1280" s="30" t="str">
        <f aca="false">IF($D1280="","",IFERROR(INDEX(合同项目,MATCH($D1280,合同键,0)),IFERROR(TRIM(MID($D1280,FIND("｜",$D1280)+1,99)),"")))</f>
        <v/>
      </c>
      <c r="G1280" s="24"/>
      <c r="H1280" s="35" t="str">
        <f aca="false">IF($G1280="","",IFERROR(INDEX(费用款别,MATCH($G1280,费用类别表,0)),"合同外款"))</f>
        <v/>
      </c>
      <c r="I1280" s="33"/>
      <c r="J1280" s="33"/>
      <c r="K1280" s="39"/>
      <c r="L1280" s="33"/>
      <c r="M1280" s="25"/>
      <c r="N1280" s="39"/>
      <c r="O1280" s="35" t="str">
        <f aca="false">IF($C1280="","",IF(N($N1280)&lt;=0,"未开票",IF(ROUND(N($N1280)-N($K1280),2)&gt;=0,"已开票",IFERROR("部分开票 "&amp;TEXT(N($N1280)/N($K1280),"0%"),"部分开票"))))</f>
        <v/>
      </c>
      <c r="P1280" s="40" t="str">
        <f aca="false">IF($C1280="","",ROUND($V1280+MIN($W1280,MAX(0,(SUMIF(收款键,$D1280,收款金额)-SUMIFS(收款金额,收款键,$D1280,收款关联,"&lt;&gt;"))-($X1280-$W1280))),2))</f>
        <v/>
      </c>
      <c r="Q1280" s="41" t="str">
        <f aca="false">IF($C1280="","",ROUND(N($K1280)-N($P1280),2))</f>
        <v/>
      </c>
      <c r="R1280" s="29" t="str">
        <f aca="false">IF($C1280="","",YEAR($C1280))</f>
        <v/>
      </c>
      <c r="S1280" s="24"/>
      <c r="T1280" s="35" t="str">
        <f aca="false">IF($C1280="","",IF($D1280="","★没选客户项目",IF(COUNTIF(合同键,$D1280)=0,"★《维保合同》里没这个项目",IF(N($K1280)&lt;=0,"★应收金额要填",IF(ROUND(N($N1280)-N($K1280),2)&gt;0.001,"★开票金额大于应收",IF(AND($L1280&lt;&gt;"",N($N1280)&lt;=0),"★填了开票日期没填开票金额",IF(AND($I1280&lt;&gt;"",$J1280&lt;&gt;"",$J1280&lt;$I1280),"★计费期间起止反了","OK")))))))</f>
        <v/>
      </c>
      <c r="U1280" s="29" t="str">
        <f aca="false">IF($L1280="","",YEAR($L1280))</f>
        <v/>
      </c>
      <c r="V1280" s="40" t="str">
        <f aca="false">IF($C1280="","",ROUND(SUMIF(收款关联,$B1280,收款金额),2))</f>
        <v/>
      </c>
      <c r="W1280" s="40" t="str">
        <f aca="false">IF($C1280="","",MAX(0,ROUND(N($K1280)-N($V1280),2)))</f>
        <v/>
      </c>
      <c r="X1280" s="40" t="str">
        <f aca="false">IF($C1280="","",ROUND(SUMIFS(应收净额,应收键,$D1280,应收行号,"&lt;="&amp;ROW()),2))</f>
        <v/>
      </c>
      <c r="Y1280" s="29" t="str">
        <f aca="false">IF($C1280="","",ROW())</f>
        <v/>
      </c>
    </row>
    <row r="1281" customFormat="false" ht="15" hidden="false" customHeight="false" outlineLevel="0" collapsed="false">
      <c r="A1281" s="29" t="str">
        <f aca="false">IF($C1281="","",ROW()-4)</f>
        <v/>
      </c>
      <c r="B1281" s="35" t="str">
        <f aca="false">IF($C1281="","","YS"&amp;TEXT($C1281,"yyyymm")&amp;"-"&amp;TEXT(ROW()-4,"0000"))</f>
        <v/>
      </c>
      <c r="C1281" s="33"/>
      <c r="D1281" s="24"/>
      <c r="E1281" s="30" t="str">
        <f aca="false">IF($D1281="","",IFERROR(INDEX(合同单位,MATCH($D1281,合同键,0)),IFERROR(TRIM(LEFT($D1281,FIND("｜",$D1281)-1)),$D1281)))</f>
        <v/>
      </c>
      <c r="F1281" s="30" t="str">
        <f aca="false">IF($D1281="","",IFERROR(INDEX(合同项目,MATCH($D1281,合同键,0)),IFERROR(TRIM(MID($D1281,FIND("｜",$D1281)+1,99)),"")))</f>
        <v/>
      </c>
      <c r="G1281" s="24"/>
      <c r="H1281" s="35" t="str">
        <f aca="false">IF($G1281="","",IFERROR(INDEX(费用款别,MATCH($G1281,费用类别表,0)),"合同外款"))</f>
        <v/>
      </c>
      <c r="I1281" s="33"/>
      <c r="J1281" s="33"/>
      <c r="K1281" s="39"/>
      <c r="L1281" s="33"/>
      <c r="M1281" s="25"/>
      <c r="N1281" s="39"/>
      <c r="O1281" s="35" t="str">
        <f aca="false">IF($C1281="","",IF(N($N1281)&lt;=0,"未开票",IF(ROUND(N($N1281)-N($K1281),2)&gt;=0,"已开票",IFERROR("部分开票 "&amp;TEXT(N($N1281)/N($K1281),"0%"),"部分开票"))))</f>
        <v/>
      </c>
      <c r="P1281" s="40" t="str">
        <f aca="false">IF($C1281="","",ROUND($V1281+MIN($W1281,MAX(0,(SUMIF(收款键,$D1281,收款金额)-SUMIFS(收款金额,收款键,$D1281,收款关联,"&lt;&gt;"))-($X1281-$W1281))),2))</f>
        <v/>
      </c>
      <c r="Q1281" s="41" t="str">
        <f aca="false">IF($C1281="","",ROUND(N($K1281)-N($P1281),2))</f>
        <v/>
      </c>
      <c r="R1281" s="29" t="str">
        <f aca="false">IF($C1281="","",YEAR($C1281))</f>
        <v/>
      </c>
      <c r="S1281" s="24"/>
      <c r="T1281" s="35" t="str">
        <f aca="false">IF($C1281="","",IF($D1281="","★没选客户项目",IF(COUNTIF(合同键,$D1281)=0,"★《维保合同》里没这个项目",IF(N($K1281)&lt;=0,"★应收金额要填",IF(ROUND(N($N1281)-N($K1281),2)&gt;0.001,"★开票金额大于应收",IF(AND($L1281&lt;&gt;"",N($N1281)&lt;=0),"★填了开票日期没填开票金额",IF(AND($I1281&lt;&gt;"",$J1281&lt;&gt;"",$J1281&lt;$I1281),"★计费期间起止反了","OK")))))))</f>
        <v/>
      </c>
      <c r="U1281" s="29" t="str">
        <f aca="false">IF($L1281="","",YEAR($L1281))</f>
        <v/>
      </c>
      <c r="V1281" s="40" t="str">
        <f aca="false">IF($C1281="","",ROUND(SUMIF(收款关联,$B1281,收款金额),2))</f>
        <v/>
      </c>
      <c r="W1281" s="40" t="str">
        <f aca="false">IF($C1281="","",MAX(0,ROUND(N($K1281)-N($V1281),2)))</f>
        <v/>
      </c>
      <c r="X1281" s="40" t="str">
        <f aca="false">IF($C1281="","",ROUND(SUMIFS(应收净额,应收键,$D1281,应收行号,"&lt;="&amp;ROW()),2))</f>
        <v/>
      </c>
      <c r="Y1281" s="29" t="str">
        <f aca="false">IF($C1281="","",ROW())</f>
        <v/>
      </c>
    </row>
    <row r="1282" customFormat="false" ht="15" hidden="false" customHeight="false" outlineLevel="0" collapsed="false">
      <c r="A1282" s="29" t="str">
        <f aca="false">IF($C1282="","",ROW()-4)</f>
        <v/>
      </c>
      <c r="B1282" s="35" t="str">
        <f aca="false">IF($C1282="","","YS"&amp;TEXT($C1282,"yyyymm")&amp;"-"&amp;TEXT(ROW()-4,"0000"))</f>
        <v/>
      </c>
      <c r="C1282" s="33"/>
      <c r="D1282" s="24"/>
      <c r="E1282" s="30" t="str">
        <f aca="false">IF($D1282="","",IFERROR(INDEX(合同单位,MATCH($D1282,合同键,0)),IFERROR(TRIM(LEFT($D1282,FIND("｜",$D1282)-1)),$D1282)))</f>
        <v/>
      </c>
      <c r="F1282" s="30" t="str">
        <f aca="false">IF($D1282="","",IFERROR(INDEX(合同项目,MATCH($D1282,合同键,0)),IFERROR(TRIM(MID($D1282,FIND("｜",$D1282)+1,99)),"")))</f>
        <v/>
      </c>
      <c r="G1282" s="24"/>
      <c r="H1282" s="35" t="str">
        <f aca="false">IF($G1282="","",IFERROR(INDEX(费用款别,MATCH($G1282,费用类别表,0)),"合同外款"))</f>
        <v/>
      </c>
      <c r="I1282" s="33"/>
      <c r="J1282" s="33"/>
      <c r="K1282" s="39"/>
      <c r="L1282" s="33"/>
      <c r="M1282" s="25"/>
      <c r="N1282" s="39"/>
      <c r="O1282" s="35" t="str">
        <f aca="false">IF($C1282="","",IF(N($N1282)&lt;=0,"未开票",IF(ROUND(N($N1282)-N($K1282),2)&gt;=0,"已开票",IFERROR("部分开票 "&amp;TEXT(N($N1282)/N($K1282),"0%"),"部分开票"))))</f>
        <v/>
      </c>
      <c r="P1282" s="40" t="str">
        <f aca="false">IF($C1282="","",ROUND($V1282+MIN($W1282,MAX(0,(SUMIF(收款键,$D1282,收款金额)-SUMIFS(收款金额,收款键,$D1282,收款关联,"&lt;&gt;"))-($X1282-$W1282))),2))</f>
        <v/>
      </c>
      <c r="Q1282" s="41" t="str">
        <f aca="false">IF($C1282="","",ROUND(N($K1282)-N($P1282),2))</f>
        <v/>
      </c>
      <c r="R1282" s="29" t="str">
        <f aca="false">IF($C1282="","",YEAR($C1282))</f>
        <v/>
      </c>
      <c r="S1282" s="24"/>
      <c r="T1282" s="35" t="str">
        <f aca="false">IF($C1282="","",IF($D1282="","★没选客户项目",IF(COUNTIF(合同键,$D1282)=0,"★《维保合同》里没这个项目",IF(N($K1282)&lt;=0,"★应收金额要填",IF(ROUND(N($N1282)-N($K1282),2)&gt;0.001,"★开票金额大于应收",IF(AND($L1282&lt;&gt;"",N($N1282)&lt;=0),"★填了开票日期没填开票金额",IF(AND($I1282&lt;&gt;"",$J1282&lt;&gt;"",$J1282&lt;$I1282),"★计费期间起止反了","OK")))))))</f>
        <v/>
      </c>
      <c r="U1282" s="29" t="str">
        <f aca="false">IF($L1282="","",YEAR($L1282))</f>
        <v/>
      </c>
      <c r="V1282" s="40" t="str">
        <f aca="false">IF($C1282="","",ROUND(SUMIF(收款关联,$B1282,收款金额),2))</f>
        <v/>
      </c>
      <c r="W1282" s="40" t="str">
        <f aca="false">IF($C1282="","",MAX(0,ROUND(N($K1282)-N($V1282),2)))</f>
        <v/>
      </c>
      <c r="X1282" s="40" t="str">
        <f aca="false">IF($C1282="","",ROUND(SUMIFS(应收净额,应收键,$D1282,应收行号,"&lt;="&amp;ROW()),2))</f>
        <v/>
      </c>
      <c r="Y1282" s="29" t="str">
        <f aca="false">IF($C1282="","",ROW())</f>
        <v/>
      </c>
    </row>
    <row r="1283" customFormat="false" ht="15" hidden="false" customHeight="false" outlineLevel="0" collapsed="false">
      <c r="A1283" s="29" t="str">
        <f aca="false">IF($C1283="","",ROW()-4)</f>
        <v/>
      </c>
      <c r="B1283" s="35" t="str">
        <f aca="false">IF($C1283="","","YS"&amp;TEXT($C1283,"yyyymm")&amp;"-"&amp;TEXT(ROW()-4,"0000"))</f>
        <v/>
      </c>
      <c r="C1283" s="33"/>
      <c r="D1283" s="24"/>
      <c r="E1283" s="30" t="str">
        <f aca="false">IF($D1283="","",IFERROR(INDEX(合同单位,MATCH($D1283,合同键,0)),IFERROR(TRIM(LEFT($D1283,FIND("｜",$D1283)-1)),$D1283)))</f>
        <v/>
      </c>
      <c r="F1283" s="30" t="str">
        <f aca="false">IF($D1283="","",IFERROR(INDEX(合同项目,MATCH($D1283,合同键,0)),IFERROR(TRIM(MID($D1283,FIND("｜",$D1283)+1,99)),"")))</f>
        <v/>
      </c>
      <c r="G1283" s="24"/>
      <c r="H1283" s="35" t="str">
        <f aca="false">IF($G1283="","",IFERROR(INDEX(费用款别,MATCH($G1283,费用类别表,0)),"合同外款"))</f>
        <v/>
      </c>
      <c r="I1283" s="33"/>
      <c r="J1283" s="33"/>
      <c r="K1283" s="39"/>
      <c r="L1283" s="33"/>
      <c r="M1283" s="25"/>
      <c r="N1283" s="39"/>
      <c r="O1283" s="35" t="str">
        <f aca="false">IF($C1283="","",IF(N($N1283)&lt;=0,"未开票",IF(ROUND(N($N1283)-N($K1283),2)&gt;=0,"已开票",IFERROR("部分开票 "&amp;TEXT(N($N1283)/N($K1283),"0%"),"部分开票"))))</f>
        <v/>
      </c>
      <c r="P1283" s="40" t="str">
        <f aca="false">IF($C1283="","",ROUND($V1283+MIN($W1283,MAX(0,(SUMIF(收款键,$D1283,收款金额)-SUMIFS(收款金额,收款键,$D1283,收款关联,"&lt;&gt;"))-($X1283-$W1283))),2))</f>
        <v/>
      </c>
      <c r="Q1283" s="41" t="str">
        <f aca="false">IF($C1283="","",ROUND(N($K1283)-N($P1283),2))</f>
        <v/>
      </c>
      <c r="R1283" s="29" t="str">
        <f aca="false">IF($C1283="","",YEAR($C1283))</f>
        <v/>
      </c>
      <c r="S1283" s="24"/>
      <c r="T1283" s="35" t="str">
        <f aca="false">IF($C1283="","",IF($D1283="","★没选客户项目",IF(COUNTIF(合同键,$D1283)=0,"★《维保合同》里没这个项目",IF(N($K1283)&lt;=0,"★应收金额要填",IF(ROUND(N($N1283)-N($K1283),2)&gt;0.001,"★开票金额大于应收",IF(AND($L1283&lt;&gt;"",N($N1283)&lt;=0),"★填了开票日期没填开票金额",IF(AND($I1283&lt;&gt;"",$J1283&lt;&gt;"",$J1283&lt;$I1283),"★计费期间起止反了","OK")))))))</f>
        <v/>
      </c>
      <c r="U1283" s="29" t="str">
        <f aca="false">IF($L1283="","",YEAR($L1283))</f>
        <v/>
      </c>
      <c r="V1283" s="40" t="str">
        <f aca="false">IF($C1283="","",ROUND(SUMIF(收款关联,$B1283,收款金额),2))</f>
        <v/>
      </c>
      <c r="W1283" s="40" t="str">
        <f aca="false">IF($C1283="","",MAX(0,ROUND(N($K1283)-N($V1283),2)))</f>
        <v/>
      </c>
      <c r="X1283" s="40" t="str">
        <f aca="false">IF($C1283="","",ROUND(SUMIFS(应收净额,应收键,$D1283,应收行号,"&lt;="&amp;ROW()),2))</f>
        <v/>
      </c>
      <c r="Y1283" s="29" t="str">
        <f aca="false">IF($C1283="","",ROW())</f>
        <v/>
      </c>
    </row>
    <row r="1284" customFormat="false" ht="15" hidden="false" customHeight="false" outlineLevel="0" collapsed="false">
      <c r="A1284" s="29" t="str">
        <f aca="false">IF($C1284="","",ROW()-4)</f>
        <v/>
      </c>
      <c r="B1284" s="35" t="str">
        <f aca="false">IF($C1284="","","YS"&amp;TEXT($C1284,"yyyymm")&amp;"-"&amp;TEXT(ROW()-4,"0000"))</f>
        <v/>
      </c>
      <c r="C1284" s="33"/>
      <c r="D1284" s="24"/>
      <c r="E1284" s="30" t="str">
        <f aca="false">IF($D1284="","",IFERROR(INDEX(合同单位,MATCH($D1284,合同键,0)),IFERROR(TRIM(LEFT($D1284,FIND("｜",$D1284)-1)),$D1284)))</f>
        <v/>
      </c>
      <c r="F1284" s="30" t="str">
        <f aca="false">IF($D1284="","",IFERROR(INDEX(合同项目,MATCH($D1284,合同键,0)),IFERROR(TRIM(MID($D1284,FIND("｜",$D1284)+1,99)),"")))</f>
        <v/>
      </c>
      <c r="G1284" s="24"/>
      <c r="H1284" s="35" t="str">
        <f aca="false">IF($G1284="","",IFERROR(INDEX(费用款别,MATCH($G1284,费用类别表,0)),"合同外款"))</f>
        <v/>
      </c>
      <c r="I1284" s="33"/>
      <c r="J1284" s="33"/>
      <c r="K1284" s="39"/>
      <c r="L1284" s="33"/>
      <c r="M1284" s="25"/>
      <c r="N1284" s="39"/>
      <c r="O1284" s="35" t="str">
        <f aca="false">IF($C1284="","",IF(N($N1284)&lt;=0,"未开票",IF(ROUND(N($N1284)-N($K1284),2)&gt;=0,"已开票",IFERROR("部分开票 "&amp;TEXT(N($N1284)/N($K1284),"0%"),"部分开票"))))</f>
        <v/>
      </c>
      <c r="P1284" s="40" t="str">
        <f aca="false">IF($C1284="","",ROUND($V1284+MIN($W1284,MAX(0,(SUMIF(收款键,$D1284,收款金额)-SUMIFS(收款金额,收款键,$D1284,收款关联,"&lt;&gt;"))-($X1284-$W1284))),2))</f>
        <v/>
      </c>
      <c r="Q1284" s="41" t="str">
        <f aca="false">IF($C1284="","",ROUND(N($K1284)-N($P1284),2))</f>
        <v/>
      </c>
      <c r="R1284" s="29" t="str">
        <f aca="false">IF($C1284="","",YEAR($C1284))</f>
        <v/>
      </c>
      <c r="S1284" s="24"/>
      <c r="T1284" s="35" t="str">
        <f aca="false">IF($C1284="","",IF($D1284="","★没选客户项目",IF(COUNTIF(合同键,$D1284)=0,"★《维保合同》里没这个项目",IF(N($K1284)&lt;=0,"★应收金额要填",IF(ROUND(N($N1284)-N($K1284),2)&gt;0.001,"★开票金额大于应收",IF(AND($L1284&lt;&gt;"",N($N1284)&lt;=0),"★填了开票日期没填开票金额",IF(AND($I1284&lt;&gt;"",$J1284&lt;&gt;"",$J1284&lt;$I1284),"★计费期间起止反了","OK")))))))</f>
        <v/>
      </c>
      <c r="U1284" s="29" t="str">
        <f aca="false">IF($L1284="","",YEAR($L1284))</f>
        <v/>
      </c>
      <c r="V1284" s="40" t="str">
        <f aca="false">IF($C1284="","",ROUND(SUMIF(收款关联,$B1284,收款金额),2))</f>
        <v/>
      </c>
      <c r="W1284" s="40" t="str">
        <f aca="false">IF($C1284="","",MAX(0,ROUND(N($K1284)-N($V1284),2)))</f>
        <v/>
      </c>
      <c r="X1284" s="40" t="str">
        <f aca="false">IF($C1284="","",ROUND(SUMIFS(应收净额,应收键,$D1284,应收行号,"&lt;="&amp;ROW()),2))</f>
        <v/>
      </c>
      <c r="Y1284" s="29" t="str">
        <f aca="false">IF($C1284="","",ROW())</f>
        <v/>
      </c>
    </row>
    <row r="1285" customFormat="false" ht="15" hidden="false" customHeight="false" outlineLevel="0" collapsed="false">
      <c r="A1285" s="29" t="str">
        <f aca="false">IF($C1285="","",ROW()-4)</f>
        <v/>
      </c>
      <c r="B1285" s="35" t="str">
        <f aca="false">IF($C1285="","","YS"&amp;TEXT($C1285,"yyyymm")&amp;"-"&amp;TEXT(ROW()-4,"0000"))</f>
        <v/>
      </c>
      <c r="C1285" s="33"/>
      <c r="D1285" s="24"/>
      <c r="E1285" s="30" t="str">
        <f aca="false">IF($D1285="","",IFERROR(INDEX(合同单位,MATCH($D1285,合同键,0)),IFERROR(TRIM(LEFT($D1285,FIND("｜",$D1285)-1)),$D1285)))</f>
        <v/>
      </c>
      <c r="F1285" s="30" t="str">
        <f aca="false">IF($D1285="","",IFERROR(INDEX(合同项目,MATCH($D1285,合同键,0)),IFERROR(TRIM(MID($D1285,FIND("｜",$D1285)+1,99)),"")))</f>
        <v/>
      </c>
      <c r="G1285" s="24"/>
      <c r="H1285" s="35" t="str">
        <f aca="false">IF($G1285="","",IFERROR(INDEX(费用款别,MATCH($G1285,费用类别表,0)),"合同外款"))</f>
        <v/>
      </c>
      <c r="I1285" s="33"/>
      <c r="J1285" s="33"/>
      <c r="K1285" s="39"/>
      <c r="L1285" s="33"/>
      <c r="M1285" s="25"/>
      <c r="N1285" s="39"/>
      <c r="O1285" s="35" t="str">
        <f aca="false">IF($C1285="","",IF(N($N1285)&lt;=0,"未开票",IF(ROUND(N($N1285)-N($K1285),2)&gt;=0,"已开票",IFERROR("部分开票 "&amp;TEXT(N($N1285)/N($K1285),"0%"),"部分开票"))))</f>
        <v/>
      </c>
      <c r="P1285" s="40" t="str">
        <f aca="false">IF($C1285="","",ROUND($V1285+MIN($W1285,MAX(0,(SUMIF(收款键,$D1285,收款金额)-SUMIFS(收款金额,收款键,$D1285,收款关联,"&lt;&gt;"))-($X1285-$W1285))),2))</f>
        <v/>
      </c>
      <c r="Q1285" s="41" t="str">
        <f aca="false">IF($C1285="","",ROUND(N($K1285)-N($P1285),2))</f>
        <v/>
      </c>
      <c r="R1285" s="29" t="str">
        <f aca="false">IF($C1285="","",YEAR($C1285))</f>
        <v/>
      </c>
      <c r="S1285" s="24"/>
      <c r="T1285" s="35" t="str">
        <f aca="false">IF($C1285="","",IF($D1285="","★没选客户项目",IF(COUNTIF(合同键,$D1285)=0,"★《维保合同》里没这个项目",IF(N($K1285)&lt;=0,"★应收金额要填",IF(ROUND(N($N1285)-N($K1285),2)&gt;0.001,"★开票金额大于应收",IF(AND($L1285&lt;&gt;"",N($N1285)&lt;=0),"★填了开票日期没填开票金额",IF(AND($I1285&lt;&gt;"",$J1285&lt;&gt;"",$J1285&lt;$I1285),"★计费期间起止反了","OK")))))))</f>
        <v/>
      </c>
      <c r="U1285" s="29" t="str">
        <f aca="false">IF($L1285="","",YEAR($L1285))</f>
        <v/>
      </c>
      <c r="V1285" s="40" t="str">
        <f aca="false">IF($C1285="","",ROUND(SUMIF(收款关联,$B1285,收款金额),2))</f>
        <v/>
      </c>
      <c r="W1285" s="40" t="str">
        <f aca="false">IF($C1285="","",MAX(0,ROUND(N($K1285)-N($V1285),2)))</f>
        <v/>
      </c>
      <c r="X1285" s="40" t="str">
        <f aca="false">IF($C1285="","",ROUND(SUMIFS(应收净额,应收键,$D1285,应收行号,"&lt;="&amp;ROW()),2))</f>
        <v/>
      </c>
      <c r="Y1285" s="29" t="str">
        <f aca="false">IF($C1285="","",ROW())</f>
        <v/>
      </c>
    </row>
    <row r="1286" customFormat="false" ht="15" hidden="false" customHeight="false" outlineLevel="0" collapsed="false">
      <c r="A1286" s="29" t="str">
        <f aca="false">IF($C1286="","",ROW()-4)</f>
        <v/>
      </c>
      <c r="B1286" s="35" t="str">
        <f aca="false">IF($C1286="","","YS"&amp;TEXT($C1286,"yyyymm")&amp;"-"&amp;TEXT(ROW()-4,"0000"))</f>
        <v/>
      </c>
      <c r="C1286" s="33"/>
      <c r="D1286" s="24"/>
      <c r="E1286" s="30" t="str">
        <f aca="false">IF($D1286="","",IFERROR(INDEX(合同单位,MATCH($D1286,合同键,0)),IFERROR(TRIM(LEFT($D1286,FIND("｜",$D1286)-1)),$D1286)))</f>
        <v/>
      </c>
      <c r="F1286" s="30" t="str">
        <f aca="false">IF($D1286="","",IFERROR(INDEX(合同项目,MATCH($D1286,合同键,0)),IFERROR(TRIM(MID($D1286,FIND("｜",$D1286)+1,99)),"")))</f>
        <v/>
      </c>
      <c r="G1286" s="24"/>
      <c r="H1286" s="35" t="str">
        <f aca="false">IF($G1286="","",IFERROR(INDEX(费用款别,MATCH($G1286,费用类别表,0)),"合同外款"))</f>
        <v/>
      </c>
      <c r="I1286" s="33"/>
      <c r="J1286" s="33"/>
      <c r="K1286" s="39"/>
      <c r="L1286" s="33"/>
      <c r="M1286" s="25"/>
      <c r="N1286" s="39"/>
      <c r="O1286" s="35" t="str">
        <f aca="false">IF($C1286="","",IF(N($N1286)&lt;=0,"未开票",IF(ROUND(N($N1286)-N($K1286),2)&gt;=0,"已开票",IFERROR("部分开票 "&amp;TEXT(N($N1286)/N($K1286),"0%"),"部分开票"))))</f>
        <v/>
      </c>
      <c r="P1286" s="40" t="str">
        <f aca="false">IF($C1286="","",ROUND($V1286+MIN($W1286,MAX(0,(SUMIF(收款键,$D1286,收款金额)-SUMIFS(收款金额,收款键,$D1286,收款关联,"&lt;&gt;"))-($X1286-$W1286))),2))</f>
        <v/>
      </c>
      <c r="Q1286" s="41" t="str">
        <f aca="false">IF($C1286="","",ROUND(N($K1286)-N($P1286),2))</f>
        <v/>
      </c>
      <c r="R1286" s="29" t="str">
        <f aca="false">IF($C1286="","",YEAR($C1286))</f>
        <v/>
      </c>
      <c r="S1286" s="24"/>
      <c r="T1286" s="35" t="str">
        <f aca="false">IF($C1286="","",IF($D1286="","★没选客户项目",IF(COUNTIF(合同键,$D1286)=0,"★《维保合同》里没这个项目",IF(N($K1286)&lt;=0,"★应收金额要填",IF(ROUND(N($N1286)-N($K1286),2)&gt;0.001,"★开票金额大于应收",IF(AND($L1286&lt;&gt;"",N($N1286)&lt;=0),"★填了开票日期没填开票金额",IF(AND($I1286&lt;&gt;"",$J1286&lt;&gt;"",$J1286&lt;$I1286),"★计费期间起止反了","OK")))))))</f>
        <v/>
      </c>
      <c r="U1286" s="29" t="str">
        <f aca="false">IF($L1286="","",YEAR($L1286))</f>
        <v/>
      </c>
      <c r="V1286" s="40" t="str">
        <f aca="false">IF($C1286="","",ROUND(SUMIF(收款关联,$B1286,收款金额),2))</f>
        <v/>
      </c>
      <c r="W1286" s="40" t="str">
        <f aca="false">IF($C1286="","",MAX(0,ROUND(N($K1286)-N($V1286),2)))</f>
        <v/>
      </c>
      <c r="X1286" s="40" t="str">
        <f aca="false">IF($C1286="","",ROUND(SUMIFS(应收净额,应收键,$D1286,应收行号,"&lt;="&amp;ROW()),2))</f>
        <v/>
      </c>
      <c r="Y1286" s="29" t="str">
        <f aca="false">IF($C1286="","",ROW())</f>
        <v/>
      </c>
    </row>
    <row r="1287" customFormat="false" ht="15" hidden="false" customHeight="false" outlineLevel="0" collapsed="false">
      <c r="A1287" s="29" t="str">
        <f aca="false">IF($C1287="","",ROW()-4)</f>
        <v/>
      </c>
      <c r="B1287" s="35" t="str">
        <f aca="false">IF($C1287="","","YS"&amp;TEXT($C1287,"yyyymm")&amp;"-"&amp;TEXT(ROW()-4,"0000"))</f>
        <v/>
      </c>
      <c r="C1287" s="33"/>
      <c r="D1287" s="24"/>
      <c r="E1287" s="30" t="str">
        <f aca="false">IF($D1287="","",IFERROR(INDEX(合同单位,MATCH($D1287,合同键,0)),IFERROR(TRIM(LEFT($D1287,FIND("｜",$D1287)-1)),$D1287)))</f>
        <v/>
      </c>
      <c r="F1287" s="30" t="str">
        <f aca="false">IF($D1287="","",IFERROR(INDEX(合同项目,MATCH($D1287,合同键,0)),IFERROR(TRIM(MID($D1287,FIND("｜",$D1287)+1,99)),"")))</f>
        <v/>
      </c>
      <c r="G1287" s="24"/>
      <c r="H1287" s="35" t="str">
        <f aca="false">IF($G1287="","",IFERROR(INDEX(费用款别,MATCH($G1287,费用类别表,0)),"合同外款"))</f>
        <v/>
      </c>
      <c r="I1287" s="33"/>
      <c r="J1287" s="33"/>
      <c r="K1287" s="39"/>
      <c r="L1287" s="33"/>
      <c r="M1287" s="25"/>
      <c r="N1287" s="39"/>
      <c r="O1287" s="35" t="str">
        <f aca="false">IF($C1287="","",IF(N($N1287)&lt;=0,"未开票",IF(ROUND(N($N1287)-N($K1287),2)&gt;=0,"已开票",IFERROR("部分开票 "&amp;TEXT(N($N1287)/N($K1287),"0%"),"部分开票"))))</f>
        <v/>
      </c>
      <c r="P1287" s="40" t="str">
        <f aca="false">IF($C1287="","",ROUND($V1287+MIN($W1287,MAX(0,(SUMIF(收款键,$D1287,收款金额)-SUMIFS(收款金额,收款键,$D1287,收款关联,"&lt;&gt;"))-($X1287-$W1287))),2))</f>
        <v/>
      </c>
      <c r="Q1287" s="41" t="str">
        <f aca="false">IF($C1287="","",ROUND(N($K1287)-N($P1287),2))</f>
        <v/>
      </c>
      <c r="R1287" s="29" t="str">
        <f aca="false">IF($C1287="","",YEAR($C1287))</f>
        <v/>
      </c>
      <c r="S1287" s="24"/>
      <c r="T1287" s="35" t="str">
        <f aca="false">IF($C1287="","",IF($D1287="","★没选客户项目",IF(COUNTIF(合同键,$D1287)=0,"★《维保合同》里没这个项目",IF(N($K1287)&lt;=0,"★应收金额要填",IF(ROUND(N($N1287)-N($K1287),2)&gt;0.001,"★开票金额大于应收",IF(AND($L1287&lt;&gt;"",N($N1287)&lt;=0),"★填了开票日期没填开票金额",IF(AND($I1287&lt;&gt;"",$J1287&lt;&gt;"",$J1287&lt;$I1287),"★计费期间起止反了","OK")))))))</f>
        <v/>
      </c>
      <c r="U1287" s="29" t="str">
        <f aca="false">IF($L1287="","",YEAR($L1287))</f>
        <v/>
      </c>
      <c r="V1287" s="40" t="str">
        <f aca="false">IF($C1287="","",ROUND(SUMIF(收款关联,$B1287,收款金额),2))</f>
        <v/>
      </c>
      <c r="W1287" s="40" t="str">
        <f aca="false">IF($C1287="","",MAX(0,ROUND(N($K1287)-N($V1287),2)))</f>
        <v/>
      </c>
      <c r="X1287" s="40" t="str">
        <f aca="false">IF($C1287="","",ROUND(SUMIFS(应收净额,应收键,$D1287,应收行号,"&lt;="&amp;ROW()),2))</f>
        <v/>
      </c>
      <c r="Y1287" s="29" t="str">
        <f aca="false">IF($C1287="","",ROW())</f>
        <v/>
      </c>
    </row>
    <row r="1288" customFormat="false" ht="15" hidden="false" customHeight="false" outlineLevel="0" collapsed="false">
      <c r="A1288" s="29" t="str">
        <f aca="false">IF($C1288="","",ROW()-4)</f>
        <v/>
      </c>
      <c r="B1288" s="35" t="str">
        <f aca="false">IF($C1288="","","YS"&amp;TEXT($C1288,"yyyymm")&amp;"-"&amp;TEXT(ROW()-4,"0000"))</f>
        <v/>
      </c>
      <c r="C1288" s="33"/>
      <c r="D1288" s="24"/>
      <c r="E1288" s="30" t="str">
        <f aca="false">IF($D1288="","",IFERROR(INDEX(合同单位,MATCH($D1288,合同键,0)),IFERROR(TRIM(LEFT($D1288,FIND("｜",$D1288)-1)),$D1288)))</f>
        <v/>
      </c>
      <c r="F1288" s="30" t="str">
        <f aca="false">IF($D1288="","",IFERROR(INDEX(合同项目,MATCH($D1288,合同键,0)),IFERROR(TRIM(MID($D1288,FIND("｜",$D1288)+1,99)),"")))</f>
        <v/>
      </c>
      <c r="G1288" s="24"/>
      <c r="H1288" s="35" t="str">
        <f aca="false">IF($G1288="","",IFERROR(INDEX(费用款别,MATCH($G1288,费用类别表,0)),"合同外款"))</f>
        <v/>
      </c>
      <c r="I1288" s="33"/>
      <c r="J1288" s="33"/>
      <c r="K1288" s="39"/>
      <c r="L1288" s="33"/>
      <c r="M1288" s="25"/>
      <c r="N1288" s="39"/>
      <c r="O1288" s="35" t="str">
        <f aca="false">IF($C1288="","",IF(N($N1288)&lt;=0,"未开票",IF(ROUND(N($N1288)-N($K1288),2)&gt;=0,"已开票",IFERROR("部分开票 "&amp;TEXT(N($N1288)/N($K1288),"0%"),"部分开票"))))</f>
        <v/>
      </c>
      <c r="P1288" s="40" t="str">
        <f aca="false">IF($C1288="","",ROUND($V1288+MIN($W1288,MAX(0,(SUMIF(收款键,$D1288,收款金额)-SUMIFS(收款金额,收款键,$D1288,收款关联,"&lt;&gt;"))-($X1288-$W1288))),2))</f>
        <v/>
      </c>
      <c r="Q1288" s="41" t="str">
        <f aca="false">IF($C1288="","",ROUND(N($K1288)-N($P1288),2))</f>
        <v/>
      </c>
      <c r="R1288" s="29" t="str">
        <f aca="false">IF($C1288="","",YEAR($C1288))</f>
        <v/>
      </c>
      <c r="S1288" s="24"/>
      <c r="T1288" s="35" t="str">
        <f aca="false">IF($C1288="","",IF($D1288="","★没选客户项目",IF(COUNTIF(合同键,$D1288)=0,"★《维保合同》里没这个项目",IF(N($K1288)&lt;=0,"★应收金额要填",IF(ROUND(N($N1288)-N($K1288),2)&gt;0.001,"★开票金额大于应收",IF(AND($L1288&lt;&gt;"",N($N1288)&lt;=0),"★填了开票日期没填开票金额",IF(AND($I1288&lt;&gt;"",$J1288&lt;&gt;"",$J1288&lt;$I1288),"★计费期间起止反了","OK")))))))</f>
        <v/>
      </c>
      <c r="U1288" s="29" t="str">
        <f aca="false">IF($L1288="","",YEAR($L1288))</f>
        <v/>
      </c>
      <c r="V1288" s="40" t="str">
        <f aca="false">IF($C1288="","",ROUND(SUMIF(收款关联,$B1288,收款金额),2))</f>
        <v/>
      </c>
      <c r="W1288" s="40" t="str">
        <f aca="false">IF($C1288="","",MAX(0,ROUND(N($K1288)-N($V1288),2)))</f>
        <v/>
      </c>
      <c r="X1288" s="40" t="str">
        <f aca="false">IF($C1288="","",ROUND(SUMIFS(应收净额,应收键,$D1288,应收行号,"&lt;="&amp;ROW()),2))</f>
        <v/>
      </c>
      <c r="Y1288" s="29" t="str">
        <f aca="false">IF($C1288="","",ROW())</f>
        <v/>
      </c>
    </row>
    <row r="1289" customFormat="false" ht="15" hidden="false" customHeight="false" outlineLevel="0" collapsed="false">
      <c r="A1289" s="29" t="str">
        <f aca="false">IF($C1289="","",ROW()-4)</f>
        <v/>
      </c>
      <c r="B1289" s="35" t="str">
        <f aca="false">IF($C1289="","","YS"&amp;TEXT($C1289,"yyyymm")&amp;"-"&amp;TEXT(ROW()-4,"0000"))</f>
        <v/>
      </c>
      <c r="C1289" s="33"/>
      <c r="D1289" s="24"/>
      <c r="E1289" s="30" t="str">
        <f aca="false">IF($D1289="","",IFERROR(INDEX(合同单位,MATCH($D1289,合同键,0)),IFERROR(TRIM(LEFT($D1289,FIND("｜",$D1289)-1)),$D1289)))</f>
        <v/>
      </c>
      <c r="F1289" s="30" t="str">
        <f aca="false">IF($D1289="","",IFERROR(INDEX(合同项目,MATCH($D1289,合同键,0)),IFERROR(TRIM(MID($D1289,FIND("｜",$D1289)+1,99)),"")))</f>
        <v/>
      </c>
      <c r="G1289" s="24"/>
      <c r="H1289" s="35" t="str">
        <f aca="false">IF($G1289="","",IFERROR(INDEX(费用款别,MATCH($G1289,费用类别表,0)),"合同外款"))</f>
        <v/>
      </c>
      <c r="I1289" s="33"/>
      <c r="J1289" s="33"/>
      <c r="K1289" s="39"/>
      <c r="L1289" s="33"/>
      <c r="M1289" s="25"/>
      <c r="N1289" s="39"/>
      <c r="O1289" s="35" t="str">
        <f aca="false">IF($C1289="","",IF(N($N1289)&lt;=0,"未开票",IF(ROUND(N($N1289)-N($K1289),2)&gt;=0,"已开票",IFERROR("部分开票 "&amp;TEXT(N($N1289)/N($K1289),"0%"),"部分开票"))))</f>
        <v/>
      </c>
      <c r="P1289" s="40" t="str">
        <f aca="false">IF($C1289="","",ROUND($V1289+MIN($W1289,MAX(0,(SUMIF(收款键,$D1289,收款金额)-SUMIFS(收款金额,收款键,$D1289,收款关联,"&lt;&gt;"))-($X1289-$W1289))),2))</f>
        <v/>
      </c>
      <c r="Q1289" s="41" t="str">
        <f aca="false">IF($C1289="","",ROUND(N($K1289)-N($P1289),2))</f>
        <v/>
      </c>
      <c r="R1289" s="29" t="str">
        <f aca="false">IF($C1289="","",YEAR($C1289))</f>
        <v/>
      </c>
      <c r="S1289" s="24"/>
      <c r="T1289" s="35" t="str">
        <f aca="false">IF($C1289="","",IF($D1289="","★没选客户项目",IF(COUNTIF(合同键,$D1289)=0,"★《维保合同》里没这个项目",IF(N($K1289)&lt;=0,"★应收金额要填",IF(ROUND(N($N1289)-N($K1289),2)&gt;0.001,"★开票金额大于应收",IF(AND($L1289&lt;&gt;"",N($N1289)&lt;=0),"★填了开票日期没填开票金额",IF(AND($I1289&lt;&gt;"",$J1289&lt;&gt;"",$J1289&lt;$I1289),"★计费期间起止反了","OK")))))))</f>
        <v/>
      </c>
      <c r="U1289" s="29" t="str">
        <f aca="false">IF($L1289="","",YEAR($L1289))</f>
        <v/>
      </c>
      <c r="V1289" s="40" t="str">
        <f aca="false">IF($C1289="","",ROUND(SUMIF(收款关联,$B1289,收款金额),2))</f>
        <v/>
      </c>
      <c r="W1289" s="40" t="str">
        <f aca="false">IF($C1289="","",MAX(0,ROUND(N($K1289)-N($V1289),2)))</f>
        <v/>
      </c>
      <c r="X1289" s="40" t="str">
        <f aca="false">IF($C1289="","",ROUND(SUMIFS(应收净额,应收键,$D1289,应收行号,"&lt;="&amp;ROW()),2))</f>
        <v/>
      </c>
      <c r="Y1289" s="29" t="str">
        <f aca="false">IF($C1289="","",ROW())</f>
        <v/>
      </c>
    </row>
    <row r="1290" customFormat="false" ht="15" hidden="false" customHeight="false" outlineLevel="0" collapsed="false">
      <c r="A1290" s="29" t="str">
        <f aca="false">IF($C1290="","",ROW()-4)</f>
        <v/>
      </c>
      <c r="B1290" s="35" t="str">
        <f aca="false">IF($C1290="","","YS"&amp;TEXT($C1290,"yyyymm")&amp;"-"&amp;TEXT(ROW()-4,"0000"))</f>
        <v/>
      </c>
      <c r="C1290" s="33"/>
      <c r="D1290" s="24"/>
      <c r="E1290" s="30" t="str">
        <f aca="false">IF($D1290="","",IFERROR(INDEX(合同单位,MATCH($D1290,合同键,0)),IFERROR(TRIM(LEFT($D1290,FIND("｜",$D1290)-1)),$D1290)))</f>
        <v/>
      </c>
      <c r="F1290" s="30" t="str">
        <f aca="false">IF($D1290="","",IFERROR(INDEX(合同项目,MATCH($D1290,合同键,0)),IFERROR(TRIM(MID($D1290,FIND("｜",$D1290)+1,99)),"")))</f>
        <v/>
      </c>
      <c r="G1290" s="24"/>
      <c r="H1290" s="35" t="str">
        <f aca="false">IF($G1290="","",IFERROR(INDEX(费用款别,MATCH($G1290,费用类别表,0)),"合同外款"))</f>
        <v/>
      </c>
      <c r="I1290" s="33"/>
      <c r="J1290" s="33"/>
      <c r="K1290" s="39"/>
      <c r="L1290" s="33"/>
      <c r="M1290" s="25"/>
      <c r="N1290" s="39"/>
      <c r="O1290" s="35" t="str">
        <f aca="false">IF($C1290="","",IF(N($N1290)&lt;=0,"未开票",IF(ROUND(N($N1290)-N($K1290),2)&gt;=0,"已开票",IFERROR("部分开票 "&amp;TEXT(N($N1290)/N($K1290),"0%"),"部分开票"))))</f>
        <v/>
      </c>
      <c r="P1290" s="40" t="str">
        <f aca="false">IF($C1290="","",ROUND($V1290+MIN($W1290,MAX(0,(SUMIF(收款键,$D1290,收款金额)-SUMIFS(收款金额,收款键,$D1290,收款关联,"&lt;&gt;"))-($X1290-$W1290))),2))</f>
        <v/>
      </c>
      <c r="Q1290" s="41" t="str">
        <f aca="false">IF($C1290="","",ROUND(N($K1290)-N($P1290),2))</f>
        <v/>
      </c>
      <c r="R1290" s="29" t="str">
        <f aca="false">IF($C1290="","",YEAR($C1290))</f>
        <v/>
      </c>
      <c r="S1290" s="24"/>
      <c r="T1290" s="35" t="str">
        <f aca="false">IF($C1290="","",IF($D1290="","★没选客户项目",IF(COUNTIF(合同键,$D1290)=0,"★《维保合同》里没这个项目",IF(N($K1290)&lt;=0,"★应收金额要填",IF(ROUND(N($N1290)-N($K1290),2)&gt;0.001,"★开票金额大于应收",IF(AND($L1290&lt;&gt;"",N($N1290)&lt;=0),"★填了开票日期没填开票金额",IF(AND($I1290&lt;&gt;"",$J1290&lt;&gt;"",$J1290&lt;$I1290),"★计费期间起止反了","OK")))))))</f>
        <v/>
      </c>
      <c r="U1290" s="29" t="str">
        <f aca="false">IF($L1290="","",YEAR($L1290))</f>
        <v/>
      </c>
      <c r="V1290" s="40" t="str">
        <f aca="false">IF($C1290="","",ROUND(SUMIF(收款关联,$B1290,收款金额),2))</f>
        <v/>
      </c>
      <c r="W1290" s="40" t="str">
        <f aca="false">IF($C1290="","",MAX(0,ROUND(N($K1290)-N($V1290),2)))</f>
        <v/>
      </c>
      <c r="X1290" s="40" t="str">
        <f aca="false">IF($C1290="","",ROUND(SUMIFS(应收净额,应收键,$D1290,应收行号,"&lt;="&amp;ROW()),2))</f>
        <v/>
      </c>
      <c r="Y1290" s="29" t="str">
        <f aca="false">IF($C1290="","",ROW())</f>
        <v/>
      </c>
    </row>
    <row r="1291" customFormat="false" ht="15" hidden="false" customHeight="false" outlineLevel="0" collapsed="false">
      <c r="A1291" s="29" t="str">
        <f aca="false">IF($C1291="","",ROW()-4)</f>
        <v/>
      </c>
      <c r="B1291" s="35" t="str">
        <f aca="false">IF($C1291="","","YS"&amp;TEXT($C1291,"yyyymm")&amp;"-"&amp;TEXT(ROW()-4,"0000"))</f>
        <v/>
      </c>
      <c r="C1291" s="33"/>
      <c r="D1291" s="24"/>
      <c r="E1291" s="30" t="str">
        <f aca="false">IF($D1291="","",IFERROR(INDEX(合同单位,MATCH($D1291,合同键,0)),IFERROR(TRIM(LEFT($D1291,FIND("｜",$D1291)-1)),$D1291)))</f>
        <v/>
      </c>
      <c r="F1291" s="30" t="str">
        <f aca="false">IF($D1291="","",IFERROR(INDEX(合同项目,MATCH($D1291,合同键,0)),IFERROR(TRIM(MID($D1291,FIND("｜",$D1291)+1,99)),"")))</f>
        <v/>
      </c>
      <c r="G1291" s="24"/>
      <c r="H1291" s="35" t="str">
        <f aca="false">IF($G1291="","",IFERROR(INDEX(费用款别,MATCH($G1291,费用类别表,0)),"合同外款"))</f>
        <v/>
      </c>
      <c r="I1291" s="33"/>
      <c r="J1291" s="33"/>
      <c r="K1291" s="39"/>
      <c r="L1291" s="33"/>
      <c r="M1291" s="25"/>
      <c r="N1291" s="39"/>
      <c r="O1291" s="35" t="str">
        <f aca="false">IF($C1291="","",IF(N($N1291)&lt;=0,"未开票",IF(ROUND(N($N1291)-N($K1291),2)&gt;=0,"已开票",IFERROR("部分开票 "&amp;TEXT(N($N1291)/N($K1291),"0%"),"部分开票"))))</f>
        <v/>
      </c>
      <c r="P1291" s="40" t="str">
        <f aca="false">IF($C1291="","",ROUND($V1291+MIN($W1291,MAX(0,(SUMIF(收款键,$D1291,收款金额)-SUMIFS(收款金额,收款键,$D1291,收款关联,"&lt;&gt;"))-($X1291-$W1291))),2))</f>
        <v/>
      </c>
      <c r="Q1291" s="41" t="str">
        <f aca="false">IF($C1291="","",ROUND(N($K1291)-N($P1291),2))</f>
        <v/>
      </c>
      <c r="R1291" s="29" t="str">
        <f aca="false">IF($C1291="","",YEAR($C1291))</f>
        <v/>
      </c>
      <c r="S1291" s="24"/>
      <c r="T1291" s="35" t="str">
        <f aca="false">IF($C1291="","",IF($D1291="","★没选客户项目",IF(COUNTIF(合同键,$D1291)=0,"★《维保合同》里没这个项目",IF(N($K1291)&lt;=0,"★应收金额要填",IF(ROUND(N($N1291)-N($K1291),2)&gt;0.001,"★开票金额大于应收",IF(AND($L1291&lt;&gt;"",N($N1291)&lt;=0),"★填了开票日期没填开票金额",IF(AND($I1291&lt;&gt;"",$J1291&lt;&gt;"",$J1291&lt;$I1291),"★计费期间起止反了","OK")))))))</f>
        <v/>
      </c>
      <c r="U1291" s="29" t="str">
        <f aca="false">IF($L1291="","",YEAR($L1291))</f>
        <v/>
      </c>
      <c r="V1291" s="40" t="str">
        <f aca="false">IF($C1291="","",ROUND(SUMIF(收款关联,$B1291,收款金额),2))</f>
        <v/>
      </c>
      <c r="W1291" s="40" t="str">
        <f aca="false">IF($C1291="","",MAX(0,ROUND(N($K1291)-N($V1291),2)))</f>
        <v/>
      </c>
      <c r="X1291" s="40" t="str">
        <f aca="false">IF($C1291="","",ROUND(SUMIFS(应收净额,应收键,$D1291,应收行号,"&lt;="&amp;ROW()),2))</f>
        <v/>
      </c>
      <c r="Y1291" s="29" t="str">
        <f aca="false">IF($C1291="","",ROW())</f>
        <v/>
      </c>
    </row>
    <row r="1292" customFormat="false" ht="15" hidden="false" customHeight="false" outlineLevel="0" collapsed="false">
      <c r="A1292" s="29" t="str">
        <f aca="false">IF($C1292="","",ROW()-4)</f>
        <v/>
      </c>
      <c r="B1292" s="35" t="str">
        <f aca="false">IF($C1292="","","YS"&amp;TEXT($C1292,"yyyymm")&amp;"-"&amp;TEXT(ROW()-4,"0000"))</f>
        <v/>
      </c>
      <c r="C1292" s="33"/>
      <c r="D1292" s="24"/>
      <c r="E1292" s="30" t="str">
        <f aca="false">IF($D1292="","",IFERROR(INDEX(合同单位,MATCH($D1292,合同键,0)),IFERROR(TRIM(LEFT($D1292,FIND("｜",$D1292)-1)),$D1292)))</f>
        <v/>
      </c>
      <c r="F1292" s="30" t="str">
        <f aca="false">IF($D1292="","",IFERROR(INDEX(合同项目,MATCH($D1292,合同键,0)),IFERROR(TRIM(MID($D1292,FIND("｜",$D1292)+1,99)),"")))</f>
        <v/>
      </c>
      <c r="G1292" s="24"/>
      <c r="H1292" s="35" t="str">
        <f aca="false">IF($G1292="","",IFERROR(INDEX(费用款别,MATCH($G1292,费用类别表,0)),"合同外款"))</f>
        <v/>
      </c>
      <c r="I1292" s="33"/>
      <c r="J1292" s="33"/>
      <c r="K1292" s="39"/>
      <c r="L1292" s="33"/>
      <c r="M1292" s="25"/>
      <c r="N1292" s="39"/>
      <c r="O1292" s="35" t="str">
        <f aca="false">IF($C1292="","",IF(N($N1292)&lt;=0,"未开票",IF(ROUND(N($N1292)-N($K1292),2)&gt;=0,"已开票",IFERROR("部分开票 "&amp;TEXT(N($N1292)/N($K1292),"0%"),"部分开票"))))</f>
        <v/>
      </c>
      <c r="P1292" s="40" t="str">
        <f aca="false">IF($C1292="","",ROUND($V1292+MIN($W1292,MAX(0,(SUMIF(收款键,$D1292,收款金额)-SUMIFS(收款金额,收款键,$D1292,收款关联,"&lt;&gt;"))-($X1292-$W1292))),2))</f>
        <v/>
      </c>
      <c r="Q1292" s="41" t="str">
        <f aca="false">IF($C1292="","",ROUND(N($K1292)-N($P1292),2))</f>
        <v/>
      </c>
      <c r="R1292" s="29" t="str">
        <f aca="false">IF($C1292="","",YEAR($C1292))</f>
        <v/>
      </c>
      <c r="S1292" s="24"/>
      <c r="T1292" s="35" t="str">
        <f aca="false">IF($C1292="","",IF($D1292="","★没选客户项目",IF(COUNTIF(合同键,$D1292)=0,"★《维保合同》里没这个项目",IF(N($K1292)&lt;=0,"★应收金额要填",IF(ROUND(N($N1292)-N($K1292),2)&gt;0.001,"★开票金额大于应收",IF(AND($L1292&lt;&gt;"",N($N1292)&lt;=0),"★填了开票日期没填开票金额",IF(AND($I1292&lt;&gt;"",$J1292&lt;&gt;"",$J1292&lt;$I1292),"★计费期间起止反了","OK")))))))</f>
        <v/>
      </c>
      <c r="U1292" s="29" t="str">
        <f aca="false">IF($L1292="","",YEAR($L1292))</f>
        <v/>
      </c>
      <c r="V1292" s="40" t="str">
        <f aca="false">IF($C1292="","",ROUND(SUMIF(收款关联,$B1292,收款金额),2))</f>
        <v/>
      </c>
      <c r="W1292" s="40" t="str">
        <f aca="false">IF($C1292="","",MAX(0,ROUND(N($K1292)-N($V1292),2)))</f>
        <v/>
      </c>
      <c r="X1292" s="40" t="str">
        <f aca="false">IF($C1292="","",ROUND(SUMIFS(应收净额,应收键,$D1292,应收行号,"&lt;="&amp;ROW()),2))</f>
        <v/>
      </c>
      <c r="Y1292" s="29" t="str">
        <f aca="false">IF($C1292="","",ROW())</f>
        <v/>
      </c>
    </row>
    <row r="1293" customFormat="false" ht="15" hidden="false" customHeight="false" outlineLevel="0" collapsed="false">
      <c r="A1293" s="29" t="str">
        <f aca="false">IF($C1293="","",ROW()-4)</f>
        <v/>
      </c>
      <c r="B1293" s="35" t="str">
        <f aca="false">IF($C1293="","","YS"&amp;TEXT($C1293,"yyyymm")&amp;"-"&amp;TEXT(ROW()-4,"0000"))</f>
        <v/>
      </c>
      <c r="C1293" s="33"/>
      <c r="D1293" s="24"/>
      <c r="E1293" s="30" t="str">
        <f aca="false">IF($D1293="","",IFERROR(INDEX(合同单位,MATCH($D1293,合同键,0)),IFERROR(TRIM(LEFT($D1293,FIND("｜",$D1293)-1)),$D1293)))</f>
        <v/>
      </c>
      <c r="F1293" s="30" t="str">
        <f aca="false">IF($D1293="","",IFERROR(INDEX(合同项目,MATCH($D1293,合同键,0)),IFERROR(TRIM(MID($D1293,FIND("｜",$D1293)+1,99)),"")))</f>
        <v/>
      </c>
      <c r="G1293" s="24"/>
      <c r="H1293" s="35" t="str">
        <f aca="false">IF($G1293="","",IFERROR(INDEX(费用款别,MATCH($G1293,费用类别表,0)),"合同外款"))</f>
        <v/>
      </c>
      <c r="I1293" s="33"/>
      <c r="J1293" s="33"/>
      <c r="K1293" s="39"/>
      <c r="L1293" s="33"/>
      <c r="M1293" s="25"/>
      <c r="N1293" s="39"/>
      <c r="O1293" s="35" t="str">
        <f aca="false">IF($C1293="","",IF(N($N1293)&lt;=0,"未开票",IF(ROUND(N($N1293)-N($K1293),2)&gt;=0,"已开票",IFERROR("部分开票 "&amp;TEXT(N($N1293)/N($K1293),"0%"),"部分开票"))))</f>
        <v/>
      </c>
      <c r="P1293" s="40" t="str">
        <f aca="false">IF($C1293="","",ROUND($V1293+MIN($W1293,MAX(0,(SUMIF(收款键,$D1293,收款金额)-SUMIFS(收款金额,收款键,$D1293,收款关联,"&lt;&gt;"))-($X1293-$W1293))),2))</f>
        <v/>
      </c>
      <c r="Q1293" s="41" t="str">
        <f aca="false">IF($C1293="","",ROUND(N($K1293)-N($P1293),2))</f>
        <v/>
      </c>
      <c r="R1293" s="29" t="str">
        <f aca="false">IF($C1293="","",YEAR($C1293))</f>
        <v/>
      </c>
      <c r="S1293" s="24"/>
      <c r="T1293" s="35" t="str">
        <f aca="false">IF($C1293="","",IF($D1293="","★没选客户项目",IF(COUNTIF(合同键,$D1293)=0,"★《维保合同》里没这个项目",IF(N($K1293)&lt;=0,"★应收金额要填",IF(ROUND(N($N1293)-N($K1293),2)&gt;0.001,"★开票金额大于应收",IF(AND($L1293&lt;&gt;"",N($N1293)&lt;=0),"★填了开票日期没填开票金额",IF(AND($I1293&lt;&gt;"",$J1293&lt;&gt;"",$J1293&lt;$I1293),"★计费期间起止反了","OK")))))))</f>
        <v/>
      </c>
      <c r="U1293" s="29" t="str">
        <f aca="false">IF($L1293="","",YEAR($L1293))</f>
        <v/>
      </c>
      <c r="V1293" s="40" t="str">
        <f aca="false">IF($C1293="","",ROUND(SUMIF(收款关联,$B1293,收款金额),2))</f>
        <v/>
      </c>
      <c r="W1293" s="40" t="str">
        <f aca="false">IF($C1293="","",MAX(0,ROUND(N($K1293)-N($V1293),2)))</f>
        <v/>
      </c>
      <c r="X1293" s="40" t="str">
        <f aca="false">IF($C1293="","",ROUND(SUMIFS(应收净额,应收键,$D1293,应收行号,"&lt;="&amp;ROW()),2))</f>
        <v/>
      </c>
      <c r="Y1293" s="29" t="str">
        <f aca="false">IF($C1293="","",ROW())</f>
        <v/>
      </c>
    </row>
    <row r="1294" customFormat="false" ht="15" hidden="false" customHeight="false" outlineLevel="0" collapsed="false">
      <c r="A1294" s="29" t="str">
        <f aca="false">IF($C1294="","",ROW()-4)</f>
        <v/>
      </c>
      <c r="B1294" s="35" t="str">
        <f aca="false">IF($C1294="","","YS"&amp;TEXT($C1294,"yyyymm")&amp;"-"&amp;TEXT(ROW()-4,"0000"))</f>
        <v/>
      </c>
      <c r="C1294" s="33"/>
      <c r="D1294" s="24"/>
      <c r="E1294" s="30" t="str">
        <f aca="false">IF($D1294="","",IFERROR(INDEX(合同单位,MATCH($D1294,合同键,0)),IFERROR(TRIM(LEFT($D1294,FIND("｜",$D1294)-1)),$D1294)))</f>
        <v/>
      </c>
      <c r="F1294" s="30" t="str">
        <f aca="false">IF($D1294="","",IFERROR(INDEX(合同项目,MATCH($D1294,合同键,0)),IFERROR(TRIM(MID($D1294,FIND("｜",$D1294)+1,99)),"")))</f>
        <v/>
      </c>
      <c r="G1294" s="24"/>
      <c r="H1294" s="35" t="str">
        <f aca="false">IF($G1294="","",IFERROR(INDEX(费用款别,MATCH($G1294,费用类别表,0)),"合同外款"))</f>
        <v/>
      </c>
      <c r="I1294" s="33"/>
      <c r="J1294" s="33"/>
      <c r="K1294" s="39"/>
      <c r="L1294" s="33"/>
      <c r="M1294" s="25"/>
      <c r="N1294" s="39"/>
      <c r="O1294" s="35" t="str">
        <f aca="false">IF($C1294="","",IF(N($N1294)&lt;=0,"未开票",IF(ROUND(N($N1294)-N($K1294),2)&gt;=0,"已开票",IFERROR("部分开票 "&amp;TEXT(N($N1294)/N($K1294),"0%"),"部分开票"))))</f>
        <v/>
      </c>
      <c r="P1294" s="40" t="str">
        <f aca="false">IF($C1294="","",ROUND($V1294+MIN($W1294,MAX(0,(SUMIF(收款键,$D1294,收款金额)-SUMIFS(收款金额,收款键,$D1294,收款关联,"&lt;&gt;"))-($X1294-$W1294))),2))</f>
        <v/>
      </c>
      <c r="Q1294" s="41" t="str">
        <f aca="false">IF($C1294="","",ROUND(N($K1294)-N($P1294),2))</f>
        <v/>
      </c>
      <c r="R1294" s="29" t="str">
        <f aca="false">IF($C1294="","",YEAR($C1294))</f>
        <v/>
      </c>
      <c r="S1294" s="24"/>
      <c r="T1294" s="35" t="str">
        <f aca="false">IF($C1294="","",IF($D1294="","★没选客户项目",IF(COUNTIF(合同键,$D1294)=0,"★《维保合同》里没这个项目",IF(N($K1294)&lt;=0,"★应收金额要填",IF(ROUND(N($N1294)-N($K1294),2)&gt;0.001,"★开票金额大于应收",IF(AND($L1294&lt;&gt;"",N($N1294)&lt;=0),"★填了开票日期没填开票金额",IF(AND($I1294&lt;&gt;"",$J1294&lt;&gt;"",$J1294&lt;$I1294),"★计费期间起止反了","OK")))))))</f>
        <v/>
      </c>
      <c r="U1294" s="29" t="str">
        <f aca="false">IF($L1294="","",YEAR($L1294))</f>
        <v/>
      </c>
      <c r="V1294" s="40" t="str">
        <f aca="false">IF($C1294="","",ROUND(SUMIF(收款关联,$B1294,收款金额),2))</f>
        <v/>
      </c>
      <c r="W1294" s="40" t="str">
        <f aca="false">IF($C1294="","",MAX(0,ROUND(N($K1294)-N($V1294),2)))</f>
        <v/>
      </c>
      <c r="X1294" s="40" t="str">
        <f aca="false">IF($C1294="","",ROUND(SUMIFS(应收净额,应收键,$D1294,应收行号,"&lt;="&amp;ROW()),2))</f>
        <v/>
      </c>
      <c r="Y1294" s="29" t="str">
        <f aca="false">IF($C1294="","",ROW())</f>
        <v/>
      </c>
    </row>
    <row r="1295" customFormat="false" ht="15" hidden="false" customHeight="false" outlineLevel="0" collapsed="false">
      <c r="A1295" s="29" t="str">
        <f aca="false">IF($C1295="","",ROW()-4)</f>
        <v/>
      </c>
      <c r="B1295" s="35" t="str">
        <f aca="false">IF($C1295="","","YS"&amp;TEXT($C1295,"yyyymm")&amp;"-"&amp;TEXT(ROW()-4,"0000"))</f>
        <v/>
      </c>
      <c r="C1295" s="33"/>
      <c r="D1295" s="24"/>
      <c r="E1295" s="30" t="str">
        <f aca="false">IF($D1295="","",IFERROR(INDEX(合同单位,MATCH($D1295,合同键,0)),IFERROR(TRIM(LEFT($D1295,FIND("｜",$D1295)-1)),$D1295)))</f>
        <v/>
      </c>
      <c r="F1295" s="30" t="str">
        <f aca="false">IF($D1295="","",IFERROR(INDEX(合同项目,MATCH($D1295,合同键,0)),IFERROR(TRIM(MID($D1295,FIND("｜",$D1295)+1,99)),"")))</f>
        <v/>
      </c>
      <c r="G1295" s="24"/>
      <c r="H1295" s="35" t="str">
        <f aca="false">IF($G1295="","",IFERROR(INDEX(费用款别,MATCH($G1295,费用类别表,0)),"合同外款"))</f>
        <v/>
      </c>
      <c r="I1295" s="33"/>
      <c r="J1295" s="33"/>
      <c r="K1295" s="39"/>
      <c r="L1295" s="33"/>
      <c r="M1295" s="25"/>
      <c r="N1295" s="39"/>
      <c r="O1295" s="35" t="str">
        <f aca="false">IF($C1295="","",IF(N($N1295)&lt;=0,"未开票",IF(ROUND(N($N1295)-N($K1295),2)&gt;=0,"已开票",IFERROR("部分开票 "&amp;TEXT(N($N1295)/N($K1295),"0%"),"部分开票"))))</f>
        <v/>
      </c>
      <c r="P1295" s="40" t="str">
        <f aca="false">IF($C1295="","",ROUND($V1295+MIN($W1295,MAX(0,(SUMIF(收款键,$D1295,收款金额)-SUMIFS(收款金额,收款键,$D1295,收款关联,"&lt;&gt;"))-($X1295-$W1295))),2))</f>
        <v/>
      </c>
      <c r="Q1295" s="41" t="str">
        <f aca="false">IF($C1295="","",ROUND(N($K1295)-N($P1295),2))</f>
        <v/>
      </c>
      <c r="R1295" s="29" t="str">
        <f aca="false">IF($C1295="","",YEAR($C1295))</f>
        <v/>
      </c>
      <c r="S1295" s="24"/>
      <c r="T1295" s="35" t="str">
        <f aca="false">IF($C1295="","",IF($D1295="","★没选客户项目",IF(COUNTIF(合同键,$D1295)=0,"★《维保合同》里没这个项目",IF(N($K1295)&lt;=0,"★应收金额要填",IF(ROUND(N($N1295)-N($K1295),2)&gt;0.001,"★开票金额大于应收",IF(AND($L1295&lt;&gt;"",N($N1295)&lt;=0),"★填了开票日期没填开票金额",IF(AND($I1295&lt;&gt;"",$J1295&lt;&gt;"",$J1295&lt;$I1295),"★计费期间起止反了","OK")))))))</f>
        <v/>
      </c>
      <c r="U1295" s="29" t="str">
        <f aca="false">IF($L1295="","",YEAR($L1295))</f>
        <v/>
      </c>
      <c r="V1295" s="40" t="str">
        <f aca="false">IF($C1295="","",ROUND(SUMIF(收款关联,$B1295,收款金额),2))</f>
        <v/>
      </c>
      <c r="W1295" s="40" t="str">
        <f aca="false">IF($C1295="","",MAX(0,ROUND(N($K1295)-N($V1295),2)))</f>
        <v/>
      </c>
      <c r="X1295" s="40" t="str">
        <f aca="false">IF($C1295="","",ROUND(SUMIFS(应收净额,应收键,$D1295,应收行号,"&lt;="&amp;ROW()),2))</f>
        <v/>
      </c>
      <c r="Y1295" s="29" t="str">
        <f aca="false">IF($C1295="","",ROW())</f>
        <v/>
      </c>
    </row>
    <row r="1296" customFormat="false" ht="15" hidden="false" customHeight="false" outlineLevel="0" collapsed="false">
      <c r="A1296" s="29" t="str">
        <f aca="false">IF($C1296="","",ROW()-4)</f>
        <v/>
      </c>
      <c r="B1296" s="35" t="str">
        <f aca="false">IF($C1296="","","YS"&amp;TEXT($C1296,"yyyymm")&amp;"-"&amp;TEXT(ROW()-4,"0000"))</f>
        <v/>
      </c>
      <c r="C1296" s="33"/>
      <c r="D1296" s="24"/>
      <c r="E1296" s="30" t="str">
        <f aca="false">IF($D1296="","",IFERROR(INDEX(合同单位,MATCH($D1296,合同键,0)),IFERROR(TRIM(LEFT($D1296,FIND("｜",$D1296)-1)),$D1296)))</f>
        <v/>
      </c>
      <c r="F1296" s="30" t="str">
        <f aca="false">IF($D1296="","",IFERROR(INDEX(合同项目,MATCH($D1296,合同键,0)),IFERROR(TRIM(MID($D1296,FIND("｜",$D1296)+1,99)),"")))</f>
        <v/>
      </c>
      <c r="G1296" s="24"/>
      <c r="H1296" s="35" t="str">
        <f aca="false">IF($G1296="","",IFERROR(INDEX(费用款别,MATCH($G1296,费用类别表,0)),"合同外款"))</f>
        <v/>
      </c>
      <c r="I1296" s="33"/>
      <c r="J1296" s="33"/>
      <c r="K1296" s="39"/>
      <c r="L1296" s="33"/>
      <c r="M1296" s="25"/>
      <c r="N1296" s="39"/>
      <c r="O1296" s="35" t="str">
        <f aca="false">IF($C1296="","",IF(N($N1296)&lt;=0,"未开票",IF(ROUND(N($N1296)-N($K1296),2)&gt;=0,"已开票",IFERROR("部分开票 "&amp;TEXT(N($N1296)/N($K1296),"0%"),"部分开票"))))</f>
        <v/>
      </c>
      <c r="P1296" s="40" t="str">
        <f aca="false">IF($C1296="","",ROUND($V1296+MIN($W1296,MAX(0,(SUMIF(收款键,$D1296,收款金额)-SUMIFS(收款金额,收款键,$D1296,收款关联,"&lt;&gt;"))-($X1296-$W1296))),2))</f>
        <v/>
      </c>
      <c r="Q1296" s="41" t="str">
        <f aca="false">IF($C1296="","",ROUND(N($K1296)-N($P1296),2))</f>
        <v/>
      </c>
      <c r="R1296" s="29" t="str">
        <f aca="false">IF($C1296="","",YEAR($C1296))</f>
        <v/>
      </c>
      <c r="S1296" s="24"/>
      <c r="T1296" s="35" t="str">
        <f aca="false">IF($C1296="","",IF($D1296="","★没选客户项目",IF(COUNTIF(合同键,$D1296)=0,"★《维保合同》里没这个项目",IF(N($K1296)&lt;=0,"★应收金额要填",IF(ROUND(N($N1296)-N($K1296),2)&gt;0.001,"★开票金额大于应收",IF(AND($L1296&lt;&gt;"",N($N1296)&lt;=0),"★填了开票日期没填开票金额",IF(AND($I1296&lt;&gt;"",$J1296&lt;&gt;"",$J1296&lt;$I1296),"★计费期间起止反了","OK")))))))</f>
        <v/>
      </c>
      <c r="U1296" s="29" t="str">
        <f aca="false">IF($L1296="","",YEAR($L1296))</f>
        <v/>
      </c>
      <c r="V1296" s="40" t="str">
        <f aca="false">IF($C1296="","",ROUND(SUMIF(收款关联,$B1296,收款金额),2))</f>
        <v/>
      </c>
      <c r="W1296" s="40" t="str">
        <f aca="false">IF($C1296="","",MAX(0,ROUND(N($K1296)-N($V1296),2)))</f>
        <v/>
      </c>
      <c r="X1296" s="40" t="str">
        <f aca="false">IF($C1296="","",ROUND(SUMIFS(应收净额,应收键,$D1296,应收行号,"&lt;="&amp;ROW()),2))</f>
        <v/>
      </c>
      <c r="Y1296" s="29" t="str">
        <f aca="false">IF($C1296="","",ROW())</f>
        <v/>
      </c>
    </row>
    <row r="1297" customFormat="false" ht="15" hidden="false" customHeight="false" outlineLevel="0" collapsed="false">
      <c r="A1297" s="29" t="str">
        <f aca="false">IF($C1297="","",ROW()-4)</f>
        <v/>
      </c>
      <c r="B1297" s="35" t="str">
        <f aca="false">IF($C1297="","","YS"&amp;TEXT($C1297,"yyyymm")&amp;"-"&amp;TEXT(ROW()-4,"0000"))</f>
        <v/>
      </c>
      <c r="C1297" s="33"/>
      <c r="D1297" s="24"/>
      <c r="E1297" s="30" t="str">
        <f aca="false">IF($D1297="","",IFERROR(INDEX(合同单位,MATCH($D1297,合同键,0)),IFERROR(TRIM(LEFT($D1297,FIND("｜",$D1297)-1)),$D1297)))</f>
        <v/>
      </c>
      <c r="F1297" s="30" t="str">
        <f aca="false">IF($D1297="","",IFERROR(INDEX(合同项目,MATCH($D1297,合同键,0)),IFERROR(TRIM(MID($D1297,FIND("｜",$D1297)+1,99)),"")))</f>
        <v/>
      </c>
      <c r="G1297" s="24"/>
      <c r="H1297" s="35" t="str">
        <f aca="false">IF($G1297="","",IFERROR(INDEX(费用款别,MATCH($G1297,费用类别表,0)),"合同外款"))</f>
        <v/>
      </c>
      <c r="I1297" s="33"/>
      <c r="J1297" s="33"/>
      <c r="K1297" s="39"/>
      <c r="L1297" s="33"/>
      <c r="M1297" s="25"/>
      <c r="N1297" s="39"/>
      <c r="O1297" s="35" t="str">
        <f aca="false">IF($C1297="","",IF(N($N1297)&lt;=0,"未开票",IF(ROUND(N($N1297)-N($K1297),2)&gt;=0,"已开票",IFERROR("部分开票 "&amp;TEXT(N($N1297)/N($K1297),"0%"),"部分开票"))))</f>
        <v/>
      </c>
      <c r="P1297" s="40" t="str">
        <f aca="false">IF($C1297="","",ROUND($V1297+MIN($W1297,MAX(0,(SUMIF(收款键,$D1297,收款金额)-SUMIFS(收款金额,收款键,$D1297,收款关联,"&lt;&gt;"))-($X1297-$W1297))),2))</f>
        <v/>
      </c>
      <c r="Q1297" s="41" t="str">
        <f aca="false">IF($C1297="","",ROUND(N($K1297)-N($P1297),2))</f>
        <v/>
      </c>
      <c r="R1297" s="29" t="str">
        <f aca="false">IF($C1297="","",YEAR($C1297))</f>
        <v/>
      </c>
      <c r="S1297" s="24"/>
      <c r="T1297" s="35" t="str">
        <f aca="false">IF($C1297="","",IF($D1297="","★没选客户项目",IF(COUNTIF(合同键,$D1297)=0,"★《维保合同》里没这个项目",IF(N($K1297)&lt;=0,"★应收金额要填",IF(ROUND(N($N1297)-N($K1297),2)&gt;0.001,"★开票金额大于应收",IF(AND($L1297&lt;&gt;"",N($N1297)&lt;=0),"★填了开票日期没填开票金额",IF(AND($I1297&lt;&gt;"",$J1297&lt;&gt;"",$J1297&lt;$I1297),"★计费期间起止反了","OK")))))))</f>
        <v/>
      </c>
      <c r="U1297" s="29" t="str">
        <f aca="false">IF($L1297="","",YEAR($L1297))</f>
        <v/>
      </c>
      <c r="V1297" s="40" t="str">
        <f aca="false">IF($C1297="","",ROUND(SUMIF(收款关联,$B1297,收款金额),2))</f>
        <v/>
      </c>
      <c r="W1297" s="40" t="str">
        <f aca="false">IF($C1297="","",MAX(0,ROUND(N($K1297)-N($V1297),2)))</f>
        <v/>
      </c>
      <c r="X1297" s="40" t="str">
        <f aca="false">IF($C1297="","",ROUND(SUMIFS(应收净额,应收键,$D1297,应收行号,"&lt;="&amp;ROW()),2))</f>
        <v/>
      </c>
      <c r="Y1297" s="29" t="str">
        <f aca="false">IF($C1297="","",ROW())</f>
        <v/>
      </c>
    </row>
    <row r="1298" customFormat="false" ht="15" hidden="false" customHeight="false" outlineLevel="0" collapsed="false">
      <c r="A1298" s="29" t="str">
        <f aca="false">IF($C1298="","",ROW()-4)</f>
        <v/>
      </c>
      <c r="B1298" s="35" t="str">
        <f aca="false">IF($C1298="","","YS"&amp;TEXT($C1298,"yyyymm")&amp;"-"&amp;TEXT(ROW()-4,"0000"))</f>
        <v/>
      </c>
      <c r="C1298" s="33"/>
      <c r="D1298" s="24"/>
      <c r="E1298" s="30" t="str">
        <f aca="false">IF($D1298="","",IFERROR(INDEX(合同单位,MATCH($D1298,合同键,0)),IFERROR(TRIM(LEFT($D1298,FIND("｜",$D1298)-1)),$D1298)))</f>
        <v/>
      </c>
      <c r="F1298" s="30" t="str">
        <f aca="false">IF($D1298="","",IFERROR(INDEX(合同项目,MATCH($D1298,合同键,0)),IFERROR(TRIM(MID($D1298,FIND("｜",$D1298)+1,99)),"")))</f>
        <v/>
      </c>
      <c r="G1298" s="24"/>
      <c r="H1298" s="35" t="str">
        <f aca="false">IF($G1298="","",IFERROR(INDEX(费用款别,MATCH($G1298,费用类别表,0)),"合同外款"))</f>
        <v/>
      </c>
      <c r="I1298" s="33"/>
      <c r="J1298" s="33"/>
      <c r="K1298" s="39"/>
      <c r="L1298" s="33"/>
      <c r="M1298" s="25"/>
      <c r="N1298" s="39"/>
      <c r="O1298" s="35" t="str">
        <f aca="false">IF($C1298="","",IF(N($N1298)&lt;=0,"未开票",IF(ROUND(N($N1298)-N($K1298),2)&gt;=0,"已开票",IFERROR("部分开票 "&amp;TEXT(N($N1298)/N($K1298),"0%"),"部分开票"))))</f>
        <v/>
      </c>
      <c r="P1298" s="40" t="str">
        <f aca="false">IF($C1298="","",ROUND($V1298+MIN($W1298,MAX(0,(SUMIF(收款键,$D1298,收款金额)-SUMIFS(收款金额,收款键,$D1298,收款关联,"&lt;&gt;"))-($X1298-$W1298))),2))</f>
        <v/>
      </c>
      <c r="Q1298" s="41" t="str">
        <f aca="false">IF($C1298="","",ROUND(N($K1298)-N($P1298),2))</f>
        <v/>
      </c>
      <c r="R1298" s="29" t="str">
        <f aca="false">IF($C1298="","",YEAR($C1298))</f>
        <v/>
      </c>
      <c r="S1298" s="24"/>
      <c r="T1298" s="35" t="str">
        <f aca="false">IF($C1298="","",IF($D1298="","★没选客户项目",IF(COUNTIF(合同键,$D1298)=0,"★《维保合同》里没这个项目",IF(N($K1298)&lt;=0,"★应收金额要填",IF(ROUND(N($N1298)-N($K1298),2)&gt;0.001,"★开票金额大于应收",IF(AND($L1298&lt;&gt;"",N($N1298)&lt;=0),"★填了开票日期没填开票金额",IF(AND($I1298&lt;&gt;"",$J1298&lt;&gt;"",$J1298&lt;$I1298),"★计费期间起止反了","OK")))))))</f>
        <v/>
      </c>
      <c r="U1298" s="29" t="str">
        <f aca="false">IF($L1298="","",YEAR($L1298))</f>
        <v/>
      </c>
      <c r="V1298" s="40" t="str">
        <f aca="false">IF($C1298="","",ROUND(SUMIF(收款关联,$B1298,收款金额),2))</f>
        <v/>
      </c>
      <c r="W1298" s="40" t="str">
        <f aca="false">IF($C1298="","",MAX(0,ROUND(N($K1298)-N($V1298),2)))</f>
        <v/>
      </c>
      <c r="X1298" s="40" t="str">
        <f aca="false">IF($C1298="","",ROUND(SUMIFS(应收净额,应收键,$D1298,应收行号,"&lt;="&amp;ROW()),2))</f>
        <v/>
      </c>
      <c r="Y1298" s="29" t="str">
        <f aca="false">IF($C1298="","",ROW())</f>
        <v/>
      </c>
    </row>
    <row r="1299" customFormat="false" ht="15" hidden="false" customHeight="false" outlineLevel="0" collapsed="false">
      <c r="A1299" s="29" t="str">
        <f aca="false">IF($C1299="","",ROW()-4)</f>
        <v/>
      </c>
      <c r="B1299" s="35" t="str">
        <f aca="false">IF($C1299="","","YS"&amp;TEXT($C1299,"yyyymm")&amp;"-"&amp;TEXT(ROW()-4,"0000"))</f>
        <v/>
      </c>
      <c r="C1299" s="33"/>
      <c r="D1299" s="24"/>
      <c r="E1299" s="30" t="str">
        <f aca="false">IF($D1299="","",IFERROR(INDEX(合同单位,MATCH($D1299,合同键,0)),IFERROR(TRIM(LEFT($D1299,FIND("｜",$D1299)-1)),$D1299)))</f>
        <v/>
      </c>
      <c r="F1299" s="30" t="str">
        <f aca="false">IF($D1299="","",IFERROR(INDEX(合同项目,MATCH($D1299,合同键,0)),IFERROR(TRIM(MID($D1299,FIND("｜",$D1299)+1,99)),"")))</f>
        <v/>
      </c>
      <c r="G1299" s="24"/>
      <c r="H1299" s="35" t="str">
        <f aca="false">IF($G1299="","",IFERROR(INDEX(费用款别,MATCH($G1299,费用类别表,0)),"合同外款"))</f>
        <v/>
      </c>
      <c r="I1299" s="33"/>
      <c r="J1299" s="33"/>
      <c r="K1299" s="39"/>
      <c r="L1299" s="33"/>
      <c r="M1299" s="25"/>
      <c r="N1299" s="39"/>
      <c r="O1299" s="35" t="str">
        <f aca="false">IF($C1299="","",IF(N($N1299)&lt;=0,"未开票",IF(ROUND(N($N1299)-N($K1299),2)&gt;=0,"已开票",IFERROR("部分开票 "&amp;TEXT(N($N1299)/N($K1299),"0%"),"部分开票"))))</f>
        <v/>
      </c>
      <c r="P1299" s="40" t="str">
        <f aca="false">IF($C1299="","",ROUND($V1299+MIN($W1299,MAX(0,(SUMIF(收款键,$D1299,收款金额)-SUMIFS(收款金额,收款键,$D1299,收款关联,"&lt;&gt;"))-($X1299-$W1299))),2))</f>
        <v/>
      </c>
      <c r="Q1299" s="41" t="str">
        <f aca="false">IF($C1299="","",ROUND(N($K1299)-N($P1299),2))</f>
        <v/>
      </c>
      <c r="R1299" s="29" t="str">
        <f aca="false">IF($C1299="","",YEAR($C1299))</f>
        <v/>
      </c>
      <c r="S1299" s="24"/>
      <c r="T1299" s="35" t="str">
        <f aca="false">IF($C1299="","",IF($D1299="","★没选客户项目",IF(COUNTIF(合同键,$D1299)=0,"★《维保合同》里没这个项目",IF(N($K1299)&lt;=0,"★应收金额要填",IF(ROUND(N($N1299)-N($K1299),2)&gt;0.001,"★开票金额大于应收",IF(AND($L1299&lt;&gt;"",N($N1299)&lt;=0),"★填了开票日期没填开票金额",IF(AND($I1299&lt;&gt;"",$J1299&lt;&gt;"",$J1299&lt;$I1299),"★计费期间起止反了","OK")))))))</f>
        <v/>
      </c>
      <c r="U1299" s="29" t="str">
        <f aca="false">IF($L1299="","",YEAR($L1299))</f>
        <v/>
      </c>
      <c r="V1299" s="40" t="str">
        <f aca="false">IF($C1299="","",ROUND(SUMIF(收款关联,$B1299,收款金额),2))</f>
        <v/>
      </c>
      <c r="W1299" s="40" t="str">
        <f aca="false">IF($C1299="","",MAX(0,ROUND(N($K1299)-N($V1299),2)))</f>
        <v/>
      </c>
      <c r="X1299" s="40" t="str">
        <f aca="false">IF($C1299="","",ROUND(SUMIFS(应收净额,应收键,$D1299,应收行号,"&lt;="&amp;ROW()),2))</f>
        <v/>
      </c>
      <c r="Y1299" s="29" t="str">
        <f aca="false">IF($C1299="","",ROW())</f>
        <v/>
      </c>
    </row>
    <row r="1300" customFormat="false" ht="15" hidden="false" customHeight="false" outlineLevel="0" collapsed="false">
      <c r="A1300" s="29" t="str">
        <f aca="false">IF($C1300="","",ROW()-4)</f>
        <v/>
      </c>
      <c r="B1300" s="35" t="str">
        <f aca="false">IF($C1300="","","YS"&amp;TEXT($C1300,"yyyymm")&amp;"-"&amp;TEXT(ROW()-4,"0000"))</f>
        <v/>
      </c>
      <c r="C1300" s="33"/>
      <c r="D1300" s="24"/>
      <c r="E1300" s="30" t="str">
        <f aca="false">IF($D1300="","",IFERROR(INDEX(合同单位,MATCH($D1300,合同键,0)),IFERROR(TRIM(LEFT($D1300,FIND("｜",$D1300)-1)),$D1300)))</f>
        <v/>
      </c>
      <c r="F1300" s="30" t="str">
        <f aca="false">IF($D1300="","",IFERROR(INDEX(合同项目,MATCH($D1300,合同键,0)),IFERROR(TRIM(MID($D1300,FIND("｜",$D1300)+1,99)),"")))</f>
        <v/>
      </c>
      <c r="G1300" s="24"/>
      <c r="H1300" s="35" t="str">
        <f aca="false">IF($G1300="","",IFERROR(INDEX(费用款别,MATCH($G1300,费用类别表,0)),"合同外款"))</f>
        <v/>
      </c>
      <c r="I1300" s="33"/>
      <c r="J1300" s="33"/>
      <c r="K1300" s="39"/>
      <c r="L1300" s="33"/>
      <c r="M1300" s="25"/>
      <c r="N1300" s="39"/>
      <c r="O1300" s="35" t="str">
        <f aca="false">IF($C1300="","",IF(N($N1300)&lt;=0,"未开票",IF(ROUND(N($N1300)-N($K1300),2)&gt;=0,"已开票",IFERROR("部分开票 "&amp;TEXT(N($N1300)/N($K1300),"0%"),"部分开票"))))</f>
        <v/>
      </c>
      <c r="P1300" s="40" t="str">
        <f aca="false">IF($C1300="","",ROUND($V1300+MIN($W1300,MAX(0,(SUMIF(收款键,$D1300,收款金额)-SUMIFS(收款金额,收款键,$D1300,收款关联,"&lt;&gt;"))-($X1300-$W1300))),2))</f>
        <v/>
      </c>
      <c r="Q1300" s="41" t="str">
        <f aca="false">IF($C1300="","",ROUND(N($K1300)-N($P1300),2))</f>
        <v/>
      </c>
      <c r="R1300" s="29" t="str">
        <f aca="false">IF($C1300="","",YEAR($C1300))</f>
        <v/>
      </c>
      <c r="S1300" s="24"/>
      <c r="T1300" s="35" t="str">
        <f aca="false">IF($C1300="","",IF($D1300="","★没选客户项目",IF(COUNTIF(合同键,$D1300)=0,"★《维保合同》里没这个项目",IF(N($K1300)&lt;=0,"★应收金额要填",IF(ROUND(N($N1300)-N($K1300),2)&gt;0.001,"★开票金额大于应收",IF(AND($L1300&lt;&gt;"",N($N1300)&lt;=0),"★填了开票日期没填开票金额",IF(AND($I1300&lt;&gt;"",$J1300&lt;&gt;"",$J1300&lt;$I1300),"★计费期间起止反了","OK")))))))</f>
        <v/>
      </c>
      <c r="U1300" s="29" t="str">
        <f aca="false">IF($L1300="","",YEAR($L1300))</f>
        <v/>
      </c>
      <c r="V1300" s="40" t="str">
        <f aca="false">IF($C1300="","",ROUND(SUMIF(收款关联,$B1300,收款金额),2))</f>
        <v/>
      </c>
      <c r="W1300" s="40" t="str">
        <f aca="false">IF($C1300="","",MAX(0,ROUND(N($K1300)-N($V1300),2)))</f>
        <v/>
      </c>
      <c r="X1300" s="40" t="str">
        <f aca="false">IF($C1300="","",ROUND(SUMIFS(应收净额,应收键,$D1300,应收行号,"&lt;="&amp;ROW()),2))</f>
        <v/>
      </c>
      <c r="Y1300" s="29" t="str">
        <f aca="false">IF($C1300="","",ROW())</f>
        <v/>
      </c>
    </row>
    <row r="1301" customFormat="false" ht="15" hidden="false" customHeight="false" outlineLevel="0" collapsed="false">
      <c r="A1301" s="29" t="str">
        <f aca="false">IF($C1301="","",ROW()-4)</f>
        <v/>
      </c>
      <c r="B1301" s="35" t="str">
        <f aca="false">IF($C1301="","","YS"&amp;TEXT($C1301,"yyyymm")&amp;"-"&amp;TEXT(ROW()-4,"0000"))</f>
        <v/>
      </c>
      <c r="C1301" s="33"/>
      <c r="D1301" s="24"/>
      <c r="E1301" s="30" t="str">
        <f aca="false">IF($D1301="","",IFERROR(INDEX(合同单位,MATCH($D1301,合同键,0)),IFERROR(TRIM(LEFT($D1301,FIND("｜",$D1301)-1)),$D1301)))</f>
        <v/>
      </c>
      <c r="F1301" s="30" t="str">
        <f aca="false">IF($D1301="","",IFERROR(INDEX(合同项目,MATCH($D1301,合同键,0)),IFERROR(TRIM(MID($D1301,FIND("｜",$D1301)+1,99)),"")))</f>
        <v/>
      </c>
      <c r="G1301" s="24"/>
      <c r="H1301" s="35" t="str">
        <f aca="false">IF($G1301="","",IFERROR(INDEX(费用款别,MATCH($G1301,费用类别表,0)),"合同外款"))</f>
        <v/>
      </c>
      <c r="I1301" s="33"/>
      <c r="J1301" s="33"/>
      <c r="K1301" s="39"/>
      <c r="L1301" s="33"/>
      <c r="M1301" s="25"/>
      <c r="N1301" s="39"/>
      <c r="O1301" s="35" t="str">
        <f aca="false">IF($C1301="","",IF(N($N1301)&lt;=0,"未开票",IF(ROUND(N($N1301)-N($K1301),2)&gt;=0,"已开票",IFERROR("部分开票 "&amp;TEXT(N($N1301)/N($K1301),"0%"),"部分开票"))))</f>
        <v/>
      </c>
      <c r="P1301" s="40" t="str">
        <f aca="false">IF($C1301="","",ROUND($V1301+MIN($W1301,MAX(0,(SUMIF(收款键,$D1301,收款金额)-SUMIFS(收款金额,收款键,$D1301,收款关联,"&lt;&gt;"))-($X1301-$W1301))),2))</f>
        <v/>
      </c>
      <c r="Q1301" s="41" t="str">
        <f aca="false">IF($C1301="","",ROUND(N($K1301)-N($P1301),2))</f>
        <v/>
      </c>
      <c r="R1301" s="29" t="str">
        <f aca="false">IF($C1301="","",YEAR($C1301))</f>
        <v/>
      </c>
      <c r="S1301" s="24"/>
      <c r="T1301" s="35" t="str">
        <f aca="false">IF($C1301="","",IF($D1301="","★没选客户项目",IF(COUNTIF(合同键,$D1301)=0,"★《维保合同》里没这个项目",IF(N($K1301)&lt;=0,"★应收金额要填",IF(ROUND(N($N1301)-N($K1301),2)&gt;0.001,"★开票金额大于应收",IF(AND($L1301&lt;&gt;"",N($N1301)&lt;=0),"★填了开票日期没填开票金额",IF(AND($I1301&lt;&gt;"",$J1301&lt;&gt;"",$J1301&lt;$I1301),"★计费期间起止反了","OK")))))))</f>
        <v/>
      </c>
      <c r="U1301" s="29" t="str">
        <f aca="false">IF($L1301="","",YEAR($L1301))</f>
        <v/>
      </c>
      <c r="V1301" s="40" t="str">
        <f aca="false">IF($C1301="","",ROUND(SUMIF(收款关联,$B1301,收款金额),2))</f>
        <v/>
      </c>
      <c r="W1301" s="40" t="str">
        <f aca="false">IF($C1301="","",MAX(0,ROUND(N($K1301)-N($V1301),2)))</f>
        <v/>
      </c>
      <c r="X1301" s="40" t="str">
        <f aca="false">IF($C1301="","",ROUND(SUMIFS(应收净额,应收键,$D1301,应收行号,"&lt;="&amp;ROW()),2))</f>
        <v/>
      </c>
      <c r="Y1301" s="29" t="str">
        <f aca="false">IF($C1301="","",ROW())</f>
        <v/>
      </c>
    </row>
    <row r="1302" customFormat="false" ht="15" hidden="false" customHeight="false" outlineLevel="0" collapsed="false">
      <c r="A1302" s="29" t="str">
        <f aca="false">IF($C1302="","",ROW()-4)</f>
        <v/>
      </c>
      <c r="B1302" s="35" t="str">
        <f aca="false">IF($C1302="","","YS"&amp;TEXT($C1302,"yyyymm")&amp;"-"&amp;TEXT(ROW()-4,"0000"))</f>
        <v/>
      </c>
      <c r="C1302" s="33"/>
      <c r="D1302" s="24"/>
      <c r="E1302" s="30" t="str">
        <f aca="false">IF($D1302="","",IFERROR(INDEX(合同单位,MATCH($D1302,合同键,0)),IFERROR(TRIM(LEFT($D1302,FIND("｜",$D1302)-1)),$D1302)))</f>
        <v/>
      </c>
      <c r="F1302" s="30" t="str">
        <f aca="false">IF($D1302="","",IFERROR(INDEX(合同项目,MATCH($D1302,合同键,0)),IFERROR(TRIM(MID($D1302,FIND("｜",$D1302)+1,99)),"")))</f>
        <v/>
      </c>
      <c r="G1302" s="24"/>
      <c r="H1302" s="35" t="str">
        <f aca="false">IF($G1302="","",IFERROR(INDEX(费用款别,MATCH($G1302,费用类别表,0)),"合同外款"))</f>
        <v/>
      </c>
      <c r="I1302" s="33"/>
      <c r="J1302" s="33"/>
      <c r="K1302" s="39"/>
      <c r="L1302" s="33"/>
      <c r="M1302" s="25"/>
      <c r="N1302" s="39"/>
      <c r="O1302" s="35" t="str">
        <f aca="false">IF($C1302="","",IF(N($N1302)&lt;=0,"未开票",IF(ROUND(N($N1302)-N($K1302),2)&gt;=0,"已开票",IFERROR("部分开票 "&amp;TEXT(N($N1302)/N($K1302),"0%"),"部分开票"))))</f>
        <v/>
      </c>
      <c r="P1302" s="40" t="str">
        <f aca="false">IF($C1302="","",ROUND($V1302+MIN($W1302,MAX(0,(SUMIF(收款键,$D1302,收款金额)-SUMIFS(收款金额,收款键,$D1302,收款关联,"&lt;&gt;"))-($X1302-$W1302))),2))</f>
        <v/>
      </c>
      <c r="Q1302" s="41" t="str">
        <f aca="false">IF($C1302="","",ROUND(N($K1302)-N($P1302),2))</f>
        <v/>
      </c>
      <c r="R1302" s="29" t="str">
        <f aca="false">IF($C1302="","",YEAR($C1302))</f>
        <v/>
      </c>
      <c r="S1302" s="24"/>
      <c r="T1302" s="35" t="str">
        <f aca="false">IF($C1302="","",IF($D1302="","★没选客户项目",IF(COUNTIF(合同键,$D1302)=0,"★《维保合同》里没这个项目",IF(N($K1302)&lt;=0,"★应收金额要填",IF(ROUND(N($N1302)-N($K1302),2)&gt;0.001,"★开票金额大于应收",IF(AND($L1302&lt;&gt;"",N($N1302)&lt;=0),"★填了开票日期没填开票金额",IF(AND($I1302&lt;&gt;"",$J1302&lt;&gt;"",$J1302&lt;$I1302),"★计费期间起止反了","OK")))))))</f>
        <v/>
      </c>
      <c r="U1302" s="29" t="str">
        <f aca="false">IF($L1302="","",YEAR($L1302))</f>
        <v/>
      </c>
      <c r="V1302" s="40" t="str">
        <f aca="false">IF($C1302="","",ROUND(SUMIF(收款关联,$B1302,收款金额),2))</f>
        <v/>
      </c>
      <c r="W1302" s="40" t="str">
        <f aca="false">IF($C1302="","",MAX(0,ROUND(N($K1302)-N($V1302),2)))</f>
        <v/>
      </c>
      <c r="X1302" s="40" t="str">
        <f aca="false">IF($C1302="","",ROUND(SUMIFS(应收净额,应收键,$D1302,应收行号,"&lt;="&amp;ROW()),2))</f>
        <v/>
      </c>
      <c r="Y1302" s="29" t="str">
        <f aca="false">IF($C1302="","",ROW())</f>
        <v/>
      </c>
    </row>
    <row r="1303" customFormat="false" ht="15" hidden="false" customHeight="false" outlineLevel="0" collapsed="false">
      <c r="A1303" s="29" t="str">
        <f aca="false">IF($C1303="","",ROW()-4)</f>
        <v/>
      </c>
      <c r="B1303" s="35" t="str">
        <f aca="false">IF($C1303="","","YS"&amp;TEXT($C1303,"yyyymm")&amp;"-"&amp;TEXT(ROW()-4,"0000"))</f>
        <v/>
      </c>
      <c r="C1303" s="33"/>
      <c r="D1303" s="24"/>
      <c r="E1303" s="30" t="str">
        <f aca="false">IF($D1303="","",IFERROR(INDEX(合同单位,MATCH($D1303,合同键,0)),IFERROR(TRIM(LEFT($D1303,FIND("｜",$D1303)-1)),$D1303)))</f>
        <v/>
      </c>
      <c r="F1303" s="30" t="str">
        <f aca="false">IF($D1303="","",IFERROR(INDEX(合同项目,MATCH($D1303,合同键,0)),IFERROR(TRIM(MID($D1303,FIND("｜",$D1303)+1,99)),"")))</f>
        <v/>
      </c>
      <c r="G1303" s="24"/>
      <c r="H1303" s="35" t="str">
        <f aca="false">IF($G1303="","",IFERROR(INDEX(费用款别,MATCH($G1303,费用类别表,0)),"合同外款"))</f>
        <v/>
      </c>
      <c r="I1303" s="33"/>
      <c r="J1303" s="33"/>
      <c r="K1303" s="39"/>
      <c r="L1303" s="33"/>
      <c r="M1303" s="25"/>
      <c r="N1303" s="39"/>
      <c r="O1303" s="35" t="str">
        <f aca="false">IF($C1303="","",IF(N($N1303)&lt;=0,"未开票",IF(ROUND(N($N1303)-N($K1303),2)&gt;=0,"已开票",IFERROR("部分开票 "&amp;TEXT(N($N1303)/N($K1303),"0%"),"部分开票"))))</f>
        <v/>
      </c>
      <c r="P1303" s="40" t="str">
        <f aca="false">IF($C1303="","",ROUND($V1303+MIN($W1303,MAX(0,(SUMIF(收款键,$D1303,收款金额)-SUMIFS(收款金额,收款键,$D1303,收款关联,"&lt;&gt;"))-($X1303-$W1303))),2))</f>
        <v/>
      </c>
      <c r="Q1303" s="41" t="str">
        <f aca="false">IF($C1303="","",ROUND(N($K1303)-N($P1303),2))</f>
        <v/>
      </c>
      <c r="R1303" s="29" t="str">
        <f aca="false">IF($C1303="","",YEAR($C1303))</f>
        <v/>
      </c>
      <c r="S1303" s="24"/>
      <c r="T1303" s="35" t="str">
        <f aca="false">IF($C1303="","",IF($D1303="","★没选客户项目",IF(COUNTIF(合同键,$D1303)=0,"★《维保合同》里没这个项目",IF(N($K1303)&lt;=0,"★应收金额要填",IF(ROUND(N($N1303)-N($K1303),2)&gt;0.001,"★开票金额大于应收",IF(AND($L1303&lt;&gt;"",N($N1303)&lt;=0),"★填了开票日期没填开票金额",IF(AND($I1303&lt;&gt;"",$J1303&lt;&gt;"",$J1303&lt;$I1303),"★计费期间起止反了","OK")))))))</f>
        <v/>
      </c>
      <c r="U1303" s="29" t="str">
        <f aca="false">IF($L1303="","",YEAR($L1303))</f>
        <v/>
      </c>
      <c r="V1303" s="40" t="str">
        <f aca="false">IF($C1303="","",ROUND(SUMIF(收款关联,$B1303,收款金额),2))</f>
        <v/>
      </c>
      <c r="W1303" s="40" t="str">
        <f aca="false">IF($C1303="","",MAX(0,ROUND(N($K1303)-N($V1303),2)))</f>
        <v/>
      </c>
      <c r="X1303" s="40" t="str">
        <f aca="false">IF($C1303="","",ROUND(SUMIFS(应收净额,应收键,$D1303,应收行号,"&lt;="&amp;ROW()),2))</f>
        <v/>
      </c>
      <c r="Y1303" s="29" t="str">
        <f aca="false">IF($C1303="","",ROW())</f>
        <v/>
      </c>
    </row>
    <row r="1304" customFormat="false" ht="15" hidden="false" customHeight="false" outlineLevel="0" collapsed="false">
      <c r="A1304" s="29" t="str">
        <f aca="false">IF($C1304="","",ROW()-4)</f>
        <v/>
      </c>
      <c r="B1304" s="35" t="str">
        <f aca="false">IF($C1304="","","YS"&amp;TEXT($C1304,"yyyymm")&amp;"-"&amp;TEXT(ROW()-4,"0000"))</f>
        <v/>
      </c>
      <c r="C1304" s="33"/>
      <c r="D1304" s="24"/>
      <c r="E1304" s="30" t="str">
        <f aca="false">IF($D1304="","",IFERROR(INDEX(合同单位,MATCH($D1304,合同键,0)),IFERROR(TRIM(LEFT($D1304,FIND("｜",$D1304)-1)),$D1304)))</f>
        <v/>
      </c>
      <c r="F1304" s="30" t="str">
        <f aca="false">IF($D1304="","",IFERROR(INDEX(合同项目,MATCH($D1304,合同键,0)),IFERROR(TRIM(MID($D1304,FIND("｜",$D1304)+1,99)),"")))</f>
        <v/>
      </c>
      <c r="G1304" s="24"/>
      <c r="H1304" s="35" t="str">
        <f aca="false">IF($G1304="","",IFERROR(INDEX(费用款别,MATCH($G1304,费用类别表,0)),"合同外款"))</f>
        <v/>
      </c>
      <c r="I1304" s="33"/>
      <c r="J1304" s="33"/>
      <c r="K1304" s="39"/>
      <c r="L1304" s="33"/>
      <c r="M1304" s="25"/>
      <c r="N1304" s="39"/>
      <c r="O1304" s="35" t="str">
        <f aca="false">IF($C1304="","",IF(N($N1304)&lt;=0,"未开票",IF(ROUND(N($N1304)-N($K1304),2)&gt;=0,"已开票",IFERROR("部分开票 "&amp;TEXT(N($N1304)/N($K1304),"0%"),"部分开票"))))</f>
        <v/>
      </c>
      <c r="P1304" s="40" t="str">
        <f aca="false">IF($C1304="","",ROUND($V1304+MIN($W1304,MAX(0,(SUMIF(收款键,$D1304,收款金额)-SUMIFS(收款金额,收款键,$D1304,收款关联,"&lt;&gt;"))-($X1304-$W1304))),2))</f>
        <v/>
      </c>
      <c r="Q1304" s="41" t="str">
        <f aca="false">IF($C1304="","",ROUND(N($K1304)-N($P1304),2))</f>
        <v/>
      </c>
      <c r="R1304" s="29" t="str">
        <f aca="false">IF($C1304="","",YEAR($C1304))</f>
        <v/>
      </c>
      <c r="S1304" s="24"/>
      <c r="T1304" s="35" t="str">
        <f aca="false">IF($C1304="","",IF($D1304="","★没选客户项目",IF(COUNTIF(合同键,$D1304)=0,"★《维保合同》里没这个项目",IF(N($K1304)&lt;=0,"★应收金额要填",IF(ROUND(N($N1304)-N($K1304),2)&gt;0.001,"★开票金额大于应收",IF(AND($L1304&lt;&gt;"",N($N1304)&lt;=0),"★填了开票日期没填开票金额",IF(AND($I1304&lt;&gt;"",$J1304&lt;&gt;"",$J1304&lt;$I1304),"★计费期间起止反了","OK")))))))</f>
        <v/>
      </c>
      <c r="U1304" s="29" t="str">
        <f aca="false">IF($L1304="","",YEAR($L1304))</f>
        <v/>
      </c>
      <c r="V1304" s="40" t="str">
        <f aca="false">IF($C1304="","",ROUND(SUMIF(收款关联,$B1304,收款金额),2))</f>
        <v/>
      </c>
      <c r="W1304" s="40" t="str">
        <f aca="false">IF($C1304="","",MAX(0,ROUND(N($K1304)-N($V1304),2)))</f>
        <v/>
      </c>
      <c r="X1304" s="40" t="str">
        <f aca="false">IF($C1304="","",ROUND(SUMIFS(应收净额,应收键,$D1304,应收行号,"&lt;="&amp;ROW()),2))</f>
        <v/>
      </c>
      <c r="Y1304" s="29" t="str">
        <f aca="false">IF($C1304="","",ROW())</f>
        <v/>
      </c>
    </row>
    <row r="1305" customFormat="false" ht="15" hidden="false" customHeight="false" outlineLevel="0" collapsed="false">
      <c r="A1305" s="29" t="str">
        <f aca="false">IF($C1305="","",ROW()-4)</f>
        <v/>
      </c>
      <c r="B1305" s="35" t="str">
        <f aca="false">IF($C1305="","","YS"&amp;TEXT($C1305,"yyyymm")&amp;"-"&amp;TEXT(ROW()-4,"0000"))</f>
        <v/>
      </c>
      <c r="C1305" s="33"/>
      <c r="D1305" s="24"/>
      <c r="E1305" s="30" t="str">
        <f aca="false">IF($D1305="","",IFERROR(INDEX(合同单位,MATCH($D1305,合同键,0)),IFERROR(TRIM(LEFT($D1305,FIND("｜",$D1305)-1)),$D1305)))</f>
        <v/>
      </c>
      <c r="F1305" s="30" t="str">
        <f aca="false">IF($D1305="","",IFERROR(INDEX(合同项目,MATCH($D1305,合同键,0)),IFERROR(TRIM(MID($D1305,FIND("｜",$D1305)+1,99)),"")))</f>
        <v/>
      </c>
      <c r="G1305" s="24"/>
      <c r="H1305" s="35" t="str">
        <f aca="false">IF($G1305="","",IFERROR(INDEX(费用款别,MATCH($G1305,费用类别表,0)),"合同外款"))</f>
        <v/>
      </c>
      <c r="I1305" s="33"/>
      <c r="J1305" s="33"/>
      <c r="K1305" s="39"/>
      <c r="L1305" s="33"/>
      <c r="M1305" s="25"/>
      <c r="N1305" s="39"/>
      <c r="O1305" s="35" t="str">
        <f aca="false">IF($C1305="","",IF(N($N1305)&lt;=0,"未开票",IF(ROUND(N($N1305)-N($K1305),2)&gt;=0,"已开票",IFERROR("部分开票 "&amp;TEXT(N($N1305)/N($K1305),"0%"),"部分开票"))))</f>
        <v/>
      </c>
      <c r="P1305" s="40" t="str">
        <f aca="false">IF($C1305="","",ROUND($V1305+MIN($W1305,MAX(0,(SUMIF(收款键,$D1305,收款金额)-SUMIFS(收款金额,收款键,$D1305,收款关联,"&lt;&gt;"))-($X1305-$W1305))),2))</f>
        <v/>
      </c>
      <c r="Q1305" s="41" t="str">
        <f aca="false">IF($C1305="","",ROUND(N($K1305)-N($P1305),2))</f>
        <v/>
      </c>
      <c r="R1305" s="29" t="str">
        <f aca="false">IF($C1305="","",YEAR($C1305))</f>
        <v/>
      </c>
      <c r="S1305" s="24"/>
      <c r="T1305" s="35" t="str">
        <f aca="false">IF($C1305="","",IF($D1305="","★没选客户项目",IF(COUNTIF(合同键,$D1305)=0,"★《维保合同》里没这个项目",IF(N($K1305)&lt;=0,"★应收金额要填",IF(ROUND(N($N1305)-N($K1305),2)&gt;0.001,"★开票金额大于应收",IF(AND($L1305&lt;&gt;"",N($N1305)&lt;=0),"★填了开票日期没填开票金额",IF(AND($I1305&lt;&gt;"",$J1305&lt;&gt;"",$J1305&lt;$I1305),"★计费期间起止反了","OK")))))))</f>
        <v/>
      </c>
      <c r="U1305" s="29" t="str">
        <f aca="false">IF($L1305="","",YEAR($L1305))</f>
        <v/>
      </c>
      <c r="V1305" s="40" t="str">
        <f aca="false">IF($C1305="","",ROUND(SUMIF(收款关联,$B1305,收款金额),2))</f>
        <v/>
      </c>
      <c r="W1305" s="40" t="str">
        <f aca="false">IF($C1305="","",MAX(0,ROUND(N($K1305)-N($V1305),2)))</f>
        <v/>
      </c>
      <c r="X1305" s="40" t="str">
        <f aca="false">IF($C1305="","",ROUND(SUMIFS(应收净额,应收键,$D1305,应收行号,"&lt;="&amp;ROW()),2))</f>
        <v/>
      </c>
      <c r="Y1305" s="29" t="str">
        <f aca="false">IF($C1305="","",ROW())</f>
        <v/>
      </c>
    </row>
    <row r="1306" customFormat="false" ht="15" hidden="false" customHeight="false" outlineLevel="0" collapsed="false">
      <c r="A1306" s="29" t="str">
        <f aca="false">IF($C1306="","",ROW()-4)</f>
        <v/>
      </c>
      <c r="B1306" s="35" t="str">
        <f aca="false">IF($C1306="","","YS"&amp;TEXT($C1306,"yyyymm")&amp;"-"&amp;TEXT(ROW()-4,"0000"))</f>
        <v/>
      </c>
      <c r="C1306" s="33"/>
      <c r="D1306" s="24"/>
      <c r="E1306" s="30" t="str">
        <f aca="false">IF($D1306="","",IFERROR(INDEX(合同单位,MATCH($D1306,合同键,0)),IFERROR(TRIM(LEFT($D1306,FIND("｜",$D1306)-1)),$D1306)))</f>
        <v/>
      </c>
      <c r="F1306" s="30" t="str">
        <f aca="false">IF($D1306="","",IFERROR(INDEX(合同项目,MATCH($D1306,合同键,0)),IFERROR(TRIM(MID($D1306,FIND("｜",$D1306)+1,99)),"")))</f>
        <v/>
      </c>
      <c r="G1306" s="24"/>
      <c r="H1306" s="35" t="str">
        <f aca="false">IF($G1306="","",IFERROR(INDEX(费用款别,MATCH($G1306,费用类别表,0)),"合同外款"))</f>
        <v/>
      </c>
      <c r="I1306" s="33"/>
      <c r="J1306" s="33"/>
      <c r="K1306" s="39"/>
      <c r="L1306" s="33"/>
      <c r="M1306" s="25"/>
      <c r="N1306" s="39"/>
      <c r="O1306" s="35" t="str">
        <f aca="false">IF($C1306="","",IF(N($N1306)&lt;=0,"未开票",IF(ROUND(N($N1306)-N($K1306),2)&gt;=0,"已开票",IFERROR("部分开票 "&amp;TEXT(N($N1306)/N($K1306),"0%"),"部分开票"))))</f>
        <v/>
      </c>
      <c r="P1306" s="40" t="str">
        <f aca="false">IF($C1306="","",ROUND($V1306+MIN($W1306,MAX(0,(SUMIF(收款键,$D1306,收款金额)-SUMIFS(收款金额,收款键,$D1306,收款关联,"&lt;&gt;"))-($X1306-$W1306))),2))</f>
        <v/>
      </c>
      <c r="Q1306" s="41" t="str">
        <f aca="false">IF($C1306="","",ROUND(N($K1306)-N($P1306),2))</f>
        <v/>
      </c>
      <c r="R1306" s="29" t="str">
        <f aca="false">IF($C1306="","",YEAR($C1306))</f>
        <v/>
      </c>
      <c r="S1306" s="24"/>
      <c r="T1306" s="35" t="str">
        <f aca="false">IF($C1306="","",IF($D1306="","★没选客户项目",IF(COUNTIF(合同键,$D1306)=0,"★《维保合同》里没这个项目",IF(N($K1306)&lt;=0,"★应收金额要填",IF(ROUND(N($N1306)-N($K1306),2)&gt;0.001,"★开票金额大于应收",IF(AND($L1306&lt;&gt;"",N($N1306)&lt;=0),"★填了开票日期没填开票金额",IF(AND($I1306&lt;&gt;"",$J1306&lt;&gt;"",$J1306&lt;$I1306),"★计费期间起止反了","OK")))))))</f>
        <v/>
      </c>
      <c r="U1306" s="29" t="str">
        <f aca="false">IF($L1306="","",YEAR($L1306))</f>
        <v/>
      </c>
      <c r="V1306" s="40" t="str">
        <f aca="false">IF($C1306="","",ROUND(SUMIF(收款关联,$B1306,收款金额),2))</f>
        <v/>
      </c>
      <c r="W1306" s="40" t="str">
        <f aca="false">IF($C1306="","",MAX(0,ROUND(N($K1306)-N($V1306),2)))</f>
        <v/>
      </c>
      <c r="X1306" s="40" t="str">
        <f aca="false">IF($C1306="","",ROUND(SUMIFS(应收净额,应收键,$D1306,应收行号,"&lt;="&amp;ROW()),2))</f>
        <v/>
      </c>
      <c r="Y1306" s="29" t="str">
        <f aca="false">IF($C1306="","",ROW())</f>
        <v/>
      </c>
    </row>
    <row r="1307" customFormat="false" ht="15" hidden="false" customHeight="false" outlineLevel="0" collapsed="false">
      <c r="A1307" s="29" t="str">
        <f aca="false">IF($C1307="","",ROW()-4)</f>
        <v/>
      </c>
      <c r="B1307" s="35" t="str">
        <f aca="false">IF($C1307="","","YS"&amp;TEXT($C1307,"yyyymm")&amp;"-"&amp;TEXT(ROW()-4,"0000"))</f>
        <v/>
      </c>
      <c r="C1307" s="33"/>
      <c r="D1307" s="24"/>
      <c r="E1307" s="30" t="str">
        <f aca="false">IF($D1307="","",IFERROR(INDEX(合同单位,MATCH($D1307,合同键,0)),IFERROR(TRIM(LEFT($D1307,FIND("｜",$D1307)-1)),$D1307)))</f>
        <v/>
      </c>
      <c r="F1307" s="30" t="str">
        <f aca="false">IF($D1307="","",IFERROR(INDEX(合同项目,MATCH($D1307,合同键,0)),IFERROR(TRIM(MID($D1307,FIND("｜",$D1307)+1,99)),"")))</f>
        <v/>
      </c>
      <c r="G1307" s="24"/>
      <c r="H1307" s="35" t="str">
        <f aca="false">IF($G1307="","",IFERROR(INDEX(费用款别,MATCH($G1307,费用类别表,0)),"合同外款"))</f>
        <v/>
      </c>
      <c r="I1307" s="33"/>
      <c r="J1307" s="33"/>
      <c r="K1307" s="39"/>
      <c r="L1307" s="33"/>
      <c r="M1307" s="25"/>
      <c r="N1307" s="39"/>
      <c r="O1307" s="35" t="str">
        <f aca="false">IF($C1307="","",IF(N($N1307)&lt;=0,"未开票",IF(ROUND(N($N1307)-N($K1307),2)&gt;=0,"已开票",IFERROR("部分开票 "&amp;TEXT(N($N1307)/N($K1307),"0%"),"部分开票"))))</f>
        <v/>
      </c>
      <c r="P1307" s="40" t="str">
        <f aca="false">IF($C1307="","",ROUND($V1307+MIN($W1307,MAX(0,(SUMIF(收款键,$D1307,收款金额)-SUMIFS(收款金额,收款键,$D1307,收款关联,"&lt;&gt;"))-($X1307-$W1307))),2))</f>
        <v/>
      </c>
      <c r="Q1307" s="41" t="str">
        <f aca="false">IF($C1307="","",ROUND(N($K1307)-N($P1307),2))</f>
        <v/>
      </c>
      <c r="R1307" s="29" t="str">
        <f aca="false">IF($C1307="","",YEAR($C1307))</f>
        <v/>
      </c>
      <c r="S1307" s="24"/>
      <c r="T1307" s="35" t="str">
        <f aca="false">IF($C1307="","",IF($D1307="","★没选客户项目",IF(COUNTIF(合同键,$D1307)=0,"★《维保合同》里没这个项目",IF(N($K1307)&lt;=0,"★应收金额要填",IF(ROUND(N($N1307)-N($K1307),2)&gt;0.001,"★开票金额大于应收",IF(AND($L1307&lt;&gt;"",N($N1307)&lt;=0),"★填了开票日期没填开票金额",IF(AND($I1307&lt;&gt;"",$J1307&lt;&gt;"",$J1307&lt;$I1307),"★计费期间起止反了","OK")))))))</f>
        <v/>
      </c>
      <c r="U1307" s="29" t="str">
        <f aca="false">IF($L1307="","",YEAR($L1307))</f>
        <v/>
      </c>
      <c r="V1307" s="40" t="str">
        <f aca="false">IF($C1307="","",ROUND(SUMIF(收款关联,$B1307,收款金额),2))</f>
        <v/>
      </c>
      <c r="W1307" s="40" t="str">
        <f aca="false">IF($C1307="","",MAX(0,ROUND(N($K1307)-N($V1307),2)))</f>
        <v/>
      </c>
      <c r="X1307" s="40" t="str">
        <f aca="false">IF($C1307="","",ROUND(SUMIFS(应收净额,应收键,$D1307,应收行号,"&lt;="&amp;ROW()),2))</f>
        <v/>
      </c>
      <c r="Y1307" s="29" t="str">
        <f aca="false">IF($C1307="","",ROW())</f>
        <v/>
      </c>
    </row>
    <row r="1308" customFormat="false" ht="15" hidden="false" customHeight="false" outlineLevel="0" collapsed="false">
      <c r="A1308" s="29" t="str">
        <f aca="false">IF($C1308="","",ROW()-4)</f>
        <v/>
      </c>
      <c r="B1308" s="35" t="str">
        <f aca="false">IF($C1308="","","YS"&amp;TEXT($C1308,"yyyymm")&amp;"-"&amp;TEXT(ROW()-4,"0000"))</f>
        <v/>
      </c>
      <c r="C1308" s="33"/>
      <c r="D1308" s="24"/>
      <c r="E1308" s="30" t="str">
        <f aca="false">IF($D1308="","",IFERROR(INDEX(合同单位,MATCH($D1308,合同键,0)),IFERROR(TRIM(LEFT($D1308,FIND("｜",$D1308)-1)),$D1308)))</f>
        <v/>
      </c>
      <c r="F1308" s="30" t="str">
        <f aca="false">IF($D1308="","",IFERROR(INDEX(合同项目,MATCH($D1308,合同键,0)),IFERROR(TRIM(MID($D1308,FIND("｜",$D1308)+1,99)),"")))</f>
        <v/>
      </c>
      <c r="G1308" s="24"/>
      <c r="H1308" s="35" t="str">
        <f aca="false">IF($G1308="","",IFERROR(INDEX(费用款别,MATCH($G1308,费用类别表,0)),"合同外款"))</f>
        <v/>
      </c>
      <c r="I1308" s="33"/>
      <c r="J1308" s="33"/>
      <c r="K1308" s="39"/>
      <c r="L1308" s="33"/>
      <c r="M1308" s="25"/>
      <c r="N1308" s="39"/>
      <c r="O1308" s="35" t="str">
        <f aca="false">IF($C1308="","",IF(N($N1308)&lt;=0,"未开票",IF(ROUND(N($N1308)-N($K1308),2)&gt;=0,"已开票",IFERROR("部分开票 "&amp;TEXT(N($N1308)/N($K1308),"0%"),"部分开票"))))</f>
        <v/>
      </c>
      <c r="P1308" s="40" t="str">
        <f aca="false">IF($C1308="","",ROUND($V1308+MIN($W1308,MAX(0,(SUMIF(收款键,$D1308,收款金额)-SUMIFS(收款金额,收款键,$D1308,收款关联,"&lt;&gt;"))-($X1308-$W1308))),2))</f>
        <v/>
      </c>
      <c r="Q1308" s="41" t="str">
        <f aca="false">IF($C1308="","",ROUND(N($K1308)-N($P1308),2))</f>
        <v/>
      </c>
      <c r="R1308" s="29" t="str">
        <f aca="false">IF($C1308="","",YEAR($C1308))</f>
        <v/>
      </c>
      <c r="S1308" s="24"/>
      <c r="T1308" s="35" t="str">
        <f aca="false">IF($C1308="","",IF($D1308="","★没选客户项目",IF(COUNTIF(合同键,$D1308)=0,"★《维保合同》里没这个项目",IF(N($K1308)&lt;=0,"★应收金额要填",IF(ROUND(N($N1308)-N($K1308),2)&gt;0.001,"★开票金额大于应收",IF(AND($L1308&lt;&gt;"",N($N1308)&lt;=0),"★填了开票日期没填开票金额",IF(AND($I1308&lt;&gt;"",$J1308&lt;&gt;"",$J1308&lt;$I1308),"★计费期间起止反了","OK")))))))</f>
        <v/>
      </c>
      <c r="U1308" s="29" t="str">
        <f aca="false">IF($L1308="","",YEAR($L1308))</f>
        <v/>
      </c>
      <c r="V1308" s="40" t="str">
        <f aca="false">IF($C1308="","",ROUND(SUMIF(收款关联,$B1308,收款金额),2))</f>
        <v/>
      </c>
      <c r="W1308" s="40" t="str">
        <f aca="false">IF($C1308="","",MAX(0,ROUND(N($K1308)-N($V1308),2)))</f>
        <v/>
      </c>
      <c r="X1308" s="40" t="str">
        <f aca="false">IF($C1308="","",ROUND(SUMIFS(应收净额,应收键,$D1308,应收行号,"&lt;="&amp;ROW()),2))</f>
        <v/>
      </c>
      <c r="Y1308" s="29" t="str">
        <f aca="false">IF($C1308="","",ROW())</f>
        <v/>
      </c>
    </row>
    <row r="1309" customFormat="false" ht="15" hidden="false" customHeight="false" outlineLevel="0" collapsed="false">
      <c r="A1309" s="29" t="str">
        <f aca="false">IF($C1309="","",ROW()-4)</f>
        <v/>
      </c>
      <c r="B1309" s="35" t="str">
        <f aca="false">IF($C1309="","","YS"&amp;TEXT($C1309,"yyyymm")&amp;"-"&amp;TEXT(ROW()-4,"0000"))</f>
        <v/>
      </c>
      <c r="C1309" s="33"/>
      <c r="D1309" s="24"/>
      <c r="E1309" s="30" t="str">
        <f aca="false">IF($D1309="","",IFERROR(INDEX(合同单位,MATCH($D1309,合同键,0)),IFERROR(TRIM(LEFT($D1309,FIND("｜",$D1309)-1)),$D1309)))</f>
        <v/>
      </c>
      <c r="F1309" s="30" t="str">
        <f aca="false">IF($D1309="","",IFERROR(INDEX(合同项目,MATCH($D1309,合同键,0)),IFERROR(TRIM(MID($D1309,FIND("｜",$D1309)+1,99)),"")))</f>
        <v/>
      </c>
      <c r="G1309" s="24"/>
      <c r="H1309" s="35" t="str">
        <f aca="false">IF($G1309="","",IFERROR(INDEX(费用款别,MATCH($G1309,费用类别表,0)),"合同外款"))</f>
        <v/>
      </c>
      <c r="I1309" s="33"/>
      <c r="J1309" s="33"/>
      <c r="K1309" s="39"/>
      <c r="L1309" s="33"/>
      <c r="M1309" s="25"/>
      <c r="N1309" s="39"/>
      <c r="O1309" s="35" t="str">
        <f aca="false">IF($C1309="","",IF(N($N1309)&lt;=0,"未开票",IF(ROUND(N($N1309)-N($K1309),2)&gt;=0,"已开票",IFERROR("部分开票 "&amp;TEXT(N($N1309)/N($K1309),"0%"),"部分开票"))))</f>
        <v/>
      </c>
      <c r="P1309" s="40" t="str">
        <f aca="false">IF($C1309="","",ROUND($V1309+MIN($W1309,MAX(0,(SUMIF(收款键,$D1309,收款金额)-SUMIFS(收款金额,收款键,$D1309,收款关联,"&lt;&gt;"))-($X1309-$W1309))),2))</f>
        <v/>
      </c>
      <c r="Q1309" s="41" t="str">
        <f aca="false">IF($C1309="","",ROUND(N($K1309)-N($P1309),2))</f>
        <v/>
      </c>
      <c r="R1309" s="29" t="str">
        <f aca="false">IF($C1309="","",YEAR($C1309))</f>
        <v/>
      </c>
      <c r="S1309" s="24"/>
      <c r="T1309" s="35" t="str">
        <f aca="false">IF($C1309="","",IF($D1309="","★没选客户项目",IF(COUNTIF(合同键,$D1309)=0,"★《维保合同》里没这个项目",IF(N($K1309)&lt;=0,"★应收金额要填",IF(ROUND(N($N1309)-N($K1309),2)&gt;0.001,"★开票金额大于应收",IF(AND($L1309&lt;&gt;"",N($N1309)&lt;=0),"★填了开票日期没填开票金额",IF(AND($I1309&lt;&gt;"",$J1309&lt;&gt;"",$J1309&lt;$I1309),"★计费期间起止反了","OK")))))))</f>
        <v/>
      </c>
      <c r="U1309" s="29" t="str">
        <f aca="false">IF($L1309="","",YEAR($L1309))</f>
        <v/>
      </c>
      <c r="V1309" s="40" t="str">
        <f aca="false">IF($C1309="","",ROUND(SUMIF(收款关联,$B1309,收款金额),2))</f>
        <v/>
      </c>
      <c r="W1309" s="40" t="str">
        <f aca="false">IF($C1309="","",MAX(0,ROUND(N($K1309)-N($V1309),2)))</f>
        <v/>
      </c>
      <c r="X1309" s="40" t="str">
        <f aca="false">IF($C1309="","",ROUND(SUMIFS(应收净额,应收键,$D1309,应收行号,"&lt;="&amp;ROW()),2))</f>
        <v/>
      </c>
      <c r="Y1309" s="29" t="str">
        <f aca="false">IF($C1309="","",ROW())</f>
        <v/>
      </c>
    </row>
    <row r="1310" customFormat="false" ht="15" hidden="false" customHeight="false" outlineLevel="0" collapsed="false">
      <c r="A1310" s="29" t="str">
        <f aca="false">IF($C1310="","",ROW()-4)</f>
        <v/>
      </c>
      <c r="B1310" s="35" t="str">
        <f aca="false">IF($C1310="","","YS"&amp;TEXT($C1310,"yyyymm")&amp;"-"&amp;TEXT(ROW()-4,"0000"))</f>
        <v/>
      </c>
      <c r="C1310" s="33"/>
      <c r="D1310" s="24"/>
      <c r="E1310" s="30" t="str">
        <f aca="false">IF($D1310="","",IFERROR(INDEX(合同单位,MATCH($D1310,合同键,0)),IFERROR(TRIM(LEFT($D1310,FIND("｜",$D1310)-1)),$D1310)))</f>
        <v/>
      </c>
      <c r="F1310" s="30" t="str">
        <f aca="false">IF($D1310="","",IFERROR(INDEX(合同项目,MATCH($D1310,合同键,0)),IFERROR(TRIM(MID($D1310,FIND("｜",$D1310)+1,99)),"")))</f>
        <v/>
      </c>
      <c r="G1310" s="24"/>
      <c r="H1310" s="35" t="str">
        <f aca="false">IF($G1310="","",IFERROR(INDEX(费用款别,MATCH($G1310,费用类别表,0)),"合同外款"))</f>
        <v/>
      </c>
      <c r="I1310" s="33"/>
      <c r="J1310" s="33"/>
      <c r="K1310" s="39"/>
      <c r="L1310" s="33"/>
      <c r="M1310" s="25"/>
      <c r="N1310" s="39"/>
      <c r="O1310" s="35" t="str">
        <f aca="false">IF($C1310="","",IF(N($N1310)&lt;=0,"未开票",IF(ROUND(N($N1310)-N($K1310),2)&gt;=0,"已开票",IFERROR("部分开票 "&amp;TEXT(N($N1310)/N($K1310),"0%"),"部分开票"))))</f>
        <v/>
      </c>
      <c r="P1310" s="40" t="str">
        <f aca="false">IF($C1310="","",ROUND($V1310+MIN($W1310,MAX(0,(SUMIF(收款键,$D1310,收款金额)-SUMIFS(收款金额,收款键,$D1310,收款关联,"&lt;&gt;"))-($X1310-$W1310))),2))</f>
        <v/>
      </c>
      <c r="Q1310" s="41" t="str">
        <f aca="false">IF($C1310="","",ROUND(N($K1310)-N($P1310),2))</f>
        <v/>
      </c>
      <c r="R1310" s="29" t="str">
        <f aca="false">IF($C1310="","",YEAR($C1310))</f>
        <v/>
      </c>
      <c r="S1310" s="24"/>
      <c r="T1310" s="35" t="str">
        <f aca="false">IF($C1310="","",IF($D1310="","★没选客户项目",IF(COUNTIF(合同键,$D1310)=0,"★《维保合同》里没这个项目",IF(N($K1310)&lt;=0,"★应收金额要填",IF(ROUND(N($N1310)-N($K1310),2)&gt;0.001,"★开票金额大于应收",IF(AND($L1310&lt;&gt;"",N($N1310)&lt;=0),"★填了开票日期没填开票金额",IF(AND($I1310&lt;&gt;"",$J1310&lt;&gt;"",$J1310&lt;$I1310),"★计费期间起止反了","OK")))))))</f>
        <v/>
      </c>
      <c r="U1310" s="29" t="str">
        <f aca="false">IF($L1310="","",YEAR($L1310))</f>
        <v/>
      </c>
      <c r="V1310" s="40" t="str">
        <f aca="false">IF($C1310="","",ROUND(SUMIF(收款关联,$B1310,收款金额),2))</f>
        <v/>
      </c>
      <c r="W1310" s="40" t="str">
        <f aca="false">IF($C1310="","",MAX(0,ROUND(N($K1310)-N($V1310),2)))</f>
        <v/>
      </c>
      <c r="X1310" s="40" t="str">
        <f aca="false">IF($C1310="","",ROUND(SUMIFS(应收净额,应收键,$D1310,应收行号,"&lt;="&amp;ROW()),2))</f>
        <v/>
      </c>
      <c r="Y1310" s="29" t="str">
        <f aca="false">IF($C1310="","",ROW())</f>
        <v/>
      </c>
    </row>
    <row r="1311" customFormat="false" ht="15" hidden="false" customHeight="false" outlineLevel="0" collapsed="false">
      <c r="A1311" s="29" t="str">
        <f aca="false">IF($C1311="","",ROW()-4)</f>
        <v/>
      </c>
      <c r="B1311" s="35" t="str">
        <f aca="false">IF($C1311="","","YS"&amp;TEXT($C1311,"yyyymm")&amp;"-"&amp;TEXT(ROW()-4,"0000"))</f>
        <v/>
      </c>
      <c r="C1311" s="33"/>
      <c r="D1311" s="24"/>
      <c r="E1311" s="30" t="str">
        <f aca="false">IF($D1311="","",IFERROR(INDEX(合同单位,MATCH($D1311,合同键,0)),IFERROR(TRIM(LEFT($D1311,FIND("｜",$D1311)-1)),$D1311)))</f>
        <v/>
      </c>
      <c r="F1311" s="30" t="str">
        <f aca="false">IF($D1311="","",IFERROR(INDEX(合同项目,MATCH($D1311,合同键,0)),IFERROR(TRIM(MID($D1311,FIND("｜",$D1311)+1,99)),"")))</f>
        <v/>
      </c>
      <c r="G1311" s="24"/>
      <c r="H1311" s="35" t="str">
        <f aca="false">IF($G1311="","",IFERROR(INDEX(费用款别,MATCH($G1311,费用类别表,0)),"合同外款"))</f>
        <v/>
      </c>
      <c r="I1311" s="33"/>
      <c r="J1311" s="33"/>
      <c r="K1311" s="39"/>
      <c r="L1311" s="33"/>
      <c r="M1311" s="25"/>
      <c r="N1311" s="39"/>
      <c r="O1311" s="35" t="str">
        <f aca="false">IF($C1311="","",IF(N($N1311)&lt;=0,"未开票",IF(ROUND(N($N1311)-N($K1311),2)&gt;=0,"已开票",IFERROR("部分开票 "&amp;TEXT(N($N1311)/N($K1311),"0%"),"部分开票"))))</f>
        <v/>
      </c>
      <c r="P1311" s="40" t="str">
        <f aca="false">IF($C1311="","",ROUND($V1311+MIN($W1311,MAX(0,(SUMIF(收款键,$D1311,收款金额)-SUMIFS(收款金额,收款键,$D1311,收款关联,"&lt;&gt;"))-($X1311-$W1311))),2))</f>
        <v/>
      </c>
      <c r="Q1311" s="41" t="str">
        <f aca="false">IF($C1311="","",ROUND(N($K1311)-N($P1311),2))</f>
        <v/>
      </c>
      <c r="R1311" s="29" t="str">
        <f aca="false">IF($C1311="","",YEAR($C1311))</f>
        <v/>
      </c>
      <c r="S1311" s="24"/>
      <c r="T1311" s="35" t="str">
        <f aca="false">IF($C1311="","",IF($D1311="","★没选客户项目",IF(COUNTIF(合同键,$D1311)=0,"★《维保合同》里没这个项目",IF(N($K1311)&lt;=0,"★应收金额要填",IF(ROUND(N($N1311)-N($K1311),2)&gt;0.001,"★开票金额大于应收",IF(AND($L1311&lt;&gt;"",N($N1311)&lt;=0),"★填了开票日期没填开票金额",IF(AND($I1311&lt;&gt;"",$J1311&lt;&gt;"",$J1311&lt;$I1311),"★计费期间起止反了","OK")))))))</f>
        <v/>
      </c>
      <c r="U1311" s="29" t="str">
        <f aca="false">IF($L1311="","",YEAR($L1311))</f>
        <v/>
      </c>
      <c r="V1311" s="40" t="str">
        <f aca="false">IF($C1311="","",ROUND(SUMIF(收款关联,$B1311,收款金额),2))</f>
        <v/>
      </c>
      <c r="W1311" s="40" t="str">
        <f aca="false">IF($C1311="","",MAX(0,ROUND(N($K1311)-N($V1311),2)))</f>
        <v/>
      </c>
      <c r="X1311" s="40" t="str">
        <f aca="false">IF($C1311="","",ROUND(SUMIFS(应收净额,应收键,$D1311,应收行号,"&lt;="&amp;ROW()),2))</f>
        <v/>
      </c>
      <c r="Y1311" s="29" t="str">
        <f aca="false">IF($C1311="","",ROW())</f>
        <v/>
      </c>
    </row>
    <row r="1312" customFormat="false" ht="15" hidden="false" customHeight="false" outlineLevel="0" collapsed="false">
      <c r="A1312" s="29" t="str">
        <f aca="false">IF($C1312="","",ROW()-4)</f>
        <v/>
      </c>
      <c r="B1312" s="35" t="str">
        <f aca="false">IF($C1312="","","YS"&amp;TEXT($C1312,"yyyymm")&amp;"-"&amp;TEXT(ROW()-4,"0000"))</f>
        <v/>
      </c>
      <c r="C1312" s="33"/>
      <c r="D1312" s="24"/>
      <c r="E1312" s="30" t="str">
        <f aca="false">IF($D1312="","",IFERROR(INDEX(合同单位,MATCH($D1312,合同键,0)),IFERROR(TRIM(LEFT($D1312,FIND("｜",$D1312)-1)),$D1312)))</f>
        <v/>
      </c>
      <c r="F1312" s="30" t="str">
        <f aca="false">IF($D1312="","",IFERROR(INDEX(合同项目,MATCH($D1312,合同键,0)),IFERROR(TRIM(MID($D1312,FIND("｜",$D1312)+1,99)),"")))</f>
        <v/>
      </c>
      <c r="G1312" s="24"/>
      <c r="H1312" s="35" t="str">
        <f aca="false">IF($G1312="","",IFERROR(INDEX(费用款别,MATCH($G1312,费用类别表,0)),"合同外款"))</f>
        <v/>
      </c>
      <c r="I1312" s="33"/>
      <c r="J1312" s="33"/>
      <c r="K1312" s="39"/>
      <c r="L1312" s="33"/>
      <c r="M1312" s="25"/>
      <c r="N1312" s="39"/>
      <c r="O1312" s="35" t="str">
        <f aca="false">IF($C1312="","",IF(N($N1312)&lt;=0,"未开票",IF(ROUND(N($N1312)-N($K1312),2)&gt;=0,"已开票",IFERROR("部分开票 "&amp;TEXT(N($N1312)/N($K1312),"0%"),"部分开票"))))</f>
        <v/>
      </c>
      <c r="P1312" s="40" t="str">
        <f aca="false">IF($C1312="","",ROUND($V1312+MIN($W1312,MAX(0,(SUMIF(收款键,$D1312,收款金额)-SUMIFS(收款金额,收款键,$D1312,收款关联,"&lt;&gt;"))-($X1312-$W1312))),2))</f>
        <v/>
      </c>
      <c r="Q1312" s="41" t="str">
        <f aca="false">IF($C1312="","",ROUND(N($K1312)-N($P1312),2))</f>
        <v/>
      </c>
      <c r="R1312" s="29" t="str">
        <f aca="false">IF($C1312="","",YEAR($C1312))</f>
        <v/>
      </c>
      <c r="S1312" s="24"/>
      <c r="T1312" s="35" t="str">
        <f aca="false">IF($C1312="","",IF($D1312="","★没选客户项目",IF(COUNTIF(合同键,$D1312)=0,"★《维保合同》里没这个项目",IF(N($K1312)&lt;=0,"★应收金额要填",IF(ROUND(N($N1312)-N($K1312),2)&gt;0.001,"★开票金额大于应收",IF(AND($L1312&lt;&gt;"",N($N1312)&lt;=0),"★填了开票日期没填开票金额",IF(AND($I1312&lt;&gt;"",$J1312&lt;&gt;"",$J1312&lt;$I1312),"★计费期间起止反了","OK")))))))</f>
        <v/>
      </c>
      <c r="U1312" s="29" t="str">
        <f aca="false">IF($L1312="","",YEAR($L1312))</f>
        <v/>
      </c>
      <c r="V1312" s="40" t="str">
        <f aca="false">IF($C1312="","",ROUND(SUMIF(收款关联,$B1312,收款金额),2))</f>
        <v/>
      </c>
      <c r="W1312" s="40" t="str">
        <f aca="false">IF($C1312="","",MAX(0,ROUND(N($K1312)-N($V1312),2)))</f>
        <v/>
      </c>
      <c r="X1312" s="40" t="str">
        <f aca="false">IF($C1312="","",ROUND(SUMIFS(应收净额,应收键,$D1312,应收行号,"&lt;="&amp;ROW()),2))</f>
        <v/>
      </c>
      <c r="Y1312" s="29" t="str">
        <f aca="false">IF($C1312="","",ROW())</f>
        <v/>
      </c>
    </row>
    <row r="1313" customFormat="false" ht="15" hidden="false" customHeight="false" outlineLevel="0" collapsed="false">
      <c r="A1313" s="29" t="str">
        <f aca="false">IF($C1313="","",ROW()-4)</f>
        <v/>
      </c>
      <c r="B1313" s="35" t="str">
        <f aca="false">IF($C1313="","","YS"&amp;TEXT($C1313,"yyyymm")&amp;"-"&amp;TEXT(ROW()-4,"0000"))</f>
        <v/>
      </c>
      <c r="C1313" s="33"/>
      <c r="D1313" s="24"/>
      <c r="E1313" s="30" t="str">
        <f aca="false">IF($D1313="","",IFERROR(INDEX(合同单位,MATCH($D1313,合同键,0)),IFERROR(TRIM(LEFT($D1313,FIND("｜",$D1313)-1)),$D1313)))</f>
        <v/>
      </c>
      <c r="F1313" s="30" t="str">
        <f aca="false">IF($D1313="","",IFERROR(INDEX(合同项目,MATCH($D1313,合同键,0)),IFERROR(TRIM(MID($D1313,FIND("｜",$D1313)+1,99)),"")))</f>
        <v/>
      </c>
      <c r="G1313" s="24"/>
      <c r="H1313" s="35" t="str">
        <f aca="false">IF($G1313="","",IFERROR(INDEX(费用款别,MATCH($G1313,费用类别表,0)),"合同外款"))</f>
        <v/>
      </c>
      <c r="I1313" s="33"/>
      <c r="J1313" s="33"/>
      <c r="K1313" s="39"/>
      <c r="L1313" s="33"/>
      <c r="M1313" s="25"/>
      <c r="N1313" s="39"/>
      <c r="O1313" s="35" t="str">
        <f aca="false">IF($C1313="","",IF(N($N1313)&lt;=0,"未开票",IF(ROUND(N($N1313)-N($K1313),2)&gt;=0,"已开票",IFERROR("部分开票 "&amp;TEXT(N($N1313)/N($K1313),"0%"),"部分开票"))))</f>
        <v/>
      </c>
      <c r="P1313" s="40" t="str">
        <f aca="false">IF($C1313="","",ROUND($V1313+MIN($W1313,MAX(0,(SUMIF(收款键,$D1313,收款金额)-SUMIFS(收款金额,收款键,$D1313,收款关联,"&lt;&gt;"))-($X1313-$W1313))),2))</f>
        <v/>
      </c>
      <c r="Q1313" s="41" t="str">
        <f aca="false">IF($C1313="","",ROUND(N($K1313)-N($P1313),2))</f>
        <v/>
      </c>
      <c r="R1313" s="29" t="str">
        <f aca="false">IF($C1313="","",YEAR($C1313))</f>
        <v/>
      </c>
      <c r="S1313" s="24"/>
      <c r="T1313" s="35" t="str">
        <f aca="false">IF($C1313="","",IF($D1313="","★没选客户项目",IF(COUNTIF(合同键,$D1313)=0,"★《维保合同》里没这个项目",IF(N($K1313)&lt;=0,"★应收金额要填",IF(ROUND(N($N1313)-N($K1313),2)&gt;0.001,"★开票金额大于应收",IF(AND($L1313&lt;&gt;"",N($N1313)&lt;=0),"★填了开票日期没填开票金额",IF(AND($I1313&lt;&gt;"",$J1313&lt;&gt;"",$J1313&lt;$I1313),"★计费期间起止反了","OK")))))))</f>
        <v/>
      </c>
      <c r="U1313" s="29" t="str">
        <f aca="false">IF($L1313="","",YEAR($L1313))</f>
        <v/>
      </c>
      <c r="V1313" s="40" t="str">
        <f aca="false">IF($C1313="","",ROUND(SUMIF(收款关联,$B1313,收款金额),2))</f>
        <v/>
      </c>
      <c r="W1313" s="40" t="str">
        <f aca="false">IF($C1313="","",MAX(0,ROUND(N($K1313)-N($V1313),2)))</f>
        <v/>
      </c>
      <c r="X1313" s="40" t="str">
        <f aca="false">IF($C1313="","",ROUND(SUMIFS(应收净额,应收键,$D1313,应收行号,"&lt;="&amp;ROW()),2))</f>
        <v/>
      </c>
      <c r="Y1313" s="29" t="str">
        <f aca="false">IF($C1313="","",ROW())</f>
        <v/>
      </c>
    </row>
    <row r="1314" customFormat="false" ht="15" hidden="false" customHeight="false" outlineLevel="0" collapsed="false">
      <c r="A1314" s="29" t="str">
        <f aca="false">IF($C1314="","",ROW()-4)</f>
        <v/>
      </c>
      <c r="B1314" s="35" t="str">
        <f aca="false">IF($C1314="","","YS"&amp;TEXT($C1314,"yyyymm")&amp;"-"&amp;TEXT(ROW()-4,"0000"))</f>
        <v/>
      </c>
      <c r="C1314" s="33"/>
      <c r="D1314" s="24"/>
      <c r="E1314" s="30" t="str">
        <f aca="false">IF($D1314="","",IFERROR(INDEX(合同单位,MATCH($D1314,合同键,0)),IFERROR(TRIM(LEFT($D1314,FIND("｜",$D1314)-1)),$D1314)))</f>
        <v/>
      </c>
      <c r="F1314" s="30" t="str">
        <f aca="false">IF($D1314="","",IFERROR(INDEX(合同项目,MATCH($D1314,合同键,0)),IFERROR(TRIM(MID($D1314,FIND("｜",$D1314)+1,99)),"")))</f>
        <v/>
      </c>
      <c r="G1314" s="24"/>
      <c r="H1314" s="35" t="str">
        <f aca="false">IF($G1314="","",IFERROR(INDEX(费用款别,MATCH($G1314,费用类别表,0)),"合同外款"))</f>
        <v/>
      </c>
      <c r="I1314" s="33"/>
      <c r="J1314" s="33"/>
      <c r="K1314" s="39"/>
      <c r="L1314" s="33"/>
      <c r="M1314" s="25"/>
      <c r="N1314" s="39"/>
      <c r="O1314" s="35" t="str">
        <f aca="false">IF($C1314="","",IF(N($N1314)&lt;=0,"未开票",IF(ROUND(N($N1314)-N($K1314),2)&gt;=0,"已开票",IFERROR("部分开票 "&amp;TEXT(N($N1314)/N($K1314),"0%"),"部分开票"))))</f>
        <v/>
      </c>
      <c r="P1314" s="40" t="str">
        <f aca="false">IF($C1314="","",ROUND($V1314+MIN($W1314,MAX(0,(SUMIF(收款键,$D1314,收款金额)-SUMIFS(收款金额,收款键,$D1314,收款关联,"&lt;&gt;"))-($X1314-$W1314))),2))</f>
        <v/>
      </c>
      <c r="Q1314" s="41" t="str">
        <f aca="false">IF($C1314="","",ROUND(N($K1314)-N($P1314),2))</f>
        <v/>
      </c>
      <c r="R1314" s="29" t="str">
        <f aca="false">IF($C1314="","",YEAR($C1314))</f>
        <v/>
      </c>
      <c r="S1314" s="24"/>
      <c r="T1314" s="35" t="str">
        <f aca="false">IF($C1314="","",IF($D1314="","★没选客户项目",IF(COUNTIF(合同键,$D1314)=0,"★《维保合同》里没这个项目",IF(N($K1314)&lt;=0,"★应收金额要填",IF(ROUND(N($N1314)-N($K1314),2)&gt;0.001,"★开票金额大于应收",IF(AND($L1314&lt;&gt;"",N($N1314)&lt;=0),"★填了开票日期没填开票金额",IF(AND($I1314&lt;&gt;"",$J1314&lt;&gt;"",$J1314&lt;$I1314),"★计费期间起止反了","OK")))))))</f>
        <v/>
      </c>
      <c r="U1314" s="29" t="str">
        <f aca="false">IF($L1314="","",YEAR($L1314))</f>
        <v/>
      </c>
      <c r="V1314" s="40" t="str">
        <f aca="false">IF($C1314="","",ROUND(SUMIF(收款关联,$B1314,收款金额),2))</f>
        <v/>
      </c>
      <c r="W1314" s="40" t="str">
        <f aca="false">IF($C1314="","",MAX(0,ROUND(N($K1314)-N($V1314),2)))</f>
        <v/>
      </c>
      <c r="X1314" s="40" t="str">
        <f aca="false">IF($C1314="","",ROUND(SUMIFS(应收净额,应收键,$D1314,应收行号,"&lt;="&amp;ROW()),2))</f>
        <v/>
      </c>
      <c r="Y1314" s="29" t="str">
        <f aca="false">IF($C1314="","",ROW())</f>
        <v/>
      </c>
    </row>
    <row r="1315" customFormat="false" ht="15" hidden="false" customHeight="false" outlineLevel="0" collapsed="false">
      <c r="A1315" s="29" t="str">
        <f aca="false">IF($C1315="","",ROW()-4)</f>
        <v/>
      </c>
      <c r="B1315" s="35" t="str">
        <f aca="false">IF($C1315="","","YS"&amp;TEXT($C1315,"yyyymm")&amp;"-"&amp;TEXT(ROW()-4,"0000"))</f>
        <v/>
      </c>
      <c r="C1315" s="33"/>
      <c r="D1315" s="24"/>
      <c r="E1315" s="30" t="str">
        <f aca="false">IF($D1315="","",IFERROR(INDEX(合同单位,MATCH($D1315,合同键,0)),IFERROR(TRIM(LEFT($D1315,FIND("｜",$D1315)-1)),$D1315)))</f>
        <v/>
      </c>
      <c r="F1315" s="30" t="str">
        <f aca="false">IF($D1315="","",IFERROR(INDEX(合同项目,MATCH($D1315,合同键,0)),IFERROR(TRIM(MID($D1315,FIND("｜",$D1315)+1,99)),"")))</f>
        <v/>
      </c>
      <c r="G1315" s="24"/>
      <c r="H1315" s="35" t="str">
        <f aca="false">IF($G1315="","",IFERROR(INDEX(费用款别,MATCH($G1315,费用类别表,0)),"合同外款"))</f>
        <v/>
      </c>
      <c r="I1315" s="33"/>
      <c r="J1315" s="33"/>
      <c r="K1315" s="39"/>
      <c r="L1315" s="33"/>
      <c r="M1315" s="25"/>
      <c r="N1315" s="39"/>
      <c r="O1315" s="35" t="str">
        <f aca="false">IF($C1315="","",IF(N($N1315)&lt;=0,"未开票",IF(ROUND(N($N1315)-N($K1315),2)&gt;=0,"已开票",IFERROR("部分开票 "&amp;TEXT(N($N1315)/N($K1315),"0%"),"部分开票"))))</f>
        <v/>
      </c>
      <c r="P1315" s="40" t="str">
        <f aca="false">IF($C1315="","",ROUND($V1315+MIN($W1315,MAX(0,(SUMIF(收款键,$D1315,收款金额)-SUMIFS(收款金额,收款键,$D1315,收款关联,"&lt;&gt;"))-($X1315-$W1315))),2))</f>
        <v/>
      </c>
      <c r="Q1315" s="41" t="str">
        <f aca="false">IF($C1315="","",ROUND(N($K1315)-N($P1315),2))</f>
        <v/>
      </c>
      <c r="R1315" s="29" t="str">
        <f aca="false">IF($C1315="","",YEAR($C1315))</f>
        <v/>
      </c>
      <c r="S1315" s="24"/>
      <c r="T1315" s="35" t="str">
        <f aca="false">IF($C1315="","",IF($D1315="","★没选客户项目",IF(COUNTIF(合同键,$D1315)=0,"★《维保合同》里没这个项目",IF(N($K1315)&lt;=0,"★应收金额要填",IF(ROUND(N($N1315)-N($K1315),2)&gt;0.001,"★开票金额大于应收",IF(AND($L1315&lt;&gt;"",N($N1315)&lt;=0),"★填了开票日期没填开票金额",IF(AND($I1315&lt;&gt;"",$J1315&lt;&gt;"",$J1315&lt;$I1315),"★计费期间起止反了","OK")))))))</f>
        <v/>
      </c>
      <c r="U1315" s="29" t="str">
        <f aca="false">IF($L1315="","",YEAR($L1315))</f>
        <v/>
      </c>
      <c r="V1315" s="40" t="str">
        <f aca="false">IF($C1315="","",ROUND(SUMIF(收款关联,$B1315,收款金额),2))</f>
        <v/>
      </c>
      <c r="W1315" s="40" t="str">
        <f aca="false">IF($C1315="","",MAX(0,ROUND(N($K1315)-N($V1315),2)))</f>
        <v/>
      </c>
      <c r="X1315" s="40" t="str">
        <f aca="false">IF($C1315="","",ROUND(SUMIFS(应收净额,应收键,$D1315,应收行号,"&lt;="&amp;ROW()),2))</f>
        <v/>
      </c>
      <c r="Y1315" s="29" t="str">
        <f aca="false">IF($C1315="","",ROW())</f>
        <v/>
      </c>
    </row>
    <row r="1316" customFormat="false" ht="15" hidden="false" customHeight="false" outlineLevel="0" collapsed="false">
      <c r="A1316" s="29" t="str">
        <f aca="false">IF($C1316="","",ROW()-4)</f>
        <v/>
      </c>
      <c r="B1316" s="35" t="str">
        <f aca="false">IF($C1316="","","YS"&amp;TEXT($C1316,"yyyymm")&amp;"-"&amp;TEXT(ROW()-4,"0000"))</f>
        <v/>
      </c>
      <c r="C1316" s="33"/>
      <c r="D1316" s="24"/>
      <c r="E1316" s="30" t="str">
        <f aca="false">IF($D1316="","",IFERROR(INDEX(合同单位,MATCH($D1316,合同键,0)),IFERROR(TRIM(LEFT($D1316,FIND("｜",$D1316)-1)),$D1316)))</f>
        <v/>
      </c>
      <c r="F1316" s="30" t="str">
        <f aca="false">IF($D1316="","",IFERROR(INDEX(合同项目,MATCH($D1316,合同键,0)),IFERROR(TRIM(MID($D1316,FIND("｜",$D1316)+1,99)),"")))</f>
        <v/>
      </c>
      <c r="G1316" s="24"/>
      <c r="H1316" s="35" t="str">
        <f aca="false">IF($G1316="","",IFERROR(INDEX(费用款别,MATCH($G1316,费用类别表,0)),"合同外款"))</f>
        <v/>
      </c>
      <c r="I1316" s="33"/>
      <c r="J1316" s="33"/>
      <c r="K1316" s="39"/>
      <c r="L1316" s="33"/>
      <c r="M1316" s="25"/>
      <c r="N1316" s="39"/>
      <c r="O1316" s="35" t="str">
        <f aca="false">IF($C1316="","",IF(N($N1316)&lt;=0,"未开票",IF(ROUND(N($N1316)-N($K1316),2)&gt;=0,"已开票",IFERROR("部分开票 "&amp;TEXT(N($N1316)/N($K1316),"0%"),"部分开票"))))</f>
        <v/>
      </c>
      <c r="P1316" s="40" t="str">
        <f aca="false">IF($C1316="","",ROUND($V1316+MIN($W1316,MAX(0,(SUMIF(收款键,$D1316,收款金额)-SUMIFS(收款金额,收款键,$D1316,收款关联,"&lt;&gt;"))-($X1316-$W1316))),2))</f>
        <v/>
      </c>
      <c r="Q1316" s="41" t="str">
        <f aca="false">IF($C1316="","",ROUND(N($K1316)-N($P1316),2))</f>
        <v/>
      </c>
      <c r="R1316" s="29" t="str">
        <f aca="false">IF($C1316="","",YEAR($C1316))</f>
        <v/>
      </c>
      <c r="S1316" s="24"/>
      <c r="T1316" s="35" t="str">
        <f aca="false">IF($C1316="","",IF($D1316="","★没选客户项目",IF(COUNTIF(合同键,$D1316)=0,"★《维保合同》里没这个项目",IF(N($K1316)&lt;=0,"★应收金额要填",IF(ROUND(N($N1316)-N($K1316),2)&gt;0.001,"★开票金额大于应收",IF(AND($L1316&lt;&gt;"",N($N1316)&lt;=0),"★填了开票日期没填开票金额",IF(AND($I1316&lt;&gt;"",$J1316&lt;&gt;"",$J1316&lt;$I1316),"★计费期间起止反了","OK")))))))</f>
        <v/>
      </c>
      <c r="U1316" s="29" t="str">
        <f aca="false">IF($L1316="","",YEAR($L1316))</f>
        <v/>
      </c>
      <c r="V1316" s="40" t="str">
        <f aca="false">IF($C1316="","",ROUND(SUMIF(收款关联,$B1316,收款金额),2))</f>
        <v/>
      </c>
      <c r="W1316" s="40" t="str">
        <f aca="false">IF($C1316="","",MAX(0,ROUND(N($K1316)-N($V1316),2)))</f>
        <v/>
      </c>
      <c r="X1316" s="40" t="str">
        <f aca="false">IF($C1316="","",ROUND(SUMIFS(应收净额,应收键,$D1316,应收行号,"&lt;="&amp;ROW()),2))</f>
        <v/>
      </c>
      <c r="Y1316" s="29" t="str">
        <f aca="false">IF($C1316="","",ROW())</f>
        <v/>
      </c>
    </row>
    <row r="1317" customFormat="false" ht="15" hidden="false" customHeight="false" outlineLevel="0" collapsed="false">
      <c r="A1317" s="29" t="str">
        <f aca="false">IF($C1317="","",ROW()-4)</f>
        <v/>
      </c>
      <c r="B1317" s="35" t="str">
        <f aca="false">IF($C1317="","","YS"&amp;TEXT($C1317,"yyyymm")&amp;"-"&amp;TEXT(ROW()-4,"0000"))</f>
        <v/>
      </c>
      <c r="C1317" s="33"/>
      <c r="D1317" s="24"/>
      <c r="E1317" s="30" t="str">
        <f aca="false">IF($D1317="","",IFERROR(INDEX(合同单位,MATCH($D1317,合同键,0)),IFERROR(TRIM(LEFT($D1317,FIND("｜",$D1317)-1)),$D1317)))</f>
        <v/>
      </c>
      <c r="F1317" s="30" t="str">
        <f aca="false">IF($D1317="","",IFERROR(INDEX(合同项目,MATCH($D1317,合同键,0)),IFERROR(TRIM(MID($D1317,FIND("｜",$D1317)+1,99)),"")))</f>
        <v/>
      </c>
      <c r="G1317" s="24"/>
      <c r="H1317" s="35" t="str">
        <f aca="false">IF($G1317="","",IFERROR(INDEX(费用款别,MATCH($G1317,费用类别表,0)),"合同外款"))</f>
        <v/>
      </c>
      <c r="I1317" s="33"/>
      <c r="J1317" s="33"/>
      <c r="K1317" s="39"/>
      <c r="L1317" s="33"/>
      <c r="M1317" s="25"/>
      <c r="N1317" s="39"/>
      <c r="O1317" s="35" t="str">
        <f aca="false">IF($C1317="","",IF(N($N1317)&lt;=0,"未开票",IF(ROUND(N($N1317)-N($K1317),2)&gt;=0,"已开票",IFERROR("部分开票 "&amp;TEXT(N($N1317)/N($K1317),"0%"),"部分开票"))))</f>
        <v/>
      </c>
      <c r="P1317" s="40" t="str">
        <f aca="false">IF($C1317="","",ROUND($V1317+MIN($W1317,MAX(0,(SUMIF(收款键,$D1317,收款金额)-SUMIFS(收款金额,收款键,$D1317,收款关联,"&lt;&gt;"))-($X1317-$W1317))),2))</f>
        <v/>
      </c>
      <c r="Q1317" s="41" t="str">
        <f aca="false">IF($C1317="","",ROUND(N($K1317)-N($P1317),2))</f>
        <v/>
      </c>
      <c r="R1317" s="29" t="str">
        <f aca="false">IF($C1317="","",YEAR($C1317))</f>
        <v/>
      </c>
      <c r="S1317" s="24"/>
      <c r="T1317" s="35" t="str">
        <f aca="false">IF($C1317="","",IF($D1317="","★没选客户项目",IF(COUNTIF(合同键,$D1317)=0,"★《维保合同》里没这个项目",IF(N($K1317)&lt;=0,"★应收金额要填",IF(ROUND(N($N1317)-N($K1317),2)&gt;0.001,"★开票金额大于应收",IF(AND($L1317&lt;&gt;"",N($N1317)&lt;=0),"★填了开票日期没填开票金额",IF(AND($I1317&lt;&gt;"",$J1317&lt;&gt;"",$J1317&lt;$I1317),"★计费期间起止反了","OK")))))))</f>
        <v/>
      </c>
      <c r="U1317" s="29" t="str">
        <f aca="false">IF($L1317="","",YEAR($L1317))</f>
        <v/>
      </c>
      <c r="V1317" s="40" t="str">
        <f aca="false">IF($C1317="","",ROUND(SUMIF(收款关联,$B1317,收款金额),2))</f>
        <v/>
      </c>
      <c r="W1317" s="40" t="str">
        <f aca="false">IF($C1317="","",MAX(0,ROUND(N($K1317)-N($V1317),2)))</f>
        <v/>
      </c>
      <c r="X1317" s="40" t="str">
        <f aca="false">IF($C1317="","",ROUND(SUMIFS(应收净额,应收键,$D1317,应收行号,"&lt;="&amp;ROW()),2))</f>
        <v/>
      </c>
      <c r="Y1317" s="29" t="str">
        <f aca="false">IF($C1317="","",ROW())</f>
        <v/>
      </c>
    </row>
    <row r="1318" customFormat="false" ht="15" hidden="false" customHeight="false" outlineLevel="0" collapsed="false">
      <c r="A1318" s="29" t="str">
        <f aca="false">IF($C1318="","",ROW()-4)</f>
        <v/>
      </c>
      <c r="B1318" s="35" t="str">
        <f aca="false">IF($C1318="","","YS"&amp;TEXT($C1318,"yyyymm")&amp;"-"&amp;TEXT(ROW()-4,"0000"))</f>
        <v/>
      </c>
      <c r="C1318" s="33"/>
      <c r="D1318" s="24"/>
      <c r="E1318" s="30" t="str">
        <f aca="false">IF($D1318="","",IFERROR(INDEX(合同单位,MATCH($D1318,合同键,0)),IFERROR(TRIM(LEFT($D1318,FIND("｜",$D1318)-1)),$D1318)))</f>
        <v/>
      </c>
      <c r="F1318" s="30" t="str">
        <f aca="false">IF($D1318="","",IFERROR(INDEX(合同项目,MATCH($D1318,合同键,0)),IFERROR(TRIM(MID($D1318,FIND("｜",$D1318)+1,99)),"")))</f>
        <v/>
      </c>
      <c r="G1318" s="24"/>
      <c r="H1318" s="35" t="str">
        <f aca="false">IF($G1318="","",IFERROR(INDEX(费用款别,MATCH($G1318,费用类别表,0)),"合同外款"))</f>
        <v/>
      </c>
      <c r="I1318" s="33"/>
      <c r="J1318" s="33"/>
      <c r="K1318" s="39"/>
      <c r="L1318" s="33"/>
      <c r="M1318" s="25"/>
      <c r="N1318" s="39"/>
      <c r="O1318" s="35" t="str">
        <f aca="false">IF($C1318="","",IF(N($N1318)&lt;=0,"未开票",IF(ROUND(N($N1318)-N($K1318),2)&gt;=0,"已开票",IFERROR("部分开票 "&amp;TEXT(N($N1318)/N($K1318),"0%"),"部分开票"))))</f>
        <v/>
      </c>
      <c r="P1318" s="40" t="str">
        <f aca="false">IF($C1318="","",ROUND($V1318+MIN($W1318,MAX(0,(SUMIF(收款键,$D1318,收款金额)-SUMIFS(收款金额,收款键,$D1318,收款关联,"&lt;&gt;"))-($X1318-$W1318))),2))</f>
        <v/>
      </c>
      <c r="Q1318" s="41" t="str">
        <f aca="false">IF($C1318="","",ROUND(N($K1318)-N($P1318),2))</f>
        <v/>
      </c>
      <c r="R1318" s="29" t="str">
        <f aca="false">IF($C1318="","",YEAR($C1318))</f>
        <v/>
      </c>
      <c r="S1318" s="24"/>
      <c r="T1318" s="35" t="str">
        <f aca="false">IF($C1318="","",IF($D1318="","★没选客户项目",IF(COUNTIF(合同键,$D1318)=0,"★《维保合同》里没这个项目",IF(N($K1318)&lt;=0,"★应收金额要填",IF(ROUND(N($N1318)-N($K1318),2)&gt;0.001,"★开票金额大于应收",IF(AND($L1318&lt;&gt;"",N($N1318)&lt;=0),"★填了开票日期没填开票金额",IF(AND($I1318&lt;&gt;"",$J1318&lt;&gt;"",$J1318&lt;$I1318),"★计费期间起止反了","OK")))))))</f>
        <v/>
      </c>
      <c r="U1318" s="29" t="str">
        <f aca="false">IF($L1318="","",YEAR($L1318))</f>
        <v/>
      </c>
      <c r="V1318" s="40" t="str">
        <f aca="false">IF($C1318="","",ROUND(SUMIF(收款关联,$B1318,收款金额),2))</f>
        <v/>
      </c>
      <c r="W1318" s="40" t="str">
        <f aca="false">IF($C1318="","",MAX(0,ROUND(N($K1318)-N($V1318),2)))</f>
        <v/>
      </c>
      <c r="X1318" s="40" t="str">
        <f aca="false">IF($C1318="","",ROUND(SUMIFS(应收净额,应收键,$D1318,应收行号,"&lt;="&amp;ROW()),2))</f>
        <v/>
      </c>
      <c r="Y1318" s="29" t="str">
        <f aca="false">IF($C1318="","",ROW())</f>
        <v/>
      </c>
    </row>
    <row r="1319" customFormat="false" ht="15" hidden="false" customHeight="false" outlineLevel="0" collapsed="false">
      <c r="A1319" s="29" t="str">
        <f aca="false">IF($C1319="","",ROW()-4)</f>
        <v/>
      </c>
      <c r="B1319" s="35" t="str">
        <f aca="false">IF($C1319="","","YS"&amp;TEXT($C1319,"yyyymm")&amp;"-"&amp;TEXT(ROW()-4,"0000"))</f>
        <v/>
      </c>
      <c r="C1319" s="33"/>
      <c r="D1319" s="24"/>
      <c r="E1319" s="30" t="str">
        <f aca="false">IF($D1319="","",IFERROR(INDEX(合同单位,MATCH($D1319,合同键,0)),IFERROR(TRIM(LEFT($D1319,FIND("｜",$D1319)-1)),$D1319)))</f>
        <v/>
      </c>
      <c r="F1319" s="30" t="str">
        <f aca="false">IF($D1319="","",IFERROR(INDEX(合同项目,MATCH($D1319,合同键,0)),IFERROR(TRIM(MID($D1319,FIND("｜",$D1319)+1,99)),"")))</f>
        <v/>
      </c>
      <c r="G1319" s="24"/>
      <c r="H1319" s="35" t="str">
        <f aca="false">IF($G1319="","",IFERROR(INDEX(费用款别,MATCH($G1319,费用类别表,0)),"合同外款"))</f>
        <v/>
      </c>
      <c r="I1319" s="33"/>
      <c r="J1319" s="33"/>
      <c r="K1319" s="39"/>
      <c r="L1319" s="33"/>
      <c r="M1319" s="25"/>
      <c r="N1319" s="39"/>
      <c r="O1319" s="35" t="str">
        <f aca="false">IF($C1319="","",IF(N($N1319)&lt;=0,"未开票",IF(ROUND(N($N1319)-N($K1319),2)&gt;=0,"已开票",IFERROR("部分开票 "&amp;TEXT(N($N1319)/N($K1319),"0%"),"部分开票"))))</f>
        <v/>
      </c>
      <c r="P1319" s="40" t="str">
        <f aca="false">IF($C1319="","",ROUND($V1319+MIN($W1319,MAX(0,(SUMIF(收款键,$D1319,收款金额)-SUMIFS(收款金额,收款键,$D1319,收款关联,"&lt;&gt;"))-($X1319-$W1319))),2))</f>
        <v/>
      </c>
      <c r="Q1319" s="41" t="str">
        <f aca="false">IF($C1319="","",ROUND(N($K1319)-N($P1319),2))</f>
        <v/>
      </c>
      <c r="R1319" s="29" t="str">
        <f aca="false">IF($C1319="","",YEAR($C1319))</f>
        <v/>
      </c>
      <c r="S1319" s="24"/>
      <c r="T1319" s="35" t="str">
        <f aca="false">IF($C1319="","",IF($D1319="","★没选客户项目",IF(COUNTIF(合同键,$D1319)=0,"★《维保合同》里没这个项目",IF(N($K1319)&lt;=0,"★应收金额要填",IF(ROUND(N($N1319)-N($K1319),2)&gt;0.001,"★开票金额大于应收",IF(AND($L1319&lt;&gt;"",N($N1319)&lt;=0),"★填了开票日期没填开票金额",IF(AND($I1319&lt;&gt;"",$J1319&lt;&gt;"",$J1319&lt;$I1319),"★计费期间起止反了","OK")))))))</f>
        <v/>
      </c>
      <c r="U1319" s="29" t="str">
        <f aca="false">IF($L1319="","",YEAR($L1319))</f>
        <v/>
      </c>
      <c r="V1319" s="40" t="str">
        <f aca="false">IF($C1319="","",ROUND(SUMIF(收款关联,$B1319,收款金额),2))</f>
        <v/>
      </c>
      <c r="W1319" s="40" t="str">
        <f aca="false">IF($C1319="","",MAX(0,ROUND(N($K1319)-N($V1319),2)))</f>
        <v/>
      </c>
      <c r="X1319" s="40" t="str">
        <f aca="false">IF($C1319="","",ROUND(SUMIFS(应收净额,应收键,$D1319,应收行号,"&lt;="&amp;ROW()),2))</f>
        <v/>
      </c>
      <c r="Y1319" s="29" t="str">
        <f aca="false">IF($C1319="","",ROW())</f>
        <v/>
      </c>
    </row>
    <row r="1320" customFormat="false" ht="15" hidden="false" customHeight="false" outlineLevel="0" collapsed="false">
      <c r="A1320" s="29" t="str">
        <f aca="false">IF($C1320="","",ROW()-4)</f>
        <v/>
      </c>
      <c r="B1320" s="35" t="str">
        <f aca="false">IF($C1320="","","YS"&amp;TEXT($C1320,"yyyymm")&amp;"-"&amp;TEXT(ROW()-4,"0000"))</f>
        <v/>
      </c>
      <c r="C1320" s="33"/>
      <c r="D1320" s="24"/>
      <c r="E1320" s="30" t="str">
        <f aca="false">IF($D1320="","",IFERROR(INDEX(合同单位,MATCH($D1320,合同键,0)),IFERROR(TRIM(LEFT($D1320,FIND("｜",$D1320)-1)),$D1320)))</f>
        <v/>
      </c>
      <c r="F1320" s="30" t="str">
        <f aca="false">IF($D1320="","",IFERROR(INDEX(合同项目,MATCH($D1320,合同键,0)),IFERROR(TRIM(MID($D1320,FIND("｜",$D1320)+1,99)),"")))</f>
        <v/>
      </c>
      <c r="G1320" s="24"/>
      <c r="H1320" s="35" t="str">
        <f aca="false">IF($G1320="","",IFERROR(INDEX(费用款别,MATCH($G1320,费用类别表,0)),"合同外款"))</f>
        <v/>
      </c>
      <c r="I1320" s="33"/>
      <c r="J1320" s="33"/>
      <c r="K1320" s="39"/>
      <c r="L1320" s="33"/>
      <c r="M1320" s="25"/>
      <c r="N1320" s="39"/>
      <c r="O1320" s="35" t="str">
        <f aca="false">IF($C1320="","",IF(N($N1320)&lt;=0,"未开票",IF(ROUND(N($N1320)-N($K1320),2)&gt;=0,"已开票",IFERROR("部分开票 "&amp;TEXT(N($N1320)/N($K1320),"0%"),"部分开票"))))</f>
        <v/>
      </c>
      <c r="P1320" s="40" t="str">
        <f aca="false">IF($C1320="","",ROUND($V1320+MIN($W1320,MAX(0,(SUMIF(收款键,$D1320,收款金额)-SUMIFS(收款金额,收款键,$D1320,收款关联,"&lt;&gt;"))-($X1320-$W1320))),2))</f>
        <v/>
      </c>
      <c r="Q1320" s="41" t="str">
        <f aca="false">IF($C1320="","",ROUND(N($K1320)-N($P1320),2))</f>
        <v/>
      </c>
      <c r="R1320" s="29" t="str">
        <f aca="false">IF($C1320="","",YEAR($C1320))</f>
        <v/>
      </c>
      <c r="S1320" s="24"/>
      <c r="T1320" s="35" t="str">
        <f aca="false">IF($C1320="","",IF($D1320="","★没选客户项目",IF(COUNTIF(合同键,$D1320)=0,"★《维保合同》里没这个项目",IF(N($K1320)&lt;=0,"★应收金额要填",IF(ROUND(N($N1320)-N($K1320),2)&gt;0.001,"★开票金额大于应收",IF(AND($L1320&lt;&gt;"",N($N1320)&lt;=0),"★填了开票日期没填开票金额",IF(AND($I1320&lt;&gt;"",$J1320&lt;&gt;"",$J1320&lt;$I1320),"★计费期间起止反了","OK")))))))</f>
        <v/>
      </c>
      <c r="U1320" s="29" t="str">
        <f aca="false">IF($L1320="","",YEAR($L1320))</f>
        <v/>
      </c>
      <c r="V1320" s="40" t="str">
        <f aca="false">IF($C1320="","",ROUND(SUMIF(收款关联,$B1320,收款金额),2))</f>
        <v/>
      </c>
      <c r="W1320" s="40" t="str">
        <f aca="false">IF($C1320="","",MAX(0,ROUND(N($K1320)-N($V1320),2)))</f>
        <v/>
      </c>
      <c r="X1320" s="40" t="str">
        <f aca="false">IF($C1320="","",ROUND(SUMIFS(应收净额,应收键,$D1320,应收行号,"&lt;="&amp;ROW()),2))</f>
        <v/>
      </c>
      <c r="Y1320" s="29" t="str">
        <f aca="false">IF($C1320="","",ROW())</f>
        <v/>
      </c>
    </row>
    <row r="1321" customFormat="false" ht="15" hidden="false" customHeight="false" outlineLevel="0" collapsed="false">
      <c r="A1321" s="29" t="str">
        <f aca="false">IF($C1321="","",ROW()-4)</f>
        <v/>
      </c>
      <c r="B1321" s="35" t="str">
        <f aca="false">IF($C1321="","","YS"&amp;TEXT($C1321,"yyyymm")&amp;"-"&amp;TEXT(ROW()-4,"0000"))</f>
        <v/>
      </c>
      <c r="C1321" s="33"/>
      <c r="D1321" s="24"/>
      <c r="E1321" s="30" t="str">
        <f aca="false">IF($D1321="","",IFERROR(INDEX(合同单位,MATCH($D1321,合同键,0)),IFERROR(TRIM(LEFT($D1321,FIND("｜",$D1321)-1)),$D1321)))</f>
        <v/>
      </c>
      <c r="F1321" s="30" t="str">
        <f aca="false">IF($D1321="","",IFERROR(INDEX(合同项目,MATCH($D1321,合同键,0)),IFERROR(TRIM(MID($D1321,FIND("｜",$D1321)+1,99)),"")))</f>
        <v/>
      </c>
      <c r="G1321" s="24"/>
      <c r="H1321" s="35" t="str">
        <f aca="false">IF($G1321="","",IFERROR(INDEX(费用款别,MATCH($G1321,费用类别表,0)),"合同外款"))</f>
        <v/>
      </c>
      <c r="I1321" s="33"/>
      <c r="J1321" s="33"/>
      <c r="K1321" s="39"/>
      <c r="L1321" s="33"/>
      <c r="M1321" s="25"/>
      <c r="N1321" s="39"/>
      <c r="O1321" s="35" t="str">
        <f aca="false">IF($C1321="","",IF(N($N1321)&lt;=0,"未开票",IF(ROUND(N($N1321)-N($K1321),2)&gt;=0,"已开票",IFERROR("部分开票 "&amp;TEXT(N($N1321)/N($K1321),"0%"),"部分开票"))))</f>
        <v/>
      </c>
      <c r="P1321" s="40" t="str">
        <f aca="false">IF($C1321="","",ROUND($V1321+MIN($W1321,MAX(0,(SUMIF(收款键,$D1321,收款金额)-SUMIFS(收款金额,收款键,$D1321,收款关联,"&lt;&gt;"))-($X1321-$W1321))),2))</f>
        <v/>
      </c>
      <c r="Q1321" s="41" t="str">
        <f aca="false">IF($C1321="","",ROUND(N($K1321)-N($P1321),2))</f>
        <v/>
      </c>
      <c r="R1321" s="29" t="str">
        <f aca="false">IF($C1321="","",YEAR($C1321))</f>
        <v/>
      </c>
      <c r="S1321" s="24"/>
      <c r="T1321" s="35" t="str">
        <f aca="false">IF($C1321="","",IF($D1321="","★没选客户项目",IF(COUNTIF(合同键,$D1321)=0,"★《维保合同》里没这个项目",IF(N($K1321)&lt;=0,"★应收金额要填",IF(ROUND(N($N1321)-N($K1321),2)&gt;0.001,"★开票金额大于应收",IF(AND($L1321&lt;&gt;"",N($N1321)&lt;=0),"★填了开票日期没填开票金额",IF(AND($I1321&lt;&gt;"",$J1321&lt;&gt;"",$J1321&lt;$I1321),"★计费期间起止反了","OK")))))))</f>
        <v/>
      </c>
      <c r="U1321" s="29" t="str">
        <f aca="false">IF($L1321="","",YEAR($L1321))</f>
        <v/>
      </c>
      <c r="V1321" s="40" t="str">
        <f aca="false">IF($C1321="","",ROUND(SUMIF(收款关联,$B1321,收款金额),2))</f>
        <v/>
      </c>
      <c r="W1321" s="40" t="str">
        <f aca="false">IF($C1321="","",MAX(0,ROUND(N($K1321)-N($V1321),2)))</f>
        <v/>
      </c>
      <c r="X1321" s="40" t="str">
        <f aca="false">IF($C1321="","",ROUND(SUMIFS(应收净额,应收键,$D1321,应收行号,"&lt;="&amp;ROW()),2))</f>
        <v/>
      </c>
      <c r="Y1321" s="29" t="str">
        <f aca="false">IF($C1321="","",ROW())</f>
        <v/>
      </c>
    </row>
    <row r="1322" customFormat="false" ht="15" hidden="false" customHeight="false" outlineLevel="0" collapsed="false">
      <c r="A1322" s="29" t="str">
        <f aca="false">IF($C1322="","",ROW()-4)</f>
        <v/>
      </c>
      <c r="B1322" s="35" t="str">
        <f aca="false">IF($C1322="","","YS"&amp;TEXT($C1322,"yyyymm")&amp;"-"&amp;TEXT(ROW()-4,"0000"))</f>
        <v/>
      </c>
      <c r="C1322" s="33"/>
      <c r="D1322" s="24"/>
      <c r="E1322" s="30" t="str">
        <f aca="false">IF($D1322="","",IFERROR(INDEX(合同单位,MATCH($D1322,合同键,0)),IFERROR(TRIM(LEFT($D1322,FIND("｜",$D1322)-1)),$D1322)))</f>
        <v/>
      </c>
      <c r="F1322" s="30" t="str">
        <f aca="false">IF($D1322="","",IFERROR(INDEX(合同项目,MATCH($D1322,合同键,0)),IFERROR(TRIM(MID($D1322,FIND("｜",$D1322)+1,99)),"")))</f>
        <v/>
      </c>
      <c r="G1322" s="24"/>
      <c r="H1322" s="35" t="str">
        <f aca="false">IF($G1322="","",IFERROR(INDEX(费用款别,MATCH($G1322,费用类别表,0)),"合同外款"))</f>
        <v/>
      </c>
      <c r="I1322" s="33"/>
      <c r="J1322" s="33"/>
      <c r="K1322" s="39"/>
      <c r="L1322" s="33"/>
      <c r="M1322" s="25"/>
      <c r="N1322" s="39"/>
      <c r="O1322" s="35" t="str">
        <f aca="false">IF($C1322="","",IF(N($N1322)&lt;=0,"未开票",IF(ROUND(N($N1322)-N($K1322),2)&gt;=0,"已开票",IFERROR("部分开票 "&amp;TEXT(N($N1322)/N($K1322),"0%"),"部分开票"))))</f>
        <v/>
      </c>
      <c r="P1322" s="40" t="str">
        <f aca="false">IF($C1322="","",ROUND($V1322+MIN($W1322,MAX(0,(SUMIF(收款键,$D1322,收款金额)-SUMIFS(收款金额,收款键,$D1322,收款关联,"&lt;&gt;"))-($X1322-$W1322))),2))</f>
        <v/>
      </c>
      <c r="Q1322" s="41" t="str">
        <f aca="false">IF($C1322="","",ROUND(N($K1322)-N($P1322),2))</f>
        <v/>
      </c>
      <c r="R1322" s="29" t="str">
        <f aca="false">IF($C1322="","",YEAR($C1322))</f>
        <v/>
      </c>
      <c r="S1322" s="24"/>
      <c r="T1322" s="35" t="str">
        <f aca="false">IF($C1322="","",IF($D1322="","★没选客户项目",IF(COUNTIF(合同键,$D1322)=0,"★《维保合同》里没这个项目",IF(N($K1322)&lt;=0,"★应收金额要填",IF(ROUND(N($N1322)-N($K1322),2)&gt;0.001,"★开票金额大于应收",IF(AND($L1322&lt;&gt;"",N($N1322)&lt;=0),"★填了开票日期没填开票金额",IF(AND($I1322&lt;&gt;"",$J1322&lt;&gt;"",$J1322&lt;$I1322),"★计费期间起止反了","OK")))))))</f>
        <v/>
      </c>
      <c r="U1322" s="29" t="str">
        <f aca="false">IF($L1322="","",YEAR($L1322))</f>
        <v/>
      </c>
      <c r="V1322" s="40" t="str">
        <f aca="false">IF($C1322="","",ROUND(SUMIF(收款关联,$B1322,收款金额),2))</f>
        <v/>
      </c>
      <c r="W1322" s="40" t="str">
        <f aca="false">IF($C1322="","",MAX(0,ROUND(N($K1322)-N($V1322),2)))</f>
        <v/>
      </c>
      <c r="X1322" s="40" t="str">
        <f aca="false">IF($C1322="","",ROUND(SUMIFS(应收净额,应收键,$D1322,应收行号,"&lt;="&amp;ROW()),2))</f>
        <v/>
      </c>
      <c r="Y1322" s="29" t="str">
        <f aca="false">IF($C1322="","",ROW())</f>
        <v/>
      </c>
    </row>
    <row r="1323" customFormat="false" ht="15" hidden="false" customHeight="false" outlineLevel="0" collapsed="false">
      <c r="A1323" s="29" t="str">
        <f aca="false">IF($C1323="","",ROW()-4)</f>
        <v/>
      </c>
      <c r="B1323" s="35" t="str">
        <f aca="false">IF($C1323="","","YS"&amp;TEXT($C1323,"yyyymm")&amp;"-"&amp;TEXT(ROW()-4,"0000"))</f>
        <v/>
      </c>
      <c r="C1323" s="33"/>
      <c r="D1323" s="24"/>
      <c r="E1323" s="30" t="str">
        <f aca="false">IF($D1323="","",IFERROR(INDEX(合同单位,MATCH($D1323,合同键,0)),IFERROR(TRIM(LEFT($D1323,FIND("｜",$D1323)-1)),$D1323)))</f>
        <v/>
      </c>
      <c r="F1323" s="30" t="str">
        <f aca="false">IF($D1323="","",IFERROR(INDEX(合同项目,MATCH($D1323,合同键,0)),IFERROR(TRIM(MID($D1323,FIND("｜",$D1323)+1,99)),"")))</f>
        <v/>
      </c>
      <c r="G1323" s="24"/>
      <c r="H1323" s="35" t="str">
        <f aca="false">IF($G1323="","",IFERROR(INDEX(费用款别,MATCH($G1323,费用类别表,0)),"合同外款"))</f>
        <v/>
      </c>
      <c r="I1323" s="33"/>
      <c r="J1323" s="33"/>
      <c r="K1323" s="39"/>
      <c r="L1323" s="33"/>
      <c r="M1323" s="25"/>
      <c r="N1323" s="39"/>
      <c r="O1323" s="35" t="str">
        <f aca="false">IF($C1323="","",IF(N($N1323)&lt;=0,"未开票",IF(ROUND(N($N1323)-N($K1323),2)&gt;=0,"已开票",IFERROR("部分开票 "&amp;TEXT(N($N1323)/N($K1323),"0%"),"部分开票"))))</f>
        <v/>
      </c>
      <c r="P1323" s="40" t="str">
        <f aca="false">IF($C1323="","",ROUND($V1323+MIN($W1323,MAX(0,(SUMIF(收款键,$D1323,收款金额)-SUMIFS(收款金额,收款键,$D1323,收款关联,"&lt;&gt;"))-($X1323-$W1323))),2))</f>
        <v/>
      </c>
      <c r="Q1323" s="41" t="str">
        <f aca="false">IF($C1323="","",ROUND(N($K1323)-N($P1323),2))</f>
        <v/>
      </c>
      <c r="R1323" s="29" t="str">
        <f aca="false">IF($C1323="","",YEAR($C1323))</f>
        <v/>
      </c>
      <c r="S1323" s="24"/>
      <c r="T1323" s="35" t="str">
        <f aca="false">IF($C1323="","",IF($D1323="","★没选客户项目",IF(COUNTIF(合同键,$D1323)=0,"★《维保合同》里没这个项目",IF(N($K1323)&lt;=0,"★应收金额要填",IF(ROUND(N($N1323)-N($K1323),2)&gt;0.001,"★开票金额大于应收",IF(AND($L1323&lt;&gt;"",N($N1323)&lt;=0),"★填了开票日期没填开票金额",IF(AND($I1323&lt;&gt;"",$J1323&lt;&gt;"",$J1323&lt;$I1323),"★计费期间起止反了","OK")))))))</f>
        <v/>
      </c>
      <c r="U1323" s="29" t="str">
        <f aca="false">IF($L1323="","",YEAR($L1323))</f>
        <v/>
      </c>
      <c r="V1323" s="40" t="str">
        <f aca="false">IF($C1323="","",ROUND(SUMIF(收款关联,$B1323,收款金额),2))</f>
        <v/>
      </c>
      <c r="W1323" s="40" t="str">
        <f aca="false">IF($C1323="","",MAX(0,ROUND(N($K1323)-N($V1323),2)))</f>
        <v/>
      </c>
      <c r="X1323" s="40" t="str">
        <f aca="false">IF($C1323="","",ROUND(SUMIFS(应收净额,应收键,$D1323,应收行号,"&lt;="&amp;ROW()),2))</f>
        <v/>
      </c>
      <c r="Y1323" s="29" t="str">
        <f aca="false">IF($C1323="","",ROW())</f>
        <v/>
      </c>
    </row>
    <row r="1324" customFormat="false" ht="15" hidden="false" customHeight="false" outlineLevel="0" collapsed="false">
      <c r="A1324" s="29" t="str">
        <f aca="false">IF($C1324="","",ROW()-4)</f>
        <v/>
      </c>
      <c r="B1324" s="35" t="str">
        <f aca="false">IF($C1324="","","YS"&amp;TEXT($C1324,"yyyymm")&amp;"-"&amp;TEXT(ROW()-4,"0000"))</f>
        <v/>
      </c>
      <c r="C1324" s="33"/>
      <c r="D1324" s="24"/>
      <c r="E1324" s="30" t="str">
        <f aca="false">IF($D1324="","",IFERROR(INDEX(合同单位,MATCH($D1324,合同键,0)),IFERROR(TRIM(LEFT($D1324,FIND("｜",$D1324)-1)),$D1324)))</f>
        <v/>
      </c>
      <c r="F1324" s="30" t="str">
        <f aca="false">IF($D1324="","",IFERROR(INDEX(合同项目,MATCH($D1324,合同键,0)),IFERROR(TRIM(MID($D1324,FIND("｜",$D1324)+1,99)),"")))</f>
        <v/>
      </c>
      <c r="G1324" s="24"/>
      <c r="H1324" s="35" t="str">
        <f aca="false">IF($G1324="","",IFERROR(INDEX(费用款别,MATCH($G1324,费用类别表,0)),"合同外款"))</f>
        <v/>
      </c>
      <c r="I1324" s="33"/>
      <c r="J1324" s="33"/>
      <c r="K1324" s="39"/>
      <c r="L1324" s="33"/>
      <c r="M1324" s="25"/>
      <c r="N1324" s="39"/>
      <c r="O1324" s="35" t="str">
        <f aca="false">IF($C1324="","",IF(N($N1324)&lt;=0,"未开票",IF(ROUND(N($N1324)-N($K1324),2)&gt;=0,"已开票",IFERROR("部分开票 "&amp;TEXT(N($N1324)/N($K1324),"0%"),"部分开票"))))</f>
        <v/>
      </c>
      <c r="P1324" s="40" t="str">
        <f aca="false">IF($C1324="","",ROUND($V1324+MIN($W1324,MAX(0,(SUMIF(收款键,$D1324,收款金额)-SUMIFS(收款金额,收款键,$D1324,收款关联,"&lt;&gt;"))-($X1324-$W1324))),2))</f>
        <v/>
      </c>
      <c r="Q1324" s="41" t="str">
        <f aca="false">IF($C1324="","",ROUND(N($K1324)-N($P1324),2))</f>
        <v/>
      </c>
      <c r="R1324" s="29" t="str">
        <f aca="false">IF($C1324="","",YEAR($C1324))</f>
        <v/>
      </c>
      <c r="S1324" s="24"/>
      <c r="T1324" s="35" t="str">
        <f aca="false">IF($C1324="","",IF($D1324="","★没选客户项目",IF(COUNTIF(合同键,$D1324)=0,"★《维保合同》里没这个项目",IF(N($K1324)&lt;=0,"★应收金额要填",IF(ROUND(N($N1324)-N($K1324),2)&gt;0.001,"★开票金额大于应收",IF(AND($L1324&lt;&gt;"",N($N1324)&lt;=0),"★填了开票日期没填开票金额",IF(AND($I1324&lt;&gt;"",$J1324&lt;&gt;"",$J1324&lt;$I1324),"★计费期间起止反了","OK")))))))</f>
        <v/>
      </c>
      <c r="U1324" s="29" t="str">
        <f aca="false">IF($L1324="","",YEAR($L1324))</f>
        <v/>
      </c>
      <c r="V1324" s="40" t="str">
        <f aca="false">IF($C1324="","",ROUND(SUMIF(收款关联,$B1324,收款金额),2))</f>
        <v/>
      </c>
      <c r="W1324" s="40" t="str">
        <f aca="false">IF($C1324="","",MAX(0,ROUND(N($K1324)-N($V1324),2)))</f>
        <v/>
      </c>
      <c r="X1324" s="40" t="str">
        <f aca="false">IF($C1324="","",ROUND(SUMIFS(应收净额,应收键,$D1324,应收行号,"&lt;="&amp;ROW()),2))</f>
        <v/>
      </c>
      <c r="Y1324" s="29" t="str">
        <f aca="false">IF($C1324="","",ROW())</f>
        <v/>
      </c>
    </row>
    <row r="1325" customFormat="false" ht="15" hidden="false" customHeight="false" outlineLevel="0" collapsed="false">
      <c r="A1325" s="29" t="str">
        <f aca="false">IF($C1325="","",ROW()-4)</f>
        <v/>
      </c>
      <c r="B1325" s="35" t="str">
        <f aca="false">IF($C1325="","","YS"&amp;TEXT($C1325,"yyyymm")&amp;"-"&amp;TEXT(ROW()-4,"0000"))</f>
        <v/>
      </c>
      <c r="C1325" s="33"/>
      <c r="D1325" s="24"/>
      <c r="E1325" s="30" t="str">
        <f aca="false">IF($D1325="","",IFERROR(INDEX(合同单位,MATCH($D1325,合同键,0)),IFERROR(TRIM(LEFT($D1325,FIND("｜",$D1325)-1)),$D1325)))</f>
        <v/>
      </c>
      <c r="F1325" s="30" t="str">
        <f aca="false">IF($D1325="","",IFERROR(INDEX(合同项目,MATCH($D1325,合同键,0)),IFERROR(TRIM(MID($D1325,FIND("｜",$D1325)+1,99)),"")))</f>
        <v/>
      </c>
      <c r="G1325" s="24"/>
      <c r="H1325" s="35" t="str">
        <f aca="false">IF($G1325="","",IFERROR(INDEX(费用款别,MATCH($G1325,费用类别表,0)),"合同外款"))</f>
        <v/>
      </c>
      <c r="I1325" s="33"/>
      <c r="J1325" s="33"/>
      <c r="K1325" s="39"/>
      <c r="L1325" s="33"/>
      <c r="M1325" s="25"/>
      <c r="N1325" s="39"/>
      <c r="O1325" s="35" t="str">
        <f aca="false">IF($C1325="","",IF(N($N1325)&lt;=0,"未开票",IF(ROUND(N($N1325)-N($K1325),2)&gt;=0,"已开票",IFERROR("部分开票 "&amp;TEXT(N($N1325)/N($K1325),"0%"),"部分开票"))))</f>
        <v/>
      </c>
      <c r="P1325" s="40" t="str">
        <f aca="false">IF($C1325="","",ROUND($V1325+MIN($W1325,MAX(0,(SUMIF(收款键,$D1325,收款金额)-SUMIFS(收款金额,收款键,$D1325,收款关联,"&lt;&gt;"))-($X1325-$W1325))),2))</f>
        <v/>
      </c>
      <c r="Q1325" s="41" t="str">
        <f aca="false">IF($C1325="","",ROUND(N($K1325)-N($P1325),2))</f>
        <v/>
      </c>
      <c r="R1325" s="29" t="str">
        <f aca="false">IF($C1325="","",YEAR($C1325))</f>
        <v/>
      </c>
      <c r="S1325" s="24"/>
      <c r="T1325" s="35" t="str">
        <f aca="false">IF($C1325="","",IF($D1325="","★没选客户项目",IF(COUNTIF(合同键,$D1325)=0,"★《维保合同》里没这个项目",IF(N($K1325)&lt;=0,"★应收金额要填",IF(ROUND(N($N1325)-N($K1325),2)&gt;0.001,"★开票金额大于应收",IF(AND($L1325&lt;&gt;"",N($N1325)&lt;=0),"★填了开票日期没填开票金额",IF(AND($I1325&lt;&gt;"",$J1325&lt;&gt;"",$J1325&lt;$I1325),"★计费期间起止反了","OK")))))))</f>
        <v/>
      </c>
      <c r="U1325" s="29" t="str">
        <f aca="false">IF($L1325="","",YEAR($L1325))</f>
        <v/>
      </c>
      <c r="V1325" s="40" t="str">
        <f aca="false">IF($C1325="","",ROUND(SUMIF(收款关联,$B1325,收款金额),2))</f>
        <v/>
      </c>
      <c r="W1325" s="40" t="str">
        <f aca="false">IF($C1325="","",MAX(0,ROUND(N($K1325)-N($V1325),2)))</f>
        <v/>
      </c>
      <c r="X1325" s="40" t="str">
        <f aca="false">IF($C1325="","",ROUND(SUMIFS(应收净额,应收键,$D1325,应收行号,"&lt;="&amp;ROW()),2))</f>
        <v/>
      </c>
      <c r="Y1325" s="29" t="str">
        <f aca="false">IF($C1325="","",ROW())</f>
        <v/>
      </c>
    </row>
    <row r="1326" customFormat="false" ht="15" hidden="false" customHeight="false" outlineLevel="0" collapsed="false">
      <c r="A1326" s="29" t="str">
        <f aca="false">IF($C1326="","",ROW()-4)</f>
        <v/>
      </c>
      <c r="B1326" s="35" t="str">
        <f aca="false">IF($C1326="","","YS"&amp;TEXT($C1326,"yyyymm")&amp;"-"&amp;TEXT(ROW()-4,"0000"))</f>
        <v/>
      </c>
      <c r="C1326" s="33"/>
      <c r="D1326" s="24"/>
      <c r="E1326" s="30" t="str">
        <f aca="false">IF($D1326="","",IFERROR(INDEX(合同单位,MATCH($D1326,合同键,0)),IFERROR(TRIM(LEFT($D1326,FIND("｜",$D1326)-1)),$D1326)))</f>
        <v/>
      </c>
      <c r="F1326" s="30" t="str">
        <f aca="false">IF($D1326="","",IFERROR(INDEX(合同项目,MATCH($D1326,合同键,0)),IFERROR(TRIM(MID($D1326,FIND("｜",$D1326)+1,99)),"")))</f>
        <v/>
      </c>
      <c r="G1326" s="24"/>
      <c r="H1326" s="35" t="str">
        <f aca="false">IF($G1326="","",IFERROR(INDEX(费用款别,MATCH($G1326,费用类别表,0)),"合同外款"))</f>
        <v/>
      </c>
      <c r="I1326" s="33"/>
      <c r="J1326" s="33"/>
      <c r="K1326" s="39"/>
      <c r="L1326" s="33"/>
      <c r="M1326" s="25"/>
      <c r="N1326" s="39"/>
      <c r="O1326" s="35" t="str">
        <f aca="false">IF($C1326="","",IF(N($N1326)&lt;=0,"未开票",IF(ROUND(N($N1326)-N($K1326),2)&gt;=0,"已开票",IFERROR("部分开票 "&amp;TEXT(N($N1326)/N($K1326),"0%"),"部分开票"))))</f>
        <v/>
      </c>
      <c r="P1326" s="40" t="str">
        <f aca="false">IF($C1326="","",ROUND($V1326+MIN($W1326,MAX(0,(SUMIF(收款键,$D1326,收款金额)-SUMIFS(收款金额,收款键,$D1326,收款关联,"&lt;&gt;"))-($X1326-$W1326))),2))</f>
        <v/>
      </c>
      <c r="Q1326" s="41" t="str">
        <f aca="false">IF($C1326="","",ROUND(N($K1326)-N($P1326),2))</f>
        <v/>
      </c>
      <c r="R1326" s="29" t="str">
        <f aca="false">IF($C1326="","",YEAR($C1326))</f>
        <v/>
      </c>
      <c r="S1326" s="24"/>
      <c r="T1326" s="35" t="str">
        <f aca="false">IF($C1326="","",IF($D1326="","★没选客户项目",IF(COUNTIF(合同键,$D1326)=0,"★《维保合同》里没这个项目",IF(N($K1326)&lt;=0,"★应收金额要填",IF(ROUND(N($N1326)-N($K1326),2)&gt;0.001,"★开票金额大于应收",IF(AND($L1326&lt;&gt;"",N($N1326)&lt;=0),"★填了开票日期没填开票金额",IF(AND($I1326&lt;&gt;"",$J1326&lt;&gt;"",$J1326&lt;$I1326),"★计费期间起止反了","OK")))))))</f>
        <v/>
      </c>
      <c r="U1326" s="29" t="str">
        <f aca="false">IF($L1326="","",YEAR($L1326))</f>
        <v/>
      </c>
      <c r="V1326" s="40" t="str">
        <f aca="false">IF($C1326="","",ROUND(SUMIF(收款关联,$B1326,收款金额),2))</f>
        <v/>
      </c>
      <c r="W1326" s="40" t="str">
        <f aca="false">IF($C1326="","",MAX(0,ROUND(N($K1326)-N($V1326),2)))</f>
        <v/>
      </c>
      <c r="X1326" s="40" t="str">
        <f aca="false">IF($C1326="","",ROUND(SUMIFS(应收净额,应收键,$D1326,应收行号,"&lt;="&amp;ROW()),2))</f>
        <v/>
      </c>
      <c r="Y1326" s="29" t="str">
        <f aca="false">IF($C1326="","",ROW())</f>
        <v/>
      </c>
    </row>
    <row r="1327" customFormat="false" ht="15" hidden="false" customHeight="false" outlineLevel="0" collapsed="false">
      <c r="A1327" s="29" t="str">
        <f aca="false">IF($C1327="","",ROW()-4)</f>
        <v/>
      </c>
      <c r="B1327" s="35" t="str">
        <f aca="false">IF($C1327="","","YS"&amp;TEXT($C1327,"yyyymm")&amp;"-"&amp;TEXT(ROW()-4,"0000"))</f>
        <v/>
      </c>
      <c r="C1327" s="33"/>
      <c r="D1327" s="24"/>
      <c r="E1327" s="30" t="str">
        <f aca="false">IF($D1327="","",IFERROR(INDEX(合同单位,MATCH($D1327,合同键,0)),IFERROR(TRIM(LEFT($D1327,FIND("｜",$D1327)-1)),$D1327)))</f>
        <v/>
      </c>
      <c r="F1327" s="30" t="str">
        <f aca="false">IF($D1327="","",IFERROR(INDEX(合同项目,MATCH($D1327,合同键,0)),IFERROR(TRIM(MID($D1327,FIND("｜",$D1327)+1,99)),"")))</f>
        <v/>
      </c>
      <c r="G1327" s="24"/>
      <c r="H1327" s="35" t="str">
        <f aca="false">IF($G1327="","",IFERROR(INDEX(费用款别,MATCH($G1327,费用类别表,0)),"合同外款"))</f>
        <v/>
      </c>
      <c r="I1327" s="33"/>
      <c r="J1327" s="33"/>
      <c r="K1327" s="39"/>
      <c r="L1327" s="33"/>
      <c r="M1327" s="25"/>
      <c r="N1327" s="39"/>
      <c r="O1327" s="35" t="str">
        <f aca="false">IF($C1327="","",IF(N($N1327)&lt;=0,"未开票",IF(ROUND(N($N1327)-N($K1327),2)&gt;=0,"已开票",IFERROR("部分开票 "&amp;TEXT(N($N1327)/N($K1327),"0%"),"部分开票"))))</f>
        <v/>
      </c>
      <c r="P1327" s="40" t="str">
        <f aca="false">IF($C1327="","",ROUND($V1327+MIN($W1327,MAX(0,(SUMIF(收款键,$D1327,收款金额)-SUMIFS(收款金额,收款键,$D1327,收款关联,"&lt;&gt;"))-($X1327-$W1327))),2))</f>
        <v/>
      </c>
      <c r="Q1327" s="41" t="str">
        <f aca="false">IF($C1327="","",ROUND(N($K1327)-N($P1327),2))</f>
        <v/>
      </c>
      <c r="R1327" s="29" t="str">
        <f aca="false">IF($C1327="","",YEAR($C1327))</f>
        <v/>
      </c>
      <c r="S1327" s="24"/>
      <c r="T1327" s="35" t="str">
        <f aca="false">IF($C1327="","",IF($D1327="","★没选客户项目",IF(COUNTIF(合同键,$D1327)=0,"★《维保合同》里没这个项目",IF(N($K1327)&lt;=0,"★应收金额要填",IF(ROUND(N($N1327)-N($K1327),2)&gt;0.001,"★开票金额大于应收",IF(AND($L1327&lt;&gt;"",N($N1327)&lt;=0),"★填了开票日期没填开票金额",IF(AND($I1327&lt;&gt;"",$J1327&lt;&gt;"",$J1327&lt;$I1327),"★计费期间起止反了","OK")))))))</f>
        <v/>
      </c>
      <c r="U1327" s="29" t="str">
        <f aca="false">IF($L1327="","",YEAR($L1327))</f>
        <v/>
      </c>
      <c r="V1327" s="40" t="str">
        <f aca="false">IF($C1327="","",ROUND(SUMIF(收款关联,$B1327,收款金额),2))</f>
        <v/>
      </c>
      <c r="W1327" s="40" t="str">
        <f aca="false">IF($C1327="","",MAX(0,ROUND(N($K1327)-N($V1327),2)))</f>
        <v/>
      </c>
      <c r="X1327" s="40" t="str">
        <f aca="false">IF($C1327="","",ROUND(SUMIFS(应收净额,应收键,$D1327,应收行号,"&lt;="&amp;ROW()),2))</f>
        <v/>
      </c>
      <c r="Y1327" s="29" t="str">
        <f aca="false">IF($C1327="","",ROW())</f>
        <v/>
      </c>
    </row>
    <row r="1328" customFormat="false" ht="15" hidden="false" customHeight="false" outlineLevel="0" collapsed="false">
      <c r="A1328" s="29" t="str">
        <f aca="false">IF($C1328="","",ROW()-4)</f>
        <v/>
      </c>
      <c r="B1328" s="35" t="str">
        <f aca="false">IF($C1328="","","YS"&amp;TEXT($C1328,"yyyymm")&amp;"-"&amp;TEXT(ROW()-4,"0000"))</f>
        <v/>
      </c>
      <c r="C1328" s="33"/>
      <c r="D1328" s="24"/>
      <c r="E1328" s="30" t="str">
        <f aca="false">IF($D1328="","",IFERROR(INDEX(合同单位,MATCH($D1328,合同键,0)),IFERROR(TRIM(LEFT($D1328,FIND("｜",$D1328)-1)),$D1328)))</f>
        <v/>
      </c>
      <c r="F1328" s="30" t="str">
        <f aca="false">IF($D1328="","",IFERROR(INDEX(合同项目,MATCH($D1328,合同键,0)),IFERROR(TRIM(MID($D1328,FIND("｜",$D1328)+1,99)),"")))</f>
        <v/>
      </c>
      <c r="G1328" s="24"/>
      <c r="H1328" s="35" t="str">
        <f aca="false">IF($G1328="","",IFERROR(INDEX(费用款别,MATCH($G1328,费用类别表,0)),"合同外款"))</f>
        <v/>
      </c>
      <c r="I1328" s="33"/>
      <c r="J1328" s="33"/>
      <c r="K1328" s="39"/>
      <c r="L1328" s="33"/>
      <c r="M1328" s="25"/>
      <c r="N1328" s="39"/>
      <c r="O1328" s="35" t="str">
        <f aca="false">IF($C1328="","",IF(N($N1328)&lt;=0,"未开票",IF(ROUND(N($N1328)-N($K1328),2)&gt;=0,"已开票",IFERROR("部分开票 "&amp;TEXT(N($N1328)/N($K1328),"0%"),"部分开票"))))</f>
        <v/>
      </c>
      <c r="P1328" s="40" t="str">
        <f aca="false">IF($C1328="","",ROUND($V1328+MIN($W1328,MAX(0,(SUMIF(收款键,$D1328,收款金额)-SUMIFS(收款金额,收款键,$D1328,收款关联,"&lt;&gt;"))-($X1328-$W1328))),2))</f>
        <v/>
      </c>
      <c r="Q1328" s="41" t="str">
        <f aca="false">IF($C1328="","",ROUND(N($K1328)-N($P1328),2))</f>
        <v/>
      </c>
      <c r="R1328" s="29" t="str">
        <f aca="false">IF($C1328="","",YEAR($C1328))</f>
        <v/>
      </c>
      <c r="S1328" s="24"/>
      <c r="T1328" s="35" t="str">
        <f aca="false">IF($C1328="","",IF($D1328="","★没选客户项目",IF(COUNTIF(合同键,$D1328)=0,"★《维保合同》里没这个项目",IF(N($K1328)&lt;=0,"★应收金额要填",IF(ROUND(N($N1328)-N($K1328),2)&gt;0.001,"★开票金额大于应收",IF(AND($L1328&lt;&gt;"",N($N1328)&lt;=0),"★填了开票日期没填开票金额",IF(AND($I1328&lt;&gt;"",$J1328&lt;&gt;"",$J1328&lt;$I1328),"★计费期间起止反了","OK")))))))</f>
        <v/>
      </c>
      <c r="U1328" s="29" t="str">
        <f aca="false">IF($L1328="","",YEAR($L1328))</f>
        <v/>
      </c>
      <c r="V1328" s="40" t="str">
        <f aca="false">IF($C1328="","",ROUND(SUMIF(收款关联,$B1328,收款金额),2))</f>
        <v/>
      </c>
      <c r="W1328" s="40" t="str">
        <f aca="false">IF($C1328="","",MAX(0,ROUND(N($K1328)-N($V1328),2)))</f>
        <v/>
      </c>
      <c r="X1328" s="40" t="str">
        <f aca="false">IF($C1328="","",ROUND(SUMIFS(应收净额,应收键,$D1328,应收行号,"&lt;="&amp;ROW()),2))</f>
        <v/>
      </c>
      <c r="Y1328" s="29" t="str">
        <f aca="false">IF($C1328="","",ROW())</f>
        <v/>
      </c>
    </row>
    <row r="1329" customFormat="false" ht="15" hidden="false" customHeight="false" outlineLevel="0" collapsed="false">
      <c r="A1329" s="29" t="str">
        <f aca="false">IF($C1329="","",ROW()-4)</f>
        <v/>
      </c>
      <c r="B1329" s="35" t="str">
        <f aca="false">IF($C1329="","","YS"&amp;TEXT($C1329,"yyyymm")&amp;"-"&amp;TEXT(ROW()-4,"0000"))</f>
        <v/>
      </c>
      <c r="C1329" s="33"/>
      <c r="D1329" s="24"/>
      <c r="E1329" s="30" t="str">
        <f aca="false">IF($D1329="","",IFERROR(INDEX(合同单位,MATCH($D1329,合同键,0)),IFERROR(TRIM(LEFT($D1329,FIND("｜",$D1329)-1)),$D1329)))</f>
        <v/>
      </c>
      <c r="F1329" s="30" t="str">
        <f aca="false">IF($D1329="","",IFERROR(INDEX(合同项目,MATCH($D1329,合同键,0)),IFERROR(TRIM(MID($D1329,FIND("｜",$D1329)+1,99)),"")))</f>
        <v/>
      </c>
      <c r="G1329" s="24"/>
      <c r="H1329" s="35" t="str">
        <f aca="false">IF($G1329="","",IFERROR(INDEX(费用款别,MATCH($G1329,费用类别表,0)),"合同外款"))</f>
        <v/>
      </c>
      <c r="I1329" s="33"/>
      <c r="J1329" s="33"/>
      <c r="K1329" s="39"/>
      <c r="L1329" s="33"/>
      <c r="M1329" s="25"/>
      <c r="N1329" s="39"/>
      <c r="O1329" s="35" t="str">
        <f aca="false">IF($C1329="","",IF(N($N1329)&lt;=0,"未开票",IF(ROUND(N($N1329)-N($K1329),2)&gt;=0,"已开票",IFERROR("部分开票 "&amp;TEXT(N($N1329)/N($K1329),"0%"),"部分开票"))))</f>
        <v/>
      </c>
      <c r="P1329" s="40" t="str">
        <f aca="false">IF($C1329="","",ROUND($V1329+MIN($W1329,MAX(0,(SUMIF(收款键,$D1329,收款金额)-SUMIFS(收款金额,收款键,$D1329,收款关联,"&lt;&gt;"))-($X1329-$W1329))),2))</f>
        <v/>
      </c>
      <c r="Q1329" s="41" t="str">
        <f aca="false">IF($C1329="","",ROUND(N($K1329)-N($P1329),2))</f>
        <v/>
      </c>
      <c r="R1329" s="29" t="str">
        <f aca="false">IF($C1329="","",YEAR($C1329))</f>
        <v/>
      </c>
      <c r="S1329" s="24"/>
      <c r="T1329" s="35" t="str">
        <f aca="false">IF($C1329="","",IF($D1329="","★没选客户项目",IF(COUNTIF(合同键,$D1329)=0,"★《维保合同》里没这个项目",IF(N($K1329)&lt;=0,"★应收金额要填",IF(ROUND(N($N1329)-N($K1329),2)&gt;0.001,"★开票金额大于应收",IF(AND($L1329&lt;&gt;"",N($N1329)&lt;=0),"★填了开票日期没填开票金额",IF(AND($I1329&lt;&gt;"",$J1329&lt;&gt;"",$J1329&lt;$I1329),"★计费期间起止反了","OK")))))))</f>
        <v/>
      </c>
      <c r="U1329" s="29" t="str">
        <f aca="false">IF($L1329="","",YEAR($L1329))</f>
        <v/>
      </c>
      <c r="V1329" s="40" t="str">
        <f aca="false">IF($C1329="","",ROUND(SUMIF(收款关联,$B1329,收款金额),2))</f>
        <v/>
      </c>
      <c r="W1329" s="40" t="str">
        <f aca="false">IF($C1329="","",MAX(0,ROUND(N($K1329)-N($V1329),2)))</f>
        <v/>
      </c>
      <c r="X1329" s="40" t="str">
        <f aca="false">IF($C1329="","",ROUND(SUMIFS(应收净额,应收键,$D1329,应收行号,"&lt;="&amp;ROW()),2))</f>
        <v/>
      </c>
      <c r="Y1329" s="29" t="str">
        <f aca="false">IF($C1329="","",ROW())</f>
        <v/>
      </c>
    </row>
    <row r="1330" customFormat="false" ht="15" hidden="false" customHeight="false" outlineLevel="0" collapsed="false">
      <c r="A1330" s="29" t="str">
        <f aca="false">IF($C1330="","",ROW()-4)</f>
        <v/>
      </c>
      <c r="B1330" s="35" t="str">
        <f aca="false">IF($C1330="","","YS"&amp;TEXT($C1330,"yyyymm")&amp;"-"&amp;TEXT(ROW()-4,"0000"))</f>
        <v/>
      </c>
      <c r="C1330" s="33"/>
      <c r="D1330" s="24"/>
      <c r="E1330" s="30" t="str">
        <f aca="false">IF($D1330="","",IFERROR(INDEX(合同单位,MATCH($D1330,合同键,0)),IFERROR(TRIM(LEFT($D1330,FIND("｜",$D1330)-1)),$D1330)))</f>
        <v/>
      </c>
      <c r="F1330" s="30" t="str">
        <f aca="false">IF($D1330="","",IFERROR(INDEX(合同项目,MATCH($D1330,合同键,0)),IFERROR(TRIM(MID($D1330,FIND("｜",$D1330)+1,99)),"")))</f>
        <v/>
      </c>
      <c r="G1330" s="24"/>
      <c r="H1330" s="35" t="str">
        <f aca="false">IF($G1330="","",IFERROR(INDEX(费用款别,MATCH($G1330,费用类别表,0)),"合同外款"))</f>
        <v/>
      </c>
      <c r="I1330" s="33"/>
      <c r="J1330" s="33"/>
      <c r="K1330" s="39"/>
      <c r="L1330" s="33"/>
      <c r="M1330" s="25"/>
      <c r="N1330" s="39"/>
      <c r="O1330" s="35" t="str">
        <f aca="false">IF($C1330="","",IF(N($N1330)&lt;=0,"未开票",IF(ROUND(N($N1330)-N($K1330),2)&gt;=0,"已开票",IFERROR("部分开票 "&amp;TEXT(N($N1330)/N($K1330),"0%"),"部分开票"))))</f>
        <v/>
      </c>
      <c r="P1330" s="40" t="str">
        <f aca="false">IF($C1330="","",ROUND($V1330+MIN($W1330,MAX(0,(SUMIF(收款键,$D1330,收款金额)-SUMIFS(收款金额,收款键,$D1330,收款关联,"&lt;&gt;"))-($X1330-$W1330))),2))</f>
        <v/>
      </c>
      <c r="Q1330" s="41" t="str">
        <f aca="false">IF($C1330="","",ROUND(N($K1330)-N($P1330),2))</f>
        <v/>
      </c>
      <c r="R1330" s="29" t="str">
        <f aca="false">IF($C1330="","",YEAR($C1330))</f>
        <v/>
      </c>
      <c r="S1330" s="24"/>
      <c r="T1330" s="35" t="str">
        <f aca="false">IF($C1330="","",IF($D1330="","★没选客户项目",IF(COUNTIF(合同键,$D1330)=0,"★《维保合同》里没这个项目",IF(N($K1330)&lt;=0,"★应收金额要填",IF(ROUND(N($N1330)-N($K1330),2)&gt;0.001,"★开票金额大于应收",IF(AND($L1330&lt;&gt;"",N($N1330)&lt;=0),"★填了开票日期没填开票金额",IF(AND($I1330&lt;&gt;"",$J1330&lt;&gt;"",$J1330&lt;$I1330),"★计费期间起止反了","OK")))))))</f>
        <v/>
      </c>
      <c r="U1330" s="29" t="str">
        <f aca="false">IF($L1330="","",YEAR($L1330))</f>
        <v/>
      </c>
      <c r="V1330" s="40" t="str">
        <f aca="false">IF($C1330="","",ROUND(SUMIF(收款关联,$B1330,收款金额),2))</f>
        <v/>
      </c>
      <c r="W1330" s="40" t="str">
        <f aca="false">IF($C1330="","",MAX(0,ROUND(N($K1330)-N($V1330),2)))</f>
        <v/>
      </c>
      <c r="X1330" s="40" t="str">
        <f aca="false">IF($C1330="","",ROUND(SUMIFS(应收净额,应收键,$D1330,应收行号,"&lt;="&amp;ROW()),2))</f>
        <v/>
      </c>
      <c r="Y1330" s="29" t="str">
        <f aca="false">IF($C1330="","",ROW())</f>
        <v/>
      </c>
    </row>
    <row r="1331" customFormat="false" ht="15" hidden="false" customHeight="false" outlineLevel="0" collapsed="false">
      <c r="A1331" s="29" t="str">
        <f aca="false">IF($C1331="","",ROW()-4)</f>
        <v/>
      </c>
      <c r="B1331" s="35" t="str">
        <f aca="false">IF($C1331="","","YS"&amp;TEXT($C1331,"yyyymm")&amp;"-"&amp;TEXT(ROW()-4,"0000"))</f>
        <v/>
      </c>
      <c r="C1331" s="33"/>
      <c r="D1331" s="24"/>
      <c r="E1331" s="30" t="str">
        <f aca="false">IF($D1331="","",IFERROR(INDEX(合同单位,MATCH($D1331,合同键,0)),IFERROR(TRIM(LEFT($D1331,FIND("｜",$D1331)-1)),$D1331)))</f>
        <v/>
      </c>
      <c r="F1331" s="30" t="str">
        <f aca="false">IF($D1331="","",IFERROR(INDEX(合同项目,MATCH($D1331,合同键,0)),IFERROR(TRIM(MID($D1331,FIND("｜",$D1331)+1,99)),"")))</f>
        <v/>
      </c>
      <c r="G1331" s="24"/>
      <c r="H1331" s="35" t="str">
        <f aca="false">IF($G1331="","",IFERROR(INDEX(费用款别,MATCH($G1331,费用类别表,0)),"合同外款"))</f>
        <v/>
      </c>
      <c r="I1331" s="33"/>
      <c r="J1331" s="33"/>
      <c r="K1331" s="39"/>
      <c r="L1331" s="33"/>
      <c r="M1331" s="25"/>
      <c r="N1331" s="39"/>
      <c r="O1331" s="35" t="str">
        <f aca="false">IF($C1331="","",IF(N($N1331)&lt;=0,"未开票",IF(ROUND(N($N1331)-N($K1331),2)&gt;=0,"已开票",IFERROR("部分开票 "&amp;TEXT(N($N1331)/N($K1331),"0%"),"部分开票"))))</f>
        <v/>
      </c>
      <c r="P1331" s="40" t="str">
        <f aca="false">IF($C1331="","",ROUND($V1331+MIN($W1331,MAX(0,(SUMIF(收款键,$D1331,收款金额)-SUMIFS(收款金额,收款键,$D1331,收款关联,"&lt;&gt;"))-($X1331-$W1331))),2))</f>
        <v/>
      </c>
      <c r="Q1331" s="41" t="str">
        <f aca="false">IF($C1331="","",ROUND(N($K1331)-N($P1331),2))</f>
        <v/>
      </c>
      <c r="R1331" s="29" t="str">
        <f aca="false">IF($C1331="","",YEAR($C1331))</f>
        <v/>
      </c>
      <c r="S1331" s="24"/>
      <c r="T1331" s="35" t="str">
        <f aca="false">IF($C1331="","",IF($D1331="","★没选客户项目",IF(COUNTIF(合同键,$D1331)=0,"★《维保合同》里没这个项目",IF(N($K1331)&lt;=0,"★应收金额要填",IF(ROUND(N($N1331)-N($K1331),2)&gt;0.001,"★开票金额大于应收",IF(AND($L1331&lt;&gt;"",N($N1331)&lt;=0),"★填了开票日期没填开票金额",IF(AND($I1331&lt;&gt;"",$J1331&lt;&gt;"",$J1331&lt;$I1331),"★计费期间起止反了","OK")))))))</f>
        <v/>
      </c>
      <c r="U1331" s="29" t="str">
        <f aca="false">IF($L1331="","",YEAR($L1331))</f>
        <v/>
      </c>
      <c r="V1331" s="40" t="str">
        <f aca="false">IF($C1331="","",ROUND(SUMIF(收款关联,$B1331,收款金额),2))</f>
        <v/>
      </c>
      <c r="W1331" s="40" t="str">
        <f aca="false">IF($C1331="","",MAX(0,ROUND(N($K1331)-N($V1331),2)))</f>
        <v/>
      </c>
      <c r="X1331" s="40" t="str">
        <f aca="false">IF($C1331="","",ROUND(SUMIFS(应收净额,应收键,$D1331,应收行号,"&lt;="&amp;ROW()),2))</f>
        <v/>
      </c>
      <c r="Y1331" s="29" t="str">
        <f aca="false">IF($C1331="","",ROW())</f>
        <v/>
      </c>
    </row>
    <row r="1332" customFormat="false" ht="15" hidden="false" customHeight="false" outlineLevel="0" collapsed="false">
      <c r="A1332" s="29" t="str">
        <f aca="false">IF($C1332="","",ROW()-4)</f>
        <v/>
      </c>
      <c r="B1332" s="35" t="str">
        <f aca="false">IF($C1332="","","YS"&amp;TEXT($C1332,"yyyymm")&amp;"-"&amp;TEXT(ROW()-4,"0000"))</f>
        <v/>
      </c>
      <c r="C1332" s="33"/>
      <c r="D1332" s="24"/>
      <c r="E1332" s="30" t="str">
        <f aca="false">IF($D1332="","",IFERROR(INDEX(合同单位,MATCH($D1332,合同键,0)),IFERROR(TRIM(LEFT($D1332,FIND("｜",$D1332)-1)),$D1332)))</f>
        <v/>
      </c>
      <c r="F1332" s="30" t="str">
        <f aca="false">IF($D1332="","",IFERROR(INDEX(合同项目,MATCH($D1332,合同键,0)),IFERROR(TRIM(MID($D1332,FIND("｜",$D1332)+1,99)),"")))</f>
        <v/>
      </c>
      <c r="G1332" s="24"/>
      <c r="H1332" s="35" t="str">
        <f aca="false">IF($G1332="","",IFERROR(INDEX(费用款别,MATCH($G1332,费用类别表,0)),"合同外款"))</f>
        <v/>
      </c>
      <c r="I1332" s="33"/>
      <c r="J1332" s="33"/>
      <c r="K1332" s="39"/>
      <c r="L1332" s="33"/>
      <c r="M1332" s="25"/>
      <c r="N1332" s="39"/>
      <c r="O1332" s="35" t="str">
        <f aca="false">IF($C1332="","",IF(N($N1332)&lt;=0,"未开票",IF(ROUND(N($N1332)-N($K1332),2)&gt;=0,"已开票",IFERROR("部分开票 "&amp;TEXT(N($N1332)/N($K1332),"0%"),"部分开票"))))</f>
        <v/>
      </c>
      <c r="P1332" s="40" t="str">
        <f aca="false">IF($C1332="","",ROUND($V1332+MIN($W1332,MAX(0,(SUMIF(收款键,$D1332,收款金额)-SUMIFS(收款金额,收款键,$D1332,收款关联,"&lt;&gt;"))-($X1332-$W1332))),2))</f>
        <v/>
      </c>
      <c r="Q1332" s="41" t="str">
        <f aca="false">IF($C1332="","",ROUND(N($K1332)-N($P1332),2))</f>
        <v/>
      </c>
      <c r="R1332" s="29" t="str">
        <f aca="false">IF($C1332="","",YEAR($C1332))</f>
        <v/>
      </c>
      <c r="S1332" s="24"/>
      <c r="T1332" s="35" t="str">
        <f aca="false">IF($C1332="","",IF($D1332="","★没选客户项目",IF(COUNTIF(合同键,$D1332)=0,"★《维保合同》里没这个项目",IF(N($K1332)&lt;=0,"★应收金额要填",IF(ROUND(N($N1332)-N($K1332),2)&gt;0.001,"★开票金额大于应收",IF(AND($L1332&lt;&gt;"",N($N1332)&lt;=0),"★填了开票日期没填开票金额",IF(AND($I1332&lt;&gt;"",$J1332&lt;&gt;"",$J1332&lt;$I1332),"★计费期间起止反了","OK")))))))</f>
        <v/>
      </c>
      <c r="U1332" s="29" t="str">
        <f aca="false">IF($L1332="","",YEAR($L1332))</f>
        <v/>
      </c>
      <c r="V1332" s="40" t="str">
        <f aca="false">IF($C1332="","",ROUND(SUMIF(收款关联,$B1332,收款金额),2))</f>
        <v/>
      </c>
      <c r="W1332" s="40" t="str">
        <f aca="false">IF($C1332="","",MAX(0,ROUND(N($K1332)-N($V1332),2)))</f>
        <v/>
      </c>
      <c r="X1332" s="40" t="str">
        <f aca="false">IF($C1332="","",ROUND(SUMIFS(应收净额,应收键,$D1332,应收行号,"&lt;="&amp;ROW()),2))</f>
        <v/>
      </c>
      <c r="Y1332" s="29" t="str">
        <f aca="false">IF($C1332="","",ROW())</f>
        <v/>
      </c>
    </row>
    <row r="1333" customFormat="false" ht="15" hidden="false" customHeight="false" outlineLevel="0" collapsed="false">
      <c r="A1333" s="29" t="str">
        <f aca="false">IF($C1333="","",ROW()-4)</f>
        <v/>
      </c>
      <c r="B1333" s="35" t="str">
        <f aca="false">IF($C1333="","","YS"&amp;TEXT($C1333,"yyyymm")&amp;"-"&amp;TEXT(ROW()-4,"0000"))</f>
        <v/>
      </c>
      <c r="C1333" s="33"/>
      <c r="D1333" s="24"/>
      <c r="E1333" s="30" t="str">
        <f aca="false">IF($D1333="","",IFERROR(INDEX(合同单位,MATCH($D1333,合同键,0)),IFERROR(TRIM(LEFT($D1333,FIND("｜",$D1333)-1)),$D1333)))</f>
        <v/>
      </c>
      <c r="F1333" s="30" t="str">
        <f aca="false">IF($D1333="","",IFERROR(INDEX(合同项目,MATCH($D1333,合同键,0)),IFERROR(TRIM(MID($D1333,FIND("｜",$D1333)+1,99)),"")))</f>
        <v/>
      </c>
      <c r="G1333" s="24"/>
      <c r="H1333" s="35" t="str">
        <f aca="false">IF($G1333="","",IFERROR(INDEX(费用款别,MATCH($G1333,费用类别表,0)),"合同外款"))</f>
        <v/>
      </c>
      <c r="I1333" s="33"/>
      <c r="J1333" s="33"/>
      <c r="K1333" s="39"/>
      <c r="L1333" s="33"/>
      <c r="M1333" s="25"/>
      <c r="N1333" s="39"/>
      <c r="O1333" s="35" t="str">
        <f aca="false">IF($C1333="","",IF(N($N1333)&lt;=0,"未开票",IF(ROUND(N($N1333)-N($K1333),2)&gt;=0,"已开票",IFERROR("部分开票 "&amp;TEXT(N($N1333)/N($K1333),"0%"),"部分开票"))))</f>
        <v/>
      </c>
      <c r="P1333" s="40" t="str">
        <f aca="false">IF($C1333="","",ROUND($V1333+MIN($W1333,MAX(0,(SUMIF(收款键,$D1333,收款金额)-SUMIFS(收款金额,收款键,$D1333,收款关联,"&lt;&gt;"))-($X1333-$W1333))),2))</f>
        <v/>
      </c>
      <c r="Q1333" s="41" t="str">
        <f aca="false">IF($C1333="","",ROUND(N($K1333)-N($P1333),2))</f>
        <v/>
      </c>
      <c r="R1333" s="29" t="str">
        <f aca="false">IF($C1333="","",YEAR($C1333))</f>
        <v/>
      </c>
      <c r="S1333" s="24"/>
      <c r="T1333" s="35" t="str">
        <f aca="false">IF($C1333="","",IF($D1333="","★没选客户项目",IF(COUNTIF(合同键,$D1333)=0,"★《维保合同》里没这个项目",IF(N($K1333)&lt;=0,"★应收金额要填",IF(ROUND(N($N1333)-N($K1333),2)&gt;0.001,"★开票金额大于应收",IF(AND($L1333&lt;&gt;"",N($N1333)&lt;=0),"★填了开票日期没填开票金额",IF(AND($I1333&lt;&gt;"",$J1333&lt;&gt;"",$J1333&lt;$I1333),"★计费期间起止反了","OK")))))))</f>
        <v/>
      </c>
      <c r="U1333" s="29" t="str">
        <f aca="false">IF($L1333="","",YEAR($L1333))</f>
        <v/>
      </c>
      <c r="V1333" s="40" t="str">
        <f aca="false">IF($C1333="","",ROUND(SUMIF(收款关联,$B1333,收款金额),2))</f>
        <v/>
      </c>
      <c r="W1333" s="40" t="str">
        <f aca="false">IF($C1333="","",MAX(0,ROUND(N($K1333)-N($V1333),2)))</f>
        <v/>
      </c>
      <c r="X1333" s="40" t="str">
        <f aca="false">IF($C1333="","",ROUND(SUMIFS(应收净额,应收键,$D1333,应收行号,"&lt;="&amp;ROW()),2))</f>
        <v/>
      </c>
      <c r="Y1333" s="29" t="str">
        <f aca="false">IF($C1333="","",ROW())</f>
        <v/>
      </c>
    </row>
    <row r="1334" customFormat="false" ht="15" hidden="false" customHeight="false" outlineLevel="0" collapsed="false">
      <c r="A1334" s="29" t="str">
        <f aca="false">IF($C1334="","",ROW()-4)</f>
        <v/>
      </c>
      <c r="B1334" s="35" t="str">
        <f aca="false">IF($C1334="","","YS"&amp;TEXT($C1334,"yyyymm")&amp;"-"&amp;TEXT(ROW()-4,"0000"))</f>
        <v/>
      </c>
      <c r="C1334" s="33"/>
      <c r="D1334" s="24"/>
      <c r="E1334" s="30" t="str">
        <f aca="false">IF($D1334="","",IFERROR(INDEX(合同单位,MATCH($D1334,合同键,0)),IFERROR(TRIM(LEFT($D1334,FIND("｜",$D1334)-1)),$D1334)))</f>
        <v/>
      </c>
      <c r="F1334" s="30" t="str">
        <f aca="false">IF($D1334="","",IFERROR(INDEX(合同项目,MATCH($D1334,合同键,0)),IFERROR(TRIM(MID($D1334,FIND("｜",$D1334)+1,99)),"")))</f>
        <v/>
      </c>
      <c r="G1334" s="24"/>
      <c r="H1334" s="35" t="str">
        <f aca="false">IF($G1334="","",IFERROR(INDEX(费用款别,MATCH($G1334,费用类别表,0)),"合同外款"))</f>
        <v/>
      </c>
      <c r="I1334" s="33"/>
      <c r="J1334" s="33"/>
      <c r="K1334" s="39"/>
      <c r="L1334" s="33"/>
      <c r="M1334" s="25"/>
      <c r="N1334" s="39"/>
      <c r="O1334" s="35" t="str">
        <f aca="false">IF($C1334="","",IF(N($N1334)&lt;=0,"未开票",IF(ROUND(N($N1334)-N($K1334),2)&gt;=0,"已开票",IFERROR("部分开票 "&amp;TEXT(N($N1334)/N($K1334),"0%"),"部分开票"))))</f>
        <v/>
      </c>
      <c r="P1334" s="40" t="str">
        <f aca="false">IF($C1334="","",ROUND($V1334+MIN($W1334,MAX(0,(SUMIF(收款键,$D1334,收款金额)-SUMIFS(收款金额,收款键,$D1334,收款关联,"&lt;&gt;"))-($X1334-$W1334))),2))</f>
        <v/>
      </c>
      <c r="Q1334" s="41" t="str">
        <f aca="false">IF($C1334="","",ROUND(N($K1334)-N($P1334),2))</f>
        <v/>
      </c>
      <c r="R1334" s="29" t="str">
        <f aca="false">IF($C1334="","",YEAR($C1334))</f>
        <v/>
      </c>
      <c r="S1334" s="24"/>
      <c r="T1334" s="35" t="str">
        <f aca="false">IF($C1334="","",IF($D1334="","★没选客户项目",IF(COUNTIF(合同键,$D1334)=0,"★《维保合同》里没这个项目",IF(N($K1334)&lt;=0,"★应收金额要填",IF(ROUND(N($N1334)-N($K1334),2)&gt;0.001,"★开票金额大于应收",IF(AND($L1334&lt;&gt;"",N($N1334)&lt;=0),"★填了开票日期没填开票金额",IF(AND($I1334&lt;&gt;"",$J1334&lt;&gt;"",$J1334&lt;$I1334),"★计费期间起止反了","OK")))))))</f>
        <v/>
      </c>
      <c r="U1334" s="29" t="str">
        <f aca="false">IF($L1334="","",YEAR($L1334))</f>
        <v/>
      </c>
      <c r="V1334" s="40" t="str">
        <f aca="false">IF($C1334="","",ROUND(SUMIF(收款关联,$B1334,收款金额),2))</f>
        <v/>
      </c>
      <c r="W1334" s="40" t="str">
        <f aca="false">IF($C1334="","",MAX(0,ROUND(N($K1334)-N($V1334),2)))</f>
        <v/>
      </c>
      <c r="X1334" s="40" t="str">
        <f aca="false">IF($C1334="","",ROUND(SUMIFS(应收净额,应收键,$D1334,应收行号,"&lt;="&amp;ROW()),2))</f>
        <v/>
      </c>
      <c r="Y1334" s="29" t="str">
        <f aca="false">IF($C1334="","",ROW())</f>
        <v/>
      </c>
    </row>
    <row r="1335" customFormat="false" ht="15" hidden="false" customHeight="false" outlineLevel="0" collapsed="false">
      <c r="A1335" s="29" t="str">
        <f aca="false">IF($C1335="","",ROW()-4)</f>
        <v/>
      </c>
      <c r="B1335" s="35" t="str">
        <f aca="false">IF($C1335="","","YS"&amp;TEXT($C1335,"yyyymm")&amp;"-"&amp;TEXT(ROW()-4,"0000"))</f>
        <v/>
      </c>
      <c r="C1335" s="33"/>
      <c r="D1335" s="24"/>
      <c r="E1335" s="30" t="str">
        <f aca="false">IF($D1335="","",IFERROR(INDEX(合同单位,MATCH($D1335,合同键,0)),IFERROR(TRIM(LEFT($D1335,FIND("｜",$D1335)-1)),$D1335)))</f>
        <v/>
      </c>
      <c r="F1335" s="30" t="str">
        <f aca="false">IF($D1335="","",IFERROR(INDEX(合同项目,MATCH($D1335,合同键,0)),IFERROR(TRIM(MID($D1335,FIND("｜",$D1335)+1,99)),"")))</f>
        <v/>
      </c>
      <c r="G1335" s="24"/>
      <c r="H1335" s="35" t="str">
        <f aca="false">IF($G1335="","",IFERROR(INDEX(费用款别,MATCH($G1335,费用类别表,0)),"合同外款"))</f>
        <v/>
      </c>
      <c r="I1335" s="33"/>
      <c r="J1335" s="33"/>
      <c r="K1335" s="39"/>
      <c r="L1335" s="33"/>
      <c r="M1335" s="25"/>
      <c r="N1335" s="39"/>
      <c r="O1335" s="35" t="str">
        <f aca="false">IF($C1335="","",IF(N($N1335)&lt;=0,"未开票",IF(ROUND(N($N1335)-N($K1335),2)&gt;=0,"已开票",IFERROR("部分开票 "&amp;TEXT(N($N1335)/N($K1335),"0%"),"部分开票"))))</f>
        <v/>
      </c>
      <c r="P1335" s="40" t="str">
        <f aca="false">IF($C1335="","",ROUND($V1335+MIN($W1335,MAX(0,(SUMIF(收款键,$D1335,收款金额)-SUMIFS(收款金额,收款键,$D1335,收款关联,"&lt;&gt;"))-($X1335-$W1335))),2))</f>
        <v/>
      </c>
      <c r="Q1335" s="41" t="str">
        <f aca="false">IF($C1335="","",ROUND(N($K1335)-N($P1335),2))</f>
        <v/>
      </c>
      <c r="R1335" s="29" t="str">
        <f aca="false">IF($C1335="","",YEAR($C1335))</f>
        <v/>
      </c>
      <c r="S1335" s="24"/>
      <c r="T1335" s="35" t="str">
        <f aca="false">IF($C1335="","",IF($D1335="","★没选客户项目",IF(COUNTIF(合同键,$D1335)=0,"★《维保合同》里没这个项目",IF(N($K1335)&lt;=0,"★应收金额要填",IF(ROUND(N($N1335)-N($K1335),2)&gt;0.001,"★开票金额大于应收",IF(AND($L1335&lt;&gt;"",N($N1335)&lt;=0),"★填了开票日期没填开票金额",IF(AND($I1335&lt;&gt;"",$J1335&lt;&gt;"",$J1335&lt;$I1335),"★计费期间起止反了","OK")))))))</f>
        <v/>
      </c>
      <c r="U1335" s="29" t="str">
        <f aca="false">IF($L1335="","",YEAR($L1335))</f>
        <v/>
      </c>
      <c r="V1335" s="40" t="str">
        <f aca="false">IF($C1335="","",ROUND(SUMIF(收款关联,$B1335,收款金额),2))</f>
        <v/>
      </c>
      <c r="W1335" s="40" t="str">
        <f aca="false">IF($C1335="","",MAX(0,ROUND(N($K1335)-N($V1335),2)))</f>
        <v/>
      </c>
      <c r="X1335" s="40" t="str">
        <f aca="false">IF($C1335="","",ROUND(SUMIFS(应收净额,应收键,$D1335,应收行号,"&lt;="&amp;ROW()),2))</f>
        <v/>
      </c>
      <c r="Y1335" s="29" t="str">
        <f aca="false">IF($C1335="","",ROW())</f>
        <v/>
      </c>
    </row>
    <row r="1336" customFormat="false" ht="15" hidden="false" customHeight="false" outlineLevel="0" collapsed="false">
      <c r="A1336" s="29" t="str">
        <f aca="false">IF($C1336="","",ROW()-4)</f>
        <v/>
      </c>
      <c r="B1336" s="35" t="str">
        <f aca="false">IF($C1336="","","YS"&amp;TEXT($C1336,"yyyymm")&amp;"-"&amp;TEXT(ROW()-4,"0000"))</f>
        <v/>
      </c>
      <c r="C1336" s="33"/>
      <c r="D1336" s="24"/>
      <c r="E1336" s="30" t="str">
        <f aca="false">IF($D1336="","",IFERROR(INDEX(合同单位,MATCH($D1336,合同键,0)),IFERROR(TRIM(LEFT($D1336,FIND("｜",$D1336)-1)),$D1336)))</f>
        <v/>
      </c>
      <c r="F1336" s="30" t="str">
        <f aca="false">IF($D1336="","",IFERROR(INDEX(合同项目,MATCH($D1336,合同键,0)),IFERROR(TRIM(MID($D1336,FIND("｜",$D1336)+1,99)),"")))</f>
        <v/>
      </c>
      <c r="G1336" s="24"/>
      <c r="H1336" s="35" t="str">
        <f aca="false">IF($G1336="","",IFERROR(INDEX(费用款别,MATCH($G1336,费用类别表,0)),"合同外款"))</f>
        <v/>
      </c>
      <c r="I1336" s="33"/>
      <c r="J1336" s="33"/>
      <c r="K1336" s="39"/>
      <c r="L1336" s="33"/>
      <c r="M1336" s="25"/>
      <c r="N1336" s="39"/>
      <c r="O1336" s="35" t="str">
        <f aca="false">IF($C1336="","",IF(N($N1336)&lt;=0,"未开票",IF(ROUND(N($N1336)-N($K1336),2)&gt;=0,"已开票",IFERROR("部分开票 "&amp;TEXT(N($N1336)/N($K1336),"0%"),"部分开票"))))</f>
        <v/>
      </c>
      <c r="P1336" s="40" t="str">
        <f aca="false">IF($C1336="","",ROUND($V1336+MIN($W1336,MAX(0,(SUMIF(收款键,$D1336,收款金额)-SUMIFS(收款金额,收款键,$D1336,收款关联,"&lt;&gt;"))-($X1336-$W1336))),2))</f>
        <v/>
      </c>
      <c r="Q1336" s="41" t="str">
        <f aca="false">IF($C1336="","",ROUND(N($K1336)-N($P1336),2))</f>
        <v/>
      </c>
      <c r="R1336" s="29" t="str">
        <f aca="false">IF($C1336="","",YEAR($C1336))</f>
        <v/>
      </c>
      <c r="S1336" s="24"/>
      <c r="T1336" s="35" t="str">
        <f aca="false">IF($C1336="","",IF($D1336="","★没选客户项目",IF(COUNTIF(合同键,$D1336)=0,"★《维保合同》里没这个项目",IF(N($K1336)&lt;=0,"★应收金额要填",IF(ROUND(N($N1336)-N($K1336),2)&gt;0.001,"★开票金额大于应收",IF(AND($L1336&lt;&gt;"",N($N1336)&lt;=0),"★填了开票日期没填开票金额",IF(AND($I1336&lt;&gt;"",$J1336&lt;&gt;"",$J1336&lt;$I1336),"★计费期间起止反了","OK")))))))</f>
        <v/>
      </c>
      <c r="U1336" s="29" t="str">
        <f aca="false">IF($L1336="","",YEAR($L1336))</f>
        <v/>
      </c>
      <c r="V1336" s="40" t="str">
        <f aca="false">IF($C1336="","",ROUND(SUMIF(收款关联,$B1336,收款金额),2))</f>
        <v/>
      </c>
      <c r="W1336" s="40" t="str">
        <f aca="false">IF($C1336="","",MAX(0,ROUND(N($K1336)-N($V1336),2)))</f>
        <v/>
      </c>
      <c r="X1336" s="40" t="str">
        <f aca="false">IF($C1336="","",ROUND(SUMIFS(应收净额,应收键,$D1336,应收行号,"&lt;="&amp;ROW()),2))</f>
        <v/>
      </c>
      <c r="Y1336" s="29" t="str">
        <f aca="false">IF($C1336="","",ROW())</f>
        <v/>
      </c>
    </row>
    <row r="1337" customFormat="false" ht="15" hidden="false" customHeight="false" outlineLevel="0" collapsed="false">
      <c r="A1337" s="29" t="str">
        <f aca="false">IF($C1337="","",ROW()-4)</f>
        <v/>
      </c>
      <c r="B1337" s="35" t="str">
        <f aca="false">IF($C1337="","","YS"&amp;TEXT($C1337,"yyyymm")&amp;"-"&amp;TEXT(ROW()-4,"0000"))</f>
        <v/>
      </c>
      <c r="C1337" s="33"/>
      <c r="D1337" s="24"/>
      <c r="E1337" s="30" t="str">
        <f aca="false">IF($D1337="","",IFERROR(INDEX(合同单位,MATCH($D1337,合同键,0)),IFERROR(TRIM(LEFT($D1337,FIND("｜",$D1337)-1)),$D1337)))</f>
        <v/>
      </c>
      <c r="F1337" s="30" t="str">
        <f aca="false">IF($D1337="","",IFERROR(INDEX(合同项目,MATCH($D1337,合同键,0)),IFERROR(TRIM(MID($D1337,FIND("｜",$D1337)+1,99)),"")))</f>
        <v/>
      </c>
      <c r="G1337" s="24"/>
      <c r="H1337" s="35" t="str">
        <f aca="false">IF($G1337="","",IFERROR(INDEX(费用款别,MATCH($G1337,费用类别表,0)),"合同外款"))</f>
        <v/>
      </c>
      <c r="I1337" s="33"/>
      <c r="J1337" s="33"/>
      <c r="K1337" s="39"/>
      <c r="L1337" s="33"/>
      <c r="M1337" s="25"/>
      <c r="N1337" s="39"/>
      <c r="O1337" s="35" t="str">
        <f aca="false">IF($C1337="","",IF(N($N1337)&lt;=0,"未开票",IF(ROUND(N($N1337)-N($K1337),2)&gt;=0,"已开票",IFERROR("部分开票 "&amp;TEXT(N($N1337)/N($K1337),"0%"),"部分开票"))))</f>
        <v/>
      </c>
      <c r="P1337" s="40" t="str">
        <f aca="false">IF($C1337="","",ROUND($V1337+MIN($W1337,MAX(0,(SUMIF(收款键,$D1337,收款金额)-SUMIFS(收款金额,收款键,$D1337,收款关联,"&lt;&gt;"))-($X1337-$W1337))),2))</f>
        <v/>
      </c>
      <c r="Q1337" s="41" t="str">
        <f aca="false">IF($C1337="","",ROUND(N($K1337)-N($P1337),2))</f>
        <v/>
      </c>
      <c r="R1337" s="29" t="str">
        <f aca="false">IF($C1337="","",YEAR($C1337))</f>
        <v/>
      </c>
      <c r="S1337" s="24"/>
      <c r="T1337" s="35" t="str">
        <f aca="false">IF($C1337="","",IF($D1337="","★没选客户项目",IF(COUNTIF(合同键,$D1337)=0,"★《维保合同》里没这个项目",IF(N($K1337)&lt;=0,"★应收金额要填",IF(ROUND(N($N1337)-N($K1337),2)&gt;0.001,"★开票金额大于应收",IF(AND($L1337&lt;&gt;"",N($N1337)&lt;=0),"★填了开票日期没填开票金额",IF(AND($I1337&lt;&gt;"",$J1337&lt;&gt;"",$J1337&lt;$I1337),"★计费期间起止反了","OK")))))))</f>
        <v/>
      </c>
      <c r="U1337" s="29" t="str">
        <f aca="false">IF($L1337="","",YEAR($L1337))</f>
        <v/>
      </c>
      <c r="V1337" s="40" t="str">
        <f aca="false">IF($C1337="","",ROUND(SUMIF(收款关联,$B1337,收款金额),2))</f>
        <v/>
      </c>
      <c r="W1337" s="40" t="str">
        <f aca="false">IF($C1337="","",MAX(0,ROUND(N($K1337)-N($V1337),2)))</f>
        <v/>
      </c>
      <c r="X1337" s="40" t="str">
        <f aca="false">IF($C1337="","",ROUND(SUMIFS(应收净额,应收键,$D1337,应收行号,"&lt;="&amp;ROW()),2))</f>
        <v/>
      </c>
      <c r="Y1337" s="29" t="str">
        <f aca="false">IF($C1337="","",ROW())</f>
        <v/>
      </c>
    </row>
    <row r="1338" customFormat="false" ht="15" hidden="false" customHeight="false" outlineLevel="0" collapsed="false">
      <c r="A1338" s="29" t="str">
        <f aca="false">IF($C1338="","",ROW()-4)</f>
        <v/>
      </c>
      <c r="B1338" s="35" t="str">
        <f aca="false">IF($C1338="","","YS"&amp;TEXT($C1338,"yyyymm")&amp;"-"&amp;TEXT(ROW()-4,"0000"))</f>
        <v/>
      </c>
      <c r="C1338" s="33"/>
      <c r="D1338" s="24"/>
      <c r="E1338" s="30" t="str">
        <f aca="false">IF($D1338="","",IFERROR(INDEX(合同单位,MATCH($D1338,合同键,0)),IFERROR(TRIM(LEFT($D1338,FIND("｜",$D1338)-1)),$D1338)))</f>
        <v/>
      </c>
      <c r="F1338" s="30" t="str">
        <f aca="false">IF($D1338="","",IFERROR(INDEX(合同项目,MATCH($D1338,合同键,0)),IFERROR(TRIM(MID($D1338,FIND("｜",$D1338)+1,99)),"")))</f>
        <v/>
      </c>
      <c r="G1338" s="24"/>
      <c r="H1338" s="35" t="str">
        <f aca="false">IF($G1338="","",IFERROR(INDEX(费用款别,MATCH($G1338,费用类别表,0)),"合同外款"))</f>
        <v/>
      </c>
      <c r="I1338" s="33"/>
      <c r="J1338" s="33"/>
      <c r="K1338" s="39"/>
      <c r="L1338" s="33"/>
      <c r="M1338" s="25"/>
      <c r="N1338" s="39"/>
      <c r="O1338" s="35" t="str">
        <f aca="false">IF($C1338="","",IF(N($N1338)&lt;=0,"未开票",IF(ROUND(N($N1338)-N($K1338),2)&gt;=0,"已开票",IFERROR("部分开票 "&amp;TEXT(N($N1338)/N($K1338),"0%"),"部分开票"))))</f>
        <v/>
      </c>
      <c r="P1338" s="40" t="str">
        <f aca="false">IF($C1338="","",ROUND($V1338+MIN($W1338,MAX(0,(SUMIF(收款键,$D1338,收款金额)-SUMIFS(收款金额,收款键,$D1338,收款关联,"&lt;&gt;"))-($X1338-$W1338))),2))</f>
        <v/>
      </c>
      <c r="Q1338" s="41" t="str">
        <f aca="false">IF($C1338="","",ROUND(N($K1338)-N($P1338),2))</f>
        <v/>
      </c>
      <c r="R1338" s="29" t="str">
        <f aca="false">IF($C1338="","",YEAR($C1338))</f>
        <v/>
      </c>
      <c r="S1338" s="24"/>
      <c r="T1338" s="35" t="str">
        <f aca="false">IF($C1338="","",IF($D1338="","★没选客户项目",IF(COUNTIF(合同键,$D1338)=0,"★《维保合同》里没这个项目",IF(N($K1338)&lt;=0,"★应收金额要填",IF(ROUND(N($N1338)-N($K1338),2)&gt;0.001,"★开票金额大于应收",IF(AND($L1338&lt;&gt;"",N($N1338)&lt;=0),"★填了开票日期没填开票金额",IF(AND($I1338&lt;&gt;"",$J1338&lt;&gt;"",$J1338&lt;$I1338),"★计费期间起止反了","OK")))))))</f>
        <v/>
      </c>
      <c r="U1338" s="29" t="str">
        <f aca="false">IF($L1338="","",YEAR($L1338))</f>
        <v/>
      </c>
      <c r="V1338" s="40" t="str">
        <f aca="false">IF($C1338="","",ROUND(SUMIF(收款关联,$B1338,收款金额),2))</f>
        <v/>
      </c>
      <c r="W1338" s="40" t="str">
        <f aca="false">IF($C1338="","",MAX(0,ROUND(N($K1338)-N($V1338),2)))</f>
        <v/>
      </c>
      <c r="X1338" s="40" t="str">
        <f aca="false">IF($C1338="","",ROUND(SUMIFS(应收净额,应收键,$D1338,应收行号,"&lt;="&amp;ROW()),2))</f>
        <v/>
      </c>
      <c r="Y1338" s="29" t="str">
        <f aca="false">IF($C1338="","",ROW())</f>
        <v/>
      </c>
    </row>
    <row r="1339" customFormat="false" ht="15" hidden="false" customHeight="false" outlineLevel="0" collapsed="false">
      <c r="A1339" s="29" t="str">
        <f aca="false">IF($C1339="","",ROW()-4)</f>
        <v/>
      </c>
      <c r="B1339" s="35" t="str">
        <f aca="false">IF($C1339="","","YS"&amp;TEXT($C1339,"yyyymm")&amp;"-"&amp;TEXT(ROW()-4,"0000"))</f>
        <v/>
      </c>
      <c r="C1339" s="33"/>
      <c r="D1339" s="24"/>
      <c r="E1339" s="30" t="str">
        <f aca="false">IF($D1339="","",IFERROR(INDEX(合同单位,MATCH($D1339,合同键,0)),IFERROR(TRIM(LEFT($D1339,FIND("｜",$D1339)-1)),$D1339)))</f>
        <v/>
      </c>
      <c r="F1339" s="30" t="str">
        <f aca="false">IF($D1339="","",IFERROR(INDEX(合同项目,MATCH($D1339,合同键,0)),IFERROR(TRIM(MID($D1339,FIND("｜",$D1339)+1,99)),"")))</f>
        <v/>
      </c>
      <c r="G1339" s="24"/>
      <c r="H1339" s="35" t="str">
        <f aca="false">IF($G1339="","",IFERROR(INDEX(费用款别,MATCH($G1339,费用类别表,0)),"合同外款"))</f>
        <v/>
      </c>
      <c r="I1339" s="33"/>
      <c r="J1339" s="33"/>
      <c r="K1339" s="39"/>
      <c r="L1339" s="33"/>
      <c r="M1339" s="25"/>
      <c r="N1339" s="39"/>
      <c r="O1339" s="35" t="str">
        <f aca="false">IF($C1339="","",IF(N($N1339)&lt;=0,"未开票",IF(ROUND(N($N1339)-N($K1339),2)&gt;=0,"已开票",IFERROR("部分开票 "&amp;TEXT(N($N1339)/N($K1339),"0%"),"部分开票"))))</f>
        <v/>
      </c>
      <c r="P1339" s="40" t="str">
        <f aca="false">IF($C1339="","",ROUND($V1339+MIN($W1339,MAX(0,(SUMIF(收款键,$D1339,收款金额)-SUMIFS(收款金额,收款键,$D1339,收款关联,"&lt;&gt;"))-($X1339-$W1339))),2))</f>
        <v/>
      </c>
      <c r="Q1339" s="41" t="str">
        <f aca="false">IF($C1339="","",ROUND(N($K1339)-N($P1339),2))</f>
        <v/>
      </c>
      <c r="R1339" s="29" t="str">
        <f aca="false">IF($C1339="","",YEAR($C1339))</f>
        <v/>
      </c>
      <c r="S1339" s="24"/>
      <c r="T1339" s="35" t="str">
        <f aca="false">IF($C1339="","",IF($D1339="","★没选客户项目",IF(COUNTIF(合同键,$D1339)=0,"★《维保合同》里没这个项目",IF(N($K1339)&lt;=0,"★应收金额要填",IF(ROUND(N($N1339)-N($K1339),2)&gt;0.001,"★开票金额大于应收",IF(AND($L1339&lt;&gt;"",N($N1339)&lt;=0),"★填了开票日期没填开票金额",IF(AND($I1339&lt;&gt;"",$J1339&lt;&gt;"",$J1339&lt;$I1339),"★计费期间起止反了","OK")))))))</f>
        <v/>
      </c>
      <c r="U1339" s="29" t="str">
        <f aca="false">IF($L1339="","",YEAR($L1339))</f>
        <v/>
      </c>
      <c r="V1339" s="40" t="str">
        <f aca="false">IF($C1339="","",ROUND(SUMIF(收款关联,$B1339,收款金额),2))</f>
        <v/>
      </c>
      <c r="W1339" s="40" t="str">
        <f aca="false">IF($C1339="","",MAX(0,ROUND(N($K1339)-N($V1339),2)))</f>
        <v/>
      </c>
      <c r="X1339" s="40" t="str">
        <f aca="false">IF($C1339="","",ROUND(SUMIFS(应收净额,应收键,$D1339,应收行号,"&lt;="&amp;ROW()),2))</f>
        <v/>
      </c>
      <c r="Y1339" s="29" t="str">
        <f aca="false">IF($C1339="","",ROW())</f>
        <v/>
      </c>
    </row>
    <row r="1340" customFormat="false" ht="15" hidden="false" customHeight="false" outlineLevel="0" collapsed="false">
      <c r="A1340" s="29" t="str">
        <f aca="false">IF($C1340="","",ROW()-4)</f>
        <v/>
      </c>
      <c r="B1340" s="35" t="str">
        <f aca="false">IF($C1340="","","YS"&amp;TEXT($C1340,"yyyymm")&amp;"-"&amp;TEXT(ROW()-4,"0000"))</f>
        <v/>
      </c>
      <c r="C1340" s="33"/>
      <c r="D1340" s="24"/>
      <c r="E1340" s="30" t="str">
        <f aca="false">IF($D1340="","",IFERROR(INDEX(合同单位,MATCH($D1340,合同键,0)),IFERROR(TRIM(LEFT($D1340,FIND("｜",$D1340)-1)),$D1340)))</f>
        <v/>
      </c>
      <c r="F1340" s="30" t="str">
        <f aca="false">IF($D1340="","",IFERROR(INDEX(合同项目,MATCH($D1340,合同键,0)),IFERROR(TRIM(MID($D1340,FIND("｜",$D1340)+1,99)),"")))</f>
        <v/>
      </c>
      <c r="G1340" s="24"/>
      <c r="H1340" s="35" t="str">
        <f aca="false">IF($G1340="","",IFERROR(INDEX(费用款别,MATCH($G1340,费用类别表,0)),"合同外款"))</f>
        <v/>
      </c>
      <c r="I1340" s="33"/>
      <c r="J1340" s="33"/>
      <c r="K1340" s="39"/>
      <c r="L1340" s="33"/>
      <c r="M1340" s="25"/>
      <c r="N1340" s="39"/>
      <c r="O1340" s="35" t="str">
        <f aca="false">IF($C1340="","",IF(N($N1340)&lt;=0,"未开票",IF(ROUND(N($N1340)-N($K1340),2)&gt;=0,"已开票",IFERROR("部分开票 "&amp;TEXT(N($N1340)/N($K1340),"0%"),"部分开票"))))</f>
        <v/>
      </c>
      <c r="P1340" s="40" t="str">
        <f aca="false">IF($C1340="","",ROUND($V1340+MIN($W1340,MAX(0,(SUMIF(收款键,$D1340,收款金额)-SUMIFS(收款金额,收款键,$D1340,收款关联,"&lt;&gt;"))-($X1340-$W1340))),2))</f>
        <v/>
      </c>
      <c r="Q1340" s="41" t="str">
        <f aca="false">IF($C1340="","",ROUND(N($K1340)-N($P1340),2))</f>
        <v/>
      </c>
      <c r="R1340" s="29" t="str">
        <f aca="false">IF($C1340="","",YEAR($C1340))</f>
        <v/>
      </c>
      <c r="S1340" s="24"/>
      <c r="T1340" s="35" t="str">
        <f aca="false">IF($C1340="","",IF($D1340="","★没选客户项目",IF(COUNTIF(合同键,$D1340)=0,"★《维保合同》里没这个项目",IF(N($K1340)&lt;=0,"★应收金额要填",IF(ROUND(N($N1340)-N($K1340),2)&gt;0.001,"★开票金额大于应收",IF(AND($L1340&lt;&gt;"",N($N1340)&lt;=0),"★填了开票日期没填开票金额",IF(AND($I1340&lt;&gt;"",$J1340&lt;&gt;"",$J1340&lt;$I1340),"★计费期间起止反了","OK")))))))</f>
        <v/>
      </c>
      <c r="U1340" s="29" t="str">
        <f aca="false">IF($L1340="","",YEAR($L1340))</f>
        <v/>
      </c>
      <c r="V1340" s="40" t="str">
        <f aca="false">IF($C1340="","",ROUND(SUMIF(收款关联,$B1340,收款金额),2))</f>
        <v/>
      </c>
      <c r="W1340" s="40" t="str">
        <f aca="false">IF($C1340="","",MAX(0,ROUND(N($K1340)-N($V1340),2)))</f>
        <v/>
      </c>
      <c r="X1340" s="40" t="str">
        <f aca="false">IF($C1340="","",ROUND(SUMIFS(应收净额,应收键,$D1340,应收行号,"&lt;="&amp;ROW()),2))</f>
        <v/>
      </c>
      <c r="Y1340" s="29" t="str">
        <f aca="false">IF($C1340="","",ROW())</f>
        <v/>
      </c>
    </row>
    <row r="1341" customFormat="false" ht="15" hidden="false" customHeight="false" outlineLevel="0" collapsed="false">
      <c r="A1341" s="29" t="str">
        <f aca="false">IF($C1341="","",ROW()-4)</f>
        <v/>
      </c>
      <c r="B1341" s="35" t="str">
        <f aca="false">IF($C1341="","","YS"&amp;TEXT($C1341,"yyyymm")&amp;"-"&amp;TEXT(ROW()-4,"0000"))</f>
        <v/>
      </c>
      <c r="C1341" s="33"/>
      <c r="D1341" s="24"/>
      <c r="E1341" s="30" t="str">
        <f aca="false">IF($D1341="","",IFERROR(INDEX(合同单位,MATCH($D1341,合同键,0)),IFERROR(TRIM(LEFT($D1341,FIND("｜",$D1341)-1)),$D1341)))</f>
        <v/>
      </c>
      <c r="F1341" s="30" t="str">
        <f aca="false">IF($D1341="","",IFERROR(INDEX(合同项目,MATCH($D1341,合同键,0)),IFERROR(TRIM(MID($D1341,FIND("｜",$D1341)+1,99)),"")))</f>
        <v/>
      </c>
      <c r="G1341" s="24"/>
      <c r="H1341" s="35" t="str">
        <f aca="false">IF($G1341="","",IFERROR(INDEX(费用款别,MATCH($G1341,费用类别表,0)),"合同外款"))</f>
        <v/>
      </c>
      <c r="I1341" s="33"/>
      <c r="J1341" s="33"/>
      <c r="K1341" s="39"/>
      <c r="L1341" s="33"/>
      <c r="M1341" s="25"/>
      <c r="N1341" s="39"/>
      <c r="O1341" s="35" t="str">
        <f aca="false">IF($C1341="","",IF(N($N1341)&lt;=0,"未开票",IF(ROUND(N($N1341)-N($K1341),2)&gt;=0,"已开票",IFERROR("部分开票 "&amp;TEXT(N($N1341)/N($K1341),"0%"),"部分开票"))))</f>
        <v/>
      </c>
      <c r="P1341" s="40" t="str">
        <f aca="false">IF($C1341="","",ROUND($V1341+MIN($W1341,MAX(0,(SUMIF(收款键,$D1341,收款金额)-SUMIFS(收款金额,收款键,$D1341,收款关联,"&lt;&gt;"))-($X1341-$W1341))),2))</f>
        <v/>
      </c>
      <c r="Q1341" s="41" t="str">
        <f aca="false">IF($C1341="","",ROUND(N($K1341)-N($P1341),2))</f>
        <v/>
      </c>
      <c r="R1341" s="29" t="str">
        <f aca="false">IF($C1341="","",YEAR($C1341))</f>
        <v/>
      </c>
      <c r="S1341" s="24"/>
      <c r="T1341" s="35" t="str">
        <f aca="false">IF($C1341="","",IF($D1341="","★没选客户项目",IF(COUNTIF(合同键,$D1341)=0,"★《维保合同》里没这个项目",IF(N($K1341)&lt;=0,"★应收金额要填",IF(ROUND(N($N1341)-N($K1341),2)&gt;0.001,"★开票金额大于应收",IF(AND($L1341&lt;&gt;"",N($N1341)&lt;=0),"★填了开票日期没填开票金额",IF(AND($I1341&lt;&gt;"",$J1341&lt;&gt;"",$J1341&lt;$I1341),"★计费期间起止反了","OK")))))))</f>
        <v/>
      </c>
      <c r="U1341" s="29" t="str">
        <f aca="false">IF($L1341="","",YEAR($L1341))</f>
        <v/>
      </c>
      <c r="V1341" s="40" t="str">
        <f aca="false">IF($C1341="","",ROUND(SUMIF(收款关联,$B1341,收款金额),2))</f>
        <v/>
      </c>
      <c r="W1341" s="40" t="str">
        <f aca="false">IF($C1341="","",MAX(0,ROUND(N($K1341)-N($V1341),2)))</f>
        <v/>
      </c>
      <c r="X1341" s="40" t="str">
        <f aca="false">IF($C1341="","",ROUND(SUMIFS(应收净额,应收键,$D1341,应收行号,"&lt;="&amp;ROW()),2))</f>
        <v/>
      </c>
      <c r="Y1341" s="29" t="str">
        <f aca="false">IF($C1341="","",ROW())</f>
        <v/>
      </c>
    </row>
    <row r="1342" customFormat="false" ht="15" hidden="false" customHeight="false" outlineLevel="0" collapsed="false">
      <c r="A1342" s="29" t="str">
        <f aca="false">IF($C1342="","",ROW()-4)</f>
        <v/>
      </c>
      <c r="B1342" s="35" t="str">
        <f aca="false">IF($C1342="","","YS"&amp;TEXT($C1342,"yyyymm")&amp;"-"&amp;TEXT(ROW()-4,"0000"))</f>
        <v/>
      </c>
      <c r="C1342" s="33"/>
      <c r="D1342" s="24"/>
      <c r="E1342" s="30" t="str">
        <f aca="false">IF($D1342="","",IFERROR(INDEX(合同单位,MATCH($D1342,合同键,0)),IFERROR(TRIM(LEFT($D1342,FIND("｜",$D1342)-1)),$D1342)))</f>
        <v/>
      </c>
      <c r="F1342" s="30" t="str">
        <f aca="false">IF($D1342="","",IFERROR(INDEX(合同项目,MATCH($D1342,合同键,0)),IFERROR(TRIM(MID($D1342,FIND("｜",$D1342)+1,99)),"")))</f>
        <v/>
      </c>
      <c r="G1342" s="24"/>
      <c r="H1342" s="35" t="str">
        <f aca="false">IF($G1342="","",IFERROR(INDEX(费用款别,MATCH($G1342,费用类别表,0)),"合同外款"))</f>
        <v/>
      </c>
      <c r="I1342" s="33"/>
      <c r="J1342" s="33"/>
      <c r="K1342" s="39"/>
      <c r="L1342" s="33"/>
      <c r="M1342" s="25"/>
      <c r="N1342" s="39"/>
      <c r="O1342" s="35" t="str">
        <f aca="false">IF($C1342="","",IF(N($N1342)&lt;=0,"未开票",IF(ROUND(N($N1342)-N($K1342),2)&gt;=0,"已开票",IFERROR("部分开票 "&amp;TEXT(N($N1342)/N($K1342),"0%"),"部分开票"))))</f>
        <v/>
      </c>
      <c r="P1342" s="40" t="str">
        <f aca="false">IF($C1342="","",ROUND($V1342+MIN($W1342,MAX(0,(SUMIF(收款键,$D1342,收款金额)-SUMIFS(收款金额,收款键,$D1342,收款关联,"&lt;&gt;"))-($X1342-$W1342))),2))</f>
        <v/>
      </c>
      <c r="Q1342" s="41" t="str">
        <f aca="false">IF($C1342="","",ROUND(N($K1342)-N($P1342),2))</f>
        <v/>
      </c>
      <c r="R1342" s="29" t="str">
        <f aca="false">IF($C1342="","",YEAR($C1342))</f>
        <v/>
      </c>
      <c r="S1342" s="24"/>
      <c r="T1342" s="35" t="str">
        <f aca="false">IF($C1342="","",IF($D1342="","★没选客户项目",IF(COUNTIF(合同键,$D1342)=0,"★《维保合同》里没这个项目",IF(N($K1342)&lt;=0,"★应收金额要填",IF(ROUND(N($N1342)-N($K1342),2)&gt;0.001,"★开票金额大于应收",IF(AND($L1342&lt;&gt;"",N($N1342)&lt;=0),"★填了开票日期没填开票金额",IF(AND($I1342&lt;&gt;"",$J1342&lt;&gt;"",$J1342&lt;$I1342),"★计费期间起止反了","OK")))))))</f>
        <v/>
      </c>
      <c r="U1342" s="29" t="str">
        <f aca="false">IF($L1342="","",YEAR($L1342))</f>
        <v/>
      </c>
      <c r="V1342" s="40" t="str">
        <f aca="false">IF($C1342="","",ROUND(SUMIF(收款关联,$B1342,收款金额),2))</f>
        <v/>
      </c>
      <c r="W1342" s="40" t="str">
        <f aca="false">IF($C1342="","",MAX(0,ROUND(N($K1342)-N($V1342),2)))</f>
        <v/>
      </c>
      <c r="X1342" s="40" t="str">
        <f aca="false">IF($C1342="","",ROUND(SUMIFS(应收净额,应收键,$D1342,应收行号,"&lt;="&amp;ROW()),2))</f>
        <v/>
      </c>
      <c r="Y1342" s="29" t="str">
        <f aca="false">IF($C1342="","",ROW())</f>
        <v/>
      </c>
    </row>
    <row r="1343" customFormat="false" ht="15" hidden="false" customHeight="false" outlineLevel="0" collapsed="false">
      <c r="A1343" s="29" t="str">
        <f aca="false">IF($C1343="","",ROW()-4)</f>
        <v/>
      </c>
      <c r="B1343" s="35" t="str">
        <f aca="false">IF($C1343="","","YS"&amp;TEXT($C1343,"yyyymm")&amp;"-"&amp;TEXT(ROW()-4,"0000"))</f>
        <v/>
      </c>
      <c r="C1343" s="33"/>
      <c r="D1343" s="24"/>
      <c r="E1343" s="30" t="str">
        <f aca="false">IF($D1343="","",IFERROR(INDEX(合同单位,MATCH($D1343,合同键,0)),IFERROR(TRIM(LEFT($D1343,FIND("｜",$D1343)-1)),$D1343)))</f>
        <v/>
      </c>
      <c r="F1343" s="30" t="str">
        <f aca="false">IF($D1343="","",IFERROR(INDEX(合同项目,MATCH($D1343,合同键,0)),IFERROR(TRIM(MID($D1343,FIND("｜",$D1343)+1,99)),"")))</f>
        <v/>
      </c>
      <c r="G1343" s="24"/>
      <c r="H1343" s="35" t="str">
        <f aca="false">IF($G1343="","",IFERROR(INDEX(费用款别,MATCH($G1343,费用类别表,0)),"合同外款"))</f>
        <v/>
      </c>
      <c r="I1343" s="33"/>
      <c r="J1343" s="33"/>
      <c r="K1343" s="39"/>
      <c r="L1343" s="33"/>
      <c r="M1343" s="25"/>
      <c r="N1343" s="39"/>
      <c r="O1343" s="35" t="str">
        <f aca="false">IF($C1343="","",IF(N($N1343)&lt;=0,"未开票",IF(ROUND(N($N1343)-N($K1343),2)&gt;=0,"已开票",IFERROR("部分开票 "&amp;TEXT(N($N1343)/N($K1343),"0%"),"部分开票"))))</f>
        <v/>
      </c>
      <c r="P1343" s="40" t="str">
        <f aca="false">IF($C1343="","",ROUND($V1343+MIN($W1343,MAX(0,(SUMIF(收款键,$D1343,收款金额)-SUMIFS(收款金额,收款键,$D1343,收款关联,"&lt;&gt;"))-($X1343-$W1343))),2))</f>
        <v/>
      </c>
      <c r="Q1343" s="41" t="str">
        <f aca="false">IF($C1343="","",ROUND(N($K1343)-N($P1343),2))</f>
        <v/>
      </c>
      <c r="R1343" s="29" t="str">
        <f aca="false">IF($C1343="","",YEAR($C1343))</f>
        <v/>
      </c>
      <c r="S1343" s="24"/>
      <c r="T1343" s="35" t="str">
        <f aca="false">IF($C1343="","",IF($D1343="","★没选客户项目",IF(COUNTIF(合同键,$D1343)=0,"★《维保合同》里没这个项目",IF(N($K1343)&lt;=0,"★应收金额要填",IF(ROUND(N($N1343)-N($K1343),2)&gt;0.001,"★开票金额大于应收",IF(AND($L1343&lt;&gt;"",N($N1343)&lt;=0),"★填了开票日期没填开票金额",IF(AND($I1343&lt;&gt;"",$J1343&lt;&gt;"",$J1343&lt;$I1343),"★计费期间起止反了","OK")))))))</f>
        <v/>
      </c>
      <c r="U1343" s="29" t="str">
        <f aca="false">IF($L1343="","",YEAR($L1343))</f>
        <v/>
      </c>
      <c r="V1343" s="40" t="str">
        <f aca="false">IF($C1343="","",ROUND(SUMIF(收款关联,$B1343,收款金额),2))</f>
        <v/>
      </c>
      <c r="W1343" s="40" t="str">
        <f aca="false">IF($C1343="","",MAX(0,ROUND(N($K1343)-N($V1343),2)))</f>
        <v/>
      </c>
      <c r="X1343" s="40" t="str">
        <f aca="false">IF($C1343="","",ROUND(SUMIFS(应收净额,应收键,$D1343,应收行号,"&lt;="&amp;ROW()),2))</f>
        <v/>
      </c>
      <c r="Y1343" s="29" t="str">
        <f aca="false">IF($C1343="","",ROW())</f>
        <v/>
      </c>
    </row>
    <row r="1344" customFormat="false" ht="15" hidden="false" customHeight="false" outlineLevel="0" collapsed="false">
      <c r="A1344" s="29" t="str">
        <f aca="false">IF($C1344="","",ROW()-4)</f>
        <v/>
      </c>
      <c r="B1344" s="35" t="str">
        <f aca="false">IF($C1344="","","YS"&amp;TEXT($C1344,"yyyymm")&amp;"-"&amp;TEXT(ROW()-4,"0000"))</f>
        <v/>
      </c>
      <c r="C1344" s="33"/>
      <c r="D1344" s="24"/>
      <c r="E1344" s="30" t="str">
        <f aca="false">IF($D1344="","",IFERROR(INDEX(合同单位,MATCH($D1344,合同键,0)),IFERROR(TRIM(LEFT($D1344,FIND("｜",$D1344)-1)),$D1344)))</f>
        <v/>
      </c>
      <c r="F1344" s="30" t="str">
        <f aca="false">IF($D1344="","",IFERROR(INDEX(合同项目,MATCH($D1344,合同键,0)),IFERROR(TRIM(MID($D1344,FIND("｜",$D1344)+1,99)),"")))</f>
        <v/>
      </c>
      <c r="G1344" s="24"/>
      <c r="H1344" s="35" t="str">
        <f aca="false">IF($G1344="","",IFERROR(INDEX(费用款别,MATCH($G1344,费用类别表,0)),"合同外款"))</f>
        <v/>
      </c>
      <c r="I1344" s="33"/>
      <c r="J1344" s="33"/>
      <c r="K1344" s="39"/>
      <c r="L1344" s="33"/>
      <c r="M1344" s="25"/>
      <c r="N1344" s="39"/>
      <c r="O1344" s="35" t="str">
        <f aca="false">IF($C1344="","",IF(N($N1344)&lt;=0,"未开票",IF(ROUND(N($N1344)-N($K1344),2)&gt;=0,"已开票",IFERROR("部分开票 "&amp;TEXT(N($N1344)/N($K1344),"0%"),"部分开票"))))</f>
        <v/>
      </c>
      <c r="P1344" s="40" t="str">
        <f aca="false">IF($C1344="","",ROUND($V1344+MIN($W1344,MAX(0,(SUMIF(收款键,$D1344,收款金额)-SUMIFS(收款金额,收款键,$D1344,收款关联,"&lt;&gt;"))-($X1344-$W1344))),2))</f>
        <v/>
      </c>
      <c r="Q1344" s="41" t="str">
        <f aca="false">IF($C1344="","",ROUND(N($K1344)-N($P1344),2))</f>
        <v/>
      </c>
      <c r="R1344" s="29" t="str">
        <f aca="false">IF($C1344="","",YEAR($C1344))</f>
        <v/>
      </c>
      <c r="S1344" s="24"/>
      <c r="T1344" s="35" t="str">
        <f aca="false">IF($C1344="","",IF($D1344="","★没选客户项目",IF(COUNTIF(合同键,$D1344)=0,"★《维保合同》里没这个项目",IF(N($K1344)&lt;=0,"★应收金额要填",IF(ROUND(N($N1344)-N($K1344),2)&gt;0.001,"★开票金额大于应收",IF(AND($L1344&lt;&gt;"",N($N1344)&lt;=0),"★填了开票日期没填开票金额",IF(AND($I1344&lt;&gt;"",$J1344&lt;&gt;"",$J1344&lt;$I1344),"★计费期间起止反了","OK")))))))</f>
        <v/>
      </c>
      <c r="U1344" s="29" t="str">
        <f aca="false">IF($L1344="","",YEAR($L1344))</f>
        <v/>
      </c>
      <c r="V1344" s="40" t="str">
        <f aca="false">IF($C1344="","",ROUND(SUMIF(收款关联,$B1344,收款金额),2))</f>
        <v/>
      </c>
      <c r="W1344" s="40" t="str">
        <f aca="false">IF($C1344="","",MAX(0,ROUND(N($K1344)-N($V1344),2)))</f>
        <v/>
      </c>
      <c r="X1344" s="40" t="str">
        <f aca="false">IF($C1344="","",ROUND(SUMIFS(应收净额,应收键,$D1344,应收行号,"&lt;="&amp;ROW()),2))</f>
        <v/>
      </c>
      <c r="Y1344" s="29" t="str">
        <f aca="false">IF($C1344="","",ROW())</f>
        <v/>
      </c>
    </row>
    <row r="1345" customFormat="false" ht="15" hidden="false" customHeight="false" outlineLevel="0" collapsed="false">
      <c r="A1345" s="29" t="str">
        <f aca="false">IF($C1345="","",ROW()-4)</f>
        <v/>
      </c>
      <c r="B1345" s="35" t="str">
        <f aca="false">IF($C1345="","","YS"&amp;TEXT($C1345,"yyyymm")&amp;"-"&amp;TEXT(ROW()-4,"0000"))</f>
        <v/>
      </c>
      <c r="C1345" s="33"/>
      <c r="D1345" s="24"/>
      <c r="E1345" s="30" t="str">
        <f aca="false">IF($D1345="","",IFERROR(INDEX(合同单位,MATCH($D1345,合同键,0)),IFERROR(TRIM(LEFT($D1345,FIND("｜",$D1345)-1)),$D1345)))</f>
        <v/>
      </c>
      <c r="F1345" s="30" t="str">
        <f aca="false">IF($D1345="","",IFERROR(INDEX(合同项目,MATCH($D1345,合同键,0)),IFERROR(TRIM(MID($D1345,FIND("｜",$D1345)+1,99)),"")))</f>
        <v/>
      </c>
      <c r="G1345" s="24"/>
      <c r="H1345" s="35" t="str">
        <f aca="false">IF($G1345="","",IFERROR(INDEX(费用款别,MATCH($G1345,费用类别表,0)),"合同外款"))</f>
        <v/>
      </c>
      <c r="I1345" s="33"/>
      <c r="J1345" s="33"/>
      <c r="K1345" s="39"/>
      <c r="L1345" s="33"/>
      <c r="M1345" s="25"/>
      <c r="N1345" s="39"/>
      <c r="O1345" s="35" t="str">
        <f aca="false">IF($C1345="","",IF(N($N1345)&lt;=0,"未开票",IF(ROUND(N($N1345)-N($K1345),2)&gt;=0,"已开票",IFERROR("部分开票 "&amp;TEXT(N($N1345)/N($K1345),"0%"),"部分开票"))))</f>
        <v/>
      </c>
      <c r="P1345" s="40" t="str">
        <f aca="false">IF($C1345="","",ROUND($V1345+MIN($W1345,MAX(0,(SUMIF(收款键,$D1345,收款金额)-SUMIFS(收款金额,收款键,$D1345,收款关联,"&lt;&gt;"))-($X1345-$W1345))),2))</f>
        <v/>
      </c>
      <c r="Q1345" s="41" t="str">
        <f aca="false">IF($C1345="","",ROUND(N($K1345)-N($P1345),2))</f>
        <v/>
      </c>
      <c r="R1345" s="29" t="str">
        <f aca="false">IF($C1345="","",YEAR($C1345))</f>
        <v/>
      </c>
      <c r="S1345" s="24"/>
      <c r="T1345" s="35" t="str">
        <f aca="false">IF($C1345="","",IF($D1345="","★没选客户项目",IF(COUNTIF(合同键,$D1345)=0,"★《维保合同》里没这个项目",IF(N($K1345)&lt;=0,"★应收金额要填",IF(ROUND(N($N1345)-N($K1345),2)&gt;0.001,"★开票金额大于应收",IF(AND($L1345&lt;&gt;"",N($N1345)&lt;=0),"★填了开票日期没填开票金额",IF(AND($I1345&lt;&gt;"",$J1345&lt;&gt;"",$J1345&lt;$I1345),"★计费期间起止反了","OK")))))))</f>
        <v/>
      </c>
      <c r="U1345" s="29" t="str">
        <f aca="false">IF($L1345="","",YEAR($L1345))</f>
        <v/>
      </c>
      <c r="V1345" s="40" t="str">
        <f aca="false">IF($C1345="","",ROUND(SUMIF(收款关联,$B1345,收款金额),2))</f>
        <v/>
      </c>
      <c r="W1345" s="40" t="str">
        <f aca="false">IF($C1345="","",MAX(0,ROUND(N($K1345)-N($V1345),2)))</f>
        <v/>
      </c>
      <c r="X1345" s="40" t="str">
        <f aca="false">IF($C1345="","",ROUND(SUMIFS(应收净额,应收键,$D1345,应收行号,"&lt;="&amp;ROW()),2))</f>
        <v/>
      </c>
      <c r="Y1345" s="29" t="str">
        <f aca="false">IF($C1345="","",ROW())</f>
        <v/>
      </c>
    </row>
    <row r="1346" customFormat="false" ht="15" hidden="false" customHeight="false" outlineLevel="0" collapsed="false">
      <c r="A1346" s="29" t="str">
        <f aca="false">IF($C1346="","",ROW()-4)</f>
        <v/>
      </c>
      <c r="B1346" s="35" t="str">
        <f aca="false">IF($C1346="","","YS"&amp;TEXT($C1346,"yyyymm")&amp;"-"&amp;TEXT(ROW()-4,"0000"))</f>
        <v/>
      </c>
      <c r="C1346" s="33"/>
      <c r="D1346" s="24"/>
      <c r="E1346" s="30" t="str">
        <f aca="false">IF($D1346="","",IFERROR(INDEX(合同单位,MATCH($D1346,合同键,0)),IFERROR(TRIM(LEFT($D1346,FIND("｜",$D1346)-1)),$D1346)))</f>
        <v/>
      </c>
      <c r="F1346" s="30" t="str">
        <f aca="false">IF($D1346="","",IFERROR(INDEX(合同项目,MATCH($D1346,合同键,0)),IFERROR(TRIM(MID($D1346,FIND("｜",$D1346)+1,99)),"")))</f>
        <v/>
      </c>
      <c r="G1346" s="24"/>
      <c r="H1346" s="35" t="str">
        <f aca="false">IF($G1346="","",IFERROR(INDEX(费用款别,MATCH($G1346,费用类别表,0)),"合同外款"))</f>
        <v/>
      </c>
      <c r="I1346" s="33"/>
      <c r="J1346" s="33"/>
      <c r="K1346" s="39"/>
      <c r="L1346" s="33"/>
      <c r="M1346" s="25"/>
      <c r="N1346" s="39"/>
      <c r="O1346" s="35" t="str">
        <f aca="false">IF($C1346="","",IF(N($N1346)&lt;=0,"未开票",IF(ROUND(N($N1346)-N($K1346),2)&gt;=0,"已开票",IFERROR("部分开票 "&amp;TEXT(N($N1346)/N($K1346),"0%"),"部分开票"))))</f>
        <v/>
      </c>
      <c r="P1346" s="40" t="str">
        <f aca="false">IF($C1346="","",ROUND($V1346+MIN($W1346,MAX(0,(SUMIF(收款键,$D1346,收款金额)-SUMIFS(收款金额,收款键,$D1346,收款关联,"&lt;&gt;"))-($X1346-$W1346))),2))</f>
        <v/>
      </c>
      <c r="Q1346" s="41" t="str">
        <f aca="false">IF($C1346="","",ROUND(N($K1346)-N($P1346),2))</f>
        <v/>
      </c>
      <c r="R1346" s="29" t="str">
        <f aca="false">IF($C1346="","",YEAR($C1346))</f>
        <v/>
      </c>
      <c r="S1346" s="24"/>
      <c r="T1346" s="35" t="str">
        <f aca="false">IF($C1346="","",IF($D1346="","★没选客户项目",IF(COUNTIF(合同键,$D1346)=0,"★《维保合同》里没这个项目",IF(N($K1346)&lt;=0,"★应收金额要填",IF(ROUND(N($N1346)-N($K1346),2)&gt;0.001,"★开票金额大于应收",IF(AND($L1346&lt;&gt;"",N($N1346)&lt;=0),"★填了开票日期没填开票金额",IF(AND($I1346&lt;&gt;"",$J1346&lt;&gt;"",$J1346&lt;$I1346),"★计费期间起止反了","OK")))))))</f>
        <v/>
      </c>
      <c r="U1346" s="29" t="str">
        <f aca="false">IF($L1346="","",YEAR($L1346))</f>
        <v/>
      </c>
      <c r="V1346" s="40" t="str">
        <f aca="false">IF($C1346="","",ROUND(SUMIF(收款关联,$B1346,收款金额),2))</f>
        <v/>
      </c>
      <c r="W1346" s="40" t="str">
        <f aca="false">IF($C1346="","",MAX(0,ROUND(N($K1346)-N($V1346),2)))</f>
        <v/>
      </c>
      <c r="X1346" s="40" t="str">
        <f aca="false">IF($C1346="","",ROUND(SUMIFS(应收净额,应收键,$D1346,应收行号,"&lt;="&amp;ROW()),2))</f>
        <v/>
      </c>
      <c r="Y1346" s="29" t="str">
        <f aca="false">IF($C1346="","",ROW())</f>
        <v/>
      </c>
    </row>
    <row r="1347" customFormat="false" ht="15" hidden="false" customHeight="false" outlineLevel="0" collapsed="false">
      <c r="A1347" s="29" t="str">
        <f aca="false">IF($C1347="","",ROW()-4)</f>
        <v/>
      </c>
      <c r="B1347" s="35" t="str">
        <f aca="false">IF($C1347="","","YS"&amp;TEXT($C1347,"yyyymm")&amp;"-"&amp;TEXT(ROW()-4,"0000"))</f>
        <v/>
      </c>
      <c r="C1347" s="33"/>
      <c r="D1347" s="24"/>
      <c r="E1347" s="30" t="str">
        <f aca="false">IF($D1347="","",IFERROR(INDEX(合同单位,MATCH($D1347,合同键,0)),IFERROR(TRIM(LEFT($D1347,FIND("｜",$D1347)-1)),$D1347)))</f>
        <v/>
      </c>
      <c r="F1347" s="30" t="str">
        <f aca="false">IF($D1347="","",IFERROR(INDEX(合同项目,MATCH($D1347,合同键,0)),IFERROR(TRIM(MID($D1347,FIND("｜",$D1347)+1,99)),"")))</f>
        <v/>
      </c>
      <c r="G1347" s="24"/>
      <c r="H1347" s="35" t="str">
        <f aca="false">IF($G1347="","",IFERROR(INDEX(费用款别,MATCH($G1347,费用类别表,0)),"合同外款"))</f>
        <v/>
      </c>
      <c r="I1347" s="33"/>
      <c r="J1347" s="33"/>
      <c r="K1347" s="39"/>
      <c r="L1347" s="33"/>
      <c r="M1347" s="25"/>
      <c r="N1347" s="39"/>
      <c r="O1347" s="35" t="str">
        <f aca="false">IF($C1347="","",IF(N($N1347)&lt;=0,"未开票",IF(ROUND(N($N1347)-N($K1347),2)&gt;=0,"已开票",IFERROR("部分开票 "&amp;TEXT(N($N1347)/N($K1347),"0%"),"部分开票"))))</f>
        <v/>
      </c>
      <c r="P1347" s="40" t="str">
        <f aca="false">IF($C1347="","",ROUND($V1347+MIN($W1347,MAX(0,(SUMIF(收款键,$D1347,收款金额)-SUMIFS(收款金额,收款键,$D1347,收款关联,"&lt;&gt;"))-($X1347-$W1347))),2))</f>
        <v/>
      </c>
      <c r="Q1347" s="41" t="str">
        <f aca="false">IF($C1347="","",ROUND(N($K1347)-N($P1347),2))</f>
        <v/>
      </c>
      <c r="R1347" s="29" t="str">
        <f aca="false">IF($C1347="","",YEAR($C1347))</f>
        <v/>
      </c>
      <c r="S1347" s="24"/>
      <c r="T1347" s="35" t="str">
        <f aca="false">IF($C1347="","",IF($D1347="","★没选客户项目",IF(COUNTIF(合同键,$D1347)=0,"★《维保合同》里没这个项目",IF(N($K1347)&lt;=0,"★应收金额要填",IF(ROUND(N($N1347)-N($K1347),2)&gt;0.001,"★开票金额大于应收",IF(AND($L1347&lt;&gt;"",N($N1347)&lt;=0),"★填了开票日期没填开票金额",IF(AND($I1347&lt;&gt;"",$J1347&lt;&gt;"",$J1347&lt;$I1347),"★计费期间起止反了","OK")))))))</f>
        <v/>
      </c>
      <c r="U1347" s="29" t="str">
        <f aca="false">IF($L1347="","",YEAR($L1347))</f>
        <v/>
      </c>
      <c r="V1347" s="40" t="str">
        <f aca="false">IF($C1347="","",ROUND(SUMIF(收款关联,$B1347,收款金额),2))</f>
        <v/>
      </c>
      <c r="W1347" s="40" t="str">
        <f aca="false">IF($C1347="","",MAX(0,ROUND(N($K1347)-N($V1347),2)))</f>
        <v/>
      </c>
      <c r="X1347" s="40" t="str">
        <f aca="false">IF($C1347="","",ROUND(SUMIFS(应收净额,应收键,$D1347,应收行号,"&lt;="&amp;ROW()),2))</f>
        <v/>
      </c>
      <c r="Y1347" s="29" t="str">
        <f aca="false">IF($C1347="","",ROW())</f>
        <v/>
      </c>
    </row>
    <row r="1348" customFormat="false" ht="15" hidden="false" customHeight="false" outlineLevel="0" collapsed="false">
      <c r="A1348" s="29" t="str">
        <f aca="false">IF($C1348="","",ROW()-4)</f>
        <v/>
      </c>
      <c r="B1348" s="35" t="str">
        <f aca="false">IF($C1348="","","YS"&amp;TEXT($C1348,"yyyymm")&amp;"-"&amp;TEXT(ROW()-4,"0000"))</f>
        <v/>
      </c>
      <c r="C1348" s="33"/>
      <c r="D1348" s="24"/>
      <c r="E1348" s="30" t="str">
        <f aca="false">IF($D1348="","",IFERROR(INDEX(合同单位,MATCH($D1348,合同键,0)),IFERROR(TRIM(LEFT($D1348,FIND("｜",$D1348)-1)),$D1348)))</f>
        <v/>
      </c>
      <c r="F1348" s="30" t="str">
        <f aca="false">IF($D1348="","",IFERROR(INDEX(合同项目,MATCH($D1348,合同键,0)),IFERROR(TRIM(MID($D1348,FIND("｜",$D1348)+1,99)),"")))</f>
        <v/>
      </c>
      <c r="G1348" s="24"/>
      <c r="H1348" s="35" t="str">
        <f aca="false">IF($G1348="","",IFERROR(INDEX(费用款别,MATCH($G1348,费用类别表,0)),"合同外款"))</f>
        <v/>
      </c>
      <c r="I1348" s="33"/>
      <c r="J1348" s="33"/>
      <c r="K1348" s="39"/>
      <c r="L1348" s="33"/>
      <c r="M1348" s="25"/>
      <c r="N1348" s="39"/>
      <c r="O1348" s="35" t="str">
        <f aca="false">IF($C1348="","",IF(N($N1348)&lt;=0,"未开票",IF(ROUND(N($N1348)-N($K1348),2)&gt;=0,"已开票",IFERROR("部分开票 "&amp;TEXT(N($N1348)/N($K1348),"0%"),"部分开票"))))</f>
        <v/>
      </c>
      <c r="P1348" s="40" t="str">
        <f aca="false">IF($C1348="","",ROUND($V1348+MIN($W1348,MAX(0,(SUMIF(收款键,$D1348,收款金额)-SUMIFS(收款金额,收款键,$D1348,收款关联,"&lt;&gt;"))-($X1348-$W1348))),2))</f>
        <v/>
      </c>
      <c r="Q1348" s="41" t="str">
        <f aca="false">IF($C1348="","",ROUND(N($K1348)-N($P1348),2))</f>
        <v/>
      </c>
      <c r="R1348" s="29" t="str">
        <f aca="false">IF($C1348="","",YEAR($C1348))</f>
        <v/>
      </c>
      <c r="S1348" s="24"/>
      <c r="T1348" s="35" t="str">
        <f aca="false">IF($C1348="","",IF($D1348="","★没选客户项目",IF(COUNTIF(合同键,$D1348)=0,"★《维保合同》里没这个项目",IF(N($K1348)&lt;=0,"★应收金额要填",IF(ROUND(N($N1348)-N($K1348),2)&gt;0.001,"★开票金额大于应收",IF(AND($L1348&lt;&gt;"",N($N1348)&lt;=0),"★填了开票日期没填开票金额",IF(AND($I1348&lt;&gt;"",$J1348&lt;&gt;"",$J1348&lt;$I1348),"★计费期间起止反了","OK")))))))</f>
        <v/>
      </c>
      <c r="U1348" s="29" t="str">
        <f aca="false">IF($L1348="","",YEAR($L1348))</f>
        <v/>
      </c>
      <c r="V1348" s="40" t="str">
        <f aca="false">IF($C1348="","",ROUND(SUMIF(收款关联,$B1348,收款金额),2))</f>
        <v/>
      </c>
      <c r="W1348" s="40" t="str">
        <f aca="false">IF($C1348="","",MAX(0,ROUND(N($K1348)-N($V1348),2)))</f>
        <v/>
      </c>
      <c r="X1348" s="40" t="str">
        <f aca="false">IF($C1348="","",ROUND(SUMIFS(应收净额,应收键,$D1348,应收行号,"&lt;="&amp;ROW()),2))</f>
        <v/>
      </c>
      <c r="Y1348" s="29" t="str">
        <f aca="false">IF($C1348="","",ROW())</f>
        <v/>
      </c>
    </row>
    <row r="1349" customFormat="false" ht="15" hidden="false" customHeight="false" outlineLevel="0" collapsed="false">
      <c r="A1349" s="29" t="str">
        <f aca="false">IF($C1349="","",ROW()-4)</f>
        <v/>
      </c>
      <c r="B1349" s="35" t="str">
        <f aca="false">IF($C1349="","","YS"&amp;TEXT($C1349,"yyyymm")&amp;"-"&amp;TEXT(ROW()-4,"0000"))</f>
        <v/>
      </c>
      <c r="C1349" s="33"/>
      <c r="D1349" s="24"/>
      <c r="E1349" s="30" t="str">
        <f aca="false">IF($D1349="","",IFERROR(INDEX(合同单位,MATCH($D1349,合同键,0)),IFERROR(TRIM(LEFT($D1349,FIND("｜",$D1349)-1)),$D1349)))</f>
        <v/>
      </c>
      <c r="F1349" s="30" t="str">
        <f aca="false">IF($D1349="","",IFERROR(INDEX(合同项目,MATCH($D1349,合同键,0)),IFERROR(TRIM(MID($D1349,FIND("｜",$D1349)+1,99)),"")))</f>
        <v/>
      </c>
      <c r="G1349" s="24"/>
      <c r="H1349" s="35" t="str">
        <f aca="false">IF($G1349="","",IFERROR(INDEX(费用款别,MATCH($G1349,费用类别表,0)),"合同外款"))</f>
        <v/>
      </c>
      <c r="I1349" s="33"/>
      <c r="J1349" s="33"/>
      <c r="K1349" s="39"/>
      <c r="L1349" s="33"/>
      <c r="M1349" s="25"/>
      <c r="N1349" s="39"/>
      <c r="O1349" s="35" t="str">
        <f aca="false">IF($C1349="","",IF(N($N1349)&lt;=0,"未开票",IF(ROUND(N($N1349)-N($K1349),2)&gt;=0,"已开票",IFERROR("部分开票 "&amp;TEXT(N($N1349)/N($K1349),"0%"),"部分开票"))))</f>
        <v/>
      </c>
      <c r="P1349" s="40" t="str">
        <f aca="false">IF($C1349="","",ROUND($V1349+MIN($W1349,MAX(0,(SUMIF(收款键,$D1349,收款金额)-SUMIFS(收款金额,收款键,$D1349,收款关联,"&lt;&gt;"))-($X1349-$W1349))),2))</f>
        <v/>
      </c>
      <c r="Q1349" s="41" t="str">
        <f aca="false">IF($C1349="","",ROUND(N($K1349)-N($P1349),2))</f>
        <v/>
      </c>
      <c r="R1349" s="29" t="str">
        <f aca="false">IF($C1349="","",YEAR($C1349))</f>
        <v/>
      </c>
      <c r="S1349" s="24"/>
      <c r="T1349" s="35" t="str">
        <f aca="false">IF($C1349="","",IF($D1349="","★没选客户项目",IF(COUNTIF(合同键,$D1349)=0,"★《维保合同》里没这个项目",IF(N($K1349)&lt;=0,"★应收金额要填",IF(ROUND(N($N1349)-N($K1349),2)&gt;0.001,"★开票金额大于应收",IF(AND($L1349&lt;&gt;"",N($N1349)&lt;=0),"★填了开票日期没填开票金额",IF(AND($I1349&lt;&gt;"",$J1349&lt;&gt;"",$J1349&lt;$I1349),"★计费期间起止反了","OK")))))))</f>
        <v/>
      </c>
      <c r="U1349" s="29" t="str">
        <f aca="false">IF($L1349="","",YEAR($L1349))</f>
        <v/>
      </c>
      <c r="V1349" s="40" t="str">
        <f aca="false">IF($C1349="","",ROUND(SUMIF(收款关联,$B1349,收款金额),2))</f>
        <v/>
      </c>
      <c r="W1349" s="40" t="str">
        <f aca="false">IF($C1349="","",MAX(0,ROUND(N($K1349)-N($V1349),2)))</f>
        <v/>
      </c>
      <c r="X1349" s="40" t="str">
        <f aca="false">IF($C1349="","",ROUND(SUMIFS(应收净额,应收键,$D1349,应收行号,"&lt;="&amp;ROW()),2))</f>
        <v/>
      </c>
      <c r="Y1349" s="29" t="str">
        <f aca="false">IF($C1349="","",ROW())</f>
        <v/>
      </c>
    </row>
    <row r="1350" customFormat="false" ht="15" hidden="false" customHeight="false" outlineLevel="0" collapsed="false">
      <c r="A1350" s="29" t="str">
        <f aca="false">IF($C1350="","",ROW()-4)</f>
        <v/>
      </c>
      <c r="B1350" s="35" t="str">
        <f aca="false">IF($C1350="","","YS"&amp;TEXT($C1350,"yyyymm")&amp;"-"&amp;TEXT(ROW()-4,"0000"))</f>
        <v/>
      </c>
      <c r="C1350" s="33"/>
      <c r="D1350" s="24"/>
      <c r="E1350" s="30" t="str">
        <f aca="false">IF($D1350="","",IFERROR(INDEX(合同单位,MATCH($D1350,合同键,0)),IFERROR(TRIM(LEFT($D1350,FIND("｜",$D1350)-1)),$D1350)))</f>
        <v/>
      </c>
      <c r="F1350" s="30" t="str">
        <f aca="false">IF($D1350="","",IFERROR(INDEX(合同项目,MATCH($D1350,合同键,0)),IFERROR(TRIM(MID($D1350,FIND("｜",$D1350)+1,99)),"")))</f>
        <v/>
      </c>
      <c r="G1350" s="24"/>
      <c r="H1350" s="35" t="str">
        <f aca="false">IF($G1350="","",IFERROR(INDEX(费用款别,MATCH($G1350,费用类别表,0)),"合同外款"))</f>
        <v/>
      </c>
      <c r="I1350" s="33"/>
      <c r="J1350" s="33"/>
      <c r="K1350" s="39"/>
      <c r="L1350" s="33"/>
      <c r="M1350" s="25"/>
      <c r="N1350" s="39"/>
      <c r="O1350" s="35" t="str">
        <f aca="false">IF($C1350="","",IF(N($N1350)&lt;=0,"未开票",IF(ROUND(N($N1350)-N($K1350),2)&gt;=0,"已开票",IFERROR("部分开票 "&amp;TEXT(N($N1350)/N($K1350),"0%"),"部分开票"))))</f>
        <v/>
      </c>
      <c r="P1350" s="40" t="str">
        <f aca="false">IF($C1350="","",ROUND($V1350+MIN($W1350,MAX(0,(SUMIF(收款键,$D1350,收款金额)-SUMIFS(收款金额,收款键,$D1350,收款关联,"&lt;&gt;"))-($X1350-$W1350))),2))</f>
        <v/>
      </c>
      <c r="Q1350" s="41" t="str">
        <f aca="false">IF($C1350="","",ROUND(N($K1350)-N($P1350),2))</f>
        <v/>
      </c>
      <c r="R1350" s="29" t="str">
        <f aca="false">IF($C1350="","",YEAR($C1350))</f>
        <v/>
      </c>
      <c r="S1350" s="24"/>
      <c r="T1350" s="35" t="str">
        <f aca="false">IF($C1350="","",IF($D1350="","★没选客户项目",IF(COUNTIF(合同键,$D1350)=0,"★《维保合同》里没这个项目",IF(N($K1350)&lt;=0,"★应收金额要填",IF(ROUND(N($N1350)-N($K1350),2)&gt;0.001,"★开票金额大于应收",IF(AND($L1350&lt;&gt;"",N($N1350)&lt;=0),"★填了开票日期没填开票金额",IF(AND($I1350&lt;&gt;"",$J1350&lt;&gt;"",$J1350&lt;$I1350),"★计费期间起止反了","OK")))))))</f>
        <v/>
      </c>
      <c r="U1350" s="29" t="str">
        <f aca="false">IF($L1350="","",YEAR($L1350))</f>
        <v/>
      </c>
      <c r="V1350" s="40" t="str">
        <f aca="false">IF($C1350="","",ROUND(SUMIF(收款关联,$B1350,收款金额),2))</f>
        <v/>
      </c>
      <c r="W1350" s="40" t="str">
        <f aca="false">IF($C1350="","",MAX(0,ROUND(N($K1350)-N($V1350),2)))</f>
        <v/>
      </c>
      <c r="X1350" s="40" t="str">
        <f aca="false">IF($C1350="","",ROUND(SUMIFS(应收净额,应收键,$D1350,应收行号,"&lt;="&amp;ROW()),2))</f>
        <v/>
      </c>
      <c r="Y1350" s="29" t="str">
        <f aca="false">IF($C1350="","",ROW())</f>
        <v/>
      </c>
    </row>
    <row r="1351" customFormat="false" ht="15" hidden="false" customHeight="false" outlineLevel="0" collapsed="false">
      <c r="A1351" s="29" t="str">
        <f aca="false">IF($C1351="","",ROW()-4)</f>
        <v/>
      </c>
      <c r="B1351" s="35" t="str">
        <f aca="false">IF($C1351="","","YS"&amp;TEXT($C1351,"yyyymm")&amp;"-"&amp;TEXT(ROW()-4,"0000"))</f>
        <v/>
      </c>
      <c r="C1351" s="33"/>
      <c r="D1351" s="24"/>
      <c r="E1351" s="30" t="str">
        <f aca="false">IF($D1351="","",IFERROR(INDEX(合同单位,MATCH($D1351,合同键,0)),IFERROR(TRIM(LEFT($D1351,FIND("｜",$D1351)-1)),$D1351)))</f>
        <v/>
      </c>
      <c r="F1351" s="30" t="str">
        <f aca="false">IF($D1351="","",IFERROR(INDEX(合同项目,MATCH($D1351,合同键,0)),IFERROR(TRIM(MID($D1351,FIND("｜",$D1351)+1,99)),"")))</f>
        <v/>
      </c>
      <c r="G1351" s="24"/>
      <c r="H1351" s="35" t="str">
        <f aca="false">IF($G1351="","",IFERROR(INDEX(费用款别,MATCH($G1351,费用类别表,0)),"合同外款"))</f>
        <v/>
      </c>
      <c r="I1351" s="33"/>
      <c r="J1351" s="33"/>
      <c r="K1351" s="39"/>
      <c r="L1351" s="33"/>
      <c r="M1351" s="25"/>
      <c r="N1351" s="39"/>
      <c r="O1351" s="35" t="str">
        <f aca="false">IF($C1351="","",IF(N($N1351)&lt;=0,"未开票",IF(ROUND(N($N1351)-N($K1351),2)&gt;=0,"已开票",IFERROR("部分开票 "&amp;TEXT(N($N1351)/N($K1351),"0%"),"部分开票"))))</f>
        <v/>
      </c>
      <c r="P1351" s="40" t="str">
        <f aca="false">IF($C1351="","",ROUND($V1351+MIN($W1351,MAX(0,(SUMIF(收款键,$D1351,收款金额)-SUMIFS(收款金额,收款键,$D1351,收款关联,"&lt;&gt;"))-($X1351-$W1351))),2))</f>
        <v/>
      </c>
      <c r="Q1351" s="41" t="str">
        <f aca="false">IF($C1351="","",ROUND(N($K1351)-N($P1351),2))</f>
        <v/>
      </c>
      <c r="R1351" s="29" t="str">
        <f aca="false">IF($C1351="","",YEAR($C1351))</f>
        <v/>
      </c>
      <c r="S1351" s="24"/>
      <c r="T1351" s="35" t="str">
        <f aca="false">IF($C1351="","",IF($D1351="","★没选客户项目",IF(COUNTIF(合同键,$D1351)=0,"★《维保合同》里没这个项目",IF(N($K1351)&lt;=0,"★应收金额要填",IF(ROUND(N($N1351)-N($K1351),2)&gt;0.001,"★开票金额大于应收",IF(AND($L1351&lt;&gt;"",N($N1351)&lt;=0),"★填了开票日期没填开票金额",IF(AND($I1351&lt;&gt;"",$J1351&lt;&gt;"",$J1351&lt;$I1351),"★计费期间起止反了","OK")))))))</f>
        <v/>
      </c>
      <c r="U1351" s="29" t="str">
        <f aca="false">IF($L1351="","",YEAR($L1351))</f>
        <v/>
      </c>
      <c r="V1351" s="40" t="str">
        <f aca="false">IF($C1351="","",ROUND(SUMIF(收款关联,$B1351,收款金额),2))</f>
        <v/>
      </c>
      <c r="W1351" s="40" t="str">
        <f aca="false">IF($C1351="","",MAX(0,ROUND(N($K1351)-N($V1351),2)))</f>
        <v/>
      </c>
      <c r="X1351" s="40" t="str">
        <f aca="false">IF($C1351="","",ROUND(SUMIFS(应收净额,应收键,$D1351,应收行号,"&lt;="&amp;ROW()),2))</f>
        <v/>
      </c>
      <c r="Y1351" s="29" t="str">
        <f aca="false">IF($C1351="","",ROW())</f>
        <v/>
      </c>
    </row>
    <row r="1352" customFormat="false" ht="15" hidden="false" customHeight="false" outlineLevel="0" collapsed="false">
      <c r="A1352" s="29" t="str">
        <f aca="false">IF($C1352="","",ROW()-4)</f>
        <v/>
      </c>
      <c r="B1352" s="35" t="str">
        <f aca="false">IF($C1352="","","YS"&amp;TEXT($C1352,"yyyymm")&amp;"-"&amp;TEXT(ROW()-4,"0000"))</f>
        <v/>
      </c>
      <c r="C1352" s="33"/>
      <c r="D1352" s="24"/>
      <c r="E1352" s="30" t="str">
        <f aca="false">IF($D1352="","",IFERROR(INDEX(合同单位,MATCH($D1352,合同键,0)),IFERROR(TRIM(LEFT($D1352,FIND("｜",$D1352)-1)),$D1352)))</f>
        <v/>
      </c>
      <c r="F1352" s="30" t="str">
        <f aca="false">IF($D1352="","",IFERROR(INDEX(合同项目,MATCH($D1352,合同键,0)),IFERROR(TRIM(MID($D1352,FIND("｜",$D1352)+1,99)),"")))</f>
        <v/>
      </c>
      <c r="G1352" s="24"/>
      <c r="H1352" s="35" t="str">
        <f aca="false">IF($G1352="","",IFERROR(INDEX(费用款别,MATCH($G1352,费用类别表,0)),"合同外款"))</f>
        <v/>
      </c>
      <c r="I1352" s="33"/>
      <c r="J1352" s="33"/>
      <c r="K1352" s="39"/>
      <c r="L1352" s="33"/>
      <c r="M1352" s="25"/>
      <c r="N1352" s="39"/>
      <c r="O1352" s="35" t="str">
        <f aca="false">IF($C1352="","",IF(N($N1352)&lt;=0,"未开票",IF(ROUND(N($N1352)-N($K1352),2)&gt;=0,"已开票",IFERROR("部分开票 "&amp;TEXT(N($N1352)/N($K1352),"0%"),"部分开票"))))</f>
        <v/>
      </c>
      <c r="P1352" s="40" t="str">
        <f aca="false">IF($C1352="","",ROUND($V1352+MIN($W1352,MAX(0,(SUMIF(收款键,$D1352,收款金额)-SUMIFS(收款金额,收款键,$D1352,收款关联,"&lt;&gt;"))-($X1352-$W1352))),2))</f>
        <v/>
      </c>
      <c r="Q1352" s="41" t="str">
        <f aca="false">IF($C1352="","",ROUND(N($K1352)-N($P1352),2))</f>
        <v/>
      </c>
      <c r="R1352" s="29" t="str">
        <f aca="false">IF($C1352="","",YEAR($C1352))</f>
        <v/>
      </c>
      <c r="S1352" s="24"/>
      <c r="T1352" s="35" t="str">
        <f aca="false">IF($C1352="","",IF($D1352="","★没选客户项目",IF(COUNTIF(合同键,$D1352)=0,"★《维保合同》里没这个项目",IF(N($K1352)&lt;=0,"★应收金额要填",IF(ROUND(N($N1352)-N($K1352),2)&gt;0.001,"★开票金额大于应收",IF(AND($L1352&lt;&gt;"",N($N1352)&lt;=0),"★填了开票日期没填开票金额",IF(AND($I1352&lt;&gt;"",$J1352&lt;&gt;"",$J1352&lt;$I1352),"★计费期间起止反了","OK")))))))</f>
        <v/>
      </c>
      <c r="U1352" s="29" t="str">
        <f aca="false">IF($L1352="","",YEAR($L1352))</f>
        <v/>
      </c>
      <c r="V1352" s="40" t="str">
        <f aca="false">IF($C1352="","",ROUND(SUMIF(收款关联,$B1352,收款金额),2))</f>
        <v/>
      </c>
      <c r="W1352" s="40" t="str">
        <f aca="false">IF($C1352="","",MAX(0,ROUND(N($K1352)-N($V1352),2)))</f>
        <v/>
      </c>
      <c r="X1352" s="40" t="str">
        <f aca="false">IF($C1352="","",ROUND(SUMIFS(应收净额,应收键,$D1352,应收行号,"&lt;="&amp;ROW()),2))</f>
        <v/>
      </c>
      <c r="Y1352" s="29" t="str">
        <f aca="false">IF($C1352="","",ROW())</f>
        <v/>
      </c>
    </row>
    <row r="1353" customFormat="false" ht="15" hidden="false" customHeight="false" outlineLevel="0" collapsed="false">
      <c r="A1353" s="29" t="str">
        <f aca="false">IF($C1353="","",ROW()-4)</f>
        <v/>
      </c>
      <c r="B1353" s="35" t="str">
        <f aca="false">IF($C1353="","","YS"&amp;TEXT($C1353,"yyyymm")&amp;"-"&amp;TEXT(ROW()-4,"0000"))</f>
        <v/>
      </c>
      <c r="C1353" s="33"/>
      <c r="D1353" s="24"/>
      <c r="E1353" s="30" t="str">
        <f aca="false">IF($D1353="","",IFERROR(INDEX(合同单位,MATCH($D1353,合同键,0)),IFERROR(TRIM(LEFT($D1353,FIND("｜",$D1353)-1)),$D1353)))</f>
        <v/>
      </c>
      <c r="F1353" s="30" t="str">
        <f aca="false">IF($D1353="","",IFERROR(INDEX(合同项目,MATCH($D1353,合同键,0)),IFERROR(TRIM(MID($D1353,FIND("｜",$D1353)+1,99)),"")))</f>
        <v/>
      </c>
      <c r="G1353" s="24"/>
      <c r="H1353" s="35" t="str">
        <f aca="false">IF($G1353="","",IFERROR(INDEX(费用款别,MATCH($G1353,费用类别表,0)),"合同外款"))</f>
        <v/>
      </c>
      <c r="I1353" s="33"/>
      <c r="J1353" s="33"/>
      <c r="K1353" s="39"/>
      <c r="L1353" s="33"/>
      <c r="M1353" s="25"/>
      <c r="N1353" s="39"/>
      <c r="O1353" s="35" t="str">
        <f aca="false">IF($C1353="","",IF(N($N1353)&lt;=0,"未开票",IF(ROUND(N($N1353)-N($K1353),2)&gt;=0,"已开票",IFERROR("部分开票 "&amp;TEXT(N($N1353)/N($K1353),"0%"),"部分开票"))))</f>
        <v/>
      </c>
      <c r="P1353" s="40" t="str">
        <f aca="false">IF($C1353="","",ROUND($V1353+MIN($W1353,MAX(0,(SUMIF(收款键,$D1353,收款金额)-SUMIFS(收款金额,收款键,$D1353,收款关联,"&lt;&gt;"))-($X1353-$W1353))),2))</f>
        <v/>
      </c>
      <c r="Q1353" s="41" t="str">
        <f aca="false">IF($C1353="","",ROUND(N($K1353)-N($P1353),2))</f>
        <v/>
      </c>
      <c r="R1353" s="29" t="str">
        <f aca="false">IF($C1353="","",YEAR($C1353))</f>
        <v/>
      </c>
      <c r="S1353" s="24"/>
      <c r="T1353" s="35" t="str">
        <f aca="false">IF($C1353="","",IF($D1353="","★没选客户项目",IF(COUNTIF(合同键,$D1353)=0,"★《维保合同》里没这个项目",IF(N($K1353)&lt;=0,"★应收金额要填",IF(ROUND(N($N1353)-N($K1353),2)&gt;0.001,"★开票金额大于应收",IF(AND($L1353&lt;&gt;"",N($N1353)&lt;=0),"★填了开票日期没填开票金额",IF(AND($I1353&lt;&gt;"",$J1353&lt;&gt;"",$J1353&lt;$I1353),"★计费期间起止反了","OK")))))))</f>
        <v/>
      </c>
      <c r="U1353" s="29" t="str">
        <f aca="false">IF($L1353="","",YEAR($L1353))</f>
        <v/>
      </c>
      <c r="V1353" s="40" t="str">
        <f aca="false">IF($C1353="","",ROUND(SUMIF(收款关联,$B1353,收款金额),2))</f>
        <v/>
      </c>
      <c r="W1353" s="40" t="str">
        <f aca="false">IF($C1353="","",MAX(0,ROUND(N($K1353)-N($V1353),2)))</f>
        <v/>
      </c>
      <c r="X1353" s="40" t="str">
        <f aca="false">IF($C1353="","",ROUND(SUMIFS(应收净额,应收键,$D1353,应收行号,"&lt;="&amp;ROW()),2))</f>
        <v/>
      </c>
      <c r="Y1353" s="29" t="str">
        <f aca="false">IF($C1353="","",ROW())</f>
        <v/>
      </c>
    </row>
    <row r="1354" customFormat="false" ht="15" hidden="false" customHeight="false" outlineLevel="0" collapsed="false">
      <c r="A1354" s="29" t="str">
        <f aca="false">IF($C1354="","",ROW()-4)</f>
        <v/>
      </c>
      <c r="B1354" s="35" t="str">
        <f aca="false">IF($C1354="","","YS"&amp;TEXT($C1354,"yyyymm")&amp;"-"&amp;TEXT(ROW()-4,"0000"))</f>
        <v/>
      </c>
      <c r="C1354" s="33"/>
      <c r="D1354" s="24"/>
      <c r="E1354" s="30" t="str">
        <f aca="false">IF($D1354="","",IFERROR(INDEX(合同单位,MATCH($D1354,合同键,0)),IFERROR(TRIM(LEFT($D1354,FIND("｜",$D1354)-1)),$D1354)))</f>
        <v/>
      </c>
      <c r="F1354" s="30" t="str">
        <f aca="false">IF($D1354="","",IFERROR(INDEX(合同项目,MATCH($D1354,合同键,0)),IFERROR(TRIM(MID($D1354,FIND("｜",$D1354)+1,99)),"")))</f>
        <v/>
      </c>
      <c r="G1354" s="24"/>
      <c r="H1354" s="35" t="str">
        <f aca="false">IF($G1354="","",IFERROR(INDEX(费用款别,MATCH($G1354,费用类别表,0)),"合同外款"))</f>
        <v/>
      </c>
      <c r="I1354" s="33"/>
      <c r="J1354" s="33"/>
      <c r="K1354" s="39"/>
      <c r="L1354" s="33"/>
      <c r="M1354" s="25"/>
      <c r="N1354" s="39"/>
      <c r="O1354" s="35" t="str">
        <f aca="false">IF($C1354="","",IF(N($N1354)&lt;=0,"未开票",IF(ROUND(N($N1354)-N($K1354),2)&gt;=0,"已开票",IFERROR("部分开票 "&amp;TEXT(N($N1354)/N($K1354),"0%"),"部分开票"))))</f>
        <v/>
      </c>
      <c r="P1354" s="40" t="str">
        <f aca="false">IF($C1354="","",ROUND($V1354+MIN($W1354,MAX(0,(SUMIF(收款键,$D1354,收款金额)-SUMIFS(收款金额,收款键,$D1354,收款关联,"&lt;&gt;"))-($X1354-$W1354))),2))</f>
        <v/>
      </c>
      <c r="Q1354" s="41" t="str">
        <f aca="false">IF($C1354="","",ROUND(N($K1354)-N($P1354),2))</f>
        <v/>
      </c>
      <c r="R1354" s="29" t="str">
        <f aca="false">IF($C1354="","",YEAR($C1354))</f>
        <v/>
      </c>
      <c r="S1354" s="24"/>
      <c r="T1354" s="35" t="str">
        <f aca="false">IF($C1354="","",IF($D1354="","★没选客户项目",IF(COUNTIF(合同键,$D1354)=0,"★《维保合同》里没这个项目",IF(N($K1354)&lt;=0,"★应收金额要填",IF(ROUND(N($N1354)-N($K1354),2)&gt;0.001,"★开票金额大于应收",IF(AND($L1354&lt;&gt;"",N($N1354)&lt;=0),"★填了开票日期没填开票金额",IF(AND($I1354&lt;&gt;"",$J1354&lt;&gt;"",$J1354&lt;$I1354),"★计费期间起止反了","OK")))))))</f>
        <v/>
      </c>
      <c r="U1354" s="29" t="str">
        <f aca="false">IF($L1354="","",YEAR($L1354))</f>
        <v/>
      </c>
      <c r="V1354" s="40" t="str">
        <f aca="false">IF($C1354="","",ROUND(SUMIF(收款关联,$B1354,收款金额),2))</f>
        <v/>
      </c>
      <c r="W1354" s="40" t="str">
        <f aca="false">IF($C1354="","",MAX(0,ROUND(N($K1354)-N($V1354),2)))</f>
        <v/>
      </c>
      <c r="X1354" s="40" t="str">
        <f aca="false">IF($C1354="","",ROUND(SUMIFS(应收净额,应收键,$D1354,应收行号,"&lt;="&amp;ROW()),2))</f>
        <v/>
      </c>
      <c r="Y1354" s="29" t="str">
        <f aca="false">IF($C1354="","",ROW())</f>
        <v/>
      </c>
    </row>
    <row r="1355" customFormat="false" ht="15" hidden="false" customHeight="false" outlineLevel="0" collapsed="false">
      <c r="A1355" s="29" t="str">
        <f aca="false">IF($C1355="","",ROW()-4)</f>
        <v/>
      </c>
      <c r="B1355" s="35" t="str">
        <f aca="false">IF($C1355="","","YS"&amp;TEXT($C1355,"yyyymm")&amp;"-"&amp;TEXT(ROW()-4,"0000"))</f>
        <v/>
      </c>
      <c r="C1355" s="33"/>
      <c r="D1355" s="24"/>
      <c r="E1355" s="30" t="str">
        <f aca="false">IF($D1355="","",IFERROR(INDEX(合同单位,MATCH($D1355,合同键,0)),IFERROR(TRIM(LEFT($D1355,FIND("｜",$D1355)-1)),$D1355)))</f>
        <v/>
      </c>
      <c r="F1355" s="30" t="str">
        <f aca="false">IF($D1355="","",IFERROR(INDEX(合同项目,MATCH($D1355,合同键,0)),IFERROR(TRIM(MID($D1355,FIND("｜",$D1355)+1,99)),"")))</f>
        <v/>
      </c>
      <c r="G1355" s="24"/>
      <c r="H1355" s="35" t="str">
        <f aca="false">IF($G1355="","",IFERROR(INDEX(费用款别,MATCH($G1355,费用类别表,0)),"合同外款"))</f>
        <v/>
      </c>
      <c r="I1355" s="33"/>
      <c r="J1355" s="33"/>
      <c r="K1355" s="39"/>
      <c r="L1355" s="33"/>
      <c r="M1355" s="25"/>
      <c r="N1355" s="39"/>
      <c r="O1355" s="35" t="str">
        <f aca="false">IF($C1355="","",IF(N($N1355)&lt;=0,"未开票",IF(ROUND(N($N1355)-N($K1355),2)&gt;=0,"已开票",IFERROR("部分开票 "&amp;TEXT(N($N1355)/N($K1355),"0%"),"部分开票"))))</f>
        <v/>
      </c>
      <c r="P1355" s="40" t="str">
        <f aca="false">IF($C1355="","",ROUND($V1355+MIN($W1355,MAX(0,(SUMIF(收款键,$D1355,收款金额)-SUMIFS(收款金额,收款键,$D1355,收款关联,"&lt;&gt;"))-($X1355-$W1355))),2))</f>
        <v/>
      </c>
      <c r="Q1355" s="41" t="str">
        <f aca="false">IF($C1355="","",ROUND(N($K1355)-N($P1355),2))</f>
        <v/>
      </c>
      <c r="R1355" s="29" t="str">
        <f aca="false">IF($C1355="","",YEAR($C1355))</f>
        <v/>
      </c>
      <c r="S1355" s="24"/>
      <c r="T1355" s="35" t="str">
        <f aca="false">IF($C1355="","",IF($D1355="","★没选客户项目",IF(COUNTIF(合同键,$D1355)=0,"★《维保合同》里没这个项目",IF(N($K1355)&lt;=0,"★应收金额要填",IF(ROUND(N($N1355)-N($K1355),2)&gt;0.001,"★开票金额大于应收",IF(AND($L1355&lt;&gt;"",N($N1355)&lt;=0),"★填了开票日期没填开票金额",IF(AND($I1355&lt;&gt;"",$J1355&lt;&gt;"",$J1355&lt;$I1355),"★计费期间起止反了","OK")))))))</f>
        <v/>
      </c>
      <c r="U1355" s="29" t="str">
        <f aca="false">IF($L1355="","",YEAR($L1355))</f>
        <v/>
      </c>
      <c r="V1355" s="40" t="str">
        <f aca="false">IF($C1355="","",ROUND(SUMIF(收款关联,$B1355,收款金额),2))</f>
        <v/>
      </c>
      <c r="W1355" s="40" t="str">
        <f aca="false">IF($C1355="","",MAX(0,ROUND(N($K1355)-N($V1355),2)))</f>
        <v/>
      </c>
      <c r="X1355" s="40" t="str">
        <f aca="false">IF($C1355="","",ROUND(SUMIFS(应收净额,应收键,$D1355,应收行号,"&lt;="&amp;ROW()),2))</f>
        <v/>
      </c>
      <c r="Y1355" s="29" t="str">
        <f aca="false">IF($C1355="","",ROW())</f>
        <v/>
      </c>
    </row>
    <row r="1356" customFormat="false" ht="15" hidden="false" customHeight="false" outlineLevel="0" collapsed="false">
      <c r="A1356" s="29" t="str">
        <f aca="false">IF($C1356="","",ROW()-4)</f>
        <v/>
      </c>
      <c r="B1356" s="35" t="str">
        <f aca="false">IF($C1356="","","YS"&amp;TEXT($C1356,"yyyymm")&amp;"-"&amp;TEXT(ROW()-4,"0000"))</f>
        <v/>
      </c>
      <c r="C1356" s="33"/>
      <c r="D1356" s="24"/>
      <c r="E1356" s="30" t="str">
        <f aca="false">IF($D1356="","",IFERROR(INDEX(合同单位,MATCH($D1356,合同键,0)),IFERROR(TRIM(LEFT($D1356,FIND("｜",$D1356)-1)),$D1356)))</f>
        <v/>
      </c>
      <c r="F1356" s="30" t="str">
        <f aca="false">IF($D1356="","",IFERROR(INDEX(合同项目,MATCH($D1356,合同键,0)),IFERROR(TRIM(MID($D1356,FIND("｜",$D1356)+1,99)),"")))</f>
        <v/>
      </c>
      <c r="G1356" s="24"/>
      <c r="H1356" s="35" t="str">
        <f aca="false">IF($G1356="","",IFERROR(INDEX(费用款别,MATCH($G1356,费用类别表,0)),"合同外款"))</f>
        <v/>
      </c>
      <c r="I1356" s="33"/>
      <c r="J1356" s="33"/>
      <c r="K1356" s="39"/>
      <c r="L1356" s="33"/>
      <c r="M1356" s="25"/>
      <c r="N1356" s="39"/>
      <c r="O1356" s="35" t="str">
        <f aca="false">IF($C1356="","",IF(N($N1356)&lt;=0,"未开票",IF(ROUND(N($N1356)-N($K1356),2)&gt;=0,"已开票",IFERROR("部分开票 "&amp;TEXT(N($N1356)/N($K1356),"0%"),"部分开票"))))</f>
        <v/>
      </c>
      <c r="P1356" s="40" t="str">
        <f aca="false">IF($C1356="","",ROUND($V1356+MIN($W1356,MAX(0,(SUMIF(收款键,$D1356,收款金额)-SUMIFS(收款金额,收款键,$D1356,收款关联,"&lt;&gt;"))-($X1356-$W1356))),2))</f>
        <v/>
      </c>
      <c r="Q1356" s="41" t="str">
        <f aca="false">IF($C1356="","",ROUND(N($K1356)-N($P1356),2))</f>
        <v/>
      </c>
      <c r="R1356" s="29" t="str">
        <f aca="false">IF($C1356="","",YEAR($C1356))</f>
        <v/>
      </c>
      <c r="S1356" s="24"/>
      <c r="T1356" s="35" t="str">
        <f aca="false">IF($C1356="","",IF($D1356="","★没选客户项目",IF(COUNTIF(合同键,$D1356)=0,"★《维保合同》里没这个项目",IF(N($K1356)&lt;=0,"★应收金额要填",IF(ROUND(N($N1356)-N($K1356),2)&gt;0.001,"★开票金额大于应收",IF(AND($L1356&lt;&gt;"",N($N1356)&lt;=0),"★填了开票日期没填开票金额",IF(AND($I1356&lt;&gt;"",$J1356&lt;&gt;"",$J1356&lt;$I1356),"★计费期间起止反了","OK")))))))</f>
        <v/>
      </c>
      <c r="U1356" s="29" t="str">
        <f aca="false">IF($L1356="","",YEAR($L1356))</f>
        <v/>
      </c>
      <c r="V1356" s="40" t="str">
        <f aca="false">IF($C1356="","",ROUND(SUMIF(收款关联,$B1356,收款金额),2))</f>
        <v/>
      </c>
      <c r="W1356" s="40" t="str">
        <f aca="false">IF($C1356="","",MAX(0,ROUND(N($K1356)-N($V1356),2)))</f>
        <v/>
      </c>
      <c r="X1356" s="40" t="str">
        <f aca="false">IF($C1356="","",ROUND(SUMIFS(应收净额,应收键,$D1356,应收行号,"&lt;="&amp;ROW()),2))</f>
        <v/>
      </c>
      <c r="Y1356" s="29" t="str">
        <f aca="false">IF($C1356="","",ROW())</f>
        <v/>
      </c>
    </row>
    <row r="1357" customFormat="false" ht="15" hidden="false" customHeight="false" outlineLevel="0" collapsed="false">
      <c r="A1357" s="29" t="str">
        <f aca="false">IF($C1357="","",ROW()-4)</f>
        <v/>
      </c>
      <c r="B1357" s="35" t="str">
        <f aca="false">IF($C1357="","","YS"&amp;TEXT($C1357,"yyyymm")&amp;"-"&amp;TEXT(ROW()-4,"0000"))</f>
        <v/>
      </c>
      <c r="C1357" s="33"/>
      <c r="D1357" s="24"/>
      <c r="E1357" s="30" t="str">
        <f aca="false">IF($D1357="","",IFERROR(INDEX(合同单位,MATCH($D1357,合同键,0)),IFERROR(TRIM(LEFT($D1357,FIND("｜",$D1357)-1)),$D1357)))</f>
        <v/>
      </c>
      <c r="F1357" s="30" t="str">
        <f aca="false">IF($D1357="","",IFERROR(INDEX(合同项目,MATCH($D1357,合同键,0)),IFERROR(TRIM(MID($D1357,FIND("｜",$D1357)+1,99)),"")))</f>
        <v/>
      </c>
      <c r="G1357" s="24"/>
      <c r="H1357" s="35" t="str">
        <f aca="false">IF($G1357="","",IFERROR(INDEX(费用款别,MATCH($G1357,费用类别表,0)),"合同外款"))</f>
        <v/>
      </c>
      <c r="I1357" s="33"/>
      <c r="J1357" s="33"/>
      <c r="K1357" s="39"/>
      <c r="L1357" s="33"/>
      <c r="M1357" s="25"/>
      <c r="N1357" s="39"/>
      <c r="O1357" s="35" t="str">
        <f aca="false">IF($C1357="","",IF(N($N1357)&lt;=0,"未开票",IF(ROUND(N($N1357)-N($K1357),2)&gt;=0,"已开票",IFERROR("部分开票 "&amp;TEXT(N($N1357)/N($K1357),"0%"),"部分开票"))))</f>
        <v/>
      </c>
      <c r="P1357" s="40" t="str">
        <f aca="false">IF($C1357="","",ROUND($V1357+MIN($W1357,MAX(0,(SUMIF(收款键,$D1357,收款金额)-SUMIFS(收款金额,收款键,$D1357,收款关联,"&lt;&gt;"))-($X1357-$W1357))),2))</f>
        <v/>
      </c>
      <c r="Q1357" s="41" t="str">
        <f aca="false">IF($C1357="","",ROUND(N($K1357)-N($P1357),2))</f>
        <v/>
      </c>
      <c r="R1357" s="29" t="str">
        <f aca="false">IF($C1357="","",YEAR($C1357))</f>
        <v/>
      </c>
      <c r="S1357" s="24"/>
      <c r="T1357" s="35" t="str">
        <f aca="false">IF($C1357="","",IF($D1357="","★没选客户项目",IF(COUNTIF(合同键,$D1357)=0,"★《维保合同》里没这个项目",IF(N($K1357)&lt;=0,"★应收金额要填",IF(ROUND(N($N1357)-N($K1357),2)&gt;0.001,"★开票金额大于应收",IF(AND($L1357&lt;&gt;"",N($N1357)&lt;=0),"★填了开票日期没填开票金额",IF(AND($I1357&lt;&gt;"",$J1357&lt;&gt;"",$J1357&lt;$I1357),"★计费期间起止反了","OK")))))))</f>
        <v/>
      </c>
      <c r="U1357" s="29" t="str">
        <f aca="false">IF($L1357="","",YEAR($L1357))</f>
        <v/>
      </c>
      <c r="V1357" s="40" t="str">
        <f aca="false">IF($C1357="","",ROUND(SUMIF(收款关联,$B1357,收款金额),2))</f>
        <v/>
      </c>
      <c r="W1357" s="40" t="str">
        <f aca="false">IF($C1357="","",MAX(0,ROUND(N($K1357)-N($V1357),2)))</f>
        <v/>
      </c>
      <c r="X1357" s="40" t="str">
        <f aca="false">IF($C1357="","",ROUND(SUMIFS(应收净额,应收键,$D1357,应收行号,"&lt;="&amp;ROW()),2))</f>
        <v/>
      </c>
      <c r="Y1357" s="29" t="str">
        <f aca="false">IF($C1357="","",ROW())</f>
        <v/>
      </c>
    </row>
    <row r="1358" customFormat="false" ht="15" hidden="false" customHeight="false" outlineLevel="0" collapsed="false">
      <c r="A1358" s="29" t="str">
        <f aca="false">IF($C1358="","",ROW()-4)</f>
        <v/>
      </c>
      <c r="B1358" s="35" t="str">
        <f aca="false">IF($C1358="","","YS"&amp;TEXT($C1358,"yyyymm")&amp;"-"&amp;TEXT(ROW()-4,"0000"))</f>
        <v/>
      </c>
      <c r="C1358" s="33"/>
      <c r="D1358" s="24"/>
      <c r="E1358" s="30" t="str">
        <f aca="false">IF($D1358="","",IFERROR(INDEX(合同单位,MATCH($D1358,合同键,0)),IFERROR(TRIM(LEFT($D1358,FIND("｜",$D1358)-1)),$D1358)))</f>
        <v/>
      </c>
      <c r="F1358" s="30" t="str">
        <f aca="false">IF($D1358="","",IFERROR(INDEX(合同项目,MATCH($D1358,合同键,0)),IFERROR(TRIM(MID($D1358,FIND("｜",$D1358)+1,99)),"")))</f>
        <v/>
      </c>
      <c r="G1358" s="24"/>
      <c r="H1358" s="35" t="str">
        <f aca="false">IF($G1358="","",IFERROR(INDEX(费用款别,MATCH($G1358,费用类别表,0)),"合同外款"))</f>
        <v/>
      </c>
      <c r="I1358" s="33"/>
      <c r="J1358" s="33"/>
      <c r="K1358" s="39"/>
      <c r="L1358" s="33"/>
      <c r="M1358" s="25"/>
      <c r="N1358" s="39"/>
      <c r="O1358" s="35" t="str">
        <f aca="false">IF($C1358="","",IF(N($N1358)&lt;=0,"未开票",IF(ROUND(N($N1358)-N($K1358),2)&gt;=0,"已开票",IFERROR("部分开票 "&amp;TEXT(N($N1358)/N($K1358),"0%"),"部分开票"))))</f>
        <v/>
      </c>
      <c r="P1358" s="40" t="str">
        <f aca="false">IF($C1358="","",ROUND($V1358+MIN($W1358,MAX(0,(SUMIF(收款键,$D1358,收款金额)-SUMIFS(收款金额,收款键,$D1358,收款关联,"&lt;&gt;"))-($X1358-$W1358))),2))</f>
        <v/>
      </c>
      <c r="Q1358" s="41" t="str">
        <f aca="false">IF($C1358="","",ROUND(N($K1358)-N($P1358),2))</f>
        <v/>
      </c>
      <c r="R1358" s="29" t="str">
        <f aca="false">IF($C1358="","",YEAR($C1358))</f>
        <v/>
      </c>
      <c r="S1358" s="24"/>
      <c r="T1358" s="35" t="str">
        <f aca="false">IF($C1358="","",IF($D1358="","★没选客户项目",IF(COUNTIF(合同键,$D1358)=0,"★《维保合同》里没这个项目",IF(N($K1358)&lt;=0,"★应收金额要填",IF(ROUND(N($N1358)-N($K1358),2)&gt;0.001,"★开票金额大于应收",IF(AND($L1358&lt;&gt;"",N($N1358)&lt;=0),"★填了开票日期没填开票金额",IF(AND($I1358&lt;&gt;"",$J1358&lt;&gt;"",$J1358&lt;$I1358),"★计费期间起止反了","OK")))))))</f>
        <v/>
      </c>
      <c r="U1358" s="29" t="str">
        <f aca="false">IF($L1358="","",YEAR($L1358))</f>
        <v/>
      </c>
      <c r="V1358" s="40" t="str">
        <f aca="false">IF($C1358="","",ROUND(SUMIF(收款关联,$B1358,收款金额),2))</f>
        <v/>
      </c>
      <c r="W1358" s="40" t="str">
        <f aca="false">IF($C1358="","",MAX(0,ROUND(N($K1358)-N($V1358),2)))</f>
        <v/>
      </c>
      <c r="X1358" s="40" t="str">
        <f aca="false">IF($C1358="","",ROUND(SUMIFS(应收净额,应收键,$D1358,应收行号,"&lt;="&amp;ROW()),2))</f>
        <v/>
      </c>
      <c r="Y1358" s="29" t="str">
        <f aca="false">IF($C1358="","",ROW())</f>
        <v/>
      </c>
    </row>
    <row r="1359" customFormat="false" ht="15" hidden="false" customHeight="false" outlineLevel="0" collapsed="false">
      <c r="A1359" s="29" t="str">
        <f aca="false">IF($C1359="","",ROW()-4)</f>
        <v/>
      </c>
      <c r="B1359" s="35" t="str">
        <f aca="false">IF($C1359="","","YS"&amp;TEXT($C1359,"yyyymm")&amp;"-"&amp;TEXT(ROW()-4,"0000"))</f>
        <v/>
      </c>
      <c r="C1359" s="33"/>
      <c r="D1359" s="24"/>
      <c r="E1359" s="30" t="str">
        <f aca="false">IF($D1359="","",IFERROR(INDEX(合同单位,MATCH($D1359,合同键,0)),IFERROR(TRIM(LEFT($D1359,FIND("｜",$D1359)-1)),$D1359)))</f>
        <v/>
      </c>
      <c r="F1359" s="30" t="str">
        <f aca="false">IF($D1359="","",IFERROR(INDEX(合同项目,MATCH($D1359,合同键,0)),IFERROR(TRIM(MID($D1359,FIND("｜",$D1359)+1,99)),"")))</f>
        <v/>
      </c>
      <c r="G1359" s="24"/>
      <c r="H1359" s="35" t="str">
        <f aca="false">IF($G1359="","",IFERROR(INDEX(费用款别,MATCH($G1359,费用类别表,0)),"合同外款"))</f>
        <v/>
      </c>
      <c r="I1359" s="33"/>
      <c r="J1359" s="33"/>
      <c r="K1359" s="39"/>
      <c r="L1359" s="33"/>
      <c r="M1359" s="25"/>
      <c r="N1359" s="39"/>
      <c r="O1359" s="35" t="str">
        <f aca="false">IF($C1359="","",IF(N($N1359)&lt;=0,"未开票",IF(ROUND(N($N1359)-N($K1359),2)&gt;=0,"已开票",IFERROR("部分开票 "&amp;TEXT(N($N1359)/N($K1359),"0%"),"部分开票"))))</f>
        <v/>
      </c>
      <c r="P1359" s="40" t="str">
        <f aca="false">IF($C1359="","",ROUND($V1359+MIN($W1359,MAX(0,(SUMIF(收款键,$D1359,收款金额)-SUMIFS(收款金额,收款键,$D1359,收款关联,"&lt;&gt;"))-($X1359-$W1359))),2))</f>
        <v/>
      </c>
      <c r="Q1359" s="41" t="str">
        <f aca="false">IF($C1359="","",ROUND(N($K1359)-N($P1359),2))</f>
        <v/>
      </c>
      <c r="R1359" s="29" t="str">
        <f aca="false">IF($C1359="","",YEAR($C1359))</f>
        <v/>
      </c>
      <c r="S1359" s="24"/>
      <c r="T1359" s="35" t="str">
        <f aca="false">IF($C1359="","",IF($D1359="","★没选客户项目",IF(COUNTIF(合同键,$D1359)=0,"★《维保合同》里没这个项目",IF(N($K1359)&lt;=0,"★应收金额要填",IF(ROUND(N($N1359)-N($K1359),2)&gt;0.001,"★开票金额大于应收",IF(AND($L1359&lt;&gt;"",N($N1359)&lt;=0),"★填了开票日期没填开票金额",IF(AND($I1359&lt;&gt;"",$J1359&lt;&gt;"",$J1359&lt;$I1359),"★计费期间起止反了","OK")))))))</f>
        <v/>
      </c>
      <c r="U1359" s="29" t="str">
        <f aca="false">IF($L1359="","",YEAR($L1359))</f>
        <v/>
      </c>
      <c r="V1359" s="40" t="str">
        <f aca="false">IF($C1359="","",ROUND(SUMIF(收款关联,$B1359,收款金额),2))</f>
        <v/>
      </c>
      <c r="W1359" s="40" t="str">
        <f aca="false">IF($C1359="","",MAX(0,ROUND(N($K1359)-N($V1359),2)))</f>
        <v/>
      </c>
      <c r="X1359" s="40" t="str">
        <f aca="false">IF($C1359="","",ROUND(SUMIFS(应收净额,应收键,$D1359,应收行号,"&lt;="&amp;ROW()),2))</f>
        <v/>
      </c>
      <c r="Y1359" s="29" t="str">
        <f aca="false">IF($C1359="","",ROW())</f>
        <v/>
      </c>
    </row>
    <row r="1360" customFormat="false" ht="15" hidden="false" customHeight="false" outlineLevel="0" collapsed="false">
      <c r="A1360" s="29" t="str">
        <f aca="false">IF($C1360="","",ROW()-4)</f>
        <v/>
      </c>
      <c r="B1360" s="35" t="str">
        <f aca="false">IF($C1360="","","YS"&amp;TEXT($C1360,"yyyymm")&amp;"-"&amp;TEXT(ROW()-4,"0000"))</f>
        <v/>
      </c>
      <c r="C1360" s="33"/>
      <c r="D1360" s="24"/>
      <c r="E1360" s="30" t="str">
        <f aca="false">IF($D1360="","",IFERROR(INDEX(合同单位,MATCH($D1360,合同键,0)),IFERROR(TRIM(LEFT($D1360,FIND("｜",$D1360)-1)),$D1360)))</f>
        <v/>
      </c>
      <c r="F1360" s="30" t="str">
        <f aca="false">IF($D1360="","",IFERROR(INDEX(合同项目,MATCH($D1360,合同键,0)),IFERROR(TRIM(MID($D1360,FIND("｜",$D1360)+1,99)),"")))</f>
        <v/>
      </c>
      <c r="G1360" s="24"/>
      <c r="H1360" s="35" t="str">
        <f aca="false">IF($G1360="","",IFERROR(INDEX(费用款别,MATCH($G1360,费用类别表,0)),"合同外款"))</f>
        <v/>
      </c>
      <c r="I1360" s="33"/>
      <c r="J1360" s="33"/>
      <c r="K1360" s="39"/>
      <c r="L1360" s="33"/>
      <c r="M1360" s="25"/>
      <c r="N1360" s="39"/>
      <c r="O1360" s="35" t="str">
        <f aca="false">IF($C1360="","",IF(N($N1360)&lt;=0,"未开票",IF(ROUND(N($N1360)-N($K1360),2)&gt;=0,"已开票",IFERROR("部分开票 "&amp;TEXT(N($N1360)/N($K1360),"0%"),"部分开票"))))</f>
        <v/>
      </c>
      <c r="P1360" s="40" t="str">
        <f aca="false">IF($C1360="","",ROUND($V1360+MIN($W1360,MAX(0,(SUMIF(收款键,$D1360,收款金额)-SUMIFS(收款金额,收款键,$D1360,收款关联,"&lt;&gt;"))-($X1360-$W1360))),2))</f>
        <v/>
      </c>
      <c r="Q1360" s="41" t="str">
        <f aca="false">IF($C1360="","",ROUND(N($K1360)-N($P1360),2))</f>
        <v/>
      </c>
      <c r="R1360" s="29" t="str">
        <f aca="false">IF($C1360="","",YEAR($C1360))</f>
        <v/>
      </c>
      <c r="S1360" s="24"/>
      <c r="T1360" s="35" t="str">
        <f aca="false">IF($C1360="","",IF($D1360="","★没选客户项目",IF(COUNTIF(合同键,$D1360)=0,"★《维保合同》里没这个项目",IF(N($K1360)&lt;=0,"★应收金额要填",IF(ROUND(N($N1360)-N($K1360),2)&gt;0.001,"★开票金额大于应收",IF(AND($L1360&lt;&gt;"",N($N1360)&lt;=0),"★填了开票日期没填开票金额",IF(AND($I1360&lt;&gt;"",$J1360&lt;&gt;"",$J1360&lt;$I1360),"★计费期间起止反了","OK")))))))</f>
        <v/>
      </c>
      <c r="U1360" s="29" t="str">
        <f aca="false">IF($L1360="","",YEAR($L1360))</f>
        <v/>
      </c>
      <c r="V1360" s="40" t="str">
        <f aca="false">IF($C1360="","",ROUND(SUMIF(收款关联,$B1360,收款金额),2))</f>
        <v/>
      </c>
      <c r="W1360" s="40" t="str">
        <f aca="false">IF($C1360="","",MAX(0,ROUND(N($K1360)-N($V1360),2)))</f>
        <v/>
      </c>
      <c r="X1360" s="40" t="str">
        <f aca="false">IF($C1360="","",ROUND(SUMIFS(应收净额,应收键,$D1360,应收行号,"&lt;="&amp;ROW()),2))</f>
        <v/>
      </c>
      <c r="Y1360" s="29" t="str">
        <f aca="false">IF($C1360="","",ROW())</f>
        <v/>
      </c>
    </row>
    <row r="1361" customFormat="false" ht="15" hidden="false" customHeight="false" outlineLevel="0" collapsed="false">
      <c r="A1361" s="29" t="str">
        <f aca="false">IF($C1361="","",ROW()-4)</f>
        <v/>
      </c>
      <c r="B1361" s="35" t="str">
        <f aca="false">IF($C1361="","","YS"&amp;TEXT($C1361,"yyyymm")&amp;"-"&amp;TEXT(ROW()-4,"0000"))</f>
        <v/>
      </c>
      <c r="C1361" s="33"/>
      <c r="D1361" s="24"/>
      <c r="E1361" s="30" t="str">
        <f aca="false">IF($D1361="","",IFERROR(INDEX(合同单位,MATCH($D1361,合同键,0)),IFERROR(TRIM(LEFT($D1361,FIND("｜",$D1361)-1)),$D1361)))</f>
        <v/>
      </c>
      <c r="F1361" s="30" t="str">
        <f aca="false">IF($D1361="","",IFERROR(INDEX(合同项目,MATCH($D1361,合同键,0)),IFERROR(TRIM(MID($D1361,FIND("｜",$D1361)+1,99)),"")))</f>
        <v/>
      </c>
      <c r="G1361" s="24"/>
      <c r="H1361" s="35" t="str">
        <f aca="false">IF($G1361="","",IFERROR(INDEX(费用款别,MATCH($G1361,费用类别表,0)),"合同外款"))</f>
        <v/>
      </c>
      <c r="I1361" s="33"/>
      <c r="J1361" s="33"/>
      <c r="K1361" s="39"/>
      <c r="L1361" s="33"/>
      <c r="M1361" s="25"/>
      <c r="N1361" s="39"/>
      <c r="O1361" s="35" t="str">
        <f aca="false">IF($C1361="","",IF(N($N1361)&lt;=0,"未开票",IF(ROUND(N($N1361)-N($K1361),2)&gt;=0,"已开票",IFERROR("部分开票 "&amp;TEXT(N($N1361)/N($K1361),"0%"),"部分开票"))))</f>
        <v/>
      </c>
      <c r="P1361" s="40" t="str">
        <f aca="false">IF($C1361="","",ROUND($V1361+MIN($W1361,MAX(0,(SUMIF(收款键,$D1361,收款金额)-SUMIFS(收款金额,收款键,$D1361,收款关联,"&lt;&gt;"))-($X1361-$W1361))),2))</f>
        <v/>
      </c>
      <c r="Q1361" s="41" t="str">
        <f aca="false">IF($C1361="","",ROUND(N($K1361)-N($P1361),2))</f>
        <v/>
      </c>
      <c r="R1361" s="29" t="str">
        <f aca="false">IF($C1361="","",YEAR($C1361))</f>
        <v/>
      </c>
      <c r="S1361" s="24"/>
      <c r="T1361" s="35" t="str">
        <f aca="false">IF($C1361="","",IF($D1361="","★没选客户项目",IF(COUNTIF(合同键,$D1361)=0,"★《维保合同》里没这个项目",IF(N($K1361)&lt;=0,"★应收金额要填",IF(ROUND(N($N1361)-N($K1361),2)&gt;0.001,"★开票金额大于应收",IF(AND($L1361&lt;&gt;"",N($N1361)&lt;=0),"★填了开票日期没填开票金额",IF(AND($I1361&lt;&gt;"",$J1361&lt;&gt;"",$J1361&lt;$I1361),"★计费期间起止反了","OK")))))))</f>
        <v/>
      </c>
      <c r="U1361" s="29" t="str">
        <f aca="false">IF($L1361="","",YEAR($L1361))</f>
        <v/>
      </c>
      <c r="V1361" s="40" t="str">
        <f aca="false">IF($C1361="","",ROUND(SUMIF(收款关联,$B1361,收款金额),2))</f>
        <v/>
      </c>
      <c r="W1361" s="40" t="str">
        <f aca="false">IF($C1361="","",MAX(0,ROUND(N($K1361)-N($V1361),2)))</f>
        <v/>
      </c>
      <c r="X1361" s="40" t="str">
        <f aca="false">IF($C1361="","",ROUND(SUMIFS(应收净额,应收键,$D1361,应收行号,"&lt;="&amp;ROW()),2))</f>
        <v/>
      </c>
      <c r="Y1361" s="29" t="str">
        <f aca="false">IF($C1361="","",ROW())</f>
        <v/>
      </c>
    </row>
    <row r="1362" customFormat="false" ht="15" hidden="false" customHeight="false" outlineLevel="0" collapsed="false">
      <c r="A1362" s="29" t="str">
        <f aca="false">IF($C1362="","",ROW()-4)</f>
        <v/>
      </c>
      <c r="B1362" s="35" t="str">
        <f aca="false">IF($C1362="","","YS"&amp;TEXT($C1362,"yyyymm")&amp;"-"&amp;TEXT(ROW()-4,"0000"))</f>
        <v/>
      </c>
      <c r="C1362" s="33"/>
      <c r="D1362" s="24"/>
      <c r="E1362" s="30" t="str">
        <f aca="false">IF($D1362="","",IFERROR(INDEX(合同单位,MATCH($D1362,合同键,0)),IFERROR(TRIM(LEFT($D1362,FIND("｜",$D1362)-1)),$D1362)))</f>
        <v/>
      </c>
      <c r="F1362" s="30" t="str">
        <f aca="false">IF($D1362="","",IFERROR(INDEX(合同项目,MATCH($D1362,合同键,0)),IFERROR(TRIM(MID($D1362,FIND("｜",$D1362)+1,99)),"")))</f>
        <v/>
      </c>
      <c r="G1362" s="24"/>
      <c r="H1362" s="35" t="str">
        <f aca="false">IF($G1362="","",IFERROR(INDEX(费用款别,MATCH($G1362,费用类别表,0)),"合同外款"))</f>
        <v/>
      </c>
      <c r="I1362" s="33"/>
      <c r="J1362" s="33"/>
      <c r="K1362" s="39"/>
      <c r="L1362" s="33"/>
      <c r="M1362" s="25"/>
      <c r="N1362" s="39"/>
      <c r="O1362" s="35" t="str">
        <f aca="false">IF($C1362="","",IF(N($N1362)&lt;=0,"未开票",IF(ROUND(N($N1362)-N($K1362),2)&gt;=0,"已开票",IFERROR("部分开票 "&amp;TEXT(N($N1362)/N($K1362),"0%"),"部分开票"))))</f>
        <v/>
      </c>
      <c r="P1362" s="40" t="str">
        <f aca="false">IF($C1362="","",ROUND($V1362+MIN($W1362,MAX(0,(SUMIF(收款键,$D1362,收款金额)-SUMIFS(收款金额,收款键,$D1362,收款关联,"&lt;&gt;"))-($X1362-$W1362))),2))</f>
        <v/>
      </c>
      <c r="Q1362" s="41" t="str">
        <f aca="false">IF($C1362="","",ROUND(N($K1362)-N($P1362),2))</f>
        <v/>
      </c>
      <c r="R1362" s="29" t="str">
        <f aca="false">IF($C1362="","",YEAR($C1362))</f>
        <v/>
      </c>
      <c r="S1362" s="24"/>
      <c r="T1362" s="35" t="str">
        <f aca="false">IF($C1362="","",IF($D1362="","★没选客户项目",IF(COUNTIF(合同键,$D1362)=0,"★《维保合同》里没这个项目",IF(N($K1362)&lt;=0,"★应收金额要填",IF(ROUND(N($N1362)-N($K1362),2)&gt;0.001,"★开票金额大于应收",IF(AND($L1362&lt;&gt;"",N($N1362)&lt;=0),"★填了开票日期没填开票金额",IF(AND($I1362&lt;&gt;"",$J1362&lt;&gt;"",$J1362&lt;$I1362),"★计费期间起止反了","OK")))))))</f>
        <v/>
      </c>
      <c r="U1362" s="29" t="str">
        <f aca="false">IF($L1362="","",YEAR($L1362))</f>
        <v/>
      </c>
      <c r="V1362" s="40" t="str">
        <f aca="false">IF($C1362="","",ROUND(SUMIF(收款关联,$B1362,收款金额),2))</f>
        <v/>
      </c>
      <c r="W1362" s="40" t="str">
        <f aca="false">IF($C1362="","",MAX(0,ROUND(N($K1362)-N($V1362),2)))</f>
        <v/>
      </c>
      <c r="X1362" s="40" t="str">
        <f aca="false">IF($C1362="","",ROUND(SUMIFS(应收净额,应收键,$D1362,应收行号,"&lt;="&amp;ROW()),2))</f>
        <v/>
      </c>
      <c r="Y1362" s="29" t="str">
        <f aca="false">IF($C1362="","",ROW())</f>
        <v/>
      </c>
    </row>
    <row r="1363" customFormat="false" ht="15" hidden="false" customHeight="false" outlineLevel="0" collapsed="false">
      <c r="A1363" s="29" t="str">
        <f aca="false">IF($C1363="","",ROW()-4)</f>
        <v/>
      </c>
      <c r="B1363" s="35" t="str">
        <f aca="false">IF($C1363="","","YS"&amp;TEXT($C1363,"yyyymm")&amp;"-"&amp;TEXT(ROW()-4,"0000"))</f>
        <v/>
      </c>
      <c r="C1363" s="33"/>
      <c r="D1363" s="24"/>
      <c r="E1363" s="30" t="str">
        <f aca="false">IF($D1363="","",IFERROR(INDEX(合同单位,MATCH($D1363,合同键,0)),IFERROR(TRIM(LEFT($D1363,FIND("｜",$D1363)-1)),$D1363)))</f>
        <v/>
      </c>
      <c r="F1363" s="30" t="str">
        <f aca="false">IF($D1363="","",IFERROR(INDEX(合同项目,MATCH($D1363,合同键,0)),IFERROR(TRIM(MID($D1363,FIND("｜",$D1363)+1,99)),"")))</f>
        <v/>
      </c>
      <c r="G1363" s="24"/>
      <c r="H1363" s="35" t="str">
        <f aca="false">IF($G1363="","",IFERROR(INDEX(费用款别,MATCH($G1363,费用类别表,0)),"合同外款"))</f>
        <v/>
      </c>
      <c r="I1363" s="33"/>
      <c r="J1363" s="33"/>
      <c r="K1363" s="39"/>
      <c r="L1363" s="33"/>
      <c r="M1363" s="25"/>
      <c r="N1363" s="39"/>
      <c r="O1363" s="35" t="str">
        <f aca="false">IF($C1363="","",IF(N($N1363)&lt;=0,"未开票",IF(ROUND(N($N1363)-N($K1363),2)&gt;=0,"已开票",IFERROR("部分开票 "&amp;TEXT(N($N1363)/N($K1363),"0%"),"部分开票"))))</f>
        <v/>
      </c>
      <c r="P1363" s="40" t="str">
        <f aca="false">IF($C1363="","",ROUND($V1363+MIN($W1363,MAX(0,(SUMIF(收款键,$D1363,收款金额)-SUMIFS(收款金额,收款键,$D1363,收款关联,"&lt;&gt;"))-($X1363-$W1363))),2))</f>
        <v/>
      </c>
      <c r="Q1363" s="41" t="str">
        <f aca="false">IF($C1363="","",ROUND(N($K1363)-N($P1363),2))</f>
        <v/>
      </c>
      <c r="R1363" s="29" t="str">
        <f aca="false">IF($C1363="","",YEAR($C1363))</f>
        <v/>
      </c>
      <c r="S1363" s="24"/>
      <c r="T1363" s="35" t="str">
        <f aca="false">IF($C1363="","",IF($D1363="","★没选客户项目",IF(COUNTIF(合同键,$D1363)=0,"★《维保合同》里没这个项目",IF(N($K1363)&lt;=0,"★应收金额要填",IF(ROUND(N($N1363)-N($K1363),2)&gt;0.001,"★开票金额大于应收",IF(AND($L1363&lt;&gt;"",N($N1363)&lt;=0),"★填了开票日期没填开票金额",IF(AND($I1363&lt;&gt;"",$J1363&lt;&gt;"",$J1363&lt;$I1363),"★计费期间起止反了","OK")))))))</f>
        <v/>
      </c>
      <c r="U1363" s="29" t="str">
        <f aca="false">IF($L1363="","",YEAR($L1363))</f>
        <v/>
      </c>
      <c r="V1363" s="40" t="str">
        <f aca="false">IF($C1363="","",ROUND(SUMIF(收款关联,$B1363,收款金额),2))</f>
        <v/>
      </c>
      <c r="W1363" s="40" t="str">
        <f aca="false">IF($C1363="","",MAX(0,ROUND(N($K1363)-N($V1363),2)))</f>
        <v/>
      </c>
      <c r="X1363" s="40" t="str">
        <f aca="false">IF($C1363="","",ROUND(SUMIFS(应收净额,应收键,$D1363,应收行号,"&lt;="&amp;ROW()),2))</f>
        <v/>
      </c>
      <c r="Y1363" s="29" t="str">
        <f aca="false">IF($C1363="","",ROW())</f>
        <v/>
      </c>
    </row>
    <row r="1364" customFormat="false" ht="15" hidden="false" customHeight="false" outlineLevel="0" collapsed="false">
      <c r="A1364" s="29" t="str">
        <f aca="false">IF($C1364="","",ROW()-4)</f>
        <v/>
      </c>
      <c r="B1364" s="35" t="str">
        <f aca="false">IF($C1364="","","YS"&amp;TEXT($C1364,"yyyymm")&amp;"-"&amp;TEXT(ROW()-4,"0000"))</f>
        <v/>
      </c>
      <c r="C1364" s="33"/>
      <c r="D1364" s="24"/>
      <c r="E1364" s="30" t="str">
        <f aca="false">IF($D1364="","",IFERROR(INDEX(合同单位,MATCH($D1364,合同键,0)),IFERROR(TRIM(LEFT($D1364,FIND("｜",$D1364)-1)),$D1364)))</f>
        <v/>
      </c>
      <c r="F1364" s="30" t="str">
        <f aca="false">IF($D1364="","",IFERROR(INDEX(合同项目,MATCH($D1364,合同键,0)),IFERROR(TRIM(MID($D1364,FIND("｜",$D1364)+1,99)),"")))</f>
        <v/>
      </c>
      <c r="G1364" s="24"/>
      <c r="H1364" s="35" t="str">
        <f aca="false">IF($G1364="","",IFERROR(INDEX(费用款别,MATCH($G1364,费用类别表,0)),"合同外款"))</f>
        <v/>
      </c>
      <c r="I1364" s="33"/>
      <c r="J1364" s="33"/>
      <c r="K1364" s="39"/>
      <c r="L1364" s="33"/>
      <c r="M1364" s="25"/>
      <c r="N1364" s="39"/>
      <c r="O1364" s="35" t="str">
        <f aca="false">IF($C1364="","",IF(N($N1364)&lt;=0,"未开票",IF(ROUND(N($N1364)-N($K1364),2)&gt;=0,"已开票",IFERROR("部分开票 "&amp;TEXT(N($N1364)/N($K1364),"0%"),"部分开票"))))</f>
        <v/>
      </c>
      <c r="P1364" s="40" t="str">
        <f aca="false">IF($C1364="","",ROUND($V1364+MIN($W1364,MAX(0,(SUMIF(收款键,$D1364,收款金额)-SUMIFS(收款金额,收款键,$D1364,收款关联,"&lt;&gt;"))-($X1364-$W1364))),2))</f>
        <v/>
      </c>
      <c r="Q1364" s="41" t="str">
        <f aca="false">IF($C1364="","",ROUND(N($K1364)-N($P1364),2))</f>
        <v/>
      </c>
      <c r="R1364" s="29" t="str">
        <f aca="false">IF($C1364="","",YEAR($C1364))</f>
        <v/>
      </c>
      <c r="S1364" s="24"/>
      <c r="T1364" s="35" t="str">
        <f aca="false">IF($C1364="","",IF($D1364="","★没选客户项目",IF(COUNTIF(合同键,$D1364)=0,"★《维保合同》里没这个项目",IF(N($K1364)&lt;=0,"★应收金额要填",IF(ROUND(N($N1364)-N($K1364),2)&gt;0.001,"★开票金额大于应收",IF(AND($L1364&lt;&gt;"",N($N1364)&lt;=0),"★填了开票日期没填开票金额",IF(AND($I1364&lt;&gt;"",$J1364&lt;&gt;"",$J1364&lt;$I1364),"★计费期间起止反了","OK")))))))</f>
        <v/>
      </c>
      <c r="U1364" s="29" t="str">
        <f aca="false">IF($L1364="","",YEAR($L1364))</f>
        <v/>
      </c>
      <c r="V1364" s="40" t="str">
        <f aca="false">IF($C1364="","",ROUND(SUMIF(收款关联,$B1364,收款金额),2))</f>
        <v/>
      </c>
      <c r="W1364" s="40" t="str">
        <f aca="false">IF($C1364="","",MAX(0,ROUND(N($K1364)-N($V1364),2)))</f>
        <v/>
      </c>
      <c r="X1364" s="40" t="str">
        <f aca="false">IF($C1364="","",ROUND(SUMIFS(应收净额,应收键,$D1364,应收行号,"&lt;="&amp;ROW()),2))</f>
        <v/>
      </c>
      <c r="Y1364" s="29" t="str">
        <f aca="false">IF($C1364="","",ROW())</f>
        <v/>
      </c>
    </row>
    <row r="1365" customFormat="false" ht="15" hidden="false" customHeight="false" outlineLevel="0" collapsed="false">
      <c r="A1365" s="29" t="str">
        <f aca="false">IF($C1365="","",ROW()-4)</f>
        <v/>
      </c>
      <c r="B1365" s="35" t="str">
        <f aca="false">IF($C1365="","","YS"&amp;TEXT($C1365,"yyyymm")&amp;"-"&amp;TEXT(ROW()-4,"0000"))</f>
        <v/>
      </c>
      <c r="C1365" s="33"/>
      <c r="D1365" s="24"/>
      <c r="E1365" s="30" t="str">
        <f aca="false">IF($D1365="","",IFERROR(INDEX(合同单位,MATCH($D1365,合同键,0)),IFERROR(TRIM(LEFT($D1365,FIND("｜",$D1365)-1)),$D1365)))</f>
        <v/>
      </c>
      <c r="F1365" s="30" t="str">
        <f aca="false">IF($D1365="","",IFERROR(INDEX(合同项目,MATCH($D1365,合同键,0)),IFERROR(TRIM(MID($D1365,FIND("｜",$D1365)+1,99)),"")))</f>
        <v/>
      </c>
      <c r="G1365" s="24"/>
      <c r="H1365" s="35" t="str">
        <f aca="false">IF($G1365="","",IFERROR(INDEX(费用款别,MATCH($G1365,费用类别表,0)),"合同外款"))</f>
        <v/>
      </c>
      <c r="I1365" s="33"/>
      <c r="J1365" s="33"/>
      <c r="K1365" s="39"/>
      <c r="L1365" s="33"/>
      <c r="M1365" s="25"/>
      <c r="N1365" s="39"/>
      <c r="O1365" s="35" t="str">
        <f aca="false">IF($C1365="","",IF(N($N1365)&lt;=0,"未开票",IF(ROUND(N($N1365)-N($K1365),2)&gt;=0,"已开票",IFERROR("部分开票 "&amp;TEXT(N($N1365)/N($K1365),"0%"),"部分开票"))))</f>
        <v/>
      </c>
      <c r="P1365" s="40" t="str">
        <f aca="false">IF($C1365="","",ROUND($V1365+MIN($W1365,MAX(0,(SUMIF(收款键,$D1365,收款金额)-SUMIFS(收款金额,收款键,$D1365,收款关联,"&lt;&gt;"))-($X1365-$W1365))),2))</f>
        <v/>
      </c>
      <c r="Q1365" s="41" t="str">
        <f aca="false">IF($C1365="","",ROUND(N($K1365)-N($P1365),2))</f>
        <v/>
      </c>
      <c r="R1365" s="29" t="str">
        <f aca="false">IF($C1365="","",YEAR($C1365))</f>
        <v/>
      </c>
      <c r="S1365" s="24"/>
      <c r="T1365" s="35" t="str">
        <f aca="false">IF($C1365="","",IF($D1365="","★没选客户项目",IF(COUNTIF(合同键,$D1365)=0,"★《维保合同》里没这个项目",IF(N($K1365)&lt;=0,"★应收金额要填",IF(ROUND(N($N1365)-N($K1365),2)&gt;0.001,"★开票金额大于应收",IF(AND($L1365&lt;&gt;"",N($N1365)&lt;=0),"★填了开票日期没填开票金额",IF(AND($I1365&lt;&gt;"",$J1365&lt;&gt;"",$J1365&lt;$I1365),"★计费期间起止反了","OK")))))))</f>
        <v/>
      </c>
      <c r="U1365" s="29" t="str">
        <f aca="false">IF($L1365="","",YEAR($L1365))</f>
        <v/>
      </c>
      <c r="V1365" s="40" t="str">
        <f aca="false">IF($C1365="","",ROUND(SUMIF(收款关联,$B1365,收款金额),2))</f>
        <v/>
      </c>
      <c r="W1365" s="40" t="str">
        <f aca="false">IF($C1365="","",MAX(0,ROUND(N($K1365)-N($V1365),2)))</f>
        <v/>
      </c>
      <c r="X1365" s="40" t="str">
        <f aca="false">IF($C1365="","",ROUND(SUMIFS(应收净额,应收键,$D1365,应收行号,"&lt;="&amp;ROW()),2))</f>
        <v/>
      </c>
      <c r="Y1365" s="29" t="str">
        <f aca="false">IF($C1365="","",ROW())</f>
        <v/>
      </c>
    </row>
    <row r="1366" customFormat="false" ht="15" hidden="false" customHeight="false" outlineLevel="0" collapsed="false">
      <c r="A1366" s="29" t="str">
        <f aca="false">IF($C1366="","",ROW()-4)</f>
        <v/>
      </c>
      <c r="B1366" s="35" t="str">
        <f aca="false">IF($C1366="","","YS"&amp;TEXT($C1366,"yyyymm")&amp;"-"&amp;TEXT(ROW()-4,"0000"))</f>
        <v/>
      </c>
      <c r="C1366" s="33"/>
      <c r="D1366" s="24"/>
      <c r="E1366" s="30" t="str">
        <f aca="false">IF($D1366="","",IFERROR(INDEX(合同单位,MATCH($D1366,合同键,0)),IFERROR(TRIM(LEFT($D1366,FIND("｜",$D1366)-1)),$D1366)))</f>
        <v/>
      </c>
      <c r="F1366" s="30" t="str">
        <f aca="false">IF($D1366="","",IFERROR(INDEX(合同项目,MATCH($D1366,合同键,0)),IFERROR(TRIM(MID($D1366,FIND("｜",$D1366)+1,99)),"")))</f>
        <v/>
      </c>
      <c r="G1366" s="24"/>
      <c r="H1366" s="35" t="str">
        <f aca="false">IF($G1366="","",IFERROR(INDEX(费用款别,MATCH($G1366,费用类别表,0)),"合同外款"))</f>
        <v/>
      </c>
      <c r="I1366" s="33"/>
      <c r="J1366" s="33"/>
      <c r="K1366" s="39"/>
      <c r="L1366" s="33"/>
      <c r="M1366" s="25"/>
      <c r="N1366" s="39"/>
      <c r="O1366" s="35" t="str">
        <f aca="false">IF($C1366="","",IF(N($N1366)&lt;=0,"未开票",IF(ROUND(N($N1366)-N($K1366),2)&gt;=0,"已开票",IFERROR("部分开票 "&amp;TEXT(N($N1366)/N($K1366),"0%"),"部分开票"))))</f>
        <v/>
      </c>
      <c r="P1366" s="40" t="str">
        <f aca="false">IF($C1366="","",ROUND($V1366+MIN($W1366,MAX(0,(SUMIF(收款键,$D1366,收款金额)-SUMIFS(收款金额,收款键,$D1366,收款关联,"&lt;&gt;"))-($X1366-$W1366))),2))</f>
        <v/>
      </c>
      <c r="Q1366" s="41" t="str">
        <f aca="false">IF($C1366="","",ROUND(N($K1366)-N($P1366),2))</f>
        <v/>
      </c>
      <c r="R1366" s="29" t="str">
        <f aca="false">IF($C1366="","",YEAR($C1366))</f>
        <v/>
      </c>
      <c r="S1366" s="24"/>
      <c r="T1366" s="35" t="str">
        <f aca="false">IF($C1366="","",IF($D1366="","★没选客户项目",IF(COUNTIF(合同键,$D1366)=0,"★《维保合同》里没这个项目",IF(N($K1366)&lt;=0,"★应收金额要填",IF(ROUND(N($N1366)-N($K1366),2)&gt;0.001,"★开票金额大于应收",IF(AND($L1366&lt;&gt;"",N($N1366)&lt;=0),"★填了开票日期没填开票金额",IF(AND($I1366&lt;&gt;"",$J1366&lt;&gt;"",$J1366&lt;$I1366),"★计费期间起止反了","OK")))))))</f>
        <v/>
      </c>
      <c r="U1366" s="29" t="str">
        <f aca="false">IF($L1366="","",YEAR($L1366))</f>
        <v/>
      </c>
      <c r="V1366" s="40" t="str">
        <f aca="false">IF($C1366="","",ROUND(SUMIF(收款关联,$B1366,收款金额),2))</f>
        <v/>
      </c>
      <c r="W1366" s="40" t="str">
        <f aca="false">IF($C1366="","",MAX(0,ROUND(N($K1366)-N($V1366),2)))</f>
        <v/>
      </c>
      <c r="X1366" s="40" t="str">
        <f aca="false">IF($C1366="","",ROUND(SUMIFS(应收净额,应收键,$D1366,应收行号,"&lt;="&amp;ROW()),2))</f>
        <v/>
      </c>
      <c r="Y1366" s="29" t="str">
        <f aca="false">IF($C1366="","",ROW())</f>
        <v/>
      </c>
    </row>
    <row r="1367" customFormat="false" ht="15" hidden="false" customHeight="false" outlineLevel="0" collapsed="false">
      <c r="A1367" s="29" t="str">
        <f aca="false">IF($C1367="","",ROW()-4)</f>
        <v/>
      </c>
      <c r="B1367" s="35" t="str">
        <f aca="false">IF($C1367="","","YS"&amp;TEXT($C1367,"yyyymm")&amp;"-"&amp;TEXT(ROW()-4,"0000"))</f>
        <v/>
      </c>
      <c r="C1367" s="33"/>
      <c r="D1367" s="24"/>
      <c r="E1367" s="30" t="str">
        <f aca="false">IF($D1367="","",IFERROR(INDEX(合同单位,MATCH($D1367,合同键,0)),IFERROR(TRIM(LEFT($D1367,FIND("｜",$D1367)-1)),$D1367)))</f>
        <v/>
      </c>
      <c r="F1367" s="30" t="str">
        <f aca="false">IF($D1367="","",IFERROR(INDEX(合同项目,MATCH($D1367,合同键,0)),IFERROR(TRIM(MID($D1367,FIND("｜",$D1367)+1,99)),"")))</f>
        <v/>
      </c>
      <c r="G1367" s="24"/>
      <c r="H1367" s="35" t="str">
        <f aca="false">IF($G1367="","",IFERROR(INDEX(费用款别,MATCH($G1367,费用类别表,0)),"合同外款"))</f>
        <v/>
      </c>
      <c r="I1367" s="33"/>
      <c r="J1367" s="33"/>
      <c r="K1367" s="39"/>
      <c r="L1367" s="33"/>
      <c r="M1367" s="25"/>
      <c r="N1367" s="39"/>
      <c r="O1367" s="35" t="str">
        <f aca="false">IF($C1367="","",IF(N($N1367)&lt;=0,"未开票",IF(ROUND(N($N1367)-N($K1367),2)&gt;=0,"已开票",IFERROR("部分开票 "&amp;TEXT(N($N1367)/N($K1367),"0%"),"部分开票"))))</f>
        <v/>
      </c>
      <c r="P1367" s="40" t="str">
        <f aca="false">IF($C1367="","",ROUND($V1367+MIN($W1367,MAX(0,(SUMIF(收款键,$D1367,收款金额)-SUMIFS(收款金额,收款键,$D1367,收款关联,"&lt;&gt;"))-($X1367-$W1367))),2))</f>
        <v/>
      </c>
      <c r="Q1367" s="41" t="str">
        <f aca="false">IF($C1367="","",ROUND(N($K1367)-N($P1367),2))</f>
        <v/>
      </c>
      <c r="R1367" s="29" t="str">
        <f aca="false">IF($C1367="","",YEAR($C1367))</f>
        <v/>
      </c>
      <c r="S1367" s="24"/>
      <c r="T1367" s="35" t="str">
        <f aca="false">IF($C1367="","",IF($D1367="","★没选客户项目",IF(COUNTIF(合同键,$D1367)=0,"★《维保合同》里没这个项目",IF(N($K1367)&lt;=0,"★应收金额要填",IF(ROUND(N($N1367)-N($K1367),2)&gt;0.001,"★开票金额大于应收",IF(AND($L1367&lt;&gt;"",N($N1367)&lt;=0),"★填了开票日期没填开票金额",IF(AND($I1367&lt;&gt;"",$J1367&lt;&gt;"",$J1367&lt;$I1367),"★计费期间起止反了","OK")))))))</f>
        <v/>
      </c>
      <c r="U1367" s="29" t="str">
        <f aca="false">IF($L1367="","",YEAR($L1367))</f>
        <v/>
      </c>
      <c r="V1367" s="40" t="str">
        <f aca="false">IF($C1367="","",ROUND(SUMIF(收款关联,$B1367,收款金额),2))</f>
        <v/>
      </c>
      <c r="W1367" s="40" t="str">
        <f aca="false">IF($C1367="","",MAX(0,ROUND(N($K1367)-N($V1367),2)))</f>
        <v/>
      </c>
      <c r="X1367" s="40" t="str">
        <f aca="false">IF($C1367="","",ROUND(SUMIFS(应收净额,应收键,$D1367,应收行号,"&lt;="&amp;ROW()),2))</f>
        <v/>
      </c>
      <c r="Y1367" s="29" t="str">
        <f aca="false">IF($C1367="","",ROW())</f>
        <v/>
      </c>
    </row>
    <row r="1368" customFormat="false" ht="15" hidden="false" customHeight="false" outlineLevel="0" collapsed="false">
      <c r="A1368" s="29" t="str">
        <f aca="false">IF($C1368="","",ROW()-4)</f>
        <v/>
      </c>
      <c r="B1368" s="35" t="str">
        <f aca="false">IF($C1368="","","YS"&amp;TEXT($C1368,"yyyymm")&amp;"-"&amp;TEXT(ROW()-4,"0000"))</f>
        <v/>
      </c>
      <c r="C1368" s="33"/>
      <c r="D1368" s="24"/>
      <c r="E1368" s="30" t="str">
        <f aca="false">IF($D1368="","",IFERROR(INDEX(合同单位,MATCH($D1368,合同键,0)),IFERROR(TRIM(LEFT($D1368,FIND("｜",$D1368)-1)),$D1368)))</f>
        <v/>
      </c>
      <c r="F1368" s="30" t="str">
        <f aca="false">IF($D1368="","",IFERROR(INDEX(合同项目,MATCH($D1368,合同键,0)),IFERROR(TRIM(MID($D1368,FIND("｜",$D1368)+1,99)),"")))</f>
        <v/>
      </c>
      <c r="G1368" s="24"/>
      <c r="H1368" s="35" t="str">
        <f aca="false">IF($G1368="","",IFERROR(INDEX(费用款别,MATCH($G1368,费用类别表,0)),"合同外款"))</f>
        <v/>
      </c>
      <c r="I1368" s="33"/>
      <c r="J1368" s="33"/>
      <c r="K1368" s="39"/>
      <c r="L1368" s="33"/>
      <c r="M1368" s="25"/>
      <c r="N1368" s="39"/>
      <c r="O1368" s="35" t="str">
        <f aca="false">IF($C1368="","",IF(N($N1368)&lt;=0,"未开票",IF(ROUND(N($N1368)-N($K1368),2)&gt;=0,"已开票",IFERROR("部分开票 "&amp;TEXT(N($N1368)/N($K1368),"0%"),"部分开票"))))</f>
        <v/>
      </c>
      <c r="P1368" s="40" t="str">
        <f aca="false">IF($C1368="","",ROUND($V1368+MIN($W1368,MAX(0,(SUMIF(收款键,$D1368,收款金额)-SUMIFS(收款金额,收款键,$D1368,收款关联,"&lt;&gt;"))-($X1368-$W1368))),2))</f>
        <v/>
      </c>
      <c r="Q1368" s="41" t="str">
        <f aca="false">IF($C1368="","",ROUND(N($K1368)-N($P1368),2))</f>
        <v/>
      </c>
      <c r="R1368" s="29" t="str">
        <f aca="false">IF($C1368="","",YEAR($C1368))</f>
        <v/>
      </c>
      <c r="S1368" s="24"/>
      <c r="T1368" s="35" t="str">
        <f aca="false">IF($C1368="","",IF($D1368="","★没选客户项目",IF(COUNTIF(合同键,$D1368)=0,"★《维保合同》里没这个项目",IF(N($K1368)&lt;=0,"★应收金额要填",IF(ROUND(N($N1368)-N($K1368),2)&gt;0.001,"★开票金额大于应收",IF(AND($L1368&lt;&gt;"",N($N1368)&lt;=0),"★填了开票日期没填开票金额",IF(AND($I1368&lt;&gt;"",$J1368&lt;&gt;"",$J1368&lt;$I1368),"★计费期间起止反了","OK")))))))</f>
        <v/>
      </c>
      <c r="U1368" s="29" t="str">
        <f aca="false">IF($L1368="","",YEAR($L1368))</f>
        <v/>
      </c>
      <c r="V1368" s="40" t="str">
        <f aca="false">IF($C1368="","",ROUND(SUMIF(收款关联,$B1368,收款金额),2))</f>
        <v/>
      </c>
      <c r="W1368" s="40" t="str">
        <f aca="false">IF($C1368="","",MAX(0,ROUND(N($K1368)-N($V1368),2)))</f>
        <v/>
      </c>
      <c r="X1368" s="40" t="str">
        <f aca="false">IF($C1368="","",ROUND(SUMIFS(应收净额,应收键,$D1368,应收行号,"&lt;="&amp;ROW()),2))</f>
        <v/>
      </c>
      <c r="Y1368" s="29" t="str">
        <f aca="false">IF($C1368="","",ROW())</f>
        <v/>
      </c>
    </row>
    <row r="1369" customFormat="false" ht="15" hidden="false" customHeight="false" outlineLevel="0" collapsed="false">
      <c r="A1369" s="29" t="str">
        <f aca="false">IF($C1369="","",ROW()-4)</f>
        <v/>
      </c>
      <c r="B1369" s="35" t="str">
        <f aca="false">IF($C1369="","","YS"&amp;TEXT($C1369,"yyyymm")&amp;"-"&amp;TEXT(ROW()-4,"0000"))</f>
        <v/>
      </c>
      <c r="C1369" s="33"/>
      <c r="D1369" s="24"/>
      <c r="E1369" s="30" t="str">
        <f aca="false">IF($D1369="","",IFERROR(INDEX(合同单位,MATCH($D1369,合同键,0)),IFERROR(TRIM(LEFT($D1369,FIND("｜",$D1369)-1)),$D1369)))</f>
        <v/>
      </c>
      <c r="F1369" s="30" t="str">
        <f aca="false">IF($D1369="","",IFERROR(INDEX(合同项目,MATCH($D1369,合同键,0)),IFERROR(TRIM(MID($D1369,FIND("｜",$D1369)+1,99)),"")))</f>
        <v/>
      </c>
      <c r="G1369" s="24"/>
      <c r="H1369" s="35" t="str">
        <f aca="false">IF($G1369="","",IFERROR(INDEX(费用款别,MATCH($G1369,费用类别表,0)),"合同外款"))</f>
        <v/>
      </c>
      <c r="I1369" s="33"/>
      <c r="J1369" s="33"/>
      <c r="K1369" s="39"/>
      <c r="L1369" s="33"/>
      <c r="M1369" s="25"/>
      <c r="N1369" s="39"/>
      <c r="O1369" s="35" t="str">
        <f aca="false">IF($C1369="","",IF(N($N1369)&lt;=0,"未开票",IF(ROUND(N($N1369)-N($K1369),2)&gt;=0,"已开票",IFERROR("部分开票 "&amp;TEXT(N($N1369)/N($K1369),"0%"),"部分开票"))))</f>
        <v/>
      </c>
      <c r="P1369" s="40" t="str">
        <f aca="false">IF($C1369="","",ROUND($V1369+MIN($W1369,MAX(0,(SUMIF(收款键,$D1369,收款金额)-SUMIFS(收款金额,收款键,$D1369,收款关联,"&lt;&gt;"))-($X1369-$W1369))),2))</f>
        <v/>
      </c>
      <c r="Q1369" s="41" t="str">
        <f aca="false">IF($C1369="","",ROUND(N($K1369)-N($P1369),2))</f>
        <v/>
      </c>
      <c r="R1369" s="29" t="str">
        <f aca="false">IF($C1369="","",YEAR($C1369))</f>
        <v/>
      </c>
      <c r="S1369" s="24"/>
      <c r="T1369" s="35" t="str">
        <f aca="false">IF($C1369="","",IF($D1369="","★没选客户项目",IF(COUNTIF(合同键,$D1369)=0,"★《维保合同》里没这个项目",IF(N($K1369)&lt;=0,"★应收金额要填",IF(ROUND(N($N1369)-N($K1369),2)&gt;0.001,"★开票金额大于应收",IF(AND($L1369&lt;&gt;"",N($N1369)&lt;=0),"★填了开票日期没填开票金额",IF(AND($I1369&lt;&gt;"",$J1369&lt;&gt;"",$J1369&lt;$I1369),"★计费期间起止反了","OK")))))))</f>
        <v/>
      </c>
      <c r="U1369" s="29" t="str">
        <f aca="false">IF($L1369="","",YEAR($L1369))</f>
        <v/>
      </c>
      <c r="V1369" s="40" t="str">
        <f aca="false">IF($C1369="","",ROUND(SUMIF(收款关联,$B1369,收款金额),2))</f>
        <v/>
      </c>
      <c r="W1369" s="40" t="str">
        <f aca="false">IF($C1369="","",MAX(0,ROUND(N($K1369)-N($V1369),2)))</f>
        <v/>
      </c>
      <c r="X1369" s="40" t="str">
        <f aca="false">IF($C1369="","",ROUND(SUMIFS(应收净额,应收键,$D1369,应收行号,"&lt;="&amp;ROW()),2))</f>
        <v/>
      </c>
      <c r="Y1369" s="29" t="str">
        <f aca="false">IF($C1369="","",ROW())</f>
        <v/>
      </c>
    </row>
    <row r="1370" customFormat="false" ht="15" hidden="false" customHeight="false" outlineLevel="0" collapsed="false">
      <c r="A1370" s="29" t="str">
        <f aca="false">IF($C1370="","",ROW()-4)</f>
        <v/>
      </c>
      <c r="B1370" s="35" t="str">
        <f aca="false">IF($C1370="","","YS"&amp;TEXT($C1370,"yyyymm")&amp;"-"&amp;TEXT(ROW()-4,"0000"))</f>
        <v/>
      </c>
      <c r="C1370" s="33"/>
      <c r="D1370" s="24"/>
      <c r="E1370" s="30" t="str">
        <f aca="false">IF($D1370="","",IFERROR(INDEX(合同单位,MATCH($D1370,合同键,0)),IFERROR(TRIM(LEFT($D1370,FIND("｜",$D1370)-1)),$D1370)))</f>
        <v/>
      </c>
      <c r="F1370" s="30" t="str">
        <f aca="false">IF($D1370="","",IFERROR(INDEX(合同项目,MATCH($D1370,合同键,0)),IFERROR(TRIM(MID($D1370,FIND("｜",$D1370)+1,99)),"")))</f>
        <v/>
      </c>
      <c r="G1370" s="24"/>
      <c r="H1370" s="35" t="str">
        <f aca="false">IF($G1370="","",IFERROR(INDEX(费用款别,MATCH($G1370,费用类别表,0)),"合同外款"))</f>
        <v/>
      </c>
      <c r="I1370" s="33"/>
      <c r="J1370" s="33"/>
      <c r="K1370" s="39"/>
      <c r="L1370" s="33"/>
      <c r="M1370" s="25"/>
      <c r="N1370" s="39"/>
      <c r="O1370" s="35" t="str">
        <f aca="false">IF($C1370="","",IF(N($N1370)&lt;=0,"未开票",IF(ROUND(N($N1370)-N($K1370),2)&gt;=0,"已开票",IFERROR("部分开票 "&amp;TEXT(N($N1370)/N($K1370),"0%"),"部分开票"))))</f>
        <v/>
      </c>
      <c r="P1370" s="40" t="str">
        <f aca="false">IF($C1370="","",ROUND($V1370+MIN($W1370,MAX(0,(SUMIF(收款键,$D1370,收款金额)-SUMIFS(收款金额,收款键,$D1370,收款关联,"&lt;&gt;"))-($X1370-$W1370))),2))</f>
        <v/>
      </c>
      <c r="Q1370" s="41" t="str">
        <f aca="false">IF($C1370="","",ROUND(N($K1370)-N($P1370),2))</f>
        <v/>
      </c>
      <c r="R1370" s="29" t="str">
        <f aca="false">IF($C1370="","",YEAR($C1370))</f>
        <v/>
      </c>
      <c r="S1370" s="24"/>
      <c r="T1370" s="35" t="str">
        <f aca="false">IF($C1370="","",IF($D1370="","★没选客户项目",IF(COUNTIF(合同键,$D1370)=0,"★《维保合同》里没这个项目",IF(N($K1370)&lt;=0,"★应收金额要填",IF(ROUND(N($N1370)-N($K1370),2)&gt;0.001,"★开票金额大于应收",IF(AND($L1370&lt;&gt;"",N($N1370)&lt;=0),"★填了开票日期没填开票金额",IF(AND($I1370&lt;&gt;"",$J1370&lt;&gt;"",$J1370&lt;$I1370),"★计费期间起止反了","OK")))))))</f>
        <v/>
      </c>
      <c r="U1370" s="29" t="str">
        <f aca="false">IF($L1370="","",YEAR($L1370))</f>
        <v/>
      </c>
      <c r="V1370" s="40" t="str">
        <f aca="false">IF($C1370="","",ROUND(SUMIF(收款关联,$B1370,收款金额),2))</f>
        <v/>
      </c>
      <c r="W1370" s="40" t="str">
        <f aca="false">IF($C1370="","",MAX(0,ROUND(N($K1370)-N($V1370),2)))</f>
        <v/>
      </c>
      <c r="X1370" s="40" t="str">
        <f aca="false">IF($C1370="","",ROUND(SUMIFS(应收净额,应收键,$D1370,应收行号,"&lt;="&amp;ROW()),2))</f>
        <v/>
      </c>
      <c r="Y1370" s="29" t="str">
        <f aca="false">IF($C1370="","",ROW())</f>
        <v/>
      </c>
    </row>
    <row r="1371" customFormat="false" ht="15" hidden="false" customHeight="false" outlineLevel="0" collapsed="false">
      <c r="A1371" s="29" t="str">
        <f aca="false">IF($C1371="","",ROW()-4)</f>
        <v/>
      </c>
      <c r="B1371" s="35" t="str">
        <f aca="false">IF($C1371="","","YS"&amp;TEXT($C1371,"yyyymm")&amp;"-"&amp;TEXT(ROW()-4,"0000"))</f>
        <v/>
      </c>
      <c r="C1371" s="33"/>
      <c r="D1371" s="24"/>
      <c r="E1371" s="30" t="str">
        <f aca="false">IF($D1371="","",IFERROR(INDEX(合同单位,MATCH($D1371,合同键,0)),IFERROR(TRIM(LEFT($D1371,FIND("｜",$D1371)-1)),$D1371)))</f>
        <v/>
      </c>
      <c r="F1371" s="30" t="str">
        <f aca="false">IF($D1371="","",IFERROR(INDEX(合同项目,MATCH($D1371,合同键,0)),IFERROR(TRIM(MID($D1371,FIND("｜",$D1371)+1,99)),"")))</f>
        <v/>
      </c>
      <c r="G1371" s="24"/>
      <c r="H1371" s="35" t="str">
        <f aca="false">IF($G1371="","",IFERROR(INDEX(费用款别,MATCH($G1371,费用类别表,0)),"合同外款"))</f>
        <v/>
      </c>
      <c r="I1371" s="33"/>
      <c r="J1371" s="33"/>
      <c r="K1371" s="39"/>
      <c r="L1371" s="33"/>
      <c r="M1371" s="25"/>
      <c r="N1371" s="39"/>
      <c r="O1371" s="35" t="str">
        <f aca="false">IF($C1371="","",IF(N($N1371)&lt;=0,"未开票",IF(ROUND(N($N1371)-N($K1371),2)&gt;=0,"已开票",IFERROR("部分开票 "&amp;TEXT(N($N1371)/N($K1371),"0%"),"部分开票"))))</f>
        <v/>
      </c>
      <c r="P1371" s="40" t="str">
        <f aca="false">IF($C1371="","",ROUND($V1371+MIN($W1371,MAX(0,(SUMIF(收款键,$D1371,收款金额)-SUMIFS(收款金额,收款键,$D1371,收款关联,"&lt;&gt;"))-($X1371-$W1371))),2))</f>
        <v/>
      </c>
      <c r="Q1371" s="41" t="str">
        <f aca="false">IF($C1371="","",ROUND(N($K1371)-N($P1371),2))</f>
        <v/>
      </c>
      <c r="R1371" s="29" t="str">
        <f aca="false">IF($C1371="","",YEAR($C1371))</f>
        <v/>
      </c>
      <c r="S1371" s="24"/>
      <c r="T1371" s="35" t="str">
        <f aca="false">IF($C1371="","",IF($D1371="","★没选客户项目",IF(COUNTIF(合同键,$D1371)=0,"★《维保合同》里没这个项目",IF(N($K1371)&lt;=0,"★应收金额要填",IF(ROUND(N($N1371)-N($K1371),2)&gt;0.001,"★开票金额大于应收",IF(AND($L1371&lt;&gt;"",N($N1371)&lt;=0),"★填了开票日期没填开票金额",IF(AND($I1371&lt;&gt;"",$J1371&lt;&gt;"",$J1371&lt;$I1371),"★计费期间起止反了","OK")))))))</f>
        <v/>
      </c>
      <c r="U1371" s="29" t="str">
        <f aca="false">IF($L1371="","",YEAR($L1371))</f>
        <v/>
      </c>
      <c r="V1371" s="40" t="str">
        <f aca="false">IF($C1371="","",ROUND(SUMIF(收款关联,$B1371,收款金额),2))</f>
        <v/>
      </c>
      <c r="W1371" s="40" t="str">
        <f aca="false">IF($C1371="","",MAX(0,ROUND(N($K1371)-N($V1371),2)))</f>
        <v/>
      </c>
      <c r="X1371" s="40" t="str">
        <f aca="false">IF($C1371="","",ROUND(SUMIFS(应收净额,应收键,$D1371,应收行号,"&lt;="&amp;ROW()),2))</f>
        <v/>
      </c>
      <c r="Y1371" s="29" t="str">
        <f aca="false">IF($C1371="","",ROW())</f>
        <v/>
      </c>
    </row>
    <row r="1372" customFormat="false" ht="15" hidden="false" customHeight="false" outlineLevel="0" collapsed="false">
      <c r="A1372" s="29" t="str">
        <f aca="false">IF($C1372="","",ROW()-4)</f>
        <v/>
      </c>
      <c r="B1372" s="35" t="str">
        <f aca="false">IF($C1372="","","YS"&amp;TEXT($C1372,"yyyymm")&amp;"-"&amp;TEXT(ROW()-4,"0000"))</f>
        <v/>
      </c>
      <c r="C1372" s="33"/>
      <c r="D1372" s="24"/>
      <c r="E1372" s="30" t="str">
        <f aca="false">IF($D1372="","",IFERROR(INDEX(合同单位,MATCH($D1372,合同键,0)),IFERROR(TRIM(LEFT($D1372,FIND("｜",$D1372)-1)),$D1372)))</f>
        <v/>
      </c>
      <c r="F1372" s="30" t="str">
        <f aca="false">IF($D1372="","",IFERROR(INDEX(合同项目,MATCH($D1372,合同键,0)),IFERROR(TRIM(MID($D1372,FIND("｜",$D1372)+1,99)),"")))</f>
        <v/>
      </c>
      <c r="G1372" s="24"/>
      <c r="H1372" s="35" t="str">
        <f aca="false">IF($G1372="","",IFERROR(INDEX(费用款别,MATCH($G1372,费用类别表,0)),"合同外款"))</f>
        <v/>
      </c>
      <c r="I1372" s="33"/>
      <c r="J1372" s="33"/>
      <c r="K1372" s="39"/>
      <c r="L1372" s="33"/>
      <c r="M1372" s="25"/>
      <c r="N1372" s="39"/>
      <c r="O1372" s="35" t="str">
        <f aca="false">IF($C1372="","",IF(N($N1372)&lt;=0,"未开票",IF(ROUND(N($N1372)-N($K1372),2)&gt;=0,"已开票",IFERROR("部分开票 "&amp;TEXT(N($N1372)/N($K1372),"0%"),"部分开票"))))</f>
        <v/>
      </c>
      <c r="P1372" s="40" t="str">
        <f aca="false">IF($C1372="","",ROUND($V1372+MIN($W1372,MAX(0,(SUMIF(收款键,$D1372,收款金额)-SUMIFS(收款金额,收款键,$D1372,收款关联,"&lt;&gt;"))-($X1372-$W1372))),2))</f>
        <v/>
      </c>
      <c r="Q1372" s="41" t="str">
        <f aca="false">IF($C1372="","",ROUND(N($K1372)-N($P1372),2))</f>
        <v/>
      </c>
      <c r="R1372" s="29" t="str">
        <f aca="false">IF($C1372="","",YEAR($C1372))</f>
        <v/>
      </c>
      <c r="S1372" s="24"/>
      <c r="T1372" s="35" t="str">
        <f aca="false">IF($C1372="","",IF($D1372="","★没选客户项目",IF(COUNTIF(合同键,$D1372)=0,"★《维保合同》里没这个项目",IF(N($K1372)&lt;=0,"★应收金额要填",IF(ROUND(N($N1372)-N($K1372),2)&gt;0.001,"★开票金额大于应收",IF(AND($L1372&lt;&gt;"",N($N1372)&lt;=0),"★填了开票日期没填开票金额",IF(AND($I1372&lt;&gt;"",$J1372&lt;&gt;"",$J1372&lt;$I1372),"★计费期间起止反了","OK")))))))</f>
        <v/>
      </c>
      <c r="U1372" s="29" t="str">
        <f aca="false">IF($L1372="","",YEAR($L1372))</f>
        <v/>
      </c>
      <c r="V1372" s="40" t="str">
        <f aca="false">IF($C1372="","",ROUND(SUMIF(收款关联,$B1372,收款金额),2))</f>
        <v/>
      </c>
      <c r="W1372" s="40" t="str">
        <f aca="false">IF($C1372="","",MAX(0,ROUND(N($K1372)-N($V1372),2)))</f>
        <v/>
      </c>
      <c r="X1372" s="40" t="str">
        <f aca="false">IF($C1372="","",ROUND(SUMIFS(应收净额,应收键,$D1372,应收行号,"&lt;="&amp;ROW()),2))</f>
        <v/>
      </c>
      <c r="Y1372" s="29" t="str">
        <f aca="false">IF($C1372="","",ROW())</f>
        <v/>
      </c>
    </row>
    <row r="1373" customFormat="false" ht="15" hidden="false" customHeight="false" outlineLevel="0" collapsed="false">
      <c r="A1373" s="29" t="str">
        <f aca="false">IF($C1373="","",ROW()-4)</f>
        <v/>
      </c>
      <c r="B1373" s="35" t="str">
        <f aca="false">IF($C1373="","","YS"&amp;TEXT($C1373,"yyyymm")&amp;"-"&amp;TEXT(ROW()-4,"0000"))</f>
        <v/>
      </c>
      <c r="C1373" s="33"/>
      <c r="D1373" s="24"/>
      <c r="E1373" s="30" t="str">
        <f aca="false">IF($D1373="","",IFERROR(INDEX(合同单位,MATCH($D1373,合同键,0)),IFERROR(TRIM(LEFT($D1373,FIND("｜",$D1373)-1)),$D1373)))</f>
        <v/>
      </c>
      <c r="F1373" s="30" t="str">
        <f aca="false">IF($D1373="","",IFERROR(INDEX(合同项目,MATCH($D1373,合同键,0)),IFERROR(TRIM(MID($D1373,FIND("｜",$D1373)+1,99)),"")))</f>
        <v/>
      </c>
      <c r="G1373" s="24"/>
      <c r="H1373" s="35" t="str">
        <f aca="false">IF($G1373="","",IFERROR(INDEX(费用款别,MATCH($G1373,费用类别表,0)),"合同外款"))</f>
        <v/>
      </c>
      <c r="I1373" s="33"/>
      <c r="J1373" s="33"/>
      <c r="K1373" s="39"/>
      <c r="L1373" s="33"/>
      <c r="M1373" s="25"/>
      <c r="N1373" s="39"/>
      <c r="O1373" s="35" t="str">
        <f aca="false">IF($C1373="","",IF(N($N1373)&lt;=0,"未开票",IF(ROUND(N($N1373)-N($K1373),2)&gt;=0,"已开票",IFERROR("部分开票 "&amp;TEXT(N($N1373)/N($K1373),"0%"),"部分开票"))))</f>
        <v/>
      </c>
      <c r="P1373" s="40" t="str">
        <f aca="false">IF($C1373="","",ROUND($V1373+MIN($W1373,MAX(0,(SUMIF(收款键,$D1373,收款金额)-SUMIFS(收款金额,收款键,$D1373,收款关联,"&lt;&gt;"))-($X1373-$W1373))),2))</f>
        <v/>
      </c>
      <c r="Q1373" s="41" t="str">
        <f aca="false">IF($C1373="","",ROUND(N($K1373)-N($P1373),2))</f>
        <v/>
      </c>
      <c r="R1373" s="29" t="str">
        <f aca="false">IF($C1373="","",YEAR($C1373))</f>
        <v/>
      </c>
      <c r="S1373" s="24"/>
      <c r="T1373" s="35" t="str">
        <f aca="false">IF($C1373="","",IF($D1373="","★没选客户项目",IF(COUNTIF(合同键,$D1373)=0,"★《维保合同》里没这个项目",IF(N($K1373)&lt;=0,"★应收金额要填",IF(ROUND(N($N1373)-N($K1373),2)&gt;0.001,"★开票金额大于应收",IF(AND($L1373&lt;&gt;"",N($N1373)&lt;=0),"★填了开票日期没填开票金额",IF(AND($I1373&lt;&gt;"",$J1373&lt;&gt;"",$J1373&lt;$I1373),"★计费期间起止反了","OK")))))))</f>
        <v/>
      </c>
      <c r="U1373" s="29" t="str">
        <f aca="false">IF($L1373="","",YEAR($L1373))</f>
        <v/>
      </c>
      <c r="V1373" s="40" t="str">
        <f aca="false">IF($C1373="","",ROUND(SUMIF(收款关联,$B1373,收款金额),2))</f>
        <v/>
      </c>
      <c r="W1373" s="40" t="str">
        <f aca="false">IF($C1373="","",MAX(0,ROUND(N($K1373)-N($V1373),2)))</f>
        <v/>
      </c>
      <c r="X1373" s="40" t="str">
        <f aca="false">IF($C1373="","",ROUND(SUMIFS(应收净额,应收键,$D1373,应收行号,"&lt;="&amp;ROW()),2))</f>
        <v/>
      </c>
      <c r="Y1373" s="29" t="str">
        <f aca="false">IF($C1373="","",ROW())</f>
        <v/>
      </c>
    </row>
    <row r="1374" customFormat="false" ht="15" hidden="false" customHeight="false" outlineLevel="0" collapsed="false">
      <c r="A1374" s="29" t="str">
        <f aca="false">IF($C1374="","",ROW()-4)</f>
        <v/>
      </c>
      <c r="B1374" s="35" t="str">
        <f aca="false">IF($C1374="","","YS"&amp;TEXT($C1374,"yyyymm")&amp;"-"&amp;TEXT(ROW()-4,"0000"))</f>
        <v/>
      </c>
      <c r="C1374" s="33"/>
      <c r="D1374" s="24"/>
      <c r="E1374" s="30" t="str">
        <f aca="false">IF($D1374="","",IFERROR(INDEX(合同单位,MATCH($D1374,合同键,0)),IFERROR(TRIM(LEFT($D1374,FIND("｜",$D1374)-1)),$D1374)))</f>
        <v/>
      </c>
      <c r="F1374" s="30" t="str">
        <f aca="false">IF($D1374="","",IFERROR(INDEX(合同项目,MATCH($D1374,合同键,0)),IFERROR(TRIM(MID($D1374,FIND("｜",$D1374)+1,99)),"")))</f>
        <v/>
      </c>
      <c r="G1374" s="24"/>
      <c r="H1374" s="35" t="str">
        <f aca="false">IF($G1374="","",IFERROR(INDEX(费用款别,MATCH($G1374,费用类别表,0)),"合同外款"))</f>
        <v/>
      </c>
      <c r="I1374" s="33"/>
      <c r="J1374" s="33"/>
      <c r="K1374" s="39"/>
      <c r="L1374" s="33"/>
      <c r="M1374" s="25"/>
      <c r="N1374" s="39"/>
      <c r="O1374" s="35" t="str">
        <f aca="false">IF($C1374="","",IF(N($N1374)&lt;=0,"未开票",IF(ROUND(N($N1374)-N($K1374),2)&gt;=0,"已开票",IFERROR("部分开票 "&amp;TEXT(N($N1374)/N($K1374),"0%"),"部分开票"))))</f>
        <v/>
      </c>
      <c r="P1374" s="40" t="str">
        <f aca="false">IF($C1374="","",ROUND($V1374+MIN($W1374,MAX(0,(SUMIF(收款键,$D1374,收款金额)-SUMIFS(收款金额,收款键,$D1374,收款关联,"&lt;&gt;"))-($X1374-$W1374))),2))</f>
        <v/>
      </c>
      <c r="Q1374" s="41" t="str">
        <f aca="false">IF($C1374="","",ROUND(N($K1374)-N($P1374),2))</f>
        <v/>
      </c>
      <c r="R1374" s="29" t="str">
        <f aca="false">IF($C1374="","",YEAR($C1374))</f>
        <v/>
      </c>
      <c r="S1374" s="24"/>
      <c r="T1374" s="35" t="str">
        <f aca="false">IF($C1374="","",IF($D1374="","★没选客户项目",IF(COUNTIF(合同键,$D1374)=0,"★《维保合同》里没这个项目",IF(N($K1374)&lt;=0,"★应收金额要填",IF(ROUND(N($N1374)-N($K1374),2)&gt;0.001,"★开票金额大于应收",IF(AND($L1374&lt;&gt;"",N($N1374)&lt;=0),"★填了开票日期没填开票金额",IF(AND($I1374&lt;&gt;"",$J1374&lt;&gt;"",$J1374&lt;$I1374),"★计费期间起止反了","OK")))))))</f>
        <v/>
      </c>
      <c r="U1374" s="29" t="str">
        <f aca="false">IF($L1374="","",YEAR($L1374))</f>
        <v/>
      </c>
      <c r="V1374" s="40" t="str">
        <f aca="false">IF($C1374="","",ROUND(SUMIF(收款关联,$B1374,收款金额),2))</f>
        <v/>
      </c>
      <c r="W1374" s="40" t="str">
        <f aca="false">IF($C1374="","",MAX(0,ROUND(N($K1374)-N($V1374),2)))</f>
        <v/>
      </c>
      <c r="X1374" s="40" t="str">
        <f aca="false">IF($C1374="","",ROUND(SUMIFS(应收净额,应收键,$D1374,应收行号,"&lt;="&amp;ROW()),2))</f>
        <v/>
      </c>
      <c r="Y1374" s="29" t="str">
        <f aca="false">IF($C1374="","",ROW())</f>
        <v/>
      </c>
    </row>
    <row r="1375" customFormat="false" ht="15" hidden="false" customHeight="false" outlineLevel="0" collapsed="false">
      <c r="A1375" s="29" t="str">
        <f aca="false">IF($C1375="","",ROW()-4)</f>
        <v/>
      </c>
      <c r="B1375" s="35" t="str">
        <f aca="false">IF($C1375="","","YS"&amp;TEXT($C1375,"yyyymm")&amp;"-"&amp;TEXT(ROW()-4,"0000"))</f>
        <v/>
      </c>
      <c r="C1375" s="33"/>
      <c r="D1375" s="24"/>
      <c r="E1375" s="30" t="str">
        <f aca="false">IF($D1375="","",IFERROR(INDEX(合同单位,MATCH($D1375,合同键,0)),IFERROR(TRIM(LEFT($D1375,FIND("｜",$D1375)-1)),$D1375)))</f>
        <v/>
      </c>
      <c r="F1375" s="30" t="str">
        <f aca="false">IF($D1375="","",IFERROR(INDEX(合同项目,MATCH($D1375,合同键,0)),IFERROR(TRIM(MID($D1375,FIND("｜",$D1375)+1,99)),"")))</f>
        <v/>
      </c>
      <c r="G1375" s="24"/>
      <c r="H1375" s="35" t="str">
        <f aca="false">IF($G1375="","",IFERROR(INDEX(费用款别,MATCH($G1375,费用类别表,0)),"合同外款"))</f>
        <v/>
      </c>
      <c r="I1375" s="33"/>
      <c r="J1375" s="33"/>
      <c r="K1375" s="39"/>
      <c r="L1375" s="33"/>
      <c r="M1375" s="25"/>
      <c r="N1375" s="39"/>
      <c r="O1375" s="35" t="str">
        <f aca="false">IF($C1375="","",IF(N($N1375)&lt;=0,"未开票",IF(ROUND(N($N1375)-N($K1375),2)&gt;=0,"已开票",IFERROR("部分开票 "&amp;TEXT(N($N1375)/N($K1375),"0%"),"部分开票"))))</f>
        <v/>
      </c>
      <c r="P1375" s="40" t="str">
        <f aca="false">IF($C1375="","",ROUND($V1375+MIN($W1375,MAX(0,(SUMIF(收款键,$D1375,收款金额)-SUMIFS(收款金额,收款键,$D1375,收款关联,"&lt;&gt;"))-($X1375-$W1375))),2))</f>
        <v/>
      </c>
      <c r="Q1375" s="41" t="str">
        <f aca="false">IF($C1375="","",ROUND(N($K1375)-N($P1375),2))</f>
        <v/>
      </c>
      <c r="R1375" s="29" t="str">
        <f aca="false">IF($C1375="","",YEAR($C1375))</f>
        <v/>
      </c>
      <c r="S1375" s="24"/>
      <c r="T1375" s="35" t="str">
        <f aca="false">IF($C1375="","",IF($D1375="","★没选客户项目",IF(COUNTIF(合同键,$D1375)=0,"★《维保合同》里没这个项目",IF(N($K1375)&lt;=0,"★应收金额要填",IF(ROUND(N($N1375)-N($K1375),2)&gt;0.001,"★开票金额大于应收",IF(AND($L1375&lt;&gt;"",N($N1375)&lt;=0),"★填了开票日期没填开票金额",IF(AND($I1375&lt;&gt;"",$J1375&lt;&gt;"",$J1375&lt;$I1375),"★计费期间起止反了","OK")))))))</f>
        <v/>
      </c>
      <c r="U1375" s="29" t="str">
        <f aca="false">IF($L1375="","",YEAR($L1375))</f>
        <v/>
      </c>
      <c r="V1375" s="40" t="str">
        <f aca="false">IF($C1375="","",ROUND(SUMIF(收款关联,$B1375,收款金额),2))</f>
        <v/>
      </c>
      <c r="W1375" s="40" t="str">
        <f aca="false">IF($C1375="","",MAX(0,ROUND(N($K1375)-N($V1375),2)))</f>
        <v/>
      </c>
      <c r="X1375" s="40" t="str">
        <f aca="false">IF($C1375="","",ROUND(SUMIFS(应收净额,应收键,$D1375,应收行号,"&lt;="&amp;ROW()),2))</f>
        <v/>
      </c>
      <c r="Y1375" s="29" t="str">
        <f aca="false">IF($C1375="","",ROW())</f>
        <v/>
      </c>
    </row>
    <row r="1376" customFormat="false" ht="15" hidden="false" customHeight="false" outlineLevel="0" collapsed="false">
      <c r="A1376" s="29" t="str">
        <f aca="false">IF($C1376="","",ROW()-4)</f>
        <v/>
      </c>
      <c r="B1376" s="35" t="str">
        <f aca="false">IF($C1376="","","YS"&amp;TEXT($C1376,"yyyymm")&amp;"-"&amp;TEXT(ROW()-4,"0000"))</f>
        <v/>
      </c>
      <c r="C1376" s="33"/>
      <c r="D1376" s="24"/>
      <c r="E1376" s="30" t="str">
        <f aca="false">IF($D1376="","",IFERROR(INDEX(合同单位,MATCH($D1376,合同键,0)),IFERROR(TRIM(LEFT($D1376,FIND("｜",$D1376)-1)),$D1376)))</f>
        <v/>
      </c>
      <c r="F1376" s="30" t="str">
        <f aca="false">IF($D1376="","",IFERROR(INDEX(合同项目,MATCH($D1376,合同键,0)),IFERROR(TRIM(MID($D1376,FIND("｜",$D1376)+1,99)),"")))</f>
        <v/>
      </c>
      <c r="G1376" s="24"/>
      <c r="H1376" s="35" t="str">
        <f aca="false">IF($G1376="","",IFERROR(INDEX(费用款别,MATCH($G1376,费用类别表,0)),"合同外款"))</f>
        <v/>
      </c>
      <c r="I1376" s="33"/>
      <c r="J1376" s="33"/>
      <c r="K1376" s="39"/>
      <c r="L1376" s="33"/>
      <c r="M1376" s="25"/>
      <c r="N1376" s="39"/>
      <c r="O1376" s="35" t="str">
        <f aca="false">IF($C1376="","",IF(N($N1376)&lt;=0,"未开票",IF(ROUND(N($N1376)-N($K1376),2)&gt;=0,"已开票",IFERROR("部分开票 "&amp;TEXT(N($N1376)/N($K1376),"0%"),"部分开票"))))</f>
        <v/>
      </c>
      <c r="P1376" s="40" t="str">
        <f aca="false">IF($C1376="","",ROUND($V1376+MIN($W1376,MAX(0,(SUMIF(收款键,$D1376,收款金额)-SUMIFS(收款金额,收款键,$D1376,收款关联,"&lt;&gt;"))-($X1376-$W1376))),2))</f>
        <v/>
      </c>
      <c r="Q1376" s="41" t="str">
        <f aca="false">IF($C1376="","",ROUND(N($K1376)-N($P1376),2))</f>
        <v/>
      </c>
      <c r="R1376" s="29" t="str">
        <f aca="false">IF($C1376="","",YEAR($C1376))</f>
        <v/>
      </c>
      <c r="S1376" s="24"/>
      <c r="T1376" s="35" t="str">
        <f aca="false">IF($C1376="","",IF($D1376="","★没选客户项目",IF(COUNTIF(合同键,$D1376)=0,"★《维保合同》里没这个项目",IF(N($K1376)&lt;=0,"★应收金额要填",IF(ROUND(N($N1376)-N($K1376),2)&gt;0.001,"★开票金额大于应收",IF(AND($L1376&lt;&gt;"",N($N1376)&lt;=0),"★填了开票日期没填开票金额",IF(AND($I1376&lt;&gt;"",$J1376&lt;&gt;"",$J1376&lt;$I1376),"★计费期间起止反了","OK")))))))</f>
        <v/>
      </c>
      <c r="U1376" s="29" t="str">
        <f aca="false">IF($L1376="","",YEAR($L1376))</f>
        <v/>
      </c>
      <c r="V1376" s="40" t="str">
        <f aca="false">IF($C1376="","",ROUND(SUMIF(收款关联,$B1376,收款金额),2))</f>
        <v/>
      </c>
      <c r="W1376" s="40" t="str">
        <f aca="false">IF($C1376="","",MAX(0,ROUND(N($K1376)-N($V1376),2)))</f>
        <v/>
      </c>
      <c r="X1376" s="40" t="str">
        <f aca="false">IF($C1376="","",ROUND(SUMIFS(应收净额,应收键,$D1376,应收行号,"&lt;="&amp;ROW()),2))</f>
        <v/>
      </c>
      <c r="Y1376" s="29" t="str">
        <f aca="false">IF($C1376="","",ROW())</f>
        <v/>
      </c>
    </row>
    <row r="1377" customFormat="false" ht="15" hidden="false" customHeight="false" outlineLevel="0" collapsed="false">
      <c r="A1377" s="29" t="str">
        <f aca="false">IF($C1377="","",ROW()-4)</f>
        <v/>
      </c>
      <c r="B1377" s="35" t="str">
        <f aca="false">IF($C1377="","","YS"&amp;TEXT($C1377,"yyyymm")&amp;"-"&amp;TEXT(ROW()-4,"0000"))</f>
        <v/>
      </c>
      <c r="C1377" s="33"/>
      <c r="D1377" s="24"/>
      <c r="E1377" s="30" t="str">
        <f aca="false">IF($D1377="","",IFERROR(INDEX(合同单位,MATCH($D1377,合同键,0)),IFERROR(TRIM(LEFT($D1377,FIND("｜",$D1377)-1)),$D1377)))</f>
        <v/>
      </c>
      <c r="F1377" s="30" t="str">
        <f aca="false">IF($D1377="","",IFERROR(INDEX(合同项目,MATCH($D1377,合同键,0)),IFERROR(TRIM(MID($D1377,FIND("｜",$D1377)+1,99)),"")))</f>
        <v/>
      </c>
      <c r="G1377" s="24"/>
      <c r="H1377" s="35" t="str">
        <f aca="false">IF($G1377="","",IFERROR(INDEX(费用款别,MATCH($G1377,费用类别表,0)),"合同外款"))</f>
        <v/>
      </c>
      <c r="I1377" s="33"/>
      <c r="J1377" s="33"/>
      <c r="K1377" s="39"/>
      <c r="L1377" s="33"/>
      <c r="M1377" s="25"/>
      <c r="N1377" s="39"/>
      <c r="O1377" s="35" t="str">
        <f aca="false">IF($C1377="","",IF(N($N1377)&lt;=0,"未开票",IF(ROUND(N($N1377)-N($K1377),2)&gt;=0,"已开票",IFERROR("部分开票 "&amp;TEXT(N($N1377)/N($K1377),"0%"),"部分开票"))))</f>
        <v/>
      </c>
      <c r="P1377" s="40" t="str">
        <f aca="false">IF($C1377="","",ROUND($V1377+MIN($W1377,MAX(0,(SUMIF(收款键,$D1377,收款金额)-SUMIFS(收款金额,收款键,$D1377,收款关联,"&lt;&gt;"))-($X1377-$W1377))),2))</f>
        <v/>
      </c>
      <c r="Q1377" s="41" t="str">
        <f aca="false">IF($C1377="","",ROUND(N($K1377)-N($P1377),2))</f>
        <v/>
      </c>
      <c r="R1377" s="29" t="str">
        <f aca="false">IF($C1377="","",YEAR($C1377))</f>
        <v/>
      </c>
      <c r="S1377" s="24"/>
      <c r="T1377" s="35" t="str">
        <f aca="false">IF($C1377="","",IF($D1377="","★没选客户项目",IF(COUNTIF(合同键,$D1377)=0,"★《维保合同》里没这个项目",IF(N($K1377)&lt;=0,"★应收金额要填",IF(ROUND(N($N1377)-N($K1377),2)&gt;0.001,"★开票金额大于应收",IF(AND($L1377&lt;&gt;"",N($N1377)&lt;=0),"★填了开票日期没填开票金额",IF(AND($I1377&lt;&gt;"",$J1377&lt;&gt;"",$J1377&lt;$I1377),"★计费期间起止反了","OK")))))))</f>
        <v/>
      </c>
      <c r="U1377" s="29" t="str">
        <f aca="false">IF($L1377="","",YEAR($L1377))</f>
        <v/>
      </c>
      <c r="V1377" s="40" t="str">
        <f aca="false">IF($C1377="","",ROUND(SUMIF(收款关联,$B1377,收款金额),2))</f>
        <v/>
      </c>
      <c r="W1377" s="40" t="str">
        <f aca="false">IF($C1377="","",MAX(0,ROUND(N($K1377)-N($V1377),2)))</f>
        <v/>
      </c>
      <c r="X1377" s="40" t="str">
        <f aca="false">IF($C1377="","",ROUND(SUMIFS(应收净额,应收键,$D1377,应收行号,"&lt;="&amp;ROW()),2))</f>
        <v/>
      </c>
      <c r="Y1377" s="29" t="str">
        <f aca="false">IF($C1377="","",ROW())</f>
        <v/>
      </c>
    </row>
    <row r="1378" customFormat="false" ht="15" hidden="false" customHeight="false" outlineLevel="0" collapsed="false">
      <c r="A1378" s="29" t="str">
        <f aca="false">IF($C1378="","",ROW()-4)</f>
        <v/>
      </c>
      <c r="B1378" s="35" t="str">
        <f aca="false">IF($C1378="","","YS"&amp;TEXT($C1378,"yyyymm")&amp;"-"&amp;TEXT(ROW()-4,"0000"))</f>
        <v/>
      </c>
      <c r="C1378" s="33"/>
      <c r="D1378" s="24"/>
      <c r="E1378" s="30" t="str">
        <f aca="false">IF($D1378="","",IFERROR(INDEX(合同单位,MATCH($D1378,合同键,0)),IFERROR(TRIM(LEFT($D1378,FIND("｜",$D1378)-1)),$D1378)))</f>
        <v/>
      </c>
      <c r="F1378" s="30" t="str">
        <f aca="false">IF($D1378="","",IFERROR(INDEX(合同项目,MATCH($D1378,合同键,0)),IFERROR(TRIM(MID($D1378,FIND("｜",$D1378)+1,99)),"")))</f>
        <v/>
      </c>
      <c r="G1378" s="24"/>
      <c r="H1378" s="35" t="str">
        <f aca="false">IF($G1378="","",IFERROR(INDEX(费用款别,MATCH($G1378,费用类别表,0)),"合同外款"))</f>
        <v/>
      </c>
      <c r="I1378" s="33"/>
      <c r="J1378" s="33"/>
      <c r="K1378" s="39"/>
      <c r="L1378" s="33"/>
      <c r="M1378" s="25"/>
      <c r="N1378" s="39"/>
      <c r="O1378" s="35" t="str">
        <f aca="false">IF($C1378="","",IF(N($N1378)&lt;=0,"未开票",IF(ROUND(N($N1378)-N($K1378),2)&gt;=0,"已开票",IFERROR("部分开票 "&amp;TEXT(N($N1378)/N($K1378),"0%"),"部分开票"))))</f>
        <v/>
      </c>
      <c r="P1378" s="40" t="str">
        <f aca="false">IF($C1378="","",ROUND($V1378+MIN($W1378,MAX(0,(SUMIF(收款键,$D1378,收款金额)-SUMIFS(收款金额,收款键,$D1378,收款关联,"&lt;&gt;"))-($X1378-$W1378))),2))</f>
        <v/>
      </c>
      <c r="Q1378" s="41" t="str">
        <f aca="false">IF($C1378="","",ROUND(N($K1378)-N($P1378),2))</f>
        <v/>
      </c>
      <c r="R1378" s="29" t="str">
        <f aca="false">IF($C1378="","",YEAR($C1378))</f>
        <v/>
      </c>
      <c r="S1378" s="24"/>
      <c r="T1378" s="35" t="str">
        <f aca="false">IF($C1378="","",IF($D1378="","★没选客户项目",IF(COUNTIF(合同键,$D1378)=0,"★《维保合同》里没这个项目",IF(N($K1378)&lt;=0,"★应收金额要填",IF(ROUND(N($N1378)-N($K1378),2)&gt;0.001,"★开票金额大于应收",IF(AND($L1378&lt;&gt;"",N($N1378)&lt;=0),"★填了开票日期没填开票金额",IF(AND($I1378&lt;&gt;"",$J1378&lt;&gt;"",$J1378&lt;$I1378),"★计费期间起止反了","OK")))))))</f>
        <v/>
      </c>
      <c r="U1378" s="29" t="str">
        <f aca="false">IF($L1378="","",YEAR($L1378))</f>
        <v/>
      </c>
      <c r="V1378" s="40" t="str">
        <f aca="false">IF($C1378="","",ROUND(SUMIF(收款关联,$B1378,收款金额),2))</f>
        <v/>
      </c>
      <c r="W1378" s="40" t="str">
        <f aca="false">IF($C1378="","",MAX(0,ROUND(N($K1378)-N($V1378),2)))</f>
        <v/>
      </c>
      <c r="X1378" s="40" t="str">
        <f aca="false">IF($C1378="","",ROUND(SUMIFS(应收净额,应收键,$D1378,应收行号,"&lt;="&amp;ROW()),2))</f>
        <v/>
      </c>
      <c r="Y1378" s="29" t="str">
        <f aca="false">IF($C1378="","",ROW())</f>
        <v/>
      </c>
    </row>
    <row r="1379" customFormat="false" ht="15" hidden="false" customHeight="false" outlineLevel="0" collapsed="false">
      <c r="A1379" s="29" t="str">
        <f aca="false">IF($C1379="","",ROW()-4)</f>
        <v/>
      </c>
      <c r="B1379" s="35" t="str">
        <f aca="false">IF($C1379="","","YS"&amp;TEXT($C1379,"yyyymm")&amp;"-"&amp;TEXT(ROW()-4,"0000"))</f>
        <v/>
      </c>
      <c r="C1379" s="33"/>
      <c r="D1379" s="24"/>
      <c r="E1379" s="30" t="str">
        <f aca="false">IF($D1379="","",IFERROR(INDEX(合同单位,MATCH($D1379,合同键,0)),IFERROR(TRIM(LEFT($D1379,FIND("｜",$D1379)-1)),$D1379)))</f>
        <v/>
      </c>
      <c r="F1379" s="30" t="str">
        <f aca="false">IF($D1379="","",IFERROR(INDEX(合同项目,MATCH($D1379,合同键,0)),IFERROR(TRIM(MID($D1379,FIND("｜",$D1379)+1,99)),"")))</f>
        <v/>
      </c>
      <c r="G1379" s="24"/>
      <c r="H1379" s="35" t="str">
        <f aca="false">IF($G1379="","",IFERROR(INDEX(费用款别,MATCH($G1379,费用类别表,0)),"合同外款"))</f>
        <v/>
      </c>
      <c r="I1379" s="33"/>
      <c r="J1379" s="33"/>
      <c r="K1379" s="39"/>
      <c r="L1379" s="33"/>
      <c r="M1379" s="25"/>
      <c r="N1379" s="39"/>
      <c r="O1379" s="35" t="str">
        <f aca="false">IF($C1379="","",IF(N($N1379)&lt;=0,"未开票",IF(ROUND(N($N1379)-N($K1379),2)&gt;=0,"已开票",IFERROR("部分开票 "&amp;TEXT(N($N1379)/N($K1379),"0%"),"部分开票"))))</f>
        <v/>
      </c>
      <c r="P1379" s="40" t="str">
        <f aca="false">IF($C1379="","",ROUND($V1379+MIN($W1379,MAX(0,(SUMIF(收款键,$D1379,收款金额)-SUMIFS(收款金额,收款键,$D1379,收款关联,"&lt;&gt;"))-($X1379-$W1379))),2))</f>
        <v/>
      </c>
      <c r="Q1379" s="41" t="str">
        <f aca="false">IF($C1379="","",ROUND(N($K1379)-N($P1379),2))</f>
        <v/>
      </c>
      <c r="R1379" s="29" t="str">
        <f aca="false">IF($C1379="","",YEAR($C1379))</f>
        <v/>
      </c>
      <c r="S1379" s="24"/>
      <c r="T1379" s="35" t="str">
        <f aca="false">IF($C1379="","",IF($D1379="","★没选客户项目",IF(COUNTIF(合同键,$D1379)=0,"★《维保合同》里没这个项目",IF(N($K1379)&lt;=0,"★应收金额要填",IF(ROUND(N($N1379)-N($K1379),2)&gt;0.001,"★开票金额大于应收",IF(AND($L1379&lt;&gt;"",N($N1379)&lt;=0),"★填了开票日期没填开票金额",IF(AND($I1379&lt;&gt;"",$J1379&lt;&gt;"",$J1379&lt;$I1379),"★计费期间起止反了","OK")))))))</f>
        <v/>
      </c>
      <c r="U1379" s="29" t="str">
        <f aca="false">IF($L1379="","",YEAR($L1379))</f>
        <v/>
      </c>
      <c r="V1379" s="40" t="str">
        <f aca="false">IF($C1379="","",ROUND(SUMIF(收款关联,$B1379,收款金额),2))</f>
        <v/>
      </c>
      <c r="W1379" s="40" t="str">
        <f aca="false">IF($C1379="","",MAX(0,ROUND(N($K1379)-N($V1379),2)))</f>
        <v/>
      </c>
      <c r="X1379" s="40" t="str">
        <f aca="false">IF($C1379="","",ROUND(SUMIFS(应收净额,应收键,$D1379,应收行号,"&lt;="&amp;ROW()),2))</f>
        <v/>
      </c>
      <c r="Y1379" s="29" t="str">
        <f aca="false">IF($C1379="","",ROW())</f>
        <v/>
      </c>
    </row>
    <row r="1380" customFormat="false" ht="15" hidden="false" customHeight="false" outlineLevel="0" collapsed="false">
      <c r="A1380" s="29" t="str">
        <f aca="false">IF($C1380="","",ROW()-4)</f>
        <v/>
      </c>
      <c r="B1380" s="35" t="str">
        <f aca="false">IF($C1380="","","YS"&amp;TEXT($C1380,"yyyymm")&amp;"-"&amp;TEXT(ROW()-4,"0000"))</f>
        <v/>
      </c>
      <c r="C1380" s="33"/>
      <c r="D1380" s="24"/>
      <c r="E1380" s="30" t="str">
        <f aca="false">IF($D1380="","",IFERROR(INDEX(合同单位,MATCH($D1380,合同键,0)),IFERROR(TRIM(LEFT($D1380,FIND("｜",$D1380)-1)),$D1380)))</f>
        <v/>
      </c>
      <c r="F1380" s="30" t="str">
        <f aca="false">IF($D1380="","",IFERROR(INDEX(合同项目,MATCH($D1380,合同键,0)),IFERROR(TRIM(MID($D1380,FIND("｜",$D1380)+1,99)),"")))</f>
        <v/>
      </c>
      <c r="G1380" s="24"/>
      <c r="H1380" s="35" t="str">
        <f aca="false">IF($G1380="","",IFERROR(INDEX(费用款别,MATCH($G1380,费用类别表,0)),"合同外款"))</f>
        <v/>
      </c>
      <c r="I1380" s="33"/>
      <c r="J1380" s="33"/>
      <c r="K1380" s="39"/>
      <c r="L1380" s="33"/>
      <c r="M1380" s="25"/>
      <c r="N1380" s="39"/>
      <c r="O1380" s="35" t="str">
        <f aca="false">IF($C1380="","",IF(N($N1380)&lt;=0,"未开票",IF(ROUND(N($N1380)-N($K1380),2)&gt;=0,"已开票",IFERROR("部分开票 "&amp;TEXT(N($N1380)/N($K1380),"0%"),"部分开票"))))</f>
        <v/>
      </c>
      <c r="P1380" s="40" t="str">
        <f aca="false">IF($C1380="","",ROUND($V1380+MIN($W1380,MAX(0,(SUMIF(收款键,$D1380,收款金额)-SUMIFS(收款金额,收款键,$D1380,收款关联,"&lt;&gt;"))-($X1380-$W1380))),2))</f>
        <v/>
      </c>
      <c r="Q1380" s="41" t="str">
        <f aca="false">IF($C1380="","",ROUND(N($K1380)-N($P1380),2))</f>
        <v/>
      </c>
      <c r="R1380" s="29" t="str">
        <f aca="false">IF($C1380="","",YEAR($C1380))</f>
        <v/>
      </c>
      <c r="S1380" s="24"/>
      <c r="T1380" s="35" t="str">
        <f aca="false">IF($C1380="","",IF($D1380="","★没选客户项目",IF(COUNTIF(合同键,$D1380)=0,"★《维保合同》里没这个项目",IF(N($K1380)&lt;=0,"★应收金额要填",IF(ROUND(N($N1380)-N($K1380),2)&gt;0.001,"★开票金额大于应收",IF(AND($L1380&lt;&gt;"",N($N1380)&lt;=0),"★填了开票日期没填开票金额",IF(AND($I1380&lt;&gt;"",$J1380&lt;&gt;"",$J1380&lt;$I1380),"★计费期间起止反了","OK")))))))</f>
        <v/>
      </c>
      <c r="U1380" s="29" t="str">
        <f aca="false">IF($L1380="","",YEAR($L1380))</f>
        <v/>
      </c>
      <c r="V1380" s="40" t="str">
        <f aca="false">IF($C1380="","",ROUND(SUMIF(收款关联,$B1380,收款金额),2))</f>
        <v/>
      </c>
      <c r="W1380" s="40" t="str">
        <f aca="false">IF($C1380="","",MAX(0,ROUND(N($K1380)-N($V1380),2)))</f>
        <v/>
      </c>
      <c r="X1380" s="40" t="str">
        <f aca="false">IF($C1380="","",ROUND(SUMIFS(应收净额,应收键,$D1380,应收行号,"&lt;="&amp;ROW()),2))</f>
        <v/>
      </c>
      <c r="Y1380" s="29" t="str">
        <f aca="false">IF($C1380="","",ROW())</f>
        <v/>
      </c>
    </row>
    <row r="1381" customFormat="false" ht="15" hidden="false" customHeight="false" outlineLevel="0" collapsed="false">
      <c r="A1381" s="29" t="str">
        <f aca="false">IF($C1381="","",ROW()-4)</f>
        <v/>
      </c>
      <c r="B1381" s="35" t="str">
        <f aca="false">IF($C1381="","","YS"&amp;TEXT($C1381,"yyyymm")&amp;"-"&amp;TEXT(ROW()-4,"0000"))</f>
        <v/>
      </c>
      <c r="C1381" s="33"/>
      <c r="D1381" s="24"/>
      <c r="E1381" s="30" t="str">
        <f aca="false">IF($D1381="","",IFERROR(INDEX(合同单位,MATCH($D1381,合同键,0)),IFERROR(TRIM(LEFT($D1381,FIND("｜",$D1381)-1)),$D1381)))</f>
        <v/>
      </c>
      <c r="F1381" s="30" t="str">
        <f aca="false">IF($D1381="","",IFERROR(INDEX(合同项目,MATCH($D1381,合同键,0)),IFERROR(TRIM(MID($D1381,FIND("｜",$D1381)+1,99)),"")))</f>
        <v/>
      </c>
      <c r="G1381" s="24"/>
      <c r="H1381" s="35" t="str">
        <f aca="false">IF($G1381="","",IFERROR(INDEX(费用款别,MATCH($G1381,费用类别表,0)),"合同外款"))</f>
        <v/>
      </c>
      <c r="I1381" s="33"/>
      <c r="J1381" s="33"/>
      <c r="K1381" s="39"/>
      <c r="L1381" s="33"/>
      <c r="M1381" s="25"/>
      <c r="N1381" s="39"/>
      <c r="O1381" s="35" t="str">
        <f aca="false">IF($C1381="","",IF(N($N1381)&lt;=0,"未开票",IF(ROUND(N($N1381)-N($K1381),2)&gt;=0,"已开票",IFERROR("部分开票 "&amp;TEXT(N($N1381)/N($K1381),"0%"),"部分开票"))))</f>
        <v/>
      </c>
      <c r="P1381" s="40" t="str">
        <f aca="false">IF($C1381="","",ROUND($V1381+MIN($W1381,MAX(0,(SUMIF(收款键,$D1381,收款金额)-SUMIFS(收款金额,收款键,$D1381,收款关联,"&lt;&gt;"))-($X1381-$W1381))),2))</f>
        <v/>
      </c>
      <c r="Q1381" s="41" t="str">
        <f aca="false">IF($C1381="","",ROUND(N($K1381)-N($P1381),2))</f>
        <v/>
      </c>
      <c r="R1381" s="29" t="str">
        <f aca="false">IF($C1381="","",YEAR($C1381))</f>
        <v/>
      </c>
      <c r="S1381" s="24"/>
      <c r="T1381" s="35" t="str">
        <f aca="false">IF($C1381="","",IF($D1381="","★没选客户项目",IF(COUNTIF(合同键,$D1381)=0,"★《维保合同》里没这个项目",IF(N($K1381)&lt;=0,"★应收金额要填",IF(ROUND(N($N1381)-N($K1381),2)&gt;0.001,"★开票金额大于应收",IF(AND($L1381&lt;&gt;"",N($N1381)&lt;=0),"★填了开票日期没填开票金额",IF(AND($I1381&lt;&gt;"",$J1381&lt;&gt;"",$J1381&lt;$I1381),"★计费期间起止反了","OK")))))))</f>
        <v/>
      </c>
      <c r="U1381" s="29" t="str">
        <f aca="false">IF($L1381="","",YEAR($L1381))</f>
        <v/>
      </c>
      <c r="V1381" s="40" t="str">
        <f aca="false">IF($C1381="","",ROUND(SUMIF(收款关联,$B1381,收款金额),2))</f>
        <v/>
      </c>
      <c r="W1381" s="40" t="str">
        <f aca="false">IF($C1381="","",MAX(0,ROUND(N($K1381)-N($V1381),2)))</f>
        <v/>
      </c>
      <c r="X1381" s="40" t="str">
        <f aca="false">IF($C1381="","",ROUND(SUMIFS(应收净额,应收键,$D1381,应收行号,"&lt;="&amp;ROW()),2))</f>
        <v/>
      </c>
      <c r="Y1381" s="29" t="str">
        <f aca="false">IF($C1381="","",ROW())</f>
        <v/>
      </c>
    </row>
    <row r="1382" customFormat="false" ht="15" hidden="false" customHeight="false" outlineLevel="0" collapsed="false">
      <c r="A1382" s="29" t="str">
        <f aca="false">IF($C1382="","",ROW()-4)</f>
        <v/>
      </c>
      <c r="B1382" s="35" t="str">
        <f aca="false">IF($C1382="","","YS"&amp;TEXT($C1382,"yyyymm")&amp;"-"&amp;TEXT(ROW()-4,"0000"))</f>
        <v/>
      </c>
      <c r="C1382" s="33"/>
      <c r="D1382" s="24"/>
      <c r="E1382" s="30" t="str">
        <f aca="false">IF($D1382="","",IFERROR(INDEX(合同单位,MATCH($D1382,合同键,0)),IFERROR(TRIM(LEFT($D1382,FIND("｜",$D1382)-1)),$D1382)))</f>
        <v/>
      </c>
      <c r="F1382" s="30" t="str">
        <f aca="false">IF($D1382="","",IFERROR(INDEX(合同项目,MATCH($D1382,合同键,0)),IFERROR(TRIM(MID($D1382,FIND("｜",$D1382)+1,99)),"")))</f>
        <v/>
      </c>
      <c r="G1382" s="24"/>
      <c r="H1382" s="35" t="str">
        <f aca="false">IF($G1382="","",IFERROR(INDEX(费用款别,MATCH($G1382,费用类别表,0)),"合同外款"))</f>
        <v/>
      </c>
      <c r="I1382" s="33"/>
      <c r="J1382" s="33"/>
      <c r="K1382" s="39"/>
      <c r="L1382" s="33"/>
      <c r="M1382" s="25"/>
      <c r="N1382" s="39"/>
      <c r="O1382" s="35" t="str">
        <f aca="false">IF($C1382="","",IF(N($N1382)&lt;=0,"未开票",IF(ROUND(N($N1382)-N($K1382),2)&gt;=0,"已开票",IFERROR("部分开票 "&amp;TEXT(N($N1382)/N($K1382),"0%"),"部分开票"))))</f>
        <v/>
      </c>
      <c r="P1382" s="40" t="str">
        <f aca="false">IF($C1382="","",ROUND($V1382+MIN($W1382,MAX(0,(SUMIF(收款键,$D1382,收款金额)-SUMIFS(收款金额,收款键,$D1382,收款关联,"&lt;&gt;"))-($X1382-$W1382))),2))</f>
        <v/>
      </c>
      <c r="Q1382" s="41" t="str">
        <f aca="false">IF($C1382="","",ROUND(N($K1382)-N($P1382),2))</f>
        <v/>
      </c>
      <c r="R1382" s="29" t="str">
        <f aca="false">IF($C1382="","",YEAR($C1382))</f>
        <v/>
      </c>
      <c r="S1382" s="24"/>
      <c r="T1382" s="35" t="str">
        <f aca="false">IF($C1382="","",IF($D1382="","★没选客户项目",IF(COUNTIF(合同键,$D1382)=0,"★《维保合同》里没这个项目",IF(N($K1382)&lt;=0,"★应收金额要填",IF(ROUND(N($N1382)-N($K1382),2)&gt;0.001,"★开票金额大于应收",IF(AND($L1382&lt;&gt;"",N($N1382)&lt;=0),"★填了开票日期没填开票金额",IF(AND($I1382&lt;&gt;"",$J1382&lt;&gt;"",$J1382&lt;$I1382),"★计费期间起止反了","OK")))))))</f>
        <v/>
      </c>
      <c r="U1382" s="29" t="str">
        <f aca="false">IF($L1382="","",YEAR($L1382))</f>
        <v/>
      </c>
      <c r="V1382" s="40" t="str">
        <f aca="false">IF($C1382="","",ROUND(SUMIF(收款关联,$B1382,收款金额),2))</f>
        <v/>
      </c>
      <c r="W1382" s="40" t="str">
        <f aca="false">IF($C1382="","",MAX(0,ROUND(N($K1382)-N($V1382),2)))</f>
        <v/>
      </c>
      <c r="X1382" s="40" t="str">
        <f aca="false">IF($C1382="","",ROUND(SUMIFS(应收净额,应收键,$D1382,应收行号,"&lt;="&amp;ROW()),2))</f>
        <v/>
      </c>
      <c r="Y1382" s="29" t="str">
        <f aca="false">IF($C1382="","",ROW())</f>
        <v/>
      </c>
    </row>
    <row r="1383" customFormat="false" ht="15" hidden="false" customHeight="false" outlineLevel="0" collapsed="false">
      <c r="A1383" s="29" t="str">
        <f aca="false">IF($C1383="","",ROW()-4)</f>
        <v/>
      </c>
      <c r="B1383" s="35" t="str">
        <f aca="false">IF($C1383="","","YS"&amp;TEXT($C1383,"yyyymm")&amp;"-"&amp;TEXT(ROW()-4,"0000"))</f>
        <v/>
      </c>
      <c r="C1383" s="33"/>
      <c r="D1383" s="24"/>
      <c r="E1383" s="30" t="str">
        <f aca="false">IF($D1383="","",IFERROR(INDEX(合同单位,MATCH($D1383,合同键,0)),IFERROR(TRIM(LEFT($D1383,FIND("｜",$D1383)-1)),$D1383)))</f>
        <v/>
      </c>
      <c r="F1383" s="30" t="str">
        <f aca="false">IF($D1383="","",IFERROR(INDEX(合同项目,MATCH($D1383,合同键,0)),IFERROR(TRIM(MID($D1383,FIND("｜",$D1383)+1,99)),"")))</f>
        <v/>
      </c>
      <c r="G1383" s="24"/>
      <c r="H1383" s="35" t="str">
        <f aca="false">IF($G1383="","",IFERROR(INDEX(费用款别,MATCH($G1383,费用类别表,0)),"合同外款"))</f>
        <v/>
      </c>
      <c r="I1383" s="33"/>
      <c r="J1383" s="33"/>
      <c r="K1383" s="39"/>
      <c r="L1383" s="33"/>
      <c r="M1383" s="25"/>
      <c r="N1383" s="39"/>
      <c r="O1383" s="35" t="str">
        <f aca="false">IF($C1383="","",IF(N($N1383)&lt;=0,"未开票",IF(ROUND(N($N1383)-N($K1383),2)&gt;=0,"已开票",IFERROR("部分开票 "&amp;TEXT(N($N1383)/N($K1383),"0%"),"部分开票"))))</f>
        <v/>
      </c>
      <c r="P1383" s="40" t="str">
        <f aca="false">IF($C1383="","",ROUND($V1383+MIN($W1383,MAX(0,(SUMIF(收款键,$D1383,收款金额)-SUMIFS(收款金额,收款键,$D1383,收款关联,"&lt;&gt;"))-($X1383-$W1383))),2))</f>
        <v/>
      </c>
      <c r="Q1383" s="41" t="str">
        <f aca="false">IF($C1383="","",ROUND(N($K1383)-N($P1383),2))</f>
        <v/>
      </c>
      <c r="R1383" s="29" t="str">
        <f aca="false">IF($C1383="","",YEAR($C1383))</f>
        <v/>
      </c>
      <c r="S1383" s="24"/>
      <c r="T1383" s="35" t="str">
        <f aca="false">IF($C1383="","",IF($D1383="","★没选客户项目",IF(COUNTIF(合同键,$D1383)=0,"★《维保合同》里没这个项目",IF(N($K1383)&lt;=0,"★应收金额要填",IF(ROUND(N($N1383)-N($K1383),2)&gt;0.001,"★开票金额大于应收",IF(AND($L1383&lt;&gt;"",N($N1383)&lt;=0),"★填了开票日期没填开票金额",IF(AND($I1383&lt;&gt;"",$J1383&lt;&gt;"",$J1383&lt;$I1383),"★计费期间起止反了","OK")))))))</f>
        <v/>
      </c>
      <c r="U1383" s="29" t="str">
        <f aca="false">IF($L1383="","",YEAR($L1383))</f>
        <v/>
      </c>
      <c r="V1383" s="40" t="str">
        <f aca="false">IF($C1383="","",ROUND(SUMIF(收款关联,$B1383,收款金额),2))</f>
        <v/>
      </c>
      <c r="W1383" s="40" t="str">
        <f aca="false">IF($C1383="","",MAX(0,ROUND(N($K1383)-N($V1383),2)))</f>
        <v/>
      </c>
      <c r="X1383" s="40" t="str">
        <f aca="false">IF($C1383="","",ROUND(SUMIFS(应收净额,应收键,$D1383,应收行号,"&lt;="&amp;ROW()),2))</f>
        <v/>
      </c>
      <c r="Y1383" s="29" t="str">
        <f aca="false">IF($C1383="","",ROW())</f>
        <v/>
      </c>
    </row>
    <row r="1384" customFormat="false" ht="15" hidden="false" customHeight="false" outlineLevel="0" collapsed="false">
      <c r="A1384" s="29" t="str">
        <f aca="false">IF($C1384="","",ROW()-4)</f>
        <v/>
      </c>
      <c r="B1384" s="35" t="str">
        <f aca="false">IF($C1384="","","YS"&amp;TEXT($C1384,"yyyymm")&amp;"-"&amp;TEXT(ROW()-4,"0000"))</f>
        <v/>
      </c>
      <c r="C1384" s="33"/>
      <c r="D1384" s="24"/>
      <c r="E1384" s="30" t="str">
        <f aca="false">IF($D1384="","",IFERROR(INDEX(合同单位,MATCH($D1384,合同键,0)),IFERROR(TRIM(LEFT($D1384,FIND("｜",$D1384)-1)),$D1384)))</f>
        <v/>
      </c>
      <c r="F1384" s="30" t="str">
        <f aca="false">IF($D1384="","",IFERROR(INDEX(合同项目,MATCH($D1384,合同键,0)),IFERROR(TRIM(MID($D1384,FIND("｜",$D1384)+1,99)),"")))</f>
        <v/>
      </c>
      <c r="G1384" s="24"/>
      <c r="H1384" s="35" t="str">
        <f aca="false">IF($G1384="","",IFERROR(INDEX(费用款别,MATCH($G1384,费用类别表,0)),"合同外款"))</f>
        <v/>
      </c>
      <c r="I1384" s="33"/>
      <c r="J1384" s="33"/>
      <c r="K1384" s="39"/>
      <c r="L1384" s="33"/>
      <c r="M1384" s="25"/>
      <c r="N1384" s="39"/>
      <c r="O1384" s="35" t="str">
        <f aca="false">IF($C1384="","",IF(N($N1384)&lt;=0,"未开票",IF(ROUND(N($N1384)-N($K1384),2)&gt;=0,"已开票",IFERROR("部分开票 "&amp;TEXT(N($N1384)/N($K1384),"0%"),"部分开票"))))</f>
        <v/>
      </c>
      <c r="P1384" s="40" t="str">
        <f aca="false">IF($C1384="","",ROUND($V1384+MIN($W1384,MAX(0,(SUMIF(收款键,$D1384,收款金额)-SUMIFS(收款金额,收款键,$D1384,收款关联,"&lt;&gt;"))-($X1384-$W1384))),2))</f>
        <v/>
      </c>
      <c r="Q1384" s="41" t="str">
        <f aca="false">IF($C1384="","",ROUND(N($K1384)-N($P1384),2))</f>
        <v/>
      </c>
      <c r="R1384" s="29" t="str">
        <f aca="false">IF($C1384="","",YEAR($C1384))</f>
        <v/>
      </c>
      <c r="S1384" s="24"/>
      <c r="T1384" s="35" t="str">
        <f aca="false">IF($C1384="","",IF($D1384="","★没选客户项目",IF(COUNTIF(合同键,$D1384)=0,"★《维保合同》里没这个项目",IF(N($K1384)&lt;=0,"★应收金额要填",IF(ROUND(N($N1384)-N($K1384),2)&gt;0.001,"★开票金额大于应收",IF(AND($L1384&lt;&gt;"",N($N1384)&lt;=0),"★填了开票日期没填开票金额",IF(AND($I1384&lt;&gt;"",$J1384&lt;&gt;"",$J1384&lt;$I1384),"★计费期间起止反了","OK")))))))</f>
        <v/>
      </c>
      <c r="U1384" s="29" t="str">
        <f aca="false">IF($L1384="","",YEAR($L1384))</f>
        <v/>
      </c>
      <c r="V1384" s="40" t="str">
        <f aca="false">IF($C1384="","",ROUND(SUMIF(收款关联,$B1384,收款金额),2))</f>
        <v/>
      </c>
      <c r="W1384" s="40" t="str">
        <f aca="false">IF($C1384="","",MAX(0,ROUND(N($K1384)-N($V1384),2)))</f>
        <v/>
      </c>
      <c r="X1384" s="40" t="str">
        <f aca="false">IF($C1384="","",ROUND(SUMIFS(应收净额,应收键,$D1384,应收行号,"&lt;="&amp;ROW()),2))</f>
        <v/>
      </c>
      <c r="Y1384" s="29" t="str">
        <f aca="false">IF($C1384="","",ROW())</f>
        <v/>
      </c>
    </row>
    <row r="1385" customFormat="false" ht="15" hidden="false" customHeight="false" outlineLevel="0" collapsed="false">
      <c r="A1385" s="29" t="str">
        <f aca="false">IF($C1385="","",ROW()-4)</f>
        <v/>
      </c>
      <c r="B1385" s="35" t="str">
        <f aca="false">IF($C1385="","","YS"&amp;TEXT($C1385,"yyyymm")&amp;"-"&amp;TEXT(ROW()-4,"0000"))</f>
        <v/>
      </c>
      <c r="C1385" s="33"/>
      <c r="D1385" s="24"/>
      <c r="E1385" s="30" t="str">
        <f aca="false">IF($D1385="","",IFERROR(INDEX(合同单位,MATCH($D1385,合同键,0)),IFERROR(TRIM(LEFT($D1385,FIND("｜",$D1385)-1)),$D1385)))</f>
        <v/>
      </c>
      <c r="F1385" s="30" t="str">
        <f aca="false">IF($D1385="","",IFERROR(INDEX(合同项目,MATCH($D1385,合同键,0)),IFERROR(TRIM(MID($D1385,FIND("｜",$D1385)+1,99)),"")))</f>
        <v/>
      </c>
      <c r="G1385" s="24"/>
      <c r="H1385" s="35" t="str">
        <f aca="false">IF($G1385="","",IFERROR(INDEX(费用款别,MATCH($G1385,费用类别表,0)),"合同外款"))</f>
        <v/>
      </c>
      <c r="I1385" s="33"/>
      <c r="J1385" s="33"/>
      <c r="K1385" s="39"/>
      <c r="L1385" s="33"/>
      <c r="M1385" s="25"/>
      <c r="N1385" s="39"/>
      <c r="O1385" s="35" t="str">
        <f aca="false">IF($C1385="","",IF(N($N1385)&lt;=0,"未开票",IF(ROUND(N($N1385)-N($K1385),2)&gt;=0,"已开票",IFERROR("部分开票 "&amp;TEXT(N($N1385)/N($K1385),"0%"),"部分开票"))))</f>
        <v/>
      </c>
      <c r="P1385" s="40" t="str">
        <f aca="false">IF($C1385="","",ROUND($V1385+MIN($W1385,MAX(0,(SUMIF(收款键,$D1385,收款金额)-SUMIFS(收款金额,收款键,$D1385,收款关联,"&lt;&gt;"))-($X1385-$W1385))),2))</f>
        <v/>
      </c>
      <c r="Q1385" s="41" t="str">
        <f aca="false">IF($C1385="","",ROUND(N($K1385)-N($P1385),2))</f>
        <v/>
      </c>
      <c r="R1385" s="29" t="str">
        <f aca="false">IF($C1385="","",YEAR($C1385))</f>
        <v/>
      </c>
      <c r="S1385" s="24"/>
      <c r="T1385" s="35" t="str">
        <f aca="false">IF($C1385="","",IF($D1385="","★没选客户项目",IF(COUNTIF(合同键,$D1385)=0,"★《维保合同》里没这个项目",IF(N($K1385)&lt;=0,"★应收金额要填",IF(ROUND(N($N1385)-N($K1385),2)&gt;0.001,"★开票金额大于应收",IF(AND($L1385&lt;&gt;"",N($N1385)&lt;=0),"★填了开票日期没填开票金额",IF(AND($I1385&lt;&gt;"",$J1385&lt;&gt;"",$J1385&lt;$I1385),"★计费期间起止反了","OK")))))))</f>
        <v/>
      </c>
      <c r="U1385" s="29" t="str">
        <f aca="false">IF($L1385="","",YEAR($L1385))</f>
        <v/>
      </c>
      <c r="V1385" s="40" t="str">
        <f aca="false">IF($C1385="","",ROUND(SUMIF(收款关联,$B1385,收款金额),2))</f>
        <v/>
      </c>
      <c r="W1385" s="40" t="str">
        <f aca="false">IF($C1385="","",MAX(0,ROUND(N($K1385)-N($V1385),2)))</f>
        <v/>
      </c>
      <c r="X1385" s="40" t="str">
        <f aca="false">IF($C1385="","",ROUND(SUMIFS(应收净额,应收键,$D1385,应收行号,"&lt;="&amp;ROW()),2))</f>
        <v/>
      </c>
      <c r="Y1385" s="29" t="str">
        <f aca="false">IF($C1385="","",ROW())</f>
        <v/>
      </c>
    </row>
    <row r="1386" customFormat="false" ht="15" hidden="false" customHeight="false" outlineLevel="0" collapsed="false">
      <c r="A1386" s="29" t="str">
        <f aca="false">IF($C1386="","",ROW()-4)</f>
        <v/>
      </c>
      <c r="B1386" s="35" t="str">
        <f aca="false">IF($C1386="","","YS"&amp;TEXT($C1386,"yyyymm")&amp;"-"&amp;TEXT(ROW()-4,"0000"))</f>
        <v/>
      </c>
      <c r="C1386" s="33"/>
      <c r="D1386" s="24"/>
      <c r="E1386" s="30" t="str">
        <f aca="false">IF($D1386="","",IFERROR(INDEX(合同单位,MATCH($D1386,合同键,0)),IFERROR(TRIM(LEFT($D1386,FIND("｜",$D1386)-1)),$D1386)))</f>
        <v/>
      </c>
      <c r="F1386" s="30" t="str">
        <f aca="false">IF($D1386="","",IFERROR(INDEX(合同项目,MATCH($D1386,合同键,0)),IFERROR(TRIM(MID($D1386,FIND("｜",$D1386)+1,99)),"")))</f>
        <v/>
      </c>
      <c r="G1386" s="24"/>
      <c r="H1386" s="35" t="str">
        <f aca="false">IF($G1386="","",IFERROR(INDEX(费用款别,MATCH($G1386,费用类别表,0)),"合同外款"))</f>
        <v/>
      </c>
      <c r="I1386" s="33"/>
      <c r="J1386" s="33"/>
      <c r="K1386" s="39"/>
      <c r="L1386" s="33"/>
      <c r="M1386" s="25"/>
      <c r="N1386" s="39"/>
      <c r="O1386" s="35" t="str">
        <f aca="false">IF($C1386="","",IF(N($N1386)&lt;=0,"未开票",IF(ROUND(N($N1386)-N($K1386),2)&gt;=0,"已开票",IFERROR("部分开票 "&amp;TEXT(N($N1386)/N($K1386),"0%"),"部分开票"))))</f>
        <v/>
      </c>
      <c r="P1386" s="40" t="str">
        <f aca="false">IF($C1386="","",ROUND($V1386+MIN($W1386,MAX(0,(SUMIF(收款键,$D1386,收款金额)-SUMIFS(收款金额,收款键,$D1386,收款关联,"&lt;&gt;"))-($X1386-$W1386))),2))</f>
        <v/>
      </c>
      <c r="Q1386" s="41" t="str">
        <f aca="false">IF($C1386="","",ROUND(N($K1386)-N($P1386),2))</f>
        <v/>
      </c>
      <c r="R1386" s="29" t="str">
        <f aca="false">IF($C1386="","",YEAR($C1386))</f>
        <v/>
      </c>
      <c r="S1386" s="24"/>
      <c r="T1386" s="35" t="str">
        <f aca="false">IF($C1386="","",IF($D1386="","★没选客户项目",IF(COUNTIF(合同键,$D1386)=0,"★《维保合同》里没这个项目",IF(N($K1386)&lt;=0,"★应收金额要填",IF(ROUND(N($N1386)-N($K1386),2)&gt;0.001,"★开票金额大于应收",IF(AND($L1386&lt;&gt;"",N($N1386)&lt;=0),"★填了开票日期没填开票金额",IF(AND($I1386&lt;&gt;"",$J1386&lt;&gt;"",$J1386&lt;$I1386),"★计费期间起止反了","OK")))))))</f>
        <v/>
      </c>
      <c r="U1386" s="29" t="str">
        <f aca="false">IF($L1386="","",YEAR($L1386))</f>
        <v/>
      </c>
      <c r="V1386" s="40" t="str">
        <f aca="false">IF($C1386="","",ROUND(SUMIF(收款关联,$B1386,收款金额),2))</f>
        <v/>
      </c>
      <c r="W1386" s="40" t="str">
        <f aca="false">IF($C1386="","",MAX(0,ROUND(N($K1386)-N($V1386),2)))</f>
        <v/>
      </c>
      <c r="X1386" s="40" t="str">
        <f aca="false">IF($C1386="","",ROUND(SUMIFS(应收净额,应收键,$D1386,应收行号,"&lt;="&amp;ROW()),2))</f>
        <v/>
      </c>
      <c r="Y1386" s="29" t="str">
        <f aca="false">IF($C1386="","",ROW())</f>
        <v/>
      </c>
    </row>
    <row r="1387" customFormat="false" ht="15" hidden="false" customHeight="false" outlineLevel="0" collapsed="false">
      <c r="A1387" s="29" t="str">
        <f aca="false">IF($C1387="","",ROW()-4)</f>
        <v/>
      </c>
      <c r="B1387" s="35" t="str">
        <f aca="false">IF($C1387="","","YS"&amp;TEXT($C1387,"yyyymm")&amp;"-"&amp;TEXT(ROW()-4,"0000"))</f>
        <v/>
      </c>
      <c r="C1387" s="33"/>
      <c r="D1387" s="24"/>
      <c r="E1387" s="30" t="str">
        <f aca="false">IF($D1387="","",IFERROR(INDEX(合同单位,MATCH($D1387,合同键,0)),IFERROR(TRIM(LEFT($D1387,FIND("｜",$D1387)-1)),$D1387)))</f>
        <v/>
      </c>
      <c r="F1387" s="30" t="str">
        <f aca="false">IF($D1387="","",IFERROR(INDEX(合同项目,MATCH($D1387,合同键,0)),IFERROR(TRIM(MID($D1387,FIND("｜",$D1387)+1,99)),"")))</f>
        <v/>
      </c>
      <c r="G1387" s="24"/>
      <c r="H1387" s="35" t="str">
        <f aca="false">IF($G1387="","",IFERROR(INDEX(费用款别,MATCH($G1387,费用类别表,0)),"合同外款"))</f>
        <v/>
      </c>
      <c r="I1387" s="33"/>
      <c r="J1387" s="33"/>
      <c r="K1387" s="39"/>
      <c r="L1387" s="33"/>
      <c r="M1387" s="25"/>
      <c r="N1387" s="39"/>
      <c r="O1387" s="35" t="str">
        <f aca="false">IF($C1387="","",IF(N($N1387)&lt;=0,"未开票",IF(ROUND(N($N1387)-N($K1387),2)&gt;=0,"已开票",IFERROR("部分开票 "&amp;TEXT(N($N1387)/N($K1387),"0%"),"部分开票"))))</f>
        <v/>
      </c>
      <c r="P1387" s="40" t="str">
        <f aca="false">IF($C1387="","",ROUND($V1387+MIN($W1387,MAX(0,(SUMIF(收款键,$D1387,收款金额)-SUMIFS(收款金额,收款键,$D1387,收款关联,"&lt;&gt;"))-($X1387-$W1387))),2))</f>
        <v/>
      </c>
      <c r="Q1387" s="41" t="str">
        <f aca="false">IF($C1387="","",ROUND(N($K1387)-N($P1387),2))</f>
        <v/>
      </c>
      <c r="R1387" s="29" t="str">
        <f aca="false">IF($C1387="","",YEAR($C1387))</f>
        <v/>
      </c>
      <c r="S1387" s="24"/>
      <c r="T1387" s="35" t="str">
        <f aca="false">IF($C1387="","",IF($D1387="","★没选客户项目",IF(COUNTIF(合同键,$D1387)=0,"★《维保合同》里没这个项目",IF(N($K1387)&lt;=0,"★应收金额要填",IF(ROUND(N($N1387)-N($K1387),2)&gt;0.001,"★开票金额大于应收",IF(AND($L1387&lt;&gt;"",N($N1387)&lt;=0),"★填了开票日期没填开票金额",IF(AND($I1387&lt;&gt;"",$J1387&lt;&gt;"",$J1387&lt;$I1387),"★计费期间起止反了","OK")))))))</f>
        <v/>
      </c>
      <c r="U1387" s="29" t="str">
        <f aca="false">IF($L1387="","",YEAR($L1387))</f>
        <v/>
      </c>
      <c r="V1387" s="40" t="str">
        <f aca="false">IF($C1387="","",ROUND(SUMIF(收款关联,$B1387,收款金额),2))</f>
        <v/>
      </c>
      <c r="W1387" s="40" t="str">
        <f aca="false">IF($C1387="","",MAX(0,ROUND(N($K1387)-N($V1387),2)))</f>
        <v/>
      </c>
      <c r="X1387" s="40" t="str">
        <f aca="false">IF($C1387="","",ROUND(SUMIFS(应收净额,应收键,$D1387,应收行号,"&lt;="&amp;ROW()),2))</f>
        <v/>
      </c>
      <c r="Y1387" s="29" t="str">
        <f aca="false">IF($C1387="","",ROW())</f>
        <v/>
      </c>
    </row>
    <row r="1388" customFormat="false" ht="15" hidden="false" customHeight="false" outlineLevel="0" collapsed="false">
      <c r="A1388" s="29" t="str">
        <f aca="false">IF($C1388="","",ROW()-4)</f>
        <v/>
      </c>
      <c r="B1388" s="35" t="str">
        <f aca="false">IF($C1388="","","YS"&amp;TEXT($C1388,"yyyymm")&amp;"-"&amp;TEXT(ROW()-4,"0000"))</f>
        <v/>
      </c>
      <c r="C1388" s="33"/>
      <c r="D1388" s="24"/>
      <c r="E1388" s="30" t="str">
        <f aca="false">IF($D1388="","",IFERROR(INDEX(合同单位,MATCH($D1388,合同键,0)),IFERROR(TRIM(LEFT($D1388,FIND("｜",$D1388)-1)),$D1388)))</f>
        <v/>
      </c>
      <c r="F1388" s="30" t="str">
        <f aca="false">IF($D1388="","",IFERROR(INDEX(合同项目,MATCH($D1388,合同键,0)),IFERROR(TRIM(MID($D1388,FIND("｜",$D1388)+1,99)),"")))</f>
        <v/>
      </c>
      <c r="G1388" s="24"/>
      <c r="H1388" s="35" t="str">
        <f aca="false">IF($G1388="","",IFERROR(INDEX(费用款别,MATCH($G1388,费用类别表,0)),"合同外款"))</f>
        <v/>
      </c>
      <c r="I1388" s="33"/>
      <c r="J1388" s="33"/>
      <c r="K1388" s="39"/>
      <c r="L1388" s="33"/>
      <c r="M1388" s="25"/>
      <c r="N1388" s="39"/>
      <c r="O1388" s="35" t="str">
        <f aca="false">IF($C1388="","",IF(N($N1388)&lt;=0,"未开票",IF(ROUND(N($N1388)-N($K1388),2)&gt;=0,"已开票",IFERROR("部分开票 "&amp;TEXT(N($N1388)/N($K1388),"0%"),"部分开票"))))</f>
        <v/>
      </c>
      <c r="P1388" s="40" t="str">
        <f aca="false">IF($C1388="","",ROUND($V1388+MIN($W1388,MAX(0,(SUMIF(收款键,$D1388,收款金额)-SUMIFS(收款金额,收款键,$D1388,收款关联,"&lt;&gt;"))-($X1388-$W1388))),2))</f>
        <v/>
      </c>
      <c r="Q1388" s="41" t="str">
        <f aca="false">IF($C1388="","",ROUND(N($K1388)-N($P1388),2))</f>
        <v/>
      </c>
      <c r="R1388" s="29" t="str">
        <f aca="false">IF($C1388="","",YEAR($C1388))</f>
        <v/>
      </c>
      <c r="S1388" s="24"/>
      <c r="T1388" s="35" t="str">
        <f aca="false">IF($C1388="","",IF($D1388="","★没选客户项目",IF(COUNTIF(合同键,$D1388)=0,"★《维保合同》里没这个项目",IF(N($K1388)&lt;=0,"★应收金额要填",IF(ROUND(N($N1388)-N($K1388),2)&gt;0.001,"★开票金额大于应收",IF(AND($L1388&lt;&gt;"",N($N1388)&lt;=0),"★填了开票日期没填开票金额",IF(AND($I1388&lt;&gt;"",$J1388&lt;&gt;"",$J1388&lt;$I1388),"★计费期间起止反了","OK")))))))</f>
        <v/>
      </c>
      <c r="U1388" s="29" t="str">
        <f aca="false">IF($L1388="","",YEAR($L1388))</f>
        <v/>
      </c>
      <c r="V1388" s="40" t="str">
        <f aca="false">IF($C1388="","",ROUND(SUMIF(收款关联,$B1388,收款金额),2))</f>
        <v/>
      </c>
      <c r="W1388" s="40" t="str">
        <f aca="false">IF($C1388="","",MAX(0,ROUND(N($K1388)-N($V1388),2)))</f>
        <v/>
      </c>
      <c r="X1388" s="40" t="str">
        <f aca="false">IF($C1388="","",ROUND(SUMIFS(应收净额,应收键,$D1388,应收行号,"&lt;="&amp;ROW()),2))</f>
        <v/>
      </c>
      <c r="Y1388" s="29" t="str">
        <f aca="false">IF($C1388="","",ROW())</f>
        <v/>
      </c>
    </row>
    <row r="1389" customFormat="false" ht="15" hidden="false" customHeight="false" outlineLevel="0" collapsed="false">
      <c r="A1389" s="29" t="str">
        <f aca="false">IF($C1389="","",ROW()-4)</f>
        <v/>
      </c>
      <c r="B1389" s="35" t="str">
        <f aca="false">IF($C1389="","","YS"&amp;TEXT($C1389,"yyyymm")&amp;"-"&amp;TEXT(ROW()-4,"0000"))</f>
        <v/>
      </c>
      <c r="C1389" s="33"/>
      <c r="D1389" s="24"/>
      <c r="E1389" s="30" t="str">
        <f aca="false">IF($D1389="","",IFERROR(INDEX(合同单位,MATCH($D1389,合同键,0)),IFERROR(TRIM(LEFT($D1389,FIND("｜",$D1389)-1)),$D1389)))</f>
        <v/>
      </c>
      <c r="F1389" s="30" t="str">
        <f aca="false">IF($D1389="","",IFERROR(INDEX(合同项目,MATCH($D1389,合同键,0)),IFERROR(TRIM(MID($D1389,FIND("｜",$D1389)+1,99)),"")))</f>
        <v/>
      </c>
      <c r="G1389" s="24"/>
      <c r="H1389" s="35" t="str">
        <f aca="false">IF($G1389="","",IFERROR(INDEX(费用款别,MATCH($G1389,费用类别表,0)),"合同外款"))</f>
        <v/>
      </c>
      <c r="I1389" s="33"/>
      <c r="J1389" s="33"/>
      <c r="K1389" s="39"/>
      <c r="L1389" s="33"/>
      <c r="M1389" s="25"/>
      <c r="N1389" s="39"/>
      <c r="O1389" s="35" t="str">
        <f aca="false">IF($C1389="","",IF(N($N1389)&lt;=0,"未开票",IF(ROUND(N($N1389)-N($K1389),2)&gt;=0,"已开票",IFERROR("部分开票 "&amp;TEXT(N($N1389)/N($K1389),"0%"),"部分开票"))))</f>
        <v/>
      </c>
      <c r="P1389" s="40" t="str">
        <f aca="false">IF($C1389="","",ROUND($V1389+MIN($W1389,MAX(0,(SUMIF(收款键,$D1389,收款金额)-SUMIFS(收款金额,收款键,$D1389,收款关联,"&lt;&gt;"))-($X1389-$W1389))),2))</f>
        <v/>
      </c>
      <c r="Q1389" s="41" t="str">
        <f aca="false">IF($C1389="","",ROUND(N($K1389)-N($P1389),2))</f>
        <v/>
      </c>
      <c r="R1389" s="29" t="str">
        <f aca="false">IF($C1389="","",YEAR($C1389))</f>
        <v/>
      </c>
      <c r="S1389" s="24"/>
      <c r="T1389" s="35" t="str">
        <f aca="false">IF($C1389="","",IF($D1389="","★没选客户项目",IF(COUNTIF(合同键,$D1389)=0,"★《维保合同》里没这个项目",IF(N($K1389)&lt;=0,"★应收金额要填",IF(ROUND(N($N1389)-N($K1389),2)&gt;0.001,"★开票金额大于应收",IF(AND($L1389&lt;&gt;"",N($N1389)&lt;=0),"★填了开票日期没填开票金额",IF(AND($I1389&lt;&gt;"",$J1389&lt;&gt;"",$J1389&lt;$I1389),"★计费期间起止反了","OK")))))))</f>
        <v/>
      </c>
      <c r="U1389" s="29" t="str">
        <f aca="false">IF($L1389="","",YEAR($L1389))</f>
        <v/>
      </c>
      <c r="V1389" s="40" t="str">
        <f aca="false">IF($C1389="","",ROUND(SUMIF(收款关联,$B1389,收款金额),2))</f>
        <v/>
      </c>
      <c r="W1389" s="40" t="str">
        <f aca="false">IF($C1389="","",MAX(0,ROUND(N($K1389)-N($V1389),2)))</f>
        <v/>
      </c>
      <c r="X1389" s="40" t="str">
        <f aca="false">IF($C1389="","",ROUND(SUMIFS(应收净额,应收键,$D1389,应收行号,"&lt;="&amp;ROW()),2))</f>
        <v/>
      </c>
      <c r="Y1389" s="29" t="str">
        <f aca="false">IF($C1389="","",ROW())</f>
        <v/>
      </c>
    </row>
    <row r="1390" customFormat="false" ht="15" hidden="false" customHeight="false" outlineLevel="0" collapsed="false">
      <c r="A1390" s="29" t="str">
        <f aca="false">IF($C1390="","",ROW()-4)</f>
        <v/>
      </c>
      <c r="B1390" s="35" t="str">
        <f aca="false">IF($C1390="","","YS"&amp;TEXT($C1390,"yyyymm")&amp;"-"&amp;TEXT(ROW()-4,"0000"))</f>
        <v/>
      </c>
      <c r="C1390" s="33"/>
      <c r="D1390" s="24"/>
      <c r="E1390" s="30" t="str">
        <f aca="false">IF($D1390="","",IFERROR(INDEX(合同单位,MATCH($D1390,合同键,0)),IFERROR(TRIM(LEFT($D1390,FIND("｜",$D1390)-1)),$D1390)))</f>
        <v/>
      </c>
      <c r="F1390" s="30" t="str">
        <f aca="false">IF($D1390="","",IFERROR(INDEX(合同项目,MATCH($D1390,合同键,0)),IFERROR(TRIM(MID($D1390,FIND("｜",$D1390)+1,99)),"")))</f>
        <v/>
      </c>
      <c r="G1390" s="24"/>
      <c r="H1390" s="35" t="str">
        <f aca="false">IF($G1390="","",IFERROR(INDEX(费用款别,MATCH($G1390,费用类别表,0)),"合同外款"))</f>
        <v/>
      </c>
      <c r="I1390" s="33"/>
      <c r="J1390" s="33"/>
      <c r="K1390" s="39"/>
      <c r="L1390" s="33"/>
      <c r="M1390" s="25"/>
      <c r="N1390" s="39"/>
      <c r="O1390" s="35" t="str">
        <f aca="false">IF($C1390="","",IF(N($N1390)&lt;=0,"未开票",IF(ROUND(N($N1390)-N($K1390),2)&gt;=0,"已开票",IFERROR("部分开票 "&amp;TEXT(N($N1390)/N($K1390),"0%"),"部分开票"))))</f>
        <v/>
      </c>
      <c r="P1390" s="40" t="str">
        <f aca="false">IF($C1390="","",ROUND($V1390+MIN($W1390,MAX(0,(SUMIF(收款键,$D1390,收款金额)-SUMIFS(收款金额,收款键,$D1390,收款关联,"&lt;&gt;"))-($X1390-$W1390))),2))</f>
        <v/>
      </c>
      <c r="Q1390" s="41" t="str">
        <f aca="false">IF($C1390="","",ROUND(N($K1390)-N($P1390),2))</f>
        <v/>
      </c>
      <c r="R1390" s="29" t="str">
        <f aca="false">IF($C1390="","",YEAR($C1390))</f>
        <v/>
      </c>
      <c r="S1390" s="24"/>
      <c r="T1390" s="35" t="str">
        <f aca="false">IF($C1390="","",IF($D1390="","★没选客户项目",IF(COUNTIF(合同键,$D1390)=0,"★《维保合同》里没这个项目",IF(N($K1390)&lt;=0,"★应收金额要填",IF(ROUND(N($N1390)-N($K1390),2)&gt;0.001,"★开票金额大于应收",IF(AND($L1390&lt;&gt;"",N($N1390)&lt;=0),"★填了开票日期没填开票金额",IF(AND($I1390&lt;&gt;"",$J1390&lt;&gt;"",$J1390&lt;$I1390),"★计费期间起止反了","OK")))))))</f>
        <v/>
      </c>
      <c r="U1390" s="29" t="str">
        <f aca="false">IF($L1390="","",YEAR($L1390))</f>
        <v/>
      </c>
      <c r="V1390" s="40" t="str">
        <f aca="false">IF($C1390="","",ROUND(SUMIF(收款关联,$B1390,收款金额),2))</f>
        <v/>
      </c>
      <c r="W1390" s="40" t="str">
        <f aca="false">IF($C1390="","",MAX(0,ROUND(N($K1390)-N($V1390),2)))</f>
        <v/>
      </c>
      <c r="X1390" s="40" t="str">
        <f aca="false">IF($C1390="","",ROUND(SUMIFS(应收净额,应收键,$D1390,应收行号,"&lt;="&amp;ROW()),2))</f>
        <v/>
      </c>
      <c r="Y1390" s="29" t="str">
        <f aca="false">IF($C1390="","",ROW())</f>
        <v/>
      </c>
    </row>
    <row r="1391" customFormat="false" ht="15" hidden="false" customHeight="false" outlineLevel="0" collapsed="false">
      <c r="A1391" s="29" t="str">
        <f aca="false">IF($C1391="","",ROW()-4)</f>
        <v/>
      </c>
      <c r="B1391" s="35" t="str">
        <f aca="false">IF($C1391="","","YS"&amp;TEXT($C1391,"yyyymm")&amp;"-"&amp;TEXT(ROW()-4,"0000"))</f>
        <v/>
      </c>
      <c r="C1391" s="33"/>
      <c r="D1391" s="24"/>
      <c r="E1391" s="30" t="str">
        <f aca="false">IF($D1391="","",IFERROR(INDEX(合同单位,MATCH($D1391,合同键,0)),IFERROR(TRIM(LEFT($D1391,FIND("｜",$D1391)-1)),$D1391)))</f>
        <v/>
      </c>
      <c r="F1391" s="30" t="str">
        <f aca="false">IF($D1391="","",IFERROR(INDEX(合同项目,MATCH($D1391,合同键,0)),IFERROR(TRIM(MID($D1391,FIND("｜",$D1391)+1,99)),"")))</f>
        <v/>
      </c>
      <c r="G1391" s="24"/>
      <c r="H1391" s="35" t="str">
        <f aca="false">IF($G1391="","",IFERROR(INDEX(费用款别,MATCH($G1391,费用类别表,0)),"合同外款"))</f>
        <v/>
      </c>
      <c r="I1391" s="33"/>
      <c r="J1391" s="33"/>
      <c r="K1391" s="39"/>
      <c r="L1391" s="33"/>
      <c r="M1391" s="25"/>
      <c r="N1391" s="39"/>
      <c r="O1391" s="35" t="str">
        <f aca="false">IF($C1391="","",IF(N($N1391)&lt;=0,"未开票",IF(ROUND(N($N1391)-N($K1391),2)&gt;=0,"已开票",IFERROR("部分开票 "&amp;TEXT(N($N1391)/N($K1391),"0%"),"部分开票"))))</f>
        <v/>
      </c>
      <c r="P1391" s="40" t="str">
        <f aca="false">IF($C1391="","",ROUND($V1391+MIN($W1391,MAX(0,(SUMIF(收款键,$D1391,收款金额)-SUMIFS(收款金额,收款键,$D1391,收款关联,"&lt;&gt;"))-($X1391-$W1391))),2))</f>
        <v/>
      </c>
      <c r="Q1391" s="41" t="str">
        <f aca="false">IF($C1391="","",ROUND(N($K1391)-N($P1391),2))</f>
        <v/>
      </c>
      <c r="R1391" s="29" t="str">
        <f aca="false">IF($C1391="","",YEAR($C1391))</f>
        <v/>
      </c>
      <c r="S1391" s="24"/>
      <c r="T1391" s="35" t="str">
        <f aca="false">IF($C1391="","",IF($D1391="","★没选客户项目",IF(COUNTIF(合同键,$D1391)=0,"★《维保合同》里没这个项目",IF(N($K1391)&lt;=0,"★应收金额要填",IF(ROUND(N($N1391)-N($K1391),2)&gt;0.001,"★开票金额大于应收",IF(AND($L1391&lt;&gt;"",N($N1391)&lt;=0),"★填了开票日期没填开票金额",IF(AND($I1391&lt;&gt;"",$J1391&lt;&gt;"",$J1391&lt;$I1391),"★计费期间起止反了","OK")))))))</f>
        <v/>
      </c>
      <c r="U1391" s="29" t="str">
        <f aca="false">IF($L1391="","",YEAR($L1391))</f>
        <v/>
      </c>
      <c r="V1391" s="40" t="str">
        <f aca="false">IF($C1391="","",ROUND(SUMIF(收款关联,$B1391,收款金额),2))</f>
        <v/>
      </c>
      <c r="W1391" s="40" t="str">
        <f aca="false">IF($C1391="","",MAX(0,ROUND(N($K1391)-N($V1391),2)))</f>
        <v/>
      </c>
      <c r="X1391" s="40" t="str">
        <f aca="false">IF($C1391="","",ROUND(SUMIFS(应收净额,应收键,$D1391,应收行号,"&lt;="&amp;ROW()),2))</f>
        <v/>
      </c>
      <c r="Y1391" s="29" t="str">
        <f aca="false">IF($C1391="","",ROW())</f>
        <v/>
      </c>
    </row>
    <row r="1392" customFormat="false" ht="15" hidden="false" customHeight="false" outlineLevel="0" collapsed="false">
      <c r="A1392" s="29" t="str">
        <f aca="false">IF($C1392="","",ROW()-4)</f>
        <v/>
      </c>
      <c r="B1392" s="35" t="str">
        <f aca="false">IF($C1392="","","YS"&amp;TEXT($C1392,"yyyymm")&amp;"-"&amp;TEXT(ROW()-4,"0000"))</f>
        <v/>
      </c>
      <c r="C1392" s="33"/>
      <c r="D1392" s="24"/>
      <c r="E1392" s="30" t="str">
        <f aca="false">IF($D1392="","",IFERROR(INDEX(合同单位,MATCH($D1392,合同键,0)),IFERROR(TRIM(LEFT($D1392,FIND("｜",$D1392)-1)),$D1392)))</f>
        <v/>
      </c>
      <c r="F1392" s="30" t="str">
        <f aca="false">IF($D1392="","",IFERROR(INDEX(合同项目,MATCH($D1392,合同键,0)),IFERROR(TRIM(MID($D1392,FIND("｜",$D1392)+1,99)),"")))</f>
        <v/>
      </c>
      <c r="G1392" s="24"/>
      <c r="H1392" s="35" t="str">
        <f aca="false">IF($G1392="","",IFERROR(INDEX(费用款别,MATCH($G1392,费用类别表,0)),"合同外款"))</f>
        <v/>
      </c>
      <c r="I1392" s="33"/>
      <c r="J1392" s="33"/>
      <c r="K1392" s="39"/>
      <c r="L1392" s="33"/>
      <c r="M1392" s="25"/>
      <c r="N1392" s="39"/>
      <c r="O1392" s="35" t="str">
        <f aca="false">IF($C1392="","",IF(N($N1392)&lt;=0,"未开票",IF(ROUND(N($N1392)-N($K1392),2)&gt;=0,"已开票",IFERROR("部分开票 "&amp;TEXT(N($N1392)/N($K1392),"0%"),"部分开票"))))</f>
        <v/>
      </c>
      <c r="P1392" s="40" t="str">
        <f aca="false">IF($C1392="","",ROUND($V1392+MIN($W1392,MAX(0,(SUMIF(收款键,$D1392,收款金额)-SUMIFS(收款金额,收款键,$D1392,收款关联,"&lt;&gt;"))-($X1392-$W1392))),2))</f>
        <v/>
      </c>
      <c r="Q1392" s="41" t="str">
        <f aca="false">IF($C1392="","",ROUND(N($K1392)-N($P1392),2))</f>
        <v/>
      </c>
      <c r="R1392" s="29" t="str">
        <f aca="false">IF($C1392="","",YEAR($C1392))</f>
        <v/>
      </c>
      <c r="S1392" s="24"/>
      <c r="T1392" s="35" t="str">
        <f aca="false">IF($C1392="","",IF($D1392="","★没选客户项目",IF(COUNTIF(合同键,$D1392)=0,"★《维保合同》里没这个项目",IF(N($K1392)&lt;=0,"★应收金额要填",IF(ROUND(N($N1392)-N($K1392),2)&gt;0.001,"★开票金额大于应收",IF(AND($L1392&lt;&gt;"",N($N1392)&lt;=0),"★填了开票日期没填开票金额",IF(AND($I1392&lt;&gt;"",$J1392&lt;&gt;"",$J1392&lt;$I1392),"★计费期间起止反了","OK")))))))</f>
        <v/>
      </c>
      <c r="U1392" s="29" t="str">
        <f aca="false">IF($L1392="","",YEAR($L1392))</f>
        <v/>
      </c>
      <c r="V1392" s="40" t="str">
        <f aca="false">IF($C1392="","",ROUND(SUMIF(收款关联,$B1392,收款金额),2))</f>
        <v/>
      </c>
      <c r="W1392" s="40" t="str">
        <f aca="false">IF($C1392="","",MAX(0,ROUND(N($K1392)-N($V1392),2)))</f>
        <v/>
      </c>
      <c r="X1392" s="40" t="str">
        <f aca="false">IF($C1392="","",ROUND(SUMIFS(应收净额,应收键,$D1392,应收行号,"&lt;="&amp;ROW()),2))</f>
        <v/>
      </c>
      <c r="Y1392" s="29" t="str">
        <f aca="false">IF($C1392="","",ROW())</f>
        <v/>
      </c>
    </row>
    <row r="1393" customFormat="false" ht="15" hidden="false" customHeight="false" outlineLevel="0" collapsed="false">
      <c r="A1393" s="29" t="str">
        <f aca="false">IF($C1393="","",ROW()-4)</f>
        <v/>
      </c>
      <c r="B1393" s="35" t="str">
        <f aca="false">IF($C1393="","","YS"&amp;TEXT($C1393,"yyyymm")&amp;"-"&amp;TEXT(ROW()-4,"0000"))</f>
        <v/>
      </c>
      <c r="C1393" s="33"/>
      <c r="D1393" s="24"/>
      <c r="E1393" s="30" t="str">
        <f aca="false">IF($D1393="","",IFERROR(INDEX(合同单位,MATCH($D1393,合同键,0)),IFERROR(TRIM(LEFT($D1393,FIND("｜",$D1393)-1)),$D1393)))</f>
        <v/>
      </c>
      <c r="F1393" s="30" t="str">
        <f aca="false">IF($D1393="","",IFERROR(INDEX(合同项目,MATCH($D1393,合同键,0)),IFERROR(TRIM(MID($D1393,FIND("｜",$D1393)+1,99)),"")))</f>
        <v/>
      </c>
      <c r="G1393" s="24"/>
      <c r="H1393" s="35" t="str">
        <f aca="false">IF($G1393="","",IFERROR(INDEX(费用款别,MATCH($G1393,费用类别表,0)),"合同外款"))</f>
        <v/>
      </c>
      <c r="I1393" s="33"/>
      <c r="J1393" s="33"/>
      <c r="K1393" s="39"/>
      <c r="L1393" s="33"/>
      <c r="M1393" s="25"/>
      <c r="N1393" s="39"/>
      <c r="O1393" s="35" t="str">
        <f aca="false">IF($C1393="","",IF(N($N1393)&lt;=0,"未开票",IF(ROUND(N($N1393)-N($K1393),2)&gt;=0,"已开票",IFERROR("部分开票 "&amp;TEXT(N($N1393)/N($K1393),"0%"),"部分开票"))))</f>
        <v/>
      </c>
      <c r="P1393" s="40" t="str">
        <f aca="false">IF($C1393="","",ROUND($V1393+MIN($W1393,MAX(0,(SUMIF(收款键,$D1393,收款金额)-SUMIFS(收款金额,收款键,$D1393,收款关联,"&lt;&gt;"))-($X1393-$W1393))),2))</f>
        <v/>
      </c>
      <c r="Q1393" s="41" t="str">
        <f aca="false">IF($C1393="","",ROUND(N($K1393)-N($P1393),2))</f>
        <v/>
      </c>
      <c r="R1393" s="29" t="str">
        <f aca="false">IF($C1393="","",YEAR($C1393))</f>
        <v/>
      </c>
      <c r="S1393" s="24"/>
      <c r="T1393" s="35" t="str">
        <f aca="false">IF($C1393="","",IF($D1393="","★没选客户项目",IF(COUNTIF(合同键,$D1393)=0,"★《维保合同》里没这个项目",IF(N($K1393)&lt;=0,"★应收金额要填",IF(ROUND(N($N1393)-N($K1393),2)&gt;0.001,"★开票金额大于应收",IF(AND($L1393&lt;&gt;"",N($N1393)&lt;=0),"★填了开票日期没填开票金额",IF(AND($I1393&lt;&gt;"",$J1393&lt;&gt;"",$J1393&lt;$I1393),"★计费期间起止反了","OK")))))))</f>
        <v/>
      </c>
      <c r="U1393" s="29" t="str">
        <f aca="false">IF($L1393="","",YEAR($L1393))</f>
        <v/>
      </c>
      <c r="V1393" s="40" t="str">
        <f aca="false">IF($C1393="","",ROUND(SUMIF(收款关联,$B1393,收款金额),2))</f>
        <v/>
      </c>
      <c r="W1393" s="40" t="str">
        <f aca="false">IF($C1393="","",MAX(0,ROUND(N($K1393)-N($V1393),2)))</f>
        <v/>
      </c>
      <c r="X1393" s="40" t="str">
        <f aca="false">IF($C1393="","",ROUND(SUMIFS(应收净额,应收键,$D1393,应收行号,"&lt;="&amp;ROW()),2))</f>
        <v/>
      </c>
      <c r="Y1393" s="29" t="str">
        <f aca="false">IF($C1393="","",ROW())</f>
        <v/>
      </c>
    </row>
    <row r="1394" customFormat="false" ht="15" hidden="false" customHeight="false" outlineLevel="0" collapsed="false">
      <c r="A1394" s="29" t="str">
        <f aca="false">IF($C1394="","",ROW()-4)</f>
        <v/>
      </c>
      <c r="B1394" s="35" t="str">
        <f aca="false">IF($C1394="","","YS"&amp;TEXT($C1394,"yyyymm")&amp;"-"&amp;TEXT(ROW()-4,"0000"))</f>
        <v/>
      </c>
      <c r="C1394" s="33"/>
      <c r="D1394" s="24"/>
      <c r="E1394" s="30" t="str">
        <f aca="false">IF($D1394="","",IFERROR(INDEX(合同单位,MATCH($D1394,合同键,0)),IFERROR(TRIM(LEFT($D1394,FIND("｜",$D1394)-1)),$D1394)))</f>
        <v/>
      </c>
      <c r="F1394" s="30" t="str">
        <f aca="false">IF($D1394="","",IFERROR(INDEX(合同项目,MATCH($D1394,合同键,0)),IFERROR(TRIM(MID($D1394,FIND("｜",$D1394)+1,99)),"")))</f>
        <v/>
      </c>
      <c r="G1394" s="24"/>
      <c r="H1394" s="35" t="str">
        <f aca="false">IF($G1394="","",IFERROR(INDEX(费用款别,MATCH($G1394,费用类别表,0)),"合同外款"))</f>
        <v/>
      </c>
      <c r="I1394" s="33"/>
      <c r="J1394" s="33"/>
      <c r="K1394" s="39"/>
      <c r="L1394" s="33"/>
      <c r="M1394" s="25"/>
      <c r="N1394" s="39"/>
      <c r="O1394" s="35" t="str">
        <f aca="false">IF($C1394="","",IF(N($N1394)&lt;=0,"未开票",IF(ROUND(N($N1394)-N($K1394),2)&gt;=0,"已开票",IFERROR("部分开票 "&amp;TEXT(N($N1394)/N($K1394),"0%"),"部分开票"))))</f>
        <v/>
      </c>
      <c r="P1394" s="40" t="str">
        <f aca="false">IF($C1394="","",ROUND($V1394+MIN($W1394,MAX(0,(SUMIF(收款键,$D1394,收款金额)-SUMIFS(收款金额,收款键,$D1394,收款关联,"&lt;&gt;"))-($X1394-$W1394))),2))</f>
        <v/>
      </c>
      <c r="Q1394" s="41" t="str">
        <f aca="false">IF($C1394="","",ROUND(N($K1394)-N($P1394),2))</f>
        <v/>
      </c>
      <c r="R1394" s="29" t="str">
        <f aca="false">IF($C1394="","",YEAR($C1394))</f>
        <v/>
      </c>
      <c r="S1394" s="24"/>
      <c r="T1394" s="35" t="str">
        <f aca="false">IF($C1394="","",IF($D1394="","★没选客户项目",IF(COUNTIF(合同键,$D1394)=0,"★《维保合同》里没这个项目",IF(N($K1394)&lt;=0,"★应收金额要填",IF(ROUND(N($N1394)-N($K1394),2)&gt;0.001,"★开票金额大于应收",IF(AND($L1394&lt;&gt;"",N($N1394)&lt;=0),"★填了开票日期没填开票金额",IF(AND($I1394&lt;&gt;"",$J1394&lt;&gt;"",$J1394&lt;$I1394),"★计费期间起止反了","OK")))))))</f>
        <v/>
      </c>
      <c r="U1394" s="29" t="str">
        <f aca="false">IF($L1394="","",YEAR($L1394))</f>
        <v/>
      </c>
      <c r="V1394" s="40" t="str">
        <f aca="false">IF($C1394="","",ROUND(SUMIF(收款关联,$B1394,收款金额),2))</f>
        <v/>
      </c>
      <c r="W1394" s="40" t="str">
        <f aca="false">IF($C1394="","",MAX(0,ROUND(N($K1394)-N($V1394),2)))</f>
        <v/>
      </c>
      <c r="X1394" s="40" t="str">
        <f aca="false">IF($C1394="","",ROUND(SUMIFS(应收净额,应收键,$D1394,应收行号,"&lt;="&amp;ROW()),2))</f>
        <v/>
      </c>
      <c r="Y1394" s="29" t="str">
        <f aca="false">IF($C1394="","",ROW())</f>
        <v/>
      </c>
    </row>
    <row r="1395" customFormat="false" ht="15" hidden="false" customHeight="false" outlineLevel="0" collapsed="false">
      <c r="A1395" s="29" t="str">
        <f aca="false">IF($C1395="","",ROW()-4)</f>
        <v/>
      </c>
      <c r="B1395" s="35" t="str">
        <f aca="false">IF($C1395="","","YS"&amp;TEXT($C1395,"yyyymm")&amp;"-"&amp;TEXT(ROW()-4,"0000"))</f>
        <v/>
      </c>
      <c r="C1395" s="33"/>
      <c r="D1395" s="24"/>
      <c r="E1395" s="30" t="str">
        <f aca="false">IF($D1395="","",IFERROR(INDEX(合同单位,MATCH($D1395,合同键,0)),IFERROR(TRIM(LEFT($D1395,FIND("｜",$D1395)-1)),$D1395)))</f>
        <v/>
      </c>
      <c r="F1395" s="30" t="str">
        <f aca="false">IF($D1395="","",IFERROR(INDEX(合同项目,MATCH($D1395,合同键,0)),IFERROR(TRIM(MID($D1395,FIND("｜",$D1395)+1,99)),"")))</f>
        <v/>
      </c>
      <c r="G1395" s="24"/>
      <c r="H1395" s="35" t="str">
        <f aca="false">IF($G1395="","",IFERROR(INDEX(费用款别,MATCH($G1395,费用类别表,0)),"合同外款"))</f>
        <v/>
      </c>
      <c r="I1395" s="33"/>
      <c r="J1395" s="33"/>
      <c r="K1395" s="39"/>
      <c r="L1395" s="33"/>
      <c r="M1395" s="25"/>
      <c r="N1395" s="39"/>
      <c r="O1395" s="35" t="str">
        <f aca="false">IF($C1395="","",IF(N($N1395)&lt;=0,"未开票",IF(ROUND(N($N1395)-N($K1395),2)&gt;=0,"已开票",IFERROR("部分开票 "&amp;TEXT(N($N1395)/N($K1395),"0%"),"部分开票"))))</f>
        <v/>
      </c>
      <c r="P1395" s="40" t="str">
        <f aca="false">IF($C1395="","",ROUND($V1395+MIN($W1395,MAX(0,(SUMIF(收款键,$D1395,收款金额)-SUMIFS(收款金额,收款键,$D1395,收款关联,"&lt;&gt;"))-($X1395-$W1395))),2))</f>
        <v/>
      </c>
      <c r="Q1395" s="41" t="str">
        <f aca="false">IF($C1395="","",ROUND(N($K1395)-N($P1395),2))</f>
        <v/>
      </c>
      <c r="R1395" s="29" t="str">
        <f aca="false">IF($C1395="","",YEAR($C1395))</f>
        <v/>
      </c>
      <c r="S1395" s="24"/>
      <c r="T1395" s="35" t="str">
        <f aca="false">IF($C1395="","",IF($D1395="","★没选客户项目",IF(COUNTIF(合同键,$D1395)=0,"★《维保合同》里没这个项目",IF(N($K1395)&lt;=0,"★应收金额要填",IF(ROUND(N($N1395)-N($K1395),2)&gt;0.001,"★开票金额大于应收",IF(AND($L1395&lt;&gt;"",N($N1395)&lt;=0),"★填了开票日期没填开票金额",IF(AND($I1395&lt;&gt;"",$J1395&lt;&gt;"",$J1395&lt;$I1395),"★计费期间起止反了","OK")))))))</f>
        <v/>
      </c>
      <c r="U1395" s="29" t="str">
        <f aca="false">IF($L1395="","",YEAR($L1395))</f>
        <v/>
      </c>
      <c r="V1395" s="40" t="str">
        <f aca="false">IF($C1395="","",ROUND(SUMIF(收款关联,$B1395,收款金额),2))</f>
        <v/>
      </c>
      <c r="W1395" s="40" t="str">
        <f aca="false">IF($C1395="","",MAX(0,ROUND(N($K1395)-N($V1395),2)))</f>
        <v/>
      </c>
      <c r="X1395" s="40" t="str">
        <f aca="false">IF($C1395="","",ROUND(SUMIFS(应收净额,应收键,$D1395,应收行号,"&lt;="&amp;ROW()),2))</f>
        <v/>
      </c>
      <c r="Y1395" s="29" t="str">
        <f aca="false">IF($C1395="","",ROW())</f>
        <v/>
      </c>
    </row>
    <row r="1396" customFormat="false" ht="15" hidden="false" customHeight="false" outlineLevel="0" collapsed="false">
      <c r="A1396" s="29" t="str">
        <f aca="false">IF($C1396="","",ROW()-4)</f>
        <v/>
      </c>
      <c r="B1396" s="35" t="str">
        <f aca="false">IF($C1396="","","YS"&amp;TEXT($C1396,"yyyymm")&amp;"-"&amp;TEXT(ROW()-4,"0000"))</f>
        <v/>
      </c>
      <c r="C1396" s="33"/>
      <c r="D1396" s="24"/>
      <c r="E1396" s="30" t="str">
        <f aca="false">IF($D1396="","",IFERROR(INDEX(合同单位,MATCH($D1396,合同键,0)),IFERROR(TRIM(LEFT($D1396,FIND("｜",$D1396)-1)),$D1396)))</f>
        <v/>
      </c>
      <c r="F1396" s="30" t="str">
        <f aca="false">IF($D1396="","",IFERROR(INDEX(合同项目,MATCH($D1396,合同键,0)),IFERROR(TRIM(MID($D1396,FIND("｜",$D1396)+1,99)),"")))</f>
        <v/>
      </c>
      <c r="G1396" s="24"/>
      <c r="H1396" s="35" t="str">
        <f aca="false">IF($G1396="","",IFERROR(INDEX(费用款别,MATCH($G1396,费用类别表,0)),"合同外款"))</f>
        <v/>
      </c>
      <c r="I1396" s="33"/>
      <c r="J1396" s="33"/>
      <c r="K1396" s="39"/>
      <c r="L1396" s="33"/>
      <c r="M1396" s="25"/>
      <c r="N1396" s="39"/>
      <c r="O1396" s="35" t="str">
        <f aca="false">IF($C1396="","",IF(N($N1396)&lt;=0,"未开票",IF(ROUND(N($N1396)-N($K1396),2)&gt;=0,"已开票",IFERROR("部分开票 "&amp;TEXT(N($N1396)/N($K1396),"0%"),"部分开票"))))</f>
        <v/>
      </c>
      <c r="P1396" s="40" t="str">
        <f aca="false">IF($C1396="","",ROUND($V1396+MIN($W1396,MAX(0,(SUMIF(收款键,$D1396,收款金额)-SUMIFS(收款金额,收款键,$D1396,收款关联,"&lt;&gt;"))-($X1396-$W1396))),2))</f>
        <v/>
      </c>
      <c r="Q1396" s="41" t="str">
        <f aca="false">IF($C1396="","",ROUND(N($K1396)-N($P1396),2))</f>
        <v/>
      </c>
      <c r="R1396" s="29" t="str">
        <f aca="false">IF($C1396="","",YEAR($C1396))</f>
        <v/>
      </c>
      <c r="S1396" s="24"/>
      <c r="T1396" s="35" t="str">
        <f aca="false">IF($C1396="","",IF($D1396="","★没选客户项目",IF(COUNTIF(合同键,$D1396)=0,"★《维保合同》里没这个项目",IF(N($K1396)&lt;=0,"★应收金额要填",IF(ROUND(N($N1396)-N($K1396),2)&gt;0.001,"★开票金额大于应收",IF(AND($L1396&lt;&gt;"",N($N1396)&lt;=0),"★填了开票日期没填开票金额",IF(AND($I1396&lt;&gt;"",$J1396&lt;&gt;"",$J1396&lt;$I1396),"★计费期间起止反了","OK")))))))</f>
        <v/>
      </c>
      <c r="U1396" s="29" t="str">
        <f aca="false">IF($L1396="","",YEAR($L1396))</f>
        <v/>
      </c>
      <c r="V1396" s="40" t="str">
        <f aca="false">IF($C1396="","",ROUND(SUMIF(收款关联,$B1396,收款金额),2))</f>
        <v/>
      </c>
      <c r="W1396" s="40" t="str">
        <f aca="false">IF($C1396="","",MAX(0,ROUND(N($K1396)-N($V1396),2)))</f>
        <v/>
      </c>
      <c r="X1396" s="40" t="str">
        <f aca="false">IF($C1396="","",ROUND(SUMIFS(应收净额,应收键,$D1396,应收行号,"&lt;="&amp;ROW()),2))</f>
        <v/>
      </c>
      <c r="Y1396" s="29" t="str">
        <f aca="false">IF($C1396="","",ROW())</f>
        <v/>
      </c>
    </row>
    <row r="1397" customFormat="false" ht="15" hidden="false" customHeight="false" outlineLevel="0" collapsed="false">
      <c r="A1397" s="29" t="str">
        <f aca="false">IF($C1397="","",ROW()-4)</f>
        <v/>
      </c>
      <c r="B1397" s="35" t="str">
        <f aca="false">IF($C1397="","","YS"&amp;TEXT($C1397,"yyyymm")&amp;"-"&amp;TEXT(ROW()-4,"0000"))</f>
        <v/>
      </c>
      <c r="C1397" s="33"/>
      <c r="D1397" s="24"/>
      <c r="E1397" s="30" t="str">
        <f aca="false">IF($D1397="","",IFERROR(INDEX(合同单位,MATCH($D1397,合同键,0)),IFERROR(TRIM(LEFT($D1397,FIND("｜",$D1397)-1)),$D1397)))</f>
        <v/>
      </c>
      <c r="F1397" s="30" t="str">
        <f aca="false">IF($D1397="","",IFERROR(INDEX(合同项目,MATCH($D1397,合同键,0)),IFERROR(TRIM(MID($D1397,FIND("｜",$D1397)+1,99)),"")))</f>
        <v/>
      </c>
      <c r="G1397" s="24"/>
      <c r="H1397" s="35" t="str">
        <f aca="false">IF($G1397="","",IFERROR(INDEX(费用款别,MATCH($G1397,费用类别表,0)),"合同外款"))</f>
        <v/>
      </c>
      <c r="I1397" s="33"/>
      <c r="J1397" s="33"/>
      <c r="K1397" s="39"/>
      <c r="L1397" s="33"/>
      <c r="M1397" s="25"/>
      <c r="N1397" s="39"/>
      <c r="O1397" s="35" t="str">
        <f aca="false">IF($C1397="","",IF(N($N1397)&lt;=0,"未开票",IF(ROUND(N($N1397)-N($K1397),2)&gt;=0,"已开票",IFERROR("部分开票 "&amp;TEXT(N($N1397)/N($K1397),"0%"),"部分开票"))))</f>
        <v/>
      </c>
      <c r="P1397" s="40" t="str">
        <f aca="false">IF($C1397="","",ROUND($V1397+MIN($W1397,MAX(0,(SUMIF(收款键,$D1397,收款金额)-SUMIFS(收款金额,收款键,$D1397,收款关联,"&lt;&gt;"))-($X1397-$W1397))),2))</f>
        <v/>
      </c>
      <c r="Q1397" s="41" t="str">
        <f aca="false">IF($C1397="","",ROUND(N($K1397)-N($P1397),2))</f>
        <v/>
      </c>
      <c r="R1397" s="29" t="str">
        <f aca="false">IF($C1397="","",YEAR($C1397))</f>
        <v/>
      </c>
      <c r="S1397" s="24"/>
      <c r="T1397" s="35" t="str">
        <f aca="false">IF($C1397="","",IF($D1397="","★没选客户项目",IF(COUNTIF(合同键,$D1397)=0,"★《维保合同》里没这个项目",IF(N($K1397)&lt;=0,"★应收金额要填",IF(ROUND(N($N1397)-N($K1397),2)&gt;0.001,"★开票金额大于应收",IF(AND($L1397&lt;&gt;"",N($N1397)&lt;=0),"★填了开票日期没填开票金额",IF(AND($I1397&lt;&gt;"",$J1397&lt;&gt;"",$J1397&lt;$I1397),"★计费期间起止反了","OK")))))))</f>
        <v/>
      </c>
      <c r="U1397" s="29" t="str">
        <f aca="false">IF($L1397="","",YEAR($L1397))</f>
        <v/>
      </c>
      <c r="V1397" s="40" t="str">
        <f aca="false">IF($C1397="","",ROUND(SUMIF(收款关联,$B1397,收款金额),2))</f>
        <v/>
      </c>
      <c r="W1397" s="40" t="str">
        <f aca="false">IF($C1397="","",MAX(0,ROUND(N($K1397)-N($V1397),2)))</f>
        <v/>
      </c>
      <c r="X1397" s="40" t="str">
        <f aca="false">IF($C1397="","",ROUND(SUMIFS(应收净额,应收键,$D1397,应收行号,"&lt;="&amp;ROW()),2))</f>
        <v/>
      </c>
      <c r="Y1397" s="29" t="str">
        <f aca="false">IF($C1397="","",ROW())</f>
        <v/>
      </c>
    </row>
    <row r="1398" customFormat="false" ht="15" hidden="false" customHeight="false" outlineLevel="0" collapsed="false">
      <c r="A1398" s="29" t="str">
        <f aca="false">IF($C1398="","",ROW()-4)</f>
        <v/>
      </c>
      <c r="B1398" s="35" t="str">
        <f aca="false">IF($C1398="","","YS"&amp;TEXT($C1398,"yyyymm")&amp;"-"&amp;TEXT(ROW()-4,"0000"))</f>
        <v/>
      </c>
      <c r="C1398" s="33"/>
      <c r="D1398" s="24"/>
      <c r="E1398" s="30" t="str">
        <f aca="false">IF($D1398="","",IFERROR(INDEX(合同单位,MATCH($D1398,合同键,0)),IFERROR(TRIM(LEFT($D1398,FIND("｜",$D1398)-1)),$D1398)))</f>
        <v/>
      </c>
      <c r="F1398" s="30" t="str">
        <f aca="false">IF($D1398="","",IFERROR(INDEX(合同项目,MATCH($D1398,合同键,0)),IFERROR(TRIM(MID($D1398,FIND("｜",$D1398)+1,99)),"")))</f>
        <v/>
      </c>
      <c r="G1398" s="24"/>
      <c r="H1398" s="35" t="str">
        <f aca="false">IF($G1398="","",IFERROR(INDEX(费用款别,MATCH($G1398,费用类别表,0)),"合同外款"))</f>
        <v/>
      </c>
      <c r="I1398" s="33"/>
      <c r="J1398" s="33"/>
      <c r="K1398" s="39"/>
      <c r="L1398" s="33"/>
      <c r="M1398" s="25"/>
      <c r="N1398" s="39"/>
      <c r="O1398" s="35" t="str">
        <f aca="false">IF($C1398="","",IF(N($N1398)&lt;=0,"未开票",IF(ROUND(N($N1398)-N($K1398),2)&gt;=0,"已开票",IFERROR("部分开票 "&amp;TEXT(N($N1398)/N($K1398),"0%"),"部分开票"))))</f>
        <v/>
      </c>
      <c r="P1398" s="40" t="str">
        <f aca="false">IF($C1398="","",ROUND($V1398+MIN($W1398,MAX(0,(SUMIF(收款键,$D1398,收款金额)-SUMIFS(收款金额,收款键,$D1398,收款关联,"&lt;&gt;"))-($X1398-$W1398))),2))</f>
        <v/>
      </c>
      <c r="Q1398" s="41" t="str">
        <f aca="false">IF($C1398="","",ROUND(N($K1398)-N($P1398),2))</f>
        <v/>
      </c>
      <c r="R1398" s="29" t="str">
        <f aca="false">IF($C1398="","",YEAR($C1398))</f>
        <v/>
      </c>
      <c r="S1398" s="24"/>
      <c r="T1398" s="35" t="str">
        <f aca="false">IF($C1398="","",IF($D1398="","★没选客户项目",IF(COUNTIF(合同键,$D1398)=0,"★《维保合同》里没这个项目",IF(N($K1398)&lt;=0,"★应收金额要填",IF(ROUND(N($N1398)-N($K1398),2)&gt;0.001,"★开票金额大于应收",IF(AND($L1398&lt;&gt;"",N($N1398)&lt;=0),"★填了开票日期没填开票金额",IF(AND($I1398&lt;&gt;"",$J1398&lt;&gt;"",$J1398&lt;$I1398),"★计费期间起止反了","OK")))))))</f>
        <v/>
      </c>
      <c r="U1398" s="29" t="str">
        <f aca="false">IF($L1398="","",YEAR($L1398))</f>
        <v/>
      </c>
      <c r="V1398" s="40" t="str">
        <f aca="false">IF($C1398="","",ROUND(SUMIF(收款关联,$B1398,收款金额),2))</f>
        <v/>
      </c>
      <c r="W1398" s="40" t="str">
        <f aca="false">IF($C1398="","",MAX(0,ROUND(N($K1398)-N($V1398),2)))</f>
        <v/>
      </c>
      <c r="X1398" s="40" t="str">
        <f aca="false">IF($C1398="","",ROUND(SUMIFS(应收净额,应收键,$D1398,应收行号,"&lt;="&amp;ROW()),2))</f>
        <v/>
      </c>
      <c r="Y1398" s="29" t="str">
        <f aca="false">IF($C1398="","",ROW())</f>
        <v/>
      </c>
    </row>
    <row r="1399" customFormat="false" ht="15" hidden="false" customHeight="false" outlineLevel="0" collapsed="false">
      <c r="A1399" s="29" t="str">
        <f aca="false">IF($C1399="","",ROW()-4)</f>
        <v/>
      </c>
      <c r="B1399" s="35" t="str">
        <f aca="false">IF($C1399="","","YS"&amp;TEXT($C1399,"yyyymm")&amp;"-"&amp;TEXT(ROW()-4,"0000"))</f>
        <v/>
      </c>
      <c r="C1399" s="33"/>
      <c r="D1399" s="24"/>
      <c r="E1399" s="30" t="str">
        <f aca="false">IF($D1399="","",IFERROR(INDEX(合同单位,MATCH($D1399,合同键,0)),IFERROR(TRIM(LEFT($D1399,FIND("｜",$D1399)-1)),$D1399)))</f>
        <v/>
      </c>
      <c r="F1399" s="30" t="str">
        <f aca="false">IF($D1399="","",IFERROR(INDEX(合同项目,MATCH($D1399,合同键,0)),IFERROR(TRIM(MID($D1399,FIND("｜",$D1399)+1,99)),"")))</f>
        <v/>
      </c>
      <c r="G1399" s="24"/>
      <c r="H1399" s="35" t="str">
        <f aca="false">IF($G1399="","",IFERROR(INDEX(费用款别,MATCH($G1399,费用类别表,0)),"合同外款"))</f>
        <v/>
      </c>
      <c r="I1399" s="33"/>
      <c r="J1399" s="33"/>
      <c r="K1399" s="39"/>
      <c r="L1399" s="33"/>
      <c r="M1399" s="25"/>
      <c r="N1399" s="39"/>
      <c r="O1399" s="35" t="str">
        <f aca="false">IF($C1399="","",IF(N($N1399)&lt;=0,"未开票",IF(ROUND(N($N1399)-N($K1399),2)&gt;=0,"已开票",IFERROR("部分开票 "&amp;TEXT(N($N1399)/N($K1399),"0%"),"部分开票"))))</f>
        <v/>
      </c>
      <c r="P1399" s="40" t="str">
        <f aca="false">IF($C1399="","",ROUND($V1399+MIN($W1399,MAX(0,(SUMIF(收款键,$D1399,收款金额)-SUMIFS(收款金额,收款键,$D1399,收款关联,"&lt;&gt;"))-($X1399-$W1399))),2))</f>
        <v/>
      </c>
      <c r="Q1399" s="41" t="str">
        <f aca="false">IF($C1399="","",ROUND(N($K1399)-N($P1399),2))</f>
        <v/>
      </c>
      <c r="R1399" s="29" t="str">
        <f aca="false">IF($C1399="","",YEAR($C1399))</f>
        <v/>
      </c>
      <c r="S1399" s="24"/>
      <c r="T1399" s="35" t="str">
        <f aca="false">IF($C1399="","",IF($D1399="","★没选客户项目",IF(COUNTIF(合同键,$D1399)=0,"★《维保合同》里没这个项目",IF(N($K1399)&lt;=0,"★应收金额要填",IF(ROUND(N($N1399)-N($K1399),2)&gt;0.001,"★开票金额大于应收",IF(AND($L1399&lt;&gt;"",N($N1399)&lt;=0),"★填了开票日期没填开票金额",IF(AND($I1399&lt;&gt;"",$J1399&lt;&gt;"",$J1399&lt;$I1399),"★计费期间起止反了","OK")))))))</f>
        <v/>
      </c>
      <c r="U1399" s="29" t="str">
        <f aca="false">IF($L1399="","",YEAR($L1399))</f>
        <v/>
      </c>
      <c r="V1399" s="40" t="str">
        <f aca="false">IF($C1399="","",ROUND(SUMIF(收款关联,$B1399,收款金额),2))</f>
        <v/>
      </c>
      <c r="W1399" s="40" t="str">
        <f aca="false">IF($C1399="","",MAX(0,ROUND(N($K1399)-N($V1399),2)))</f>
        <v/>
      </c>
      <c r="X1399" s="40" t="str">
        <f aca="false">IF($C1399="","",ROUND(SUMIFS(应收净额,应收键,$D1399,应收行号,"&lt;="&amp;ROW()),2))</f>
        <v/>
      </c>
      <c r="Y1399" s="29" t="str">
        <f aca="false">IF($C1399="","",ROW())</f>
        <v/>
      </c>
    </row>
    <row r="1400" customFormat="false" ht="15" hidden="false" customHeight="false" outlineLevel="0" collapsed="false">
      <c r="A1400" s="29" t="str">
        <f aca="false">IF($C1400="","",ROW()-4)</f>
        <v/>
      </c>
      <c r="B1400" s="35" t="str">
        <f aca="false">IF($C1400="","","YS"&amp;TEXT($C1400,"yyyymm")&amp;"-"&amp;TEXT(ROW()-4,"0000"))</f>
        <v/>
      </c>
      <c r="C1400" s="33"/>
      <c r="D1400" s="24"/>
      <c r="E1400" s="30" t="str">
        <f aca="false">IF($D1400="","",IFERROR(INDEX(合同单位,MATCH($D1400,合同键,0)),IFERROR(TRIM(LEFT($D1400,FIND("｜",$D1400)-1)),$D1400)))</f>
        <v/>
      </c>
      <c r="F1400" s="30" t="str">
        <f aca="false">IF($D1400="","",IFERROR(INDEX(合同项目,MATCH($D1400,合同键,0)),IFERROR(TRIM(MID($D1400,FIND("｜",$D1400)+1,99)),"")))</f>
        <v/>
      </c>
      <c r="G1400" s="24"/>
      <c r="H1400" s="35" t="str">
        <f aca="false">IF($G1400="","",IFERROR(INDEX(费用款别,MATCH($G1400,费用类别表,0)),"合同外款"))</f>
        <v/>
      </c>
      <c r="I1400" s="33"/>
      <c r="J1400" s="33"/>
      <c r="K1400" s="39"/>
      <c r="L1400" s="33"/>
      <c r="M1400" s="25"/>
      <c r="N1400" s="39"/>
      <c r="O1400" s="35" t="str">
        <f aca="false">IF($C1400="","",IF(N($N1400)&lt;=0,"未开票",IF(ROUND(N($N1400)-N($K1400),2)&gt;=0,"已开票",IFERROR("部分开票 "&amp;TEXT(N($N1400)/N($K1400),"0%"),"部分开票"))))</f>
        <v/>
      </c>
      <c r="P1400" s="40" t="str">
        <f aca="false">IF($C1400="","",ROUND($V1400+MIN($W1400,MAX(0,(SUMIF(收款键,$D1400,收款金额)-SUMIFS(收款金额,收款键,$D1400,收款关联,"&lt;&gt;"))-($X1400-$W1400))),2))</f>
        <v/>
      </c>
      <c r="Q1400" s="41" t="str">
        <f aca="false">IF($C1400="","",ROUND(N($K1400)-N($P1400),2))</f>
        <v/>
      </c>
      <c r="R1400" s="29" t="str">
        <f aca="false">IF($C1400="","",YEAR($C1400))</f>
        <v/>
      </c>
      <c r="S1400" s="24"/>
      <c r="T1400" s="35" t="str">
        <f aca="false">IF($C1400="","",IF($D1400="","★没选客户项目",IF(COUNTIF(合同键,$D1400)=0,"★《维保合同》里没这个项目",IF(N($K1400)&lt;=0,"★应收金额要填",IF(ROUND(N($N1400)-N($K1400),2)&gt;0.001,"★开票金额大于应收",IF(AND($L1400&lt;&gt;"",N($N1400)&lt;=0),"★填了开票日期没填开票金额",IF(AND($I1400&lt;&gt;"",$J1400&lt;&gt;"",$J1400&lt;$I1400),"★计费期间起止反了","OK")))))))</f>
        <v/>
      </c>
      <c r="U1400" s="29" t="str">
        <f aca="false">IF($L1400="","",YEAR($L1400))</f>
        <v/>
      </c>
      <c r="V1400" s="40" t="str">
        <f aca="false">IF($C1400="","",ROUND(SUMIF(收款关联,$B1400,收款金额),2))</f>
        <v/>
      </c>
      <c r="W1400" s="40" t="str">
        <f aca="false">IF($C1400="","",MAX(0,ROUND(N($K1400)-N($V1400),2)))</f>
        <v/>
      </c>
      <c r="X1400" s="40" t="str">
        <f aca="false">IF($C1400="","",ROUND(SUMIFS(应收净额,应收键,$D1400,应收行号,"&lt;="&amp;ROW()),2))</f>
        <v/>
      </c>
      <c r="Y1400" s="29" t="str">
        <f aca="false">IF($C1400="","",ROW())</f>
        <v/>
      </c>
    </row>
    <row r="1401" customFormat="false" ht="15" hidden="false" customHeight="false" outlineLevel="0" collapsed="false">
      <c r="A1401" s="29" t="str">
        <f aca="false">IF($C1401="","",ROW()-4)</f>
        <v/>
      </c>
      <c r="B1401" s="35" t="str">
        <f aca="false">IF($C1401="","","YS"&amp;TEXT($C1401,"yyyymm")&amp;"-"&amp;TEXT(ROW()-4,"0000"))</f>
        <v/>
      </c>
      <c r="C1401" s="33"/>
      <c r="D1401" s="24"/>
      <c r="E1401" s="30" t="str">
        <f aca="false">IF($D1401="","",IFERROR(INDEX(合同单位,MATCH($D1401,合同键,0)),IFERROR(TRIM(LEFT($D1401,FIND("｜",$D1401)-1)),$D1401)))</f>
        <v/>
      </c>
      <c r="F1401" s="30" t="str">
        <f aca="false">IF($D1401="","",IFERROR(INDEX(合同项目,MATCH($D1401,合同键,0)),IFERROR(TRIM(MID($D1401,FIND("｜",$D1401)+1,99)),"")))</f>
        <v/>
      </c>
      <c r="G1401" s="24"/>
      <c r="H1401" s="35" t="str">
        <f aca="false">IF($G1401="","",IFERROR(INDEX(费用款别,MATCH($G1401,费用类别表,0)),"合同外款"))</f>
        <v/>
      </c>
      <c r="I1401" s="33"/>
      <c r="J1401" s="33"/>
      <c r="K1401" s="39"/>
      <c r="L1401" s="33"/>
      <c r="M1401" s="25"/>
      <c r="N1401" s="39"/>
      <c r="O1401" s="35" t="str">
        <f aca="false">IF($C1401="","",IF(N($N1401)&lt;=0,"未开票",IF(ROUND(N($N1401)-N($K1401),2)&gt;=0,"已开票",IFERROR("部分开票 "&amp;TEXT(N($N1401)/N($K1401),"0%"),"部分开票"))))</f>
        <v/>
      </c>
      <c r="P1401" s="40" t="str">
        <f aca="false">IF($C1401="","",ROUND($V1401+MIN($W1401,MAX(0,(SUMIF(收款键,$D1401,收款金额)-SUMIFS(收款金额,收款键,$D1401,收款关联,"&lt;&gt;"))-($X1401-$W1401))),2))</f>
        <v/>
      </c>
      <c r="Q1401" s="41" t="str">
        <f aca="false">IF($C1401="","",ROUND(N($K1401)-N($P1401),2))</f>
        <v/>
      </c>
      <c r="R1401" s="29" t="str">
        <f aca="false">IF($C1401="","",YEAR($C1401))</f>
        <v/>
      </c>
      <c r="S1401" s="24"/>
      <c r="T1401" s="35" t="str">
        <f aca="false">IF($C1401="","",IF($D1401="","★没选客户项目",IF(COUNTIF(合同键,$D1401)=0,"★《维保合同》里没这个项目",IF(N($K1401)&lt;=0,"★应收金额要填",IF(ROUND(N($N1401)-N($K1401),2)&gt;0.001,"★开票金额大于应收",IF(AND($L1401&lt;&gt;"",N($N1401)&lt;=0),"★填了开票日期没填开票金额",IF(AND($I1401&lt;&gt;"",$J1401&lt;&gt;"",$J1401&lt;$I1401),"★计费期间起止反了","OK")))))))</f>
        <v/>
      </c>
      <c r="U1401" s="29" t="str">
        <f aca="false">IF($L1401="","",YEAR($L1401))</f>
        <v/>
      </c>
      <c r="V1401" s="40" t="str">
        <f aca="false">IF($C1401="","",ROUND(SUMIF(收款关联,$B1401,收款金额),2))</f>
        <v/>
      </c>
      <c r="W1401" s="40" t="str">
        <f aca="false">IF($C1401="","",MAX(0,ROUND(N($K1401)-N($V1401),2)))</f>
        <v/>
      </c>
      <c r="X1401" s="40" t="str">
        <f aca="false">IF($C1401="","",ROUND(SUMIFS(应收净额,应收键,$D1401,应收行号,"&lt;="&amp;ROW()),2))</f>
        <v/>
      </c>
      <c r="Y1401" s="29" t="str">
        <f aca="false">IF($C1401="","",ROW())</f>
        <v/>
      </c>
    </row>
    <row r="1402" customFormat="false" ht="15" hidden="false" customHeight="false" outlineLevel="0" collapsed="false">
      <c r="A1402" s="29" t="str">
        <f aca="false">IF($C1402="","",ROW()-4)</f>
        <v/>
      </c>
      <c r="B1402" s="35" t="str">
        <f aca="false">IF($C1402="","","YS"&amp;TEXT($C1402,"yyyymm")&amp;"-"&amp;TEXT(ROW()-4,"0000"))</f>
        <v/>
      </c>
      <c r="C1402" s="33"/>
      <c r="D1402" s="24"/>
      <c r="E1402" s="30" t="str">
        <f aca="false">IF($D1402="","",IFERROR(INDEX(合同单位,MATCH($D1402,合同键,0)),IFERROR(TRIM(LEFT($D1402,FIND("｜",$D1402)-1)),$D1402)))</f>
        <v/>
      </c>
      <c r="F1402" s="30" t="str">
        <f aca="false">IF($D1402="","",IFERROR(INDEX(合同项目,MATCH($D1402,合同键,0)),IFERROR(TRIM(MID($D1402,FIND("｜",$D1402)+1,99)),"")))</f>
        <v/>
      </c>
      <c r="G1402" s="24"/>
      <c r="H1402" s="35" t="str">
        <f aca="false">IF($G1402="","",IFERROR(INDEX(费用款别,MATCH($G1402,费用类别表,0)),"合同外款"))</f>
        <v/>
      </c>
      <c r="I1402" s="33"/>
      <c r="J1402" s="33"/>
      <c r="K1402" s="39"/>
      <c r="L1402" s="33"/>
      <c r="M1402" s="25"/>
      <c r="N1402" s="39"/>
      <c r="O1402" s="35" t="str">
        <f aca="false">IF($C1402="","",IF(N($N1402)&lt;=0,"未开票",IF(ROUND(N($N1402)-N($K1402),2)&gt;=0,"已开票",IFERROR("部分开票 "&amp;TEXT(N($N1402)/N($K1402),"0%"),"部分开票"))))</f>
        <v/>
      </c>
      <c r="P1402" s="40" t="str">
        <f aca="false">IF($C1402="","",ROUND($V1402+MIN($W1402,MAX(0,(SUMIF(收款键,$D1402,收款金额)-SUMIFS(收款金额,收款键,$D1402,收款关联,"&lt;&gt;"))-($X1402-$W1402))),2))</f>
        <v/>
      </c>
      <c r="Q1402" s="41" t="str">
        <f aca="false">IF($C1402="","",ROUND(N($K1402)-N($P1402),2))</f>
        <v/>
      </c>
      <c r="R1402" s="29" t="str">
        <f aca="false">IF($C1402="","",YEAR($C1402))</f>
        <v/>
      </c>
      <c r="S1402" s="24"/>
      <c r="T1402" s="35" t="str">
        <f aca="false">IF($C1402="","",IF($D1402="","★没选客户项目",IF(COUNTIF(合同键,$D1402)=0,"★《维保合同》里没这个项目",IF(N($K1402)&lt;=0,"★应收金额要填",IF(ROUND(N($N1402)-N($K1402),2)&gt;0.001,"★开票金额大于应收",IF(AND($L1402&lt;&gt;"",N($N1402)&lt;=0),"★填了开票日期没填开票金额",IF(AND($I1402&lt;&gt;"",$J1402&lt;&gt;"",$J1402&lt;$I1402),"★计费期间起止反了","OK")))))))</f>
        <v/>
      </c>
      <c r="U1402" s="29" t="str">
        <f aca="false">IF($L1402="","",YEAR($L1402))</f>
        <v/>
      </c>
      <c r="V1402" s="40" t="str">
        <f aca="false">IF($C1402="","",ROUND(SUMIF(收款关联,$B1402,收款金额),2))</f>
        <v/>
      </c>
      <c r="W1402" s="40" t="str">
        <f aca="false">IF($C1402="","",MAX(0,ROUND(N($K1402)-N($V1402),2)))</f>
        <v/>
      </c>
      <c r="X1402" s="40" t="str">
        <f aca="false">IF($C1402="","",ROUND(SUMIFS(应收净额,应收键,$D1402,应收行号,"&lt;="&amp;ROW()),2))</f>
        <v/>
      </c>
      <c r="Y1402" s="29" t="str">
        <f aca="false">IF($C1402="","",ROW())</f>
        <v/>
      </c>
    </row>
    <row r="1403" customFormat="false" ht="15" hidden="false" customHeight="false" outlineLevel="0" collapsed="false">
      <c r="A1403" s="29" t="str">
        <f aca="false">IF($C1403="","",ROW()-4)</f>
        <v/>
      </c>
      <c r="B1403" s="35" t="str">
        <f aca="false">IF($C1403="","","YS"&amp;TEXT($C1403,"yyyymm")&amp;"-"&amp;TEXT(ROW()-4,"0000"))</f>
        <v/>
      </c>
      <c r="C1403" s="33"/>
      <c r="D1403" s="24"/>
      <c r="E1403" s="30" t="str">
        <f aca="false">IF($D1403="","",IFERROR(INDEX(合同单位,MATCH($D1403,合同键,0)),IFERROR(TRIM(LEFT($D1403,FIND("｜",$D1403)-1)),$D1403)))</f>
        <v/>
      </c>
      <c r="F1403" s="30" t="str">
        <f aca="false">IF($D1403="","",IFERROR(INDEX(合同项目,MATCH($D1403,合同键,0)),IFERROR(TRIM(MID($D1403,FIND("｜",$D1403)+1,99)),"")))</f>
        <v/>
      </c>
      <c r="G1403" s="24"/>
      <c r="H1403" s="35" t="str">
        <f aca="false">IF($G1403="","",IFERROR(INDEX(费用款别,MATCH($G1403,费用类别表,0)),"合同外款"))</f>
        <v/>
      </c>
      <c r="I1403" s="33"/>
      <c r="J1403" s="33"/>
      <c r="K1403" s="39"/>
      <c r="L1403" s="33"/>
      <c r="M1403" s="25"/>
      <c r="N1403" s="39"/>
      <c r="O1403" s="35" t="str">
        <f aca="false">IF($C1403="","",IF(N($N1403)&lt;=0,"未开票",IF(ROUND(N($N1403)-N($K1403),2)&gt;=0,"已开票",IFERROR("部分开票 "&amp;TEXT(N($N1403)/N($K1403),"0%"),"部分开票"))))</f>
        <v/>
      </c>
      <c r="P1403" s="40" t="str">
        <f aca="false">IF($C1403="","",ROUND($V1403+MIN($W1403,MAX(0,(SUMIF(收款键,$D1403,收款金额)-SUMIFS(收款金额,收款键,$D1403,收款关联,"&lt;&gt;"))-($X1403-$W1403))),2))</f>
        <v/>
      </c>
      <c r="Q1403" s="41" t="str">
        <f aca="false">IF($C1403="","",ROUND(N($K1403)-N($P1403),2))</f>
        <v/>
      </c>
      <c r="R1403" s="29" t="str">
        <f aca="false">IF($C1403="","",YEAR($C1403))</f>
        <v/>
      </c>
      <c r="S1403" s="24"/>
      <c r="T1403" s="35" t="str">
        <f aca="false">IF($C1403="","",IF($D1403="","★没选客户项目",IF(COUNTIF(合同键,$D1403)=0,"★《维保合同》里没这个项目",IF(N($K1403)&lt;=0,"★应收金额要填",IF(ROUND(N($N1403)-N($K1403),2)&gt;0.001,"★开票金额大于应收",IF(AND($L1403&lt;&gt;"",N($N1403)&lt;=0),"★填了开票日期没填开票金额",IF(AND($I1403&lt;&gt;"",$J1403&lt;&gt;"",$J1403&lt;$I1403),"★计费期间起止反了","OK")))))))</f>
        <v/>
      </c>
      <c r="U1403" s="29" t="str">
        <f aca="false">IF($L1403="","",YEAR($L1403))</f>
        <v/>
      </c>
      <c r="V1403" s="40" t="str">
        <f aca="false">IF($C1403="","",ROUND(SUMIF(收款关联,$B1403,收款金额),2))</f>
        <v/>
      </c>
      <c r="W1403" s="40" t="str">
        <f aca="false">IF($C1403="","",MAX(0,ROUND(N($K1403)-N($V1403),2)))</f>
        <v/>
      </c>
      <c r="X1403" s="40" t="str">
        <f aca="false">IF($C1403="","",ROUND(SUMIFS(应收净额,应收键,$D1403,应收行号,"&lt;="&amp;ROW()),2))</f>
        <v/>
      </c>
      <c r="Y1403" s="29" t="str">
        <f aca="false">IF($C1403="","",ROW())</f>
        <v/>
      </c>
    </row>
    <row r="1404" customFormat="false" ht="15" hidden="false" customHeight="false" outlineLevel="0" collapsed="false">
      <c r="A1404" s="29" t="str">
        <f aca="false">IF($C1404="","",ROW()-4)</f>
        <v/>
      </c>
      <c r="B1404" s="35" t="str">
        <f aca="false">IF($C1404="","","YS"&amp;TEXT($C1404,"yyyymm")&amp;"-"&amp;TEXT(ROW()-4,"0000"))</f>
        <v/>
      </c>
      <c r="C1404" s="33"/>
      <c r="D1404" s="24"/>
      <c r="E1404" s="30" t="str">
        <f aca="false">IF($D1404="","",IFERROR(INDEX(合同单位,MATCH($D1404,合同键,0)),IFERROR(TRIM(LEFT($D1404,FIND("｜",$D1404)-1)),$D1404)))</f>
        <v/>
      </c>
      <c r="F1404" s="30" t="str">
        <f aca="false">IF($D1404="","",IFERROR(INDEX(合同项目,MATCH($D1404,合同键,0)),IFERROR(TRIM(MID($D1404,FIND("｜",$D1404)+1,99)),"")))</f>
        <v/>
      </c>
      <c r="G1404" s="24"/>
      <c r="H1404" s="35" t="str">
        <f aca="false">IF($G1404="","",IFERROR(INDEX(费用款别,MATCH($G1404,费用类别表,0)),"合同外款"))</f>
        <v/>
      </c>
      <c r="I1404" s="33"/>
      <c r="J1404" s="33"/>
      <c r="K1404" s="39"/>
      <c r="L1404" s="33"/>
      <c r="M1404" s="25"/>
      <c r="N1404" s="39"/>
      <c r="O1404" s="35" t="str">
        <f aca="false">IF($C1404="","",IF(N($N1404)&lt;=0,"未开票",IF(ROUND(N($N1404)-N($K1404),2)&gt;=0,"已开票",IFERROR("部分开票 "&amp;TEXT(N($N1404)/N($K1404),"0%"),"部分开票"))))</f>
        <v/>
      </c>
      <c r="P1404" s="40" t="str">
        <f aca="false">IF($C1404="","",ROUND($V1404+MIN($W1404,MAX(0,(SUMIF(收款键,$D1404,收款金额)-SUMIFS(收款金额,收款键,$D1404,收款关联,"&lt;&gt;"))-($X1404-$W1404))),2))</f>
        <v/>
      </c>
      <c r="Q1404" s="41" t="str">
        <f aca="false">IF($C1404="","",ROUND(N($K1404)-N($P1404),2))</f>
        <v/>
      </c>
      <c r="R1404" s="29" t="str">
        <f aca="false">IF($C1404="","",YEAR($C1404))</f>
        <v/>
      </c>
      <c r="S1404" s="24"/>
      <c r="T1404" s="35" t="str">
        <f aca="false">IF($C1404="","",IF($D1404="","★没选客户项目",IF(COUNTIF(合同键,$D1404)=0,"★《维保合同》里没这个项目",IF(N($K1404)&lt;=0,"★应收金额要填",IF(ROUND(N($N1404)-N($K1404),2)&gt;0.001,"★开票金额大于应收",IF(AND($L1404&lt;&gt;"",N($N1404)&lt;=0),"★填了开票日期没填开票金额",IF(AND($I1404&lt;&gt;"",$J1404&lt;&gt;"",$J1404&lt;$I1404),"★计费期间起止反了","OK")))))))</f>
        <v/>
      </c>
      <c r="U1404" s="29" t="str">
        <f aca="false">IF($L1404="","",YEAR($L1404))</f>
        <v/>
      </c>
      <c r="V1404" s="40" t="str">
        <f aca="false">IF($C1404="","",ROUND(SUMIF(收款关联,$B1404,收款金额),2))</f>
        <v/>
      </c>
      <c r="W1404" s="40" t="str">
        <f aca="false">IF($C1404="","",MAX(0,ROUND(N($K1404)-N($V1404),2)))</f>
        <v/>
      </c>
      <c r="X1404" s="40" t="str">
        <f aca="false">IF($C1404="","",ROUND(SUMIFS(应收净额,应收键,$D1404,应收行号,"&lt;="&amp;ROW()),2))</f>
        <v/>
      </c>
      <c r="Y1404" s="29" t="str">
        <f aca="false">IF($C1404="","",ROW())</f>
        <v/>
      </c>
    </row>
    <row r="1405" customFormat="false" ht="15" hidden="false" customHeight="false" outlineLevel="0" collapsed="false">
      <c r="A1405" s="29" t="str">
        <f aca="false">IF($C1405="","",ROW()-4)</f>
        <v/>
      </c>
      <c r="B1405" s="35" t="str">
        <f aca="false">IF($C1405="","","YS"&amp;TEXT($C1405,"yyyymm")&amp;"-"&amp;TEXT(ROW()-4,"0000"))</f>
        <v/>
      </c>
      <c r="C1405" s="33"/>
      <c r="D1405" s="24"/>
      <c r="E1405" s="30" t="str">
        <f aca="false">IF($D1405="","",IFERROR(INDEX(合同单位,MATCH($D1405,合同键,0)),IFERROR(TRIM(LEFT($D1405,FIND("｜",$D1405)-1)),$D1405)))</f>
        <v/>
      </c>
      <c r="F1405" s="30" t="str">
        <f aca="false">IF($D1405="","",IFERROR(INDEX(合同项目,MATCH($D1405,合同键,0)),IFERROR(TRIM(MID($D1405,FIND("｜",$D1405)+1,99)),"")))</f>
        <v/>
      </c>
      <c r="G1405" s="24"/>
      <c r="H1405" s="35" t="str">
        <f aca="false">IF($G1405="","",IFERROR(INDEX(费用款别,MATCH($G1405,费用类别表,0)),"合同外款"))</f>
        <v/>
      </c>
      <c r="I1405" s="33"/>
      <c r="J1405" s="33"/>
      <c r="K1405" s="39"/>
      <c r="L1405" s="33"/>
      <c r="M1405" s="25"/>
      <c r="N1405" s="39"/>
      <c r="O1405" s="35" t="str">
        <f aca="false">IF($C1405="","",IF(N($N1405)&lt;=0,"未开票",IF(ROUND(N($N1405)-N($K1405),2)&gt;=0,"已开票",IFERROR("部分开票 "&amp;TEXT(N($N1405)/N($K1405),"0%"),"部分开票"))))</f>
        <v/>
      </c>
      <c r="P1405" s="40" t="str">
        <f aca="false">IF($C1405="","",ROUND($V1405+MIN($W1405,MAX(0,(SUMIF(收款键,$D1405,收款金额)-SUMIFS(收款金额,收款键,$D1405,收款关联,"&lt;&gt;"))-($X1405-$W1405))),2))</f>
        <v/>
      </c>
      <c r="Q1405" s="41" t="str">
        <f aca="false">IF($C1405="","",ROUND(N($K1405)-N($P1405),2))</f>
        <v/>
      </c>
      <c r="R1405" s="29" t="str">
        <f aca="false">IF($C1405="","",YEAR($C1405))</f>
        <v/>
      </c>
      <c r="S1405" s="24"/>
      <c r="T1405" s="35" t="str">
        <f aca="false">IF($C1405="","",IF($D1405="","★没选客户项目",IF(COUNTIF(合同键,$D1405)=0,"★《维保合同》里没这个项目",IF(N($K1405)&lt;=0,"★应收金额要填",IF(ROUND(N($N1405)-N($K1405),2)&gt;0.001,"★开票金额大于应收",IF(AND($L1405&lt;&gt;"",N($N1405)&lt;=0),"★填了开票日期没填开票金额",IF(AND($I1405&lt;&gt;"",$J1405&lt;&gt;"",$J1405&lt;$I1405),"★计费期间起止反了","OK")))))))</f>
        <v/>
      </c>
      <c r="U1405" s="29" t="str">
        <f aca="false">IF($L1405="","",YEAR($L1405))</f>
        <v/>
      </c>
      <c r="V1405" s="40" t="str">
        <f aca="false">IF($C1405="","",ROUND(SUMIF(收款关联,$B1405,收款金额),2))</f>
        <v/>
      </c>
      <c r="W1405" s="40" t="str">
        <f aca="false">IF($C1405="","",MAX(0,ROUND(N($K1405)-N($V1405),2)))</f>
        <v/>
      </c>
      <c r="X1405" s="40" t="str">
        <f aca="false">IF($C1405="","",ROUND(SUMIFS(应收净额,应收键,$D1405,应收行号,"&lt;="&amp;ROW()),2))</f>
        <v/>
      </c>
      <c r="Y1405" s="29" t="str">
        <f aca="false">IF($C1405="","",ROW())</f>
        <v/>
      </c>
    </row>
    <row r="1406" customFormat="false" ht="15" hidden="false" customHeight="false" outlineLevel="0" collapsed="false">
      <c r="A1406" s="29" t="str">
        <f aca="false">IF($C1406="","",ROW()-4)</f>
        <v/>
      </c>
      <c r="B1406" s="35" t="str">
        <f aca="false">IF($C1406="","","YS"&amp;TEXT($C1406,"yyyymm")&amp;"-"&amp;TEXT(ROW()-4,"0000"))</f>
        <v/>
      </c>
      <c r="C1406" s="33"/>
      <c r="D1406" s="24"/>
      <c r="E1406" s="30" t="str">
        <f aca="false">IF($D1406="","",IFERROR(INDEX(合同单位,MATCH($D1406,合同键,0)),IFERROR(TRIM(LEFT($D1406,FIND("｜",$D1406)-1)),$D1406)))</f>
        <v/>
      </c>
      <c r="F1406" s="30" t="str">
        <f aca="false">IF($D1406="","",IFERROR(INDEX(合同项目,MATCH($D1406,合同键,0)),IFERROR(TRIM(MID($D1406,FIND("｜",$D1406)+1,99)),"")))</f>
        <v/>
      </c>
      <c r="G1406" s="24"/>
      <c r="H1406" s="35" t="str">
        <f aca="false">IF($G1406="","",IFERROR(INDEX(费用款别,MATCH($G1406,费用类别表,0)),"合同外款"))</f>
        <v/>
      </c>
      <c r="I1406" s="33"/>
      <c r="J1406" s="33"/>
      <c r="K1406" s="39"/>
      <c r="L1406" s="33"/>
      <c r="M1406" s="25"/>
      <c r="N1406" s="39"/>
      <c r="O1406" s="35" t="str">
        <f aca="false">IF($C1406="","",IF(N($N1406)&lt;=0,"未开票",IF(ROUND(N($N1406)-N($K1406),2)&gt;=0,"已开票",IFERROR("部分开票 "&amp;TEXT(N($N1406)/N($K1406),"0%"),"部分开票"))))</f>
        <v/>
      </c>
      <c r="P1406" s="40" t="str">
        <f aca="false">IF($C1406="","",ROUND($V1406+MIN($W1406,MAX(0,(SUMIF(收款键,$D1406,收款金额)-SUMIFS(收款金额,收款键,$D1406,收款关联,"&lt;&gt;"))-($X1406-$W1406))),2))</f>
        <v/>
      </c>
      <c r="Q1406" s="41" t="str">
        <f aca="false">IF($C1406="","",ROUND(N($K1406)-N($P1406),2))</f>
        <v/>
      </c>
      <c r="R1406" s="29" t="str">
        <f aca="false">IF($C1406="","",YEAR($C1406))</f>
        <v/>
      </c>
      <c r="S1406" s="24"/>
      <c r="T1406" s="35" t="str">
        <f aca="false">IF($C1406="","",IF($D1406="","★没选客户项目",IF(COUNTIF(合同键,$D1406)=0,"★《维保合同》里没这个项目",IF(N($K1406)&lt;=0,"★应收金额要填",IF(ROUND(N($N1406)-N($K1406),2)&gt;0.001,"★开票金额大于应收",IF(AND($L1406&lt;&gt;"",N($N1406)&lt;=0),"★填了开票日期没填开票金额",IF(AND($I1406&lt;&gt;"",$J1406&lt;&gt;"",$J1406&lt;$I1406),"★计费期间起止反了","OK")))))))</f>
        <v/>
      </c>
      <c r="U1406" s="29" t="str">
        <f aca="false">IF($L1406="","",YEAR($L1406))</f>
        <v/>
      </c>
      <c r="V1406" s="40" t="str">
        <f aca="false">IF($C1406="","",ROUND(SUMIF(收款关联,$B1406,收款金额),2))</f>
        <v/>
      </c>
      <c r="W1406" s="40" t="str">
        <f aca="false">IF($C1406="","",MAX(0,ROUND(N($K1406)-N($V1406),2)))</f>
        <v/>
      </c>
      <c r="X1406" s="40" t="str">
        <f aca="false">IF($C1406="","",ROUND(SUMIFS(应收净额,应收键,$D1406,应收行号,"&lt;="&amp;ROW()),2))</f>
        <v/>
      </c>
      <c r="Y1406" s="29" t="str">
        <f aca="false">IF($C1406="","",ROW())</f>
        <v/>
      </c>
    </row>
    <row r="1407" customFormat="false" ht="15" hidden="false" customHeight="false" outlineLevel="0" collapsed="false">
      <c r="A1407" s="29" t="str">
        <f aca="false">IF($C1407="","",ROW()-4)</f>
        <v/>
      </c>
      <c r="B1407" s="35" t="str">
        <f aca="false">IF($C1407="","","YS"&amp;TEXT($C1407,"yyyymm")&amp;"-"&amp;TEXT(ROW()-4,"0000"))</f>
        <v/>
      </c>
      <c r="C1407" s="33"/>
      <c r="D1407" s="24"/>
      <c r="E1407" s="30" t="str">
        <f aca="false">IF($D1407="","",IFERROR(INDEX(合同单位,MATCH($D1407,合同键,0)),IFERROR(TRIM(LEFT($D1407,FIND("｜",$D1407)-1)),$D1407)))</f>
        <v/>
      </c>
      <c r="F1407" s="30" t="str">
        <f aca="false">IF($D1407="","",IFERROR(INDEX(合同项目,MATCH($D1407,合同键,0)),IFERROR(TRIM(MID($D1407,FIND("｜",$D1407)+1,99)),"")))</f>
        <v/>
      </c>
      <c r="G1407" s="24"/>
      <c r="H1407" s="35" t="str">
        <f aca="false">IF($G1407="","",IFERROR(INDEX(费用款别,MATCH($G1407,费用类别表,0)),"合同外款"))</f>
        <v/>
      </c>
      <c r="I1407" s="33"/>
      <c r="J1407" s="33"/>
      <c r="K1407" s="39"/>
      <c r="L1407" s="33"/>
      <c r="M1407" s="25"/>
      <c r="N1407" s="39"/>
      <c r="O1407" s="35" t="str">
        <f aca="false">IF($C1407="","",IF(N($N1407)&lt;=0,"未开票",IF(ROUND(N($N1407)-N($K1407),2)&gt;=0,"已开票",IFERROR("部分开票 "&amp;TEXT(N($N1407)/N($K1407),"0%"),"部分开票"))))</f>
        <v/>
      </c>
      <c r="P1407" s="40" t="str">
        <f aca="false">IF($C1407="","",ROUND($V1407+MIN($W1407,MAX(0,(SUMIF(收款键,$D1407,收款金额)-SUMIFS(收款金额,收款键,$D1407,收款关联,"&lt;&gt;"))-($X1407-$W1407))),2))</f>
        <v/>
      </c>
      <c r="Q1407" s="41" t="str">
        <f aca="false">IF($C1407="","",ROUND(N($K1407)-N($P1407),2))</f>
        <v/>
      </c>
      <c r="R1407" s="29" t="str">
        <f aca="false">IF($C1407="","",YEAR($C1407))</f>
        <v/>
      </c>
      <c r="S1407" s="24"/>
      <c r="T1407" s="35" t="str">
        <f aca="false">IF($C1407="","",IF($D1407="","★没选客户项目",IF(COUNTIF(合同键,$D1407)=0,"★《维保合同》里没这个项目",IF(N($K1407)&lt;=0,"★应收金额要填",IF(ROUND(N($N1407)-N($K1407),2)&gt;0.001,"★开票金额大于应收",IF(AND($L1407&lt;&gt;"",N($N1407)&lt;=0),"★填了开票日期没填开票金额",IF(AND($I1407&lt;&gt;"",$J1407&lt;&gt;"",$J1407&lt;$I1407),"★计费期间起止反了","OK")))))))</f>
        <v/>
      </c>
      <c r="U1407" s="29" t="str">
        <f aca="false">IF($L1407="","",YEAR($L1407))</f>
        <v/>
      </c>
      <c r="V1407" s="40" t="str">
        <f aca="false">IF($C1407="","",ROUND(SUMIF(收款关联,$B1407,收款金额),2))</f>
        <v/>
      </c>
      <c r="W1407" s="40" t="str">
        <f aca="false">IF($C1407="","",MAX(0,ROUND(N($K1407)-N($V1407),2)))</f>
        <v/>
      </c>
      <c r="X1407" s="40" t="str">
        <f aca="false">IF($C1407="","",ROUND(SUMIFS(应收净额,应收键,$D1407,应收行号,"&lt;="&amp;ROW()),2))</f>
        <v/>
      </c>
      <c r="Y1407" s="29" t="str">
        <f aca="false">IF($C1407="","",ROW())</f>
        <v/>
      </c>
    </row>
    <row r="1408" customFormat="false" ht="15" hidden="false" customHeight="false" outlineLevel="0" collapsed="false">
      <c r="A1408" s="29" t="str">
        <f aca="false">IF($C1408="","",ROW()-4)</f>
        <v/>
      </c>
      <c r="B1408" s="35" t="str">
        <f aca="false">IF($C1408="","","YS"&amp;TEXT($C1408,"yyyymm")&amp;"-"&amp;TEXT(ROW()-4,"0000"))</f>
        <v/>
      </c>
      <c r="C1408" s="33"/>
      <c r="D1408" s="24"/>
      <c r="E1408" s="30" t="str">
        <f aca="false">IF($D1408="","",IFERROR(INDEX(合同单位,MATCH($D1408,合同键,0)),IFERROR(TRIM(LEFT($D1408,FIND("｜",$D1408)-1)),$D1408)))</f>
        <v/>
      </c>
      <c r="F1408" s="30" t="str">
        <f aca="false">IF($D1408="","",IFERROR(INDEX(合同项目,MATCH($D1408,合同键,0)),IFERROR(TRIM(MID($D1408,FIND("｜",$D1408)+1,99)),"")))</f>
        <v/>
      </c>
      <c r="G1408" s="24"/>
      <c r="H1408" s="35" t="str">
        <f aca="false">IF($G1408="","",IFERROR(INDEX(费用款别,MATCH($G1408,费用类别表,0)),"合同外款"))</f>
        <v/>
      </c>
      <c r="I1408" s="33"/>
      <c r="J1408" s="33"/>
      <c r="K1408" s="39"/>
      <c r="L1408" s="33"/>
      <c r="M1408" s="25"/>
      <c r="N1408" s="39"/>
      <c r="O1408" s="35" t="str">
        <f aca="false">IF($C1408="","",IF(N($N1408)&lt;=0,"未开票",IF(ROUND(N($N1408)-N($K1408),2)&gt;=0,"已开票",IFERROR("部分开票 "&amp;TEXT(N($N1408)/N($K1408),"0%"),"部分开票"))))</f>
        <v/>
      </c>
      <c r="P1408" s="40" t="str">
        <f aca="false">IF($C1408="","",ROUND($V1408+MIN($W1408,MAX(0,(SUMIF(收款键,$D1408,收款金额)-SUMIFS(收款金额,收款键,$D1408,收款关联,"&lt;&gt;"))-($X1408-$W1408))),2))</f>
        <v/>
      </c>
      <c r="Q1408" s="41" t="str">
        <f aca="false">IF($C1408="","",ROUND(N($K1408)-N($P1408),2))</f>
        <v/>
      </c>
      <c r="R1408" s="29" t="str">
        <f aca="false">IF($C1408="","",YEAR($C1408))</f>
        <v/>
      </c>
      <c r="S1408" s="24"/>
      <c r="T1408" s="35" t="str">
        <f aca="false">IF($C1408="","",IF($D1408="","★没选客户项目",IF(COUNTIF(合同键,$D1408)=0,"★《维保合同》里没这个项目",IF(N($K1408)&lt;=0,"★应收金额要填",IF(ROUND(N($N1408)-N($K1408),2)&gt;0.001,"★开票金额大于应收",IF(AND($L1408&lt;&gt;"",N($N1408)&lt;=0),"★填了开票日期没填开票金额",IF(AND($I1408&lt;&gt;"",$J1408&lt;&gt;"",$J1408&lt;$I1408),"★计费期间起止反了","OK")))))))</f>
        <v/>
      </c>
      <c r="U1408" s="29" t="str">
        <f aca="false">IF($L1408="","",YEAR($L1408))</f>
        <v/>
      </c>
      <c r="V1408" s="40" t="str">
        <f aca="false">IF($C1408="","",ROUND(SUMIF(收款关联,$B1408,收款金额),2))</f>
        <v/>
      </c>
      <c r="W1408" s="40" t="str">
        <f aca="false">IF($C1408="","",MAX(0,ROUND(N($K1408)-N($V1408),2)))</f>
        <v/>
      </c>
      <c r="X1408" s="40" t="str">
        <f aca="false">IF($C1408="","",ROUND(SUMIFS(应收净额,应收键,$D1408,应收行号,"&lt;="&amp;ROW()),2))</f>
        <v/>
      </c>
      <c r="Y1408" s="29" t="str">
        <f aca="false">IF($C1408="","",ROW())</f>
        <v/>
      </c>
    </row>
    <row r="1409" customFormat="false" ht="15" hidden="false" customHeight="false" outlineLevel="0" collapsed="false">
      <c r="A1409" s="29" t="str">
        <f aca="false">IF($C1409="","",ROW()-4)</f>
        <v/>
      </c>
      <c r="B1409" s="35" t="str">
        <f aca="false">IF($C1409="","","YS"&amp;TEXT($C1409,"yyyymm")&amp;"-"&amp;TEXT(ROW()-4,"0000"))</f>
        <v/>
      </c>
      <c r="C1409" s="33"/>
      <c r="D1409" s="24"/>
      <c r="E1409" s="30" t="str">
        <f aca="false">IF($D1409="","",IFERROR(INDEX(合同单位,MATCH($D1409,合同键,0)),IFERROR(TRIM(LEFT($D1409,FIND("｜",$D1409)-1)),$D1409)))</f>
        <v/>
      </c>
      <c r="F1409" s="30" t="str">
        <f aca="false">IF($D1409="","",IFERROR(INDEX(合同项目,MATCH($D1409,合同键,0)),IFERROR(TRIM(MID($D1409,FIND("｜",$D1409)+1,99)),"")))</f>
        <v/>
      </c>
      <c r="G1409" s="24"/>
      <c r="H1409" s="35" t="str">
        <f aca="false">IF($G1409="","",IFERROR(INDEX(费用款别,MATCH($G1409,费用类别表,0)),"合同外款"))</f>
        <v/>
      </c>
      <c r="I1409" s="33"/>
      <c r="J1409" s="33"/>
      <c r="K1409" s="39"/>
      <c r="L1409" s="33"/>
      <c r="M1409" s="25"/>
      <c r="N1409" s="39"/>
      <c r="O1409" s="35" t="str">
        <f aca="false">IF($C1409="","",IF(N($N1409)&lt;=0,"未开票",IF(ROUND(N($N1409)-N($K1409),2)&gt;=0,"已开票",IFERROR("部分开票 "&amp;TEXT(N($N1409)/N($K1409),"0%"),"部分开票"))))</f>
        <v/>
      </c>
      <c r="P1409" s="40" t="str">
        <f aca="false">IF($C1409="","",ROUND($V1409+MIN($W1409,MAX(0,(SUMIF(收款键,$D1409,收款金额)-SUMIFS(收款金额,收款键,$D1409,收款关联,"&lt;&gt;"))-($X1409-$W1409))),2))</f>
        <v/>
      </c>
      <c r="Q1409" s="41" t="str">
        <f aca="false">IF($C1409="","",ROUND(N($K1409)-N($P1409),2))</f>
        <v/>
      </c>
      <c r="R1409" s="29" t="str">
        <f aca="false">IF($C1409="","",YEAR($C1409))</f>
        <v/>
      </c>
      <c r="S1409" s="24"/>
      <c r="T1409" s="35" t="str">
        <f aca="false">IF($C1409="","",IF($D1409="","★没选客户项目",IF(COUNTIF(合同键,$D1409)=0,"★《维保合同》里没这个项目",IF(N($K1409)&lt;=0,"★应收金额要填",IF(ROUND(N($N1409)-N($K1409),2)&gt;0.001,"★开票金额大于应收",IF(AND($L1409&lt;&gt;"",N($N1409)&lt;=0),"★填了开票日期没填开票金额",IF(AND($I1409&lt;&gt;"",$J1409&lt;&gt;"",$J1409&lt;$I1409),"★计费期间起止反了","OK")))))))</f>
        <v/>
      </c>
      <c r="U1409" s="29" t="str">
        <f aca="false">IF($L1409="","",YEAR($L1409))</f>
        <v/>
      </c>
      <c r="V1409" s="40" t="str">
        <f aca="false">IF($C1409="","",ROUND(SUMIF(收款关联,$B1409,收款金额),2))</f>
        <v/>
      </c>
      <c r="W1409" s="40" t="str">
        <f aca="false">IF($C1409="","",MAX(0,ROUND(N($K1409)-N($V1409),2)))</f>
        <v/>
      </c>
      <c r="X1409" s="40" t="str">
        <f aca="false">IF($C1409="","",ROUND(SUMIFS(应收净额,应收键,$D1409,应收行号,"&lt;="&amp;ROW()),2))</f>
        <v/>
      </c>
      <c r="Y1409" s="29" t="str">
        <f aca="false">IF($C1409="","",ROW())</f>
        <v/>
      </c>
    </row>
    <row r="1410" customFormat="false" ht="15" hidden="false" customHeight="false" outlineLevel="0" collapsed="false">
      <c r="A1410" s="29" t="str">
        <f aca="false">IF($C1410="","",ROW()-4)</f>
        <v/>
      </c>
      <c r="B1410" s="35" t="str">
        <f aca="false">IF($C1410="","","YS"&amp;TEXT($C1410,"yyyymm")&amp;"-"&amp;TEXT(ROW()-4,"0000"))</f>
        <v/>
      </c>
      <c r="C1410" s="33"/>
      <c r="D1410" s="24"/>
      <c r="E1410" s="30" t="str">
        <f aca="false">IF($D1410="","",IFERROR(INDEX(合同单位,MATCH($D1410,合同键,0)),IFERROR(TRIM(LEFT($D1410,FIND("｜",$D1410)-1)),$D1410)))</f>
        <v/>
      </c>
      <c r="F1410" s="30" t="str">
        <f aca="false">IF($D1410="","",IFERROR(INDEX(合同项目,MATCH($D1410,合同键,0)),IFERROR(TRIM(MID($D1410,FIND("｜",$D1410)+1,99)),"")))</f>
        <v/>
      </c>
      <c r="G1410" s="24"/>
      <c r="H1410" s="35" t="str">
        <f aca="false">IF($G1410="","",IFERROR(INDEX(费用款别,MATCH($G1410,费用类别表,0)),"合同外款"))</f>
        <v/>
      </c>
      <c r="I1410" s="33"/>
      <c r="J1410" s="33"/>
      <c r="K1410" s="39"/>
      <c r="L1410" s="33"/>
      <c r="M1410" s="25"/>
      <c r="N1410" s="39"/>
      <c r="O1410" s="35" t="str">
        <f aca="false">IF($C1410="","",IF(N($N1410)&lt;=0,"未开票",IF(ROUND(N($N1410)-N($K1410),2)&gt;=0,"已开票",IFERROR("部分开票 "&amp;TEXT(N($N1410)/N($K1410),"0%"),"部分开票"))))</f>
        <v/>
      </c>
      <c r="P1410" s="40" t="str">
        <f aca="false">IF($C1410="","",ROUND($V1410+MIN($W1410,MAX(0,(SUMIF(收款键,$D1410,收款金额)-SUMIFS(收款金额,收款键,$D1410,收款关联,"&lt;&gt;"))-($X1410-$W1410))),2))</f>
        <v/>
      </c>
      <c r="Q1410" s="41" t="str">
        <f aca="false">IF($C1410="","",ROUND(N($K1410)-N($P1410),2))</f>
        <v/>
      </c>
      <c r="R1410" s="29" t="str">
        <f aca="false">IF($C1410="","",YEAR($C1410))</f>
        <v/>
      </c>
      <c r="S1410" s="24"/>
      <c r="T1410" s="35" t="str">
        <f aca="false">IF($C1410="","",IF($D1410="","★没选客户项目",IF(COUNTIF(合同键,$D1410)=0,"★《维保合同》里没这个项目",IF(N($K1410)&lt;=0,"★应收金额要填",IF(ROUND(N($N1410)-N($K1410),2)&gt;0.001,"★开票金额大于应收",IF(AND($L1410&lt;&gt;"",N($N1410)&lt;=0),"★填了开票日期没填开票金额",IF(AND($I1410&lt;&gt;"",$J1410&lt;&gt;"",$J1410&lt;$I1410),"★计费期间起止反了","OK")))))))</f>
        <v/>
      </c>
      <c r="U1410" s="29" t="str">
        <f aca="false">IF($L1410="","",YEAR($L1410))</f>
        <v/>
      </c>
      <c r="V1410" s="40" t="str">
        <f aca="false">IF($C1410="","",ROUND(SUMIF(收款关联,$B1410,收款金额),2))</f>
        <v/>
      </c>
      <c r="W1410" s="40" t="str">
        <f aca="false">IF($C1410="","",MAX(0,ROUND(N($K1410)-N($V1410),2)))</f>
        <v/>
      </c>
      <c r="X1410" s="40" t="str">
        <f aca="false">IF($C1410="","",ROUND(SUMIFS(应收净额,应收键,$D1410,应收行号,"&lt;="&amp;ROW()),2))</f>
        <v/>
      </c>
      <c r="Y1410" s="29" t="str">
        <f aca="false">IF($C1410="","",ROW())</f>
        <v/>
      </c>
    </row>
    <row r="1411" customFormat="false" ht="15" hidden="false" customHeight="false" outlineLevel="0" collapsed="false">
      <c r="A1411" s="29" t="str">
        <f aca="false">IF($C1411="","",ROW()-4)</f>
        <v/>
      </c>
      <c r="B1411" s="35" t="str">
        <f aca="false">IF($C1411="","","YS"&amp;TEXT($C1411,"yyyymm")&amp;"-"&amp;TEXT(ROW()-4,"0000"))</f>
        <v/>
      </c>
      <c r="C1411" s="33"/>
      <c r="D1411" s="24"/>
      <c r="E1411" s="30" t="str">
        <f aca="false">IF($D1411="","",IFERROR(INDEX(合同单位,MATCH($D1411,合同键,0)),IFERROR(TRIM(LEFT($D1411,FIND("｜",$D1411)-1)),$D1411)))</f>
        <v/>
      </c>
      <c r="F1411" s="30" t="str">
        <f aca="false">IF($D1411="","",IFERROR(INDEX(合同项目,MATCH($D1411,合同键,0)),IFERROR(TRIM(MID($D1411,FIND("｜",$D1411)+1,99)),"")))</f>
        <v/>
      </c>
      <c r="G1411" s="24"/>
      <c r="H1411" s="35" t="str">
        <f aca="false">IF($G1411="","",IFERROR(INDEX(费用款别,MATCH($G1411,费用类别表,0)),"合同外款"))</f>
        <v/>
      </c>
      <c r="I1411" s="33"/>
      <c r="J1411" s="33"/>
      <c r="K1411" s="39"/>
      <c r="L1411" s="33"/>
      <c r="M1411" s="25"/>
      <c r="N1411" s="39"/>
      <c r="O1411" s="35" t="str">
        <f aca="false">IF($C1411="","",IF(N($N1411)&lt;=0,"未开票",IF(ROUND(N($N1411)-N($K1411),2)&gt;=0,"已开票",IFERROR("部分开票 "&amp;TEXT(N($N1411)/N($K1411),"0%"),"部分开票"))))</f>
        <v/>
      </c>
      <c r="P1411" s="40" t="str">
        <f aca="false">IF($C1411="","",ROUND($V1411+MIN($W1411,MAX(0,(SUMIF(收款键,$D1411,收款金额)-SUMIFS(收款金额,收款键,$D1411,收款关联,"&lt;&gt;"))-($X1411-$W1411))),2))</f>
        <v/>
      </c>
      <c r="Q1411" s="41" t="str">
        <f aca="false">IF($C1411="","",ROUND(N($K1411)-N($P1411),2))</f>
        <v/>
      </c>
      <c r="R1411" s="29" t="str">
        <f aca="false">IF($C1411="","",YEAR($C1411))</f>
        <v/>
      </c>
      <c r="S1411" s="24"/>
      <c r="T1411" s="35" t="str">
        <f aca="false">IF($C1411="","",IF($D1411="","★没选客户项目",IF(COUNTIF(合同键,$D1411)=0,"★《维保合同》里没这个项目",IF(N($K1411)&lt;=0,"★应收金额要填",IF(ROUND(N($N1411)-N($K1411),2)&gt;0.001,"★开票金额大于应收",IF(AND($L1411&lt;&gt;"",N($N1411)&lt;=0),"★填了开票日期没填开票金额",IF(AND($I1411&lt;&gt;"",$J1411&lt;&gt;"",$J1411&lt;$I1411),"★计费期间起止反了","OK")))))))</f>
        <v/>
      </c>
      <c r="U1411" s="29" t="str">
        <f aca="false">IF($L1411="","",YEAR($L1411))</f>
        <v/>
      </c>
      <c r="V1411" s="40" t="str">
        <f aca="false">IF($C1411="","",ROUND(SUMIF(收款关联,$B1411,收款金额),2))</f>
        <v/>
      </c>
      <c r="W1411" s="40" t="str">
        <f aca="false">IF($C1411="","",MAX(0,ROUND(N($K1411)-N($V1411),2)))</f>
        <v/>
      </c>
      <c r="X1411" s="40" t="str">
        <f aca="false">IF($C1411="","",ROUND(SUMIFS(应收净额,应收键,$D1411,应收行号,"&lt;="&amp;ROW()),2))</f>
        <v/>
      </c>
      <c r="Y1411" s="29" t="str">
        <f aca="false">IF($C1411="","",ROW())</f>
        <v/>
      </c>
    </row>
    <row r="1412" customFormat="false" ht="15" hidden="false" customHeight="false" outlineLevel="0" collapsed="false">
      <c r="A1412" s="29" t="str">
        <f aca="false">IF($C1412="","",ROW()-4)</f>
        <v/>
      </c>
      <c r="B1412" s="35" t="str">
        <f aca="false">IF($C1412="","","YS"&amp;TEXT($C1412,"yyyymm")&amp;"-"&amp;TEXT(ROW()-4,"0000"))</f>
        <v/>
      </c>
      <c r="C1412" s="33"/>
      <c r="D1412" s="24"/>
      <c r="E1412" s="30" t="str">
        <f aca="false">IF($D1412="","",IFERROR(INDEX(合同单位,MATCH($D1412,合同键,0)),IFERROR(TRIM(LEFT($D1412,FIND("｜",$D1412)-1)),$D1412)))</f>
        <v/>
      </c>
      <c r="F1412" s="30" t="str">
        <f aca="false">IF($D1412="","",IFERROR(INDEX(合同项目,MATCH($D1412,合同键,0)),IFERROR(TRIM(MID($D1412,FIND("｜",$D1412)+1,99)),"")))</f>
        <v/>
      </c>
      <c r="G1412" s="24"/>
      <c r="H1412" s="35" t="str">
        <f aca="false">IF($G1412="","",IFERROR(INDEX(费用款别,MATCH($G1412,费用类别表,0)),"合同外款"))</f>
        <v/>
      </c>
      <c r="I1412" s="33"/>
      <c r="J1412" s="33"/>
      <c r="K1412" s="39"/>
      <c r="L1412" s="33"/>
      <c r="M1412" s="25"/>
      <c r="N1412" s="39"/>
      <c r="O1412" s="35" t="str">
        <f aca="false">IF($C1412="","",IF(N($N1412)&lt;=0,"未开票",IF(ROUND(N($N1412)-N($K1412),2)&gt;=0,"已开票",IFERROR("部分开票 "&amp;TEXT(N($N1412)/N($K1412),"0%"),"部分开票"))))</f>
        <v/>
      </c>
      <c r="P1412" s="40" t="str">
        <f aca="false">IF($C1412="","",ROUND($V1412+MIN($W1412,MAX(0,(SUMIF(收款键,$D1412,收款金额)-SUMIFS(收款金额,收款键,$D1412,收款关联,"&lt;&gt;"))-($X1412-$W1412))),2))</f>
        <v/>
      </c>
      <c r="Q1412" s="41" t="str">
        <f aca="false">IF($C1412="","",ROUND(N($K1412)-N($P1412),2))</f>
        <v/>
      </c>
      <c r="R1412" s="29" t="str">
        <f aca="false">IF($C1412="","",YEAR($C1412))</f>
        <v/>
      </c>
      <c r="S1412" s="24"/>
      <c r="T1412" s="35" t="str">
        <f aca="false">IF($C1412="","",IF($D1412="","★没选客户项目",IF(COUNTIF(合同键,$D1412)=0,"★《维保合同》里没这个项目",IF(N($K1412)&lt;=0,"★应收金额要填",IF(ROUND(N($N1412)-N($K1412),2)&gt;0.001,"★开票金额大于应收",IF(AND($L1412&lt;&gt;"",N($N1412)&lt;=0),"★填了开票日期没填开票金额",IF(AND($I1412&lt;&gt;"",$J1412&lt;&gt;"",$J1412&lt;$I1412),"★计费期间起止反了","OK")))))))</f>
        <v/>
      </c>
      <c r="U1412" s="29" t="str">
        <f aca="false">IF($L1412="","",YEAR($L1412))</f>
        <v/>
      </c>
      <c r="V1412" s="40" t="str">
        <f aca="false">IF($C1412="","",ROUND(SUMIF(收款关联,$B1412,收款金额),2))</f>
        <v/>
      </c>
      <c r="W1412" s="40" t="str">
        <f aca="false">IF($C1412="","",MAX(0,ROUND(N($K1412)-N($V1412),2)))</f>
        <v/>
      </c>
      <c r="X1412" s="40" t="str">
        <f aca="false">IF($C1412="","",ROUND(SUMIFS(应收净额,应收键,$D1412,应收行号,"&lt;="&amp;ROW()),2))</f>
        <v/>
      </c>
      <c r="Y1412" s="29" t="str">
        <f aca="false">IF($C1412="","",ROW())</f>
        <v/>
      </c>
    </row>
    <row r="1413" customFormat="false" ht="15" hidden="false" customHeight="false" outlineLevel="0" collapsed="false">
      <c r="A1413" s="29" t="str">
        <f aca="false">IF($C1413="","",ROW()-4)</f>
        <v/>
      </c>
      <c r="B1413" s="35" t="str">
        <f aca="false">IF($C1413="","","YS"&amp;TEXT($C1413,"yyyymm")&amp;"-"&amp;TEXT(ROW()-4,"0000"))</f>
        <v/>
      </c>
      <c r="C1413" s="33"/>
      <c r="D1413" s="24"/>
      <c r="E1413" s="30" t="str">
        <f aca="false">IF($D1413="","",IFERROR(INDEX(合同单位,MATCH($D1413,合同键,0)),IFERROR(TRIM(LEFT($D1413,FIND("｜",$D1413)-1)),$D1413)))</f>
        <v/>
      </c>
      <c r="F1413" s="30" t="str">
        <f aca="false">IF($D1413="","",IFERROR(INDEX(合同项目,MATCH($D1413,合同键,0)),IFERROR(TRIM(MID($D1413,FIND("｜",$D1413)+1,99)),"")))</f>
        <v/>
      </c>
      <c r="G1413" s="24"/>
      <c r="H1413" s="35" t="str">
        <f aca="false">IF($G1413="","",IFERROR(INDEX(费用款别,MATCH($G1413,费用类别表,0)),"合同外款"))</f>
        <v/>
      </c>
      <c r="I1413" s="33"/>
      <c r="J1413" s="33"/>
      <c r="K1413" s="39"/>
      <c r="L1413" s="33"/>
      <c r="M1413" s="25"/>
      <c r="N1413" s="39"/>
      <c r="O1413" s="35" t="str">
        <f aca="false">IF($C1413="","",IF(N($N1413)&lt;=0,"未开票",IF(ROUND(N($N1413)-N($K1413),2)&gt;=0,"已开票",IFERROR("部分开票 "&amp;TEXT(N($N1413)/N($K1413),"0%"),"部分开票"))))</f>
        <v/>
      </c>
      <c r="P1413" s="40" t="str">
        <f aca="false">IF($C1413="","",ROUND($V1413+MIN($W1413,MAX(0,(SUMIF(收款键,$D1413,收款金额)-SUMIFS(收款金额,收款键,$D1413,收款关联,"&lt;&gt;"))-($X1413-$W1413))),2))</f>
        <v/>
      </c>
      <c r="Q1413" s="41" t="str">
        <f aca="false">IF($C1413="","",ROUND(N($K1413)-N($P1413),2))</f>
        <v/>
      </c>
      <c r="R1413" s="29" t="str">
        <f aca="false">IF($C1413="","",YEAR($C1413))</f>
        <v/>
      </c>
      <c r="S1413" s="24"/>
      <c r="T1413" s="35" t="str">
        <f aca="false">IF($C1413="","",IF($D1413="","★没选客户项目",IF(COUNTIF(合同键,$D1413)=0,"★《维保合同》里没这个项目",IF(N($K1413)&lt;=0,"★应收金额要填",IF(ROUND(N($N1413)-N($K1413),2)&gt;0.001,"★开票金额大于应收",IF(AND($L1413&lt;&gt;"",N($N1413)&lt;=0),"★填了开票日期没填开票金额",IF(AND($I1413&lt;&gt;"",$J1413&lt;&gt;"",$J1413&lt;$I1413),"★计费期间起止反了","OK")))))))</f>
        <v/>
      </c>
      <c r="U1413" s="29" t="str">
        <f aca="false">IF($L1413="","",YEAR($L1413))</f>
        <v/>
      </c>
      <c r="V1413" s="40" t="str">
        <f aca="false">IF($C1413="","",ROUND(SUMIF(收款关联,$B1413,收款金额),2))</f>
        <v/>
      </c>
      <c r="W1413" s="40" t="str">
        <f aca="false">IF($C1413="","",MAX(0,ROUND(N($K1413)-N($V1413),2)))</f>
        <v/>
      </c>
      <c r="X1413" s="40" t="str">
        <f aca="false">IF($C1413="","",ROUND(SUMIFS(应收净额,应收键,$D1413,应收行号,"&lt;="&amp;ROW()),2))</f>
        <v/>
      </c>
      <c r="Y1413" s="29" t="str">
        <f aca="false">IF($C1413="","",ROW())</f>
        <v/>
      </c>
    </row>
    <row r="1414" customFormat="false" ht="15" hidden="false" customHeight="false" outlineLevel="0" collapsed="false">
      <c r="A1414" s="29" t="str">
        <f aca="false">IF($C1414="","",ROW()-4)</f>
        <v/>
      </c>
      <c r="B1414" s="35" t="str">
        <f aca="false">IF($C1414="","","YS"&amp;TEXT($C1414,"yyyymm")&amp;"-"&amp;TEXT(ROW()-4,"0000"))</f>
        <v/>
      </c>
      <c r="C1414" s="33"/>
      <c r="D1414" s="24"/>
      <c r="E1414" s="30" t="str">
        <f aca="false">IF($D1414="","",IFERROR(INDEX(合同单位,MATCH($D1414,合同键,0)),IFERROR(TRIM(LEFT($D1414,FIND("｜",$D1414)-1)),$D1414)))</f>
        <v/>
      </c>
      <c r="F1414" s="30" t="str">
        <f aca="false">IF($D1414="","",IFERROR(INDEX(合同项目,MATCH($D1414,合同键,0)),IFERROR(TRIM(MID($D1414,FIND("｜",$D1414)+1,99)),"")))</f>
        <v/>
      </c>
      <c r="G1414" s="24"/>
      <c r="H1414" s="35" t="str">
        <f aca="false">IF($G1414="","",IFERROR(INDEX(费用款别,MATCH($G1414,费用类别表,0)),"合同外款"))</f>
        <v/>
      </c>
      <c r="I1414" s="33"/>
      <c r="J1414" s="33"/>
      <c r="K1414" s="39"/>
      <c r="L1414" s="33"/>
      <c r="M1414" s="25"/>
      <c r="N1414" s="39"/>
      <c r="O1414" s="35" t="str">
        <f aca="false">IF($C1414="","",IF(N($N1414)&lt;=0,"未开票",IF(ROUND(N($N1414)-N($K1414),2)&gt;=0,"已开票",IFERROR("部分开票 "&amp;TEXT(N($N1414)/N($K1414),"0%"),"部分开票"))))</f>
        <v/>
      </c>
      <c r="P1414" s="40" t="str">
        <f aca="false">IF($C1414="","",ROUND($V1414+MIN($W1414,MAX(0,(SUMIF(收款键,$D1414,收款金额)-SUMIFS(收款金额,收款键,$D1414,收款关联,"&lt;&gt;"))-($X1414-$W1414))),2))</f>
        <v/>
      </c>
      <c r="Q1414" s="41" t="str">
        <f aca="false">IF($C1414="","",ROUND(N($K1414)-N($P1414),2))</f>
        <v/>
      </c>
      <c r="R1414" s="29" t="str">
        <f aca="false">IF($C1414="","",YEAR($C1414))</f>
        <v/>
      </c>
      <c r="S1414" s="24"/>
      <c r="T1414" s="35" t="str">
        <f aca="false">IF($C1414="","",IF($D1414="","★没选客户项目",IF(COUNTIF(合同键,$D1414)=0,"★《维保合同》里没这个项目",IF(N($K1414)&lt;=0,"★应收金额要填",IF(ROUND(N($N1414)-N($K1414),2)&gt;0.001,"★开票金额大于应收",IF(AND($L1414&lt;&gt;"",N($N1414)&lt;=0),"★填了开票日期没填开票金额",IF(AND($I1414&lt;&gt;"",$J1414&lt;&gt;"",$J1414&lt;$I1414),"★计费期间起止反了","OK")))))))</f>
        <v/>
      </c>
      <c r="U1414" s="29" t="str">
        <f aca="false">IF($L1414="","",YEAR($L1414))</f>
        <v/>
      </c>
      <c r="V1414" s="40" t="str">
        <f aca="false">IF($C1414="","",ROUND(SUMIF(收款关联,$B1414,收款金额),2))</f>
        <v/>
      </c>
      <c r="W1414" s="40" t="str">
        <f aca="false">IF($C1414="","",MAX(0,ROUND(N($K1414)-N($V1414),2)))</f>
        <v/>
      </c>
      <c r="X1414" s="40" t="str">
        <f aca="false">IF($C1414="","",ROUND(SUMIFS(应收净额,应收键,$D1414,应收行号,"&lt;="&amp;ROW()),2))</f>
        <v/>
      </c>
      <c r="Y1414" s="29" t="str">
        <f aca="false">IF($C1414="","",ROW())</f>
        <v/>
      </c>
    </row>
    <row r="1415" customFormat="false" ht="15" hidden="false" customHeight="false" outlineLevel="0" collapsed="false">
      <c r="A1415" s="29" t="str">
        <f aca="false">IF($C1415="","",ROW()-4)</f>
        <v/>
      </c>
      <c r="B1415" s="35" t="str">
        <f aca="false">IF($C1415="","","YS"&amp;TEXT($C1415,"yyyymm")&amp;"-"&amp;TEXT(ROW()-4,"0000"))</f>
        <v/>
      </c>
      <c r="C1415" s="33"/>
      <c r="D1415" s="24"/>
      <c r="E1415" s="30" t="str">
        <f aca="false">IF($D1415="","",IFERROR(INDEX(合同单位,MATCH($D1415,合同键,0)),IFERROR(TRIM(LEFT($D1415,FIND("｜",$D1415)-1)),$D1415)))</f>
        <v/>
      </c>
      <c r="F1415" s="30" t="str">
        <f aca="false">IF($D1415="","",IFERROR(INDEX(合同项目,MATCH($D1415,合同键,0)),IFERROR(TRIM(MID($D1415,FIND("｜",$D1415)+1,99)),"")))</f>
        <v/>
      </c>
      <c r="G1415" s="24"/>
      <c r="H1415" s="35" t="str">
        <f aca="false">IF($G1415="","",IFERROR(INDEX(费用款别,MATCH($G1415,费用类别表,0)),"合同外款"))</f>
        <v/>
      </c>
      <c r="I1415" s="33"/>
      <c r="J1415" s="33"/>
      <c r="K1415" s="39"/>
      <c r="L1415" s="33"/>
      <c r="M1415" s="25"/>
      <c r="N1415" s="39"/>
      <c r="O1415" s="35" t="str">
        <f aca="false">IF($C1415="","",IF(N($N1415)&lt;=0,"未开票",IF(ROUND(N($N1415)-N($K1415),2)&gt;=0,"已开票",IFERROR("部分开票 "&amp;TEXT(N($N1415)/N($K1415),"0%"),"部分开票"))))</f>
        <v/>
      </c>
      <c r="P1415" s="40" t="str">
        <f aca="false">IF($C1415="","",ROUND($V1415+MIN($W1415,MAX(0,(SUMIF(收款键,$D1415,收款金额)-SUMIFS(收款金额,收款键,$D1415,收款关联,"&lt;&gt;"))-($X1415-$W1415))),2))</f>
        <v/>
      </c>
      <c r="Q1415" s="41" t="str">
        <f aca="false">IF($C1415="","",ROUND(N($K1415)-N($P1415),2))</f>
        <v/>
      </c>
      <c r="R1415" s="29" t="str">
        <f aca="false">IF($C1415="","",YEAR($C1415))</f>
        <v/>
      </c>
      <c r="S1415" s="24"/>
      <c r="T1415" s="35" t="str">
        <f aca="false">IF($C1415="","",IF($D1415="","★没选客户项目",IF(COUNTIF(合同键,$D1415)=0,"★《维保合同》里没这个项目",IF(N($K1415)&lt;=0,"★应收金额要填",IF(ROUND(N($N1415)-N($K1415),2)&gt;0.001,"★开票金额大于应收",IF(AND($L1415&lt;&gt;"",N($N1415)&lt;=0),"★填了开票日期没填开票金额",IF(AND($I1415&lt;&gt;"",$J1415&lt;&gt;"",$J1415&lt;$I1415),"★计费期间起止反了","OK")))))))</f>
        <v/>
      </c>
      <c r="U1415" s="29" t="str">
        <f aca="false">IF($L1415="","",YEAR($L1415))</f>
        <v/>
      </c>
      <c r="V1415" s="40" t="str">
        <f aca="false">IF($C1415="","",ROUND(SUMIF(收款关联,$B1415,收款金额),2))</f>
        <v/>
      </c>
      <c r="W1415" s="40" t="str">
        <f aca="false">IF($C1415="","",MAX(0,ROUND(N($K1415)-N($V1415),2)))</f>
        <v/>
      </c>
      <c r="X1415" s="40" t="str">
        <f aca="false">IF($C1415="","",ROUND(SUMIFS(应收净额,应收键,$D1415,应收行号,"&lt;="&amp;ROW()),2))</f>
        <v/>
      </c>
      <c r="Y1415" s="29" t="str">
        <f aca="false">IF($C1415="","",ROW())</f>
        <v/>
      </c>
    </row>
    <row r="1416" customFormat="false" ht="15" hidden="false" customHeight="false" outlineLevel="0" collapsed="false">
      <c r="A1416" s="29" t="str">
        <f aca="false">IF($C1416="","",ROW()-4)</f>
        <v/>
      </c>
      <c r="B1416" s="35" t="str">
        <f aca="false">IF($C1416="","","YS"&amp;TEXT($C1416,"yyyymm")&amp;"-"&amp;TEXT(ROW()-4,"0000"))</f>
        <v/>
      </c>
      <c r="C1416" s="33"/>
      <c r="D1416" s="24"/>
      <c r="E1416" s="30" t="str">
        <f aca="false">IF($D1416="","",IFERROR(INDEX(合同单位,MATCH($D1416,合同键,0)),IFERROR(TRIM(LEFT($D1416,FIND("｜",$D1416)-1)),$D1416)))</f>
        <v/>
      </c>
      <c r="F1416" s="30" t="str">
        <f aca="false">IF($D1416="","",IFERROR(INDEX(合同项目,MATCH($D1416,合同键,0)),IFERROR(TRIM(MID($D1416,FIND("｜",$D1416)+1,99)),"")))</f>
        <v/>
      </c>
      <c r="G1416" s="24"/>
      <c r="H1416" s="35" t="str">
        <f aca="false">IF($G1416="","",IFERROR(INDEX(费用款别,MATCH($G1416,费用类别表,0)),"合同外款"))</f>
        <v/>
      </c>
      <c r="I1416" s="33"/>
      <c r="J1416" s="33"/>
      <c r="K1416" s="39"/>
      <c r="L1416" s="33"/>
      <c r="M1416" s="25"/>
      <c r="N1416" s="39"/>
      <c r="O1416" s="35" t="str">
        <f aca="false">IF($C1416="","",IF(N($N1416)&lt;=0,"未开票",IF(ROUND(N($N1416)-N($K1416),2)&gt;=0,"已开票",IFERROR("部分开票 "&amp;TEXT(N($N1416)/N($K1416),"0%"),"部分开票"))))</f>
        <v/>
      </c>
      <c r="P1416" s="40" t="str">
        <f aca="false">IF($C1416="","",ROUND($V1416+MIN($W1416,MAX(0,(SUMIF(收款键,$D1416,收款金额)-SUMIFS(收款金额,收款键,$D1416,收款关联,"&lt;&gt;"))-($X1416-$W1416))),2))</f>
        <v/>
      </c>
      <c r="Q1416" s="41" t="str">
        <f aca="false">IF($C1416="","",ROUND(N($K1416)-N($P1416),2))</f>
        <v/>
      </c>
      <c r="R1416" s="29" t="str">
        <f aca="false">IF($C1416="","",YEAR($C1416))</f>
        <v/>
      </c>
      <c r="S1416" s="24"/>
      <c r="T1416" s="35" t="str">
        <f aca="false">IF($C1416="","",IF($D1416="","★没选客户项目",IF(COUNTIF(合同键,$D1416)=0,"★《维保合同》里没这个项目",IF(N($K1416)&lt;=0,"★应收金额要填",IF(ROUND(N($N1416)-N($K1416),2)&gt;0.001,"★开票金额大于应收",IF(AND($L1416&lt;&gt;"",N($N1416)&lt;=0),"★填了开票日期没填开票金额",IF(AND($I1416&lt;&gt;"",$J1416&lt;&gt;"",$J1416&lt;$I1416),"★计费期间起止反了","OK")))))))</f>
        <v/>
      </c>
      <c r="U1416" s="29" t="str">
        <f aca="false">IF($L1416="","",YEAR($L1416))</f>
        <v/>
      </c>
      <c r="V1416" s="40" t="str">
        <f aca="false">IF($C1416="","",ROUND(SUMIF(收款关联,$B1416,收款金额),2))</f>
        <v/>
      </c>
      <c r="W1416" s="40" t="str">
        <f aca="false">IF($C1416="","",MAX(0,ROUND(N($K1416)-N($V1416),2)))</f>
        <v/>
      </c>
      <c r="X1416" s="40" t="str">
        <f aca="false">IF($C1416="","",ROUND(SUMIFS(应收净额,应收键,$D1416,应收行号,"&lt;="&amp;ROW()),2))</f>
        <v/>
      </c>
      <c r="Y1416" s="29" t="str">
        <f aca="false">IF($C1416="","",ROW())</f>
        <v/>
      </c>
    </row>
    <row r="1417" customFormat="false" ht="15" hidden="false" customHeight="false" outlineLevel="0" collapsed="false">
      <c r="A1417" s="29" t="str">
        <f aca="false">IF($C1417="","",ROW()-4)</f>
        <v/>
      </c>
      <c r="B1417" s="35" t="str">
        <f aca="false">IF($C1417="","","YS"&amp;TEXT($C1417,"yyyymm")&amp;"-"&amp;TEXT(ROW()-4,"0000"))</f>
        <v/>
      </c>
      <c r="C1417" s="33"/>
      <c r="D1417" s="24"/>
      <c r="E1417" s="30" t="str">
        <f aca="false">IF($D1417="","",IFERROR(INDEX(合同单位,MATCH($D1417,合同键,0)),IFERROR(TRIM(LEFT($D1417,FIND("｜",$D1417)-1)),$D1417)))</f>
        <v/>
      </c>
      <c r="F1417" s="30" t="str">
        <f aca="false">IF($D1417="","",IFERROR(INDEX(合同项目,MATCH($D1417,合同键,0)),IFERROR(TRIM(MID($D1417,FIND("｜",$D1417)+1,99)),"")))</f>
        <v/>
      </c>
      <c r="G1417" s="24"/>
      <c r="H1417" s="35" t="str">
        <f aca="false">IF($G1417="","",IFERROR(INDEX(费用款别,MATCH($G1417,费用类别表,0)),"合同外款"))</f>
        <v/>
      </c>
      <c r="I1417" s="33"/>
      <c r="J1417" s="33"/>
      <c r="K1417" s="39"/>
      <c r="L1417" s="33"/>
      <c r="M1417" s="25"/>
      <c r="N1417" s="39"/>
      <c r="O1417" s="35" t="str">
        <f aca="false">IF($C1417="","",IF(N($N1417)&lt;=0,"未开票",IF(ROUND(N($N1417)-N($K1417),2)&gt;=0,"已开票",IFERROR("部分开票 "&amp;TEXT(N($N1417)/N($K1417),"0%"),"部分开票"))))</f>
        <v/>
      </c>
      <c r="P1417" s="40" t="str">
        <f aca="false">IF($C1417="","",ROUND($V1417+MIN($W1417,MAX(0,(SUMIF(收款键,$D1417,收款金额)-SUMIFS(收款金额,收款键,$D1417,收款关联,"&lt;&gt;"))-($X1417-$W1417))),2))</f>
        <v/>
      </c>
      <c r="Q1417" s="41" t="str">
        <f aca="false">IF($C1417="","",ROUND(N($K1417)-N($P1417),2))</f>
        <v/>
      </c>
      <c r="R1417" s="29" t="str">
        <f aca="false">IF($C1417="","",YEAR($C1417))</f>
        <v/>
      </c>
      <c r="S1417" s="24"/>
      <c r="T1417" s="35" t="str">
        <f aca="false">IF($C1417="","",IF($D1417="","★没选客户项目",IF(COUNTIF(合同键,$D1417)=0,"★《维保合同》里没这个项目",IF(N($K1417)&lt;=0,"★应收金额要填",IF(ROUND(N($N1417)-N($K1417),2)&gt;0.001,"★开票金额大于应收",IF(AND($L1417&lt;&gt;"",N($N1417)&lt;=0),"★填了开票日期没填开票金额",IF(AND($I1417&lt;&gt;"",$J1417&lt;&gt;"",$J1417&lt;$I1417),"★计费期间起止反了","OK")))))))</f>
        <v/>
      </c>
      <c r="U1417" s="29" t="str">
        <f aca="false">IF($L1417="","",YEAR($L1417))</f>
        <v/>
      </c>
      <c r="V1417" s="40" t="str">
        <f aca="false">IF($C1417="","",ROUND(SUMIF(收款关联,$B1417,收款金额),2))</f>
        <v/>
      </c>
      <c r="W1417" s="40" t="str">
        <f aca="false">IF($C1417="","",MAX(0,ROUND(N($K1417)-N($V1417),2)))</f>
        <v/>
      </c>
      <c r="X1417" s="40" t="str">
        <f aca="false">IF($C1417="","",ROUND(SUMIFS(应收净额,应收键,$D1417,应收行号,"&lt;="&amp;ROW()),2))</f>
        <v/>
      </c>
      <c r="Y1417" s="29" t="str">
        <f aca="false">IF($C1417="","",ROW())</f>
        <v/>
      </c>
    </row>
    <row r="1418" customFormat="false" ht="15" hidden="false" customHeight="false" outlineLevel="0" collapsed="false">
      <c r="A1418" s="29" t="str">
        <f aca="false">IF($C1418="","",ROW()-4)</f>
        <v/>
      </c>
      <c r="B1418" s="35" t="str">
        <f aca="false">IF($C1418="","","YS"&amp;TEXT($C1418,"yyyymm")&amp;"-"&amp;TEXT(ROW()-4,"0000"))</f>
        <v/>
      </c>
      <c r="C1418" s="33"/>
      <c r="D1418" s="24"/>
      <c r="E1418" s="30" t="str">
        <f aca="false">IF($D1418="","",IFERROR(INDEX(合同单位,MATCH($D1418,合同键,0)),IFERROR(TRIM(LEFT($D1418,FIND("｜",$D1418)-1)),$D1418)))</f>
        <v/>
      </c>
      <c r="F1418" s="30" t="str">
        <f aca="false">IF($D1418="","",IFERROR(INDEX(合同项目,MATCH($D1418,合同键,0)),IFERROR(TRIM(MID($D1418,FIND("｜",$D1418)+1,99)),"")))</f>
        <v/>
      </c>
      <c r="G1418" s="24"/>
      <c r="H1418" s="35" t="str">
        <f aca="false">IF($G1418="","",IFERROR(INDEX(费用款别,MATCH($G1418,费用类别表,0)),"合同外款"))</f>
        <v/>
      </c>
      <c r="I1418" s="33"/>
      <c r="J1418" s="33"/>
      <c r="K1418" s="39"/>
      <c r="L1418" s="33"/>
      <c r="M1418" s="25"/>
      <c r="N1418" s="39"/>
      <c r="O1418" s="35" t="str">
        <f aca="false">IF($C1418="","",IF(N($N1418)&lt;=0,"未开票",IF(ROUND(N($N1418)-N($K1418),2)&gt;=0,"已开票",IFERROR("部分开票 "&amp;TEXT(N($N1418)/N($K1418),"0%"),"部分开票"))))</f>
        <v/>
      </c>
      <c r="P1418" s="40" t="str">
        <f aca="false">IF($C1418="","",ROUND($V1418+MIN($W1418,MAX(0,(SUMIF(收款键,$D1418,收款金额)-SUMIFS(收款金额,收款键,$D1418,收款关联,"&lt;&gt;"))-($X1418-$W1418))),2))</f>
        <v/>
      </c>
      <c r="Q1418" s="41" t="str">
        <f aca="false">IF($C1418="","",ROUND(N($K1418)-N($P1418),2))</f>
        <v/>
      </c>
      <c r="R1418" s="29" t="str">
        <f aca="false">IF($C1418="","",YEAR($C1418))</f>
        <v/>
      </c>
      <c r="S1418" s="24"/>
      <c r="T1418" s="35" t="str">
        <f aca="false">IF($C1418="","",IF($D1418="","★没选客户项目",IF(COUNTIF(合同键,$D1418)=0,"★《维保合同》里没这个项目",IF(N($K1418)&lt;=0,"★应收金额要填",IF(ROUND(N($N1418)-N($K1418),2)&gt;0.001,"★开票金额大于应收",IF(AND($L1418&lt;&gt;"",N($N1418)&lt;=0),"★填了开票日期没填开票金额",IF(AND($I1418&lt;&gt;"",$J1418&lt;&gt;"",$J1418&lt;$I1418),"★计费期间起止反了","OK")))))))</f>
        <v/>
      </c>
      <c r="U1418" s="29" t="str">
        <f aca="false">IF($L1418="","",YEAR($L1418))</f>
        <v/>
      </c>
      <c r="V1418" s="40" t="str">
        <f aca="false">IF($C1418="","",ROUND(SUMIF(收款关联,$B1418,收款金额),2))</f>
        <v/>
      </c>
      <c r="W1418" s="40" t="str">
        <f aca="false">IF($C1418="","",MAX(0,ROUND(N($K1418)-N($V1418),2)))</f>
        <v/>
      </c>
      <c r="X1418" s="40" t="str">
        <f aca="false">IF($C1418="","",ROUND(SUMIFS(应收净额,应收键,$D1418,应收行号,"&lt;="&amp;ROW()),2))</f>
        <v/>
      </c>
      <c r="Y1418" s="29" t="str">
        <f aca="false">IF($C1418="","",ROW())</f>
        <v/>
      </c>
    </row>
    <row r="1419" customFormat="false" ht="15" hidden="false" customHeight="false" outlineLevel="0" collapsed="false">
      <c r="A1419" s="29" t="str">
        <f aca="false">IF($C1419="","",ROW()-4)</f>
        <v/>
      </c>
      <c r="B1419" s="35" t="str">
        <f aca="false">IF($C1419="","","YS"&amp;TEXT($C1419,"yyyymm")&amp;"-"&amp;TEXT(ROW()-4,"0000"))</f>
        <v/>
      </c>
      <c r="C1419" s="33"/>
      <c r="D1419" s="24"/>
      <c r="E1419" s="30" t="str">
        <f aca="false">IF($D1419="","",IFERROR(INDEX(合同单位,MATCH($D1419,合同键,0)),IFERROR(TRIM(LEFT($D1419,FIND("｜",$D1419)-1)),$D1419)))</f>
        <v/>
      </c>
      <c r="F1419" s="30" t="str">
        <f aca="false">IF($D1419="","",IFERROR(INDEX(合同项目,MATCH($D1419,合同键,0)),IFERROR(TRIM(MID($D1419,FIND("｜",$D1419)+1,99)),"")))</f>
        <v/>
      </c>
      <c r="G1419" s="24"/>
      <c r="H1419" s="35" t="str">
        <f aca="false">IF($G1419="","",IFERROR(INDEX(费用款别,MATCH($G1419,费用类别表,0)),"合同外款"))</f>
        <v/>
      </c>
      <c r="I1419" s="33"/>
      <c r="J1419" s="33"/>
      <c r="K1419" s="39"/>
      <c r="L1419" s="33"/>
      <c r="M1419" s="25"/>
      <c r="N1419" s="39"/>
      <c r="O1419" s="35" t="str">
        <f aca="false">IF($C1419="","",IF(N($N1419)&lt;=0,"未开票",IF(ROUND(N($N1419)-N($K1419),2)&gt;=0,"已开票",IFERROR("部分开票 "&amp;TEXT(N($N1419)/N($K1419),"0%"),"部分开票"))))</f>
        <v/>
      </c>
      <c r="P1419" s="40" t="str">
        <f aca="false">IF($C1419="","",ROUND($V1419+MIN($W1419,MAX(0,(SUMIF(收款键,$D1419,收款金额)-SUMIFS(收款金额,收款键,$D1419,收款关联,"&lt;&gt;"))-($X1419-$W1419))),2))</f>
        <v/>
      </c>
      <c r="Q1419" s="41" t="str">
        <f aca="false">IF($C1419="","",ROUND(N($K1419)-N($P1419),2))</f>
        <v/>
      </c>
      <c r="R1419" s="29" t="str">
        <f aca="false">IF($C1419="","",YEAR($C1419))</f>
        <v/>
      </c>
      <c r="S1419" s="24"/>
      <c r="T1419" s="35" t="str">
        <f aca="false">IF($C1419="","",IF($D1419="","★没选客户项目",IF(COUNTIF(合同键,$D1419)=0,"★《维保合同》里没这个项目",IF(N($K1419)&lt;=0,"★应收金额要填",IF(ROUND(N($N1419)-N($K1419),2)&gt;0.001,"★开票金额大于应收",IF(AND($L1419&lt;&gt;"",N($N1419)&lt;=0),"★填了开票日期没填开票金额",IF(AND($I1419&lt;&gt;"",$J1419&lt;&gt;"",$J1419&lt;$I1419),"★计费期间起止反了","OK")))))))</f>
        <v/>
      </c>
      <c r="U1419" s="29" t="str">
        <f aca="false">IF($L1419="","",YEAR($L1419))</f>
        <v/>
      </c>
      <c r="V1419" s="40" t="str">
        <f aca="false">IF($C1419="","",ROUND(SUMIF(收款关联,$B1419,收款金额),2))</f>
        <v/>
      </c>
      <c r="W1419" s="40" t="str">
        <f aca="false">IF($C1419="","",MAX(0,ROUND(N($K1419)-N($V1419),2)))</f>
        <v/>
      </c>
      <c r="X1419" s="40" t="str">
        <f aca="false">IF($C1419="","",ROUND(SUMIFS(应收净额,应收键,$D1419,应收行号,"&lt;="&amp;ROW()),2))</f>
        <v/>
      </c>
      <c r="Y1419" s="29" t="str">
        <f aca="false">IF($C1419="","",ROW())</f>
        <v/>
      </c>
    </row>
    <row r="1420" customFormat="false" ht="15" hidden="false" customHeight="false" outlineLevel="0" collapsed="false">
      <c r="A1420" s="29" t="str">
        <f aca="false">IF($C1420="","",ROW()-4)</f>
        <v/>
      </c>
      <c r="B1420" s="35" t="str">
        <f aca="false">IF($C1420="","","YS"&amp;TEXT($C1420,"yyyymm")&amp;"-"&amp;TEXT(ROW()-4,"0000"))</f>
        <v/>
      </c>
      <c r="C1420" s="33"/>
      <c r="D1420" s="24"/>
      <c r="E1420" s="30" t="str">
        <f aca="false">IF($D1420="","",IFERROR(INDEX(合同单位,MATCH($D1420,合同键,0)),IFERROR(TRIM(LEFT($D1420,FIND("｜",$D1420)-1)),$D1420)))</f>
        <v/>
      </c>
      <c r="F1420" s="30" t="str">
        <f aca="false">IF($D1420="","",IFERROR(INDEX(合同项目,MATCH($D1420,合同键,0)),IFERROR(TRIM(MID($D1420,FIND("｜",$D1420)+1,99)),"")))</f>
        <v/>
      </c>
      <c r="G1420" s="24"/>
      <c r="H1420" s="35" t="str">
        <f aca="false">IF($G1420="","",IFERROR(INDEX(费用款别,MATCH($G1420,费用类别表,0)),"合同外款"))</f>
        <v/>
      </c>
      <c r="I1420" s="33"/>
      <c r="J1420" s="33"/>
      <c r="K1420" s="39"/>
      <c r="L1420" s="33"/>
      <c r="M1420" s="25"/>
      <c r="N1420" s="39"/>
      <c r="O1420" s="35" t="str">
        <f aca="false">IF($C1420="","",IF(N($N1420)&lt;=0,"未开票",IF(ROUND(N($N1420)-N($K1420),2)&gt;=0,"已开票",IFERROR("部分开票 "&amp;TEXT(N($N1420)/N($K1420),"0%"),"部分开票"))))</f>
        <v/>
      </c>
      <c r="P1420" s="40" t="str">
        <f aca="false">IF($C1420="","",ROUND($V1420+MIN($W1420,MAX(0,(SUMIF(收款键,$D1420,收款金额)-SUMIFS(收款金额,收款键,$D1420,收款关联,"&lt;&gt;"))-($X1420-$W1420))),2))</f>
        <v/>
      </c>
      <c r="Q1420" s="41" t="str">
        <f aca="false">IF($C1420="","",ROUND(N($K1420)-N($P1420),2))</f>
        <v/>
      </c>
      <c r="R1420" s="29" t="str">
        <f aca="false">IF($C1420="","",YEAR($C1420))</f>
        <v/>
      </c>
      <c r="S1420" s="24"/>
      <c r="T1420" s="35" t="str">
        <f aca="false">IF($C1420="","",IF($D1420="","★没选客户项目",IF(COUNTIF(合同键,$D1420)=0,"★《维保合同》里没这个项目",IF(N($K1420)&lt;=0,"★应收金额要填",IF(ROUND(N($N1420)-N($K1420),2)&gt;0.001,"★开票金额大于应收",IF(AND($L1420&lt;&gt;"",N($N1420)&lt;=0),"★填了开票日期没填开票金额",IF(AND($I1420&lt;&gt;"",$J1420&lt;&gt;"",$J1420&lt;$I1420),"★计费期间起止反了","OK")))))))</f>
        <v/>
      </c>
      <c r="U1420" s="29" t="str">
        <f aca="false">IF($L1420="","",YEAR($L1420))</f>
        <v/>
      </c>
      <c r="V1420" s="40" t="str">
        <f aca="false">IF($C1420="","",ROUND(SUMIF(收款关联,$B1420,收款金额),2))</f>
        <v/>
      </c>
      <c r="W1420" s="40" t="str">
        <f aca="false">IF($C1420="","",MAX(0,ROUND(N($K1420)-N($V1420),2)))</f>
        <v/>
      </c>
      <c r="X1420" s="40" t="str">
        <f aca="false">IF($C1420="","",ROUND(SUMIFS(应收净额,应收键,$D1420,应收行号,"&lt;="&amp;ROW()),2))</f>
        <v/>
      </c>
      <c r="Y1420" s="29" t="str">
        <f aca="false">IF($C1420="","",ROW())</f>
        <v/>
      </c>
    </row>
    <row r="1421" customFormat="false" ht="15" hidden="false" customHeight="false" outlineLevel="0" collapsed="false">
      <c r="A1421" s="29" t="str">
        <f aca="false">IF($C1421="","",ROW()-4)</f>
        <v/>
      </c>
      <c r="B1421" s="35" t="str">
        <f aca="false">IF($C1421="","","YS"&amp;TEXT($C1421,"yyyymm")&amp;"-"&amp;TEXT(ROW()-4,"0000"))</f>
        <v/>
      </c>
      <c r="C1421" s="33"/>
      <c r="D1421" s="24"/>
      <c r="E1421" s="30" t="str">
        <f aca="false">IF($D1421="","",IFERROR(INDEX(合同单位,MATCH($D1421,合同键,0)),IFERROR(TRIM(LEFT($D1421,FIND("｜",$D1421)-1)),$D1421)))</f>
        <v/>
      </c>
      <c r="F1421" s="30" t="str">
        <f aca="false">IF($D1421="","",IFERROR(INDEX(合同项目,MATCH($D1421,合同键,0)),IFERROR(TRIM(MID($D1421,FIND("｜",$D1421)+1,99)),"")))</f>
        <v/>
      </c>
      <c r="G1421" s="24"/>
      <c r="H1421" s="35" t="str">
        <f aca="false">IF($G1421="","",IFERROR(INDEX(费用款别,MATCH($G1421,费用类别表,0)),"合同外款"))</f>
        <v/>
      </c>
      <c r="I1421" s="33"/>
      <c r="J1421" s="33"/>
      <c r="K1421" s="39"/>
      <c r="L1421" s="33"/>
      <c r="M1421" s="25"/>
      <c r="N1421" s="39"/>
      <c r="O1421" s="35" t="str">
        <f aca="false">IF($C1421="","",IF(N($N1421)&lt;=0,"未开票",IF(ROUND(N($N1421)-N($K1421),2)&gt;=0,"已开票",IFERROR("部分开票 "&amp;TEXT(N($N1421)/N($K1421),"0%"),"部分开票"))))</f>
        <v/>
      </c>
      <c r="P1421" s="40" t="str">
        <f aca="false">IF($C1421="","",ROUND($V1421+MIN($W1421,MAX(0,(SUMIF(收款键,$D1421,收款金额)-SUMIFS(收款金额,收款键,$D1421,收款关联,"&lt;&gt;"))-($X1421-$W1421))),2))</f>
        <v/>
      </c>
      <c r="Q1421" s="41" t="str">
        <f aca="false">IF($C1421="","",ROUND(N($K1421)-N($P1421),2))</f>
        <v/>
      </c>
      <c r="R1421" s="29" t="str">
        <f aca="false">IF($C1421="","",YEAR($C1421))</f>
        <v/>
      </c>
      <c r="S1421" s="24"/>
      <c r="T1421" s="35" t="str">
        <f aca="false">IF($C1421="","",IF($D1421="","★没选客户项目",IF(COUNTIF(合同键,$D1421)=0,"★《维保合同》里没这个项目",IF(N($K1421)&lt;=0,"★应收金额要填",IF(ROUND(N($N1421)-N($K1421),2)&gt;0.001,"★开票金额大于应收",IF(AND($L1421&lt;&gt;"",N($N1421)&lt;=0),"★填了开票日期没填开票金额",IF(AND($I1421&lt;&gt;"",$J1421&lt;&gt;"",$J1421&lt;$I1421),"★计费期间起止反了","OK")))))))</f>
        <v/>
      </c>
      <c r="U1421" s="29" t="str">
        <f aca="false">IF($L1421="","",YEAR($L1421))</f>
        <v/>
      </c>
      <c r="V1421" s="40" t="str">
        <f aca="false">IF($C1421="","",ROUND(SUMIF(收款关联,$B1421,收款金额),2))</f>
        <v/>
      </c>
      <c r="W1421" s="40" t="str">
        <f aca="false">IF($C1421="","",MAX(0,ROUND(N($K1421)-N($V1421),2)))</f>
        <v/>
      </c>
      <c r="X1421" s="40" t="str">
        <f aca="false">IF($C1421="","",ROUND(SUMIFS(应收净额,应收键,$D1421,应收行号,"&lt;="&amp;ROW()),2))</f>
        <v/>
      </c>
      <c r="Y1421" s="29" t="str">
        <f aca="false">IF($C1421="","",ROW())</f>
        <v/>
      </c>
    </row>
    <row r="1422" customFormat="false" ht="15" hidden="false" customHeight="false" outlineLevel="0" collapsed="false">
      <c r="A1422" s="29" t="str">
        <f aca="false">IF($C1422="","",ROW()-4)</f>
        <v/>
      </c>
      <c r="B1422" s="35" t="str">
        <f aca="false">IF($C1422="","","YS"&amp;TEXT($C1422,"yyyymm")&amp;"-"&amp;TEXT(ROW()-4,"0000"))</f>
        <v/>
      </c>
      <c r="C1422" s="33"/>
      <c r="D1422" s="24"/>
      <c r="E1422" s="30" t="str">
        <f aca="false">IF($D1422="","",IFERROR(INDEX(合同单位,MATCH($D1422,合同键,0)),IFERROR(TRIM(LEFT($D1422,FIND("｜",$D1422)-1)),$D1422)))</f>
        <v/>
      </c>
      <c r="F1422" s="30" t="str">
        <f aca="false">IF($D1422="","",IFERROR(INDEX(合同项目,MATCH($D1422,合同键,0)),IFERROR(TRIM(MID($D1422,FIND("｜",$D1422)+1,99)),"")))</f>
        <v/>
      </c>
      <c r="G1422" s="24"/>
      <c r="H1422" s="35" t="str">
        <f aca="false">IF($G1422="","",IFERROR(INDEX(费用款别,MATCH($G1422,费用类别表,0)),"合同外款"))</f>
        <v/>
      </c>
      <c r="I1422" s="33"/>
      <c r="J1422" s="33"/>
      <c r="K1422" s="39"/>
      <c r="L1422" s="33"/>
      <c r="M1422" s="25"/>
      <c r="N1422" s="39"/>
      <c r="O1422" s="35" t="str">
        <f aca="false">IF($C1422="","",IF(N($N1422)&lt;=0,"未开票",IF(ROUND(N($N1422)-N($K1422),2)&gt;=0,"已开票",IFERROR("部分开票 "&amp;TEXT(N($N1422)/N($K1422),"0%"),"部分开票"))))</f>
        <v/>
      </c>
      <c r="P1422" s="40" t="str">
        <f aca="false">IF($C1422="","",ROUND($V1422+MIN($W1422,MAX(0,(SUMIF(收款键,$D1422,收款金额)-SUMIFS(收款金额,收款键,$D1422,收款关联,"&lt;&gt;"))-($X1422-$W1422))),2))</f>
        <v/>
      </c>
      <c r="Q1422" s="41" t="str">
        <f aca="false">IF($C1422="","",ROUND(N($K1422)-N($P1422),2))</f>
        <v/>
      </c>
      <c r="R1422" s="29" t="str">
        <f aca="false">IF($C1422="","",YEAR($C1422))</f>
        <v/>
      </c>
      <c r="S1422" s="24"/>
      <c r="T1422" s="35" t="str">
        <f aca="false">IF($C1422="","",IF($D1422="","★没选客户项目",IF(COUNTIF(合同键,$D1422)=0,"★《维保合同》里没这个项目",IF(N($K1422)&lt;=0,"★应收金额要填",IF(ROUND(N($N1422)-N($K1422),2)&gt;0.001,"★开票金额大于应收",IF(AND($L1422&lt;&gt;"",N($N1422)&lt;=0),"★填了开票日期没填开票金额",IF(AND($I1422&lt;&gt;"",$J1422&lt;&gt;"",$J1422&lt;$I1422),"★计费期间起止反了","OK")))))))</f>
        <v/>
      </c>
      <c r="U1422" s="29" t="str">
        <f aca="false">IF($L1422="","",YEAR($L1422))</f>
        <v/>
      </c>
      <c r="V1422" s="40" t="str">
        <f aca="false">IF($C1422="","",ROUND(SUMIF(收款关联,$B1422,收款金额),2))</f>
        <v/>
      </c>
      <c r="W1422" s="40" t="str">
        <f aca="false">IF($C1422="","",MAX(0,ROUND(N($K1422)-N($V1422),2)))</f>
        <v/>
      </c>
      <c r="X1422" s="40" t="str">
        <f aca="false">IF($C1422="","",ROUND(SUMIFS(应收净额,应收键,$D1422,应收行号,"&lt;="&amp;ROW()),2))</f>
        <v/>
      </c>
      <c r="Y1422" s="29" t="str">
        <f aca="false">IF($C1422="","",ROW())</f>
        <v/>
      </c>
    </row>
    <row r="1423" customFormat="false" ht="15" hidden="false" customHeight="false" outlineLevel="0" collapsed="false">
      <c r="A1423" s="29" t="str">
        <f aca="false">IF($C1423="","",ROW()-4)</f>
        <v/>
      </c>
      <c r="B1423" s="35" t="str">
        <f aca="false">IF($C1423="","","YS"&amp;TEXT($C1423,"yyyymm")&amp;"-"&amp;TEXT(ROW()-4,"0000"))</f>
        <v/>
      </c>
      <c r="C1423" s="33"/>
      <c r="D1423" s="24"/>
      <c r="E1423" s="30" t="str">
        <f aca="false">IF($D1423="","",IFERROR(INDEX(合同单位,MATCH($D1423,合同键,0)),IFERROR(TRIM(LEFT($D1423,FIND("｜",$D1423)-1)),$D1423)))</f>
        <v/>
      </c>
      <c r="F1423" s="30" t="str">
        <f aca="false">IF($D1423="","",IFERROR(INDEX(合同项目,MATCH($D1423,合同键,0)),IFERROR(TRIM(MID($D1423,FIND("｜",$D1423)+1,99)),"")))</f>
        <v/>
      </c>
      <c r="G1423" s="24"/>
      <c r="H1423" s="35" t="str">
        <f aca="false">IF($G1423="","",IFERROR(INDEX(费用款别,MATCH($G1423,费用类别表,0)),"合同外款"))</f>
        <v/>
      </c>
      <c r="I1423" s="33"/>
      <c r="J1423" s="33"/>
      <c r="K1423" s="39"/>
      <c r="L1423" s="33"/>
      <c r="M1423" s="25"/>
      <c r="N1423" s="39"/>
      <c r="O1423" s="35" t="str">
        <f aca="false">IF($C1423="","",IF(N($N1423)&lt;=0,"未开票",IF(ROUND(N($N1423)-N($K1423),2)&gt;=0,"已开票",IFERROR("部分开票 "&amp;TEXT(N($N1423)/N($K1423),"0%"),"部分开票"))))</f>
        <v/>
      </c>
      <c r="P1423" s="40" t="str">
        <f aca="false">IF($C1423="","",ROUND($V1423+MIN($W1423,MAX(0,(SUMIF(收款键,$D1423,收款金额)-SUMIFS(收款金额,收款键,$D1423,收款关联,"&lt;&gt;"))-($X1423-$W1423))),2))</f>
        <v/>
      </c>
      <c r="Q1423" s="41" t="str">
        <f aca="false">IF($C1423="","",ROUND(N($K1423)-N($P1423),2))</f>
        <v/>
      </c>
      <c r="R1423" s="29" t="str">
        <f aca="false">IF($C1423="","",YEAR($C1423))</f>
        <v/>
      </c>
      <c r="S1423" s="24"/>
      <c r="T1423" s="35" t="str">
        <f aca="false">IF($C1423="","",IF($D1423="","★没选客户项目",IF(COUNTIF(合同键,$D1423)=0,"★《维保合同》里没这个项目",IF(N($K1423)&lt;=0,"★应收金额要填",IF(ROUND(N($N1423)-N($K1423),2)&gt;0.001,"★开票金额大于应收",IF(AND($L1423&lt;&gt;"",N($N1423)&lt;=0),"★填了开票日期没填开票金额",IF(AND($I1423&lt;&gt;"",$J1423&lt;&gt;"",$J1423&lt;$I1423),"★计费期间起止反了","OK")))))))</f>
        <v/>
      </c>
      <c r="U1423" s="29" t="str">
        <f aca="false">IF($L1423="","",YEAR($L1423))</f>
        <v/>
      </c>
      <c r="V1423" s="40" t="str">
        <f aca="false">IF($C1423="","",ROUND(SUMIF(收款关联,$B1423,收款金额),2))</f>
        <v/>
      </c>
      <c r="W1423" s="40" t="str">
        <f aca="false">IF($C1423="","",MAX(0,ROUND(N($K1423)-N($V1423),2)))</f>
        <v/>
      </c>
      <c r="X1423" s="40" t="str">
        <f aca="false">IF($C1423="","",ROUND(SUMIFS(应收净额,应收键,$D1423,应收行号,"&lt;="&amp;ROW()),2))</f>
        <v/>
      </c>
      <c r="Y1423" s="29" t="str">
        <f aca="false">IF($C1423="","",ROW())</f>
        <v/>
      </c>
    </row>
    <row r="1424" customFormat="false" ht="15" hidden="false" customHeight="false" outlineLevel="0" collapsed="false">
      <c r="A1424" s="29" t="str">
        <f aca="false">IF($C1424="","",ROW()-4)</f>
        <v/>
      </c>
      <c r="B1424" s="35" t="str">
        <f aca="false">IF($C1424="","","YS"&amp;TEXT($C1424,"yyyymm")&amp;"-"&amp;TEXT(ROW()-4,"0000"))</f>
        <v/>
      </c>
      <c r="C1424" s="33"/>
      <c r="D1424" s="24"/>
      <c r="E1424" s="30" t="str">
        <f aca="false">IF($D1424="","",IFERROR(INDEX(合同单位,MATCH($D1424,合同键,0)),IFERROR(TRIM(LEFT($D1424,FIND("｜",$D1424)-1)),$D1424)))</f>
        <v/>
      </c>
      <c r="F1424" s="30" t="str">
        <f aca="false">IF($D1424="","",IFERROR(INDEX(合同项目,MATCH($D1424,合同键,0)),IFERROR(TRIM(MID($D1424,FIND("｜",$D1424)+1,99)),"")))</f>
        <v/>
      </c>
      <c r="G1424" s="24"/>
      <c r="H1424" s="35" t="str">
        <f aca="false">IF($G1424="","",IFERROR(INDEX(费用款别,MATCH($G1424,费用类别表,0)),"合同外款"))</f>
        <v/>
      </c>
      <c r="I1424" s="33"/>
      <c r="J1424" s="33"/>
      <c r="K1424" s="39"/>
      <c r="L1424" s="33"/>
      <c r="M1424" s="25"/>
      <c r="N1424" s="39"/>
      <c r="O1424" s="35" t="str">
        <f aca="false">IF($C1424="","",IF(N($N1424)&lt;=0,"未开票",IF(ROUND(N($N1424)-N($K1424),2)&gt;=0,"已开票",IFERROR("部分开票 "&amp;TEXT(N($N1424)/N($K1424),"0%"),"部分开票"))))</f>
        <v/>
      </c>
      <c r="P1424" s="40" t="str">
        <f aca="false">IF($C1424="","",ROUND($V1424+MIN($W1424,MAX(0,(SUMIF(收款键,$D1424,收款金额)-SUMIFS(收款金额,收款键,$D1424,收款关联,"&lt;&gt;"))-($X1424-$W1424))),2))</f>
        <v/>
      </c>
      <c r="Q1424" s="41" t="str">
        <f aca="false">IF($C1424="","",ROUND(N($K1424)-N($P1424),2))</f>
        <v/>
      </c>
      <c r="R1424" s="29" t="str">
        <f aca="false">IF($C1424="","",YEAR($C1424))</f>
        <v/>
      </c>
      <c r="S1424" s="24"/>
      <c r="T1424" s="35" t="str">
        <f aca="false">IF($C1424="","",IF($D1424="","★没选客户项目",IF(COUNTIF(合同键,$D1424)=0,"★《维保合同》里没这个项目",IF(N($K1424)&lt;=0,"★应收金额要填",IF(ROUND(N($N1424)-N($K1424),2)&gt;0.001,"★开票金额大于应收",IF(AND($L1424&lt;&gt;"",N($N1424)&lt;=0),"★填了开票日期没填开票金额",IF(AND($I1424&lt;&gt;"",$J1424&lt;&gt;"",$J1424&lt;$I1424),"★计费期间起止反了","OK")))))))</f>
        <v/>
      </c>
      <c r="U1424" s="29" t="str">
        <f aca="false">IF($L1424="","",YEAR($L1424))</f>
        <v/>
      </c>
      <c r="V1424" s="40" t="str">
        <f aca="false">IF($C1424="","",ROUND(SUMIF(收款关联,$B1424,收款金额),2))</f>
        <v/>
      </c>
      <c r="W1424" s="40" t="str">
        <f aca="false">IF($C1424="","",MAX(0,ROUND(N($K1424)-N($V1424),2)))</f>
        <v/>
      </c>
      <c r="X1424" s="40" t="str">
        <f aca="false">IF($C1424="","",ROUND(SUMIFS(应收净额,应收键,$D1424,应收行号,"&lt;="&amp;ROW()),2))</f>
        <v/>
      </c>
      <c r="Y1424" s="29" t="str">
        <f aca="false">IF($C1424="","",ROW())</f>
        <v/>
      </c>
    </row>
    <row r="1425" customFormat="false" ht="15" hidden="false" customHeight="false" outlineLevel="0" collapsed="false">
      <c r="A1425" s="29" t="str">
        <f aca="false">IF($C1425="","",ROW()-4)</f>
        <v/>
      </c>
      <c r="B1425" s="35" t="str">
        <f aca="false">IF($C1425="","","YS"&amp;TEXT($C1425,"yyyymm")&amp;"-"&amp;TEXT(ROW()-4,"0000"))</f>
        <v/>
      </c>
      <c r="C1425" s="33"/>
      <c r="D1425" s="24"/>
      <c r="E1425" s="30" t="str">
        <f aca="false">IF($D1425="","",IFERROR(INDEX(合同单位,MATCH($D1425,合同键,0)),IFERROR(TRIM(LEFT($D1425,FIND("｜",$D1425)-1)),$D1425)))</f>
        <v/>
      </c>
      <c r="F1425" s="30" t="str">
        <f aca="false">IF($D1425="","",IFERROR(INDEX(合同项目,MATCH($D1425,合同键,0)),IFERROR(TRIM(MID($D1425,FIND("｜",$D1425)+1,99)),"")))</f>
        <v/>
      </c>
      <c r="G1425" s="24"/>
      <c r="H1425" s="35" t="str">
        <f aca="false">IF($G1425="","",IFERROR(INDEX(费用款别,MATCH($G1425,费用类别表,0)),"合同外款"))</f>
        <v/>
      </c>
      <c r="I1425" s="33"/>
      <c r="J1425" s="33"/>
      <c r="K1425" s="39"/>
      <c r="L1425" s="33"/>
      <c r="M1425" s="25"/>
      <c r="N1425" s="39"/>
      <c r="O1425" s="35" t="str">
        <f aca="false">IF($C1425="","",IF(N($N1425)&lt;=0,"未开票",IF(ROUND(N($N1425)-N($K1425),2)&gt;=0,"已开票",IFERROR("部分开票 "&amp;TEXT(N($N1425)/N($K1425),"0%"),"部分开票"))))</f>
        <v/>
      </c>
      <c r="P1425" s="40" t="str">
        <f aca="false">IF($C1425="","",ROUND($V1425+MIN($W1425,MAX(0,(SUMIF(收款键,$D1425,收款金额)-SUMIFS(收款金额,收款键,$D1425,收款关联,"&lt;&gt;"))-($X1425-$W1425))),2))</f>
        <v/>
      </c>
      <c r="Q1425" s="41" t="str">
        <f aca="false">IF($C1425="","",ROUND(N($K1425)-N($P1425),2))</f>
        <v/>
      </c>
      <c r="R1425" s="29" t="str">
        <f aca="false">IF($C1425="","",YEAR($C1425))</f>
        <v/>
      </c>
      <c r="S1425" s="24"/>
      <c r="T1425" s="35" t="str">
        <f aca="false">IF($C1425="","",IF($D1425="","★没选客户项目",IF(COUNTIF(合同键,$D1425)=0,"★《维保合同》里没这个项目",IF(N($K1425)&lt;=0,"★应收金额要填",IF(ROUND(N($N1425)-N($K1425),2)&gt;0.001,"★开票金额大于应收",IF(AND($L1425&lt;&gt;"",N($N1425)&lt;=0),"★填了开票日期没填开票金额",IF(AND($I1425&lt;&gt;"",$J1425&lt;&gt;"",$J1425&lt;$I1425),"★计费期间起止反了","OK")))))))</f>
        <v/>
      </c>
      <c r="U1425" s="29" t="str">
        <f aca="false">IF($L1425="","",YEAR($L1425))</f>
        <v/>
      </c>
      <c r="V1425" s="40" t="str">
        <f aca="false">IF($C1425="","",ROUND(SUMIF(收款关联,$B1425,收款金额),2))</f>
        <v/>
      </c>
      <c r="W1425" s="40" t="str">
        <f aca="false">IF($C1425="","",MAX(0,ROUND(N($K1425)-N($V1425),2)))</f>
        <v/>
      </c>
      <c r="X1425" s="40" t="str">
        <f aca="false">IF($C1425="","",ROUND(SUMIFS(应收净额,应收键,$D1425,应收行号,"&lt;="&amp;ROW()),2))</f>
        <v/>
      </c>
      <c r="Y1425" s="29" t="str">
        <f aca="false">IF($C1425="","",ROW())</f>
        <v/>
      </c>
    </row>
    <row r="1426" customFormat="false" ht="15" hidden="false" customHeight="false" outlineLevel="0" collapsed="false">
      <c r="A1426" s="29" t="str">
        <f aca="false">IF($C1426="","",ROW()-4)</f>
        <v/>
      </c>
      <c r="B1426" s="35" t="str">
        <f aca="false">IF($C1426="","","YS"&amp;TEXT($C1426,"yyyymm")&amp;"-"&amp;TEXT(ROW()-4,"0000"))</f>
        <v/>
      </c>
      <c r="C1426" s="33"/>
      <c r="D1426" s="24"/>
      <c r="E1426" s="30" t="str">
        <f aca="false">IF($D1426="","",IFERROR(INDEX(合同单位,MATCH($D1426,合同键,0)),IFERROR(TRIM(LEFT($D1426,FIND("｜",$D1426)-1)),$D1426)))</f>
        <v/>
      </c>
      <c r="F1426" s="30" t="str">
        <f aca="false">IF($D1426="","",IFERROR(INDEX(合同项目,MATCH($D1426,合同键,0)),IFERROR(TRIM(MID($D1426,FIND("｜",$D1426)+1,99)),"")))</f>
        <v/>
      </c>
      <c r="G1426" s="24"/>
      <c r="H1426" s="35" t="str">
        <f aca="false">IF($G1426="","",IFERROR(INDEX(费用款别,MATCH($G1426,费用类别表,0)),"合同外款"))</f>
        <v/>
      </c>
      <c r="I1426" s="33"/>
      <c r="J1426" s="33"/>
      <c r="K1426" s="39"/>
      <c r="L1426" s="33"/>
      <c r="M1426" s="25"/>
      <c r="N1426" s="39"/>
      <c r="O1426" s="35" t="str">
        <f aca="false">IF($C1426="","",IF(N($N1426)&lt;=0,"未开票",IF(ROUND(N($N1426)-N($K1426),2)&gt;=0,"已开票",IFERROR("部分开票 "&amp;TEXT(N($N1426)/N($K1426),"0%"),"部分开票"))))</f>
        <v/>
      </c>
      <c r="P1426" s="40" t="str">
        <f aca="false">IF($C1426="","",ROUND($V1426+MIN($W1426,MAX(0,(SUMIF(收款键,$D1426,收款金额)-SUMIFS(收款金额,收款键,$D1426,收款关联,"&lt;&gt;"))-($X1426-$W1426))),2))</f>
        <v/>
      </c>
      <c r="Q1426" s="41" t="str">
        <f aca="false">IF($C1426="","",ROUND(N($K1426)-N($P1426),2))</f>
        <v/>
      </c>
      <c r="R1426" s="29" t="str">
        <f aca="false">IF($C1426="","",YEAR($C1426))</f>
        <v/>
      </c>
      <c r="S1426" s="24"/>
      <c r="T1426" s="35" t="str">
        <f aca="false">IF($C1426="","",IF($D1426="","★没选客户项目",IF(COUNTIF(合同键,$D1426)=0,"★《维保合同》里没这个项目",IF(N($K1426)&lt;=0,"★应收金额要填",IF(ROUND(N($N1426)-N($K1426),2)&gt;0.001,"★开票金额大于应收",IF(AND($L1426&lt;&gt;"",N($N1426)&lt;=0),"★填了开票日期没填开票金额",IF(AND($I1426&lt;&gt;"",$J1426&lt;&gt;"",$J1426&lt;$I1426),"★计费期间起止反了","OK")))))))</f>
        <v/>
      </c>
      <c r="U1426" s="29" t="str">
        <f aca="false">IF($L1426="","",YEAR($L1426))</f>
        <v/>
      </c>
      <c r="V1426" s="40" t="str">
        <f aca="false">IF($C1426="","",ROUND(SUMIF(收款关联,$B1426,收款金额),2))</f>
        <v/>
      </c>
      <c r="W1426" s="40" t="str">
        <f aca="false">IF($C1426="","",MAX(0,ROUND(N($K1426)-N($V1426),2)))</f>
        <v/>
      </c>
      <c r="X1426" s="40" t="str">
        <f aca="false">IF($C1426="","",ROUND(SUMIFS(应收净额,应收键,$D1426,应收行号,"&lt;="&amp;ROW()),2))</f>
        <v/>
      </c>
      <c r="Y1426" s="29" t="str">
        <f aca="false">IF($C1426="","",ROW())</f>
        <v/>
      </c>
    </row>
    <row r="1427" customFormat="false" ht="15" hidden="false" customHeight="false" outlineLevel="0" collapsed="false">
      <c r="A1427" s="29" t="str">
        <f aca="false">IF($C1427="","",ROW()-4)</f>
        <v/>
      </c>
      <c r="B1427" s="35" t="str">
        <f aca="false">IF($C1427="","","YS"&amp;TEXT($C1427,"yyyymm")&amp;"-"&amp;TEXT(ROW()-4,"0000"))</f>
        <v/>
      </c>
      <c r="C1427" s="33"/>
      <c r="D1427" s="24"/>
      <c r="E1427" s="30" t="str">
        <f aca="false">IF($D1427="","",IFERROR(INDEX(合同单位,MATCH($D1427,合同键,0)),IFERROR(TRIM(LEFT($D1427,FIND("｜",$D1427)-1)),$D1427)))</f>
        <v/>
      </c>
      <c r="F1427" s="30" t="str">
        <f aca="false">IF($D1427="","",IFERROR(INDEX(合同项目,MATCH($D1427,合同键,0)),IFERROR(TRIM(MID($D1427,FIND("｜",$D1427)+1,99)),"")))</f>
        <v/>
      </c>
      <c r="G1427" s="24"/>
      <c r="H1427" s="35" t="str">
        <f aca="false">IF($G1427="","",IFERROR(INDEX(费用款别,MATCH($G1427,费用类别表,0)),"合同外款"))</f>
        <v/>
      </c>
      <c r="I1427" s="33"/>
      <c r="J1427" s="33"/>
      <c r="K1427" s="39"/>
      <c r="L1427" s="33"/>
      <c r="M1427" s="25"/>
      <c r="N1427" s="39"/>
      <c r="O1427" s="35" t="str">
        <f aca="false">IF($C1427="","",IF(N($N1427)&lt;=0,"未开票",IF(ROUND(N($N1427)-N($K1427),2)&gt;=0,"已开票",IFERROR("部分开票 "&amp;TEXT(N($N1427)/N($K1427),"0%"),"部分开票"))))</f>
        <v/>
      </c>
      <c r="P1427" s="40" t="str">
        <f aca="false">IF($C1427="","",ROUND($V1427+MIN($W1427,MAX(0,(SUMIF(收款键,$D1427,收款金额)-SUMIFS(收款金额,收款键,$D1427,收款关联,"&lt;&gt;"))-($X1427-$W1427))),2))</f>
        <v/>
      </c>
      <c r="Q1427" s="41" t="str">
        <f aca="false">IF($C1427="","",ROUND(N($K1427)-N($P1427),2))</f>
        <v/>
      </c>
      <c r="R1427" s="29" t="str">
        <f aca="false">IF($C1427="","",YEAR($C1427))</f>
        <v/>
      </c>
      <c r="S1427" s="24"/>
      <c r="T1427" s="35" t="str">
        <f aca="false">IF($C1427="","",IF($D1427="","★没选客户项目",IF(COUNTIF(合同键,$D1427)=0,"★《维保合同》里没这个项目",IF(N($K1427)&lt;=0,"★应收金额要填",IF(ROUND(N($N1427)-N($K1427),2)&gt;0.001,"★开票金额大于应收",IF(AND($L1427&lt;&gt;"",N($N1427)&lt;=0),"★填了开票日期没填开票金额",IF(AND($I1427&lt;&gt;"",$J1427&lt;&gt;"",$J1427&lt;$I1427),"★计费期间起止反了","OK")))))))</f>
        <v/>
      </c>
      <c r="U1427" s="29" t="str">
        <f aca="false">IF($L1427="","",YEAR($L1427))</f>
        <v/>
      </c>
      <c r="V1427" s="40" t="str">
        <f aca="false">IF($C1427="","",ROUND(SUMIF(收款关联,$B1427,收款金额),2))</f>
        <v/>
      </c>
      <c r="W1427" s="40" t="str">
        <f aca="false">IF($C1427="","",MAX(0,ROUND(N($K1427)-N($V1427),2)))</f>
        <v/>
      </c>
      <c r="X1427" s="40" t="str">
        <f aca="false">IF($C1427="","",ROUND(SUMIFS(应收净额,应收键,$D1427,应收行号,"&lt;="&amp;ROW()),2))</f>
        <v/>
      </c>
      <c r="Y1427" s="29" t="str">
        <f aca="false">IF($C1427="","",ROW())</f>
        <v/>
      </c>
    </row>
    <row r="1428" customFormat="false" ht="15" hidden="false" customHeight="false" outlineLevel="0" collapsed="false">
      <c r="A1428" s="29" t="str">
        <f aca="false">IF($C1428="","",ROW()-4)</f>
        <v/>
      </c>
      <c r="B1428" s="35" t="str">
        <f aca="false">IF($C1428="","","YS"&amp;TEXT($C1428,"yyyymm")&amp;"-"&amp;TEXT(ROW()-4,"0000"))</f>
        <v/>
      </c>
      <c r="C1428" s="33"/>
      <c r="D1428" s="24"/>
      <c r="E1428" s="30" t="str">
        <f aca="false">IF($D1428="","",IFERROR(INDEX(合同单位,MATCH($D1428,合同键,0)),IFERROR(TRIM(LEFT($D1428,FIND("｜",$D1428)-1)),$D1428)))</f>
        <v/>
      </c>
      <c r="F1428" s="30" t="str">
        <f aca="false">IF($D1428="","",IFERROR(INDEX(合同项目,MATCH($D1428,合同键,0)),IFERROR(TRIM(MID($D1428,FIND("｜",$D1428)+1,99)),"")))</f>
        <v/>
      </c>
      <c r="G1428" s="24"/>
      <c r="H1428" s="35" t="str">
        <f aca="false">IF($G1428="","",IFERROR(INDEX(费用款别,MATCH($G1428,费用类别表,0)),"合同外款"))</f>
        <v/>
      </c>
      <c r="I1428" s="33"/>
      <c r="J1428" s="33"/>
      <c r="K1428" s="39"/>
      <c r="L1428" s="33"/>
      <c r="M1428" s="25"/>
      <c r="N1428" s="39"/>
      <c r="O1428" s="35" t="str">
        <f aca="false">IF($C1428="","",IF(N($N1428)&lt;=0,"未开票",IF(ROUND(N($N1428)-N($K1428),2)&gt;=0,"已开票",IFERROR("部分开票 "&amp;TEXT(N($N1428)/N($K1428),"0%"),"部分开票"))))</f>
        <v/>
      </c>
      <c r="P1428" s="40" t="str">
        <f aca="false">IF($C1428="","",ROUND($V1428+MIN($W1428,MAX(0,(SUMIF(收款键,$D1428,收款金额)-SUMIFS(收款金额,收款键,$D1428,收款关联,"&lt;&gt;"))-($X1428-$W1428))),2))</f>
        <v/>
      </c>
      <c r="Q1428" s="41" t="str">
        <f aca="false">IF($C1428="","",ROUND(N($K1428)-N($P1428),2))</f>
        <v/>
      </c>
      <c r="R1428" s="29" t="str">
        <f aca="false">IF($C1428="","",YEAR($C1428))</f>
        <v/>
      </c>
      <c r="S1428" s="24"/>
      <c r="T1428" s="35" t="str">
        <f aca="false">IF($C1428="","",IF($D1428="","★没选客户项目",IF(COUNTIF(合同键,$D1428)=0,"★《维保合同》里没这个项目",IF(N($K1428)&lt;=0,"★应收金额要填",IF(ROUND(N($N1428)-N($K1428),2)&gt;0.001,"★开票金额大于应收",IF(AND($L1428&lt;&gt;"",N($N1428)&lt;=0),"★填了开票日期没填开票金额",IF(AND($I1428&lt;&gt;"",$J1428&lt;&gt;"",$J1428&lt;$I1428),"★计费期间起止反了","OK")))))))</f>
        <v/>
      </c>
      <c r="U1428" s="29" t="str">
        <f aca="false">IF($L1428="","",YEAR($L1428))</f>
        <v/>
      </c>
      <c r="V1428" s="40" t="str">
        <f aca="false">IF($C1428="","",ROUND(SUMIF(收款关联,$B1428,收款金额),2))</f>
        <v/>
      </c>
      <c r="W1428" s="40" t="str">
        <f aca="false">IF($C1428="","",MAX(0,ROUND(N($K1428)-N($V1428),2)))</f>
        <v/>
      </c>
      <c r="X1428" s="40" t="str">
        <f aca="false">IF($C1428="","",ROUND(SUMIFS(应收净额,应收键,$D1428,应收行号,"&lt;="&amp;ROW()),2))</f>
        <v/>
      </c>
      <c r="Y1428" s="29" t="str">
        <f aca="false">IF($C1428="","",ROW())</f>
        <v/>
      </c>
    </row>
    <row r="1429" customFormat="false" ht="15" hidden="false" customHeight="false" outlineLevel="0" collapsed="false">
      <c r="A1429" s="29" t="str">
        <f aca="false">IF($C1429="","",ROW()-4)</f>
        <v/>
      </c>
      <c r="B1429" s="35" t="str">
        <f aca="false">IF($C1429="","","YS"&amp;TEXT($C1429,"yyyymm")&amp;"-"&amp;TEXT(ROW()-4,"0000"))</f>
        <v/>
      </c>
      <c r="C1429" s="33"/>
      <c r="D1429" s="24"/>
      <c r="E1429" s="30" t="str">
        <f aca="false">IF($D1429="","",IFERROR(INDEX(合同单位,MATCH($D1429,合同键,0)),IFERROR(TRIM(LEFT($D1429,FIND("｜",$D1429)-1)),$D1429)))</f>
        <v/>
      </c>
      <c r="F1429" s="30" t="str">
        <f aca="false">IF($D1429="","",IFERROR(INDEX(合同项目,MATCH($D1429,合同键,0)),IFERROR(TRIM(MID($D1429,FIND("｜",$D1429)+1,99)),"")))</f>
        <v/>
      </c>
      <c r="G1429" s="24"/>
      <c r="H1429" s="35" t="str">
        <f aca="false">IF($G1429="","",IFERROR(INDEX(费用款别,MATCH($G1429,费用类别表,0)),"合同外款"))</f>
        <v/>
      </c>
      <c r="I1429" s="33"/>
      <c r="J1429" s="33"/>
      <c r="K1429" s="39"/>
      <c r="L1429" s="33"/>
      <c r="M1429" s="25"/>
      <c r="N1429" s="39"/>
      <c r="O1429" s="35" t="str">
        <f aca="false">IF($C1429="","",IF(N($N1429)&lt;=0,"未开票",IF(ROUND(N($N1429)-N($K1429),2)&gt;=0,"已开票",IFERROR("部分开票 "&amp;TEXT(N($N1429)/N($K1429),"0%"),"部分开票"))))</f>
        <v/>
      </c>
      <c r="P1429" s="40" t="str">
        <f aca="false">IF($C1429="","",ROUND($V1429+MIN($W1429,MAX(0,(SUMIF(收款键,$D1429,收款金额)-SUMIFS(收款金额,收款键,$D1429,收款关联,"&lt;&gt;"))-($X1429-$W1429))),2))</f>
        <v/>
      </c>
      <c r="Q1429" s="41" t="str">
        <f aca="false">IF($C1429="","",ROUND(N($K1429)-N($P1429),2))</f>
        <v/>
      </c>
      <c r="R1429" s="29" t="str">
        <f aca="false">IF($C1429="","",YEAR($C1429))</f>
        <v/>
      </c>
      <c r="S1429" s="24"/>
      <c r="T1429" s="35" t="str">
        <f aca="false">IF($C1429="","",IF($D1429="","★没选客户项目",IF(COUNTIF(合同键,$D1429)=0,"★《维保合同》里没这个项目",IF(N($K1429)&lt;=0,"★应收金额要填",IF(ROUND(N($N1429)-N($K1429),2)&gt;0.001,"★开票金额大于应收",IF(AND($L1429&lt;&gt;"",N($N1429)&lt;=0),"★填了开票日期没填开票金额",IF(AND($I1429&lt;&gt;"",$J1429&lt;&gt;"",$J1429&lt;$I1429),"★计费期间起止反了","OK")))))))</f>
        <v/>
      </c>
      <c r="U1429" s="29" t="str">
        <f aca="false">IF($L1429="","",YEAR($L1429))</f>
        <v/>
      </c>
      <c r="V1429" s="40" t="str">
        <f aca="false">IF($C1429="","",ROUND(SUMIF(收款关联,$B1429,收款金额),2))</f>
        <v/>
      </c>
      <c r="W1429" s="40" t="str">
        <f aca="false">IF($C1429="","",MAX(0,ROUND(N($K1429)-N($V1429),2)))</f>
        <v/>
      </c>
      <c r="X1429" s="40" t="str">
        <f aca="false">IF($C1429="","",ROUND(SUMIFS(应收净额,应收键,$D1429,应收行号,"&lt;="&amp;ROW()),2))</f>
        <v/>
      </c>
      <c r="Y1429" s="29" t="str">
        <f aca="false">IF($C1429="","",ROW())</f>
        <v/>
      </c>
    </row>
    <row r="1430" customFormat="false" ht="15" hidden="false" customHeight="false" outlineLevel="0" collapsed="false">
      <c r="A1430" s="29" t="str">
        <f aca="false">IF($C1430="","",ROW()-4)</f>
        <v/>
      </c>
      <c r="B1430" s="35" t="str">
        <f aca="false">IF($C1430="","","YS"&amp;TEXT($C1430,"yyyymm")&amp;"-"&amp;TEXT(ROW()-4,"0000"))</f>
        <v/>
      </c>
      <c r="C1430" s="33"/>
      <c r="D1430" s="24"/>
      <c r="E1430" s="30" t="str">
        <f aca="false">IF($D1430="","",IFERROR(INDEX(合同单位,MATCH($D1430,合同键,0)),IFERROR(TRIM(LEFT($D1430,FIND("｜",$D1430)-1)),$D1430)))</f>
        <v/>
      </c>
      <c r="F1430" s="30" t="str">
        <f aca="false">IF($D1430="","",IFERROR(INDEX(合同项目,MATCH($D1430,合同键,0)),IFERROR(TRIM(MID($D1430,FIND("｜",$D1430)+1,99)),"")))</f>
        <v/>
      </c>
      <c r="G1430" s="24"/>
      <c r="H1430" s="35" t="str">
        <f aca="false">IF($G1430="","",IFERROR(INDEX(费用款别,MATCH($G1430,费用类别表,0)),"合同外款"))</f>
        <v/>
      </c>
      <c r="I1430" s="33"/>
      <c r="J1430" s="33"/>
      <c r="K1430" s="39"/>
      <c r="L1430" s="33"/>
      <c r="M1430" s="25"/>
      <c r="N1430" s="39"/>
      <c r="O1430" s="35" t="str">
        <f aca="false">IF($C1430="","",IF(N($N1430)&lt;=0,"未开票",IF(ROUND(N($N1430)-N($K1430),2)&gt;=0,"已开票",IFERROR("部分开票 "&amp;TEXT(N($N1430)/N($K1430),"0%"),"部分开票"))))</f>
        <v/>
      </c>
      <c r="P1430" s="40" t="str">
        <f aca="false">IF($C1430="","",ROUND($V1430+MIN($W1430,MAX(0,(SUMIF(收款键,$D1430,收款金额)-SUMIFS(收款金额,收款键,$D1430,收款关联,"&lt;&gt;"))-($X1430-$W1430))),2))</f>
        <v/>
      </c>
      <c r="Q1430" s="41" t="str">
        <f aca="false">IF($C1430="","",ROUND(N($K1430)-N($P1430),2))</f>
        <v/>
      </c>
      <c r="R1430" s="29" t="str">
        <f aca="false">IF($C1430="","",YEAR($C1430))</f>
        <v/>
      </c>
      <c r="S1430" s="24"/>
      <c r="T1430" s="35" t="str">
        <f aca="false">IF($C1430="","",IF($D1430="","★没选客户项目",IF(COUNTIF(合同键,$D1430)=0,"★《维保合同》里没这个项目",IF(N($K1430)&lt;=0,"★应收金额要填",IF(ROUND(N($N1430)-N($K1430),2)&gt;0.001,"★开票金额大于应收",IF(AND($L1430&lt;&gt;"",N($N1430)&lt;=0),"★填了开票日期没填开票金额",IF(AND($I1430&lt;&gt;"",$J1430&lt;&gt;"",$J1430&lt;$I1430),"★计费期间起止反了","OK")))))))</f>
        <v/>
      </c>
      <c r="U1430" s="29" t="str">
        <f aca="false">IF($L1430="","",YEAR($L1430))</f>
        <v/>
      </c>
      <c r="V1430" s="40" t="str">
        <f aca="false">IF($C1430="","",ROUND(SUMIF(收款关联,$B1430,收款金额),2))</f>
        <v/>
      </c>
      <c r="W1430" s="40" t="str">
        <f aca="false">IF($C1430="","",MAX(0,ROUND(N($K1430)-N($V1430),2)))</f>
        <v/>
      </c>
      <c r="X1430" s="40" t="str">
        <f aca="false">IF($C1430="","",ROUND(SUMIFS(应收净额,应收键,$D1430,应收行号,"&lt;="&amp;ROW()),2))</f>
        <v/>
      </c>
      <c r="Y1430" s="29" t="str">
        <f aca="false">IF($C1430="","",ROW())</f>
        <v/>
      </c>
    </row>
    <row r="1431" customFormat="false" ht="15" hidden="false" customHeight="false" outlineLevel="0" collapsed="false">
      <c r="A1431" s="29" t="str">
        <f aca="false">IF($C1431="","",ROW()-4)</f>
        <v/>
      </c>
      <c r="B1431" s="35" t="str">
        <f aca="false">IF($C1431="","","YS"&amp;TEXT($C1431,"yyyymm")&amp;"-"&amp;TEXT(ROW()-4,"0000"))</f>
        <v/>
      </c>
      <c r="C1431" s="33"/>
      <c r="D1431" s="24"/>
      <c r="E1431" s="30" t="str">
        <f aca="false">IF($D1431="","",IFERROR(INDEX(合同单位,MATCH($D1431,合同键,0)),IFERROR(TRIM(LEFT($D1431,FIND("｜",$D1431)-1)),$D1431)))</f>
        <v/>
      </c>
      <c r="F1431" s="30" t="str">
        <f aca="false">IF($D1431="","",IFERROR(INDEX(合同项目,MATCH($D1431,合同键,0)),IFERROR(TRIM(MID($D1431,FIND("｜",$D1431)+1,99)),"")))</f>
        <v/>
      </c>
      <c r="G1431" s="24"/>
      <c r="H1431" s="35" t="str">
        <f aca="false">IF($G1431="","",IFERROR(INDEX(费用款别,MATCH($G1431,费用类别表,0)),"合同外款"))</f>
        <v/>
      </c>
      <c r="I1431" s="33"/>
      <c r="J1431" s="33"/>
      <c r="K1431" s="39"/>
      <c r="L1431" s="33"/>
      <c r="M1431" s="25"/>
      <c r="N1431" s="39"/>
      <c r="O1431" s="35" t="str">
        <f aca="false">IF($C1431="","",IF(N($N1431)&lt;=0,"未开票",IF(ROUND(N($N1431)-N($K1431),2)&gt;=0,"已开票",IFERROR("部分开票 "&amp;TEXT(N($N1431)/N($K1431),"0%"),"部分开票"))))</f>
        <v/>
      </c>
      <c r="P1431" s="40" t="str">
        <f aca="false">IF($C1431="","",ROUND($V1431+MIN($W1431,MAX(0,(SUMIF(收款键,$D1431,收款金额)-SUMIFS(收款金额,收款键,$D1431,收款关联,"&lt;&gt;"))-($X1431-$W1431))),2))</f>
        <v/>
      </c>
      <c r="Q1431" s="41" t="str">
        <f aca="false">IF($C1431="","",ROUND(N($K1431)-N($P1431),2))</f>
        <v/>
      </c>
      <c r="R1431" s="29" t="str">
        <f aca="false">IF($C1431="","",YEAR($C1431))</f>
        <v/>
      </c>
      <c r="S1431" s="24"/>
      <c r="T1431" s="35" t="str">
        <f aca="false">IF($C1431="","",IF($D1431="","★没选客户项目",IF(COUNTIF(合同键,$D1431)=0,"★《维保合同》里没这个项目",IF(N($K1431)&lt;=0,"★应收金额要填",IF(ROUND(N($N1431)-N($K1431),2)&gt;0.001,"★开票金额大于应收",IF(AND($L1431&lt;&gt;"",N($N1431)&lt;=0),"★填了开票日期没填开票金额",IF(AND($I1431&lt;&gt;"",$J1431&lt;&gt;"",$J1431&lt;$I1431),"★计费期间起止反了","OK")))))))</f>
        <v/>
      </c>
      <c r="U1431" s="29" t="str">
        <f aca="false">IF($L1431="","",YEAR($L1431))</f>
        <v/>
      </c>
      <c r="V1431" s="40" t="str">
        <f aca="false">IF($C1431="","",ROUND(SUMIF(收款关联,$B1431,收款金额),2))</f>
        <v/>
      </c>
      <c r="W1431" s="40" t="str">
        <f aca="false">IF($C1431="","",MAX(0,ROUND(N($K1431)-N($V1431),2)))</f>
        <v/>
      </c>
      <c r="X1431" s="40" t="str">
        <f aca="false">IF($C1431="","",ROUND(SUMIFS(应收净额,应收键,$D1431,应收行号,"&lt;="&amp;ROW()),2))</f>
        <v/>
      </c>
      <c r="Y1431" s="29" t="str">
        <f aca="false">IF($C1431="","",ROW())</f>
        <v/>
      </c>
    </row>
    <row r="1432" customFormat="false" ht="15" hidden="false" customHeight="false" outlineLevel="0" collapsed="false">
      <c r="A1432" s="29" t="str">
        <f aca="false">IF($C1432="","",ROW()-4)</f>
        <v/>
      </c>
      <c r="B1432" s="35" t="str">
        <f aca="false">IF($C1432="","","YS"&amp;TEXT($C1432,"yyyymm")&amp;"-"&amp;TEXT(ROW()-4,"0000"))</f>
        <v/>
      </c>
      <c r="C1432" s="33"/>
      <c r="D1432" s="24"/>
      <c r="E1432" s="30" t="str">
        <f aca="false">IF($D1432="","",IFERROR(INDEX(合同单位,MATCH($D1432,合同键,0)),IFERROR(TRIM(LEFT($D1432,FIND("｜",$D1432)-1)),$D1432)))</f>
        <v/>
      </c>
      <c r="F1432" s="30" t="str">
        <f aca="false">IF($D1432="","",IFERROR(INDEX(合同项目,MATCH($D1432,合同键,0)),IFERROR(TRIM(MID($D1432,FIND("｜",$D1432)+1,99)),"")))</f>
        <v/>
      </c>
      <c r="G1432" s="24"/>
      <c r="H1432" s="35" t="str">
        <f aca="false">IF($G1432="","",IFERROR(INDEX(费用款别,MATCH($G1432,费用类别表,0)),"合同外款"))</f>
        <v/>
      </c>
      <c r="I1432" s="33"/>
      <c r="J1432" s="33"/>
      <c r="K1432" s="39"/>
      <c r="L1432" s="33"/>
      <c r="M1432" s="25"/>
      <c r="N1432" s="39"/>
      <c r="O1432" s="35" t="str">
        <f aca="false">IF($C1432="","",IF(N($N1432)&lt;=0,"未开票",IF(ROUND(N($N1432)-N($K1432),2)&gt;=0,"已开票",IFERROR("部分开票 "&amp;TEXT(N($N1432)/N($K1432),"0%"),"部分开票"))))</f>
        <v/>
      </c>
      <c r="P1432" s="40" t="str">
        <f aca="false">IF($C1432="","",ROUND($V1432+MIN($W1432,MAX(0,(SUMIF(收款键,$D1432,收款金额)-SUMIFS(收款金额,收款键,$D1432,收款关联,"&lt;&gt;"))-($X1432-$W1432))),2))</f>
        <v/>
      </c>
      <c r="Q1432" s="41" t="str">
        <f aca="false">IF($C1432="","",ROUND(N($K1432)-N($P1432),2))</f>
        <v/>
      </c>
      <c r="R1432" s="29" t="str">
        <f aca="false">IF($C1432="","",YEAR($C1432))</f>
        <v/>
      </c>
      <c r="S1432" s="24"/>
      <c r="T1432" s="35" t="str">
        <f aca="false">IF($C1432="","",IF($D1432="","★没选客户项目",IF(COUNTIF(合同键,$D1432)=0,"★《维保合同》里没这个项目",IF(N($K1432)&lt;=0,"★应收金额要填",IF(ROUND(N($N1432)-N($K1432),2)&gt;0.001,"★开票金额大于应收",IF(AND($L1432&lt;&gt;"",N($N1432)&lt;=0),"★填了开票日期没填开票金额",IF(AND($I1432&lt;&gt;"",$J1432&lt;&gt;"",$J1432&lt;$I1432),"★计费期间起止反了","OK")))))))</f>
        <v/>
      </c>
      <c r="U1432" s="29" t="str">
        <f aca="false">IF($L1432="","",YEAR($L1432))</f>
        <v/>
      </c>
      <c r="V1432" s="40" t="str">
        <f aca="false">IF($C1432="","",ROUND(SUMIF(收款关联,$B1432,收款金额),2))</f>
        <v/>
      </c>
      <c r="W1432" s="40" t="str">
        <f aca="false">IF($C1432="","",MAX(0,ROUND(N($K1432)-N($V1432),2)))</f>
        <v/>
      </c>
      <c r="X1432" s="40" t="str">
        <f aca="false">IF($C1432="","",ROUND(SUMIFS(应收净额,应收键,$D1432,应收行号,"&lt;="&amp;ROW()),2))</f>
        <v/>
      </c>
      <c r="Y1432" s="29" t="str">
        <f aca="false">IF($C1432="","",ROW())</f>
        <v/>
      </c>
    </row>
    <row r="1433" customFormat="false" ht="15" hidden="false" customHeight="false" outlineLevel="0" collapsed="false">
      <c r="A1433" s="29" t="str">
        <f aca="false">IF($C1433="","",ROW()-4)</f>
        <v/>
      </c>
      <c r="B1433" s="35" t="str">
        <f aca="false">IF($C1433="","","YS"&amp;TEXT($C1433,"yyyymm")&amp;"-"&amp;TEXT(ROW()-4,"0000"))</f>
        <v/>
      </c>
      <c r="C1433" s="33"/>
      <c r="D1433" s="24"/>
      <c r="E1433" s="30" t="str">
        <f aca="false">IF($D1433="","",IFERROR(INDEX(合同单位,MATCH($D1433,合同键,0)),IFERROR(TRIM(LEFT($D1433,FIND("｜",$D1433)-1)),$D1433)))</f>
        <v/>
      </c>
      <c r="F1433" s="30" t="str">
        <f aca="false">IF($D1433="","",IFERROR(INDEX(合同项目,MATCH($D1433,合同键,0)),IFERROR(TRIM(MID($D1433,FIND("｜",$D1433)+1,99)),"")))</f>
        <v/>
      </c>
      <c r="G1433" s="24"/>
      <c r="H1433" s="35" t="str">
        <f aca="false">IF($G1433="","",IFERROR(INDEX(费用款别,MATCH($G1433,费用类别表,0)),"合同外款"))</f>
        <v/>
      </c>
      <c r="I1433" s="33"/>
      <c r="J1433" s="33"/>
      <c r="K1433" s="39"/>
      <c r="L1433" s="33"/>
      <c r="M1433" s="25"/>
      <c r="N1433" s="39"/>
      <c r="O1433" s="35" t="str">
        <f aca="false">IF($C1433="","",IF(N($N1433)&lt;=0,"未开票",IF(ROUND(N($N1433)-N($K1433),2)&gt;=0,"已开票",IFERROR("部分开票 "&amp;TEXT(N($N1433)/N($K1433),"0%"),"部分开票"))))</f>
        <v/>
      </c>
      <c r="P1433" s="40" t="str">
        <f aca="false">IF($C1433="","",ROUND($V1433+MIN($W1433,MAX(0,(SUMIF(收款键,$D1433,收款金额)-SUMIFS(收款金额,收款键,$D1433,收款关联,"&lt;&gt;"))-($X1433-$W1433))),2))</f>
        <v/>
      </c>
      <c r="Q1433" s="41" t="str">
        <f aca="false">IF($C1433="","",ROUND(N($K1433)-N($P1433),2))</f>
        <v/>
      </c>
      <c r="R1433" s="29" t="str">
        <f aca="false">IF($C1433="","",YEAR($C1433))</f>
        <v/>
      </c>
      <c r="S1433" s="24"/>
      <c r="T1433" s="35" t="str">
        <f aca="false">IF($C1433="","",IF($D1433="","★没选客户项目",IF(COUNTIF(合同键,$D1433)=0,"★《维保合同》里没这个项目",IF(N($K1433)&lt;=0,"★应收金额要填",IF(ROUND(N($N1433)-N($K1433),2)&gt;0.001,"★开票金额大于应收",IF(AND($L1433&lt;&gt;"",N($N1433)&lt;=0),"★填了开票日期没填开票金额",IF(AND($I1433&lt;&gt;"",$J1433&lt;&gt;"",$J1433&lt;$I1433),"★计费期间起止反了","OK")))))))</f>
        <v/>
      </c>
      <c r="U1433" s="29" t="str">
        <f aca="false">IF($L1433="","",YEAR($L1433))</f>
        <v/>
      </c>
      <c r="V1433" s="40" t="str">
        <f aca="false">IF($C1433="","",ROUND(SUMIF(收款关联,$B1433,收款金额),2))</f>
        <v/>
      </c>
      <c r="W1433" s="40" t="str">
        <f aca="false">IF($C1433="","",MAX(0,ROUND(N($K1433)-N($V1433),2)))</f>
        <v/>
      </c>
      <c r="X1433" s="40" t="str">
        <f aca="false">IF($C1433="","",ROUND(SUMIFS(应收净额,应收键,$D1433,应收行号,"&lt;="&amp;ROW()),2))</f>
        <v/>
      </c>
      <c r="Y1433" s="29" t="str">
        <f aca="false">IF($C1433="","",ROW())</f>
        <v/>
      </c>
    </row>
    <row r="1434" customFormat="false" ht="15" hidden="false" customHeight="false" outlineLevel="0" collapsed="false">
      <c r="A1434" s="29" t="str">
        <f aca="false">IF($C1434="","",ROW()-4)</f>
        <v/>
      </c>
      <c r="B1434" s="35" t="str">
        <f aca="false">IF($C1434="","","YS"&amp;TEXT($C1434,"yyyymm")&amp;"-"&amp;TEXT(ROW()-4,"0000"))</f>
        <v/>
      </c>
      <c r="C1434" s="33"/>
      <c r="D1434" s="24"/>
      <c r="E1434" s="30" t="str">
        <f aca="false">IF($D1434="","",IFERROR(INDEX(合同单位,MATCH($D1434,合同键,0)),IFERROR(TRIM(LEFT($D1434,FIND("｜",$D1434)-1)),$D1434)))</f>
        <v/>
      </c>
      <c r="F1434" s="30" t="str">
        <f aca="false">IF($D1434="","",IFERROR(INDEX(合同项目,MATCH($D1434,合同键,0)),IFERROR(TRIM(MID($D1434,FIND("｜",$D1434)+1,99)),"")))</f>
        <v/>
      </c>
      <c r="G1434" s="24"/>
      <c r="H1434" s="35" t="str">
        <f aca="false">IF($G1434="","",IFERROR(INDEX(费用款别,MATCH($G1434,费用类别表,0)),"合同外款"))</f>
        <v/>
      </c>
      <c r="I1434" s="33"/>
      <c r="J1434" s="33"/>
      <c r="K1434" s="39"/>
      <c r="L1434" s="33"/>
      <c r="M1434" s="25"/>
      <c r="N1434" s="39"/>
      <c r="O1434" s="35" t="str">
        <f aca="false">IF($C1434="","",IF(N($N1434)&lt;=0,"未开票",IF(ROUND(N($N1434)-N($K1434),2)&gt;=0,"已开票",IFERROR("部分开票 "&amp;TEXT(N($N1434)/N($K1434),"0%"),"部分开票"))))</f>
        <v/>
      </c>
      <c r="P1434" s="40" t="str">
        <f aca="false">IF($C1434="","",ROUND($V1434+MIN($W1434,MAX(0,(SUMIF(收款键,$D1434,收款金额)-SUMIFS(收款金额,收款键,$D1434,收款关联,"&lt;&gt;"))-($X1434-$W1434))),2))</f>
        <v/>
      </c>
      <c r="Q1434" s="41" t="str">
        <f aca="false">IF($C1434="","",ROUND(N($K1434)-N($P1434),2))</f>
        <v/>
      </c>
      <c r="R1434" s="29" t="str">
        <f aca="false">IF($C1434="","",YEAR($C1434))</f>
        <v/>
      </c>
      <c r="S1434" s="24"/>
      <c r="T1434" s="35" t="str">
        <f aca="false">IF($C1434="","",IF($D1434="","★没选客户项目",IF(COUNTIF(合同键,$D1434)=0,"★《维保合同》里没这个项目",IF(N($K1434)&lt;=0,"★应收金额要填",IF(ROUND(N($N1434)-N($K1434),2)&gt;0.001,"★开票金额大于应收",IF(AND($L1434&lt;&gt;"",N($N1434)&lt;=0),"★填了开票日期没填开票金额",IF(AND($I1434&lt;&gt;"",$J1434&lt;&gt;"",$J1434&lt;$I1434),"★计费期间起止反了","OK")))))))</f>
        <v/>
      </c>
      <c r="U1434" s="29" t="str">
        <f aca="false">IF($L1434="","",YEAR($L1434))</f>
        <v/>
      </c>
      <c r="V1434" s="40" t="str">
        <f aca="false">IF($C1434="","",ROUND(SUMIF(收款关联,$B1434,收款金额),2))</f>
        <v/>
      </c>
      <c r="W1434" s="40" t="str">
        <f aca="false">IF($C1434="","",MAX(0,ROUND(N($K1434)-N($V1434),2)))</f>
        <v/>
      </c>
      <c r="X1434" s="40" t="str">
        <f aca="false">IF($C1434="","",ROUND(SUMIFS(应收净额,应收键,$D1434,应收行号,"&lt;="&amp;ROW()),2))</f>
        <v/>
      </c>
      <c r="Y1434" s="29" t="str">
        <f aca="false">IF($C1434="","",ROW())</f>
        <v/>
      </c>
    </row>
    <row r="1435" customFormat="false" ht="15" hidden="false" customHeight="false" outlineLevel="0" collapsed="false">
      <c r="A1435" s="29" t="str">
        <f aca="false">IF($C1435="","",ROW()-4)</f>
        <v/>
      </c>
      <c r="B1435" s="35" t="str">
        <f aca="false">IF($C1435="","","YS"&amp;TEXT($C1435,"yyyymm")&amp;"-"&amp;TEXT(ROW()-4,"0000"))</f>
        <v/>
      </c>
      <c r="C1435" s="33"/>
      <c r="D1435" s="24"/>
      <c r="E1435" s="30" t="str">
        <f aca="false">IF($D1435="","",IFERROR(INDEX(合同单位,MATCH($D1435,合同键,0)),IFERROR(TRIM(LEFT($D1435,FIND("｜",$D1435)-1)),$D1435)))</f>
        <v/>
      </c>
      <c r="F1435" s="30" t="str">
        <f aca="false">IF($D1435="","",IFERROR(INDEX(合同项目,MATCH($D1435,合同键,0)),IFERROR(TRIM(MID($D1435,FIND("｜",$D1435)+1,99)),"")))</f>
        <v/>
      </c>
      <c r="G1435" s="24"/>
      <c r="H1435" s="35" t="str">
        <f aca="false">IF($G1435="","",IFERROR(INDEX(费用款别,MATCH($G1435,费用类别表,0)),"合同外款"))</f>
        <v/>
      </c>
      <c r="I1435" s="33"/>
      <c r="J1435" s="33"/>
      <c r="K1435" s="39"/>
      <c r="L1435" s="33"/>
      <c r="M1435" s="25"/>
      <c r="N1435" s="39"/>
      <c r="O1435" s="35" t="str">
        <f aca="false">IF($C1435="","",IF(N($N1435)&lt;=0,"未开票",IF(ROUND(N($N1435)-N($K1435),2)&gt;=0,"已开票",IFERROR("部分开票 "&amp;TEXT(N($N1435)/N($K1435),"0%"),"部分开票"))))</f>
        <v/>
      </c>
      <c r="P1435" s="40" t="str">
        <f aca="false">IF($C1435="","",ROUND($V1435+MIN($W1435,MAX(0,(SUMIF(收款键,$D1435,收款金额)-SUMIFS(收款金额,收款键,$D1435,收款关联,"&lt;&gt;"))-($X1435-$W1435))),2))</f>
        <v/>
      </c>
      <c r="Q1435" s="41" t="str">
        <f aca="false">IF($C1435="","",ROUND(N($K1435)-N($P1435),2))</f>
        <v/>
      </c>
      <c r="R1435" s="29" t="str">
        <f aca="false">IF($C1435="","",YEAR($C1435))</f>
        <v/>
      </c>
      <c r="S1435" s="24"/>
      <c r="T1435" s="35" t="str">
        <f aca="false">IF($C1435="","",IF($D1435="","★没选客户项目",IF(COUNTIF(合同键,$D1435)=0,"★《维保合同》里没这个项目",IF(N($K1435)&lt;=0,"★应收金额要填",IF(ROUND(N($N1435)-N($K1435),2)&gt;0.001,"★开票金额大于应收",IF(AND($L1435&lt;&gt;"",N($N1435)&lt;=0),"★填了开票日期没填开票金额",IF(AND($I1435&lt;&gt;"",$J1435&lt;&gt;"",$J1435&lt;$I1435),"★计费期间起止反了","OK")))))))</f>
        <v/>
      </c>
      <c r="U1435" s="29" t="str">
        <f aca="false">IF($L1435="","",YEAR($L1435))</f>
        <v/>
      </c>
      <c r="V1435" s="40" t="str">
        <f aca="false">IF($C1435="","",ROUND(SUMIF(收款关联,$B1435,收款金额),2))</f>
        <v/>
      </c>
      <c r="W1435" s="40" t="str">
        <f aca="false">IF($C1435="","",MAX(0,ROUND(N($K1435)-N($V1435),2)))</f>
        <v/>
      </c>
      <c r="X1435" s="40" t="str">
        <f aca="false">IF($C1435="","",ROUND(SUMIFS(应收净额,应收键,$D1435,应收行号,"&lt;="&amp;ROW()),2))</f>
        <v/>
      </c>
      <c r="Y1435" s="29" t="str">
        <f aca="false">IF($C1435="","",ROW())</f>
        <v/>
      </c>
    </row>
    <row r="1436" customFormat="false" ht="15" hidden="false" customHeight="false" outlineLevel="0" collapsed="false">
      <c r="A1436" s="29" t="str">
        <f aca="false">IF($C1436="","",ROW()-4)</f>
        <v/>
      </c>
      <c r="B1436" s="35" t="str">
        <f aca="false">IF($C1436="","","YS"&amp;TEXT($C1436,"yyyymm")&amp;"-"&amp;TEXT(ROW()-4,"0000"))</f>
        <v/>
      </c>
      <c r="C1436" s="33"/>
      <c r="D1436" s="24"/>
      <c r="E1436" s="30" t="str">
        <f aca="false">IF($D1436="","",IFERROR(INDEX(合同单位,MATCH($D1436,合同键,0)),IFERROR(TRIM(LEFT($D1436,FIND("｜",$D1436)-1)),$D1436)))</f>
        <v/>
      </c>
      <c r="F1436" s="30" t="str">
        <f aca="false">IF($D1436="","",IFERROR(INDEX(合同项目,MATCH($D1436,合同键,0)),IFERROR(TRIM(MID($D1436,FIND("｜",$D1436)+1,99)),"")))</f>
        <v/>
      </c>
      <c r="G1436" s="24"/>
      <c r="H1436" s="35" t="str">
        <f aca="false">IF($G1436="","",IFERROR(INDEX(费用款别,MATCH($G1436,费用类别表,0)),"合同外款"))</f>
        <v/>
      </c>
      <c r="I1436" s="33"/>
      <c r="J1436" s="33"/>
      <c r="K1436" s="39"/>
      <c r="L1436" s="33"/>
      <c r="M1436" s="25"/>
      <c r="N1436" s="39"/>
      <c r="O1436" s="35" t="str">
        <f aca="false">IF($C1436="","",IF(N($N1436)&lt;=0,"未开票",IF(ROUND(N($N1436)-N($K1436),2)&gt;=0,"已开票",IFERROR("部分开票 "&amp;TEXT(N($N1436)/N($K1436),"0%"),"部分开票"))))</f>
        <v/>
      </c>
      <c r="P1436" s="40" t="str">
        <f aca="false">IF($C1436="","",ROUND($V1436+MIN($W1436,MAX(0,(SUMIF(收款键,$D1436,收款金额)-SUMIFS(收款金额,收款键,$D1436,收款关联,"&lt;&gt;"))-($X1436-$W1436))),2))</f>
        <v/>
      </c>
      <c r="Q1436" s="41" t="str">
        <f aca="false">IF($C1436="","",ROUND(N($K1436)-N($P1436),2))</f>
        <v/>
      </c>
      <c r="R1436" s="29" t="str">
        <f aca="false">IF($C1436="","",YEAR($C1436))</f>
        <v/>
      </c>
      <c r="S1436" s="24"/>
      <c r="T1436" s="35" t="str">
        <f aca="false">IF($C1436="","",IF($D1436="","★没选客户项目",IF(COUNTIF(合同键,$D1436)=0,"★《维保合同》里没这个项目",IF(N($K1436)&lt;=0,"★应收金额要填",IF(ROUND(N($N1436)-N($K1436),2)&gt;0.001,"★开票金额大于应收",IF(AND($L1436&lt;&gt;"",N($N1436)&lt;=0),"★填了开票日期没填开票金额",IF(AND($I1436&lt;&gt;"",$J1436&lt;&gt;"",$J1436&lt;$I1436),"★计费期间起止反了","OK")))))))</f>
        <v/>
      </c>
      <c r="U1436" s="29" t="str">
        <f aca="false">IF($L1436="","",YEAR($L1436))</f>
        <v/>
      </c>
      <c r="V1436" s="40" t="str">
        <f aca="false">IF($C1436="","",ROUND(SUMIF(收款关联,$B1436,收款金额),2))</f>
        <v/>
      </c>
      <c r="W1436" s="40" t="str">
        <f aca="false">IF($C1436="","",MAX(0,ROUND(N($K1436)-N($V1436),2)))</f>
        <v/>
      </c>
      <c r="X1436" s="40" t="str">
        <f aca="false">IF($C1436="","",ROUND(SUMIFS(应收净额,应收键,$D1436,应收行号,"&lt;="&amp;ROW()),2))</f>
        <v/>
      </c>
      <c r="Y1436" s="29" t="str">
        <f aca="false">IF($C1436="","",ROW())</f>
        <v/>
      </c>
    </row>
    <row r="1437" customFormat="false" ht="15" hidden="false" customHeight="false" outlineLevel="0" collapsed="false">
      <c r="A1437" s="29" t="str">
        <f aca="false">IF($C1437="","",ROW()-4)</f>
        <v/>
      </c>
      <c r="B1437" s="35" t="str">
        <f aca="false">IF($C1437="","","YS"&amp;TEXT($C1437,"yyyymm")&amp;"-"&amp;TEXT(ROW()-4,"0000"))</f>
        <v/>
      </c>
      <c r="C1437" s="33"/>
      <c r="D1437" s="24"/>
      <c r="E1437" s="30" t="str">
        <f aca="false">IF($D1437="","",IFERROR(INDEX(合同单位,MATCH($D1437,合同键,0)),IFERROR(TRIM(LEFT($D1437,FIND("｜",$D1437)-1)),$D1437)))</f>
        <v/>
      </c>
      <c r="F1437" s="30" t="str">
        <f aca="false">IF($D1437="","",IFERROR(INDEX(合同项目,MATCH($D1437,合同键,0)),IFERROR(TRIM(MID($D1437,FIND("｜",$D1437)+1,99)),"")))</f>
        <v/>
      </c>
      <c r="G1437" s="24"/>
      <c r="H1437" s="35" t="str">
        <f aca="false">IF($G1437="","",IFERROR(INDEX(费用款别,MATCH($G1437,费用类别表,0)),"合同外款"))</f>
        <v/>
      </c>
      <c r="I1437" s="33"/>
      <c r="J1437" s="33"/>
      <c r="K1437" s="39"/>
      <c r="L1437" s="33"/>
      <c r="M1437" s="25"/>
      <c r="N1437" s="39"/>
      <c r="O1437" s="35" t="str">
        <f aca="false">IF($C1437="","",IF(N($N1437)&lt;=0,"未开票",IF(ROUND(N($N1437)-N($K1437),2)&gt;=0,"已开票",IFERROR("部分开票 "&amp;TEXT(N($N1437)/N($K1437),"0%"),"部分开票"))))</f>
        <v/>
      </c>
      <c r="P1437" s="40" t="str">
        <f aca="false">IF($C1437="","",ROUND($V1437+MIN($W1437,MAX(0,(SUMIF(收款键,$D1437,收款金额)-SUMIFS(收款金额,收款键,$D1437,收款关联,"&lt;&gt;"))-($X1437-$W1437))),2))</f>
        <v/>
      </c>
      <c r="Q1437" s="41" t="str">
        <f aca="false">IF($C1437="","",ROUND(N($K1437)-N($P1437),2))</f>
        <v/>
      </c>
      <c r="R1437" s="29" t="str">
        <f aca="false">IF($C1437="","",YEAR($C1437))</f>
        <v/>
      </c>
      <c r="S1437" s="24"/>
      <c r="T1437" s="35" t="str">
        <f aca="false">IF($C1437="","",IF($D1437="","★没选客户项目",IF(COUNTIF(合同键,$D1437)=0,"★《维保合同》里没这个项目",IF(N($K1437)&lt;=0,"★应收金额要填",IF(ROUND(N($N1437)-N($K1437),2)&gt;0.001,"★开票金额大于应收",IF(AND($L1437&lt;&gt;"",N($N1437)&lt;=0),"★填了开票日期没填开票金额",IF(AND($I1437&lt;&gt;"",$J1437&lt;&gt;"",$J1437&lt;$I1437),"★计费期间起止反了","OK")))))))</f>
        <v/>
      </c>
      <c r="U1437" s="29" t="str">
        <f aca="false">IF($L1437="","",YEAR($L1437))</f>
        <v/>
      </c>
      <c r="V1437" s="40" t="str">
        <f aca="false">IF($C1437="","",ROUND(SUMIF(收款关联,$B1437,收款金额),2))</f>
        <v/>
      </c>
      <c r="W1437" s="40" t="str">
        <f aca="false">IF($C1437="","",MAX(0,ROUND(N($K1437)-N($V1437),2)))</f>
        <v/>
      </c>
      <c r="X1437" s="40" t="str">
        <f aca="false">IF($C1437="","",ROUND(SUMIFS(应收净额,应收键,$D1437,应收行号,"&lt;="&amp;ROW()),2))</f>
        <v/>
      </c>
      <c r="Y1437" s="29" t="str">
        <f aca="false">IF($C1437="","",ROW())</f>
        <v/>
      </c>
    </row>
    <row r="1438" customFormat="false" ht="15" hidden="false" customHeight="false" outlineLevel="0" collapsed="false">
      <c r="A1438" s="29" t="str">
        <f aca="false">IF($C1438="","",ROW()-4)</f>
        <v/>
      </c>
      <c r="B1438" s="35" t="str">
        <f aca="false">IF($C1438="","","YS"&amp;TEXT($C1438,"yyyymm")&amp;"-"&amp;TEXT(ROW()-4,"0000"))</f>
        <v/>
      </c>
      <c r="C1438" s="33"/>
      <c r="D1438" s="24"/>
      <c r="E1438" s="30" t="str">
        <f aca="false">IF($D1438="","",IFERROR(INDEX(合同单位,MATCH($D1438,合同键,0)),IFERROR(TRIM(LEFT($D1438,FIND("｜",$D1438)-1)),$D1438)))</f>
        <v/>
      </c>
      <c r="F1438" s="30" t="str">
        <f aca="false">IF($D1438="","",IFERROR(INDEX(合同项目,MATCH($D1438,合同键,0)),IFERROR(TRIM(MID($D1438,FIND("｜",$D1438)+1,99)),"")))</f>
        <v/>
      </c>
      <c r="G1438" s="24"/>
      <c r="H1438" s="35" t="str">
        <f aca="false">IF($G1438="","",IFERROR(INDEX(费用款别,MATCH($G1438,费用类别表,0)),"合同外款"))</f>
        <v/>
      </c>
      <c r="I1438" s="33"/>
      <c r="J1438" s="33"/>
      <c r="K1438" s="39"/>
      <c r="L1438" s="33"/>
      <c r="M1438" s="25"/>
      <c r="N1438" s="39"/>
      <c r="O1438" s="35" t="str">
        <f aca="false">IF($C1438="","",IF(N($N1438)&lt;=0,"未开票",IF(ROUND(N($N1438)-N($K1438),2)&gt;=0,"已开票",IFERROR("部分开票 "&amp;TEXT(N($N1438)/N($K1438),"0%"),"部分开票"))))</f>
        <v/>
      </c>
      <c r="P1438" s="40" t="str">
        <f aca="false">IF($C1438="","",ROUND($V1438+MIN($W1438,MAX(0,(SUMIF(收款键,$D1438,收款金额)-SUMIFS(收款金额,收款键,$D1438,收款关联,"&lt;&gt;"))-($X1438-$W1438))),2))</f>
        <v/>
      </c>
      <c r="Q1438" s="41" t="str">
        <f aca="false">IF($C1438="","",ROUND(N($K1438)-N($P1438),2))</f>
        <v/>
      </c>
      <c r="R1438" s="29" t="str">
        <f aca="false">IF($C1438="","",YEAR($C1438))</f>
        <v/>
      </c>
      <c r="S1438" s="24"/>
      <c r="T1438" s="35" t="str">
        <f aca="false">IF($C1438="","",IF($D1438="","★没选客户项目",IF(COUNTIF(合同键,$D1438)=0,"★《维保合同》里没这个项目",IF(N($K1438)&lt;=0,"★应收金额要填",IF(ROUND(N($N1438)-N($K1438),2)&gt;0.001,"★开票金额大于应收",IF(AND($L1438&lt;&gt;"",N($N1438)&lt;=0),"★填了开票日期没填开票金额",IF(AND($I1438&lt;&gt;"",$J1438&lt;&gt;"",$J1438&lt;$I1438),"★计费期间起止反了","OK")))))))</f>
        <v/>
      </c>
      <c r="U1438" s="29" t="str">
        <f aca="false">IF($L1438="","",YEAR($L1438))</f>
        <v/>
      </c>
      <c r="V1438" s="40" t="str">
        <f aca="false">IF($C1438="","",ROUND(SUMIF(收款关联,$B1438,收款金额),2))</f>
        <v/>
      </c>
      <c r="W1438" s="40" t="str">
        <f aca="false">IF($C1438="","",MAX(0,ROUND(N($K1438)-N($V1438),2)))</f>
        <v/>
      </c>
      <c r="X1438" s="40" t="str">
        <f aca="false">IF($C1438="","",ROUND(SUMIFS(应收净额,应收键,$D1438,应收行号,"&lt;="&amp;ROW()),2))</f>
        <v/>
      </c>
      <c r="Y1438" s="29" t="str">
        <f aca="false">IF($C1438="","",ROW())</f>
        <v/>
      </c>
    </row>
    <row r="1439" customFormat="false" ht="15" hidden="false" customHeight="false" outlineLevel="0" collapsed="false">
      <c r="A1439" s="29" t="str">
        <f aca="false">IF($C1439="","",ROW()-4)</f>
        <v/>
      </c>
      <c r="B1439" s="35" t="str">
        <f aca="false">IF($C1439="","","YS"&amp;TEXT($C1439,"yyyymm")&amp;"-"&amp;TEXT(ROW()-4,"0000"))</f>
        <v/>
      </c>
      <c r="C1439" s="33"/>
      <c r="D1439" s="24"/>
      <c r="E1439" s="30" t="str">
        <f aca="false">IF($D1439="","",IFERROR(INDEX(合同单位,MATCH($D1439,合同键,0)),IFERROR(TRIM(LEFT($D1439,FIND("｜",$D1439)-1)),$D1439)))</f>
        <v/>
      </c>
      <c r="F1439" s="30" t="str">
        <f aca="false">IF($D1439="","",IFERROR(INDEX(合同项目,MATCH($D1439,合同键,0)),IFERROR(TRIM(MID($D1439,FIND("｜",$D1439)+1,99)),"")))</f>
        <v/>
      </c>
      <c r="G1439" s="24"/>
      <c r="H1439" s="35" t="str">
        <f aca="false">IF($G1439="","",IFERROR(INDEX(费用款别,MATCH($G1439,费用类别表,0)),"合同外款"))</f>
        <v/>
      </c>
      <c r="I1439" s="33"/>
      <c r="J1439" s="33"/>
      <c r="K1439" s="39"/>
      <c r="L1439" s="33"/>
      <c r="M1439" s="25"/>
      <c r="N1439" s="39"/>
      <c r="O1439" s="35" t="str">
        <f aca="false">IF($C1439="","",IF(N($N1439)&lt;=0,"未开票",IF(ROUND(N($N1439)-N($K1439),2)&gt;=0,"已开票",IFERROR("部分开票 "&amp;TEXT(N($N1439)/N($K1439),"0%"),"部分开票"))))</f>
        <v/>
      </c>
      <c r="P1439" s="40" t="str">
        <f aca="false">IF($C1439="","",ROUND($V1439+MIN($W1439,MAX(0,(SUMIF(收款键,$D1439,收款金额)-SUMIFS(收款金额,收款键,$D1439,收款关联,"&lt;&gt;"))-($X1439-$W1439))),2))</f>
        <v/>
      </c>
      <c r="Q1439" s="41" t="str">
        <f aca="false">IF($C1439="","",ROUND(N($K1439)-N($P1439),2))</f>
        <v/>
      </c>
      <c r="R1439" s="29" t="str">
        <f aca="false">IF($C1439="","",YEAR($C1439))</f>
        <v/>
      </c>
      <c r="S1439" s="24"/>
      <c r="T1439" s="35" t="str">
        <f aca="false">IF($C1439="","",IF($D1439="","★没选客户项目",IF(COUNTIF(合同键,$D1439)=0,"★《维保合同》里没这个项目",IF(N($K1439)&lt;=0,"★应收金额要填",IF(ROUND(N($N1439)-N($K1439),2)&gt;0.001,"★开票金额大于应收",IF(AND($L1439&lt;&gt;"",N($N1439)&lt;=0),"★填了开票日期没填开票金额",IF(AND($I1439&lt;&gt;"",$J1439&lt;&gt;"",$J1439&lt;$I1439),"★计费期间起止反了","OK")))))))</f>
        <v/>
      </c>
      <c r="U1439" s="29" t="str">
        <f aca="false">IF($L1439="","",YEAR($L1439))</f>
        <v/>
      </c>
      <c r="V1439" s="40" t="str">
        <f aca="false">IF($C1439="","",ROUND(SUMIF(收款关联,$B1439,收款金额),2))</f>
        <v/>
      </c>
      <c r="W1439" s="40" t="str">
        <f aca="false">IF($C1439="","",MAX(0,ROUND(N($K1439)-N($V1439),2)))</f>
        <v/>
      </c>
      <c r="X1439" s="40" t="str">
        <f aca="false">IF($C1439="","",ROUND(SUMIFS(应收净额,应收键,$D1439,应收行号,"&lt;="&amp;ROW()),2))</f>
        <v/>
      </c>
      <c r="Y1439" s="29" t="str">
        <f aca="false">IF($C1439="","",ROW())</f>
        <v/>
      </c>
    </row>
    <row r="1440" customFormat="false" ht="15" hidden="false" customHeight="false" outlineLevel="0" collapsed="false">
      <c r="A1440" s="29" t="str">
        <f aca="false">IF($C1440="","",ROW()-4)</f>
        <v/>
      </c>
      <c r="B1440" s="35" t="str">
        <f aca="false">IF($C1440="","","YS"&amp;TEXT($C1440,"yyyymm")&amp;"-"&amp;TEXT(ROW()-4,"0000"))</f>
        <v/>
      </c>
      <c r="C1440" s="33"/>
      <c r="D1440" s="24"/>
      <c r="E1440" s="30" t="str">
        <f aca="false">IF($D1440="","",IFERROR(INDEX(合同单位,MATCH($D1440,合同键,0)),IFERROR(TRIM(LEFT($D1440,FIND("｜",$D1440)-1)),$D1440)))</f>
        <v/>
      </c>
      <c r="F1440" s="30" t="str">
        <f aca="false">IF($D1440="","",IFERROR(INDEX(合同项目,MATCH($D1440,合同键,0)),IFERROR(TRIM(MID($D1440,FIND("｜",$D1440)+1,99)),"")))</f>
        <v/>
      </c>
      <c r="G1440" s="24"/>
      <c r="H1440" s="35" t="str">
        <f aca="false">IF($G1440="","",IFERROR(INDEX(费用款别,MATCH($G1440,费用类别表,0)),"合同外款"))</f>
        <v/>
      </c>
      <c r="I1440" s="33"/>
      <c r="J1440" s="33"/>
      <c r="K1440" s="39"/>
      <c r="L1440" s="33"/>
      <c r="M1440" s="25"/>
      <c r="N1440" s="39"/>
      <c r="O1440" s="35" t="str">
        <f aca="false">IF($C1440="","",IF(N($N1440)&lt;=0,"未开票",IF(ROUND(N($N1440)-N($K1440),2)&gt;=0,"已开票",IFERROR("部分开票 "&amp;TEXT(N($N1440)/N($K1440),"0%"),"部分开票"))))</f>
        <v/>
      </c>
      <c r="P1440" s="40" t="str">
        <f aca="false">IF($C1440="","",ROUND($V1440+MIN($W1440,MAX(0,(SUMIF(收款键,$D1440,收款金额)-SUMIFS(收款金额,收款键,$D1440,收款关联,"&lt;&gt;"))-($X1440-$W1440))),2))</f>
        <v/>
      </c>
      <c r="Q1440" s="41" t="str">
        <f aca="false">IF($C1440="","",ROUND(N($K1440)-N($P1440),2))</f>
        <v/>
      </c>
      <c r="R1440" s="29" t="str">
        <f aca="false">IF($C1440="","",YEAR($C1440))</f>
        <v/>
      </c>
      <c r="S1440" s="24"/>
      <c r="T1440" s="35" t="str">
        <f aca="false">IF($C1440="","",IF($D1440="","★没选客户项目",IF(COUNTIF(合同键,$D1440)=0,"★《维保合同》里没这个项目",IF(N($K1440)&lt;=0,"★应收金额要填",IF(ROUND(N($N1440)-N($K1440),2)&gt;0.001,"★开票金额大于应收",IF(AND($L1440&lt;&gt;"",N($N1440)&lt;=0),"★填了开票日期没填开票金额",IF(AND($I1440&lt;&gt;"",$J1440&lt;&gt;"",$J1440&lt;$I1440),"★计费期间起止反了","OK")))))))</f>
        <v/>
      </c>
      <c r="U1440" s="29" t="str">
        <f aca="false">IF($L1440="","",YEAR($L1440))</f>
        <v/>
      </c>
      <c r="V1440" s="40" t="str">
        <f aca="false">IF($C1440="","",ROUND(SUMIF(收款关联,$B1440,收款金额),2))</f>
        <v/>
      </c>
      <c r="W1440" s="40" t="str">
        <f aca="false">IF($C1440="","",MAX(0,ROUND(N($K1440)-N($V1440),2)))</f>
        <v/>
      </c>
      <c r="X1440" s="40" t="str">
        <f aca="false">IF($C1440="","",ROUND(SUMIFS(应收净额,应收键,$D1440,应收行号,"&lt;="&amp;ROW()),2))</f>
        <v/>
      </c>
      <c r="Y1440" s="29" t="str">
        <f aca="false">IF($C1440="","",ROW())</f>
        <v/>
      </c>
    </row>
    <row r="1441" customFormat="false" ht="15" hidden="false" customHeight="false" outlineLevel="0" collapsed="false">
      <c r="A1441" s="29" t="str">
        <f aca="false">IF($C1441="","",ROW()-4)</f>
        <v/>
      </c>
      <c r="B1441" s="35" t="str">
        <f aca="false">IF($C1441="","","YS"&amp;TEXT($C1441,"yyyymm")&amp;"-"&amp;TEXT(ROW()-4,"0000"))</f>
        <v/>
      </c>
      <c r="C1441" s="33"/>
      <c r="D1441" s="24"/>
      <c r="E1441" s="30" t="str">
        <f aca="false">IF($D1441="","",IFERROR(INDEX(合同单位,MATCH($D1441,合同键,0)),IFERROR(TRIM(LEFT($D1441,FIND("｜",$D1441)-1)),$D1441)))</f>
        <v/>
      </c>
      <c r="F1441" s="30" t="str">
        <f aca="false">IF($D1441="","",IFERROR(INDEX(合同项目,MATCH($D1441,合同键,0)),IFERROR(TRIM(MID($D1441,FIND("｜",$D1441)+1,99)),"")))</f>
        <v/>
      </c>
      <c r="G1441" s="24"/>
      <c r="H1441" s="35" t="str">
        <f aca="false">IF($G1441="","",IFERROR(INDEX(费用款别,MATCH($G1441,费用类别表,0)),"合同外款"))</f>
        <v/>
      </c>
      <c r="I1441" s="33"/>
      <c r="J1441" s="33"/>
      <c r="K1441" s="39"/>
      <c r="L1441" s="33"/>
      <c r="M1441" s="25"/>
      <c r="N1441" s="39"/>
      <c r="O1441" s="35" t="str">
        <f aca="false">IF($C1441="","",IF(N($N1441)&lt;=0,"未开票",IF(ROUND(N($N1441)-N($K1441),2)&gt;=0,"已开票",IFERROR("部分开票 "&amp;TEXT(N($N1441)/N($K1441),"0%"),"部分开票"))))</f>
        <v/>
      </c>
      <c r="P1441" s="40" t="str">
        <f aca="false">IF($C1441="","",ROUND($V1441+MIN($W1441,MAX(0,(SUMIF(收款键,$D1441,收款金额)-SUMIFS(收款金额,收款键,$D1441,收款关联,"&lt;&gt;"))-($X1441-$W1441))),2))</f>
        <v/>
      </c>
      <c r="Q1441" s="41" t="str">
        <f aca="false">IF($C1441="","",ROUND(N($K1441)-N($P1441),2))</f>
        <v/>
      </c>
      <c r="R1441" s="29" t="str">
        <f aca="false">IF($C1441="","",YEAR($C1441))</f>
        <v/>
      </c>
      <c r="S1441" s="24"/>
      <c r="T1441" s="35" t="str">
        <f aca="false">IF($C1441="","",IF($D1441="","★没选客户项目",IF(COUNTIF(合同键,$D1441)=0,"★《维保合同》里没这个项目",IF(N($K1441)&lt;=0,"★应收金额要填",IF(ROUND(N($N1441)-N($K1441),2)&gt;0.001,"★开票金额大于应收",IF(AND($L1441&lt;&gt;"",N($N1441)&lt;=0),"★填了开票日期没填开票金额",IF(AND($I1441&lt;&gt;"",$J1441&lt;&gt;"",$J1441&lt;$I1441),"★计费期间起止反了","OK")))))))</f>
        <v/>
      </c>
      <c r="U1441" s="29" t="str">
        <f aca="false">IF($L1441="","",YEAR($L1441))</f>
        <v/>
      </c>
      <c r="V1441" s="40" t="str">
        <f aca="false">IF($C1441="","",ROUND(SUMIF(收款关联,$B1441,收款金额),2))</f>
        <v/>
      </c>
      <c r="W1441" s="40" t="str">
        <f aca="false">IF($C1441="","",MAX(0,ROUND(N($K1441)-N($V1441),2)))</f>
        <v/>
      </c>
      <c r="X1441" s="40" t="str">
        <f aca="false">IF($C1441="","",ROUND(SUMIFS(应收净额,应收键,$D1441,应收行号,"&lt;="&amp;ROW()),2))</f>
        <v/>
      </c>
      <c r="Y1441" s="29" t="str">
        <f aca="false">IF($C1441="","",ROW())</f>
        <v/>
      </c>
    </row>
    <row r="1442" customFormat="false" ht="15" hidden="false" customHeight="false" outlineLevel="0" collapsed="false">
      <c r="A1442" s="29" t="str">
        <f aca="false">IF($C1442="","",ROW()-4)</f>
        <v/>
      </c>
      <c r="B1442" s="35" t="str">
        <f aca="false">IF($C1442="","","YS"&amp;TEXT($C1442,"yyyymm")&amp;"-"&amp;TEXT(ROW()-4,"0000"))</f>
        <v/>
      </c>
      <c r="C1442" s="33"/>
      <c r="D1442" s="24"/>
      <c r="E1442" s="30" t="str">
        <f aca="false">IF($D1442="","",IFERROR(INDEX(合同单位,MATCH($D1442,合同键,0)),IFERROR(TRIM(LEFT($D1442,FIND("｜",$D1442)-1)),$D1442)))</f>
        <v/>
      </c>
      <c r="F1442" s="30" t="str">
        <f aca="false">IF($D1442="","",IFERROR(INDEX(合同项目,MATCH($D1442,合同键,0)),IFERROR(TRIM(MID($D1442,FIND("｜",$D1442)+1,99)),"")))</f>
        <v/>
      </c>
      <c r="G1442" s="24"/>
      <c r="H1442" s="35" t="str">
        <f aca="false">IF($G1442="","",IFERROR(INDEX(费用款别,MATCH($G1442,费用类别表,0)),"合同外款"))</f>
        <v/>
      </c>
      <c r="I1442" s="33"/>
      <c r="J1442" s="33"/>
      <c r="K1442" s="39"/>
      <c r="L1442" s="33"/>
      <c r="M1442" s="25"/>
      <c r="N1442" s="39"/>
      <c r="O1442" s="35" t="str">
        <f aca="false">IF($C1442="","",IF(N($N1442)&lt;=0,"未开票",IF(ROUND(N($N1442)-N($K1442),2)&gt;=0,"已开票",IFERROR("部分开票 "&amp;TEXT(N($N1442)/N($K1442),"0%"),"部分开票"))))</f>
        <v/>
      </c>
      <c r="P1442" s="40" t="str">
        <f aca="false">IF($C1442="","",ROUND($V1442+MIN($W1442,MAX(0,(SUMIF(收款键,$D1442,收款金额)-SUMIFS(收款金额,收款键,$D1442,收款关联,"&lt;&gt;"))-($X1442-$W1442))),2))</f>
        <v/>
      </c>
      <c r="Q1442" s="41" t="str">
        <f aca="false">IF($C1442="","",ROUND(N($K1442)-N($P1442),2))</f>
        <v/>
      </c>
      <c r="R1442" s="29" t="str">
        <f aca="false">IF($C1442="","",YEAR($C1442))</f>
        <v/>
      </c>
      <c r="S1442" s="24"/>
      <c r="T1442" s="35" t="str">
        <f aca="false">IF($C1442="","",IF($D1442="","★没选客户项目",IF(COUNTIF(合同键,$D1442)=0,"★《维保合同》里没这个项目",IF(N($K1442)&lt;=0,"★应收金额要填",IF(ROUND(N($N1442)-N($K1442),2)&gt;0.001,"★开票金额大于应收",IF(AND($L1442&lt;&gt;"",N($N1442)&lt;=0),"★填了开票日期没填开票金额",IF(AND($I1442&lt;&gt;"",$J1442&lt;&gt;"",$J1442&lt;$I1442),"★计费期间起止反了","OK")))))))</f>
        <v/>
      </c>
      <c r="U1442" s="29" t="str">
        <f aca="false">IF($L1442="","",YEAR($L1442))</f>
        <v/>
      </c>
      <c r="V1442" s="40" t="str">
        <f aca="false">IF($C1442="","",ROUND(SUMIF(收款关联,$B1442,收款金额),2))</f>
        <v/>
      </c>
      <c r="W1442" s="40" t="str">
        <f aca="false">IF($C1442="","",MAX(0,ROUND(N($K1442)-N($V1442),2)))</f>
        <v/>
      </c>
      <c r="X1442" s="40" t="str">
        <f aca="false">IF($C1442="","",ROUND(SUMIFS(应收净额,应收键,$D1442,应收行号,"&lt;="&amp;ROW()),2))</f>
        <v/>
      </c>
      <c r="Y1442" s="29" t="str">
        <f aca="false">IF($C1442="","",ROW())</f>
        <v/>
      </c>
    </row>
    <row r="1443" customFormat="false" ht="15" hidden="false" customHeight="false" outlineLevel="0" collapsed="false">
      <c r="A1443" s="29" t="str">
        <f aca="false">IF($C1443="","",ROW()-4)</f>
        <v/>
      </c>
      <c r="B1443" s="35" t="str">
        <f aca="false">IF($C1443="","","YS"&amp;TEXT($C1443,"yyyymm")&amp;"-"&amp;TEXT(ROW()-4,"0000"))</f>
        <v/>
      </c>
      <c r="C1443" s="33"/>
      <c r="D1443" s="24"/>
      <c r="E1443" s="30" t="str">
        <f aca="false">IF($D1443="","",IFERROR(INDEX(合同单位,MATCH($D1443,合同键,0)),IFERROR(TRIM(LEFT($D1443,FIND("｜",$D1443)-1)),$D1443)))</f>
        <v/>
      </c>
      <c r="F1443" s="30" t="str">
        <f aca="false">IF($D1443="","",IFERROR(INDEX(合同项目,MATCH($D1443,合同键,0)),IFERROR(TRIM(MID($D1443,FIND("｜",$D1443)+1,99)),"")))</f>
        <v/>
      </c>
      <c r="G1443" s="24"/>
      <c r="H1443" s="35" t="str">
        <f aca="false">IF($G1443="","",IFERROR(INDEX(费用款别,MATCH($G1443,费用类别表,0)),"合同外款"))</f>
        <v/>
      </c>
      <c r="I1443" s="33"/>
      <c r="J1443" s="33"/>
      <c r="K1443" s="39"/>
      <c r="L1443" s="33"/>
      <c r="M1443" s="25"/>
      <c r="N1443" s="39"/>
      <c r="O1443" s="35" t="str">
        <f aca="false">IF($C1443="","",IF(N($N1443)&lt;=0,"未开票",IF(ROUND(N($N1443)-N($K1443),2)&gt;=0,"已开票",IFERROR("部分开票 "&amp;TEXT(N($N1443)/N($K1443),"0%"),"部分开票"))))</f>
        <v/>
      </c>
      <c r="P1443" s="40" t="str">
        <f aca="false">IF($C1443="","",ROUND($V1443+MIN($W1443,MAX(0,(SUMIF(收款键,$D1443,收款金额)-SUMIFS(收款金额,收款键,$D1443,收款关联,"&lt;&gt;"))-($X1443-$W1443))),2))</f>
        <v/>
      </c>
      <c r="Q1443" s="41" t="str">
        <f aca="false">IF($C1443="","",ROUND(N($K1443)-N($P1443),2))</f>
        <v/>
      </c>
      <c r="R1443" s="29" t="str">
        <f aca="false">IF($C1443="","",YEAR($C1443))</f>
        <v/>
      </c>
      <c r="S1443" s="24"/>
      <c r="T1443" s="35" t="str">
        <f aca="false">IF($C1443="","",IF($D1443="","★没选客户项目",IF(COUNTIF(合同键,$D1443)=0,"★《维保合同》里没这个项目",IF(N($K1443)&lt;=0,"★应收金额要填",IF(ROUND(N($N1443)-N($K1443),2)&gt;0.001,"★开票金额大于应收",IF(AND($L1443&lt;&gt;"",N($N1443)&lt;=0),"★填了开票日期没填开票金额",IF(AND($I1443&lt;&gt;"",$J1443&lt;&gt;"",$J1443&lt;$I1443),"★计费期间起止反了","OK")))))))</f>
        <v/>
      </c>
      <c r="U1443" s="29" t="str">
        <f aca="false">IF($L1443="","",YEAR($L1443))</f>
        <v/>
      </c>
      <c r="V1443" s="40" t="str">
        <f aca="false">IF($C1443="","",ROUND(SUMIF(收款关联,$B1443,收款金额),2))</f>
        <v/>
      </c>
      <c r="W1443" s="40" t="str">
        <f aca="false">IF($C1443="","",MAX(0,ROUND(N($K1443)-N($V1443),2)))</f>
        <v/>
      </c>
      <c r="X1443" s="40" t="str">
        <f aca="false">IF($C1443="","",ROUND(SUMIFS(应收净额,应收键,$D1443,应收行号,"&lt;="&amp;ROW()),2))</f>
        <v/>
      </c>
      <c r="Y1443" s="29" t="str">
        <f aca="false">IF($C1443="","",ROW())</f>
        <v/>
      </c>
    </row>
    <row r="1444" customFormat="false" ht="15" hidden="false" customHeight="false" outlineLevel="0" collapsed="false">
      <c r="A1444" s="29" t="str">
        <f aca="false">IF($C1444="","",ROW()-4)</f>
        <v/>
      </c>
      <c r="B1444" s="35" t="str">
        <f aca="false">IF($C1444="","","YS"&amp;TEXT($C1444,"yyyymm")&amp;"-"&amp;TEXT(ROW()-4,"0000"))</f>
        <v/>
      </c>
      <c r="C1444" s="33"/>
      <c r="D1444" s="24"/>
      <c r="E1444" s="30" t="str">
        <f aca="false">IF($D1444="","",IFERROR(INDEX(合同单位,MATCH($D1444,合同键,0)),IFERROR(TRIM(LEFT($D1444,FIND("｜",$D1444)-1)),$D1444)))</f>
        <v/>
      </c>
      <c r="F1444" s="30" t="str">
        <f aca="false">IF($D1444="","",IFERROR(INDEX(合同项目,MATCH($D1444,合同键,0)),IFERROR(TRIM(MID($D1444,FIND("｜",$D1444)+1,99)),"")))</f>
        <v/>
      </c>
      <c r="G1444" s="24"/>
      <c r="H1444" s="35" t="str">
        <f aca="false">IF($G1444="","",IFERROR(INDEX(费用款别,MATCH($G1444,费用类别表,0)),"合同外款"))</f>
        <v/>
      </c>
      <c r="I1444" s="33"/>
      <c r="J1444" s="33"/>
      <c r="K1444" s="39"/>
      <c r="L1444" s="33"/>
      <c r="M1444" s="25"/>
      <c r="N1444" s="39"/>
      <c r="O1444" s="35" t="str">
        <f aca="false">IF($C1444="","",IF(N($N1444)&lt;=0,"未开票",IF(ROUND(N($N1444)-N($K1444),2)&gt;=0,"已开票",IFERROR("部分开票 "&amp;TEXT(N($N1444)/N($K1444),"0%"),"部分开票"))))</f>
        <v/>
      </c>
      <c r="P1444" s="40" t="str">
        <f aca="false">IF($C1444="","",ROUND($V1444+MIN($W1444,MAX(0,(SUMIF(收款键,$D1444,收款金额)-SUMIFS(收款金额,收款键,$D1444,收款关联,"&lt;&gt;"))-($X1444-$W1444))),2))</f>
        <v/>
      </c>
      <c r="Q1444" s="41" t="str">
        <f aca="false">IF($C1444="","",ROUND(N($K1444)-N($P1444),2))</f>
        <v/>
      </c>
      <c r="R1444" s="29" t="str">
        <f aca="false">IF($C1444="","",YEAR($C1444))</f>
        <v/>
      </c>
      <c r="S1444" s="24"/>
      <c r="T1444" s="35" t="str">
        <f aca="false">IF($C1444="","",IF($D1444="","★没选客户项目",IF(COUNTIF(合同键,$D1444)=0,"★《维保合同》里没这个项目",IF(N($K1444)&lt;=0,"★应收金额要填",IF(ROUND(N($N1444)-N($K1444),2)&gt;0.001,"★开票金额大于应收",IF(AND($L1444&lt;&gt;"",N($N1444)&lt;=0),"★填了开票日期没填开票金额",IF(AND($I1444&lt;&gt;"",$J1444&lt;&gt;"",$J1444&lt;$I1444),"★计费期间起止反了","OK")))))))</f>
        <v/>
      </c>
      <c r="U1444" s="29" t="str">
        <f aca="false">IF($L1444="","",YEAR($L1444))</f>
        <v/>
      </c>
      <c r="V1444" s="40" t="str">
        <f aca="false">IF($C1444="","",ROUND(SUMIF(收款关联,$B1444,收款金额),2))</f>
        <v/>
      </c>
      <c r="W1444" s="40" t="str">
        <f aca="false">IF($C1444="","",MAX(0,ROUND(N($K1444)-N($V1444),2)))</f>
        <v/>
      </c>
      <c r="X1444" s="40" t="str">
        <f aca="false">IF($C1444="","",ROUND(SUMIFS(应收净额,应收键,$D1444,应收行号,"&lt;="&amp;ROW()),2))</f>
        <v/>
      </c>
      <c r="Y1444" s="29" t="str">
        <f aca="false">IF($C1444="","",ROW())</f>
        <v/>
      </c>
    </row>
    <row r="1445" customFormat="false" ht="15" hidden="false" customHeight="false" outlineLevel="0" collapsed="false">
      <c r="A1445" s="29" t="str">
        <f aca="false">IF($C1445="","",ROW()-4)</f>
        <v/>
      </c>
      <c r="B1445" s="35" t="str">
        <f aca="false">IF($C1445="","","YS"&amp;TEXT($C1445,"yyyymm")&amp;"-"&amp;TEXT(ROW()-4,"0000"))</f>
        <v/>
      </c>
      <c r="C1445" s="33"/>
      <c r="D1445" s="24"/>
      <c r="E1445" s="30" t="str">
        <f aca="false">IF($D1445="","",IFERROR(INDEX(合同单位,MATCH($D1445,合同键,0)),IFERROR(TRIM(LEFT($D1445,FIND("｜",$D1445)-1)),$D1445)))</f>
        <v/>
      </c>
      <c r="F1445" s="30" t="str">
        <f aca="false">IF($D1445="","",IFERROR(INDEX(合同项目,MATCH($D1445,合同键,0)),IFERROR(TRIM(MID($D1445,FIND("｜",$D1445)+1,99)),"")))</f>
        <v/>
      </c>
      <c r="G1445" s="24"/>
      <c r="H1445" s="35" t="str">
        <f aca="false">IF($G1445="","",IFERROR(INDEX(费用款别,MATCH($G1445,费用类别表,0)),"合同外款"))</f>
        <v/>
      </c>
      <c r="I1445" s="33"/>
      <c r="J1445" s="33"/>
      <c r="K1445" s="39"/>
      <c r="L1445" s="33"/>
      <c r="M1445" s="25"/>
      <c r="N1445" s="39"/>
      <c r="O1445" s="35" t="str">
        <f aca="false">IF($C1445="","",IF(N($N1445)&lt;=0,"未开票",IF(ROUND(N($N1445)-N($K1445),2)&gt;=0,"已开票",IFERROR("部分开票 "&amp;TEXT(N($N1445)/N($K1445),"0%"),"部分开票"))))</f>
        <v/>
      </c>
      <c r="P1445" s="40" t="str">
        <f aca="false">IF($C1445="","",ROUND($V1445+MIN($W1445,MAX(0,(SUMIF(收款键,$D1445,收款金额)-SUMIFS(收款金额,收款键,$D1445,收款关联,"&lt;&gt;"))-($X1445-$W1445))),2))</f>
        <v/>
      </c>
      <c r="Q1445" s="41" t="str">
        <f aca="false">IF($C1445="","",ROUND(N($K1445)-N($P1445),2))</f>
        <v/>
      </c>
      <c r="R1445" s="29" t="str">
        <f aca="false">IF($C1445="","",YEAR($C1445))</f>
        <v/>
      </c>
      <c r="S1445" s="24"/>
      <c r="T1445" s="35" t="str">
        <f aca="false">IF($C1445="","",IF($D1445="","★没选客户项目",IF(COUNTIF(合同键,$D1445)=0,"★《维保合同》里没这个项目",IF(N($K1445)&lt;=0,"★应收金额要填",IF(ROUND(N($N1445)-N($K1445),2)&gt;0.001,"★开票金额大于应收",IF(AND($L1445&lt;&gt;"",N($N1445)&lt;=0),"★填了开票日期没填开票金额",IF(AND($I1445&lt;&gt;"",$J1445&lt;&gt;"",$J1445&lt;$I1445),"★计费期间起止反了","OK")))))))</f>
        <v/>
      </c>
      <c r="U1445" s="29" t="str">
        <f aca="false">IF($L1445="","",YEAR($L1445))</f>
        <v/>
      </c>
      <c r="V1445" s="40" t="str">
        <f aca="false">IF($C1445="","",ROUND(SUMIF(收款关联,$B1445,收款金额),2))</f>
        <v/>
      </c>
      <c r="W1445" s="40" t="str">
        <f aca="false">IF($C1445="","",MAX(0,ROUND(N($K1445)-N($V1445),2)))</f>
        <v/>
      </c>
      <c r="X1445" s="40" t="str">
        <f aca="false">IF($C1445="","",ROUND(SUMIFS(应收净额,应收键,$D1445,应收行号,"&lt;="&amp;ROW()),2))</f>
        <v/>
      </c>
      <c r="Y1445" s="29" t="str">
        <f aca="false">IF($C1445="","",ROW())</f>
        <v/>
      </c>
    </row>
    <row r="1446" customFormat="false" ht="15" hidden="false" customHeight="false" outlineLevel="0" collapsed="false">
      <c r="A1446" s="29" t="str">
        <f aca="false">IF($C1446="","",ROW()-4)</f>
        <v/>
      </c>
      <c r="B1446" s="35" t="str">
        <f aca="false">IF($C1446="","","YS"&amp;TEXT($C1446,"yyyymm")&amp;"-"&amp;TEXT(ROW()-4,"0000"))</f>
        <v/>
      </c>
      <c r="C1446" s="33"/>
      <c r="D1446" s="24"/>
      <c r="E1446" s="30" t="str">
        <f aca="false">IF($D1446="","",IFERROR(INDEX(合同单位,MATCH($D1446,合同键,0)),IFERROR(TRIM(LEFT($D1446,FIND("｜",$D1446)-1)),$D1446)))</f>
        <v/>
      </c>
      <c r="F1446" s="30" t="str">
        <f aca="false">IF($D1446="","",IFERROR(INDEX(合同项目,MATCH($D1446,合同键,0)),IFERROR(TRIM(MID($D1446,FIND("｜",$D1446)+1,99)),"")))</f>
        <v/>
      </c>
      <c r="G1446" s="24"/>
      <c r="H1446" s="35" t="str">
        <f aca="false">IF($G1446="","",IFERROR(INDEX(费用款别,MATCH($G1446,费用类别表,0)),"合同外款"))</f>
        <v/>
      </c>
      <c r="I1446" s="33"/>
      <c r="J1446" s="33"/>
      <c r="K1446" s="39"/>
      <c r="L1446" s="33"/>
      <c r="M1446" s="25"/>
      <c r="N1446" s="39"/>
      <c r="O1446" s="35" t="str">
        <f aca="false">IF($C1446="","",IF(N($N1446)&lt;=0,"未开票",IF(ROUND(N($N1446)-N($K1446),2)&gt;=0,"已开票",IFERROR("部分开票 "&amp;TEXT(N($N1446)/N($K1446),"0%"),"部分开票"))))</f>
        <v/>
      </c>
      <c r="P1446" s="40" t="str">
        <f aca="false">IF($C1446="","",ROUND($V1446+MIN($W1446,MAX(0,(SUMIF(收款键,$D1446,收款金额)-SUMIFS(收款金额,收款键,$D1446,收款关联,"&lt;&gt;"))-($X1446-$W1446))),2))</f>
        <v/>
      </c>
      <c r="Q1446" s="41" t="str">
        <f aca="false">IF($C1446="","",ROUND(N($K1446)-N($P1446),2))</f>
        <v/>
      </c>
      <c r="R1446" s="29" t="str">
        <f aca="false">IF($C1446="","",YEAR($C1446))</f>
        <v/>
      </c>
      <c r="S1446" s="24"/>
      <c r="T1446" s="35" t="str">
        <f aca="false">IF($C1446="","",IF($D1446="","★没选客户项目",IF(COUNTIF(合同键,$D1446)=0,"★《维保合同》里没这个项目",IF(N($K1446)&lt;=0,"★应收金额要填",IF(ROUND(N($N1446)-N($K1446),2)&gt;0.001,"★开票金额大于应收",IF(AND($L1446&lt;&gt;"",N($N1446)&lt;=0),"★填了开票日期没填开票金额",IF(AND($I1446&lt;&gt;"",$J1446&lt;&gt;"",$J1446&lt;$I1446),"★计费期间起止反了","OK")))))))</f>
        <v/>
      </c>
      <c r="U1446" s="29" t="str">
        <f aca="false">IF($L1446="","",YEAR($L1446))</f>
        <v/>
      </c>
      <c r="V1446" s="40" t="str">
        <f aca="false">IF($C1446="","",ROUND(SUMIF(收款关联,$B1446,收款金额),2))</f>
        <v/>
      </c>
      <c r="W1446" s="40" t="str">
        <f aca="false">IF($C1446="","",MAX(0,ROUND(N($K1446)-N($V1446),2)))</f>
        <v/>
      </c>
      <c r="X1446" s="40" t="str">
        <f aca="false">IF($C1446="","",ROUND(SUMIFS(应收净额,应收键,$D1446,应收行号,"&lt;="&amp;ROW()),2))</f>
        <v/>
      </c>
      <c r="Y1446" s="29" t="str">
        <f aca="false">IF($C1446="","",ROW())</f>
        <v/>
      </c>
    </row>
    <row r="1447" customFormat="false" ht="15" hidden="false" customHeight="false" outlineLevel="0" collapsed="false">
      <c r="A1447" s="29" t="str">
        <f aca="false">IF($C1447="","",ROW()-4)</f>
        <v/>
      </c>
      <c r="B1447" s="35" t="str">
        <f aca="false">IF($C1447="","","YS"&amp;TEXT($C1447,"yyyymm")&amp;"-"&amp;TEXT(ROW()-4,"0000"))</f>
        <v/>
      </c>
      <c r="C1447" s="33"/>
      <c r="D1447" s="24"/>
      <c r="E1447" s="30" t="str">
        <f aca="false">IF($D1447="","",IFERROR(INDEX(合同单位,MATCH($D1447,合同键,0)),IFERROR(TRIM(LEFT($D1447,FIND("｜",$D1447)-1)),$D1447)))</f>
        <v/>
      </c>
      <c r="F1447" s="30" t="str">
        <f aca="false">IF($D1447="","",IFERROR(INDEX(合同项目,MATCH($D1447,合同键,0)),IFERROR(TRIM(MID($D1447,FIND("｜",$D1447)+1,99)),"")))</f>
        <v/>
      </c>
      <c r="G1447" s="24"/>
      <c r="H1447" s="35" t="str">
        <f aca="false">IF($G1447="","",IFERROR(INDEX(费用款别,MATCH($G1447,费用类别表,0)),"合同外款"))</f>
        <v/>
      </c>
      <c r="I1447" s="33"/>
      <c r="J1447" s="33"/>
      <c r="K1447" s="39"/>
      <c r="L1447" s="33"/>
      <c r="M1447" s="25"/>
      <c r="N1447" s="39"/>
      <c r="O1447" s="35" t="str">
        <f aca="false">IF($C1447="","",IF(N($N1447)&lt;=0,"未开票",IF(ROUND(N($N1447)-N($K1447),2)&gt;=0,"已开票",IFERROR("部分开票 "&amp;TEXT(N($N1447)/N($K1447),"0%"),"部分开票"))))</f>
        <v/>
      </c>
      <c r="P1447" s="40" t="str">
        <f aca="false">IF($C1447="","",ROUND($V1447+MIN($W1447,MAX(0,(SUMIF(收款键,$D1447,收款金额)-SUMIFS(收款金额,收款键,$D1447,收款关联,"&lt;&gt;"))-($X1447-$W1447))),2))</f>
        <v/>
      </c>
      <c r="Q1447" s="41" t="str">
        <f aca="false">IF($C1447="","",ROUND(N($K1447)-N($P1447),2))</f>
        <v/>
      </c>
      <c r="R1447" s="29" t="str">
        <f aca="false">IF($C1447="","",YEAR($C1447))</f>
        <v/>
      </c>
      <c r="S1447" s="24"/>
      <c r="T1447" s="35" t="str">
        <f aca="false">IF($C1447="","",IF($D1447="","★没选客户项目",IF(COUNTIF(合同键,$D1447)=0,"★《维保合同》里没这个项目",IF(N($K1447)&lt;=0,"★应收金额要填",IF(ROUND(N($N1447)-N($K1447),2)&gt;0.001,"★开票金额大于应收",IF(AND($L1447&lt;&gt;"",N($N1447)&lt;=0),"★填了开票日期没填开票金额",IF(AND($I1447&lt;&gt;"",$J1447&lt;&gt;"",$J1447&lt;$I1447),"★计费期间起止反了","OK")))))))</f>
        <v/>
      </c>
      <c r="U1447" s="29" t="str">
        <f aca="false">IF($L1447="","",YEAR($L1447))</f>
        <v/>
      </c>
      <c r="V1447" s="40" t="str">
        <f aca="false">IF($C1447="","",ROUND(SUMIF(收款关联,$B1447,收款金额),2))</f>
        <v/>
      </c>
      <c r="W1447" s="40" t="str">
        <f aca="false">IF($C1447="","",MAX(0,ROUND(N($K1447)-N($V1447),2)))</f>
        <v/>
      </c>
      <c r="X1447" s="40" t="str">
        <f aca="false">IF($C1447="","",ROUND(SUMIFS(应收净额,应收键,$D1447,应收行号,"&lt;="&amp;ROW()),2))</f>
        <v/>
      </c>
      <c r="Y1447" s="29" t="str">
        <f aca="false">IF($C1447="","",ROW())</f>
        <v/>
      </c>
    </row>
    <row r="1448" customFormat="false" ht="15" hidden="false" customHeight="false" outlineLevel="0" collapsed="false">
      <c r="A1448" s="29" t="str">
        <f aca="false">IF($C1448="","",ROW()-4)</f>
        <v/>
      </c>
      <c r="B1448" s="35" t="str">
        <f aca="false">IF($C1448="","","YS"&amp;TEXT($C1448,"yyyymm")&amp;"-"&amp;TEXT(ROW()-4,"0000"))</f>
        <v/>
      </c>
      <c r="C1448" s="33"/>
      <c r="D1448" s="24"/>
      <c r="E1448" s="30" t="str">
        <f aca="false">IF($D1448="","",IFERROR(INDEX(合同单位,MATCH($D1448,合同键,0)),IFERROR(TRIM(LEFT($D1448,FIND("｜",$D1448)-1)),$D1448)))</f>
        <v/>
      </c>
      <c r="F1448" s="30" t="str">
        <f aca="false">IF($D1448="","",IFERROR(INDEX(合同项目,MATCH($D1448,合同键,0)),IFERROR(TRIM(MID($D1448,FIND("｜",$D1448)+1,99)),"")))</f>
        <v/>
      </c>
      <c r="G1448" s="24"/>
      <c r="H1448" s="35" t="str">
        <f aca="false">IF($G1448="","",IFERROR(INDEX(费用款别,MATCH($G1448,费用类别表,0)),"合同外款"))</f>
        <v/>
      </c>
      <c r="I1448" s="33"/>
      <c r="J1448" s="33"/>
      <c r="K1448" s="39"/>
      <c r="L1448" s="33"/>
      <c r="M1448" s="25"/>
      <c r="N1448" s="39"/>
      <c r="O1448" s="35" t="str">
        <f aca="false">IF($C1448="","",IF(N($N1448)&lt;=0,"未开票",IF(ROUND(N($N1448)-N($K1448),2)&gt;=0,"已开票",IFERROR("部分开票 "&amp;TEXT(N($N1448)/N($K1448),"0%"),"部分开票"))))</f>
        <v/>
      </c>
      <c r="P1448" s="40" t="str">
        <f aca="false">IF($C1448="","",ROUND($V1448+MIN($W1448,MAX(0,(SUMIF(收款键,$D1448,收款金额)-SUMIFS(收款金额,收款键,$D1448,收款关联,"&lt;&gt;"))-($X1448-$W1448))),2))</f>
        <v/>
      </c>
      <c r="Q1448" s="41" t="str">
        <f aca="false">IF($C1448="","",ROUND(N($K1448)-N($P1448),2))</f>
        <v/>
      </c>
      <c r="R1448" s="29" t="str">
        <f aca="false">IF($C1448="","",YEAR($C1448))</f>
        <v/>
      </c>
      <c r="S1448" s="24"/>
      <c r="T1448" s="35" t="str">
        <f aca="false">IF($C1448="","",IF($D1448="","★没选客户项目",IF(COUNTIF(合同键,$D1448)=0,"★《维保合同》里没这个项目",IF(N($K1448)&lt;=0,"★应收金额要填",IF(ROUND(N($N1448)-N($K1448),2)&gt;0.001,"★开票金额大于应收",IF(AND($L1448&lt;&gt;"",N($N1448)&lt;=0),"★填了开票日期没填开票金额",IF(AND($I1448&lt;&gt;"",$J1448&lt;&gt;"",$J1448&lt;$I1448),"★计费期间起止反了","OK")))))))</f>
        <v/>
      </c>
      <c r="U1448" s="29" t="str">
        <f aca="false">IF($L1448="","",YEAR($L1448))</f>
        <v/>
      </c>
      <c r="V1448" s="40" t="str">
        <f aca="false">IF($C1448="","",ROUND(SUMIF(收款关联,$B1448,收款金额),2))</f>
        <v/>
      </c>
      <c r="W1448" s="40" t="str">
        <f aca="false">IF($C1448="","",MAX(0,ROUND(N($K1448)-N($V1448),2)))</f>
        <v/>
      </c>
      <c r="X1448" s="40" t="str">
        <f aca="false">IF($C1448="","",ROUND(SUMIFS(应收净额,应收键,$D1448,应收行号,"&lt;="&amp;ROW()),2))</f>
        <v/>
      </c>
      <c r="Y1448" s="29" t="str">
        <f aca="false">IF($C1448="","",ROW())</f>
        <v/>
      </c>
    </row>
    <row r="1449" customFormat="false" ht="15" hidden="false" customHeight="false" outlineLevel="0" collapsed="false">
      <c r="A1449" s="29" t="str">
        <f aca="false">IF($C1449="","",ROW()-4)</f>
        <v/>
      </c>
      <c r="B1449" s="35" t="str">
        <f aca="false">IF($C1449="","","YS"&amp;TEXT($C1449,"yyyymm")&amp;"-"&amp;TEXT(ROW()-4,"0000"))</f>
        <v/>
      </c>
      <c r="C1449" s="33"/>
      <c r="D1449" s="24"/>
      <c r="E1449" s="30" t="str">
        <f aca="false">IF($D1449="","",IFERROR(INDEX(合同单位,MATCH($D1449,合同键,0)),IFERROR(TRIM(LEFT($D1449,FIND("｜",$D1449)-1)),$D1449)))</f>
        <v/>
      </c>
      <c r="F1449" s="30" t="str">
        <f aca="false">IF($D1449="","",IFERROR(INDEX(合同项目,MATCH($D1449,合同键,0)),IFERROR(TRIM(MID($D1449,FIND("｜",$D1449)+1,99)),"")))</f>
        <v/>
      </c>
      <c r="G1449" s="24"/>
      <c r="H1449" s="35" t="str">
        <f aca="false">IF($G1449="","",IFERROR(INDEX(费用款别,MATCH($G1449,费用类别表,0)),"合同外款"))</f>
        <v/>
      </c>
      <c r="I1449" s="33"/>
      <c r="J1449" s="33"/>
      <c r="K1449" s="39"/>
      <c r="L1449" s="33"/>
      <c r="M1449" s="25"/>
      <c r="N1449" s="39"/>
      <c r="O1449" s="35" t="str">
        <f aca="false">IF($C1449="","",IF(N($N1449)&lt;=0,"未开票",IF(ROUND(N($N1449)-N($K1449),2)&gt;=0,"已开票",IFERROR("部分开票 "&amp;TEXT(N($N1449)/N($K1449),"0%"),"部分开票"))))</f>
        <v/>
      </c>
      <c r="P1449" s="40" t="str">
        <f aca="false">IF($C1449="","",ROUND($V1449+MIN($W1449,MAX(0,(SUMIF(收款键,$D1449,收款金额)-SUMIFS(收款金额,收款键,$D1449,收款关联,"&lt;&gt;"))-($X1449-$W1449))),2))</f>
        <v/>
      </c>
      <c r="Q1449" s="41" t="str">
        <f aca="false">IF($C1449="","",ROUND(N($K1449)-N($P1449),2))</f>
        <v/>
      </c>
      <c r="R1449" s="29" t="str">
        <f aca="false">IF($C1449="","",YEAR($C1449))</f>
        <v/>
      </c>
      <c r="S1449" s="24"/>
      <c r="T1449" s="35" t="str">
        <f aca="false">IF($C1449="","",IF($D1449="","★没选客户项目",IF(COUNTIF(合同键,$D1449)=0,"★《维保合同》里没这个项目",IF(N($K1449)&lt;=0,"★应收金额要填",IF(ROUND(N($N1449)-N($K1449),2)&gt;0.001,"★开票金额大于应收",IF(AND($L1449&lt;&gt;"",N($N1449)&lt;=0),"★填了开票日期没填开票金额",IF(AND($I1449&lt;&gt;"",$J1449&lt;&gt;"",$J1449&lt;$I1449),"★计费期间起止反了","OK")))))))</f>
        <v/>
      </c>
      <c r="U1449" s="29" t="str">
        <f aca="false">IF($L1449="","",YEAR($L1449))</f>
        <v/>
      </c>
      <c r="V1449" s="40" t="str">
        <f aca="false">IF($C1449="","",ROUND(SUMIF(收款关联,$B1449,收款金额),2))</f>
        <v/>
      </c>
      <c r="W1449" s="40" t="str">
        <f aca="false">IF($C1449="","",MAX(0,ROUND(N($K1449)-N($V1449),2)))</f>
        <v/>
      </c>
      <c r="X1449" s="40" t="str">
        <f aca="false">IF($C1449="","",ROUND(SUMIFS(应收净额,应收键,$D1449,应收行号,"&lt;="&amp;ROW()),2))</f>
        <v/>
      </c>
      <c r="Y1449" s="29" t="str">
        <f aca="false">IF($C1449="","",ROW())</f>
        <v/>
      </c>
    </row>
    <row r="1450" customFormat="false" ht="15" hidden="false" customHeight="false" outlineLevel="0" collapsed="false">
      <c r="A1450" s="29" t="str">
        <f aca="false">IF($C1450="","",ROW()-4)</f>
        <v/>
      </c>
      <c r="B1450" s="35" t="str">
        <f aca="false">IF($C1450="","","YS"&amp;TEXT($C1450,"yyyymm")&amp;"-"&amp;TEXT(ROW()-4,"0000"))</f>
        <v/>
      </c>
      <c r="C1450" s="33"/>
      <c r="D1450" s="24"/>
      <c r="E1450" s="30" t="str">
        <f aca="false">IF($D1450="","",IFERROR(INDEX(合同单位,MATCH($D1450,合同键,0)),IFERROR(TRIM(LEFT($D1450,FIND("｜",$D1450)-1)),$D1450)))</f>
        <v/>
      </c>
      <c r="F1450" s="30" t="str">
        <f aca="false">IF($D1450="","",IFERROR(INDEX(合同项目,MATCH($D1450,合同键,0)),IFERROR(TRIM(MID($D1450,FIND("｜",$D1450)+1,99)),"")))</f>
        <v/>
      </c>
      <c r="G1450" s="24"/>
      <c r="H1450" s="35" t="str">
        <f aca="false">IF($G1450="","",IFERROR(INDEX(费用款别,MATCH($G1450,费用类别表,0)),"合同外款"))</f>
        <v/>
      </c>
      <c r="I1450" s="33"/>
      <c r="J1450" s="33"/>
      <c r="K1450" s="39"/>
      <c r="L1450" s="33"/>
      <c r="M1450" s="25"/>
      <c r="N1450" s="39"/>
      <c r="O1450" s="35" t="str">
        <f aca="false">IF($C1450="","",IF(N($N1450)&lt;=0,"未开票",IF(ROUND(N($N1450)-N($K1450),2)&gt;=0,"已开票",IFERROR("部分开票 "&amp;TEXT(N($N1450)/N($K1450),"0%"),"部分开票"))))</f>
        <v/>
      </c>
      <c r="P1450" s="40" t="str">
        <f aca="false">IF($C1450="","",ROUND($V1450+MIN($W1450,MAX(0,(SUMIF(收款键,$D1450,收款金额)-SUMIFS(收款金额,收款键,$D1450,收款关联,"&lt;&gt;"))-($X1450-$W1450))),2))</f>
        <v/>
      </c>
      <c r="Q1450" s="41" t="str">
        <f aca="false">IF($C1450="","",ROUND(N($K1450)-N($P1450),2))</f>
        <v/>
      </c>
      <c r="R1450" s="29" t="str">
        <f aca="false">IF($C1450="","",YEAR($C1450))</f>
        <v/>
      </c>
      <c r="S1450" s="24"/>
      <c r="T1450" s="35" t="str">
        <f aca="false">IF($C1450="","",IF($D1450="","★没选客户项目",IF(COUNTIF(合同键,$D1450)=0,"★《维保合同》里没这个项目",IF(N($K1450)&lt;=0,"★应收金额要填",IF(ROUND(N($N1450)-N($K1450),2)&gt;0.001,"★开票金额大于应收",IF(AND($L1450&lt;&gt;"",N($N1450)&lt;=0),"★填了开票日期没填开票金额",IF(AND($I1450&lt;&gt;"",$J1450&lt;&gt;"",$J1450&lt;$I1450),"★计费期间起止反了","OK")))))))</f>
        <v/>
      </c>
      <c r="U1450" s="29" t="str">
        <f aca="false">IF($L1450="","",YEAR($L1450))</f>
        <v/>
      </c>
      <c r="V1450" s="40" t="str">
        <f aca="false">IF($C1450="","",ROUND(SUMIF(收款关联,$B1450,收款金额),2))</f>
        <v/>
      </c>
      <c r="W1450" s="40" t="str">
        <f aca="false">IF($C1450="","",MAX(0,ROUND(N($K1450)-N($V1450),2)))</f>
        <v/>
      </c>
      <c r="X1450" s="40" t="str">
        <f aca="false">IF($C1450="","",ROUND(SUMIFS(应收净额,应收键,$D1450,应收行号,"&lt;="&amp;ROW()),2))</f>
        <v/>
      </c>
      <c r="Y1450" s="29" t="str">
        <f aca="false">IF($C1450="","",ROW())</f>
        <v/>
      </c>
    </row>
    <row r="1451" customFormat="false" ht="15" hidden="false" customHeight="false" outlineLevel="0" collapsed="false">
      <c r="A1451" s="29" t="str">
        <f aca="false">IF($C1451="","",ROW()-4)</f>
        <v/>
      </c>
      <c r="B1451" s="35" t="str">
        <f aca="false">IF($C1451="","","YS"&amp;TEXT($C1451,"yyyymm")&amp;"-"&amp;TEXT(ROW()-4,"0000"))</f>
        <v/>
      </c>
      <c r="C1451" s="33"/>
      <c r="D1451" s="24"/>
      <c r="E1451" s="30" t="str">
        <f aca="false">IF($D1451="","",IFERROR(INDEX(合同单位,MATCH($D1451,合同键,0)),IFERROR(TRIM(LEFT($D1451,FIND("｜",$D1451)-1)),$D1451)))</f>
        <v/>
      </c>
      <c r="F1451" s="30" t="str">
        <f aca="false">IF($D1451="","",IFERROR(INDEX(合同项目,MATCH($D1451,合同键,0)),IFERROR(TRIM(MID($D1451,FIND("｜",$D1451)+1,99)),"")))</f>
        <v/>
      </c>
      <c r="G1451" s="24"/>
      <c r="H1451" s="35" t="str">
        <f aca="false">IF($G1451="","",IFERROR(INDEX(费用款别,MATCH($G1451,费用类别表,0)),"合同外款"))</f>
        <v/>
      </c>
      <c r="I1451" s="33"/>
      <c r="J1451" s="33"/>
      <c r="K1451" s="39"/>
      <c r="L1451" s="33"/>
      <c r="M1451" s="25"/>
      <c r="N1451" s="39"/>
      <c r="O1451" s="35" t="str">
        <f aca="false">IF($C1451="","",IF(N($N1451)&lt;=0,"未开票",IF(ROUND(N($N1451)-N($K1451),2)&gt;=0,"已开票",IFERROR("部分开票 "&amp;TEXT(N($N1451)/N($K1451),"0%"),"部分开票"))))</f>
        <v/>
      </c>
      <c r="P1451" s="40" t="str">
        <f aca="false">IF($C1451="","",ROUND($V1451+MIN($W1451,MAX(0,(SUMIF(收款键,$D1451,收款金额)-SUMIFS(收款金额,收款键,$D1451,收款关联,"&lt;&gt;"))-($X1451-$W1451))),2))</f>
        <v/>
      </c>
      <c r="Q1451" s="41" t="str">
        <f aca="false">IF($C1451="","",ROUND(N($K1451)-N($P1451),2))</f>
        <v/>
      </c>
      <c r="R1451" s="29" t="str">
        <f aca="false">IF($C1451="","",YEAR($C1451))</f>
        <v/>
      </c>
      <c r="S1451" s="24"/>
      <c r="T1451" s="35" t="str">
        <f aca="false">IF($C1451="","",IF($D1451="","★没选客户项目",IF(COUNTIF(合同键,$D1451)=0,"★《维保合同》里没这个项目",IF(N($K1451)&lt;=0,"★应收金额要填",IF(ROUND(N($N1451)-N($K1451),2)&gt;0.001,"★开票金额大于应收",IF(AND($L1451&lt;&gt;"",N($N1451)&lt;=0),"★填了开票日期没填开票金额",IF(AND($I1451&lt;&gt;"",$J1451&lt;&gt;"",$J1451&lt;$I1451),"★计费期间起止反了","OK")))))))</f>
        <v/>
      </c>
      <c r="U1451" s="29" t="str">
        <f aca="false">IF($L1451="","",YEAR($L1451))</f>
        <v/>
      </c>
      <c r="V1451" s="40" t="str">
        <f aca="false">IF($C1451="","",ROUND(SUMIF(收款关联,$B1451,收款金额),2))</f>
        <v/>
      </c>
      <c r="W1451" s="40" t="str">
        <f aca="false">IF($C1451="","",MAX(0,ROUND(N($K1451)-N($V1451),2)))</f>
        <v/>
      </c>
      <c r="X1451" s="40" t="str">
        <f aca="false">IF($C1451="","",ROUND(SUMIFS(应收净额,应收键,$D1451,应收行号,"&lt;="&amp;ROW()),2))</f>
        <v/>
      </c>
      <c r="Y1451" s="29" t="str">
        <f aca="false">IF($C1451="","",ROW())</f>
        <v/>
      </c>
    </row>
    <row r="1452" customFormat="false" ht="15" hidden="false" customHeight="false" outlineLevel="0" collapsed="false">
      <c r="A1452" s="29" t="str">
        <f aca="false">IF($C1452="","",ROW()-4)</f>
        <v/>
      </c>
      <c r="B1452" s="35" t="str">
        <f aca="false">IF($C1452="","","YS"&amp;TEXT($C1452,"yyyymm")&amp;"-"&amp;TEXT(ROW()-4,"0000"))</f>
        <v/>
      </c>
      <c r="C1452" s="33"/>
      <c r="D1452" s="24"/>
      <c r="E1452" s="30" t="str">
        <f aca="false">IF($D1452="","",IFERROR(INDEX(合同单位,MATCH($D1452,合同键,0)),IFERROR(TRIM(LEFT($D1452,FIND("｜",$D1452)-1)),$D1452)))</f>
        <v/>
      </c>
      <c r="F1452" s="30" t="str">
        <f aca="false">IF($D1452="","",IFERROR(INDEX(合同项目,MATCH($D1452,合同键,0)),IFERROR(TRIM(MID($D1452,FIND("｜",$D1452)+1,99)),"")))</f>
        <v/>
      </c>
      <c r="G1452" s="24"/>
      <c r="H1452" s="35" t="str">
        <f aca="false">IF($G1452="","",IFERROR(INDEX(费用款别,MATCH($G1452,费用类别表,0)),"合同外款"))</f>
        <v/>
      </c>
      <c r="I1452" s="33"/>
      <c r="J1452" s="33"/>
      <c r="K1452" s="39"/>
      <c r="L1452" s="33"/>
      <c r="M1452" s="25"/>
      <c r="N1452" s="39"/>
      <c r="O1452" s="35" t="str">
        <f aca="false">IF($C1452="","",IF(N($N1452)&lt;=0,"未开票",IF(ROUND(N($N1452)-N($K1452),2)&gt;=0,"已开票",IFERROR("部分开票 "&amp;TEXT(N($N1452)/N($K1452),"0%"),"部分开票"))))</f>
        <v/>
      </c>
      <c r="P1452" s="40" t="str">
        <f aca="false">IF($C1452="","",ROUND($V1452+MIN($W1452,MAX(0,(SUMIF(收款键,$D1452,收款金额)-SUMIFS(收款金额,收款键,$D1452,收款关联,"&lt;&gt;"))-($X1452-$W1452))),2))</f>
        <v/>
      </c>
      <c r="Q1452" s="41" t="str">
        <f aca="false">IF($C1452="","",ROUND(N($K1452)-N($P1452),2))</f>
        <v/>
      </c>
      <c r="R1452" s="29" t="str">
        <f aca="false">IF($C1452="","",YEAR($C1452))</f>
        <v/>
      </c>
      <c r="S1452" s="24"/>
      <c r="T1452" s="35" t="str">
        <f aca="false">IF($C1452="","",IF($D1452="","★没选客户项目",IF(COUNTIF(合同键,$D1452)=0,"★《维保合同》里没这个项目",IF(N($K1452)&lt;=0,"★应收金额要填",IF(ROUND(N($N1452)-N($K1452),2)&gt;0.001,"★开票金额大于应收",IF(AND($L1452&lt;&gt;"",N($N1452)&lt;=0),"★填了开票日期没填开票金额",IF(AND($I1452&lt;&gt;"",$J1452&lt;&gt;"",$J1452&lt;$I1452),"★计费期间起止反了","OK")))))))</f>
        <v/>
      </c>
      <c r="U1452" s="29" t="str">
        <f aca="false">IF($L1452="","",YEAR($L1452))</f>
        <v/>
      </c>
      <c r="V1452" s="40" t="str">
        <f aca="false">IF($C1452="","",ROUND(SUMIF(收款关联,$B1452,收款金额),2))</f>
        <v/>
      </c>
      <c r="W1452" s="40" t="str">
        <f aca="false">IF($C1452="","",MAX(0,ROUND(N($K1452)-N($V1452),2)))</f>
        <v/>
      </c>
      <c r="X1452" s="40" t="str">
        <f aca="false">IF($C1452="","",ROUND(SUMIFS(应收净额,应收键,$D1452,应收行号,"&lt;="&amp;ROW()),2))</f>
        <v/>
      </c>
      <c r="Y1452" s="29" t="str">
        <f aca="false">IF($C1452="","",ROW())</f>
        <v/>
      </c>
    </row>
    <row r="1453" customFormat="false" ht="15" hidden="false" customHeight="false" outlineLevel="0" collapsed="false">
      <c r="A1453" s="29" t="str">
        <f aca="false">IF($C1453="","",ROW()-4)</f>
        <v/>
      </c>
      <c r="B1453" s="35" t="str">
        <f aca="false">IF($C1453="","","YS"&amp;TEXT($C1453,"yyyymm")&amp;"-"&amp;TEXT(ROW()-4,"0000"))</f>
        <v/>
      </c>
      <c r="C1453" s="33"/>
      <c r="D1453" s="24"/>
      <c r="E1453" s="30" t="str">
        <f aca="false">IF($D1453="","",IFERROR(INDEX(合同单位,MATCH($D1453,合同键,0)),IFERROR(TRIM(LEFT($D1453,FIND("｜",$D1453)-1)),$D1453)))</f>
        <v/>
      </c>
      <c r="F1453" s="30" t="str">
        <f aca="false">IF($D1453="","",IFERROR(INDEX(合同项目,MATCH($D1453,合同键,0)),IFERROR(TRIM(MID($D1453,FIND("｜",$D1453)+1,99)),"")))</f>
        <v/>
      </c>
      <c r="G1453" s="24"/>
      <c r="H1453" s="35" t="str">
        <f aca="false">IF($G1453="","",IFERROR(INDEX(费用款别,MATCH($G1453,费用类别表,0)),"合同外款"))</f>
        <v/>
      </c>
      <c r="I1453" s="33"/>
      <c r="J1453" s="33"/>
      <c r="K1453" s="39"/>
      <c r="L1453" s="33"/>
      <c r="M1453" s="25"/>
      <c r="N1453" s="39"/>
      <c r="O1453" s="35" t="str">
        <f aca="false">IF($C1453="","",IF(N($N1453)&lt;=0,"未开票",IF(ROUND(N($N1453)-N($K1453),2)&gt;=0,"已开票",IFERROR("部分开票 "&amp;TEXT(N($N1453)/N($K1453),"0%"),"部分开票"))))</f>
        <v/>
      </c>
      <c r="P1453" s="40" t="str">
        <f aca="false">IF($C1453="","",ROUND($V1453+MIN($W1453,MAX(0,(SUMIF(收款键,$D1453,收款金额)-SUMIFS(收款金额,收款键,$D1453,收款关联,"&lt;&gt;"))-($X1453-$W1453))),2))</f>
        <v/>
      </c>
      <c r="Q1453" s="41" t="str">
        <f aca="false">IF($C1453="","",ROUND(N($K1453)-N($P1453),2))</f>
        <v/>
      </c>
      <c r="R1453" s="29" t="str">
        <f aca="false">IF($C1453="","",YEAR($C1453))</f>
        <v/>
      </c>
      <c r="S1453" s="24"/>
      <c r="T1453" s="35" t="str">
        <f aca="false">IF($C1453="","",IF($D1453="","★没选客户项目",IF(COUNTIF(合同键,$D1453)=0,"★《维保合同》里没这个项目",IF(N($K1453)&lt;=0,"★应收金额要填",IF(ROUND(N($N1453)-N($K1453),2)&gt;0.001,"★开票金额大于应收",IF(AND($L1453&lt;&gt;"",N($N1453)&lt;=0),"★填了开票日期没填开票金额",IF(AND($I1453&lt;&gt;"",$J1453&lt;&gt;"",$J1453&lt;$I1453),"★计费期间起止反了","OK")))))))</f>
        <v/>
      </c>
      <c r="U1453" s="29" t="str">
        <f aca="false">IF($L1453="","",YEAR($L1453))</f>
        <v/>
      </c>
      <c r="V1453" s="40" t="str">
        <f aca="false">IF($C1453="","",ROUND(SUMIF(收款关联,$B1453,收款金额),2))</f>
        <v/>
      </c>
      <c r="W1453" s="40" t="str">
        <f aca="false">IF($C1453="","",MAX(0,ROUND(N($K1453)-N($V1453),2)))</f>
        <v/>
      </c>
      <c r="X1453" s="40" t="str">
        <f aca="false">IF($C1453="","",ROUND(SUMIFS(应收净额,应收键,$D1453,应收行号,"&lt;="&amp;ROW()),2))</f>
        <v/>
      </c>
      <c r="Y1453" s="29" t="str">
        <f aca="false">IF($C1453="","",ROW())</f>
        <v/>
      </c>
    </row>
    <row r="1454" customFormat="false" ht="15" hidden="false" customHeight="false" outlineLevel="0" collapsed="false">
      <c r="A1454" s="29" t="str">
        <f aca="false">IF($C1454="","",ROW()-4)</f>
        <v/>
      </c>
      <c r="B1454" s="35" t="str">
        <f aca="false">IF($C1454="","","YS"&amp;TEXT($C1454,"yyyymm")&amp;"-"&amp;TEXT(ROW()-4,"0000"))</f>
        <v/>
      </c>
      <c r="C1454" s="33"/>
      <c r="D1454" s="24"/>
      <c r="E1454" s="30" t="str">
        <f aca="false">IF($D1454="","",IFERROR(INDEX(合同单位,MATCH($D1454,合同键,0)),IFERROR(TRIM(LEFT($D1454,FIND("｜",$D1454)-1)),$D1454)))</f>
        <v/>
      </c>
      <c r="F1454" s="30" t="str">
        <f aca="false">IF($D1454="","",IFERROR(INDEX(合同项目,MATCH($D1454,合同键,0)),IFERROR(TRIM(MID($D1454,FIND("｜",$D1454)+1,99)),"")))</f>
        <v/>
      </c>
      <c r="G1454" s="24"/>
      <c r="H1454" s="35" t="str">
        <f aca="false">IF($G1454="","",IFERROR(INDEX(费用款别,MATCH($G1454,费用类别表,0)),"合同外款"))</f>
        <v/>
      </c>
      <c r="I1454" s="33"/>
      <c r="J1454" s="33"/>
      <c r="K1454" s="39"/>
      <c r="L1454" s="33"/>
      <c r="M1454" s="25"/>
      <c r="N1454" s="39"/>
      <c r="O1454" s="35" t="str">
        <f aca="false">IF($C1454="","",IF(N($N1454)&lt;=0,"未开票",IF(ROUND(N($N1454)-N($K1454),2)&gt;=0,"已开票",IFERROR("部分开票 "&amp;TEXT(N($N1454)/N($K1454),"0%"),"部分开票"))))</f>
        <v/>
      </c>
      <c r="P1454" s="40" t="str">
        <f aca="false">IF($C1454="","",ROUND($V1454+MIN($W1454,MAX(0,(SUMIF(收款键,$D1454,收款金额)-SUMIFS(收款金额,收款键,$D1454,收款关联,"&lt;&gt;"))-($X1454-$W1454))),2))</f>
        <v/>
      </c>
      <c r="Q1454" s="41" t="str">
        <f aca="false">IF($C1454="","",ROUND(N($K1454)-N($P1454),2))</f>
        <v/>
      </c>
      <c r="R1454" s="29" t="str">
        <f aca="false">IF($C1454="","",YEAR($C1454))</f>
        <v/>
      </c>
      <c r="S1454" s="24"/>
      <c r="T1454" s="35" t="str">
        <f aca="false">IF($C1454="","",IF($D1454="","★没选客户项目",IF(COUNTIF(合同键,$D1454)=0,"★《维保合同》里没这个项目",IF(N($K1454)&lt;=0,"★应收金额要填",IF(ROUND(N($N1454)-N($K1454),2)&gt;0.001,"★开票金额大于应收",IF(AND($L1454&lt;&gt;"",N($N1454)&lt;=0),"★填了开票日期没填开票金额",IF(AND($I1454&lt;&gt;"",$J1454&lt;&gt;"",$J1454&lt;$I1454),"★计费期间起止反了","OK")))))))</f>
        <v/>
      </c>
      <c r="U1454" s="29" t="str">
        <f aca="false">IF($L1454="","",YEAR($L1454))</f>
        <v/>
      </c>
      <c r="V1454" s="40" t="str">
        <f aca="false">IF($C1454="","",ROUND(SUMIF(收款关联,$B1454,收款金额),2))</f>
        <v/>
      </c>
      <c r="W1454" s="40" t="str">
        <f aca="false">IF($C1454="","",MAX(0,ROUND(N($K1454)-N($V1454),2)))</f>
        <v/>
      </c>
      <c r="X1454" s="40" t="str">
        <f aca="false">IF($C1454="","",ROUND(SUMIFS(应收净额,应收键,$D1454,应收行号,"&lt;="&amp;ROW()),2))</f>
        <v/>
      </c>
      <c r="Y1454" s="29" t="str">
        <f aca="false">IF($C1454="","",ROW())</f>
        <v/>
      </c>
    </row>
    <row r="1455" customFormat="false" ht="15" hidden="false" customHeight="false" outlineLevel="0" collapsed="false">
      <c r="A1455" s="29" t="str">
        <f aca="false">IF($C1455="","",ROW()-4)</f>
        <v/>
      </c>
      <c r="B1455" s="35" t="str">
        <f aca="false">IF($C1455="","","YS"&amp;TEXT($C1455,"yyyymm")&amp;"-"&amp;TEXT(ROW()-4,"0000"))</f>
        <v/>
      </c>
      <c r="C1455" s="33"/>
      <c r="D1455" s="24"/>
      <c r="E1455" s="30" t="str">
        <f aca="false">IF($D1455="","",IFERROR(INDEX(合同单位,MATCH($D1455,合同键,0)),IFERROR(TRIM(LEFT($D1455,FIND("｜",$D1455)-1)),$D1455)))</f>
        <v/>
      </c>
      <c r="F1455" s="30" t="str">
        <f aca="false">IF($D1455="","",IFERROR(INDEX(合同项目,MATCH($D1455,合同键,0)),IFERROR(TRIM(MID($D1455,FIND("｜",$D1455)+1,99)),"")))</f>
        <v/>
      </c>
      <c r="G1455" s="24"/>
      <c r="H1455" s="35" t="str">
        <f aca="false">IF($G1455="","",IFERROR(INDEX(费用款别,MATCH($G1455,费用类别表,0)),"合同外款"))</f>
        <v/>
      </c>
      <c r="I1455" s="33"/>
      <c r="J1455" s="33"/>
      <c r="K1455" s="39"/>
      <c r="L1455" s="33"/>
      <c r="M1455" s="25"/>
      <c r="N1455" s="39"/>
      <c r="O1455" s="35" t="str">
        <f aca="false">IF($C1455="","",IF(N($N1455)&lt;=0,"未开票",IF(ROUND(N($N1455)-N($K1455),2)&gt;=0,"已开票",IFERROR("部分开票 "&amp;TEXT(N($N1455)/N($K1455),"0%"),"部分开票"))))</f>
        <v/>
      </c>
      <c r="P1455" s="40" t="str">
        <f aca="false">IF($C1455="","",ROUND($V1455+MIN($W1455,MAX(0,(SUMIF(收款键,$D1455,收款金额)-SUMIFS(收款金额,收款键,$D1455,收款关联,"&lt;&gt;"))-($X1455-$W1455))),2))</f>
        <v/>
      </c>
      <c r="Q1455" s="41" t="str">
        <f aca="false">IF($C1455="","",ROUND(N($K1455)-N($P1455),2))</f>
        <v/>
      </c>
      <c r="R1455" s="29" t="str">
        <f aca="false">IF($C1455="","",YEAR($C1455))</f>
        <v/>
      </c>
      <c r="S1455" s="24"/>
      <c r="T1455" s="35" t="str">
        <f aca="false">IF($C1455="","",IF($D1455="","★没选客户项目",IF(COUNTIF(合同键,$D1455)=0,"★《维保合同》里没这个项目",IF(N($K1455)&lt;=0,"★应收金额要填",IF(ROUND(N($N1455)-N($K1455),2)&gt;0.001,"★开票金额大于应收",IF(AND($L1455&lt;&gt;"",N($N1455)&lt;=0),"★填了开票日期没填开票金额",IF(AND($I1455&lt;&gt;"",$J1455&lt;&gt;"",$J1455&lt;$I1455),"★计费期间起止反了","OK")))))))</f>
        <v/>
      </c>
      <c r="U1455" s="29" t="str">
        <f aca="false">IF($L1455="","",YEAR($L1455))</f>
        <v/>
      </c>
      <c r="V1455" s="40" t="str">
        <f aca="false">IF($C1455="","",ROUND(SUMIF(收款关联,$B1455,收款金额),2))</f>
        <v/>
      </c>
      <c r="W1455" s="40" t="str">
        <f aca="false">IF($C1455="","",MAX(0,ROUND(N($K1455)-N($V1455),2)))</f>
        <v/>
      </c>
      <c r="X1455" s="40" t="str">
        <f aca="false">IF($C1455="","",ROUND(SUMIFS(应收净额,应收键,$D1455,应收行号,"&lt;="&amp;ROW()),2))</f>
        <v/>
      </c>
      <c r="Y1455" s="29" t="str">
        <f aca="false">IF($C1455="","",ROW())</f>
        <v/>
      </c>
    </row>
    <row r="1456" customFormat="false" ht="15" hidden="false" customHeight="false" outlineLevel="0" collapsed="false">
      <c r="A1456" s="29" t="str">
        <f aca="false">IF($C1456="","",ROW()-4)</f>
        <v/>
      </c>
      <c r="B1456" s="35" t="str">
        <f aca="false">IF($C1456="","","YS"&amp;TEXT($C1456,"yyyymm")&amp;"-"&amp;TEXT(ROW()-4,"0000"))</f>
        <v/>
      </c>
      <c r="C1456" s="33"/>
      <c r="D1456" s="24"/>
      <c r="E1456" s="30" t="str">
        <f aca="false">IF($D1456="","",IFERROR(INDEX(合同单位,MATCH($D1456,合同键,0)),IFERROR(TRIM(LEFT($D1456,FIND("｜",$D1456)-1)),$D1456)))</f>
        <v/>
      </c>
      <c r="F1456" s="30" t="str">
        <f aca="false">IF($D1456="","",IFERROR(INDEX(合同项目,MATCH($D1456,合同键,0)),IFERROR(TRIM(MID($D1456,FIND("｜",$D1456)+1,99)),"")))</f>
        <v/>
      </c>
      <c r="G1456" s="24"/>
      <c r="H1456" s="35" t="str">
        <f aca="false">IF($G1456="","",IFERROR(INDEX(费用款别,MATCH($G1456,费用类别表,0)),"合同外款"))</f>
        <v/>
      </c>
      <c r="I1456" s="33"/>
      <c r="J1456" s="33"/>
      <c r="K1456" s="39"/>
      <c r="L1456" s="33"/>
      <c r="M1456" s="25"/>
      <c r="N1456" s="39"/>
      <c r="O1456" s="35" t="str">
        <f aca="false">IF($C1456="","",IF(N($N1456)&lt;=0,"未开票",IF(ROUND(N($N1456)-N($K1456),2)&gt;=0,"已开票",IFERROR("部分开票 "&amp;TEXT(N($N1456)/N($K1456),"0%"),"部分开票"))))</f>
        <v/>
      </c>
      <c r="P1456" s="40" t="str">
        <f aca="false">IF($C1456="","",ROUND($V1456+MIN($W1456,MAX(0,(SUMIF(收款键,$D1456,收款金额)-SUMIFS(收款金额,收款键,$D1456,收款关联,"&lt;&gt;"))-($X1456-$W1456))),2))</f>
        <v/>
      </c>
      <c r="Q1456" s="41" t="str">
        <f aca="false">IF($C1456="","",ROUND(N($K1456)-N($P1456),2))</f>
        <v/>
      </c>
      <c r="R1456" s="29" t="str">
        <f aca="false">IF($C1456="","",YEAR($C1456))</f>
        <v/>
      </c>
      <c r="S1456" s="24"/>
      <c r="T1456" s="35" t="str">
        <f aca="false">IF($C1456="","",IF($D1456="","★没选客户项目",IF(COUNTIF(合同键,$D1456)=0,"★《维保合同》里没这个项目",IF(N($K1456)&lt;=0,"★应收金额要填",IF(ROUND(N($N1456)-N($K1456),2)&gt;0.001,"★开票金额大于应收",IF(AND($L1456&lt;&gt;"",N($N1456)&lt;=0),"★填了开票日期没填开票金额",IF(AND($I1456&lt;&gt;"",$J1456&lt;&gt;"",$J1456&lt;$I1456),"★计费期间起止反了","OK")))))))</f>
        <v/>
      </c>
      <c r="U1456" s="29" t="str">
        <f aca="false">IF($L1456="","",YEAR($L1456))</f>
        <v/>
      </c>
      <c r="V1456" s="40" t="str">
        <f aca="false">IF($C1456="","",ROUND(SUMIF(收款关联,$B1456,收款金额),2))</f>
        <v/>
      </c>
      <c r="W1456" s="40" t="str">
        <f aca="false">IF($C1456="","",MAX(0,ROUND(N($K1456)-N($V1456),2)))</f>
        <v/>
      </c>
      <c r="X1456" s="40" t="str">
        <f aca="false">IF($C1456="","",ROUND(SUMIFS(应收净额,应收键,$D1456,应收行号,"&lt;="&amp;ROW()),2))</f>
        <v/>
      </c>
      <c r="Y1456" s="29" t="str">
        <f aca="false">IF($C1456="","",ROW())</f>
        <v/>
      </c>
    </row>
    <row r="1457" customFormat="false" ht="15" hidden="false" customHeight="false" outlineLevel="0" collapsed="false">
      <c r="A1457" s="29" t="str">
        <f aca="false">IF($C1457="","",ROW()-4)</f>
        <v/>
      </c>
      <c r="B1457" s="35" t="str">
        <f aca="false">IF($C1457="","","YS"&amp;TEXT($C1457,"yyyymm")&amp;"-"&amp;TEXT(ROW()-4,"0000"))</f>
        <v/>
      </c>
      <c r="C1457" s="33"/>
      <c r="D1457" s="24"/>
      <c r="E1457" s="30" t="str">
        <f aca="false">IF($D1457="","",IFERROR(INDEX(合同单位,MATCH($D1457,合同键,0)),IFERROR(TRIM(LEFT($D1457,FIND("｜",$D1457)-1)),$D1457)))</f>
        <v/>
      </c>
      <c r="F1457" s="30" t="str">
        <f aca="false">IF($D1457="","",IFERROR(INDEX(合同项目,MATCH($D1457,合同键,0)),IFERROR(TRIM(MID($D1457,FIND("｜",$D1457)+1,99)),"")))</f>
        <v/>
      </c>
      <c r="G1457" s="24"/>
      <c r="H1457" s="35" t="str">
        <f aca="false">IF($G1457="","",IFERROR(INDEX(费用款别,MATCH($G1457,费用类别表,0)),"合同外款"))</f>
        <v/>
      </c>
      <c r="I1457" s="33"/>
      <c r="J1457" s="33"/>
      <c r="K1457" s="39"/>
      <c r="L1457" s="33"/>
      <c r="M1457" s="25"/>
      <c r="N1457" s="39"/>
      <c r="O1457" s="35" t="str">
        <f aca="false">IF($C1457="","",IF(N($N1457)&lt;=0,"未开票",IF(ROUND(N($N1457)-N($K1457),2)&gt;=0,"已开票",IFERROR("部分开票 "&amp;TEXT(N($N1457)/N($K1457),"0%"),"部分开票"))))</f>
        <v/>
      </c>
      <c r="P1457" s="40" t="str">
        <f aca="false">IF($C1457="","",ROUND($V1457+MIN($W1457,MAX(0,(SUMIF(收款键,$D1457,收款金额)-SUMIFS(收款金额,收款键,$D1457,收款关联,"&lt;&gt;"))-($X1457-$W1457))),2))</f>
        <v/>
      </c>
      <c r="Q1457" s="41" t="str">
        <f aca="false">IF($C1457="","",ROUND(N($K1457)-N($P1457),2))</f>
        <v/>
      </c>
      <c r="R1457" s="29" t="str">
        <f aca="false">IF($C1457="","",YEAR($C1457))</f>
        <v/>
      </c>
      <c r="S1457" s="24"/>
      <c r="T1457" s="35" t="str">
        <f aca="false">IF($C1457="","",IF($D1457="","★没选客户项目",IF(COUNTIF(合同键,$D1457)=0,"★《维保合同》里没这个项目",IF(N($K1457)&lt;=0,"★应收金额要填",IF(ROUND(N($N1457)-N($K1457),2)&gt;0.001,"★开票金额大于应收",IF(AND($L1457&lt;&gt;"",N($N1457)&lt;=0),"★填了开票日期没填开票金额",IF(AND($I1457&lt;&gt;"",$J1457&lt;&gt;"",$J1457&lt;$I1457),"★计费期间起止反了","OK")))))))</f>
        <v/>
      </c>
      <c r="U1457" s="29" t="str">
        <f aca="false">IF($L1457="","",YEAR($L1457))</f>
        <v/>
      </c>
      <c r="V1457" s="40" t="str">
        <f aca="false">IF($C1457="","",ROUND(SUMIF(收款关联,$B1457,收款金额),2))</f>
        <v/>
      </c>
      <c r="W1457" s="40" t="str">
        <f aca="false">IF($C1457="","",MAX(0,ROUND(N($K1457)-N($V1457),2)))</f>
        <v/>
      </c>
      <c r="X1457" s="40" t="str">
        <f aca="false">IF($C1457="","",ROUND(SUMIFS(应收净额,应收键,$D1457,应收行号,"&lt;="&amp;ROW()),2))</f>
        <v/>
      </c>
      <c r="Y1457" s="29" t="str">
        <f aca="false">IF($C1457="","",ROW())</f>
        <v/>
      </c>
    </row>
    <row r="1458" customFormat="false" ht="15" hidden="false" customHeight="false" outlineLevel="0" collapsed="false">
      <c r="A1458" s="29" t="str">
        <f aca="false">IF($C1458="","",ROW()-4)</f>
        <v/>
      </c>
      <c r="B1458" s="35" t="str">
        <f aca="false">IF($C1458="","","YS"&amp;TEXT($C1458,"yyyymm")&amp;"-"&amp;TEXT(ROW()-4,"0000"))</f>
        <v/>
      </c>
      <c r="C1458" s="33"/>
      <c r="D1458" s="24"/>
      <c r="E1458" s="30" t="str">
        <f aca="false">IF($D1458="","",IFERROR(INDEX(合同单位,MATCH($D1458,合同键,0)),IFERROR(TRIM(LEFT($D1458,FIND("｜",$D1458)-1)),$D1458)))</f>
        <v/>
      </c>
      <c r="F1458" s="30" t="str">
        <f aca="false">IF($D1458="","",IFERROR(INDEX(合同项目,MATCH($D1458,合同键,0)),IFERROR(TRIM(MID($D1458,FIND("｜",$D1458)+1,99)),"")))</f>
        <v/>
      </c>
      <c r="G1458" s="24"/>
      <c r="H1458" s="35" t="str">
        <f aca="false">IF($G1458="","",IFERROR(INDEX(费用款别,MATCH($G1458,费用类别表,0)),"合同外款"))</f>
        <v/>
      </c>
      <c r="I1458" s="33"/>
      <c r="J1458" s="33"/>
      <c r="K1458" s="39"/>
      <c r="L1458" s="33"/>
      <c r="M1458" s="25"/>
      <c r="N1458" s="39"/>
      <c r="O1458" s="35" t="str">
        <f aca="false">IF($C1458="","",IF(N($N1458)&lt;=0,"未开票",IF(ROUND(N($N1458)-N($K1458),2)&gt;=0,"已开票",IFERROR("部分开票 "&amp;TEXT(N($N1458)/N($K1458),"0%"),"部分开票"))))</f>
        <v/>
      </c>
      <c r="P1458" s="40" t="str">
        <f aca="false">IF($C1458="","",ROUND($V1458+MIN($W1458,MAX(0,(SUMIF(收款键,$D1458,收款金额)-SUMIFS(收款金额,收款键,$D1458,收款关联,"&lt;&gt;"))-($X1458-$W1458))),2))</f>
        <v/>
      </c>
      <c r="Q1458" s="41" t="str">
        <f aca="false">IF($C1458="","",ROUND(N($K1458)-N($P1458),2))</f>
        <v/>
      </c>
      <c r="R1458" s="29" t="str">
        <f aca="false">IF($C1458="","",YEAR($C1458))</f>
        <v/>
      </c>
      <c r="S1458" s="24"/>
      <c r="T1458" s="35" t="str">
        <f aca="false">IF($C1458="","",IF($D1458="","★没选客户项目",IF(COUNTIF(合同键,$D1458)=0,"★《维保合同》里没这个项目",IF(N($K1458)&lt;=0,"★应收金额要填",IF(ROUND(N($N1458)-N($K1458),2)&gt;0.001,"★开票金额大于应收",IF(AND($L1458&lt;&gt;"",N($N1458)&lt;=0),"★填了开票日期没填开票金额",IF(AND($I1458&lt;&gt;"",$J1458&lt;&gt;"",$J1458&lt;$I1458),"★计费期间起止反了","OK")))))))</f>
        <v/>
      </c>
      <c r="U1458" s="29" t="str">
        <f aca="false">IF($L1458="","",YEAR($L1458))</f>
        <v/>
      </c>
      <c r="V1458" s="40" t="str">
        <f aca="false">IF($C1458="","",ROUND(SUMIF(收款关联,$B1458,收款金额),2))</f>
        <v/>
      </c>
      <c r="W1458" s="40" t="str">
        <f aca="false">IF($C1458="","",MAX(0,ROUND(N($K1458)-N($V1458),2)))</f>
        <v/>
      </c>
      <c r="X1458" s="40" t="str">
        <f aca="false">IF($C1458="","",ROUND(SUMIFS(应收净额,应收键,$D1458,应收行号,"&lt;="&amp;ROW()),2))</f>
        <v/>
      </c>
      <c r="Y1458" s="29" t="str">
        <f aca="false">IF($C1458="","",ROW())</f>
        <v/>
      </c>
    </row>
    <row r="1459" customFormat="false" ht="15" hidden="false" customHeight="false" outlineLevel="0" collapsed="false">
      <c r="A1459" s="29" t="str">
        <f aca="false">IF($C1459="","",ROW()-4)</f>
        <v/>
      </c>
      <c r="B1459" s="35" t="str">
        <f aca="false">IF($C1459="","","YS"&amp;TEXT($C1459,"yyyymm")&amp;"-"&amp;TEXT(ROW()-4,"0000"))</f>
        <v/>
      </c>
      <c r="C1459" s="33"/>
      <c r="D1459" s="24"/>
      <c r="E1459" s="30" t="str">
        <f aca="false">IF($D1459="","",IFERROR(INDEX(合同单位,MATCH($D1459,合同键,0)),IFERROR(TRIM(LEFT($D1459,FIND("｜",$D1459)-1)),$D1459)))</f>
        <v/>
      </c>
      <c r="F1459" s="30" t="str">
        <f aca="false">IF($D1459="","",IFERROR(INDEX(合同项目,MATCH($D1459,合同键,0)),IFERROR(TRIM(MID($D1459,FIND("｜",$D1459)+1,99)),"")))</f>
        <v/>
      </c>
      <c r="G1459" s="24"/>
      <c r="H1459" s="35" t="str">
        <f aca="false">IF($G1459="","",IFERROR(INDEX(费用款别,MATCH($G1459,费用类别表,0)),"合同外款"))</f>
        <v/>
      </c>
      <c r="I1459" s="33"/>
      <c r="J1459" s="33"/>
      <c r="K1459" s="39"/>
      <c r="L1459" s="33"/>
      <c r="M1459" s="25"/>
      <c r="N1459" s="39"/>
      <c r="O1459" s="35" t="str">
        <f aca="false">IF($C1459="","",IF(N($N1459)&lt;=0,"未开票",IF(ROUND(N($N1459)-N($K1459),2)&gt;=0,"已开票",IFERROR("部分开票 "&amp;TEXT(N($N1459)/N($K1459),"0%"),"部分开票"))))</f>
        <v/>
      </c>
      <c r="P1459" s="40" t="str">
        <f aca="false">IF($C1459="","",ROUND($V1459+MIN($W1459,MAX(0,(SUMIF(收款键,$D1459,收款金额)-SUMIFS(收款金额,收款键,$D1459,收款关联,"&lt;&gt;"))-($X1459-$W1459))),2))</f>
        <v/>
      </c>
      <c r="Q1459" s="41" t="str">
        <f aca="false">IF($C1459="","",ROUND(N($K1459)-N($P1459),2))</f>
        <v/>
      </c>
      <c r="R1459" s="29" t="str">
        <f aca="false">IF($C1459="","",YEAR($C1459))</f>
        <v/>
      </c>
      <c r="S1459" s="24"/>
      <c r="T1459" s="35" t="str">
        <f aca="false">IF($C1459="","",IF($D1459="","★没选客户项目",IF(COUNTIF(合同键,$D1459)=0,"★《维保合同》里没这个项目",IF(N($K1459)&lt;=0,"★应收金额要填",IF(ROUND(N($N1459)-N($K1459),2)&gt;0.001,"★开票金额大于应收",IF(AND($L1459&lt;&gt;"",N($N1459)&lt;=0),"★填了开票日期没填开票金额",IF(AND($I1459&lt;&gt;"",$J1459&lt;&gt;"",$J1459&lt;$I1459),"★计费期间起止反了","OK")))))))</f>
        <v/>
      </c>
      <c r="U1459" s="29" t="str">
        <f aca="false">IF($L1459="","",YEAR($L1459))</f>
        <v/>
      </c>
      <c r="V1459" s="40" t="str">
        <f aca="false">IF($C1459="","",ROUND(SUMIF(收款关联,$B1459,收款金额),2))</f>
        <v/>
      </c>
      <c r="W1459" s="40" t="str">
        <f aca="false">IF($C1459="","",MAX(0,ROUND(N($K1459)-N($V1459),2)))</f>
        <v/>
      </c>
      <c r="X1459" s="40" t="str">
        <f aca="false">IF($C1459="","",ROUND(SUMIFS(应收净额,应收键,$D1459,应收行号,"&lt;="&amp;ROW()),2))</f>
        <v/>
      </c>
      <c r="Y1459" s="29" t="str">
        <f aca="false">IF($C1459="","",ROW())</f>
        <v/>
      </c>
    </row>
    <row r="1460" customFormat="false" ht="15" hidden="false" customHeight="false" outlineLevel="0" collapsed="false">
      <c r="A1460" s="29" t="str">
        <f aca="false">IF($C1460="","",ROW()-4)</f>
        <v/>
      </c>
      <c r="B1460" s="35" t="str">
        <f aca="false">IF($C1460="","","YS"&amp;TEXT($C1460,"yyyymm")&amp;"-"&amp;TEXT(ROW()-4,"0000"))</f>
        <v/>
      </c>
      <c r="C1460" s="33"/>
      <c r="D1460" s="24"/>
      <c r="E1460" s="30" t="str">
        <f aca="false">IF($D1460="","",IFERROR(INDEX(合同单位,MATCH($D1460,合同键,0)),IFERROR(TRIM(LEFT($D1460,FIND("｜",$D1460)-1)),$D1460)))</f>
        <v/>
      </c>
      <c r="F1460" s="30" t="str">
        <f aca="false">IF($D1460="","",IFERROR(INDEX(合同项目,MATCH($D1460,合同键,0)),IFERROR(TRIM(MID($D1460,FIND("｜",$D1460)+1,99)),"")))</f>
        <v/>
      </c>
      <c r="G1460" s="24"/>
      <c r="H1460" s="35" t="str">
        <f aca="false">IF($G1460="","",IFERROR(INDEX(费用款别,MATCH($G1460,费用类别表,0)),"合同外款"))</f>
        <v/>
      </c>
      <c r="I1460" s="33"/>
      <c r="J1460" s="33"/>
      <c r="K1460" s="39"/>
      <c r="L1460" s="33"/>
      <c r="M1460" s="25"/>
      <c r="N1460" s="39"/>
      <c r="O1460" s="35" t="str">
        <f aca="false">IF($C1460="","",IF(N($N1460)&lt;=0,"未开票",IF(ROUND(N($N1460)-N($K1460),2)&gt;=0,"已开票",IFERROR("部分开票 "&amp;TEXT(N($N1460)/N($K1460),"0%"),"部分开票"))))</f>
        <v/>
      </c>
      <c r="P1460" s="40" t="str">
        <f aca="false">IF($C1460="","",ROUND($V1460+MIN($W1460,MAX(0,(SUMIF(收款键,$D1460,收款金额)-SUMIFS(收款金额,收款键,$D1460,收款关联,"&lt;&gt;"))-($X1460-$W1460))),2))</f>
        <v/>
      </c>
      <c r="Q1460" s="41" t="str">
        <f aca="false">IF($C1460="","",ROUND(N($K1460)-N($P1460),2))</f>
        <v/>
      </c>
      <c r="R1460" s="29" t="str">
        <f aca="false">IF($C1460="","",YEAR($C1460))</f>
        <v/>
      </c>
      <c r="S1460" s="24"/>
      <c r="T1460" s="35" t="str">
        <f aca="false">IF($C1460="","",IF($D1460="","★没选客户项目",IF(COUNTIF(合同键,$D1460)=0,"★《维保合同》里没这个项目",IF(N($K1460)&lt;=0,"★应收金额要填",IF(ROUND(N($N1460)-N($K1460),2)&gt;0.001,"★开票金额大于应收",IF(AND($L1460&lt;&gt;"",N($N1460)&lt;=0),"★填了开票日期没填开票金额",IF(AND($I1460&lt;&gt;"",$J1460&lt;&gt;"",$J1460&lt;$I1460),"★计费期间起止反了","OK")))))))</f>
        <v/>
      </c>
      <c r="U1460" s="29" t="str">
        <f aca="false">IF($L1460="","",YEAR($L1460))</f>
        <v/>
      </c>
      <c r="V1460" s="40" t="str">
        <f aca="false">IF($C1460="","",ROUND(SUMIF(收款关联,$B1460,收款金额),2))</f>
        <v/>
      </c>
      <c r="W1460" s="40" t="str">
        <f aca="false">IF($C1460="","",MAX(0,ROUND(N($K1460)-N($V1460),2)))</f>
        <v/>
      </c>
      <c r="X1460" s="40" t="str">
        <f aca="false">IF($C1460="","",ROUND(SUMIFS(应收净额,应收键,$D1460,应收行号,"&lt;="&amp;ROW()),2))</f>
        <v/>
      </c>
      <c r="Y1460" s="29" t="str">
        <f aca="false">IF($C1460="","",ROW())</f>
        <v/>
      </c>
    </row>
    <row r="1461" customFormat="false" ht="15" hidden="false" customHeight="false" outlineLevel="0" collapsed="false">
      <c r="A1461" s="29" t="str">
        <f aca="false">IF($C1461="","",ROW()-4)</f>
        <v/>
      </c>
      <c r="B1461" s="35" t="str">
        <f aca="false">IF($C1461="","","YS"&amp;TEXT($C1461,"yyyymm")&amp;"-"&amp;TEXT(ROW()-4,"0000"))</f>
        <v/>
      </c>
      <c r="C1461" s="33"/>
      <c r="D1461" s="24"/>
      <c r="E1461" s="30" t="str">
        <f aca="false">IF($D1461="","",IFERROR(INDEX(合同单位,MATCH($D1461,合同键,0)),IFERROR(TRIM(LEFT($D1461,FIND("｜",$D1461)-1)),$D1461)))</f>
        <v/>
      </c>
      <c r="F1461" s="30" t="str">
        <f aca="false">IF($D1461="","",IFERROR(INDEX(合同项目,MATCH($D1461,合同键,0)),IFERROR(TRIM(MID($D1461,FIND("｜",$D1461)+1,99)),"")))</f>
        <v/>
      </c>
      <c r="G1461" s="24"/>
      <c r="H1461" s="35" t="str">
        <f aca="false">IF($G1461="","",IFERROR(INDEX(费用款别,MATCH($G1461,费用类别表,0)),"合同外款"))</f>
        <v/>
      </c>
      <c r="I1461" s="33"/>
      <c r="J1461" s="33"/>
      <c r="K1461" s="39"/>
      <c r="L1461" s="33"/>
      <c r="M1461" s="25"/>
      <c r="N1461" s="39"/>
      <c r="O1461" s="35" t="str">
        <f aca="false">IF($C1461="","",IF(N($N1461)&lt;=0,"未开票",IF(ROUND(N($N1461)-N($K1461),2)&gt;=0,"已开票",IFERROR("部分开票 "&amp;TEXT(N($N1461)/N($K1461),"0%"),"部分开票"))))</f>
        <v/>
      </c>
      <c r="P1461" s="40" t="str">
        <f aca="false">IF($C1461="","",ROUND($V1461+MIN($W1461,MAX(0,(SUMIF(收款键,$D1461,收款金额)-SUMIFS(收款金额,收款键,$D1461,收款关联,"&lt;&gt;"))-($X1461-$W1461))),2))</f>
        <v/>
      </c>
      <c r="Q1461" s="41" t="str">
        <f aca="false">IF($C1461="","",ROUND(N($K1461)-N($P1461),2))</f>
        <v/>
      </c>
      <c r="R1461" s="29" t="str">
        <f aca="false">IF($C1461="","",YEAR($C1461))</f>
        <v/>
      </c>
      <c r="S1461" s="24"/>
      <c r="T1461" s="35" t="str">
        <f aca="false">IF($C1461="","",IF($D1461="","★没选客户项目",IF(COUNTIF(合同键,$D1461)=0,"★《维保合同》里没这个项目",IF(N($K1461)&lt;=0,"★应收金额要填",IF(ROUND(N($N1461)-N($K1461),2)&gt;0.001,"★开票金额大于应收",IF(AND($L1461&lt;&gt;"",N($N1461)&lt;=0),"★填了开票日期没填开票金额",IF(AND($I1461&lt;&gt;"",$J1461&lt;&gt;"",$J1461&lt;$I1461),"★计费期间起止反了","OK")))))))</f>
        <v/>
      </c>
      <c r="U1461" s="29" t="str">
        <f aca="false">IF($L1461="","",YEAR($L1461))</f>
        <v/>
      </c>
      <c r="V1461" s="40" t="str">
        <f aca="false">IF($C1461="","",ROUND(SUMIF(收款关联,$B1461,收款金额),2))</f>
        <v/>
      </c>
      <c r="W1461" s="40" t="str">
        <f aca="false">IF($C1461="","",MAX(0,ROUND(N($K1461)-N($V1461),2)))</f>
        <v/>
      </c>
      <c r="X1461" s="40" t="str">
        <f aca="false">IF($C1461="","",ROUND(SUMIFS(应收净额,应收键,$D1461,应收行号,"&lt;="&amp;ROW()),2))</f>
        <v/>
      </c>
      <c r="Y1461" s="29" t="str">
        <f aca="false">IF($C1461="","",ROW())</f>
        <v/>
      </c>
    </row>
    <row r="1462" customFormat="false" ht="15" hidden="false" customHeight="false" outlineLevel="0" collapsed="false">
      <c r="A1462" s="29" t="str">
        <f aca="false">IF($C1462="","",ROW()-4)</f>
        <v/>
      </c>
      <c r="B1462" s="35" t="str">
        <f aca="false">IF($C1462="","","YS"&amp;TEXT($C1462,"yyyymm")&amp;"-"&amp;TEXT(ROW()-4,"0000"))</f>
        <v/>
      </c>
      <c r="C1462" s="33"/>
      <c r="D1462" s="24"/>
      <c r="E1462" s="30" t="str">
        <f aca="false">IF($D1462="","",IFERROR(INDEX(合同单位,MATCH($D1462,合同键,0)),IFERROR(TRIM(LEFT($D1462,FIND("｜",$D1462)-1)),$D1462)))</f>
        <v/>
      </c>
      <c r="F1462" s="30" t="str">
        <f aca="false">IF($D1462="","",IFERROR(INDEX(合同项目,MATCH($D1462,合同键,0)),IFERROR(TRIM(MID($D1462,FIND("｜",$D1462)+1,99)),"")))</f>
        <v/>
      </c>
      <c r="G1462" s="24"/>
      <c r="H1462" s="35" t="str">
        <f aca="false">IF($G1462="","",IFERROR(INDEX(费用款别,MATCH($G1462,费用类别表,0)),"合同外款"))</f>
        <v/>
      </c>
      <c r="I1462" s="33"/>
      <c r="J1462" s="33"/>
      <c r="K1462" s="39"/>
      <c r="L1462" s="33"/>
      <c r="M1462" s="25"/>
      <c r="N1462" s="39"/>
      <c r="O1462" s="35" t="str">
        <f aca="false">IF($C1462="","",IF(N($N1462)&lt;=0,"未开票",IF(ROUND(N($N1462)-N($K1462),2)&gt;=0,"已开票",IFERROR("部分开票 "&amp;TEXT(N($N1462)/N($K1462),"0%"),"部分开票"))))</f>
        <v/>
      </c>
      <c r="P1462" s="40" t="str">
        <f aca="false">IF($C1462="","",ROUND($V1462+MIN($W1462,MAX(0,(SUMIF(收款键,$D1462,收款金额)-SUMIFS(收款金额,收款键,$D1462,收款关联,"&lt;&gt;"))-($X1462-$W1462))),2))</f>
        <v/>
      </c>
      <c r="Q1462" s="41" t="str">
        <f aca="false">IF($C1462="","",ROUND(N($K1462)-N($P1462),2))</f>
        <v/>
      </c>
      <c r="R1462" s="29" t="str">
        <f aca="false">IF($C1462="","",YEAR($C1462))</f>
        <v/>
      </c>
      <c r="S1462" s="24"/>
      <c r="T1462" s="35" t="str">
        <f aca="false">IF($C1462="","",IF($D1462="","★没选客户项目",IF(COUNTIF(合同键,$D1462)=0,"★《维保合同》里没这个项目",IF(N($K1462)&lt;=0,"★应收金额要填",IF(ROUND(N($N1462)-N($K1462),2)&gt;0.001,"★开票金额大于应收",IF(AND($L1462&lt;&gt;"",N($N1462)&lt;=0),"★填了开票日期没填开票金额",IF(AND($I1462&lt;&gt;"",$J1462&lt;&gt;"",$J1462&lt;$I1462),"★计费期间起止反了","OK")))))))</f>
        <v/>
      </c>
      <c r="U1462" s="29" t="str">
        <f aca="false">IF($L1462="","",YEAR($L1462))</f>
        <v/>
      </c>
      <c r="V1462" s="40" t="str">
        <f aca="false">IF($C1462="","",ROUND(SUMIF(收款关联,$B1462,收款金额),2))</f>
        <v/>
      </c>
      <c r="W1462" s="40" t="str">
        <f aca="false">IF($C1462="","",MAX(0,ROUND(N($K1462)-N($V1462),2)))</f>
        <v/>
      </c>
      <c r="X1462" s="40" t="str">
        <f aca="false">IF($C1462="","",ROUND(SUMIFS(应收净额,应收键,$D1462,应收行号,"&lt;="&amp;ROW()),2))</f>
        <v/>
      </c>
      <c r="Y1462" s="29" t="str">
        <f aca="false">IF($C1462="","",ROW())</f>
        <v/>
      </c>
    </row>
    <row r="1463" customFormat="false" ht="15" hidden="false" customHeight="false" outlineLevel="0" collapsed="false">
      <c r="A1463" s="29" t="str">
        <f aca="false">IF($C1463="","",ROW()-4)</f>
        <v/>
      </c>
      <c r="B1463" s="35" t="str">
        <f aca="false">IF($C1463="","","YS"&amp;TEXT($C1463,"yyyymm")&amp;"-"&amp;TEXT(ROW()-4,"0000"))</f>
        <v/>
      </c>
      <c r="C1463" s="33"/>
      <c r="D1463" s="24"/>
      <c r="E1463" s="30" t="str">
        <f aca="false">IF($D1463="","",IFERROR(INDEX(合同单位,MATCH($D1463,合同键,0)),IFERROR(TRIM(LEFT($D1463,FIND("｜",$D1463)-1)),$D1463)))</f>
        <v/>
      </c>
      <c r="F1463" s="30" t="str">
        <f aca="false">IF($D1463="","",IFERROR(INDEX(合同项目,MATCH($D1463,合同键,0)),IFERROR(TRIM(MID($D1463,FIND("｜",$D1463)+1,99)),"")))</f>
        <v/>
      </c>
      <c r="G1463" s="24"/>
      <c r="H1463" s="35" t="str">
        <f aca="false">IF($G1463="","",IFERROR(INDEX(费用款别,MATCH($G1463,费用类别表,0)),"合同外款"))</f>
        <v/>
      </c>
      <c r="I1463" s="33"/>
      <c r="J1463" s="33"/>
      <c r="K1463" s="39"/>
      <c r="L1463" s="33"/>
      <c r="M1463" s="25"/>
      <c r="N1463" s="39"/>
      <c r="O1463" s="35" t="str">
        <f aca="false">IF($C1463="","",IF(N($N1463)&lt;=0,"未开票",IF(ROUND(N($N1463)-N($K1463),2)&gt;=0,"已开票",IFERROR("部分开票 "&amp;TEXT(N($N1463)/N($K1463),"0%"),"部分开票"))))</f>
        <v/>
      </c>
      <c r="P1463" s="40" t="str">
        <f aca="false">IF($C1463="","",ROUND($V1463+MIN($W1463,MAX(0,(SUMIF(收款键,$D1463,收款金额)-SUMIFS(收款金额,收款键,$D1463,收款关联,"&lt;&gt;"))-($X1463-$W1463))),2))</f>
        <v/>
      </c>
      <c r="Q1463" s="41" t="str">
        <f aca="false">IF($C1463="","",ROUND(N($K1463)-N($P1463),2))</f>
        <v/>
      </c>
      <c r="R1463" s="29" t="str">
        <f aca="false">IF($C1463="","",YEAR($C1463))</f>
        <v/>
      </c>
      <c r="S1463" s="24"/>
      <c r="T1463" s="35" t="str">
        <f aca="false">IF($C1463="","",IF($D1463="","★没选客户项目",IF(COUNTIF(合同键,$D1463)=0,"★《维保合同》里没这个项目",IF(N($K1463)&lt;=0,"★应收金额要填",IF(ROUND(N($N1463)-N($K1463),2)&gt;0.001,"★开票金额大于应收",IF(AND($L1463&lt;&gt;"",N($N1463)&lt;=0),"★填了开票日期没填开票金额",IF(AND($I1463&lt;&gt;"",$J1463&lt;&gt;"",$J1463&lt;$I1463),"★计费期间起止反了","OK")))))))</f>
        <v/>
      </c>
      <c r="U1463" s="29" t="str">
        <f aca="false">IF($L1463="","",YEAR($L1463))</f>
        <v/>
      </c>
      <c r="V1463" s="40" t="str">
        <f aca="false">IF($C1463="","",ROUND(SUMIF(收款关联,$B1463,收款金额),2))</f>
        <v/>
      </c>
      <c r="W1463" s="40" t="str">
        <f aca="false">IF($C1463="","",MAX(0,ROUND(N($K1463)-N($V1463),2)))</f>
        <v/>
      </c>
      <c r="X1463" s="40" t="str">
        <f aca="false">IF($C1463="","",ROUND(SUMIFS(应收净额,应收键,$D1463,应收行号,"&lt;="&amp;ROW()),2))</f>
        <v/>
      </c>
      <c r="Y1463" s="29" t="str">
        <f aca="false">IF($C1463="","",ROW())</f>
        <v/>
      </c>
    </row>
    <row r="1464" customFormat="false" ht="15" hidden="false" customHeight="false" outlineLevel="0" collapsed="false">
      <c r="A1464" s="29" t="str">
        <f aca="false">IF($C1464="","",ROW()-4)</f>
        <v/>
      </c>
      <c r="B1464" s="35" t="str">
        <f aca="false">IF($C1464="","","YS"&amp;TEXT($C1464,"yyyymm")&amp;"-"&amp;TEXT(ROW()-4,"0000"))</f>
        <v/>
      </c>
      <c r="C1464" s="33"/>
      <c r="D1464" s="24"/>
      <c r="E1464" s="30" t="str">
        <f aca="false">IF($D1464="","",IFERROR(INDEX(合同单位,MATCH($D1464,合同键,0)),IFERROR(TRIM(LEFT($D1464,FIND("｜",$D1464)-1)),$D1464)))</f>
        <v/>
      </c>
      <c r="F1464" s="30" t="str">
        <f aca="false">IF($D1464="","",IFERROR(INDEX(合同项目,MATCH($D1464,合同键,0)),IFERROR(TRIM(MID($D1464,FIND("｜",$D1464)+1,99)),"")))</f>
        <v/>
      </c>
      <c r="G1464" s="24"/>
      <c r="H1464" s="35" t="str">
        <f aca="false">IF($G1464="","",IFERROR(INDEX(费用款别,MATCH($G1464,费用类别表,0)),"合同外款"))</f>
        <v/>
      </c>
      <c r="I1464" s="33"/>
      <c r="J1464" s="33"/>
      <c r="K1464" s="39"/>
      <c r="L1464" s="33"/>
      <c r="M1464" s="25"/>
      <c r="N1464" s="39"/>
      <c r="O1464" s="35" t="str">
        <f aca="false">IF($C1464="","",IF(N($N1464)&lt;=0,"未开票",IF(ROUND(N($N1464)-N($K1464),2)&gt;=0,"已开票",IFERROR("部分开票 "&amp;TEXT(N($N1464)/N($K1464),"0%"),"部分开票"))))</f>
        <v/>
      </c>
      <c r="P1464" s="40" t="str">
        <f aca="false">IF($C1464="","",ROUND($V1464+MIN($W1464,MAX(0,(SUMIF(收款键,$D1464,收款金额)-SUMIFS(收款金额,收款键,$D1464,收款关联,"&lt;&gt;"))-($X1464-$W1464))),2))</f>
        <v/>
      </c>
      <c r="Q1464" s="41" t="str">
        <f aca="false">IF($C1464="","",ROUND(N($K1464)-N($P1464),2))</f>
        <v/>
      </c>
      <c r="R1464" s="29" t="str">
        <f aca="false">IF($C1464="","",YEAR($C1464))</f>
        <v/>
      </c>
      <c r="S1464" s="24"/>
      <c r="T1464" s="35" t="str">
        <f aca="false">IF($C1464="","",IF($D1464="","★没选客户项目",IF(COUNTIF(合同键,$D1464)=0,"★《维保合同》里没这个项目",IF(N($K1464)&lt;=0,"★应收金额要填",IF(ROUND(N($N1464)-N($K1464),2)&gt;0.001,"★开票金额大于应收",IF(AND($L1464&lt;&gt;"",N($N1464)&lt;=0),"★填了开票日期没填开票金额",IF(AND($I1464&lt;&gt;"",$J1464&lt;&gt;"",$J1464&lt;$I1464),"★计费期间起止反了","OK")))))))</f>
        <v/>
      </c>
      <c r="U1464" s="29" t="str">
        <f aca="false">IF($L1464="","",YEAR($L1464))</f>
        <v/>
      </c>
      <c r="V1464" s="40" t="str">
        <f aca="false">IF($C1464="","",ROUND(SUMIF(收款关联,$B1464,收款金额),2))</f>
        <v/>
      </c>
      <c r="W1464" s="40" t="str">
        <f aca="false">IF($C1464="","",MAX(0,ROUND(N($K1464)-N($V1464),2)))</f>
        <v/>
      </c>
      <c r="X1464" s="40" t="str">
        <f aca="false">IF($C1464="","",ROUND(SUMIFS(应收净额,应收键,$D1464,应收行号,"&lt;="&amp;ROW()),2))</f>
        <v/>
      </c>
      <c r="Y1464" s="29" t="str">
        <f aca="false">IF($C1464="","",ROW())</f>
        <v/>
      </c>
    </row>
    <row r="1465" customFormat="false" ht="15" hidden="false" customHeight="false" outlineLevel="0" collapsed="false">
      <c r="A1465" s="29" t="str">
        <f aca="false">IF($C1465="","",ROW()-4)</f>
        <v/>
      </c>
      <c r="B1465" s="35" t="str">
        <f aca="false">IF($C1465="","","YS"&amp;TEXT($C1465,"yyyymm")&amp;"-"&amp;TEXT(ROW()-4,"0000"))</f>
        <v/>
      </c>
      <c r="C1465" s="33"/>
      <c r="D1465" s="24"/>
      <c r="E1465" s="30" t="str">
        <f aca="false">IF($D1465="","",IFERROR(INDEX(合同单位,MATCH($D1465,合同键,0)),IFERROR(TRIM(LEFT($D1465,FIND("｜",$D1465)-1)),$D1465)))</f>
        <v/>
      </c>
      <c r="F1465" s="30" t="str">
        <f aca="false">IF($D1465="","",IFERROR(INDEX(合同项目,MATCH($D1465,合同键,0)),IFERROR(TRIM(MID($D1465,FIND("｜",$D1465)+1,99)),"")))</f>
        <v/>
      </c>
      <c r="G1465" s="24"/>
      <c r="H1465" s="35" t="str">
        <f aca="false">IF($G1465="","",IFERROR(INDEX(费用款别,MATCH($G1465,费用类别表,0)),"合同外款"))</f>
        <v/>
      </c>
      <c r="I1465" s="33"/>
      <c r="J1465" s="33"/>
      <c r="K1465" s="39"/>
      <c r="L1465" s="33"/>
      <c r="M1465" s="25"/>
      <c r="N1465" s="39"/>
      <c r="O1465" s="35" t="str">
        <f aca="false">IF($C1465="","",IF(N($N1465)&lt;=0,"未开票",IF(ROUND(N($N1465)-N($K1465),2)&gt;=0,"已开票",IFERROR("部分开票 "&amp;TEXT(N($N1465)/N($K1465),"0%"),"部分开票"))))</f>
        <v/>
      </c>
      <c r="P1465" s="40" t="str">
        <f aca="false">IF($C1465="","",ROUND($V1465+MIN($W1465,MAX(0,(SUMIF(收款键,$D1465,收款金额)-SUMIFS(收款金额,收款键,$D1465,收款关联,"&lt;&gt;"))-($X1465-$W1465))),2))</f>
        <v/>
      </c>
      <c r="Q1465" s="41" t="str">
        <f aca="false">IF($C1465="","",ROUND(N($K1465)-N($P1465),2))</f>
        <v/>
      </c>
      <c r="R1465" s="29" t="str">
        <f aca="false">IF($C1465="","",YEAR($C1465))</f>
        <v/>
      </c>
      <c r="S1465" s="24"/>
      <c r="T1465" s="35" t="str">
        <f aca="false">IF($C1465="","",IF($D1465="","★没选客户项目",IF(COUNTIF(合同键,$D1465)=0,"★《维保合同》里没这个项目",IF(N($K1465)&lt;=0,"★应收金额要填",IF(ROUND(N($N1465)-N($K1465),2)&gt;0.001,"★开票金额大于应收",IF(AND($L1465&lt;&gt;"",N($N1465)&lt;=0),"★填了开票日期没填开票金额",IF(AND($I1465&lt;&gt;"",$J1465&lt;&gt;"",$J1465&lt;$I1465),"★计费期间起止反了","OK")))))))</f>
        <v/>
      </c>
      <c r="U1465" s="29" t="str">
        <f aca="false">IF($L1465="","",YEAR($L1465))</f>
        <v/>
      </c>
      <c r="V1465" s="40" t="str">
        <f aca="false">IF($C1465="","",ROUND(SUMIF(收款关联,$B1465,收款金额),2))</f>
        <v/>
      </c>
      <c r="W1465" s="40" t="str">
        <f aca="false">IF($C1465="","",MAX(0,ROUND(N($K1465)-N($V1465),2)))</f>
        <v/>
      </c>
      <c r="X1465" s="40" t="str">
        <f aca="false">IF($C1465="","",ROUND(SUMIFS(应收净额,应收键,$D1465,应收行号,"&lt;="&amp;ROW()),2))</f>
        <v/>
      </c>
      <c r="Y1465" s="29" t="str">
        <f aca="false">IF($C1465="","",ROW())</f>
        <v/>
      </c>
    </row>
    <row r="1466" customFormat="false" ht="15" hidden="false" customHeight="false" outlineLevel="0" collapsed="false">
      <c r="A1466" s="29" t="str">
        <f aca="false">IF($C1466="","",ROW()-4)</f>
        <v/>
      </c>
      <c r="B1466" s="35" t="str">
        <f aca="false">IF($C1466="","","YS"&amp;TEXT($C1466,"yyyymm")&amp;"-"&amp;TEXT(ROW()-4,"0000"))</f>
        <v/>
      </c>
      <c r="C1466" s="33"/>
      <c r="D1466" s="24"/>
      <c r="E1466" s="30" t="str">
        <f aca="false">IF($D1466="","",IFERROR(INDEX(合同单位,MATCH($D1466,合同键,0)),IFERROR(TRIM(LEFT($D1466,FIND("｜",$D1466)-1)),$D1466)))</f>
        <v/>
      </c>
      <c r="F1466" s="30" t="str">
        <f aca="false">IF($D1466="","",IFERROR(INDEX(合同项目,MATCH($D1466,合同键,0)),IFERROR(TRIM(MID($D1466,FIND("｜",$D1466)+1,99)),"")))</f>
        <v/>
      </c>
      <c r="G1466" s="24"/>
      <c r="H1466" s="35" t="str">
        <f aca="false">IF($G1466="","",IFERROR(INDEX(费用款别,MATCH($G1466,费用类别表,0)),"合同外款"))</f>
        <v/>
      </c>
      <c r="I1466" s="33"/>
      <c r="J1466" s="33"/>
      <c r="K1466" s="39"/>
      <c r="L1466" s="33"/>
      <c r="M1466" s="25"/>
      <c r="N1466" s="39"/>
      <c r="O1466" s="35" t="str">
        <f aca="false">IF($C1466="","",IF(N($N1466)&lt;=0,"未开票",IF(ROUND(N($N1466)-N($K1466),2)&gt;=0,"已开票",IFERROR("部分开票 "&amp;TEXT(N($N1466)/N($K1466),"0%"),"部分开票"))))</f>
        <v/>
      </c>
      <c r="P1466" s="40" t="str">
        <f aca="false">IF($C1466="","",ROUND($V1466+MIN($W1466,MAX(0,(SUMIF(收款键,$D1466,收款金额)-SUMIFS(收款金额,收款键,$D1466,收款关联,"&lt;&gt;"))-($X1466-$W1466))),2))</f>
        <v/>
      </c>
      <c r="Q1466" s="41" t="str">
        <f aca="false">IF($C1466="","",ROUND(N($K1466)-N($P1466),2))</f>
        <v/>
      </c>
      <c r="R1466" s="29" t="str">
        <f aca="false">IF($C1466="","",YEAR($C1466))</f>
        <v/>
      </c>
      <c r="S1466" s="24"/>
      <c r="T1466" s="35" t="str">
        <f aca="false">IF($C1466="","",IF($D1466="","★没选客户项目",IF(COUNTIF(合同键,$D1466)=0,"★《维保合同》里没这个项目",IF(N($K1466)&lt;=0,"★应收金额要填",IF(ROUND(N($N1466)-N($K1466),2)&gt;0.001,"★开票金额大于应收",IF(AND($L1466&lt;&gt;"",N($N1466)&lt;=0),"★填了开票日期没填开票金额",IF(AND($I1466&lt;&gt;"",$J1466&lt;&gt;"",$J1466&lt;$I1466),"★计费期间起止反了","OK")))))))</f>
        <v/>
      </c>
      <c r="U1466" s="29" t="str">
        <f aca="false">IF($L1466="","",YEAR($L1466))</f>
        <v/>
      </c>
      <c r="V1466" s="40" t="str">
        <f aca="false">IF($C1466="","",ROUND(SUMIF(收款关联,$B1466,收款金额),2))</f>
        <v/>
      </c>
      <c r="W1466" s="40" t="str">
        <f aca="false">IF($C1466="","",MAX(0,ROUND(N($K1466)-N($V1466),2)))</f>
        <v/>
      </c>
      <c r="X1466" s="40" t="str">
        <f aca="false">IF($C1466="","",ROUND(SUMIFS(应收净额,应收键,$D1466,应收行号,"&lt;="&amp;ROW()),2))</f>
        <v/>
      </c>
      <c r="Y1466" s="29" t="str">
        <f aca="false">IF($C1466="","",ROW())</f>
        <v/>
      </c>
    </row>
    <row r="1467" customFormat="false" ht="15" hidden="false" customHeight="false" outlineLevel="0" collapsed="false">
      <c r="A1467" s="29" t="str">
        <f aca="false">IF($C1467="","",ROW()-4)</f>
        <v/>
      </c>
      <c r="B1467" s="35" t="str">
        <f aca="false">IF($C1467="","","YS"&amp;TEXT($C1467,"yyyymm")&amp;"-"&amp;TEXT(ROW()-4,"0000"))</f>
        <v/>
      </c>
      <c r="C1467" s="33"/>
      <c r="D1467" s="24"/>
      <c r="E1467" s="30" t="str">
        <f aca="false">IF($D1467="","",IFERROR(INDEX(合同单位,MATCH($D1467,合同键,0)),IFERROR(TRIM(LEFT($D1467,FIND("｜",$D1467)-1)),$D1467)))</f>
        <v/>
      </c>
      <c r="F1467" s="30" t="str">
        <f aca="false">IF($D1467="","",IFERROR(INDEX(合同项目,MATCH($D1467,合同键,0)),IFERROR(TRIM(MID($D1467,FIND("｜",$D1467)+1,99)),"")))</f>
        <v/>
      </c>
      <c r="G1467" s="24"/>
      <c r="H1467" s="35" t="str">
        <f aca="false">IF($G1467="","",IFERROR(INDEX(费用款别,MATCH($G1467,费用类别表,0)),"合同外款"))</f>
        <v/>
      </c>
      <c r="I1467" s="33"/>
      <c r="J1467" s="33"/>
      <c r="K1467" s="39"/>
      <c r="L1467" s="33"/>
      <c r="M1467" s="25"/>
      <c r="N1467" s="39"/>
      <c r="O1467" s="35" t="str">
        <f aca="false">IF($C1467="","",IF(N($N1467)&lt;=0,"未开票",IF(ROUND(N($N1467)-N($K1467),2)&gt;=0,"已开票",IFERROR("部分开票 "&amp;TEXT(N($N1467)/N($K1467),"0%"),"部分开票"))))</f>
        <v/>
      </c>
      <c r="P1467" s="40" t="str">
        <f aca="false">IF($C1467="","",ROUND($V1467+MIN($W1467,MAX(0,(SUMIF(收款键,$D1467,收款金额)-SUMIFS(收款金额,收款键,$D1467,收款关联,"&lt;&gt;"))-($X1467-$W1467))),2))</f>
        <v/>
      </c>
      <c r="Q1467" s="41" t="str">
        <f aca="false">IF($C1467="","",ROUND(N($K1467)-N($P1467),2))</f>
        <v/>
      </c>
      <c r="R1467" s="29" t="str">
        <f aca="false">IF($C1467="","",YEAR($C1467))</f>
        <v/>
      </c>
      <c r="S1467" s="24"/>
      <c r="T1467" s="35" t="str">
        <f aca="false">IF($C1467="","",IF($D1467="","★没选客户项目",IF(COUNTIF(合同键,$D1467)=0,"★《维保合同》里没这个项目",IF(N($K1467)&lt;=0,"★应收金额要填",IF(ROUND(N($N1467)-N($K1467),2)&gt;0.001,"★开票金额大于应收",IF(AND($L1467&lt;&gt;"",N($N1467)&lt;=0),"★填了开票日期没填开票金额",IF(AND($I1467&lt;&gt;"",$J1467&lt;&gt;"",$J1467&lt;$I1467),"★计费期间起止反了","OK")))))))</f>
        <v/>
      </c>
      <c r="U1467" s="29" t="str">
        <f aca="false">IF($L1467="","",YEAR($L1467))</f>
        <v/>
      </c>
      <c r="V1467" s="40" t="str">
        <f aca="false">IF($C1467="","",ROUND(SUMIF(收款关联,$B1467,收款金额),2))</f>
        <v/>
      </c>
      <c r="W1467" s="40" t="str">
        <f aca="false">IF($C1467="","",MAX(0,ROUND(N($K1467)-N($V1467),2)))</f>
        <v/>
      </c>
      <c r="X1467" s="40" t="str">
        <f aca="false">IF($C1467="","",ROUND(SUMIFS(应收净额,应收键,$D1467,应收行号,"&lt;="&amp;ROW()),2))</f>
        <v/>
      </c>
      <c r="Y1467" s="29" t="str">
        <f aca="false">IF($C1467="","",ROW())</f>
        <v/>
      </c>
    </row>
    <row r="1468" customFormat="false" ht="15" hidden="false" customHeight="false" outlineLevel="0" collapsed="false">
      <c r="A1468" s="29" t="str">
        <f aca="false">IF($C1468="","",ROW()-4)</f>
        <v/>
      </c>
      <c r="B1468" s="35" t="str">
        <f aca="false">IF($C1468="","","YS"&amp;TEXT($C1468,"yyyymm")&amp;"-"&amp;TEXT(ROW()-4,"0000"))</f>
        <v/>
      </c>
      <c r="C1468" s="33"/>
      <c r="D1468" s="24"/>
      <c r="E1468" s="30" t="str">
        <f aca="false">IF($D1468="","",IFERROR(INDEX(合同单位,MATCH($D1468,合同键,0)),IFERROR(TRIM(LEFT($D1468,FIND("｜",$D1468)-1)),$D1468)))</f>
        <v/>
      </c>
      <c r="F1468" s="30" t="str">
        <f aca="false">IF($D1468="","",IFERROR(INDEX(合同项目,MATCH($D1468,合同键,0)),IFERROR(TRIM(MID($D1468,FIND("｜",$D1468)+1,99)),"")))</f>
        <v/>
      </c>
      <c r="G1468" s="24"/>
      <c r="H1468" s="35" t="str">
        <f aca="false">IF($G1468="","",IFERROR(INDEX(费用款别,MATCH($G1468,费用类别表,0)),"合同外款"))</f>
        <v/>
      </c>
      <c r="I1468" s="33"/>
      <c r="J1468" s="33"/>
      <c r="K1468" s="39"/>
      <c r="L1468" s="33"/>
      <c r="M1468" s="25"/>
      <c r="N1468" s="39"/>
      <c r="O1468" s="35" t="str">
        <f aca="false">IF($C1468="","",IF(N($N1468)&lt;=0,"未开票",IF(ROUND(N($N1468)-N($K1468),2)&gt;=0,"已开票",IFERROR("部分开票 "&amp;TEXT(N($N1468)/N($K1468),"0%"),"部分开票"))))</f>
        <v/>
      </c>
      <c r="P1468" s="40" t="str">
        <f aca="false">IF($C1468="","",ROUND($V1468+MIN($W1468,MAX(0,(SUMIF(收款键,$D1468,收款金额)-SUMIFS(收款金额,收款键,$D1468,收款关联,"&lt;&gt;"))-($X1468-$W1468))),2))</f>
        <v/>
      </c>
      <c r="Q1468" s="41" t="str">
        <f aca="false">IF($C1468="","",ROUND(N($K1468)-N($P1468),2))</f>
        <v/>
      </c>
      <c r="R1468" s="29" t="str">
        <f aca="false">IF($C1468="","",YEAR($C1468))</f>
        <v/>
      </c>
      <c r="S1468" s="24"/>
      <c r="T1468" s="35" t="str">
        <f aca="false">IF($C1468="","",IF($D1468="","★没选客户项目",IF(COUNTIF(合同键,$D1468)=0,"★《维保合同》里没这个项目",IF(N($K1468)&lt;=0,"★应收金额要填",IF(ROUND(N($N1468)-N($K1468),2)&gt;0.001,"★开票金额大于应收",IF(AND($L1468&lt;&gt;"",N($N1468)&lt;=0),"★填了开票日期没填开票金额",IF(AND($I1468&lt;&gt;"",$J1468&lt;&gt;"",$J1468&lt;$I1468),"★计费期间起止反了","OK")))))))</f>
        <v/>
      </c>
      <c r="U1468" s="29" t="str">
        <f aca="false">IF($L1468="","",YEAR($L1468))</f>
        <v/>
      </c>
      <c r="V1468" s="40" t="str">
        <f aca="false">IF($C1468="","",ROUND(SUMIF(收款关联,$B1468,收款金额),2))</f>
        <v/>
      </c>
      <c r="W1468" s="40" t="str">
        <f aca="false">IF($C1468="","",MAX(0,ROUND(N($K1468)-N($V1468),2)))</f>
        <v/>
      </c>
      <c r="X1468" s="40" t="str">
        <f aca="false">IF($C1468="","",ROUND(SUMIFS(应收净额,应收键,$D1468,应收行号,"&lt;="&amp;ROW()),2))</f>
        <v/>
      </c>
      <c r="Y1468" s="29" t="str">
        <f aca="false">IF($C1468="","",ROW())</f>
        <v/>
      </c>
    </row>
    <row r="1469" customFormat="false" ht="15" hidden="false" customHeight="false" outlineLevel="0" collapsed="false">
      <c r="A1469" s="29" t="str">
        <f aca="false">IF($C1469="","",ROW()-4)</f>
        <v/>
      </c>
      <c r="B1469" s="35" t="str">
        <f aca="false">IF($C1469="","","YS"&amp;TEXT($C1469,"yyyymm")&amp;"-"&amp;TEXT(ROW()-4,"0000"))</f>
        <v/>
      </c>
      <c r="C1469" s="33"/>
      <c r="D1469" s="24"/>
      <c r="E1469" s="30" t="str">
        <f aca="false">IF($D1469="","",IFERROR(INDEX(合同单位,MATCH($D1469,合同键,0)),IFERROR(TRIM(LEFT($D1469,FIND("｜",$D1469)-1)),$D1469)))</f>
        <v/>
      </c>
      <c r="F1469" s="30" t="str">
        <f aca="false">IF($D1469="","",IFERROR(INDEX(合同项目,MATCH($D1469,合同键,0)),IFERROR(TRIM(MID($D1469,FIND("｜",$D1469)+1,99)),"")))</f>
        <v/>
      </c>
      <c r="G1469" s="24"/>
      <c r="H1469" s="35" t="str">
        <f aca="false">IF($G1469="","",IFERROR(INDEX(费用款别,MATCH($G1469,费用类别表,0)),"合同外款"))</f>
        <v/>
      </c>
      <c r="I1469" s="33"/>
      <c r="J1469" s="33"/>
      <c r="K1469" s="39"/>
      <c r="L1469" s="33"/>
      <c r="M1469" s="25"/>
      <c r="N1469" s="39"/>
      <c r="O1469" s="35" t="str">
        <f aca="false">IF($C1469="","",IF(N($N1469)&lt;=0,"未开票",IF(ROUND(N($N1469)-N($K1469),2)&gt;=0,"已开票",IFERROR("部分开票 "&amp;TEXT(N($N1469)/N($K1469),"0%"),"部分开票"))))</f>
        <v/>
      </c>
      <c r="P1469" s="40" t="str">
        <f aca="false">IF($C1469="","",ROUND($V1469+MIN($W1469,MAX(0,(SUMIF(收款键,$D1469,收款金额)-SUMIFS(收款金额,收款键,$D1469,收款关联,"&lt;&gt;"))-($X1469-$W1469))),2))</f>
        <v/>
      </c>
      <c r="Q1469" s="41" t="str">
        <f aca="false">IF($C1469="","",ROUND(N($K1469)-N($P1469),2))</f>
        <v/>
      </c>
      <c r="R1469" s="29" t="str">
        <f aca="false">IF($C1469="","",YEAR($C1469))</f>
        <v/>
      </c>
      <c r="S1469" s="24"/>
      <c r="T1469" s="35" t="str">
        <f aca="false">IF($C1469="","",IF($D1469="","★没选客户项目",IF(COUNTIF(合同键,$D1469)=0,"★《维保合同》里没这个项目",IF(N($K1469)&lt;=0,"★应收金额要填",IF(ROUND(N($N1469)-N($K1469),2)&gt;0.001,"★开票金额大于应收",IF(AND($L1469&lt;&gt;"",N($N1469)&lt;=0),"★填了开票日期没填开票金额",IF(AND($I1469&lt;&gt;"",$J1469&lt;&gt;"",$J1469&lt;$I1469),"★计费期间起止反了","OK")))))))</f>
        <v/>
      </c>
      <c r="U1469" s="29" t="str">
        <f aca="false">IF($L1469="","",YEAR($L1469))</f>
        <v/>
      </c>
      <c r="V1469" s="40" t="str">
        <f aca="false">IF($C1469="","",ROUND(SUMIF(收款关联,$B1469,收款金额),2))</f>
        <v/>
      </c>
      <c r="W1469" s="40" t="str">
        <f aca="false">IF($C1469="","",MAX(0,ROUND(N($K1469)-N($V1469),2)))</f>
        <v/>
      </c>
      <c r="X1469" s="40" t="str">
        <f aca="false">IF($C1469="","",ROUND(SUMIFS(应收净额,应收键,$D1469,应收行号,"&lt;="&amp;ROW()),2))</f>
        <v/>
      </c>
      <c r="Y1469" s="29" t="str">
        <f aca="false">IF($C1469="","",ROW())</f>
        <v/>
      </c>
    </row>
    <row r="1470" customFormat="false" ht="15" hidden="false" customHeight="false" outlineLevel="0" collapsed="false">
      <c r="A1470" s="29" t="str">
        <f aca="false">IF($C1470="","",ROW()-4)</f>
        <v/>
      </c>
      <c r="B1470" s="35" t="str">
        <f aca="false">IF($C1470="","","YS"&amp;TEXT($C1470,"yyyymm")&amp;"-"&amp;TEXT(ROW()-4,"0000"))</f>
        <v/>
      </c>
      <c r="C1470" s="33"/>
      <c r="D1470" s="24"/>
      <c r="E1470" s="30" t="str">
        <f aca="false">IF($D1470="","",IFERROR(INDEX(合同单位,MATCH($D1470,合同键,0)),IFERROR(TRIM(LEFT($D1470,FIND("｜",$D1470)-1)),$D1470)))</f>
        <v/>
      </c>
      <c r="F1470" s="30" t="str">
        <f aca="false">IF($D1470="","",IFERROR(INDEX(合同项目,MATCH($D1470,合同键,0)),IFERROR(TRIM(MID($D1470,FIND("｜",$D1470)+1,99)),"")))</f>
        <v/>
      </c>
      <c r="G1470" s="24"/>
      <c r="H1470" s="35" t="str">
        <f aca="false">IF($G1470="","",IFERROR(INDEX(费用款别,MATCH($G1470,费用类别表,0)),"合同外款"))</f>
        <v/>
      </c>
      <c r="I1470" s="33"/>
      <c r="J1470" s="33"/>
      <c r="K1470" s="39"/>
      <c r="L1470" s="33"/>
      <c r="M1470" s="25"/>
      <c r="N1470" s="39"/>
      <c r="O1470" s="35" t="str">
        <f aca="false">IF($C1470="","",IF(N($N1470)&lt;=0,"未开票",IF(ROUND(N($N1470)-N($K1470),2)&gt;=0,"已开票",IFERROR("部分开票 "&amp;TEXT(N($N1470)/N($K1470),"0%"),"部分开票"))))</f>
        <v/>
      </c>
      <c r="P1470" s="40" t="str">
        <f aca="false">IF($C1470="","",ROUND($V1470+MIN($W1470,MAX(0,(SUMIF(收款键,$D1470,收款金额)-SUMIFS(收款金额,收款键,$D1470,收款关联,"&lt;&gt;"))-($X1470-$W1470))),2))</f>
        <v/>
      </c>
      <c r="Q1470" s="41" t="str">
        <f aca="false">IF($C1470="","",ROUND(N($K1470)-N($P1470),2))</f>
        <v/>
      </c>
      <c r="R1470" s="29" t="str">
        <f aca="false">IF($C1470="","",YEAR($C1470))</f>
        <v/>
      </c>
      <c r="S1470" s="24"/>
      <c r="T1470" s="35" t="str">
        <f aca="false">IF($C1470="","",IF($D1470="","★没选客户项目",IF(COUNTIF(合同键,$D1470)=0,"★《维保合同》里没这个项目",IF(N($K1470)&lt;=0,"★应收金额要填",IF(ROUND(N($N1470)-N($K1470),2)&gt;0.001,"★开票金额大于应收",IF(AND($L1470&lt;&gt;"",N($N1470)&lt;=0),"★填了开票日期没填开票金额",IF(AND($I1470&lt;&gt;"",$J1470&lt;&gt;"",$J1470&lt;$I1470),"★计费期间起止反了","OK")))))))</f>
        <v/>
      </c>
      <c r="U1470" s="29" t="str">
        <f aca="false">IF($L1470="","",YEAR($L1470))</f>
        <v/>
      </c>
      <c r="V1470" s="40" t="str">
        <f aca="false">IF($C1470="","",ROUND(SUMIF(收款关联,$B1470,收款金额),2))</f>
        <v/>
      </c>
      <c r="W1470" s="40" t="str">
        <f aca="false">IF($C1470="","",MAX(0,ROUND(N($K1470)-N($V1470),2)))</f>
        <v/>
      </c>
      <c r="X1470" s="40" t="str">
        <f aca="false">IF($C1470="","",ROUND(SUMIFS(应收净额,应收键,$D1470,应收行号,"&lt;="&amp;ROW()),2))</f>
        <v/>
      </c>
      <c r="Y1470" s="29" t="str">
        <f aca="false">IF($C1470="","",ROW())</f>
        <v/>
      </c>
    </row>
    <row r="1471" customFormat="false" ht="15" hidden="false" customHeight="false" outlineLevel="0" collapsed="false">
      <c r="A1471" s="29" t="str">
        <f aca="false">IF($C1471="","",ROW()-4)</f>
        <v/>
      </c>
      <c r="B1471" s="35" t="str">
        <f aca="false">IF($C1471="","","YS"&amp;TEXT($C1471,"yyyymm")&amp;"-"&amp;TEXT(ROW()-4,"0000"))</f>
        <v/>
      </c>
      <c r="C1471" s="33"/>
      <c r="D1471" s="24"/>
      <c r="E1471" s="30" t="str">
        <f aca="false">IF($D1471="","",IFERROR(INDEX(合同单位,MATCH($D1471,合同键,0)),IFERROR(TRIM(LEFT($D1471,FIND("｜",$D1471)-1)),$D1471)))</f>
        <v/>
      </c>
      <c r="F1471" s="30" t="str">
        <f aca="false">IF($D1471="","",IFERROR(INDEX(合同项目,MATCH($D1471,合同键,0)),IFERROR(TRIM(MID($D1471,FIND("｜",$D1471)+1,99)),"")))</f>
        <v/>
      </c>
      <c r="G1471" s="24"/>
      <c r="H1471" s="35" t="str">
        <f aca="false">IF($G1471="","",IFERROR(INDEX(费用款别,MATCH($G1471,费用类别表,0)),"合同外款"))</f>
        <v/>
      </c>
      <c r="I1471" s="33"/>
      <c r="J1471" s="33"/>
      <c r="K1471" s="39"/>
      <c r="L1471" s="33"/>
      <c r="M1471" s="25"/>
      <c r="N1471" s="39"/>
      <c r="O1471" s="35" t="str">
        <f aca="false">IF($C1471="","",IF(N($N1471)&lt;=0,"未开票",IF(ROUND(N($N1471)-N($K1471),2)&gt;=0,"已开票",IFERROR("部分开票 "&amp;TEXT(N($N1471)/N($K1471),"0%"),"部分开票"))))</f>
        <v/>
      </c>
      <c r="P1471" s="40" t="str">
        <f aca="false">IF($C1471="","",ROUND($V1471+MIN($W1471,MAX(0,(SUMIF(收款键,$D1471,收款金额)-SUMIFS(收款金额,收款键,$D1471,收款关联,"&lt;&gt;"))-($X1471-$W1471))),2))</f>
        <v/>
      </c>
      <c r="Q1471" s="41" t="str">
        <f aca="false">IF($C1471="","",ROUND(N($K1471)-N($P1471),2))</f>
        <v/>
      </c>
      <c r="R1471" s="29" t="str">
        <f aca="false">IF($C1471="","",YEAR($C1471))</f>
        <v/>
      </c>
      <c r="S1471" s="24"/>
      <c r="T1471" s="35" t="str">
        <f aca="false">IF($C1471="","",IF($D1471="","★没选客户项目",IF(COUNTIF(合同键,$D1471)=0,"★《维保合同》里没这个项目",IF(N($K1471)&lt;=0,"★应收金额要填",IF(ROUND(N($N1471)-N($K1471),2)&gt;0.001,"★开票金额大于应收",IF(AND($L1471&lt;&gt;"",N($N1471)&lt;=0),"★填了开票日期没填开票金额",IF(AND($I1471&lt;&gt;"",$J1471&lt;&gt;"",$J1471&lt;$I1471),"★计费期间起止反了","OK")))))))</f>
        <v/>
      </c>
      <c r="U1471" s="29" t="str">
        <f aca="false">IF($L1471="","",YEAR($L1471))</f>
        <v/>
      </c>
      <c r="V1471" s="40" t="str">
        <f aca="false">IF($C1471="","",ROUND(SUMIF(收款关联,$B1471,收款金额),2))</f>
        <v/>
      </c>
      <c r="W1471" s="40" t="str">
        <f aca="false">IF($C1471="","",MAX(0,ROUND(N($K1471)-N($V1471),2)))</f>
        <v/>
      </c>
      <c r="X1471" s="40" t="str">
        <f aca="false">IF($C1471="","",ROUND(SUMIFS(应收净额,应收键,$D1471,应收行号,"&lt;="&amp;ROW()),2))</f>
        <v/>
      </c>
      <c r="Y1471" s="29" t="str">
        <f aca="false">IF($C1471="","",ROW())</f>
        <v/>
      </c>
    </row>
    <row r="1472" customFormat="false" ht="15" hidden="false" customHeight="false" outlineLevel="0" collapsed="false">
      <c r="A1472" s="29" t="str">
        <f aca="false">IF($C1472="","",ROW()-4)</f>
        <v/>
      </c>
      <c r="B1472" s="35" t="str">
        <f aca="false">IF($C1472="","","YS"&amp;TEXT($C1472,"yyyymm")&amp;"-"&amp;TEXT(ROW()-4,"0000"))</f>
        <v/>
      </c>
      <c r="C1472" s="33"/>
      <c r="D1472" s="24"/>
      <c r="E1472" s="30" t="str">
        <f aca="false">IF($D1472="","",IFERROR(INDEX(合同单位,MATCH($D1472,合同键,0)),IFERROR(TRIM(LEFT($D1472,FIND("｜",$D1472)-1)),$D1472)))</f>
        <v/>
      </c>
      <c r="F1472" s="30" t="str">
        <f aca="false">IF($D1472="","",IFERROR(INDEX(合同项目,MATCH($D1472,合同键,0)),IFERROR(TRIM(MID($D1472,FIND("｜",$D1472)+1,99)),"")))</f>
        <v/>
      </c>
      <c r="G1472" s="24"/>
      <c r="H1472" s="35" t="str">
        <f aca="false">IF($G1472="","",IFERROR(INDEX(费用款别,MATCH($G1472,费用类别表,0)),"合同外款"))</f>
        <v/>
      </c>
      <c r="I1472" s="33"/>
      <c r="J1472" s="33"/>
      <c r="K1472" s="39"/>
      <c r="L1472" s="33"/>
      <c r="M1472" s="25"/>
      <c r="N1472" s="39"/>
      <c r="O1472" s="35" t="str">
        <f aca="false">IF($C1472="","",IF(N($N1472)&lt;=0,"未开票",IF(ROUND(N($N1472)-N($K1472),2)&gt;=0,"已开票",IFERROR("部分开票 "&amp;TEXT(N($N1472)/N($K1472),"0%"),"部分开票"))))</f>
        <v/>
      </c>
      <c r="P1472" s="40" t="str">
        <f aca="false">IF($C1472="","",ROUND($V1472+MIN($W1472,MAX(0,(SUMIF(收款键,$D1472,收款金额)-SUMIFS(收款金额,收款键,$D1472,收款关联,"&lt;&gt;"))-($X1472-$W1472))),2))</f>
        <v/>
      </c>
      <c r="Q1472" s="41" t="str">
        <f aca="false">IF($C1472="","",ROUND(N($K1472)-N($P1472),2))</f>
        <v/>
      </c>
      <c r="R1472" s="29" t="str">
        <f aca="false">IF($C1472="","",YEAR($C1472))</f>
        <v/>
      </c>
      <c r="S1472" s="24"/>
      <c r="T1472" s="35" t="str">
        <f aca="false">IF($C1472="","",IF($D1472="","★没选客户项目",IF(COUNTIF(合同键,$D1472)=0,"★《维保合同》里没这个项目",IF(N($K1472)&lt;=0,"★应收金额要填",IF(ROUND(N($N1472)-N($K1472),2)&gt;0.001,"★开票金额大于应收",IF(AND($L1472&lt;&gt;"",N($N1472)&lt;=0),"★填了开票日期没填开票金额",IF(AND($I1472&lt;&gt;"",$J1472&lt;&gt;"",$J1472&lt;$I1472),"★计费期间起止反了","OK")))))))</f>
        <v/>
      </c>
      <c r="U1472" s="29" t="str">
        <f aca="false">IF($L1472="","",YEAR($L1472))</f>
        <v/>
      </c>
      <c r="V1472" s="40" t="str">
        <f aca="false">IF($C1472="","",ROUND(SUMIF(收款关联,$B1472,收款金额),2))</f>
        <v/>
      </c>
      <c r="W1472" s="40" t="str">
        <f aca="false">IF($C1472="","",MAX(0,ROUND(N($K1472)-N($V1472),2)))</f>
        <v/>
      </c>
      <c r="X1472" s="40" t="str">
        <f aca="false">IF($C1472="","",ROUND(SUMIFS(应收净额,应收键,$D1472,应收行号,"&lt;="&amp;ROW()),2))</f>
        <v/>
      </c>
      <c r="Y1472" s="29" t="str">
        <f aca="false">IF($C1472="","",ROW())</f>
        <v/>
      </c>
    </row>
    <row r="1473" customFormat="false" ht="15" hidden="false" customHeight="false" outlineLevel="0" collapsed="false">
      <c r="A1473" s="29" t="str">
        <f aca="false">IF($C1473="","",ROW()-4)</f>
        <v/>
      </c>
      <c r="B1473" s="35" t="str">
        <f aca="false">IF($C1473="","","YS"&amp;TEXT($C1473,"yyyymm")&amp;"-"&amp;TEXT(ROW()-4,"0000"))</f>
        <v/>
      </c>
      <c r="C1473" s="33"/>
      <c r="D1473" s="24"/>
      <c r="E1473" s="30" t="str">
        <f aca="false">IF($D1473="","",IFERROR(INDEX(合同单位,MATCH($D1473,合同键,0)),IFERROR(TRIM(LEFT($D1473,FIND("｜",$D1473)-1)),$D1473)))</f>
        <v/>
      </c>
      <c r="F1473" s="30" t="str">
        <f aca="false">IF($D1473="","",IFERROR(INDEX(合同项目,MATCH($D1473,合同键,0)),IFERROR(TRIM(MID($D1473,FIND("｜",$D1473)+1,99)),"")))</f>
        <v/>
      </c>
      <c r="G1473" s="24"/>
      <c r="H1473" s="35" t="str">
        <f aca="false">IF($G1473="","",IFERROR(INDEX(费用款别,MATCH($G1473,费用类别表,0)),"合同外款"))</f>
        <v/>
      </c>
      <c r="I1473" s="33"/>
      <c r="J1473" s="33"/>
      <c r="K1473" s="39"/>
      <c r="L1473" s="33"/>
      <c r="M1473" s="25"/>
      <c r="N1473" s="39"/>
      <c r="O1473" s="35" t="str">
        <f aca="false">IF($C1473="","",IF(N($N1473)&lt;=0,"未开票",IF(ROUND(N($N1473)-N($K1473),2)&gt;=0,"已开票",IFERROR("部分开票 "&amp;TEXT(N($N1473)/N($K1473),"0%"),"部分开票"))))</f>
        <v/>
      </c>
      <c r="P1473" s="40" t="str">
        <f aca="false">IF($C1473="","",ROUND($V1473+MIN($W1473,MAX(0,(SUMIF(收款键,$D1473,收款金额)-SUMIFS(收款金额,收款键,$D1473,收款关联,"&lt;&gt;"))-($X1473-$W1473))),2))</f>
        <v/>
      </c>
      <c r="Q1473" s="41" t="str">
        <f aca="false">IF($C1473="","",ROUND(N($K1473)-N($P1473),2))</f>
        <v/>
      </c>
      <c r="R1473" s="29" t="str">
        <f aca="false">IF($C1473="","",YEAR($C1473))</f>
        <v/>
      </c>
      <c r="S1473" s="24"/>
      <c r="T1473" s="35" t="str">
        <f aca="false">IF($C1473="","",IF($D1473="","★没选客户项目",IF(COUNTIF(合同键,$D1473)=0,"★《维保合同》里没这个项目",IF(N($K1473)&lt;=0,"★应收金额要填",IF(ROUND(N($N1473)-N($K1473),2)&gt;0.001,"★开票金额大于应收",IF(AND($L1473&lt;&gt;"",N($N1473)&lt;=0),"★填了开票日期没填开票金额",IF(AND($I1473&lt;&gt;"",$J1473&lt;&gt;"",$J1473&lt;$I1473),"★计费期间起止反了","OK")))))))</f>
        <v/>
      </c>
      <c r="U1473" s="29" t="str">
        <f aca="false">IF($L1473="","",YEAR($L1473))</f>
        <v/>
      </c>
      <c r="V1473" s="40" t="str">
        <f aca="false">IF($C1473="","",ROUND(SUMIF(收款关联,$B1473,收款金额),2))</f>
        <v/>
      </c>
      <c r="W1473" s="40" t="str">
        <f aca="false">IF($C1473="","",MAX(0,ROUND(N($K1473)-N($V1473),2)))</f>
        <v/>
      </c>
      <c r="X1473" s="40" t="str">
        <f aca="false">IF($C1473="","",ROUND(SUMIFS(应收净额,应收键,$D1473,应收行号,"&lt;="&amp;ROW()),2))</f>
        <v/>
      </c>
      <c r="Y1473" s="29" t="str">
        <f aca="false">IF($C1473="","",ROW())</f>
        <v/>
      </c>
    </row>
    <row r="1474" customFormat="false" ht="15" hidden="false" customHeight="false" outlineLevel="0" collapsed="false">
      <c r="A1474" s="29" t="str">
        <f aca="false">IF($C1474="","",ROW()-4)</f>
        <v/>
      </c>
      <c r="B1474" s="35" t="str">
        <f aca="false">IF($C1474="","","YS"&amp;TEXT($C1474,"yyyymm")&amp;"-"&amp;TEXT(ROW()-4,"0000"))</f>
        <v/>
      </c>
      <c r="C1474" s="33"/>
      <c r="D1474" s="24"/>
      <c r="E1474" s="30" t="str">
        <f aca="false">IF($D1474="","",IFERROR(INDEX(合同单位,MATCH($D1474,合同键,0)),IFERROR(TRIM(LEFT($D1474,FIND("｜",$D1474)-1)),$D1474)))</f>
        <v/>
      </c>
      <c r="F1474" s="30" t="str">
        <f aca="false">IF($D1474="","",IFERROR(INDEX(合同项目,MATCH($D1474,合同键,0)),IFERROR(TRIM(MID($D1474,FIND("｜",$D1474)+1,99)),"")))</f>
        <v/>
      </c>
      <c r="G1474" s="24"/>
      <c r="H1474" s="35" t="str">
        <f aca="false">IF($G1474="","",IFERROR(INDEX(费用款别,MATCH($G1474,费用类别表,0)),"合同外款"))</f>
        <v/>
      </c>
      <c r="I1474" s="33"/>
      <c r="J1474" s="33"/>
      <c r="K1474" s="39"/>
      <c r="L1474" s="33"/>
      <c r="M1474" s="25"/>
      <c r="N1474" s="39"/>
      <c r="O1474" s="35" t="str">
        <f aca="false">IF($C1474="","",IF(N($N1474)&lt;=0,"未开票",IF(ROUND(N($N1474)-N($K1474),2)&gt;=0,"已开票",IFERROR("部分开票 "&amp;TEXT(N($N1474)/N($K1474),"0%"),"部分开票"))))</f>
        <v/>
      </c>
      <c r="P1474" s="40" t="str">
        <f aca="false">IF($C1474="","",ROUND($V1474+MIN($W1474,MAX(0,(SUMIF(收款键,$D1474,收款金额)-SUMIFS(收款金额,收款键,$D1474,收款关联,"&lt;&gt;"))-($X1474-$W1474))),2))</f>
        <v/>
      </c>
      <c r="Q1474" s="41" t="str">
        <f aca="false">IF($C1474="","",ROUND(N($K1474)-N($P1474),2))</f>
        <v/>
      </c>
      <c r="R1474" s="29" t="str">
        <f aca="false">IF($C1474="","",YEAR($C1474))</f>
        <v/>
      </c>
      <c r="S1474" s="24"/>
      <c r="T1474" s="35" t="str">
        <f aca="false">IF($C1474="","",IF($D1474="","★没选客户项目",IF(COUNTIF(合同键,$D1474)=0,"★《维保合同》里没这个项目",IF(N($K1474)&lt;=0,"★应收金额要填",IF(ROUND(N($N1474)-N($K1474),2)&gt;0.001,"★开票金额大于应收",IF(AND($L1474&lt;&gt;"",N($N1474)&lt;=0),"★填了开票日期没填开票金额",IF(AND($I1474&lt;&gt;"",$J1474&lt;&gt;"",$J1474&lt;$I1474),"★计费期间起止反了","OK")))))))</f>
        <v/>
      </c>
      <c r="U1474" s="29" t="str">
        <f aca="false">IF($L1474="","",YEAR($L1474))</f>
        <v/>
      </c>
      <c r="V1474" s="40" t="str">
        <f aca="false">IF($C1474="","",ROUND(SUMIF(收款关联,$B1474,收款金额),2))</f>
        <v/>
      </c>
      <c r="W1474" s="40" t="str">
        <f aca="false">IF($C1474="","",MAX(0,ROUND(N($K1474)-N($V1474),2)))</f>
        <v/>
      </c>
      <c r="X1474" s="40" t="str">
        <f aca="false">IF($C1474="","",ROUND(SUMIFS(应收净额,应收键,$D1474,应收行号,"&lt;="&amp;ROW()),2))</f>
        <v/>
      </c>
      <c r="Y1474" s="29" t="str">
        <f aca="false">IF($C1474="","",ROW())</f>
        <v/>
      </c>
    </row>
    <row r="1475" customFormat="false" ht="15" hidden="false" customHeight="false" outlineLevel="0" collapsed="false">
      <c r="A1475" s="29" t="str">
        <f aca="false">IF($C1475="","",ROW()-4)</f>
        <v/>
      </c>
      <c r="B1475" s="35" t="str">
        <f aca="false">IF($C1475="","","YS"&amp;TEXT($C1475,"yyyymm")&amp;"-"&amp;TEXT(ROW()-4,"0000"))</f>
        <v/>
      </c>
      <c r="C1475" s="33"/>
      <c r="D1475" s="24"/>
      <c r="E1475" s="30" t="str">
        <f aca="false">IF($D1475="","",IFERROR(INDEX(合同单位,MATCH($D1475,合同键,0)),IFERROR(TRIM(LEFT($D1475,FIND("｜",$D1475)-1)),$D1475)))</f>
        <v/>
      </c>
      <c r="F1475" s="30" t="str">
        <f aca="false">IF($D1475="","",IFERROR(INDEX(合同项目,MATCH($D1475,合同键,0)),IFERROR(TRIM(MID($D1475,FIND("｜",$D1475)+1,99)),"")))</f>
        <v/>
      </c>
      <c r="G1475" s="24"/>
      <c r="H1475" s="35" t="str">
        <f aca="false">IF($G1475="","",IFERROR(INDEX(费用款别,MATCH($G1475,费用类别表,0)),"合同外款"))</f>
        <v/>
      </c>
      <c r="I1475" s="33"/>
      <c r="J1475" s="33"/>
      <c r="K1475" s="39"/>
      <c r="L1475" s="33"/>
      <c r="M1475" s="25"/>
      <c r="N1475" s="39"/>
      <c r="O1475" s="35" t="str">
        <f aca="false">IF($C1475="","",IF(N($N1475)&lt;=0,"未开票",IF(ROUND(N($N1475)-N($K1475),2)&gt;=0,"已开票",IFERROR("部分开票 "&amp;TEXT(N($N1475)/N($K1475),"0%"),"部分开票"))))</f>
        <v/>
      </c>
      <c r="P1475" s="40" t="str">
        <f aca="false">IF($C1475="","",ROUND($V1475+MIN($W1475,MAX(0,(SUMIF(收款键,$D1475,收款金额)-SUMIFS(收款金额,收款键,$D1475,收款关联,"&lt;&gt;"))-($X1475-$W1475))),2))</f>
        <v/>
      </c>
      <c r="Q1475" s="41" t="str">
        <f aca="false">IF($C1475="","",ROUND(N($K1475)-N($P1475),2))</f>
        <v/>
      </c>
      <c r="R1475" s="29" t="str">
        <f aca="false">IF($C1475="","",YEAR($C1475))</f>
        <v/>
      </c>
      <c r="S1475" s="24"/>
      <c r="T1475" s="35" t="str">
        <f aca="false">IF($C1475="","",IF($D1475="","★没选客户项目",IF(COUNTIF(合同键,$D1475)=0,"★《维保合同》里没这个项目",IF(N($K1475)&lt;=0,"★应收金额要填",IF(ROUND(N($N1475)-N($K1475),2)&gt;0.001,"★开票金额大于应收",IF(AND($L1475&lt;&gt;"",N($N1475)&lt;=0),"★填了开票日期没填开票金额",IF(AND($I1475&lt;&gt;"",$J1475&lt;&gt;"",$J1475&lt;$I1475),"★计费期间起止反了","OK")))))))</f>
        <v/>
      </c>
      <c r="U1475" s="29" t="str">
        <f aca="false">IF($L1475="","",YEAR($L1475))</f>
        <v/>
      </c>
      <c r="V1475" s="40" t="str">
        <f aca="false">IF($C1475="","",ROUND(SUMIF(收款关联,$B1475,收款金额),2))</f>
        <v/>
      </c>
      <c r="W1475" s="40" t="str">
        <f aca="false">IF($C1475="","",MAX(0,ROUND(N($K1475)-N($V1475),2)))</f>
        <v/>
      </c>
      <c r="X1475" s="40" t="str">
        <f aca="false">IF($C1475="","",ROUND(SUMIFS(应收净额,应收键,$D1475,应收行号,"&lt;="&amp;ROW()),2))</f>
        <v/>
      </c>
      <c r="Y1475" s="29" t="str">
        <f aca="false">IF($C1475="","",ROW())</f>
        <v/>
      </c>
    </row>
    <row r="1476" customFormat="false" ht="15" hidden="false" customHeight="false" outlineLevel="0" collapsed="false">
      <c r="A1476" s="29" t="str">
        <f aca="false">IF($C1476="","",ROW()-4)</f>
        <v/>
      </c>
      <c r="B1476" s="35" t="str">
        <f aca="false">IF($C1476="","","YS"&amp;TEXT($C1476,"yyyymm")&amp;"-"&amp;TEXT(ROW()-4,"0000"))</f>
        <v/>
      </c>
      <c r="C1476" s="33"/>
      <c r="D1476" s="24"/>
      <c r="E1476" s="30" t="str">
        <f aca="false">IF($D1476="","",IFERROR(INDEX(合同单位,MATCH($D1476,合同键,0)),IFERROR(TRIM(LEFT($D1476,FIND("｜",$D1476)-1)),$D1476)))</f>
        <v/>
      </c>
      <c r="F1476" s="30" t="str">
        <f aca="false">IF($D1476="","",IFERROR(INDEX(合同项目,MATCH($D1476,合同键,0)),IFERROR(TRIM(MID($D1476,FIND("｜",$D1476)+1,99)),"")))</f>
        <v/>
      </c>
      <c r="G1476" s="24"/>
      <c r="H1476" s="35" t="str">
        <f aca="false">IF($G1476="","",IFERROR(INDEX(费用款别,MATCH($G1476,费用类别表,0)),"合同外款"))</f>
        <v/>
      </c>
      <c r="I1476" s="33"/>
      <c r="J1476" s="33"/>
      <c r="K1476" s="39"/>
      <c r="L1476" s="33"/>
      <c r="M1476" s="25"/>
      <c r="N1476" s="39"/>
      <c r="O1476" s="35" t="str">
        <f aca="false">IF($C1476="","",IF(N($N1476)&lt;=0,"未开票",IF(ROUND(N($N1476)-N($K1476),2)&gt;=0,"已开票",IFERROR("部分开票 "&amp;TEXT(N($N1476)/N($K1476),"0%"),"部分开票"))))</f>
        <v/>
      </c>
      <c r="P1476" s="40" t="str">
        <f aca="false">IF($C1476="","",ROUND($V1476+MIN($W1476,MAX(0,(SUMIF(收款键,$D1476,收款金额)-SUMIFS(收款金额,收款键,$D1476,收款关联,"&lt;&gt;"))-($X1476-$W1476))),2))</f>
        <v/>
      </c>
      <c r="Q1476" s="41" t="str">
        <f aca="false">IF($C1476="","",ROUND(N($K1476)-N($P1476),2))</f>
        <v/>
      </c>
      <c r="R1476" s="29" t="str">
        <f aca="false">IF($C1476="","",YEAR($C1476))</f>
        <v/>
      </c>
      <c r="S1476" s="24"/>
      <c r="T1476" s="35" t="str">
        <f aca="false">IF($C1476="","",IF($D1476="","★没选客户项目",IF(COUNTIF(合同键,$D1476)=0,"★《维保合同》里没这个项目",IF(N($K1476)&lt;=0,"★应收金额要填",IF(ROUND(N($N1476)-N($K1476),2)&gt;0.001,"★开票金额大于应收",IF(AND($L1476&lt;&gt;"",N($N1476)&lt;=0),"★填了开票日期没填开票金额",IF(AND($I1476&lt;&gt;"",$J1476&lt;&gt;"",$J1476&lt;$I1476),"★计费期间起止反了","OK")))))))</f>
        <v/>
      </c>
      <c r="U1476" s="29" t="str">
        <f aca="false">IF($L1476="","",YEAR($L1476))</f>
        <v/>
      </c>
      <c r="V1476" s="40" t="str">
        <f aca="false">IF($C1476="","",ROUND(SUMIF(收款关联,$B1476,收款金额),2))</f>
        <v/>
      </c>
      <c r="W1476" s="40" t="str">
        <f aca="false">IF($C1476="","",MAX(0,ROUND(N($K1476)-N($V1476),2)))</f>
        <v/>
      </c>
      <c r="X1476" s="40" t="str">
        <f aca="false">IF($C1476="","",ROUND(SUMIFS(应收净额,应收键,$D1476,应收行号,"&lt;="&amp;ROW()),2))</f>
        <v/>
      </c>
      <c r="Y1476" s="29" t="str">
        <f aca="false">IF($C1476="","",ROW())</f>
        <v/>
      </c>
    </row>
    <row r="1477" customFormat="false" ht="15" hidden="false" customHeight="false" outlineLevel="0" collapsed="false">
      <c r="A1477" s="29" t="str">
        <f aca="false">IF($C1477="","",ROW()-4)</f>
        <v/>
      </c>
      <c r="B1477" s="35" t="str">
        <f aca="false">IF($C1477="","","YS"&amp;TEXT($C1477,"yyyymm")&amp;"-"&amp;TEXT(ROW()-4,"0000"))</f>
        <v/>
      </c>
      <c r="C1477" s="33"/>
      <c r="D1477" s="24"/>
      <c r="E1477" s="30" t="str">
        <f aca="false">IF($D1477="","",IFERROR(INDEX(合同单位,MATCH($D1477,合同键,0)),IFERROR(TRIM(LEFT($D1477,FIND("｜",$D1477)-1)),$D1477)))</f>
        <v/>
      </c>
      <c r="F1477" s="30" t="str">
        <f aca="false">IF($D1477="","",IFERROR(INDEX(合同项目,MATCH($D1477,合同键,0)),IFERROR(TRIM(MID($D1477,FIND("｜",$D1477)+1,99)),"")))</f>
        <v/>
      </c>
      <c r="G1477" s="24"/>
      <c r="H1477" s="35" t="str">
        <f aca="false">IF($G1477="","",IFERROR(INDEX(费用款别,MATCH($G1477,费用类别表,0)),"合同外款"))</f>
        <v/>
      </c>
      <c r="I1477" s="33"/>
      <c r="J1477" s="33"/>
      <c r="K1477" s="39"/>
      <c r="L1477" s="33"/>
      <c r="M1477" s="25"/>
      <c r="N1477" s="39"/>
      <c r="O1477" s="35" t="str">
        <f aca="false">IF($C1477="","",IF(N($N1477)&lt;=0,"未开票",IF(ROUND(N($N1477)-N($K1477),2)&gt;=0,"已开票",IFERROR("部分开票 "&amp;TEXT(N($N1477)/N($K1477),"0%"),"部分开票"))))</f>
        <v/>
      </c>
      <c r="P1477" s="40" t="str">
        <f aca="false">IF($C1477="","",ROUND($V1477+MIN($W1477,MAX(0,(SUMIF(收款键,$D1477,收款金额)-SUMIFS(收款金额,收款键,$D1477,收款关联,"&lt;&gt;"))-($X1477-$W1477))),2))</f>
        <v/>
      </c>
      <c r="Q1477" s="41" t="str">
        <f aca="false">IF($C1477="","",ROUND(N($K1477)-N($P1477),2))</f>
        <v/>
      </c>
      <c r="R1477" s="29" t="str">
        <f aca="false">IF($C1477="","",YEAR($C1477))</f>
        <v/>
      </c>
      <c r="S1477" s="24"/>
      <c r="T1477" s="35" t="str">
        <f aca="false">IF($C1477="","",IF($D1477="","★没选客户项目",IF(COUNTIF(合同键,$D1477)=0,"★《维保合同》里没这个项目",IF(N($K1477)&lt;=0,"★应收金额要填",IF(ROUND(N($N1477)-N($K1477),2)&gt;0.001,"★开票金额大于应收",IF(AND($L1477&lt;&gt;"",N($N1477)&lt;=0),"★填了开票日期没填开票金额",IF(AND($I1477&lt;&gt;"",$J1477&lt;&gt;"",$J1477&lt;$I1477),"★计费期间起止反了","OK")))))))</f>
        <v/>
      </c>
      <c r="U1477" s="29" t="str">
        <f aca="false">IF($L1477="","",YEAR($L1477))</f>
        <v/>
      </c>
      <c r="V1477" s="40" t="str">
        <f aca="false">IF($C1477="","",ROUND(SUMIF(收款关联,$B1477,收款金额),2))</f>
        <v/>
      </c>
      <c r="W1477" s="40" t="str">
        <f aca="false">IF($C1477="","",MAX(0,ROUND(N($K1477)-N($V1477),2)))</f>
        <v/>
      </c>
      <c r="X1477" s="40" t="str">
        <f aca="false">IF($C1477="","",ROUND(SUMIFS(应收净额,应收键,$D1477,应收行号,"&lt;="&amp;ROW()),2))</f>
        <v/>
      </c>
      <c r="Y1477" s="29" t="str">
        <f aca="false">IF($C1477="","",ROW())</f>
        <v/>
      </c>
    </row>
    <row r="1478" customFormat="false" ht="15" hidden="false" customHeight="false" outlineLevel="0" collapsed="false">
      <c r="A1478" s="29" t="str">
        <f aca="false">IF($C1478="","",ROW()-4)</f>
        <v/>
      </c>
      <c r="B1478" s="35" t="str">
        <f aca="false">IF($C1478="","","YS"&amp;TEXT($C1478,"yyyymm")&amp;"-"&amp;TEXT(ROW()-4,"0000"))</f>
        <v/>
      </c>
      <c r="C1478" s="33"/>
      <c r="D1478" s="24"/>
      <c r="E1478" s="30" t="str">
        <f aca="false">IF($D1478="","",IFERROR(INDEX(合同单位,MATCH($D1478,合同键,0)),IFERROR(TRIM(LEFT($D1478,FIND("｜",$D1478)-1)),$D1478)))</f>
        <v/>
      </c>
      <c r="F1478" s="30" t="str">
        <f aca="false">IF($D1478="","",IFERROR(INDEX(合同项目,MATCH($D1478,合同键,0)),IFERROR(TRIM(MID($D1478,FIND("｜",$D1478)+1,99)),"")))</f>
        <v/>
      </c>
      <c r="G1478" s="24"/>
      <c r="H1478" s="35" t="str">
        <f aca="false">IF($G1478="","",IFERROR(INDEX(费用款别,MATCH($G1478,费用类别表,0)),"合同外款"))</f>
        <v/>
      </c>
      <c r="I1478" s="33"/>
      <c r="J1478" s="33"/>
      <c r="K1478" s="39"/>
      <c r="L1478" s="33"/>
      <c r="M1478" s="25"/>
      <c r="N1478" s="39"/>
      <c r="O1478" s="35" t="str">
        <f aca="false">IF($C1478="","",IF(N($N1478)&lt;=0,"未开票",IF(ROUND(N($N1478)-N($K1478),2)&gt;=0,"已开票",IFERROR("部分开票 "&amp;TEXT(N($N1478)/N($K1478),"0%"),"部分开票"))))</f>
        <v/>
      </c>
      <c r="P1478" s="40" t="str">
        <f aca="false">IF($C1478="","",ROUND($V1478+MIN($W1478,MAX(0,(SUMIF(收款键,$D1478,收款金额)-SUMIFS(收款金额,收款键,$D1478,收款关联,"&lt;&gt;"))-($X1478-$W1478))),2))</f>
        <v/>
      </c>
      <c r="Q1478" s="41" t="str">
        <f aca="false">IF($C1478="","",ROUND(N($K1478)-N($P1478),2))</f>
        <v/>
      </c>
      <c r="R1478" s="29" t="str">
        <f aca="false">IF($C1478="","",YEAR($C1478))</f>
        <v/>
      </c>
      <c r="S1478" s="24"/>
      <c r="T1478" s="35" t="str">
        <f aca="false">IF($C1478="","",IF($D1478="","★没选客户项目",IF(COUNTIF(合同键,$D1478)=0,"★《维保合同》里没这个项目",IF(N($K1478)&lt;=0,"★应收金额要填",IF(ROUND(N($N1478)-N($K1478),2)&gt;0.001,"★开票金额大于应收",IF(AND($L1478&lt;&gt;"",N($N1478)&lt;=0),"★填了开票日期没填开票金额",IF(AND($I1478&lt;&gt;"",$J1478&lt;&gt;"",$J1478&lt;$I1478),"★计费期间起止反了","OK")))))))</f>
        <v/>
      </c>
      <c r="U1478" s="29" t="str">
        <f aca="false">IF($L1478="","",YEAR($L1478))</f>
        <v/>
      </c>
      <c r="V1478" s="40" t="str">
        <f aca="false">IF($C1478="","",ROUND(SUMIF(收款关联,$B1478,收款金额),2))</f>
        <v/>
      </c>
      <c r="W1478" s="40" t="str">
        <f aca="false">IF($C1478="","",MAX(0,ROUND(N($K1478)-N($V1478),2)))</f>
        <v/>
      </c>
      <c r="X1478" s="40" t="str">
        <f aca="false">IF($C1478="","",ROUND(SUMIFS(应收净额,应收键,$D1478,应收行号,"&lt;="&amp;ROW()),2))</f>
        <v/>
      </c>
      <c r="Y1478" s="29" t="str">
        <f aca="false">IF($C1478="","",ROW())</f>
        <v/>
      </c>
    </row>
    <row r="1479" customFormat="false" ht="15" hidden="false" customHeight="false" outlineLevel="0" collapsed="false">
      <c r="A1479" s="29" t="str">
        <f aca="false">IF($C1479="","",ROW()-4)</f>
        <v/>
      </c>
      <c r="B1479" s="35" t="str">
        <f aca="false">IF($C1479="","","YS"&amp;TEXT($C1479,"yyyymm")&amp;"-"&amp;TEXT(ROW()-4,"0000"))</f>
        <v/>
      </c>
      <c r="C1479" s="33"/>
      <c r="D1479" s="24"/>
      <c r="E1479" s="30" t="str">
        <f aca="false">IF($D1479="","",IFERROR(INDEX(合同单位,MATCH($D1479,合同键,0)),IFERROR(TRIM(LEFT($D1479,FIND("｜",$D1479)-1)),$D1479)))</f>
        <v/>
      </c>
      <c r="F1479" s="30" t="str">
        <f aca="false">IF($D1479="","",IFERROR(INDEX(合同项目,MATCH($D1479,合同键,0)),IFERROR(TRIM(MID($D1479,FIND("｜",$D1479)+1,99)),"")))</f>
        <v/>
      </c>
      <c r="G1479" s="24"/>
      <c r="H1479" s="35" t="str">
        <f aca="false">IF($G1479="","",IFERROR(INDEX(费用款别,MATCH($G1479,费用类别表,0)),"合同外款"))</f>
        <v/>
      </c>
      <c r="I1479" s="33"/>
      <c r="J1479" s="33"/>
      <c r="K1479" s="39"/>
      <c r="L1479" s="33"/>
      <c r="M1479" s="25"/>
      <c r="N1479" s="39"/>
      <c r="O1479" s="35" t="str">
        <f aca="false">IF($C1479="","",IF(N($N1479)&lt;=0,"未开票",IF(ROUND(N($N1479)-N($K1479),2)&gt;=0,"已开票",IFERROR("部分开票 "&amp;TEXT(N($N1479)/N($K1479),"0%"),"部分开票"))))</f>
        <v/>
      </c>
      <c r="P1479" s="40" t="str">
        <f aca="false">IF($C1479="","",ROUND($V1479+MIN($W1479,MAX(0,(SUMIF(收款键,$D1479,收款金额)-SUMIFS(收款金额,收款键,$D1479,收款关联,"&lt;&gt;"))-($X1479-$W1479))),2))</f>
        <v/>
      </c>
      <c r="Q1479" s="41" t="str">
        <f aca="false">IF($C1479="","",ROUND(N($K1479)-N($P1479),2))</f>
        <v/>
      </c>
      <c r="R1479" s="29" t="str">
        <f aca="false">IF($C1479="","",YEAR($C1479))</f>
        <v/>
      </c>
      <c r="S1479" s="24"/>
      <c r="T1479" s="35" t="str">
        <f aca="false">IF($C1479="","",IF($D1479="","★没选客户项目",IF(COUNTIF(合同键,$D1479)=0,"★《维保合同》里没这个项目",IF(N($K1479)&lt;=0,"★应收金额要填",IF(ROUND(N($N1479)-N($K1479),2)&gt;0.001,"★开票金额大于应收",IF(AND($L1479&lt;&gt;"",N($N1479)&lt;=0),"★填了开票日期没填开票金额",IF(AND($I1479&lt;&gt;"",$J1479&lt;&gt;"",$J1479&lt;$I1479),"★计费期间起止反了","OK")))))))</f>
        <v/>
      </c>
      <c r="U1479" s="29" t="str">
        <f aca="false">IF($L1479="","",YEAR($L1479))</f>
        <v/>
      </c>
      <c r="V1479" s="40" t="str">
        <f aca="false">IF($C1479="","",ROUND(SUMIF(收款关联,$B1479,收款金额),2))</f>
        <v/>
      </c>
      <c r="W1479" s="40" t="str">
        <f aca="false">IF($C1479="","",MAX(0,ROUND(N($K1479)-N($V1479),2)))</f>
        <v/>
      </c>
      <c r="X1479" s="40" t="str">
        <f aca="false">IF($C1479="","",ROUND(SUMIFS(应收净额,应收键,$D1479,应收行号,"&lt;="&amp;ROW()),2))</f>
        <v/>
      </c>
      <c r="Y1479" s="29" t="str">
        <f aca="false">IF($C1479="","",ROW())</f>
        <v/>
      </c>
    </row>
    <row r="1480" customFormat="false" ht="15" hidden="false" customHeight="false" outlineLevel="0" collapsed="false">
      <c r="A1480" s="29" t="str">
        <f aca="false">IF($C1480="","",ROW()-4)</f>
        <v/>
      </c>
      <c r="B1480" s="35" t="str">
        <f aca="false">IF($C1480="","","YS"&amp;TEXT($C1480,"yyyymm")&amp;"-"&amp;TEXT(ROW()-4,"0000"))</f>
        <v/>
      </c>
      <c r="C1480" s="33"/>
      <c r="D1480" s="24"/>
      <c r="E1480" s="30" t="str">
        <f aca="false">IF($D1480="","",IFERROR(INDEX(合同单位,MATCH($D1480,合同键,0)),IFERROR(TRIM(LEFT($D1480,FIND("｜",$D1480)-1)),$D1480)))</f>
        <v/>
      </c>
      <c r="F1480" s="30" t="str">
        <f aca="false">IF($D1480="","",IFERROR(INDEX(合同项目,MATCH($D1480,合同键,0)),IFERROR(TRIM(MID($D1480,FIND("｜",$D1480)+1,99)),"")))</f>
        <v/>
      </c>
      <c r="G1480" s="24"/>
      <c r="H1480" s="35" t="str">
        <f aca="false">IF($G1480="","",IFERROR(INDEX(费用款别,MATCH($G1480,费用类别表,0)),"合同外款"))</f>
        <v/>
      </c>
      <c r="I1480" s="33"/>
      <c r="J1480" s="33"/>
      <c r="K1480" s="39"/>
      <c r="L1480" s="33"/>
      <c r="M1480" s="25"/>
      <c r="N1480" s="39"/>
      <c r="O1480" s="35" t="str">
        <f aca="false">IF($C1480="","",IF(N($N1480)&lt;=0,"未开票",IF(ROUND(N($N1480)-N($K1480),2)&gt;=0,"已开票",IFERROR("部分开票 "&amp;TEXT(N($N1480)/N($K1480),"0%"),"部分开票"))))</f>
        <v/>
      </c>
      <c r="P1480" s="40" t="str">
        <f aca="false">IF($C1480="","",ROUND($V1480+MIN($W1480,MAX(0,(SUMIF(收款键,$D1480,收款金额)-SUMIFS(收款金额,收款键,$D1480,收款关联,"&lt;&gt;"))-($X1480-$W1480))),2))</f>
        <v/>
      </c>
      <c r="Q1480" s="41" t="str">
        <f aca="false">IF($C1480="","",ROUND(N($K1480)-N($P1480),2))</f>
        <v/>
      </c>
      <c r="R1480" s="29" t="str">
        <f aca="false">IF($C1480="","",YEAR($C1480))</f>
        <v/>
      </c>
      <c r="S1480" s="24"/>
      <c r="T1480" s="35" t="str">
        <f aca="false">IF($C1480="","",IF($D1480="","★没选客户项目",IF(COUNTIF(合同键,$D1480)=0,"★《维保合同》里没这个项目",IF(N($K1480)&lt;=0,"★应收金额要填",IF(ROUND(N($N1480)-N($K1480),2)&gt;0.001,"★开票金额大于应收",IF(AND($L1480&lt;&gt;"",N($N1480)&lt;=0),"★填了开票日期没填开票金额",IF(AND($I1480&lt;&gt;"",$J1480&lt;&gt;"",$J1480&lt;$I1480),"★计费期间起止反了","OK")))))))</f>
        <v/>
      </c>
      <c r="U1480" s="29" t="str">
        <f aca="false">IF($L1480="","",YEAR($L1480))</f>
        <v/>
      </c>
      <c r="V1480" s="40" t="str">
        <f aca="false">IF($C1480="","",ROUND(SUMIF(收款关联,$B1480,收款金额),2))</f>
        <v/>
      </c>
      <c r="W1480" s="40" t="str">
        <f aca="false">IF($C1480="","",MAX(0,ROUND(N($K1480)-N($V1480),2)))</f>
        <v/>
      </c>
      <c r="X1480" s="40" t="str">
        <f aca="false">IF($C1480="","",ROUND(SUMIFS(应收净额,应收键,$D1480,应收行号,"&lt;="&amp;ROW()),2))</f>
        <v/>
      </c>
      <c r="Y1480" s="29" t="str">
        <f aca="false">IF($C1480="","",ROW())</f>
        <v/>
      </c>
    </row>
    <row r="1481" customFormat="false" ht="15" hidden="false" customHeight="false" outlineLevel="0" collapsed="false">
      <c r="A1481" s="29" t="str">
        <f aca="false">IF($C1481="","",ROW()-4)</f>
        <v/>
      </c>
      <c r="B1481" s="35" t="str">
        <f aca="false">IF($C1481="","","YS"&amp;TEXT($C1481,"yyyymm")&amp;"-"&amp;TEXT(ROW()-4,"0000"))</f>
        <v/>
      </c>
      <c r="C1481" s="33"/>
      <c r="D1481" s="24"/>
      <c r="E1481" s="30" t="str">
        <f aca="false">IF($D1481="","",IFERROR(INDEX(合同单位,MATCH($D1481,合同键,0)),IFERROR(TRIM(LEFT($D1481,FIND("｜",$D1481)-1)),$D1481)))</f>
        <v/>
      </c>
      <c r="F1481" s="30" t="str">
        <f aca="false">IF($D1481="","",IFERROR(INDEX(合同项目,MATCH($D1481,合同键,0)),IFERROR(TRIM(MID($D1481,FIND("｜",$D1481)+1,99)),"")))</f>
        <v/>
      </c>
      <c r="G1481" s="24"/>
      <c r="H1481" s="35" t="str">
        <f aca="false">IF($G1481="","",IFERROR(INDEX(费用款别,MATCH($G1481,费用类别表,0)),"合同外款"))</f>
        <v/>
      </c>
      <c r="I1481" s="33"/>
      <c r="J1481" s="33"/>
      <c r="K1481" s="39"/>
      <c r="L1481" s="33"/>
      <c r="M1481" s="25"/>
      <c r="N1481" s="39"/>
      <c r="O1481" s="35" t="str">
        <f aca="false">IF($C1481="","",IF(N($N1481)&lt;=0,"未开票",IF(ROUND(N($N1481)-N($K1481),2)&gt;=0,"已开票",IFERROR("部分开票 "&amp;TEXT(N($N1481)/N($K1481),"0%"),"部分开票"))))</f>
        <v/>
      </c>
      <c r="P1481" s="40" t="str">
        <f aca="false">IF($C1481="","",ROUND($V1481+MIN($W1481,MAX(0,(SUMIF(收款键,$D1481,收款金额)-SUMIFS(收款金额,收款键,$D1481,收款关联,"&lt;&gt;"))-($X1481-$W1481))),2))</f>
        <v/>
      </c>
      <c r="Q1481" s="41" t="str">
        <f aca="false">IF($C1481="","",ROUND(N($K1481)-N($P1481),2))</f>
        <v/>
      </c>
      <c r="R1481" s="29" t="str">
        <f aca="false">IF($C1481="","",YEAR($C1481))</f>
        <v/>
      </c>
      <c r="S1481" s="24"/>
      <c r="T1481" s="35" t="str">
        <f aca="false">IF($C1481="","",IF($D1481="","★没选客户项目",IF(COUNTIF(合同键,$D1481)=0,"★《维保合同》里没这个项目",IF(N($K1481)&lt;=0,"★应收金额要填",IF(ROUND(N($N1481)-N($K1481),2)&gt;0.001,"★开票金额大于应收",IF(AND($L1481&lt;&gt;"",N($N1481)&lt;=0),"★填了开票日期没填开票金额",IF(AND($I1481&lt;&gt;"",$J1481&lt;&gt;"",$J1481&lt;$I1481),"★计费期间起止反了","OK")))))))</f>
        <v/>
      </c>
      <c r="U1481" s="29" t="str">
        <f aca="false">IF($L1481="","",YEAR($L1481))</f>
        <v/>
      </c>
      <c r="V1481" s="40" t="str">
        <f aca="false">IF($C1481="","",ROUND(SUMIF(收款关联,$B1481,收款金额),2))</f>
        <v/>
      </c>
      <c r="W1481" s="40" t="str">
        <f aca="false">IF($C1481="","",MAX(0,ROUND(N($K1481)-N($V1481),2)))</f>
        <v/>
      </c>
      <c r="X1481" s="40" t="str">
        <f aca="false">IF($C1481="","",ROUND(SUMIFS(应收净额,应收键,$D1481,应收行号,"&lt;="&amp;ROW()),2))</f>
        <v/>
      </c>
      <c r="Y1481" s="29" t="str">
        <f aca="false">IF($C1481="","",ROW())</f>
        <v/>
      </c>
    </row>
    <row r="1482" customFormat="false" ht="15" hidden="false" customHeight="false" outlineLevel="0" collapsed="false">
      <c r="A1482" s="29" t="str">
        <f aca="false">IF($C1482="","",ROW()-4)</f>
        <v/>
      </c>
      <c r="B1482" s="35" t="str">
        <f aca="false">IF($C1482="","","YS"&amp;TEXT($C1482,"yyyymm")&amp;"-"&amp;TEXT(ROW()-4,"0000"))</f>
        <v/>
      </c>
      <c r="C1482" s="33"/>
      <c r="D1482" s="24"/>
      <c r="E1482" s="30" t="str">
        <f aca="false">IF($D1482="","",IFERROR(INDEX(合同单位,MATCH($D1482,合同键,0)),IFERROR(TRIM(LEFT($D1482,FIND("｜",$D1482)-1)),$D1482)))</f>
        <v/>
      </c>
      <c r="F1482" s="30" t="str">
        <f aca="false">IF($D1482="","",IFERROR(INDEX(合同项目,MATCH($D1482,合同键,0)),IFERROR(TRIM(MID($D1482,FIND("｜",$D1482)+1,99)),"")))</f>
        <v/>
      </c>
      <c r="G1482" s="24"/>
      <c r="H1482" s="35" t="str">
        <f aca="false">IF($G1482="","",IFERROR(INDEX(费用款别,MATCH($G1482,费用类别表,0)),"合同外款"))</f>
        <v/>
      </c>
      <c r="I1482" s="33"/>
      <c r="J1482" s="33"/>
      <c r="K1482" s="39"/>
      <c r="L1482" s="33"/>
      <c r="M1482" s="25"/>
      <c r="N1482" s="39"/>
      <c r="O1482" s="35" t="str">
        <f aca="false">IF($C1482="","",IF(N($N1482)&lt;=0,"未开票",IF(ROUND(N($N1482)-N($K1482),2)&gt;=0,"已开票",IFERROR("部分开票 "&amp;TEXT(N($N1482)/N($K1482),"0%"),"部分开票"))))</f>
        <v/>
      </c>
      <c r="P1482" s="40" t="str">
        <f aca="false">IF($C1482="","",ROUND($V1482+MIN($W1482,MAX(0,(SUMIF(收款键,$D1482,收款金额)-SUMIFS(收款金额,收款键,$D1482,收款关联,"&lt;&gt;"))-($X1482-$W1482))),2))</f>
        <v/>
      </c>
      <c r="Q1482" s="41" t="str">
        <f aca="false">IF($C1482="","",ROUND(N($K1482)-N($P1482),2))</f>
        <v/>
      </c>
      <c r="R1482" s="29" t="str">
        <f aca="false">IF($C1482="","",YEAR($C1482))</f>
        <v/>
      </c>
      <c r="S1482" s="24"/>
      <c r="T1482" s="35" t="str">
        <f aca="false">IF($C1482="","",IF($D1482="","★没选客户项目",IF(COUNTIF(合同键,$D1482)=0,"★《维保合同》里没这个项目",IF(N($K1482)&lt;=0,"★应收金额要填",IF(ROUND(N($N1482)-N($K1482),2)&gt;0.001,"★开票金额大于应收",IF(AND($L1482&lt;&gt;"",N($N1482)&lt;=0),"★填了开票日期没填开票金额",IF(AND($I1482&lt;&gt;"",$J1482&lt;&gt;"",$J1482&lt;$I1482),"★计费期间起止反了","OK")))))))</f>
        <v/>
      </c>
      <c r="U1482" s="29" t="str">
        <f aca="false">IF($L1482="","",YEAR($L1482))</f>
        <v/>
      </c>
      <c r="V1482" s="40" t="str">
        <f aca="false">IF($C1482="","",ROUND(SUMIF(收款关联,$B1482,收款金额),2))</f>
        <v/>
      </c>
      <c r="W1482" s="40" t="str">
        <f aca="false">IF($C1482="","",MAX(0,ROUND(N($K1482)-N($V1482),2)))</f>
        <v/>
      </c>
      <c r="X1482" s="40" t="str">
        <f aca="false">IF($C1482="","",ROUND(SUMIFS(应收净额,应收键,$D1482,应收行号,"&lt;="&amp;ROW()),2))</f>
        <v/>
      </c>
      <c r="Y1482" s="29" t="str">
        <f aca="false">IF($C1482="","",ROW())</f>
        <v/>
      </c>
    </row>
    <row r="1483" customFormat="false" ht="15" hidden="false" customHeight="false" outlineLevel="0" collapsed="false">
      <c r="A1483" s="29" t="str">
        <f aca="false">IF($C1483="","",ROW()-4)</f>
        <v/>
      </c>
      <c r="B1483" s="35" t="str">
        <f aca="false">IF($C1483="","","YS"&amp;TEXT($C1483,"yyyymm")&amp;"-"&amp;TEXT(ROW()-4,"0000"))</f>
        <v/>
      </c>
      <c r="C1483" s="33"/>
      <c r="D1483" s="24"/>
      <c r="E1483" s="30" t="str">
        <f aca="false">IF($D1483="","",IFERROR(INDEX(合同单位,MATCH($D1483,合同键,0)),IFERROR(TRIM(LEFT($D1483,FIND("｜",$D1483)-1)),$D1483)))</f>
        <v/>
      </c>
      <c r="F1483" s="30" t="str">
        <f aca="false">IF($D1483="","",IFERROR(INDEX(合同项目,MATCH($D1483,合同键,0)),IFERROR(TRIM(MID($D1483,FIND("｜",$D1483)+1,99)),"")))</f>
        <v/>
      </c>
      <c r="G1483" s="24"/>
      <c r="H1483" s="35" t="str">
        <f aca="false">IF($G1483="","",IFERROR(INDEX(费用款别,MATCH($G1483,费用类别表,0)),"合同外款"))</f>
        <v/>
      </c>
      <c r="I1483" s="33"/>
      <c r="J1483" s="33"/>
      <c r="K1483" s="39"/>
      <c r="L1483" s="33"/>
      <c r="M1483" s="25"/>
      <c r="N1483" s="39"/>
      <c r="O1483" s="35" t="str">
        <f aca="false">IF($C1483="","",IF(N($N1483)&lt;=0,"未开票",IF(ROUND(N($N1483)-N($K1483),2)&gt;=0,"已开票",IFERROR("部分开票 "&amp;TEXT(N($N1483)/N($K1483),"0%"),"部分开票"))))</f>
        <v/>
      </c>
      <c r="P1483" s="40" t="str">
        <f aca="false">IF($C1483="","",ROUND($V1483+MIN($W1483,MAX(0,(SUMIF(收款键,$D1483,收款金额)-SUMIFS(收款金额,收款键,$D1483,收款关联,"&lt;&gt;"))-($X1483-$W1483))),2))</f>
        <v/>
      </c>
      <c r="Q1483" s="41" t="str">
        <f aca="false">IF($C1483="","",ROUND(N($K1483)-N($P1483),2))</f>
        <v/>
      </c>
      <c r="R1483" s="29" t="str">
        <f aca="false">IF($C1483="","",YEAR($C1483))</f>
        <v/>
      </c>
      <c r="S1483" s="24"/>
      <c r="T1483" s="35" t="str">
        <f aca="false">IF($C1483="","",IF($D1483="","★没选客户项目",IF(COUNTIF(合同键,$D1483)=0,"★《维保合同》里没这个项目",IF(N($K1483)&lt;=0,"★应收金额要填",IF(ROUND(N($N1483)-N($K1483),2)&gt;0.001,"★开票金额大于应收",IF(AND($L1483&lt;&gt;"",N($N1483)&lt;=0),"★填了开票日期没填开票金额",IF(AND($I1483&lt;&gt;"",$J1483&lt;&gt;"",$J1483&lt;$I1483),"★计费期间起止反了","OK")))))))</f>
        <v/>
      </c>
      <c r="U1483" s="29" t="str">
        <f aca="false">IF($L1483="","",YEAR($L1483))</f>
        <v/>
      </c>
      <c r="V1483" s="40" t="str">
        <f aca="false">IF($C1483="","",ROUND(SUMIF(收款关联,$B1483,收款金额),2))</f>
        <v/>
      </c>
      <c r="W1483" s="40" t="str">
        <f aca="false">IF($C1483="","",MAX(0,ROUND(N($K1483)-N($V1483),2)))</f>
        <v/>
      </c>
      <c r="X1483" s="40" t="str">
        <f aca="false">IF($C1483="","",ROUND(SUMIFS(应收净额,应收键,$D1483,应收行号,"&lt;="&amp;ROW()),2))</f>
        <v/>
      </c>
      <c r="Y1483" s="29" t="str">
        <f aca="false">IF($C1483="","",ROW())</f>
        <v/>
      </c>
    </row>
    <row r="1484" customFormat="false" ht="15" hidden="false" customHeight="false" outlineLevel="0" collapsed="false">
      <c r="A1484" s="29" t="str">
        <f aca="false">IF($C1484="","",ROW()-4)</f>
        <v/>
      </c>
      <c r="B1484" s="35" t="str">
        <f aca="false">IF($C1484="","","YS"&amp;TEXT($C1484,"yyyymm")&amp;"-"&amp;TEXT(ROW()-4,"0000"))</f>
        <v/>
      </c>
      <c r="C1484" s="33"/>
      <c r="D1484" s="24"/>
      <c r="E1484" s="30" t="str">
        <f aca="false">IF($D1484="","",IFERROR(INDEX(合同单位,MATCH($D1484,合同键,0)),IFERROR(TRIM(LEFT($D1484,FIND("｜",$D1484)-1)),$D1484)))</f>
        <v/>
      </c>
      <c r="F1484" s="30" t="str">
        <f aca="false">IF($D1484="","",IFERROR(INDEX(合同项目,MATCH($D1484,合同键,0)),IFERROR(TRIM(MID($D1484,FIND("｜",$D1484)+1,99)),"")))</f>
        <v/>
      </c>
      <c r="G1484" s="24"/>
      <c r="H1484" s="35" t="str">
        <f aca="false">IF($G1484="","",IFERROR(INDEX(费用款别,MATCH($G1484,费用类别表,0)),"合同外款"))</f>
        <v/>
      </c>
      <c r="I1484" s="33"/>
      <c r="J1484" s="33"/>
      <c r="K1484" s="39"/>
      <c r="L1484" s="33"/>
      <c r="M1484" s="25"/>
      <c r="N1484" s="39"/>
      <c r="O1484" s="35" t="str">
        <f aca="false">IF($C1484="","",IF(N($N1484)&lt;=0,"未开票",IF(ROUND(N($N1484)-N($K1484),2)&gt;=0,"已开票",IFERROR("部分开票 "&amp;TEXT(N($N1484)/N($K1484),"0%"),"部分开票"))))</f>
        <v/>
      </c>
      <c r="P1484" s="40" t="str">
        <f aca="false">IF($C1484="","",ROUND($V1484+MIN($W1484,MAX(0,(SUMIF(收款键,$D1484,收款金额)-SUMIFS(收款金额,收款键,$D1484,收款关联,"&lt;&gt;"))-($X1484-$W1484))),2))</f>
        <v/>
      </c>
      <c r="Q1484" s="41" t="str">
        <f aca="false">IF($C1484="","",ROUND(N($K1484)-N($P1484),2))</f>
        <v/>
      </c>
      <c r="R1484" s="29" t="str">
        <f aca="false">IF($C1484="","",YEAR($C1484))</f>
        <v/>
      </c>
      <c r="S1484" s="24"/>
      <c r="T1484" s="35" t="str">
        <f aca="false">IF($C1484="","",IF($D1484="","★没选客户项目",IF(COUNTIF(合同键,$D1484)=0,"★《维保合同》里没这个项目",IF(N($K1484)&lt;=0,"★应收金额要填",IF(ROUND(N($N1484)-N($K1484),2)&gt;0.001,"★开票金额大于应收",IF(AND($L1484&lt;&gt;"",N($N1484)&lt;=0),"★填了开票日期没填开票金额",IF(AND($I1484&lt;&gt;"",$J1484&lt;&gt;"",$J1484&lt;$I1484),"★计费期间起止反了","OK")))))))</f>
        <v/>
      </c>
      <c r="U1484" s="29" t="str">
        <f aca="false">IF($L1484="","",YEAR($L1484))</f>
        <v/>
      </c>
      <c r="V1484" s="40" t="str">
        <f aca="false">IF($C1484="","",ROUND(SUMIF(收款关联,$B1484,收款金额),2))</f>
        <v/>
      </c>
      <c r="W1484" s="40" t="str">
        <f aca="false">IF($C1484="","",MAX(0,ROUND(N($K1484)-N($V1484),2)))</f>
        <v/>
      </c>
      <c r="X1484" s="40" t="str">
        <f aca="false">IF($C1484="","",ROUND(SUMIFS(应收净额,应收键,$D1484,应收行号,"&lt;="&amp;ROW()),2))</f>
        <v/>
      </c>
      <c r="Y1484" s="29" t="str">
        <f aca="false">IF($C1484="","",ROW())</f>
        <v/>
      </c>
    </row>
    <row r="1485" customFormat="false" ht="15" hidden="false" customHeight="false" outlineLevel="0" collapsed="false">
      <c r="A1485" s="29" t="str">
        <f aca="false">IF($C1485="","",ROW()-4)</f>
        <v/>
      </c>
      <c r="B1485" s="35" t="str">
        <f aca="false">IF($C1485="","","YS"&amp;TEXT($C1485,"yyyymm")&amp;"-"&amp;TEXT(ROW()-4,"0000"))</f>
        <v/>
      </c>
      <c r="C1485" s="33"/>
      <c r="D1485" s="24"/>
      <c r="E1485" s="30" t="str">
        <f aca="false">IF($D1485="","",IFERROR(INDEX(合同单位,MATCH($D1485,合同键,0)),IFERROR(TRIM(LEFT($D1485,FIND("｜",$D1485)-1)),$D1485)))</f>
        <v/>
      </c>
      <c r="F1485" s="30" t="str">
        <f aca="false">IF($D1485="","",IFERROR(INDEX(合同项目,MATCH($D1485,合同键,0)),IFERROR(TRIM(MID($D1485,FIND("｜",$D1485)+1,99)),"")))</f>
        <v/>
      </c>
      <c r="G1485" s="24"/>
      <c r="H1485" s="35" t="str">
        <f aca="false">IF($G1485="","",IFERROR(INDEX(费用款别,MATCH($G1485,费用类别表,0)),"合同外款"))</f>
        <v/>
      </c>
      <c r="I1485" s="33"/>
      <c r="J1485" s="33"/>
      <c r="K1485" s="39"/>
      <c r="L1485" s="33"/>
      <c r="M1485" s="25"/>
      <c r="N1485" s="39"/>
      <c r="O1485" s="35" t="str">
        <f aca="false">IF($C1485="","",IF(N($N1485)&lt;=0,"未开票",IF(ROUND(N($N1485)-N($K1485),2)&gt;=0,"已开票",IFERROR("部分开票 "&amp;TEXT(N($N1485)/N($K1485),"0%"),"部分开票"))))</f>
        <v/>
      </c>
      <c r="P1485" s="40" t="str">
        <f aca="false">IF($C1485="","",ROUND($V1485+MIN($W1485,MAX(0,(SUMIF(收款键,$D1485,收款金额)-SUMIFS(收款金额,收款键,$D1485,收款关联,"&lt;&gt;"))-($X1485-$W1485))),2))</f>
        <v/>
      </c>
      <c r="Q1485" s="41" t="str">
        <f aca="false">IF($C1485="","",ROUND(N($K1485)-N($P1485),2))</f>
        <v/>
      </c>
      <c r="R1485" s="29" t="str">
        <f aca="false">IF($C1485="","",YEAR($C1485))</f>
        <v/>
      </c>
      <c r="S1485" s="24"/>
      <c r="T1485" s="35" t="str">
        <f aca="false">IF($C1485="","",IF($D1485="","★没选客户项目",IF(COUNTIF(合同键,$D1485)=0,"★《维保合同》里没这个项目",IF(N($K1485)&lt;=0,"★应收金额要填",IF(ROUND(N($N1485)-N($K1485),2)&gt;0.001,"★开票金额大于应收",IF(AND($L1485&lt;&gt;"",N($N1485)&lt;=0),"★填了开票日期没填开票金额",IF(AND($I1485&lt;&gt;"",$J1485&lt;&gt;"",$J1485&lt;$I1485),"★计费期间起止反了","OK")))))))</f>
        <v/>
      </c>
      <c r="U1485" s="29" t="str">
        <f aca="false">IF($L1485="","",YEAR($L1485))</f>
        <v/>
      </c>
      <c r="V1485" s="40" t="str">
        <f aca="false">IF($C1485="","",ROUND(SUMIF(收款关联,$B1485,收款金额),2))</f>
        <v/>
      </c>
      <c r="W1485" s="40" t="str">
        <f aca="false">IF($C1485="","",MAX(0,ROUND(N($K1485)-N($V1485),2)))</f>
        <v/>
      </c>
      <c r="X1485" s="40" t="str">
        <f aca="false">IF($C1485="","",ROUND(SUMIFS(应收净额,应收键,$D1485,应收行号,"&lt;="&amp;ROW()),2))</f>
        <v/>
      </c>
      <c r="Y1485" s="29" t="str">
        <f aca="false">IF($C1485="","",ROW())</f>
        <v/>
      </c>
    </row>
    <row r="1486" customFormat="false" ht="15" hidden="false" customHeight="false" outlineLevel="0" collapsed="false">
      <c r="A1486" s="29" t="str">
        <f aca="false">IF($C1486="","",ROW()-4)</f>
        <v/>
      </c>
      <c r="B1486" s="35" t="str">
        <f aca="false">IF($C1486="","","YS"&amp;TEXT($C1486,"yyyymm")&amp;"-"&amp;TEXT(ROW()-4,"0000"))</f>
        <v/>
      </c>
      <c r="C1486" s="33"/>
      <c r="D1486" s="24"/>
      <c r="E1486" s="30" t="str">
        <f aca="false">IF($D1486="","",IFERROR(INDEX(合同单位,MATCH($D1486,合同键,0)),IFERROR(TRIM(LEFT($D1486,FIND("｜",$D1486)-1)),$D1486)))</f>
        <v/>
      </c>
      <c r="F1486" s="30" t="str">
        <f aca="false">IF($D1486="","",IFERROR(INDEX(合同项目,MATCH($D1486,合同键,0)),IFERROR(TRIM(MID($D1486,FIND("｜",$D1486)+1,99)),"")))</f>
        <v/>
      </c>
      <c r="G1486" s="24"/>
      <c r="H1486" s="35" t="str">
        <f aca="false">IF($G1486="","",IFERROR(INDEX(费用款别,MATCH($G1486,费用类别表,0)),"合同外款"))</f>
        <v/>
      </c>
      <c r="I1486" s="33"/>
      <c r="J1486" s="33"/>
      <c r="K1486" s="39"/>
      <c r="L1486" s="33"/>
      <c r="M1486" s="25"/>
      <c r="N1486" s="39"/>
      <c r="O1486" s="35" t="str">
        <f aca="false">IF($C1486="","",IF(N($N1486)&lt;=0,"未开票",IF(ROUND(N($N1486)-N($K1486),2)&gt;=0,"已开票",IFERROR("部分开票 "&amp;TEXT(N($N1486)/N($K1486),"0%"),"部分开票"))))</f>
        <v/>
      </c>
      <c r="P1486" s="40" t="str">
        <f aca="false">IF($C1486="","",ROUND($V1486+MIN($W1486,MAX(0,(SUMIF(收款键,$D1486,收款金额)-SUMIFS(收款金额,收款键,$D1486,收款关联,"&lt;&gt;"))-($X1486-$W1486))),2))</f>
        <v/>
      </c>
      <c r="Q1486" s="41" t="str">
        <f aca="false">IF($C1486="","",ROUND(N($K1486)-N($P1486),2))</f>
        <v/>
      </c>
      <c r="R1486" s="29" t="str">
        <f aca="false">IF($C1486="","",YEAR($C1486))</f>
        <v/>
      </c>
      <c r="S1486" s="24"/>
      <c r="T1486" s="35" t="str">
        <f aca="false">IF($C1486="","",IF($D1486="","★没选客户项目",IF(COUNTIF(合同键,$D1486)=0,"★《维保合同》里没这个项目",IF(N($K1486)&lt;=0,"★应收金额要填",IF(ROUND(N($N1486)-N($K1486),2)&gt;0.001,"★开票金额大于应收",IF(AND($L1486&lt;&gt;"",N($N1486)&lt;=0),"★填了开票日期没填开票金额",IF(AND($I1486&lt;&gt;"",$J1486&lt;&gt;"",$J1486&lt;$I1486),"★计费期间起止反了","OK")))))))</f>
        <v/>
      </c>
      <c r="U1486" s="29" t="str">
        <f aca="false">IF($L1486="","",YEAR($L1486))</f>
        <v/>
      </c>
      <c r="V1486" s="40" t="str">
        <f aca="false">IF($C1486="","",ROUND(SUMIF(收款关联,$B1486,收款金额),2))</f>
        <v/>
      </c>
      <c r="W1486" s="40" t="str">
        <f aca="false">IF($C1486="","",MAX(0,ROUND(N($K1486)-N($V1486),2)))</f>
        <v/>
      </c>
      <c r="X1486" s="40" t="str">
        <f aca="false">IF($C1486="","",ROUND(SUMIFS(应收净额,应收键,$D1486,应收行号,"&lt;="&amp;ROW()),2))</f>
        <v/>
      </c>
      <c r="Y1486" s="29" t="str">
        <f aca="false">IF($C1486="","",ROW())</f>
        <v/>
      </c>
    </row>
    <row r="1487" customFormat="false" ht="15" hidden="false" customHeight="false" outlineLevel="0" collapsed="false">
      <c r="A1487" s="29" t="str">
        <f aca="false">IF($C1487="","",ROW()-4)</f>
        <v/>
      </c>
      <c r="B1487" s="35" t="str">
        <f aca="false">IF($C1487="","","YS"&amp;TEXT($C1487,"yyyymm")&amp;"-"&amp;TEXT(ROW()-4,"0000"))</f>
        <v/>
      </c>
      <c r="C1487" s="33"/>
      <c r="D1487" s="24"/>
      <c r="E1487" s="30" t="str">
        <f aca="false">IF($D1487="","",IFERROR(INDEX(合同单位,MATCH($D1487,合同键,0)),IFERROR(TRIM(LEFT($D1487,FIND("｜",$D1487)-1)),$D1487)))</f>
        <v/>
      </c>
      <c r="F1487" s="30" t="str">
        <f aca="false">IF($D1487="","",IFERROR(INDEX(合同项目,MATCH($D1487,合同键,0)),IFERROR(TRIM(MID($D1487,FIND("｜",$D1487)+1,99)),"")))</f>
        <v/>
      </c>
      <c r="G1487" s="24"/>
      <c r="H1487" s="35" t="str">
        <f aca="false">IF($G1487="","",IFERROR(INDEX(费用款别,MATCH($G1487,费用类别表,0)),"合同外款"))</f>
        <v/>
      </c>
      <c r="I1487" s="33"/>
      <c r="J1487" s="33"/>
      <c r="K1487" s="39"/>
      <c r="L1487" s="33"/>
      <c r="M1487" s="25"/>
      <c r="N1487" s="39"/>
      <c r="O1487" s="35" t="str">
        <f aca="false">IF($C1487="","",IF(N($N1487)&lt;=0,"未开票",IF(ROUND(N($N1487)-N($K1487),2)&gt;=0,"已开票",IFERROR("部分开票 "&amp;TEXT(N($N1487)/N($K1487),"0%"),"部分开票"))))</f>
        <v/>
      </c>
      <c r="P1487" s="40" t="str">
        <f aca="false">IF($C1487="","",ROUND($V1487+MIN($W1487,MAX(0,(SUMIF(收款键,$D1487,收款金额)-SUMIFS(收款金额,收款键,$D1487,收款关联,"&lt;&gt;"))-($X1487-$W1487))),2))</f>
        <v/>
      </c>
      <c r="Q1487" s="41" t="str">
        <f aca="false">IF($C1487="","",ROUND(N($K1487)-N($P1487),2))</f>
        <v/>
      </c>
      <c r="R1487" s="29" t="str">
        <f aca="false">IF($C1487="","",YEAR($C1487))</f>
        <v/>
      </c>
      <c r="S1487" s="24"/>
      <c r="T1487" s="35" t="str">
        <f aca="false">IF($C1487="","",IF($D1487="","★没选客户项目",IF(COUNTIF(合同键,$D1487)=0,"★《维保合同》里没这个项目",IF(N($K1487)&lt;=0,"★应收金额要填",IF(ROUND(N($N1487)-N($K1487),2)&gt;0.001,"★开票金额大于应收",IF(AND($L1487&lt;&gt;"",N($N1487)&lt;=0),"★填了开票日期没填开票金额",IF(AND($I1487&lt;&gt;"",$J1487&lt;&gt;"",$J1487&lt;$I1487),"★计费期间起止反了","OK")))))))</f>
        <v/>
      </c>
      <c r="U1487" s="29" t="str">
        <f aca="false">IF($L1487="","",YEAR($L1487))</f>
        <v/>
      </c>
      <c r="V1487" s="40" t="str">
        <f aca="false">IF($C1487="","",ROUND(SUMIF(收款关联,$B1487,收款金额),2))</f>
        <v/>
      </c>
      <c r="W1487" s="40" t="str">
        <f aca="false">IF($C1487="","",MAX(0,ROUND(N($K1487)-N($V1487),2)))</f>
        <v/>
      </c>
      <c r="X1487" s="40" t="str">
        <f aca="false">IF($C1487="","",ROUND(SUMIFS(应收净额,应收键,$D1487,应收行号,"&lt;="&amp;ROW()),2))</f>
        <v/>
      </c>
      <c r="Y1487" s="29" t="str">
        <f aca="false">IF($C1487="","",ROW())</f>
        <v/>
      </c>
    </row>
    <row r="1488" customFormat="false" ht="15" hidden="false" customHeight="false" outlineLevel="0" collapsed="false">
      <c r="A1488" s="29" t="str">
        <f aca="false">IF($C1488="","",ROW()-4)</f>
        <v/>
      </c>
      <c r="B1488" s="35" t="str">
        <f aca="false">IF($C1488="","","YS"&amp;TEXT($C1488,"yyyymm")&amp;"-"&amp;TEXT(ROW()-4,"0000"))</f>
        <v/>
      </c>
      <c r="C1488" s="33"/>
      <c r="D1488" s="24"/>
      <c r="E1488" s="30" t="str">
        <f aca="false">IF($D1488="","",IFERROR(INDEX(合同单位,MATCH($D1488,合同键,0)),IFERROR(TRIM(LEFT($D1488,FIND("｜",$D1488)-1)),$D1488)))</f>
        <v/>
      </c>
      <c r="F1488" s="30" t="str">
        <f aca="false">IF($D1488="","",IFERROR(INDEX(合同项目,MATCH($D1488,合同键,0)),IFERROR(TRIM(MID($D1488,FIND("｜",$D1488)+1,99)),"")))</f>
        <v/>
      </c>
      <c r="G1488" s="24"/>
      <c r="H1488" s="35" t="str">
        <f aca="false">IF($G1488="","",IFERROR(INDEX(费用款别,MATCH($G1488,费用类别表,0)),"合同外款"))</f>
        <v/>
      </c>
      <c r="I1488" s="33"/>
      <c r="J1488" s="33"/>
      <c r="K1488" s="39"/>
      <c r="L1488" s="33"/>
      <c r="M1488" s="25"/>
      <c r="N1488" s="39"/>
      <c r="O1488" s="35" t="str">
        <f aca="false">IF($C1488="","",IF(N($N1488)&lt;=0,"未开票",IF(ROUND(N($N1488)-N($K1488),2)&gt;=0,"已开票",IFERROR("部分开票 "&amp;TEXT(N($N1488)/N($K1488),"0%"),"部分开票"))))</f>
        <v/>
      </c>
      <c r="P1488" s="40" t="str">
        <f aca="false">IF($C1488="","",ROUND($V1488+MIN($W1488,MAX(0,(SUMIF(收款键,$D1488,收款金额)-SUMIFS(收款金额,收款键,$D1488,收款关联,"&lt;&gt;"))-($X1488-$W1488))),2))</f>
        <v/>
      </c>
      <c r="Q1488" s="41" t="str">
        <f aca="false">IF($C1488="","",ROUND(N($K1488)-N($P1488),2))</f>
        <v/>
      </c>
      <c r="R1488" s="29" t="str">
        <f aca="false">IF($C1488="","",YEAR($C1488))</f>
        <v/>
      </c>
      <c r="S1488" s="24"/>
      <c r="T1488" s="35" t="str">
        <f aca="false">IF($C1488="","",IF($D1488="","★没选客户项目",IF(COUNTIF(合同键,$D1488)=0,"★《维保合同》里没这个项目",IF(N($K1488)&lt;=0,"★应收金额要填",IF(ROUND(N($N1488)-N($K1488),2)&gt;0.001,"★开票金额大于应收",IF(AND($L1488&lt;&gt;"",N($N1488)&lt;=0),"★填了开票日期没填开票金额",IF(AND($I1488&lt;&gt;"",$J1488&lt;&gt;"",$J1488&lt;$I1488),"★计费期间起止反了","OK")))))))</f>
        <v/>
      </c>
      <c r="U1488" s="29" t="str">
        <f aca="false">IF($L1488="","",YEAR($L1488))</f>
        <v/>
      </c>
      <c r="V1488" s="40" t="str">
        <f aca="false">IF($C1488="","",ROUND(SUMIF(收款关联,$B1488,收款金额),2))</f>
        <v/>
      </c>
      <c r="W1488" s="40" t="str">
        <f aca="false">IF($C1488="","",MAX(0,ROUND(N($K1488)-N($V1488),2)))</f>
        <v/>
      </c>
      <c r="X1488" s="40" t="str">
        <f aca="false">IF($C1488="","",ROUND(SUMIFS(应收净额,应收键,$D1488,应收行号,"&lt;="&amp;ROW()),2))</f>
        <v/>
      </c>
      <c r="Y1488" s="29" t="str">
        <f aca="false">IF($C1488="","",ROW())</f>
        <v/>
      </c>
    </row>
    <row r="1489" customFormat="false" ht="15" hidden="false" customHeight="false" outlineLevel="0" collapsed="false">
      <c r="A1489" s="29" t="str">
        <f aca="false">IF($C1489="","",ROW()-4)</f>
        <v/>
      </c>
      <c r="B1489" s="35" t="str">
        <f aca="false">IF($C1489="","","YS"&amp;TEXT($C1489,"yyyymm")&amp;"-"&amp;TEXT(ROW()-4,"0000"))</f>
        <v/>
      </c>
      <c r="C1489" s="33"/>
      <c r="D1489" s="24"/>
      <c r="E1489" s="30" t="str">
        <f aca="false">IF($D1489="","",IFERROR(INDEX(合同单位,MATCH($D1489,合同键,0)),IFERROR(TRIM(LEFT($D1489,FIND("｜",$D1489)-1)),$D1489)))</f>
        <v/>
      </c>
      <c r="F1489" s="30" t="str">
        <f aca="false">IF($D1489="","",IFERROR(INDEX(合同项目,MATCH($D1489,合同键,0)),IFERROR(TRIM(MID($D1489,FIND("｜",$D1489)+1,99)),"")))</f>
        <v/>
      </c>
      <c r="G1489" s="24"/>
      <c r="H1489" s="35" t="str">
        <f aca="false">IF($G1489="","",IFERROR(INDEX(费用款别,MATCH($G1489,费用类别表,0)),"合同外款"))</f>
        <v/>
      </c>
      <c r="I1489" s="33"/>
      <c r="J1489" s="33"/>
      <c r="K1489" s="39"/>
      <c r="L1489" s="33"/>
      <c r="M1489" s="25"/>
      <c r="N1489" s="39"/>
      <c r="O1489" s="35" t="str">
        <f aca="false">IF($C1489="","",IF(N($N1489)&lt;=0,"未开票",IF(ROUND(N($N1489)-N($K1489),2)&gt;=0,"已开票",IFERROR("部分开票 "&amp;TEXT(N($N1489)/N($K1489),"0%"),"部分开票"))))</f>
        <v/>
      </c>
      <c r="P1489" s="40" t="str">
        <f aca="false">IF($C1489="","",ROUND($V1489+MIN($W1489,MAX(0,(SUMIF(收款键,$D1489,收款金额)-SUMIFS(收款金额,收款键,$D1489,收款关联,"&lt;&gt;"))-($X1489-$W1489))),2))</f>
        <v/>
      </c>
      <c r="Q1489" s="41" t="str">
        <f aca="false">IF($C1489="","",ROUND(N($K1489)-N($P1489),2))</f>
        <v/>
      </c>
      <c r="R1489" s="29" t="str">
        <f aca="false">IF($C1489="","",YEAR($C1489))</f>
        <v/>
      </c>
      <c r="S1489" s="24"/>
      <c r="T1489" s="35" t="str">
        <f aca="false">IF($C1489="","",IF($D1489="","★没选客户项目",IF(COUNTIF(合同键,$D1489)=0,"★《维保合同》里没这个项目",IF(N($K1489)&lt;=0,"★应收金额要填",IF(ROUND(N($N1489)-N($K1489),2)&gt;0.001,"★开票金额大于应收",IF(AND($L1489&lt;&gt;"",N($N1489)&lt;=0),"★填了开票日期没填开票金额",IF(AND($I1489&lt;&gt;"",$J1489&lt;&gt;"",$J1489&lt;$I1489),"★计费期间起止反了","OK")))))))</f>
        <v/>
      </c>
      <c r="U1489" s="29" t="str">
        <f aca="false">IF($L1489="","",YEAR($L1489))</f>
        <v/>
      </c>
      <c r="V1489" s="40" t="str">
        <f aca="false">IF($C1489="","",ROUND(SUMIF(收款关联,$B1489,收款金额),2))</f>
        <v/>
      </c>
      <c r="W1489" s="40" t="str">
        <f aca="false">IF($C1489="","",MAX(0,ROUND(N($K1489)-N($V1489),2)))</f>
        <v/>
      </c>
      <c r="X1489" s="40" t="str">
        <f aca="false">IF($C1489="","",ROUND(SUMIFS(应收净额,应收键,$D1489,应收行号,"&lt;="&amp;ROW()),2))</f>
        <v/>
      </c>
      <c r="Y1489" s="29" t="str">
        <f aca="false">IF($C1489="","",ROW())</f>
        <v/>
      </c>
    </row>
    <row r="1490" customFormat="false" ht="15" hidden="false" customHeight="false" outlineLevel="0" collapsed="false">
      <c r="A1490" s="29" t="str">
        <f aca="false">IF($C1490="","",ROW()-4)</f>
        <v/>
      </c>
      <c r="B1490" s="35" t="str">
        <f aca="false">IF($C1490="","","YS"&amp;TEXT($C1490,"yyyymm")&amp;"-"&amp;TEXT(ROW()-4,"0000"))</f>
        <v/>
      </c>
      <c r="C1490" s="33"/>
      <c r="D1490" s="24"/>
      <c r="E1490" s="30" t="str">
        <f aca="false">IF($D1490="","",IFERROR(INDEX(合同单位,MATCH($D1490,合同键,0)),IFERROR(TRIM(LEFT($D1490,FIND("｜",$D1490)-1)),$D1490)))</f>
        <v/>
      </c>
      <c r="F1490" s="30" t="str">
        <f aca="false">IF($D1490="","",IFERROR(INDEX(合同项目,MATCH($D1490,合同键,0)),IFERROR(TRIM(MID($D1490,FIND("｜",$D1490)+1,99)),"")))</f>
        <v/>
      </c>
      <c r="G1490" s="24"/>
      <c r="H1490" s="35" t="str">
        <f aca="false">IF($G1490="","",IFERROR(INDEX(费用款别,MATCH($G1490,费用类别表,0)),"合同外款"))</f>
        <v/>
      </c>
      <c r="I1490" s="33"/>
      <c r="J1490" s="33"/>
      <c r="K1490" s="39"/>
      <c r="L1490" s="33"/>
      <c r="M1490" s="25"/>
      <c r="N1490" s="39"/>
      <c r="O1490" s="35" t="str">
        <f aca="false">IF($C1490="","",IF(N($N1490)&lt;=0,"未开票",IF(ROUND(N($N1490)-N($K1490),2)&gt;=0,"已开票",IFERROR("部分开票 "&amp;TEXT(N($N1490)/N($K1490),"0%"),"部分开票"))))</f>
        <v/>
      </c>
      <c r="P1490" s="40" t="str">
        <f aca="false">IF($C1490="","",ROUND($V1490+MIN($W1490,MAX(0,(SUMIF(收款键,$D1490,收款金额)-SUMIFS(收款金额,收款键,$D1490,收款关联,"&lt;&gt;"))-($X1490-$W1490))),2))</f>
        <v/>
      </c>
      <c r="Q1490" s="41" t="str">
        <f aca="false">IF($C1490="","",ROUND(N($K1490)-N($P1490),2))</f>
        <v/>
      </c>
      <c r="R1490" s="29" t="str">
        <f aca="false">IF($C1490="","",YEAR($C1490))</f>
        <v/>
      </c>
      <c r="S1490" s="24"/>
      <c r="T1490" s="35" t="str">
        <f aca="false">IF($C1490="","",IF($D1490="","★没选客户项目",IF(COUNTIF(合同键,$D1490)=0,"★《维保合同》里没这个项目",IF(N($K1490)&lt;=0,"★应收金额要填",IF(ROUND(N($N1490)-N($K1490),2)&gt;0.001,"★开票金额大于应收",IF(AND($L1490&lt;&gt;"",N($N1490)&lt;=0),"★填了开票日期没填开票金额",IF(AND($I1490&lt;&gt;"",$J1490&lt;&gt;"",$J1490&lt;$I1490),"★计费期间起止反了","OK")))))))</f>
        <v/>
      </c>
      <c r="U1490" s="29" t="str">
        <f aca="false">IF($L1490="","",YEAR($L1490))</f>
        <v/>
      </c>
      <c r="V1490" s="40" t="str">
        <f aca="false">IF($C1490="","",ROUND(SUMIF(收款关联,$B1490,收款金额),2))</f>
        <v/>
      </c>
      <c r="W1490" s="40" t="str">
        <f aca="false">IF($C1490="","",MAX(0,ROUND(N($K1490)-N($V1490),2)))</f>
        <v/>
      </c>
      <c r="X1490" s="40" t="str">
        <f aca="false">IF($C1490="","",ROUND(SUMIFS(应收净额,应收键,$D1490,应收行号,"&lt;="&amp;ROW()),2))</f>
        <v/>
      </c>
      <c r="Y1490" s="29" t="str">
        <f aca="false">IF($C1490="","",ROW())</f>
        <v/>
      </c>
    </row>
    <row r="1491" customFormat="false" ht="15" hidden="false" customHeight="false" outlineLevel="0" collapsed="false">
      <c r="A1491" s="29" t="str">
        <f aca="false">IF($C1491="","",ROW()-4)</f>
        <v/>
      </c>
      <c r="B1491" s="35" t="str">
        <f aca="false">IF($C1491="","","YS"&amp;TEXT($C1491,"yyyymm")&amp;"-"&amp;TEXT(ROW()-4,"0000"))</f>
        <v/>
      </c>
      <c r="C1491" s="33"/>
      <c r="D1491" s="24"/>
      <c r="E1491" s="30" t="str">
        <f aca="false">IF($D1491="","",IFERROR(INDEX(合同单位,MATCH($D1491,合同键,0)),IFERROR(TRIM(LEFT($D1491,FIND("｜",$D1491)-1)),$D1491)))</f>
        <v/>
      </c>
      <c r="F1491" s="30" t="str">
        <f aca="false">IF($D1491="","",IFERROR(INDEX(合同项目,MATCH($D1491,合同键,0)),IFERROR(TRIM(MID($D1491,FIND("｜",$D1491)+1,99)),"")))</f>
        <v/>
      </c>
      <c r="G1491" s="24"/>
      <c r="H1491" s="35" t="str">
        <f aca="false">IF($G1491="","",IFERROR(INDEX(费用款别,MATCH($G1491,费用类别表,0)),"合同外款"))</f>
        <v/>
      </c>
      <c r="I1491" s="33"/>
      <c r="J1491" s="33"/>
      <c r="K1491" s="39"/>
      <c r="L1491" s="33"/>
      <c r="M1491" s="25"/>
      <c r="N1491" s="39"/>
      <c r="O1491" s="35" t="str">
        <f aca="false">IF($C1491="","",IF(N($N1491)&lt;=0,"未开票",IF(ROUND(N($N1491)-N($K1491),2)&gt;=0,"已开票",IFERROR("部分开票 "&amp;TEXT(N($N1491)/N($K1491),"0%"),"部分开票"))))</f>
        <v/>
      </c>
      <c r="P1491" s="40" t="str">
        <f aca="false">IF($C1491="","",ROUND($V1491+MIN($W1491,MAX(0,(SUMIF(收款键,$D1491,收款金额)-SUMIFS(收款金额,收款键,$D1491,收款关联,"&lt;&gt;"))-($X1491-$W1491))),2))</f>
        <v/>
      </c>
      <c r="Q1491" s="41" t="str">
        <f aca="false">IF($C1491="","",ROUND(N($K1491)-N($P1491),2))</f>
        <v/>
      </c>
      <c r="R1491" s="29" t="str">
        <f aca="false">IF($C1491="","",YEAR($C1491))</f>
        <v/>
      </c>
      <c r="S1491" s="24"/>
      <c r="T1491" s="35" t="str">
        <f aca="false">IF($C1491="","",IF($D1491="","★没选客户项目",IF(COUNTIF(合同键,$D1491)=0,"★《维保合同》里没这个项目",IF(N($K1491)&lt;=0,"★应收金额要填",IF(ROUND(N($N1491)-N($K1491),2)&gt;0.001,"★开票金额大于应收",IF(AND($L1491&lt;&gt;"",N($N1491)&lt;=0),"★填了开票日期没填开票金额",IF(AND($I1491&lt;&gt;"",$J1491&lt;&gt;"",$J1491&lt;$I1491),"★计费期间起止反了","OK")))))))</f>
        <v/>
      </c>
      <c r="U1491" s="29" t="str">
        <f aca="false">IF($L1491="","",YEAR($L1491))</f>
        <v/>
      </c>
      <c r="V1491" s="40" t="str">
        <f aca="false">IF($C1491="","",ROUND(SUMIF(收款关联,$B1491,收款金额),2))</f>
        <v/>
      </c>
      <c r="W1491" s="40" t="str">
        <f aca="false">IF($C1491="","",MAX(0,ROUND(N($K1491)-N($V1491),2)))</f>
        <v/>
      </c>
      <c r="X1491" s="40" t="str">
        <f aca="false">IF($C1491="","",ROUND(SUMIFS(应收净额,应收键,$D1491,应收行号,"&lt;="&amp;ROW()),2))</f>
        <v/>
      </c>
      <c r="Y1491" s="29" t="str">
        <f aca="false">IF($C1491="","",ROW())</f>
        <v/>
      </c>
    </row>
    <row r="1492" customFormat="false" ht="15" hidden="false" customHeight="false" outlineLevel="0" collapsed="false">
      <c r="A1492" s="29" t="str">
        <f aca="false">IF($C1492="","",ROW()-4)</f>
        <v/>
      </c>
      <c r="B1492" s="35" t="str">
        <f aca="false">IF($C1492="","","YS"&amp;TEXT($C1492,"yyyymm")&amp;"-"&amp;TEXT(ROW()-4,"0000"))</f>
        <v/>
      </c>
      <c r="C1492" s="33"/>
      <c r="D1492" s="24"/>
      <c r="E1492" s="30" t="str">
        <f aca="false">IF($D1492="","",IFERROR(INDEX(合同单位,MATCH($D1492,合同键,0)),IFERROR(TRIM(LEFT($D1492,FIND("｜",$D1492)-1)),$D1492)))</f>
        <v/>
      </c>
      <c r="F1492" s="30" t="str">
        <f aca="false">IF($D1492="","",IFERROR(INDEX(合同项目,MATCH($D1492,合同键,0)),IFERROR(TRIM(MID($D1492,FIND("｜",$D1492)+1,99)),"")))</f>
        <v/>
      </c>
      <c r="G1492" s="24"/>
      <c r="H1492" s="35" t="str">
        <f aca="false">IF($G1492="","",IFERROR(INDEX(费用款别,MATCH($G1492,费用类别表,0)),"合同外款"))</f>
        <v/>
      </c>
      <c r="I1492" s="33"/>
      <c r="J1492" s="33"/>
      <c r="K1492" s="39"/>
      <c r="L1492" s="33"/>
      <c r="M1492" s="25"/>
      <c r="N1492" s="39"/>
      <c r="O1492" s="35" t="str">
        <f aca="false">IF($C1492="","",IF(N($N1492)&lt;=0,"未开票",IF(ROUND(N($N1492)-N($K1492),2)&gt;=0,"已开票",IFERROR("部分开票 "&amp;TEXT(N($N1492)/N($K1492),"0%"),"部分开票"))))</f>
        <v/>
      </c>
      <c r="P1492" s="40" t="str">
        <f aca="false">IF($C1492="","",ROUND($V1492+MIN($W1492,MAX(0,(SUMIF(收款键,$D1492,收款金额)-SUMIFS(收款金额,收款键,$D1492,收款关联,"&lt;&gt;"))-($X1492-$W1492))),2))</f>
        <v/>
      </c>
      <c r="Q1492" s="41" t="str">
        <f aca="false">IF($C1492="","",ROUND(N($K1492)-N($P1492),2))</f>
        <v/>
      </c>
      <c r="R1492" s="29" t="str">
        <f aca="false">IF($C1492="","",YEAR($C1492))</f>
        <v/>
      </c>
      <c r="S1492" s="24"/>
      <c r="T1492" s="35" t="str">
        <f aca="false">IF($C1492="","",IF($D1492="","★没选客户项目",IF(COUNTIF(合同键,$D1492)=0,"★《维保合同》里没这个项目",IF(N($K1492)&lt;=0,"★应收金额要填",IF(ROUND(N($N1492)-N($K1492),2)&gt;0.001,"★开票金额大于应收",IF(AND($L1492&lt;&gt;"",N($N1492)&lt;=0),"★填了开票日期没填开票金额",IF(AND($I1492&lt;&gt;"",$J1492&lt;&gt;"",$J1492&lt;$I1492),"★计费期间起止反了","OK")))))))</f>
        <v/>
      </c>
      <c r="U1492" s="29" t="str">
        <f aca="false">IF($L1492="","",YEAR($L1492))</f>
        <v/>
      </c>
      <c r="V1492" s="40" t="str">
        <f aca="false">IF($C1492="","",ROUND(SUMIF(收款关联,$B1492,收款金额),2))</f>
        <v/>
      </c>
      <c r="W1492" s="40" t="str">
        <f aca="false">IF($C1492="","",MAX(0,ROUND(N($K1492)-N($V1492),2)))</f>
        <v/>
      </c>
      <c r="X1492" s="40" t="str">
        <f aca="false">IF($C1492="","",ROUND(SUMIFS(应收净额,应收键,$D1492,应收行号,"&lt;="&amp;ROW()),2))</f>
        <v/>
      </c>
      <c r="Y1492" s="29" t="str">
        <f aca="false">IF($C1492="","",ROW())</f>
        <v/>
      </c>
    </row>
    <row r="1493" customFormat="false" ht="15" hidden="false" customHeight="false" outlineLevel="0" collapsed="false">
      <c r="A1493" s="29" t="str">
        <f aca="false">IF($C1493="","",ROW()-4)</f>
        <v/>
      </c>
      <c r="B1493" s="35" t="str">
        <f aca="false">IF($C1493="","","YS"&amp;TEXT($C1493,"yyyymm")&amp;"-"&amp;TEXT(ROW()-4,"0000"))</f>
        <v/>
      </c>
      <c r="C1493" s="33"/>
      <c r="D1493" s="24"/>
      <c r="E1493" s="30" t="str">
        <f aca="false">IF($D1493="","",IFERROR(INDEX(合同单位,MATCH($D1493,合同键,0)),IFERROR(TRIM(LEFT($D1493,FIND("｜",$D1493)-1)),$D1493)))</f>
        <v/>
      </c>
      <c r="F1493" s="30" t="str">
        <f aca="false">IF($D1493="","",IFERROR(INDEX(合同项目,MATCH($D1493,合同键,0)),IFERROR(TRIM(MID($D1493,FIND("｜",$D1493)+1,99)),"")))</f>
        <v/>
      </c>
      <c r="G1493" s="24"/>
      <c r="H1493" s="35" t="str">
        <f aca="false">IF($G1493="","",IFERROR(INDEX(费用款别,MATCH($G1493,费用类别表,0)),"合同外款"))</f>
        <v/>
      </c>
      <c r="I1493" s="33"/>
      <c r="J1493" s="33"/>
      <c r="K1493" s="39"/>
      <c r="L1493" s="33"/>
      <c r="M1493" s="25"/>
      <c r="N1493" s="39"/>
      <c r="O1493" s="35" t="str">
        <f aca="false">IF($C1493="","",IF(N($N1493)&lt;=0,"未开票",IF(ROUND(N($N1493)-N($K1493),2)&gt;=0,"已开票",IFERROR("部分开票 "&amp;TEXT(N($N1493)/N($K1493),"0%"),"部分开票"))))</f>
        <v/>
      </c>
      <c r="P1493" s="40" t="str">
        <f aca="false">IF($C1493="","",ROUND($V1493+MIN($W1493,MAX(0,(SUMIF(收款键,$D1493,收款金额)-SUMIFS(收款金额,收款键,$D1493,收款关联,"&lt;&gt;"))-($X1493-$W1493))),2))</f>
        <v/>
      </c>
      <c r="Q1493" s="41" t="str">
        <f aca="false">IF($C1493="","",ROUND(N($K1493)-N($P1493),2))</f>
        <v/>
      </c>
      <c r="R1493" s="29" t="str">
        <f aca="false">IF($C1493="","",YEAR($C1493))</f>
        <v/>
      </c>
      <c r="S1493" s="24"/>
      <c r="T1493" s="35" t="str">
        <f aca="false">IF($C1493="","",IF($D1493="","★没选客户项目",IF(COUNTIF(合同键,$D1493)=0,"★《维保合同》里没这个项目",IF(N($K1493)&lt;=0,"★应收金额要填",IF(ROUND(N($N1493)-N($K1493),2)&gt;0.001,"★开票金额大于应收",IF(AND($L1493&lt;&gt;"",N($N1493)&lt;=0),"★填了开票日期没填开票金额",IF(AND($I1493&lt;&gt;"",$J1493&lt;&gt;"",$J1493&lt;$I1493),"★计费期间起止反了","OK")))))))</f>
        <v/>
      </c>
      <c r="U1493" s="29" t="str">
        <f aca="false">IF($L1493="","",YEAR($L1493))</f>
        <v/>
      </c>
      <c r="V1493" s="40" t="str">
        <f aca="false">IF($C1493="","",ROUND(SUMIF(收款关联,$B1493,收款金额),2))</f>
        <v/>
      </c>
      <c r="W1493" s="40" t="str">
        <f aca="false">IF($C1493="","",MAX(0,ROUND(N($K1493)-N($V1493),2)))</f>
        <v/>
      </c>
      <c r="X1493" s="40" t="str">
        <f aca="false">IF($C1493="","",ROUND(SUMIFS(应收净额,应收键,$D1493,应收行号,"&lt;="&amp;ROW()),2))</f>
        <v/>
      </c>
      <c r="Y1493" s="29" t="str">
        <f aca="false">IF($C1493="","",ROW())</f>
        <v/>
      </c>
    </row>
    <row r="1494" customFormat="false" ht="15" hidden="false" customHeight="false" outlineLevel="0" collapsed="false">
      <c r="A1494" s="29" t="str">
        <f aca="false">IF($C1494="","",ROW()-4)</f>
        <v/>
      </c>
      <c r="B1494" s="35" t="str">
        <f aca="false">IF($C1494="","","YS"&amp;TEXT($C1494,"yyyymm")&amp;"-"&amp;TEXT(ROW()-4,"0000"))</f>
        <v/>
      </c>
      <c r="C1494" s="33"/>
      <c r="D1494" s="24"/>
      <c r="E1494" s="30" t="str">
        <f aca="false">IF($D1494="","",IFERROR(INDEX(合同单位,MATCH($D1494,合同键,0)),IFERROR(TRIM(LEFT($D1494,FIND("｜",$D1494)-1)),$D1494)))</f>
        <v/>
      </c>
      <c r="F1494" s="30" t="str">
        <f aca="false">IF($D1494="","",IFERROR(INDEX(合同项目,MATCH($D1494,合同键,0)),IFERROR(TRIM(MID($D1494,FIND("｜",$D1494)+1,99)),"")))</f>
        <v/>
      </c>
      <c r="G1494" s="24"/>
      <c r="H1494" s="35" t="str">
        <f aca="false">IF($G1494="","",IFERROR(INDEX(费用款别,MATCH($G1494,费用类别表,0)),"合同外款"))</f>
        <v/>
      </c>
      <c r="I1494" s="33"/>
      <c r="J1494" s="33"/>
      <c r="K1494" s="39"/>
      <c r="L1494" s="33"/>
      <c r="M1494" s="25"/>
      <c r="N1494" s="39"/>
      <c r="O1494" s="35" t="str">
        <f aca="false">IF($C1494="","",IF(N($N1494)&lt;=0,"未开票",IF(ROUND(N($N1494)-N($K1494),2)&gt;=0,"已开票",IFERROR("部分开票 "&amp;TEXT(N($N1494)/N($K1494),"0%"),"部分开票"))))</f>
        <v/>
      </c>
      <c r="P1494" s="40" t="str">
        <f aca="false">IF($C1494="","",ROUND($V1494+MIN($W1494,MAX(0,(SUMIF(收款键,$D1494,收款金额)-SUMIFS(收款金额,收款键,$D1494,收款关联,"&lt;&gt;"))-($X1494-$W1494))),2))</f>
        <v/>
      </c>
      <c r="Q1494" s="41" t="str">
        <f aca="false">IF($C1494="","",ROUND(N($K1494)-N($P1494),2))</f>
        <v/>
      </c>
      <c r="R1494" s="29" t="str">
        <f aca="false">IF($C1494="","",YEAR($C1494))</f>
        <v/>
      </c>
      <c r="S1494" s="24"/>
      <c r="T1494" s="35" t="str">
        <f aca="false">IF($C1494="","",IF($D1494="","★没选客户项目",IF(COUNTIF(合同键,$D1494)=0,"★《维保合同》里没这个项目",IF(N($K1494)&lt;=0,"★应收金额要填",IF(ROUND(N($N1494)-N($K1494),2)&gt;0.001,"★开票金额大于应收",IF(AND($L1494&lt;&gt;"",N($N1494)&lt;=0),"★填了开票日期没填开票金额",IF(AND($I1494&lt;&gt;"",$J1494&lt;&gt;"",$J1494&lt;$I1494),"★计费期间起止反了","OK")))))))</f>
        <v/>
      </c>
      <c r="U1494" s="29" t="str">
        <f aca="false">IF($L1494="","",YEAR($L1494))</f>
        <v/>
      </c>
      <c r="V1494" s="40" t="str">
        <f aca="false">IF($C1494="","",ROUND(SUMIF(收款关联,$B1494,收款金额),2))</f>
        <v/>
      </c>
      <c r="W1494" s="40" t="str">
        <f aca="false">IF($C1494="","",MAX(0,ROUND(N($K1494)-N($V1494),2)))</f>
        <v/>
      </c>
      <c r="X1494" s="40" t="str">
        <f aca="false">IF($C1494="","",ROUND(SUMIFS(应收净额,应收键,$D1494,应收行号,"&lt;="&amp;ROW()),2))</f>
        <v/>
      </c>
      <c r="Y1494" s="29" t="str">
        <f aca="false">IF($C1494="","",ROW())</f>
        <v/>
      </c>
    </row>
    <row r="1495" customFormat="false" ht="15" hidden="false" customHeight="false" outlineLevel="0" collapsed="false">
      <c r="A1495" s="29" t="str">
        <f aca="false">IF($C1495="","",ROW()-4)</f>
        <v/>
      </c>
      <c r="B1495" s="35" t="str">
        <f aca="false">IF($C1495="","","YS"&amp;TEXT($C1495,"yyyymm")&amp;"-"&amp;TEXT(ROW()-4,"0000"))</f>
        <v/>
      </c>
      <c r="C1495" s="33"/>
      <c r="D1495" s="24"/>
      <c r="E1495" s="30" t="str">
        <f aca="false">IF($D1495="","",IFERROR(INDEX(合同单位,MATCH($D1495,合同键,0)),IFERROR(TRIM(LEFT($D1495,FIND("｜",$D1495)-1)),$D1495)))</f>
        <v/>
      </c>
      <c r="F1495" s="30" t="str">
        <f aca="false">IF($D1495="","",IFERROR(INDEX(合同项目,MATCH($D1495,合同键,0)),IFERROR(TRIM(MID($D1495,FIND("｜",$D1495)+1,99)),"")))</f>
        <v/>
      </c>
      <c r="G1495" s="24"/>
      <c r="H1495" s="35" t="str">
        <f aca="false">IF($G1495="","",IFERROR(INDEX(费用款别,MATCH($G1495,费用类别表,0)),"合同外款"))</f>
        <v/>
      </c>
      <c r="I1495" s="33"/>
      <c r="J1495" s="33"/>
      <c r="K1495" s="39"/>
      <c r="L1495" s="33"/>
      <c r="M1495" s="25"/>
      <c r="N1495" s="39"/>
      <c r="O1495" s="35" t="str">
        <f aca="false">IF($C1495="","",IF(N($N1495)&lt;=0,"未开票",IF(ROUND(N($N1495)-N($K1495),2)&gt;=0,"已开票",IFERROR("部分开票 "&amp;TEXT(N($N1495)/N($K1495),"0%"),"部分开票"))))</f>
        <v/>
      </c>
      <c r="P1495" s="40" t="str">
        <f aca="false">IF($C1495="","",ROUND($V1495+MIN($W1495,MAX(0,(SUMIF(收款键,$D1495,收款金额)-SUMIFS(收款金额,收款键,$D1495,收款关联,"&lt;&gt;"))-($X1495-$W1495))),2))</f>
        <v/>
      </c>
      <c r="Q1495" s="41" t="str">
        <f aca="false">IF($C1495="","",ROUND(N($K1495)-N($P1495),2))</f>
        <v/>
      </c>
      <c r="R1495" s="29" t="str">
        <f aca="false">IF($C1495="","",YEAR($C1495))</f>
        <v/>
      </c>
      <c r="S1495" s="24"/>
      <c r="T1495" s="35" t="str">
        <f aca="false">IF($C1495="","",IF($D1495="","★没选客户项目",IF(COUNTIF(合同键,$D1495)=0,"★《维保合同》里没这个项目",IF(N($K1495)&lt;=0,"★应收金额要填",IF(ROUND(N($N1495)-N($K1495),2)&gt;0.001,"★开票金额大于应收",IF(AND($L1495&lt;&gt;"",N($N1495)&lt;=0),"★填了开票日期没填开票金额",IF(AND($I1495&lt;&gt;"",$J1495&lt;&gt;"",$J1495&lt;$I1495),"★计费期间起止反了","OK")))))))</f>
        <v/>
      </c>
      <c r="U1495" s="29" t="str">
        <f aca="false">IF($L1495="","",YEAR($L1495))</f>
        <v/>
      </c>
      <c r="V1495" s="40" t="str">
        <f aca="false">IF($C1495="","",ROUND(SUMIF(收款关联,$B1495,收款金额),2))</f>
        <v/>
      </c>
      <c r="W1495" s="40" t="str">
        <f aca="false">IF($C1495="","",MAX(0,ROUND(N($K1495)-N($V1495),2)))</f>
        <v/>
      </c>
      <c r="X1495" s="40" t="str">
        <f aca="false">IF($C1495="","",ROUND(SUMIFS(应收净额,应收键,$D1495,应收行号,"&lt;="&amp;ROW()),2))</f>
        <v/>
      </c>
      <c r="Y1495" s="29" t="str">
        <f aca="false">IF($C1495="","",ROW())</f>
        <v/>
      </c>
    </row>
    <row r="1496" customFormat="false" ht="15" hidden="false" customHeight="false" outlineLevel="0" collapsed="false">
      <c r="A1496" s="29" t="str">
        <f aca="false">IF($C1496="","",ROW()-4)</f>
        <v/>
      </c>
      <c r="B1496" s="35" t="str">
        <f aca="false">IF($C1496="","","YS"&amp;TEXT($C1496,"yyyymm")&amp;"-"&amp;TEXT(ROW()-4,"0000"))</f>
        <v/>
      </c>
      <c r="C1496" s="33"/>
      <c r="D1496" s="24"/>
      <c r="E1496" s="30" t="str">
        <f aca="false">IF($D1496="","",IFERROR(INDEX(合同单位,MATCH($D1496,合同键,0)),IFERROR(TRIM(LEFT($D1496,FIND("｜",$D1496)-1)),$D1496)))</f>
        <v/>
      </c>
      <c r="F1496" s="30" t="str">
        <f aca="false">IF($D1496="","",IFERROR(INDEX(合同项目,MATCH($D1496,合同键,0)),IFERROR(TRIM(MID($D1496,FIND("｜",$D1496)+1,99)),"")))</f>
        <v/>
      </c>
      <c r="G1496" s="24"/>
      <c r="H1496" s="35" t="str">
        <f aca="false">IF($G1496="","",IFERROR(INDEX(费用款别,MATCH($G1496,费用类别表,0)),"合同外款"))</f>
        <v/>
      </c>
      <c r="I1496" s="33"/>
      <c r="J1496" s="33"/>
      <c r="K1496" s="39"/>
      <c r="L1496" s="33"/>
      <c r="M1496" s="25"/>
      <c r="N1496" s="39"/>
      <c r="O1496" s="35" t="str">
        <f aca="false">IF($C1496="","",IF(N($N1496)&lt;=0,"未开票",IF(ROUND(N($N1496)-N($K1496),2)&gt;=0,"已开票",IFERROR("部分开票 "&amp;TEXT(N($N1496)/N($K1496),"0%"),"部分开票"))))</f>
        <v/>
      </c>
      <c r="P1496" s="40" t="str">
        <f aca="false">IF($C1496="","",ROUND($V1496+MIN($W1496,MAX(0,(SUMIF(收款键,$D1496,收款金额)-SUMIFS(收款金额,收款键,$D1496,收款关联,"&lt;&gt;"))-($X1496-$W1496))),2))</f>
        <v/>
      </c>
      <c r="Q1496" s="41" t="str">
        <f aca="false">IF($C1496="","",ROUND(N($K1496)-N($P1496),2))</f>
        <v/>
      </c>
      <c r="R1496" s="29" t="str">
        <f aca="false">IF($C1496="","",YEAR($C1496))</f>
        <v/>
      </c>
      <c r="S1496" s="24"/>
      <c r="T1496" s="35" t="str">
        <f aca="false">IF($C1496="","",IF($D1496="","★没选客户项目",IF(COUNTIF(合同键,$D1496)=0,"★《维保合同》里没这个项目",IF(N($K1496)&lt;=0,"★应收金额要填",IF(ROUND(N($N1496)-N($K1496),2)&gt;0.001,"★开票金额大于应收",IF(AND($L1496&lt;&gt;"",N($N1496)&lt;=0),"★填了开票日期没填开票金额",IF(AND($I1496&lt;&gt;"",$J1496&lt;&gt;"",$J1496&lt;$I1496),"★计费期间起止反了","OK")))))))</f>
        <v/>
      </c>
      <c r="U1496" s="29" t="str">
        <f aca="false">IF($L1496="","",YEAR($L1496))</f>
        <v/>
      </c>
      <c r="V1496" s="40" t="str">
        <f aca="false">IF($C1496="","",ROUND(SUMIF(收款关联,$B1496,收款金额),2))</f>
        <v/>
      </c>
      <c r="W1496" s="40" t="str">
        <f aca="false">IF($C1496="","",MAX(0,ROUND(N($K1496)-N($V1496),2)))</f>
        <v/>
      </c>
      <c r="X1496" s="40" t="str">
        <f aca="false">IF($C1496="","",ROUND(SUMIFS(应收净额,应收键,$D1496,应收行号,"&lt;="&amp;ROW()),2))</f>
        <v/>
      </c>
      <c r="Y1496" s="29" t="str">
        <f aca="false">IF($C1496="","",ROW())</f>
        <v/>
      </c>
    </row>
    <row r="1497" customFormat="false" ht="15" hidden="false" customHeight="false" outlineLevel="0" collapsed="false">
      <c r="A1497" s="29" t="str">
        <f aca="false">IF($C1497="","",ROW()-4)</f>
        <v/>
      </c>
      <c r="B1497" s="35" t="str">
        <f aca="false">IF($C1497="","","YS"&amp;TEXT($C1497,"yyyymm")&amp;"-"&amp;TEXT(ROW()-4,"0000"))</f>
        <v/>
      </c>
      <c r="C1497" s="33"/>
      <c r="D1497" s="24"/>
      <c r="E1497" s="30" t="str">
        <f aca="false">IF($D1497="","",IFERROR(INDEX(合同单位,MATCH($D1497,合同键,0)),IFERROR(TRIM(LEFT($D1497,FIND("｜",$D1497)-1)),$D1497)))</f>
        <v/>
      </c>
      <c r="F1497" s="30" t="str">
        <f aca="false">IF($D1497="","",IFERROR(INDEX(合同项目,MATCH($D1497,合同键,0)),IFERROR(TRIM(MID($D1497,FIND("｜",$D1497)+1,99)),"")))</f>
        <v/>
      </c>
      <c r="G1497" s="24"/>
      <c r="H1497" s="35" t="str">
        <f aca="false">IF($G1497="","",IFERROR(INDEX(费用款别,MATCH($G1497,费用类别表,0)),"合同外款"))</f>
        <v/>
      </c>
      <c r="I1497" s="33"/>
      <c r="J1497" s="33"/>
      <c r="K1497" s="39"/>
      <c r="L1497" s="33"/>
      <c r="M1497" s="25"/>
      <c r="N1497" s="39"/>
      <c r="O1497" s="35" t="str">
        <f aca="false">IF($C1497="","",IF(N($N1497)&lt;=0,"未开票",IF(ROUND(N($N1497)-N($K1497),2)&gt;=0,"已开票",IFERROR("部分开票 "&amp;TEXT(N($N1497)/N($K1497),"0%"),"部分开票"))))</f>
        <v/>
      </c>
      <c r="P1497" s="40" t="str">
        <f aca="false">IF($C1497="","",ROUND($V1497+MIN($W1497,MAX(0,(SUMIF(收款键,$D1497,收款金额)-SUMIFS(收款金额,收款键,$D1497,收款关联,"&lt;&gt;"))-($X1497-$W1497))),2))</f>
        <v/>
      </c>
      <c r="Q1497" s="41" t="str">
        <f aca="false">IF($C1497="","",ROUND(N($K1497)-N($P1497),2))</f>
        <v/>
      </c>
      <c r="R1497" s="29" t="str">
        <f aca="false">IF($C1497="","",YEAR($C1497))</f>
        <v/>
      </c>
      <c r="S1497" s="24"/>
      <c r="T1497" s="35" t="str">
        <f aca="false">IF($C1497="","",IF($D1497="","★没选客户项目",IF(COUNTIF(合同键,$D1497)=0,"★《维保合同》里没这个项目",IF(N($K1497)&lt;=0,"★应收金额要填",IF(ROUND(N($N1497)-N($K1497),2)&gt;0.001,"★开票金额大于应收",IF(AND($L1497&lt;&gt;"",N($N1497)&lt;=0),"★填了开票日期没填开票金额",IF(AND($I1497&lt;&gt;"",$J1497&lt;&gt;"",$J1497&lt;$I1497),"★计费期间起止反了","OK")))))))</f>
        <v/>
      </c>
      <c r="U1497" s="29" t="str">
        <f aca="false">IF($L1497="","",YEAR($L1497))</f>
        <v/>
      </c>
      <c r="V1497" s="40" t="str">
        <f aca="false">IF($C1497="","",ROUND(SUMIF(收款关联,$B1497,收款金额),2))</f>
        <v/>
      </c>
      <c r="W1497" s="40" t="str">
        <f aca="false">IF($C1497="","",MAX(0,ROUND(N($K1497)-N($V1497),2)))</f>
        <v/>
      </c>
      <c r="X1497" s="40" t="str">
        <f aca="false">IF($C1497="","",ROUND(SUMIFS(应收净额,应收键,$D1497,应收行号,"&lt;="&amp;ROW()),2))</f>
        <v/>
      </c>
      <c r="Y1497" s="29" t="str">
        <f aca="false">IF($C1497="","",ROW())</f>
        <v/>
      </c>
    </row>
    <row r="1498" customFormat="false" ht="15" hidden="false" customHeight="false" outlineLevel="0" collapsed="false">
      <c r="A1498" s="29" t="str">
        <f aca="false">IF($C1498="","",ROW()-4)</f>
        <v/>
      </c>
      <c r="B1498" s="35" t="str">
        <f aca="false">IF($C1498="","","YS"&amp;TEXT($C1498,"yyyymm")&amp;"-"&amp;TEXT(ROW()-4,"0000"))</f>
        <v/>
      </c>
      <c r="C1498" s="33"/>
      <c r="D1498" s="24"/>
      <c r="E1498" s="30" t="str">
        <f aca="false">IF($D1498="","",IFERROR(INDEX(合同单位,MATCH($D1498,合同键,0)),IFERROR(TRIM(LEFT($D1498,FIND("｜",$D1498)-1)),$D1498)))</f>
        <v/>
      </c>
      <c r="F1498" s="30" t="str">
        <f aca="false">IF($D1498="","",IFERROR(INDEX(合同项目,MATCH($D1498,合同键,0)),IFERROR(TRIM(MID($D1498,FIND("｜",$D1498)+1,99)),"")))</f>
        <v/>
      </c>
      <c r="G1498" s="24"/>
      <c r="H1498" s="35" t="str">
        <f aca="false">IF($G1498="","",IFERROR(INDEX(费用款别,MATCH($G1498,费用类别表,0)),"合同外款"))</f>
        <v/>
      </c>
      <c r="I1498" s="33"/>
      <c r="J1498" s="33"/>
      <c r="K1498" s="39"/>
      <c r="L1498" s="33"/>
      <c r="M1498" s="25"/>
      <c r="N1498" s="39"/>
      <c r="O1498" s="35" t="str">
        <f aca="false">IF($C1498="","",IF(N($N1498)&lt;=0,"未开票",IF(ROUND(N($N1498)-N($K1498),2)&gt;=0,"已开票",IFERROR("部分开票 "&amp;TEXT(N($N1498)/N($K1498),"0%"),"部分开票"))))</f>
        <v/>
      </c>
      <c r="P1498" s="40" t="str">
        <f aca="false">IF($C1498="","",ROUND($V1498+MIN($W1498,MAX(0,(SUMIF(收款键,$D1498,收款金额)-SUMIFS(收款金额,收款键,$D1498,收款关联,"&lt;&gt;"))-($X1498-$W1498))),2))</f>
        <v/>
      </c>
      <c r="Q1498" s="41" t="str">
        <f aca="false">IF($C1498="","",ROUND(N($K1498)-N($P1498),2))</f>
        <v/>
      </c>
      <c r="R1498" s="29" t="str">
        <f aca="false">IF($C1498="","",YEAR($C1498))</f>
        <v/>
      </c>
      <c r="S1498" s="24"/>
      <c r="T1498" s="35" t="str">
        <f aca="false">IF($C1498="","",IF($D1498="","★没选客户项目",IF(COUNTIF(合同键,$D1498)=0,"★《维保合同》里没这个项目",IF(N($K1498)&lt;=0,"★应收金额要填",IF(ROUND(N($N1498)-N($K1498),2)&gt;0.001,"★开票金额大于应收",IF(AND($L1498&lt;&gt;"",N($N1498)&lt;=0),"★填了开票日期没填开票金额",IF(AND($I1498&lt;&gt;"",$J1498&lt;&gt;"",$J1498&lt;$I1498),"★计费期间起止反了","OK")))))))</f>
        <v/>
      </c>
      <c r="U1498" s="29" t="str">
        <f aca="false">IF($L1498="","",YEAR($L1498))</f>
        <v/>
      </c>
      <c r="V1498" s="40" t="str">
        <f aca="false">IF($C1498="","",ROUND(SUMIF(收款关联,$B1498,收款金额),2))</f>
        <v/>
      </c>
      <c r="W1498" s="40" t="str">
        <f aca="false">IF($C1498="","",MAX(0,ROUND(N($K1498)-N($V1498),2)))</f>
        <v/>
      </c>
      <c r="X1498" s="40" t="str">
        <f aca="false">IF($C1498="","",ROUND(SUMIFS(应收净额,应收键,$D1498,应收行号,"&lt;="&amp;ROW()),2))</f>
        <v/>
      </c>
      <c r="Y1498" s="29" t="str">
        <f aca="false">IF($C1498="","",ROW())</f>
        <v/>
      </c>
    </row>
    <row r="1499" customFormat="false" ht="15" hidden="false" customHeight="false" outlineLevel="0" collapsed="false">
      <c r="A1499" s="29" t="str">
        <f aca="false">IF($C1499="","",ROW()-4)</f>
        <v/>
      </c>
      <c r="B1499" s="35" t="str">
        <f aca="false">IF($C1499="","","YS"&amp;TEXT($C1499,"yyyymm")&amp;"-"&amp;TEXT(ROW()-4,"0000"))</f>
        <v/>
      </c>
      <c r="C1499" s="33"/>
      <c r="D1499" s="24"/>
      <c r="E1499" s="30" t="str">
        <f aca="false">IF($D1499="","",IFERROR(INDEX(合同单位,MATCH($D1499,合同键,0)),IFERROR(TRIM(LEFT($D1499,FIND("｜",$D1499)-1)),$D1499)))</f>
        <v/>
      </c>
      <c r="F1499" s="30" t="str">
        <f aca="false">IF($D1499="","",IFERROR(INDEX(合同项目,MATCH($D1499,合同键,0)),IFERROR(TRIM(MID($D1499,FIND("｜",$D1499)+1,99)),"")))</f>
        <v/>
      </c>
      <c r="G1499" s="24"/>
      <c r="H1499" s="35" t="str">
        <f aca="false">IF($G1499="","",IFERROR(INDEX(费用款别,MATCH($G1499,费用类别表,0)),"合同外款"))</f>
        <v/>
      </c>
      <c r="I1499" s="33"/>
      <c r="J1499" s="33"/>
      <c r="K1499" s="39"/>
      <c r="L1499" s="33"/>
      <c r="M1499" s="25"/>
      <c r="N1499" s="39"/>
      <c r="O1499" s="35" t="str">
        <f aca="false">IF($C1499="","",IF(N($N1499)&lt;=0,"未开票",IF(ROUND(N($N1499)-N($K1499),2)&gt;=0,"已开票",IFERROR("部分开票 "&amp;TEXT(N($N1499)/N($K1499),"0%"),"部分开票"))))</f>
        <v/>
      </c>
      <c r="P1499" s="40" t="str">
        <f aca="false">IF($C1499="","",ROUND($V1499+MIN($W1499,MAX(0,(SUMIF(收款键,$D1499,收款金额)-SUMIFS(收款金额,收款键,$D1499,收款关联,"&lt;&gt;"))-($X1499-$W1499))),2))</f>
        <v/>
      </c>
      <c r="Q1499" s="41" t="str">
        <f aca="false">IF($C1499="","",ROUND(N($K1499)-N($P1499),2))</f>
        <v/>
      </c>
      <c r="R1499" s="29" t="str">
        <f aca="false">IF($C1499="","",YEAR($C1499))</f>
        <v/>
      </c>
      <c r="S1499" s="24"/>
      <c r="T1499" s="35" t="str">
        <f aca="false">IF($C1499="","",IF($D1499="","★没选客户项目",IF(COUNTIF(合同键,$D1499)=0,"★《维保合同》里没这个项目",IF(N($K1499)&lt;=0,"★应收金额要填",IF(ROUND(N($N1499)-N($K1499),2)&gt;0.001,"★开票金额大于应收",IF(AND($L1499&lt;&gt;"",N($N1499)&lt;=0),"★填了开票日期没填开票金额",IF(AND($I1499&lt;&gt;"",$J1499&lt;&gt;"",$J1499&lt;$I1499),"★计费期间起止反了","OK")))))))</f>
        <v/>
      </c>
      <c r="U1499" s="29" t="str">
        <f aca="false">IF($L1499="","",YEAR($L1499))</f>
        <v/>
      </c>
      <c r="V1499" s="40" t="str">
        <f aca="false">IF($C1499="","",ROUND(SUMIF(收款关联,$B1499,收款金额),2))</f>
        <v/>
      </c>
      <c r="W1499" s="40" t="str">
        <f aca="false">IF($C1499="","",MAX(0,ROUND(N($K1499)-N($V1499),2)))</f>
        <v/>
      </c>
      <c r="X1499" s="40" t="str">
        <f aca="false">IF($C1499="","",ROUND(SUMIFS(应收净额,应收键,$D1499,应收行号,"&lt;="&amp;ROW()),2))</f>
        <v/>
      </c>
      <c r="Y1499" s="29" t="str">
        <f aca="false">IF($C1499="","",ROW())</f>
        <v/>
      </c>
    </row>
    <row r="1500" customFormat="false" ht="15" hidden="false" customHeight="false" outlineLevel="0" collapsed="false">
      <c r="A1500" s="29" t="str">
        <f aca="false">IF($C1500="","",ROW()-4)</f>
        <v/>
      </c>
      <c r="B1500" s="35" t="str">
        <f aca="false">IF($C1500="","","YS"&amp;TEXT($C1500,"yyyymm")&amp;"-"&amp;TEXT(ROW()-4,"0000"))</f>
        <v/>
      </c>
      <c r="C1500" s="33"/>
      <c r="D1500" s="24"/>
      <c r="E1500" s="30" t="str">
        <f aca="false">IF($D1500="","",IFERROR(INDEX(合同单位,MATCH($D1500,合同键,0)),IFERROR(TRIM(LEFT($D1500,FIND("｜",$D1500)-1)),$D1500)))</f>
        <v/>
      </c>
      <c r="F1500" s="30" t="str">
        <f aca="false">IF($D1500="","",IFERROR(INDEX(合同项目,MATCH($D1500,合同键,0)),IFERROR(TRIM(MID($D1500,FIND("｜",$D1500)+1,99)),"")))</f>
        <v/>
      </c>
      <c r="G1500" s="24"/>
      <c r="H1500" s="35" t="str">
        <f aca="false">IF($G1500="","",IFERROR(INDEX(费用款别,MATCH($G1500,费用类别表,0)),"合同外款"))</f>
        <v/>
      </c>
      <c r="I1500" s="33"/>
      <c r="J1500" s="33"/>
      <c r="K1500" s="39"/>
      <c r="L1500" s="33"/>
      <c r="M1500" s="25"/>
      <c r="N1500" s="39"/>
      <c r="O1500" s="35" t="str">
        <f aca="false">IF($C1500="","",IF(N($N1500)&lt;=0,"未开票",IF(ROUND(N($N1500)-N($K1500),2)&gt;=0,"已开票",IFERROR("部分开票 "&amp;TEXT(N($N1500)/N($K1500),"0%"),"部分开票"))))</f>
        <v/>
      </c>
      <c r="P1500" s="40" t="str">
        <f aca="false">IF($C1500="","",ROUND($V1500+MIN($W1500,MAX(0,(SUMIF(收款键,$D1500,收款金额)-SUMIFS(收款金额,收款键,$D1500,收款关联,"&lt;&gt;"))-($X1500-$W1500))),2))</f>
        <v/>
      </c>
      <c r="Q1500" s="41" t="str">
        <f aca="false">IF($C1500="","",ROUND(N($K1500)-N($P1500),2))</f>
        <v/>
      </c>
      <c r="R1500" s="29" t="str">
        <f aca="false">IF($C1500="","",YEAR($C1500))</f>
        <v/>
      </c>
      <c r="S1500" s="24"/>
      <c r="T1500" s="35" t="str">
        <f aca="false">IF($C1500="","",IF($D1500="","★没选客户项目",IF(COUNTIF(合同键,$D1500)=0,"★《维保合同》里没这个项目",IF(N($K1500)&lt;=0,"★应收金额要填",IF(ROUND(N($N1500)-N($K1500),2)&gt;0.001,"★开票金额大于应收",IF(AND($L1500&lt;&gt;"",N($N1500)&lt;=0),"★填了开票日期没填开票金额",IF(AND($I1500&lt;&gt;"",$J1500&lt;&gt;"",$J1500&lt;$I1500),"★计费期间起止反了","OK")))))))</f>
        <v/>
      </c>
      <c r="U1500" s="29" t="str">
        <f aca="false">IF($L1500="","",YEAR($L1500))</f>
        <v/>
      </c>
      <c r="V1500" s="40" t="str">
        <f aca="false">IF($C1500="","",ROUND(SUMIF(收款关联,$B1500,收款金额),2))</f>
        <v/>
      </c>
      <c r="W1500" s="40" t="str">
        <f aca="false">IF($C1500="","",MAX(0,ROUND(N($K1500)-N($V1500),2)))</f>
        <v/>
      </c>
      <c r="X1500" s="40" t="str">
        <f aca="false">IF($C1500="","",ROUND(SUMIFS(应收净额,应收键,$D1500,应收行号,"&lt;="&amp;ROW()),2))</f>
        <v/>
      </c>
      <c r="Y1500" s="29" t="str">
        <f aca="false">IF($C1500="","",ROW())</f>
        <v/>
      </c>
    </row>
    <row r="1501" customFormat="false" ht="15" hidden="false" customHeight="false" outlineLevel="0" collapsed="false">
      <c r="A1501" s="29" t="str">
        <f aca="false">IF($C1501="","",ROW()-4)</f>
        <v/>
      </c>
      <c r="B1501" s="35" t="str">
        <f aca="false">IF($C1501="","","YS"&amp;TEXT($C1501,"yyyymm")&amp;"-"&amp;TEXT(ROW()-4,"0000"))</f>
        <v/>
      </c>
      <c r="C1501" s="33"/>
      <c r="D1501" s="24"/>
      <c r="E1501" s="30" t="str">
        <f aca="false">IF($D1501="","",IFERROR(INDEX(合同单位,MATCH($D1501,合同键,0)),IFERROR(TRIM(LEFT($D1501,FIND("｜",$D1501)-1)),$D1501)))</f>
        <v/>
      </c>
      <c r="F1501" s="30" t="str">
        <f aca="false">IF($D1501="","",IFERROR(INDEX(合同项目,MATCH($D1501,合同键,0)),IFERROR(TRIM(MID($D1501,FIND("｜",$D1501)+1,99)),"")))</f>
        <v/>
      </c>
      <c r="G1501" s="24"/>
      <c r="H1501" s="35" t="str">
        <f aca="false">IF($G1501="","",IFERROR(INDEX(费用款别,MATCH($G1501,费用类别表,0)),"合同外款"))</f>
        <v/>
      </c>
      <c r="I1501" s="33"/>
      <c r="J1501" s="33"/>
      <c r="K1501" s="39"/>
      <c r="L1501" s="33"/>
      <c r="M1501" s="25"/>
      <c r="N1501" s="39"/>
      <c r="O1501" s="35" t="str">
        <f aca="false">IF($C1501="","",IF(N($N1501)&lt;=0,"未开票",IF(ROUND(N($N1501)-N($K1501),2)&gt;=0,"已开票",IFERROR("部分开票 "&amp;TEXT(N($N1501)/N($K1501),"0%"),"部分开票"))))</f>
        <v/>
      </c>
      <c r="P1501" s="40" t="str">
        <f aca="false">IF($C1501="","",ROUND($V1501+MIN($W1501,MAX(0,(SUMIF(收款键,$D1501,收款金额)-SUMIFS(收款金额,收款键,$D1501,收款关联,"&lt;&gt;"))-($X1501-$W1501))),2))</f>
        <v/>
      </c>
      <c r="Q1501" s="41" t="str">
        <f aca="false">IF($C1501="","",ROUND(N($K1501)-N($P1501),2))</f>
        <v/>
      </c>
      <c r="R1501" s="29" t="str">
        <f aca="false">IF($C1501="","",YEAR($C1501))</f>
        <v/>
      </c>
      <c r="S1501" s="24"/>
      <c r="T1501" s="35" t="str">
        <f aca="false">IF($C1501="","",IF($D1501="","★没选客户项目",IF(COUNTIF(合同键,$D1501)=0,"★《维保合同》里没这个项目",IF(N($K1501)&lt;=0,"★应收金额要填",IF(ROUND(N($N1501)-N($K1501),2)&gt;0.001,"★开票金额大于应收",IF(AND($L1501&lt;&gt;"",N($N1501)&lt;=0),"★填了开票日期没填开票金额",IF(AND($I1501&lt;&gt;"",$J1501&lt;&gt;"",$J1501&lt;$I1501),"★计费期间起止反了","OK")))))))</f>
        <v/>
      </c>
      <c r="U1501" s="29" t="str">
        <f aca="false">IF($L1501="","",YEAR($L1501))</f>
        <v/>
      </c>
      <c r="V1501" s="40" t="str">
        <f aca="false">IF($C1501="","",ROUND(SUMIF(收款关联,$B1501,收款金额),2))</f>
        <v/>
      </c>
      <c r="W1501" s="40" t="str">
        <f aca="false">IF($C1501="","",MAX(0,ROUND(N($K1501)-N($V1501),2)))</f>
        <v/>
      </c>
      <c r="X1501" s="40" t="str">
        <f aca="false">IF($C1501="","",ROUND(SUMIFS(应收净额,应收键,$D1501,应收行号,"&lt;="&amp;ROW()),2))</f>
        <v/>
      </c>
      <c r="Y1501" s="29" t="str">
        <f aca="false">IF($C1501="","",ROW())</f>
        <v/>
      </c>
    </row>
    <row r="1502" customFormat="false" ht="15" hidden="false" customHeight="false" outlineLevel="0" collapsed="false">
      <c r="A1502" s="29" t="str">
        <f aca="false">IF($C1502="","",ROW()-4)</f>
        <v/>
      </c>
      <c r="B1502" s="35" t="str">
        <f aca="false">IF($C1502="","","YS"&amp;TEXT($C1502,"yyyymm")&amp;"-"&amp;TEXT(ROW()-4,"0000"))</f>
        <v/>
      </c>
      <c r="C1502" s="33"/>
      <c r="D1502" s="24"/>
      <c r="E1502" s="30" t="str">
        <f aca="false">IF($D1502="","",IFERROR(INDEX(合同单位,MATCH($D1502,合同键,0)),IFERROR(TRIM(LEFT($D1502,FIND("｜",$D1502)-1)),$D1502)))</f>
        <v/>
      </c>
      <c r="F1502" s="30" t="str">
        <f aca="false">IF($D1502="","",IFERROR(INDEX(合同项目,MATCH($D1502,合同键,0)),IFERROR(TRIM(MID($D1502,FIND("｜",$D1502)+1,99)),"")))</f>
        <v/>
      </c>
      <c r="G1502" s="24"/>
      <c r="H1502" s="35" t="str">
        <f aca="false">IF($G1502="","",IFERROR(INDEX(费用款别,MATCH($G1502,费用类别表,0)),"合同外款"))</f>
        <v/>
      </c>
      <c r="I1502" s="33"/>
      <c r="J1502" s="33"/>
      <c r="K1502" s="39"/>
      <c r="L1502" s="33"/>
      <c r="M1502" s="25"/>
      <c r="N1502" s="39"/>
      <c r="O1502" s="35" t="str">
        <f aca="false">IF($C1502="","",IF(N($N1502)&lt;=0,"未开票",IF(ROUND(N($N1502)-N($K1502),2)&gt;=0,"已开票",IFERROR("部分开票 "&amp;TEXT(N($N1502)/N($K1502),"0%"),"部分开票"))))</f>
        <v/>
      </c>
      <c r="P1502" s="40" t="str">
        <f aca="false">IF($C1502="","",ROUND($V1502+MIN($W1502,MAX(0,(SUMIF(收款键,$D1502,收款金额)-SUMIFS(收款金额,收款键,$D1502,收款关联,"&lt;&gt;"))-($X1502-$W1502))),2))</f>
        <v/>
      </c>
      <c r="Q1502" s="41" t="str">
        <f aca="false">IF($C1502="","",ROUND(N($K1502)-N($P1502),2))</f>
        <v/>
      </c>
      <c r="R1502" s="29" t="str">
        <f aca="false">IF($C1502="","",YEAR($C1502))</f>
        <v/>
      </c>
      <c r="S1502" s="24"/>
      <c r="T1502" s="35" t="str">
        <f aca="false">IF($C1502="","",IF($D1502="","★没选客户项目",IF(COUNTIF(合同键,$D1502)=0,"★《维保合同》里没这个项目",IF(N($K1502)&lt;=0,"★应收金额要填",IF(ROUND(N($N1502)-N($K1502),2)&gt;0.001,"★开票金额大于应收",IF(AND($L1502&lt;&gt;"",N($N1502)&lt;=0),"★填了开票日期没填开票金额",IF(AND($I1502&lt;&gt;"",$J1502&lt;&gt;"",$J1502&lt;$I1502),"★计费期间起止反了","OK")))))))</f>
        <v/>
      </c>
      <c r="U1502" s="29" t="str">
        <f aca="false">IF($L1502="","",YEAR($L1502))</f>
        <v/>
      </c>
      <c r="V1502" s="40" t="str">
        <f aca="false">IF($C1502="","",ROUND(SUMIF(收款关联,$B1502,收款金额),2))</f>
        <v/>
      </c>
      <c r="W1502" s="40" t="str">
        <f aca="false">IF($C1502="","",MAX(0,ROUND(N($K1502)-N($V1502),2)))</f>
        <v/>
      </c>
      <c r="X1502" s="40" t="str">
        <f aca="false">IF($C1502="","",ROUND(SUMIFS(应收净额,应收键,$D1502,应收行号,"&lt;="&amp;ROW()),2))</f>
        <v/>
      </c>
      <c r="Y1502" s="29" t="str">
        <f aca="false">IF($C1502="","",ROW())</f>
        <v/>
      </c>
    </row>
    <row r="1503" customFormat="false" ht="15" hidden="false" customHeight="false" outlineLevel="0" collapsed="false">
      <c r="A1503" s="29" t="str">
        <f aca="false">IF($C1503="","",ROW()-4)</f>
        <v/>
      </c>
      <c r="B1503" s="35" t="str">
        <f aca="false">IF($C1503="","","YS"&amp;TEXT($C1503,"yyyymm")&amp;"-"&amp;TEXT(ROW()-4,"0000"))</f>
        <v/>
      </c>
      <c r="C1503" s="33"/>
      <c r="D1503" s="24"/>
      <c r="E1503" s="30" t="str">
        <f aca="false">IF($D1503="","",IFERROR(INDEX(合同单位,MATCH($D1503,合同键,0)),IFERROR(TRIM(LEFT($D1503,FIND("｜",$D1503)-1)),$D1503)))</f>
        <v/>
      </c>
      <c r="F1503" s="30" t="str">
        <f aca="false">IF($D1503="","",IFERROR(INDEX(合同项目,MATCH($D1503,合同键,0)),IFERROR(TRIM(MID($D1503,FIND("｜",$D1503)+1,99)),"")))</f>
        <v/>
      </c>
      <c r="G1503" s="24"/>
      <c r="H1503" s="35" t="str">
        <f aca="false">IF($G1503="","",IFERROR(INDEX(费用款别,MATCH($G1503,费用类别表,0)),"合同外款"))</f>
        <v/>
      </c>
      <c r="I1503" s="33"/>
      <c r="J1503" s="33"/>
      <c r="K1503" s="39"/>
      <c r="L1503" s="33"/>
      <c r="M1503" s="25"/>
      <c r="N1503" s="39"/>
      <c r="O1503" s="35" t="str">
        <f aca="false">IF($C1503="","",IF(N($N1503)&lt;=0,"未开票",IF(ROUND(N($N1503)-N($K1503),2)&gt;=0,"已开票",IFERROR("部分开票 "&amp;TEXT(N($N1503)/N($K1503),"0%"),"部分开票"))))</f>
        <v/>
      </c>
      <c r="P1503" s="40" t="str">
        <f aca="false">IF($C1503="","",ROUND($V1503+MIN($W1503,MAX(0,(SUMIF(收款键,$D1503,收款金额)-SUMIFS(收款金额,收款键,$D1503,收款关联,"&lt;&gt;"))-($X1503-$W1503))),2))</f>
        <v/>
      </c>
      <c r="Q1503" s="41" t="str">
        <f aca="false">IF($C1503="","",ROUND(N($K1503)-N($P1503),2))</f>
        <v/>
      </c>
      <c r="R1503" s="29" t="str">
        <f aca="false">IF($C1503="","",YEAR($C1503))</f>
        <v/>
      </c>
      <c r="S1503" s="24"/>
      <c r="T1503" s="35" t="str">
        <f aca="false">IF($C1503="","",IF($D1503="","★没选客户项目",IF(COUNTIF(合同键,$D1503)=0,"★《维保合同》里没这个项目",IF(N($K1503)&lt;=0,"★应收金额要填",IF(ROUND(N($N1503)-N($K1503),2)&gt;0.001,"★开票金额大于应收",IF(AND($L1503&lt;&gt;"",N($N1503)&lt;=0),"★填了开票日期没填开票金额",IF(AND($I1503&lt;&gt;"",$J1503&lt;&gt;"",$J1503&lt;$I1503),"★计费期间起止反了","OK")))))))</f>
        <v/>
      </c>
      <c r="U1503" s="29" t="str">
        <f aca="false">IF($L1503="","",YEAR($L1503))</f>
        <v/>
      </c>
      <c r="V1503" s="40" t="str">
        <f aca="false">IF($C1503="","",ROUND(SUMIF(收款关联,$B1503,收款金额),2))</f>
        <v/>
      </c>
      <c r="W1503" s="40" t="str">
        <f aca="false">IF($C1503="","",MAX(0,ROUND(N($K1503)-N($V1503),2)))</f>
        <v/>
      </c>
      <c r="X1503" s="40" t="str">
        <f aca="false">IF($C1503="","",ROUND(SUMIFS(应收净额,应收键,$D1503,应收行号,"&lt;="&amp;ROW()),2))</f>
        <v/>
      </c>
      <c r="Y1503" s="29" t="str">
        <f aca="false">IF($C1503="","",ROW())</f>
        <v/>
      </c>
    </row>
    <row r="1504" customFormat="false" ht="15" hidden="false" customHeight="false" outlineLevel="0" collapsed="false">
      <c r="A1504" s="29" t="str">
        <f aca="false">IF($C1504="","",ROW()-4)</f>
        <v/>
      </c>
      <c r="B1504" s="35" t="str">
        <f aca="false">IF($C1504="","","YS"&amp;TEXT($C1504,"yyyymm")&amp;"-"&amp;TEXT(ROW()-4,"0000"))</f>
        <v/>
      </c>
      <c r="C1504" s="33"/>
      <c r="D1504" s="24"/>
      <c r="E1504" s="30" t="str">
        <f aca="false">IF($D1504="","",IFERROR(INDEX(合同单位,MATCH($D1504,合同键,0)),IFERROR(TRIM(LEFT($D1504,FIND("｜",$D1504)-1)),$D1504)))</f>
        <v/>
      </c>
      <c r="F1504" s="30" t="str">
        <f aca="false">IF($D1504="","",IFERROR(INDEX(合同项目,MATCH($D1504,合同键,0)),IFERROR(TRIM(MID($D1504,FIND("｜",$D1504)+1,99)),"")))</f>
        <v/>
      </c>
      <c r="G1504" s="24"/>
      <c r="H1504" s="35" t="str">
        <f aca="false">IF($G1504="","",IFERROR(INDEX(费用款别,MATCH($G1504,费用类别表,0)),"合同外款"))</f>
        <v/>
      </c>
      <c r="I1504" s="33"/>
      <c r="J1504" s="33"/>
      <c r="K1504" s="39"/>
      <c r="L1504" s="33"/>
      <c r="M1504" s="25"/>
      <c r="N1504" s="39"/>
      <c r="O1504" s="35" t="str">
        <f aca="false">IF($C1504="","",IF(N($N1504)&lt;=0,"未开票",IF(ROUND(N($N1504)-N($K1504),2)&gt;=0,"已开票",IFERROR("部分开票 "&amp;TEXT(N($N1504)/N($K1504),"0%"),"部分开票"))))</f>
        <v/>
      </c>
      <c r="P1504" s="40" t="str">
        <f aca="false">IF($C1504="","",ROUND($V1504+MIN($W1504,MAX(0,(SUMIF(收款键,$D1504,收款金额)-SUMIFS(收款金额,收款键,$D1504,收款关联,"&lt;&gt;"))-($X1504-$W1504))),2))</f>
        <v/>
      </c>
      <c r="Q1504" s="41" t="str">
        <f aca="false">IF($C1504="","",ROUND(N($K1504)-N($P1504),2))</f>
        <v/>
      </c>
      <c r="R1504" s="29" t="str">
        <f aca="false">IF($C1504="","",YEAR($C1504))</f>
        <v/>
      </c>
      <c r="S1504" s="24"/>
      <c r="T1504" s="35" t="str">
        <f aca="false">IF($C1504="","",IF($D1504="","★没选客户项目",IF(COUNTIF(合同键,$D1504)=0,"★《维保合同》里没这个项目",IF(N($K1504)&lt;=0,"★应收金额要填",IF(ROUND(N($N1504)-N($K1504),2)&gt;0.001,"★开票金额大于应收",IF(AND($L1504&lt;&gt;"",N($N1504)&lt;=0),"★填了开票日期没填开票金额",IF(AND($I1504&lt;&gt;"",$J1504&lt;&gt;"",$J1504&lt;$I1504),"★计费期间起止反了","OK")))))))</f>
        <v/>
      </c>
      <c r="U1504" s="29" t="str">
        <f aca="false">IF($L1504="","",YEAR($L1504))</f>
        <v/>
      </c>
      <c r="V1504" s="40" t="str">
        <f aca="false">IF($C1504="","",ROUND(SUMIF(收款关联,$B1504,收款金额),2))</f>
        <v/>
      </c>
      <c r="W1504" s="40" t="str">
        <f aca="false">IF($C1504="","",MAX(0,ROUND(N($K1504)-N($V1504),2)))</f>
        <v/>
      </c>
      <c r="X1504" s="40" t="str">
        <f aca="false">IF($C1504="","",ROUND(SUMIFS(应收净额,应收键,$D1504,应收行号,"&lt;="&amp;ROW()),2))</f>
        <v/>
      </c>
      <c r="Y1504" s="29" t="str">
        <f aca="false">IF($C1504="","",ROW())</f>
        <v/>
      </c>
    </row>
  </sheetData>
  <autoFilter ref="A4:T1504"/>
  <mergeCells count="2">
    <mergeCell ref="A1:T1"/>
    <mergeCell ref="A2:T2"/>
  </mergeCells>
  <dataValidations count="2">
    <dataValidation allowBlank="true" errorStyle="stop" operator="between" prompt="从《维保合同》建过的「客户项目」里选。没有就先去《维保合同》补一行，合同状态选「未签」也行。" promptTitle="填写提示" showDropDown="false" showErrorMessage="false" showInputMessage="true" sqref="D5:D1504" type="list">
      <formula1>OFFSET(维保合同!$E$5,0,0,MAX(1,COUNTIF(维保合同!$E$5:$E$304,"?*")),1)</formula1>
      <formula2>0</formula2>
    </dataValidation>
    <dataValidation allowBlank="true" error="这一列要跟【基础资料】的清单一致，请从下拉里选。" errorStyle="stop" errorTitle="只能从下拉里选" operator="between" prompt="维保费＝合同款；维修/配件/报检/年检等＝合同外款。右边 H 列自动判。" promptTitle="填写提示" showDropDown="false" showErrorMessage="true" showInputMessage="true" sqref="G5:G1504" type="list">
      <formula1>OFFSET(基础资料!$M$5,0,0,MAX(1,COUNTA(基础资料!$M$5:$M$34)),1)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O200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28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8"/>
    <col collapsed="false" customWidth="true" hidden="false" outlineLevel="0" max="14" min="14" style="0" width="26"/>
    <col collapsed="false" customWidth="true" hidden="false" outlineLevel="0" max="15" min="15" style="0" width="24"/>
  </cols>
  <sheetData>
    <row r="1" customFormat="false" ht="30" hidden="false" customHeight="true" outlineLevel="0" collapsed="false">
      <c r="A1" s="43" t="s">
        <v>480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2" t="s">
        <v>481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9.5" hidden="false" customHeight="true" outlineLevel="0" collapsed="false">
      <c r="A3" s="26" t="s">
        <v>198</v>
      </c>
      <c r="C3" s="27" t="str">
        <f aca="false">COUNT($C$5:$C$2004)&amp;" 笔"</f>
        <v>21 笔</v>
      </c>
      <c r="G3" s="36" t="n">
        <f aca="false">ROUND(SUM($G$5:$G$2004),2)</f>
        <v>67450</v>
      </c>
      <c r="I3" s="36" t="n">
        <f aca="false">ROUND(SUMIF($I$5:$I$2004,"发票",$G$5:$G$2004),2)</f>
        <v>61450</v>
      </c>
      <c r="J3" s="36" t="n">
        <f aca="false">ROUND(SUMIF($I$5:$I$2004,"收据",$G$5:$G$2004),2)</f>
        <v>4200</v>
      </c>
      <c r="K3" s="36" t="n">
        <f aca="false">ROUND(SUMIF($I$5:$I$2004,"现金无票",$G$5:$G$2004),2)</f>
        <v>1800</v>
      </c>
      <c r="O3" s="37" t="str">
        <f aca="false">IF(COUNTIF($O$5:$O$2004,"★*")=0,"全部 OK",COUNTIF($O$5:$O$2004,"★*")&amp;" 笔要改")</f>
        <v>全部 OK</v>
      </c>
    </row>
    <row r="4" customFormat="false" ht="31.5" hidden="false" customHeight="true" outlineLevel="0" collapsed="false">
      <c r="A4" s="44" t="s">
        <v>199</v>
      </c>
      <c r="B4" s="44" t="s">
        <v>482</v>
      </c>
      <c r="C4" s="44" t="s">
        <v>483</v>
      </c>
      <c r="D4" s="44" t="s">
        <v>412</v>
      </c>
      <c r="E4" s="44" t="s">
        <v>413</v>
      </c>
      <c r="F4" s="44" t="s">
        <v>414</v>
      </c>
      <c r="G4" s="44" t="s">
        <v>484</v>
      </c>
      <c r="H4" s="44" t="s">
        <v>485</v>
      </c>
      <c r="I4" s="44" t="s">
        <v>486</v>
      </c>
      <c r="J4" s="44" t="s">
        <v>487</v>
      </c>
      <c r="K4" s="44" t="s">
        <v>127</v>
      </c>
      <c r="L4" s="44" t="s">
        <v>488</v>
      </c>
      <c r="M4" s="44" t="s">
        <v>426</v>
      </c>
      <c r="N4" s="44" t="s">
        <v>391</v>
      </c>
      <c r="O4" s="44" t="s">
        <v>229</v>
      </c>
    </row>
    <row r="5" customFormat="false" ht="15" hidden="false" customHeight="false" outlineLevel="0" collapsed="false">
      <c r="A5" s="29" t="n">
        <f aca="false">IF($C5="","",ROW()-4)</f>
        <v>1</v>
      </c>
      <c r="B5" s="35" t="str">
        <f aca="false">IF($C5="","","SK"&amp;TEXT($C5,"yyyymm")&amp;"-"&amp;TEXT(ROW()-4,"0000"))</f>
        <v>SK202508-0001</v>
      </c>
      <c r="C5" s="33" t="n">
        <v>45874</v>
      </c>
      <c r="D5" s="24" t="s">
        <v>432</v>
      </c>
      <c r="E5" s="30" t="str">
        <f aca="false">IF($D5="","",IFERROR(INDEX(合同单位,MATCH($D5,合同键,0)),IFERROR(TRIM(LEFT($D5,FIND("｜",$D5)-1)),$D5)))</f>
        <v>河南华茂医院有限公司</v>
      </c>
      <c r="F5" s="30" t="str">
        <f aca="false">IF($D5="","",IFERROR(INDEX(合同项目,MATCH($D5,合同键,0)),IFERROR(TRIM(MID($D5,FIND("｜",$D5)+1,99)),"")))</f>
        <v>圣爱医院</v>
      </c>
      <c r="G5" s="39" t="n">
        <v>4800</v>
      </c>
      <c r="H5" s="25" t="s">
        <v>159</v>
      </c>
      <c r="I5" s="35" t="str">
        <f aca="false">IF($H5="","",IFERROR(INDEX(票据归类表,MATCH($H5,票据类型表,0)),"现金无票"))</f>
        <v>发票</v>
      </c>
      <c r="J5" s="25" t="s">
        <v>141</v>
      </c>
      <c r="K5" s="25" t="s">
        <v>138</v>
      </c>
      <c r="L5" s="31" t="s">
        <v>489</v>
      </c>
      <c r="M5" s="29" t="n">
        <f aca="false">IF($C5="","",YEAR($C5))</f>
        <v>2025</v>
      </c>
      <c r="N5" s="24" t="s">
        <v>490</v>
      </c>
      <c r="O5" s="35" t="str">
        <f aca="false">IF($C5="","",IF($D5="","★没选客户项目",IF(COUNTIF(合同键,$D5)=0,"★《维保合同》里没这个项目",IF(N($G5)&lt;=0,"★收款金额要填",IF($H5="","★票据类型要选",IF(AND($L5&lt;&gt;"",COUNTIF(应收单号,$L5)=0),"★关联的应收单号不存在",IF(AND($L5&lt;&gt;"",IFERROR(INDEX(应收键,MATCH($L5,应收单号,0)),"")&lt;&gt;$D5),"★关联单号不是这个客户的",IF(AND($L5&lt;&gt;"",ROUND(SUMIF(收款关联,$L5,收款金额)-IFERROR(INDEX(应收金额,MATCH($L5,应收单号,0)),0),2)&gt;0.001),"★指定冲销超过那张单的应收","OK"))))))))</f>
        <v>OK</v>
      </c>
    </row>
    <row r="6" customFormat="false" ht="15" hidden="false" customHeight="false" outlineLevel="0" collapsed="false">
      <c r="A6" s="29" t="n">
        <f aca="false">IF($C6="","",ROW()-4)</f>
        <v>2</v>
      </c>
      <c r="B6" s="35" t="str">
        <f aca="false">IF($C6="","","SK"&amp;TEXT($C6,"yyyymm")&amp;"-"&amp;TEXT(ROW()-4,"0000"))</f>
        <v>SK202511-0002</v>
      </c>
      <c r="C6" s="33" t="n">
        <v>45981</v>
      </c>
      <c r="D6" s="24" t="s">
        <v>435</v>
      </c>
      <c r="E6" s="30" t="str">
        <f aca="false">IF($D6="","",IFERROR(INDEX(合同单位,MATCH($D6,合同键,0)),IFERROR(TRIM(LEFT($D6,FIND("｜",$D6)-1)),$D6)))</f>
        <v>金禧永航集团有限公司</v>
      </c>
      <c r="F6" s="30" t="str">
        <f aca="false">IF($D6="","",IFERROR(INDEX(合同项目,MATCH($D6,合同键,0)),IFERROR(TRIM(MID($D6,FIND("｜",$D6)+1,99)),"")))</f>
        <v>金禧西北路291号</v>
      </c>
      <c r="G6" s="39" t="n">
        <v>1400</v>
      </c>
      <c r="H6" s="25" t="s">
        <v>168</v>
      </c>
      <c r="I6" s="35" t="str">
        <f aca="false">IF($H6="","",IFERROR(INDEX(票据归类表,MATCH($H6,票据类型表,0)),"现金无票"))</f>
        <v>收据</v>
      </c>
      <c r="J6" s="25" t="s">
        <v>160</v>
      </c>
      <c r="K6" s="25" t="s">
        <v>138</v>
      </c>
      <c r="L6" s="31" t="s">
        <v>491</v>
      </c>
      <c r="M6" s="29" t="n">
        <f aca="false">IF($C6="","",YEAR($C6))</f>
        <v>2025</v>
      </c>
      <c r="N6" s="24" t="s">
        <v>492</v>
      </c>
      <c r="O6" s="35" t="str">
        <f aca="false">IF($C6="","",IF($D6="","★没选客户项目",IF(COUNTIF(合同键,$D6)=0,"★《维保合同》里没这个项目",IF(N($G6)&lt;=0,"★收款金额要填",IF($H6="","★票据类型要选",IF(AND($L6&lt;&gt;"",COUNTIF(应收单号,$L6)=0),"★关联的应收单号不存在",IF(AND($L6&lt;&gt;"",IFERROR(INDEX(应收键,MATCH($L6,应收单号,0)),"")&lt;&gt;$D6),"★关联单号不是这个客户的",IF(AND($L6&lt;&gt;"",ROUND(SUMIF(收款关联,$L6,收款金额)-IFERROR(INDEX(应收金额,MATCH($L6,应收单号,0)),0),2)&gt;0.001),"★指定冲销超过那张单的应收","OK"))))))))</f>
        <v>OK</v>
      </c>
    </row>
    <row r="7" customFormat="false" ht="15" hidden="false" customHeight="false" outlineLevel="0" collapsed="false">
      <c r="A7" s="29" t="n">
        <f aca="false">IF($C7="","",ROW()-4)</f>
        <v>3</v>
      </c>
      <c r="B7" s="35" t="str">
        <f aca="false">IF($C7="","","SK"&amp;TEXT($C7,"yyyymm")&amp;"-"&amp;TEXT(ROW()-4,"0000"))</f>
        <v>SK202602-0003</v>
      </c>
      <c r="C7" s="33" t="n">
        <v>46063</v>
      </c>
      <c r="D7" s="24" t="s">
        <v>442</v>
      </c>
      <c r="E7" s="30" t="str">
        <f aca="false">IF($D7="","",IFERROR(INDEX(合同单位,MATCH($D7,合同键,0)),IFERROR(TRIM(LEFT($D7,FIND("｜",$D7)-1)),$D7)))</f>
        <v>河南中意联机电工程有限公司</v>
      </c>
      <c r="F7" s="30" t="str">
        <f aca="false">IF($D7="","",IFERROR(INDEX(合同项目,MATCH($D7,合同键,0)),IFERROR(TRIM(MID($D7,FIND("｜",$D7)+1,99)),"")))</f>
        <v>滨江苑一期</v>
      </c>
      <c r="G7" s="39" t="n">
        <v>1800</v>
      </c>
      <c r="H7" s="25" t="s">
        <v>149</v>
      </c>
      <c r="I7" s="35" t="str">
        <f aca="false">IF($H7="","",IFERROR(INDEX(票据归类表,MATCH($H7,票据类型表,0)),"现金无票"))</f>
        <v>发票</v>
      </c>
      <c r="J7" s="25" t="s">
        <v>141</v>
      </c>
      <c r="K7" s="25" t="s">
        <v>138</v>
      </c>
      <c r="L7" s="31" t="s">
        <v>493</v>
      </c>
      <c r="M7" s="29" t="n">
        <f aca="false">IF($C7="","",YEAR($C7))</f>
        <v>2026</v>
      </c>
      <c r="N7" s="24"/>
      <c r="O7" s="35" t="str">
        <f aca="false">IF($C7="","",IF($D7="","★没选客户项目",IF(COUNTIF(合同键,$D7)=0,"★《维保合同》里没这个项目",IF(N($G7)&lt;=0,"★收款金额要填",IF($H7="","★票据类型要选",IF(AND($L7&lt;&gt;"",COUNTIF(应收单号,$L7)=0),"★关联的应收单号不存在",IF(AND($L7&lt;&gt;"",IFERROR(INDEX(应收键,MATCH($L7,应收单号,0)),"")&lt;&gt;$D7),"★关联单号不是这个客户的",IF(AND($L7&lt;&gt;"",ROUND(SUMIF(收款关联,$L7,收款金额)-IFERROR(INDEX(应收金额,MATCH($L7,应收单号,0)),0),2)&gt;0.001),"★指定冲销超过那张单的应收","OK"))))))))</f>
        <v>OK</v>
      </c>
    </row>
    <row r="8" customFormat="false" ht="15" hidden="false" customHeight="false" outlineLevel="0" collapsed="false">
      <c r="A8" s="29" t="n">
        <f aca="false">IF($C8="","",ROW()-4)</f>
        <v>4</v>
      </c>
      <c r="B8" s="35" t="str">
        <f aca="false">IF($C8="","","SK"&amp;TEXT($C8,"yyyymm")&amp;"-"&amp;TEXT(ROW()-4,"0000"))</f>
        <v>SK202604-0004</v>
      </c>
      <c r="C8" s="33" t="n">
        <v>46114</v>
      </c>
      <c r="D8" s="24" t="s">
        <v>446</v>
      </c>
      <c r="E8" s="30" t="str">
        <f aca="false">IF($D8="","",IFERROR(INDEX(合同单位,MATCH($D8,合同键,0)),IFERROR(TRIM(LEFT($D8,FIND("｜",$D8)-1)),$D8)))</f>
        <v>河南明海定慧商业管理有限公司</v>
      </c>
      <c r="F8" s="30" t="str">
        <f aca="false">IF($D8="","",IFERROR(INDEX(合同项目,MATCH($D8,合同键,0)),IFERROR(TRIM(MID($D8,FIND("｜",$D8)+1,99)),"")))</f>
        <v>六渡桥</v>
      </c>
      <c r="G8" s="39" t="n">
        <v>1050</v>
      </c>
      <c r="H8" s="25" t="s">
        <v>159</v>
      </c>
      <c r="I8" s="35" t="str">
        <f aca="false">IF($H8="","",IFERROR(INDEX(票据归类表,MATCH($H8,票据类型表,0)),"现金无票"))</f>
        <v>发票</v>
      </c>
      <c r="J8" s="25" t="s">
        <v>141</v>
      </c>
      <c r="K8" s="25" t="s">
        <v>138</v>
      </c>
      <c r="L8" s="31" t="s">
        <v>494</v>
      </c>
      <c r="M8" s="29" t="n">
        <f aca="false">IF($C8="","",YEAR($C8))</f>
        <v>2026</v>
      </c>
      <c r="N8" s="24"/>
      <c r="O8" s="35" t="str">
        <f aca="false">IF($C8="","",IF($D8="","★没选客户项目",IF(COUNTIF(合同键,$D8)=0,"★《维保合同》里没这个项目",IF(N($G8)&lt;=0,"★收款金额要填",IF($H8="","★票据类型要选",IF(AND($L8&lt;&gt;"",COUNTIF(应收单号,$L8)=0),"★关联的应收单号不存在",IF(AND($L8&lt;&gt;"",IFERROR(INDEX(应收键,MATCH($L8,应收单号,0)),"")&lt;&gt;$D8),"★关联单号不是这个客户的",IF(AND($L8&lt;&gt;"",ROUND(SUMIF(收款关联,$L8,收款金额)-IFERROR(INDEX(应收金额,MATCH($L8,应收单号,0)),0),2)&gt;0.001),"★指定冲销超过那张单的应收","OK"))))))))</f>
        <v>OK</v>
      </c>
    </row>
    <row r="9" customFormat="false" ht="15" hidden="false" customHeight="false" outlineLevel="0" collapsed="false">
      <c r="A9" s="29" t="n">
        <f aca="false">IF($C9="","",ROW()-4)</f>
        <v>5</v>
      </c>
      <c r="B9" s="35" t="str">
        <f aca="false">IF($C9="","","SK"&amp;TEXT($C9,"yyyymm")&amp;"-"&amp;TEXT(ROW()-4,"0000"))</f>
        <v>SK202607-0005</v>
      </c>
      <c r="C9" s="33" t="n">
        <v>46209</v>
      </c>
      <c r="D9" s="24" t="s">
        <v>446</v>
      </c>
      <c r="E9" s="30" t="str">
        <f aca="false">IF($D9="","",IFERROR(INDEX(合同单位,MATCH($D9,合同键,0)),IFERROR(TRIM(LEFT($D9,FIND("｜",$D9)-1)),$D9)))</f>
        <v>河南明海定慧商业管理有限公司</v>
      </c>
      <c r="F9" s="30" t="str">
        <f aca="false">IF($D9="","",IFERROR(INDEX(合同项目,MATCH($D9,合同键,0)),IFERROR(TRIM(MID($D9,FIND("｜",$D9)+1,99)),"")))</f>
        <v>六渡桥</v>
      </c>
      <c r="G9" s="39" t="n">
        <v>1050</v>
      </c>
      <c r="H9" s="25" t="s">
        <v>159</v>
      </c>
      <c r="I9" s="35" t="str">
        <f aca="false">IF($H9="","",IFERROR(INDEX(票据归类表,MATCH($H9,票据类型表,0)),"现金无票"))</f>
        <v>发票</v>
      </c>
      <c r="J9" s="25" t="s">
        <v>160</v>
      </c>
      <c r="K9" s="25" t="s">
        <v>138</v>
      </c>
      <c r="L9" s="31" t="s">
        <v>495</v>
      </c>
      <c r="M9" s="29" t="n">
        <f aca="false">IF($C9="","",YEAR($C9))</f>
        <v>2026</v>
      </c>
      <c r="N9" s="24"/>
      <c r="O9" s="35" t="str">
        <f aca="false">IF($C9="","",IF($D9="","★没选客户项目",IF(COUNTIF(合同键,$D9)=0,"★《维保合同》里没这个项目",IF(N($G9)&lt;=0,"★收款金额要填",IF($H9="","★票据类型要选",IF(AND($L9&lt;&gt;"",COUNTIF(应收单号,$L9)=0),"★关联的应收单号不存在",IF(AND($L9&lt;&gt;"",IFERROR(INDEX(应收键,MATCH($L9,应收单号,0)),"")&lt;&gt;$D9),"★关联单号不是这个客户的",IF(AND($L9&lt;&gt;"",ROUND(SUMIF(收款关联,$L9,收款金额)-IFERROR(INDEX(应收金额,MATCH($L9,应收单号,0)),0),2)&gt;0.001),"★指定冲销超过那张单的应收","OK"))))))))</f>
        <v>OK</v>
      </c>
    </row>
    <row r="10" customFormat="false" ht="15" hidden="false" customHeight="false" outlineLevel="0" collapsed="false">
      <c r="A10" s="29" t="n">
        <f aca="false">IF($C10="","",ROW()-4)</f>
        <v>6</v>
      </c>
      <c r="B10" s="35" t="str">
        <f aca="false">IF($C10="","","SK"&amp;TEXT($C10,"yyyymm")&amp;"-"&amp;TEXT(ROW()-4,"0000"))</f>
        <v>SK202602-0006</v>
      </c>
      <c r="C10" s="33" t="n">
        <v>46061</v>
      </c>
      <c r="D10" s="24" t="s">
        <v>432</v>
      </c>
      <c r="E10" s="30" t="str">
        <f aca="false">IF($D10="","",IFERROR(INDEX(合同单位,MATCH($D10,合同键,0)),IFERROR(TRIM(LEFT($D10,FIND("｜",$D10)-1)),$D10)))</f>
        <v>河南华茂医院有限公司</v>
      </c>
      <c r="F10" s="30" t="str">
        <f aca="false">IF($D10="","",IFERROR(INDEX(合同项目,MATCH($D10,合同键,0)),IFERROR(TRIM(MID($D10,FIND("｜",$D10)+1,99)),"")))</f>
        <v>圣爱医院</v>
      </c>
      <c r="G10" s="39" t="n">
        <v>4800</v>
      </c>
      <c r="H10" s="25" t="s">
        <v>139</v>
      </c>
      <c r="I10" s="35" t="str">
        <f aca="false">IF($H10="","",IFERROR(INDEX(票据归类表,MATCH($H10,票据类型表,0)),"现金无票"))</f>
        <v>发票</v>
      </c>
      <c r="J10" s="25" t="s">
        <v>141</v>
      </c>
      <c r="K10" s="25" t="s">
        <v>138</v>
      </c>
      <c r="L10" s="31" t="s">
        <v>496</v>
      </c>
      <c r="M10" s="29" t="n">
        <f aca="false">IF($C10="","",YEAR($C10))</f>
        <v>2026</v>
      </c>
      <c r="N10" s="24"/>
      <c r="O10" s="35" t="str">
        <f aca="false">IF($C10="","",IF($D10="","★没选客户项目",IF(COUNTIF(合同键,$D10)=0,"★《维保合同》里没这个项目",IF(N($G10)&lt;=0,"★收款金额要填",IF($H10="","★票据类型要选",IF(AND($L10&lt;&gt;"",COUNTIF(应收单号,$L10)=0),"★关联的应收单号不存在",IF(AND($L10&lt;&gt;"",IFERROR(INDEX(应收键,MATCH($L10,应收单号,0)),"")&lt;&gt;$D10),"★关联单号不是这个客户的",IF(AND($L10&lt;&gt;"",ROUND(SUMIF(收款关联,$L10,收款金额)-IFERROR(INDEX(应收金额,MATCH($L10,应收单号,0)),0),2)&gt;0.001),"★指定冲销超过那张单的应收","OK"))))))))</f>
        <v>OK</v>
      </c>
    </row>
    <row r="11" customFormat="false" ht="15" hidden="false" customHeight="false" outlineLevel="0" collapsed="false">
      <c r="A11" s="29" t="n">
        <f aca="false">IF($C11="","",ROW()-4)</f>
        <v>7</v>
      </c>
      <c r="B11" s="35" t="str">
        <f aca="false">IF($C11="","","SK"&amp;TEXT($C11,"yyyymm")&amp;"-"&amp;TEXT(ROW()-4,"0000"))</f>
        <v>SK202605-0007</v>
      </c>
      <c r="C11" s="33" t="n">
        <v>46154</v>
      </c>
      <c r="D11" s="24" t="s">
        <v>432</v>
      </c>
      <c r="E11" s="30" t="str">
        <f aca="false">IF($D11="","",IFERROR(INDEX(合同单位,MATCH($D11,合同键,0)),IFERROR(TRIM(LEFT($D11,FIND("｜",$D11)-1)),$D11)))</f>
        <v>河南华茂医院有限公司</v>
      </c>
      <c r="F11" s="30" t="str">
        <f aca="false">IF($D11="","",IFERROR(INDEX(合同项目,MATCH($D11,合同键,0)),IFERROR(TRIM(MID($D11,FIND("｜",$D11)+1,99)),"")))</f>
        <v>圣爱医院</v>
      </c>
      <c r="G11" s="39" t="n">
        <v>600</v>
      </c>
      <c r="H11" s="25" t="s">
        <v>149</v>
      </c>
      <c r="I11" s="35" t="str">
        <f aca="false">IF($H11="","",IFERROR(INDEX(票据归类表,MATCH($H11,票据类型表,0)),"现金无票"))</f>
        <v>发票</v>
      </c>
      <c r="J11" s="25" t="s">
        <v>150</v>
      </c>
      <c r="K11" s="25" t="s">
        <v>158</v>
      </c>
      <c r="L11" s="31" t="s">
        <v>497</v>
      </c>
      <c r="M11" s="29" t="n">
        <f aca="false">IF($C11="","",YEAR($C11))</f>
        <v>2026</v>
      </c>
      <c r="N11" s="24" t="s">
        <v>498</v>
      </c>
      <c r="O11" s="35" t="str">
        <f aca="false">IF($C11="","",IF($D11="","★没选客户项目",IF(COUNTIF(合同键,$D11)=0,"★《维保合同》里没这个项目",IF(N($G11)&lt;=0,"★收款金额要填",IF($H11="","★票据类型要选",IF(AND($L11&lt;&gt;"",COUNTIF(应收单号,$L11)=0),"★关联的应收单号不存在",IF(AND($L11&lt;&gt;"",IFERROR(INDEX(应收键,MATCH($L11,应收单号,0)),"")&lt;&gt;$D11),"★关联单号不是这个客户的",IF(AND($L11&lt;&gt;"",ROUND(SUMIF(收款关联,$L11,收款金额)-IFERROR(INDEX(应收金额,MATCH($L11,应收单号,0)),0),2)&gt;0.001),"★指定冲销超过那张单的应收","OK"))))))))</f>
        <v>OK</v>
      </c>
    </row>
    <row r="12" customFormat="false" ht="26.85" hidden="false" customHeight="false" outlineLevel="0" collapsed="false">
      <c r="A12" s="29" t="n">
        <f aca="false">IF($C12="","",ROW()-4)</f>
        <v>8</v>
      </c>
      <c r="B12" s="35" t="str">
        <f aca="false">IF($C12="","","SK"&amp;TEXT($C12,"yyyymm")&amp;"-"&amp;TEXT(ROW()-4,"0000"))</f>
        <v>SK202602-0008</v>
      </c>
      <c r="C12" s="33" t="n">
        <v>46068</v>
      </c>
      <c r="D12" s="24" t="s">
        <v>456</v>
      </c>
      <c r="E12" s="30" t="str">
        <f aca="false">IF($D12="","",IFERROR(INDEX(合同单位,MATCH($D12,合同键,0)),IFERROR(TRIM(LEFT($D12,FIND("｜",$D12)-1)),$D12)))</f>
        <v>河南长江人民艺术剧院有限责任公司</v>
      </c>
      <c r="F12" s="30" t="str">
        <f aca="false">IF($D12="","",IFERROR(INDEX(合同项目,MATCH($D12,合同键,0)),IFERROR(TRIM(MID($D12,FIND("｜",$D12)+1,99)),"")))</f>
        <v>大东门华北村63号</v>
      </c>
      <c r="G12" s="39" t="n">
        <v>1800</v>
      </c>
      <c r="H12" s="25" t="s">
        <v>149</v>
      </c>
      <c r="I12" s="35" t="str">
        <f aca="false">IF($H12="","",IFERROR(INDEX(票据归类表,MATCH($H12,票据类型表,0)),"现金无票"))</f>
        <v>发票</v>
      </c>
      <c r="J12" s="25" t="s">
        <v>141</v>
      </c>
      <c r="K12" s="25" t="s">
        <v>138</v>
      </c>
      <c r="L12" s="31" t="s">
        <v>499</v>
      </c>
      <c r="M12" s="29" t="n">
        <f aca="false">IF($C12="","",YEAR($C12))</f>
        <v>2026</v>
      </c>
      <c r="N12" s="24"/>
      <c r="O12" s="35" t="str">
        <f aca="false">IF($C12="","",IF($D12="","★没选客户项目",IF(COUNTIF(合同键,$D12)=0,"★《维保合同》里没这个项目",IF(N($G12)&lt;=0,"★收款金额要填",IF($H12="","★票据类型要选",IF(AND($L12&lt;&gt;"",COUNTIF(应收单号,$L12)=0),"★关联的应收单号不存在",IF(AND($L12&lt;&gt;"",IFERROR(INDEX(应收键,MATCH($L12,应收单号,0)),"")&lt;&gt;$D12),"★关联单号不是这个客户的",IF(AND($L12&lt;&gt;"",ROUND(SUMIF(收款关联,$L12,收款金额)-IFERROR(INDEX(应收金额,MATCH($L12,应收单号,0)),0),2)&gt;0.001),"★指定冲销超过那张单的应收","OK"))))))))</f>
        <v>OK</v>
      </c>
    </row>
    <row r="13" customFormat="false" ht="26.85" hidden="false" customHeight="false" outlineLevel="0" collapsed="false">
      <c r="A13" s="29" t="n">
        <f aca="false">IF($C13="","",ROW()-4)</f>
        <v>9</v>
      </c>
      <c r="B13" s="35" t="str">
        <f aca="false">IF($C13="","","SK"&amp;TEXT($C13,"yyyymm")&amp;"-"&amp;TEXT(ROW()-4,"0000"))</f>
        <v>SK202605-0009</v>
      </c>
      <c r="C13" s="33" t="n">
        <v>46152</v>
      </c>
      <c r="D13" s="24" t="s">
        <v>456</v>
      </c>
      <c r="E13" s="30" t="str">
        <f aca="false">IF($D13="","",IFERROR(INDEX(合同单位,MATCH($D13,合同键,0)),IFERROR(TRIM(LEFT($D13,FIND("｜",$D13)-1)),$D13)))</f>
        <v>河南长江人民艺术剧院有限责任公司</v>
      </c>
      <c r="F13" s="30" t="str">
        <f aca="false">IF($D13="","",IFERROR(INDEX(合同项目,MATCH($D13,合同键,0)),IFERROR(TRIM(MID($D13,FIND("｜",$D13)+1,99)),"")))</f>
        <v>大东门华北村63号</v>
      </c>
      <c r="G13" s="39" t="n">
        <v>4400</v>
      </c>
      <c r="H13" s="25" t="s">
        <v>149</v>
      </c>
      <c r="I13" s="35" t="str">
        <f aca="false">IF($H13="","",IFERROR(INDEX(票据归类表,MATCH($H13,票据类型表,0)),"现金无票"))</f>
        <v>发票</v>
      </c>
      <c r="J13" s="25" t="s">
        <v>141</v>
      </c>
      <c r="K13" s="25" t="s">
        <v>500</v>
      </c>
      <c r="L13" s="31"/>
      <c r="M13" s="29" t="n">
        <f aca="false">IF($C13="","",YEAR($C13))</f>
        <v>2026</v>
      </c>
      <c r="N13" s="24" t="s">
        <v>501</v>
      </c>
      <c r="O13" s="35" t="str">
        <f aca="false">IF($C13="","",IF($D13="","★没选客户项目",IF(COUNTIF(合同键,$D13)=0,"★《维保合同》里没这个项目",IF(N($G13)&lt;=0,"★收款金额要填",IF($H13="","★票据类型要选",IF(AND($L13&lt;&gt;"",COUNTIF(应收单号,$L13)=0),"★关联的应收单号不存在",IF(AND($L13&lt;&gt;"",IFERROR(INDEX(应收键,MATCH($L13,应收单号,0)),"")&lt;&gt;$D13),"★关联单号不是这个客户的",IF(AND($L13&lt;&gt;"",ROUND(SUMIF(收款关联,$L13,收款金额)-IFERROR(INDEX(应收金额,MATCH($L13,应收单号,0)),0),2)&gt;0.001),"★指定冲销超过那张单的应收","OK"))))))))</f>
        <v>OK</v>
      </c>
    </row>
    <row r="14" customFormat="false" ht="26.85" hidden="false" customHeight="false" outlineLevel="0" collapsed="false">
      <c r="A14" s="29" t="n">
        <f aca="false">IF($C14="","",ROW()-4)</f>
        <v>10</v>
      </c>
      <c r="B14" s="35" t="str">
        <f aca="false">IF($C14="","","SK"&amp;TEXT($C14,"yyyymm")&amp;"-"&amp;TEXT(ROW()-4,"0000"))</f>
        <v>SK202608-0010</v>
      </c>
      <c r="C14" s="33" t="n">
        <v>46239</v>
      </c>
      <c r="D14" s="24" t="s">
        <v>456</v>
      </c>
      <c r="E14" s="30" t="str">
        <f aca="false">IF($D14="","",IFERROR(INDEX(合同单位,MATCH($D14,合同键,0)),IFERROR(TRIM(LEFT($D14,FIND("｜",$D14)-1)),$D14)))</f>
        <v>河南长江人民艺术剧院有限责任公司</v>
      </c>
      <c r="F14" s="30" t="str">
        <f aca="false">IF($D14="","",IFERROR(INDEX(合同项目,MATCH($D14,合同键,0)),IFERROR(TRIM(MID($D14,FIND("｜",$D14)+1,99)),"")))</f>
        <v>大东门华北村63号</v>
      </c>
      <c r="G14" s="39" t="n">
        <v>1800</v>
      </c>
      <c r="H14" s="25" t="s">
        <v>159</v>
      </c>
      <c r="I14" s="35" t="str">
        <f aca="false">IF($H14="","",IFERROR(INDEX(票据归类表,MATCH($H14,票据类型表,0)),"现金无票"))</f>
        <v>发票</v>
      </c>
      <c r="J14" s="25" t="s">
        <v>141</v>
      </c>
      <c r="K14" s="25" t="s">
        <v>138</v>
      </c>
      <c r="L14" s="31" t="s">
        <v>502</v>
      </c>
      <c r="M14" s="29" t="n">
        <f aca="false">IF($C14="","",YEAR($C14))</f>
        <v>2026</v>
      </c>
      <c r="N14" s="24"/>
      <c r="O14" s="35" t="str">
        <f aca="false">IF($C14="","",IF($D14="","★没选客户项目",IF(COUNTIF(合同键,$D14)=0,"★《维保合同》里没这个项目",IF(N($G14)&lt;=0,"★收款金额要填",IF($H14="","★票据类型要选",IF(AND($L14&lt;&gt;"",COUNTIF(应收单号,$L14)=0),"★关联的应收单号不存在",IF(AND($L14&lt;&gt;"",IFERROR(INDEX(应收键,MATCH($L14,应收单号,0)),"")&lt;&gt;$D14),"★关联单号不是这个客户的",IF(AND($L14&lt;&gt;"",ROUND(SUMIF(收款关联,$L14,收款金额)-IFERROR(INDEX(应收金额,MATCH($L14,应收单号,0)),0),2)&gt;0.001),"★指定冲销超过那张单的应收","OK"))))))))</f>
        <v>OK</v>
      </c>
    </row>
    <row r="15" customFormat="false" ht="15" hidden="false" customHeight="false" outlineLevel="0" collapsed="false">
      <c r="A15" s="29" t="n">
        <f aca="false">IF($C15="","",ROW()-4)</f>
        <v>11</v>
      </c>
      <c r="B15" s="35" t="str">
        <f aca="false">IF($C15="","","SK"&amp;TEXT($C15,"yyyymm")&amp;"-"&amp;TEXT(ROW()-4,"0000"))</f>
        <v>SK202606-0011</v>
      </c>
      <c r="C15" s="33" t="n">
        <v>46178</v>
      </c>
      <c r="D15" s="24" t="s">
        <v>435</v>
      </c>
      <c r="E15" s="30" t="str">
        <f aca="false">IF($D15="","",IFERROR(INDEX(合同单位,MATCH($D15,合同键,0)),IFERROR(TRIM(LEFT($D15,FIND("｜",$D15)-1)),$D15)))</f>
        <v>金禧永航集团有限公司</v>
      </c>
      <c r="F15" s="30" t="str">
        <f aca="false">IF($D15="","",IFERROR(INDEX(合同项目,MATCH($D15,合同键,0)),IFERROR(TRIM(MID($D15,FIND("｜",$D15)+1,99)),"")))</f>
        <v>金禧西北路291号</v>
      </c>
      <c r="G15" s="39" t="n">
        <v>1000</v>
      </c>
      <c r="H15" s="25" t="s">
        <v>168</v>
      </c>
      <c r="I15" s="35" t="str">
        <f aca="false">IF($H15="","",IFERROR(INDEX(票据归类表,MATCH($H15,票据类型表,0)),"现金无票"))</f>
        <v>收据</v>
      </c>
      <c r="J15" s="25" t="s">
        <v>150</v>
      </c>
      <c r="K15" s="25" t="s">
        <v>138</v>
      </c>
      <c r="L15" s="31" t="s">
        <v>491</v>
      </c>
      <c r="M15" s="29" t="n">
        <f aca="false">IF($C15="","",YEAR($C15))</f>
        <v>2026</v>
      </c>
      <c r="N15" s="24" t="s">
        <v>503</v>
      </c>
      <c r="O15" s="35" t="str">
        <f aca="false">IF($C15="","",IF($D15="","★没选客户项目",IF(COUNTIF(合同键,$D15)=0,"★《维保合同》里没这个项目",IF(N($G15)&lt;=0,"★收款金额要填",IF($H15="","★票据类型要选",IF(AND($L15&lt;&gt;"",COUNTIF(应收单号,$L15)=0),"★关联的应收单号不存在",IF(AND($L15&lt;&gt;"",IFERROR(INDEX(应收键,MATCH($L15,应收单号,0)),"")&lt;&gt;$D15),"★关联单号不是这个客户的",IF(AND($L15&lt;&gt;"",ROUND(SUMIF(收款关联,$L15,收款金额)-IFERROR(INDEX(应收金额,MATCH($L15,应收单号,0)),0),2)&gt;0.001),"★指定冲销超过那张单的应收","OK"))))))))</f>
        <v>OK</v>
      </c>
    </row>
    <row r="16" customFormat="false" ht="15" hidden="false" customHeight="false" outlineLevel="0" collapsed="false">
      <c r="A16" s="29" t="n">
        <f aca="false">IF($C16="","",ROW()-4)</f>
        <v>12</v>
      </c>
      <c r="B16" s="35" t="str">
        <f aca="false">IF($C16="","","SK"&amp;TEXT($C16,"yyyymm")&amp;"-"&amp;TEXT(ROW()-4,"0000"))</f>
        <v>SK202605-0012</v>
      </c>
      <c r="C16" s="33" t="n">
        <v>46148</v>
      </c>
      <c r="D16" s="24" t="s">
        <v>435</v>
      </c>
      <c r="E16" s="30" t="str">
        <f aca="false">IF($D16="","",IFERROR(INDEX(合同单位,MATCH($D16,合同键,0)),IFERROR(TRIM(LEFT($D16,FIND("｜",$D16)-1)),$D16)))</f>
        <v>金禧永航集团有限公司</v>
      </c>
      <c r="F16" s="30" t="str">
        <f aca="false">IF($D16="","",IFERROR(INDEX(合同项目,MATCH($D16,合同键,0)),IFERROR(TRIM(MID($D16,FIND("｜",$D16)+1,99)),"")))</f>
        <v>金禧西北路291号</v>
      </c>
      <c r="G16" s="39" t="n">
        <v>2400</v>
      </c>
      <c r="H16" s="25" t="s">
        <v>149</v>
      </c>
      <c r="I16" s="35" t="str">
        <f aca="false">IF($H16="","",IFERROR(INDEX(票据归类表,MATCH($H16,票据类型表,0)),"现金无票"))</f>
        <v>发票</v>
      </c>
      <c r="J16" s="25" t="s">
        <v>141</v>
      </c>
      <c r="K16" s="25" t="s">
        <v>138</v>
      </c>
      <c r="L16" s="31" t="s">
        <v>504</v>
      </c>
      <c r="M16" s="29" t="n">
        <f aca="false">IF($C16="","",YEAR($C16))</f>
        <v>2026</v>
      </c>
      <c r="N16" s="24"/>
      <c r="O16" s="35" t="str">
        <f aca="false">IF($C16="","",IF($D16="","★没选客户项目",IF(COUNTIF(合同键,$D16)=0,"★《维保合同》里没这个项目",IF(N($G16)&lt;=0,"★收款金额要填",IF($H16="","★票据类型要选",IF(AND($L16&lt;&gt;"",COUNTIF(应收单号,$L16)=0),"★关联的应收单号不存在",IF(AND($L16&lt;&gt;"",IFERROR(INDEX(应收键,MATCH($L16,应收单号,0)),"")&lt;&gt;$D16),"★关联单号不是这个客户的",IF(AND($L16&lt;&gt;"",ROUND(SUMIF(收款关联,$L16,收款金额)-IFERROR(INDEX(应收金额,MATCH($L16,应收单号,0)),0),2)&gt;0.001),"★指定冲销超过那张单的应收","OK"))))))))</f>
        <v>OK</v>
      </c>
    </row>
    <row r="17" customFormat="false" ht="15" hidden="false" customHeight="false" outlineLevel="0" collapsed="false">
      <c r="A17" s="29" t="n">
        <f aca="false">IF($C17="","",ROW()-4)</f>
        <v>13</v>
      </c>
      <c r="B17" s="35" t="str">
        <f aca="false">IF($C17="","","SK"&amp;TEXT($C17,"yyyymm")&amp;"-"&amp;TEXT(ROW()-4,"0000"))</f>
        <v>SK202603-0013</v>
      </c>
      <c r="C17" s="33" t="n">
        <v>46101</v>
      </c>
      <c r="D17" s="24" t="s">
        <v>438</v>
      </c>
      <c r="E17" s="30" t="str">
        <f aca="false">IF($D17="","",IFERROR(INDEX(合同单位,MATCH($D17,合同键,0)),IFERROR(TRIM(LEFT($D17,FIND("｜",$D17)-1)),$D17)))</f>
        <v>河南南远电缆科技有限公司</v>
      </c>
      <c r="F17" s="30" t="str">
        <f aca="false">IF($D17="","",IFERROR(INDEX(合同项目,MATCH($D17,合同键,0)),IFERROR(TRIM(MID($D17,FIND("｜",$D17)+1,99)),"")))</f>
        <v>南远电缆</v>
      </c>
      <c r="G17" s="39" t="n">
        <v>4200</v>
      </c>
      <c r="H17" s="25" t="s">
        <v>139</v>
      </c>
      <c r="I17" s="35" t="str">
        <f aca="false">IF($H17="","",IFERROR(INDEX(票据归类表,MATCH($H17,票据类型表,0)),"现金无票"))</f>
        <v>发票</v>
      </c>
      <c r="J17" s="25" t="s">
        <v>141</v>
      </c>
      <c r="K17" s="25" t="s">
        <v>500</v>
      </c>
      <c r="L17" s="31"/>
      <c r="M17" s="29" t="n">
        <f aca="false">IF($C17="","",YEAR($C17))</f>
        <v>2026</v>
      </c>
      <c r="N17" s="24" t="s">
        <v>505</v>
      </c>
      <c r="O17" s="35" t="str">
        <f aca="false">IF($C17="","",IF($D17="","★没选客户项目",IF(COUNTIF(合同键,$D17)=0,"★《维保合同》里没这个项目",IF(N($G17)&lt;=0,"★收款金额要填",IF($H17="","★票据类型要选",IF(AND($L17&lt;&gt;"",COUNTIF(应收单号,$L17)=0),"★关联的应收单号不存在",IF(AND($L17&lt;&gt;"",IFERROR(INDEX(应收键,MATCH($L17,应收单号,0)),"")&lt;&gt;$D17),"★关联单号不是这个客户的",IF(AND($L17&lt;&gt;"",ROUND(SUMIF(收款关联,$L17,收款金额)-IFERROR(INDEX(应收金额,MATCH($L17,应收单号,0)),0),2)&gt;0.001),"★指定冲销超过那张单的应收","OK"))))))))</f>
        <v>OK</v>
      </c>
    </row>
    <row r="18" customFormat="false" ht="15" hidden="false" customHeight="false" outlineLevel="0" collapsed="false">
      <c r="A18" s="29" t="n">
        <f aca="false">IF($C18="","",ROW()-4)</f>
        <v>14</v>
      </c>
      <c r="B18" s="35" t="str">
        <f aca="false">IF($C18="","","SK"&amp;TEXT($C18,"yyyymm")&amp;"-"&amp;TEXT(ROW()-4,"0000"))</f>
        <v>SK202609-0014</v>
      </c>
      <c r="C18" s="33" t="n">
        <v>46275</v>
      </c>
      <c r="D18" s="24" t="s">
        <v>438</v>
      </c>
      <c r="E18" s="30" t="str">
        <f aca="false">IF($D18="","",IFERROR(INDEX(合同单位,MATCH($D18,合同键,0)),IFERROR(TRIM(LEFT($D18,FIND("｜",$D18)-1)),$D18)))</f>
        <v>河南南远电缆科技有限公司</v>
      </c>
      <c r="F18" s="30" t="str">
        <f aca="false">IF($D18="","",IFERROR(INDEX(合同项目,MATCH($D18,合同键,0)),IFERROR(TRIM(MID($D18,FIND("｜",$D18)+1,99)),"")))</f>
        <v>南远电缆</v>
      </c>
      <c r="G18" s="39" t="n">
        <v>1800</v>
      </c>
      <c r="H18" s="25" t="s">
        <v>177</v>
      </c>
      <c r="I18" s="35" t="str">
        <f aca="false">IF($H18="","",IFERROR(INDEX(票据归类表,MATCH($H18,票据类型表,0)),"现金无票"))</f>
        <v>现金无票</v>
      </c>
      <c r="J18" s="25" t="s">
        <v>150</v>
      </c>
      <c r="K18" s="25" t="s">
        <v>158</v>
      </c>
      <c r="L18" s="31" t="s">
        <v>506</v>
      </c>
      <c r="M18" s="29" t="n">
        <f aca="false">IF($C18="","",YEAR($C18))</f>
        <v>2026</v>
      </c>
      <c r="N18" s="24" t="s">
        <v>507</v>
      </c>
      <c r="O18" s="35" t="str">
        <f aca="false">IF($C18="","",IF($D18="","★没选客户项目",IF(COUNTIF(合同键,$D18)=0,"★《维保合同》里没这个项目",IF(N($G18)&lt;=0,"★收款金额要填",IF($H18="","★票据类型要选",IF(AND($L18&lt;&gt;"",COUNTIF(应收单号,$L18)=0),"★关联的应收单号不存在",IF(AND($L18&lt;&gt;"",IFERROR(INDEX(应收键,MATCH($L18,应收单号,0)),"")&lt;&gt;$D18),"★关联单号不是这个客户的",IF(AND($L18&lt;&gt;"",ROUND(SUMIF(收款关联,$L18,收款金额)-IFERROR(INDEX(应收金额,MATCH($L18,应收单号,0)),0),2)&gt;0.001),"★指定冲销超过那张单的应收","OK"))))))))</f>
        <v>OK</v>
      </c>
    </row>
    <row r="19" customFormat="false" ht="26.85" hidden="false" customHeight="false" outlineLevel="0" collapsed="false">
      <c r="A19" s="29" t="n">
        <f aca="false">IF($C19="","",ROW()-4)</f>
        <v>15</v>
      </c>
      <c r="B19" s="35" t="str">
        <f aca="false">IF($C19="","","SK"&amp;TEXT($C19,"yyyymm")&amp;"-"&amp;TEXT(ROW()-4,"0000"))</f>
        <v>SK202603-0015</v>
      </c>
      <c r="C19" s="33" t="n">
        <v>46082</v>
      </c>
      <c r="D19" s="24" t="s">
        <v>468</v>
      </c>
      <c r="E19" s="30" t="str">
        <f aca="false">IF($D19="","",IFERROR(INDEX(合同单位,MATCH($D19,合同键,0)),IFERROR(TRIM(LEFT($D19,FIND("｜",$D19)-1)),$D19)))</f>
        <v>黄冈市黄陂区鑫捷惠超市（个体工商户）</v>
      </c>
      <c r="F19" s="30" t="str">
        <f aca="false">IF($D19="","",IFERROR(INDEX(合同项目,MATCH($D19,合同键,0)),IFERROR(TRIM(MID($D19,FIND("｜",$D19)+1,99)),"")))</f>
        <v>项陂雅迪</v>
      </c>
      <c r="G19" s="39" t="n">
        <v>3000</v>
      </c>
      <c r="H19" s="25" t="s">
        <v>149</v>
      </c>
      <c r="I19" s="35" t="str">
        <f aca="false">IF($H19="","",IFERROR(INDEX(票据归类表,MATCH($H19,票据类型表,0)),"现金无票"))</f>
        <v>发票</v>
      </c>
      <c r="J19" s="25" t="s">
        <v>141</v>
      </c>
      <c r="K19" s="25" t="s">
        <v>138</v>
      </c>
      <c r="L19" s="31" t="s">
        <v>508</v>
      </c>
      <c r="M19" s="29" t="n">
        <f aca="false">IF($C19="","",YEAR($C19))</f>
        <v>2026</v>
      </c>
      <c r="N19" s="24" t="s">
        <v>509</v>
      </c>
      <c r="O19" s="35" t="str">
        <f aca="false">IF($C19="","",IF($D19="","★没选客户项目",IF(COUNTIF(合同键,$D19)=0,"★《维保合同》里没这个项目",IF(N($G19)&lt;=0,"★收款金额要填",IF($H19="","★票据类型要选",IF(AND($L19&lt;&gt;"",COUNTIF(应收单号,$L19)=0),"★关联的应收单号不存在",IF(AND($L19&lt;&gt;"",IFERROR(INDEX(应收键,MATCH($L19,应收单号,0)),"")&lt;&gt;$D19),"★关联单号不是这个客户的",IF(AND($L19&lt;&gt;"",ROUND(SUMIF(收款关联,$L19,收款金额)-IFERROR(INDEX(应收金额,MATCH($L19,应收单号,0)),0),2)&gt;0.001),"★指定冲销超过那张单的应收","OK"))))))))</f>
        <v>OK</v>
      </c>
    </row>
    <row r="20" customFormat="false" ht="15" hidden="false" customHeight="false" outlineLevel="0" collapsed="false">
      <c r="A20" s="29" t="n">
        <f aca="false">IF($C20="","",ROW()-4)</f>
        <v>16</v>
      </c>
      <c r="B20" s="35" t="str">
        <f aca="false">IF($C20="","","SK"&amp;TEXT($C20,"yyyymm")&amp;"-"&amp;TEXT(ROW()-4,"0000"))</f>
        <v>SK202602-0016</v>
      </c>
      <c r="C20" s="33" t="n">
        <v>46059</v>
      </c>
      <c r="D20" s="24" t="s">
        <v>470</v>
      </c>
      <c r="E20" s="30" t="str">
        <f aca="false">IF($D20="","",IFERROR(INDEX(合同单位,MATCH($D20,合同键,0)),IFERROR(TRIM(LEFT($D20,FIND("｜",$D20)-1)),$D20)))</f>
        <v>河南尊品益定意食品有限公司</v>
      </c>
      <c r="F20" s="30" t="str">
        <f aca="false">IF($D20="","",IFERROR(INDEX(合同项目,MATCH($D20,合同键,0)),IFERROR(TRIM(MID($D20,FIND("｜",$D20)+1,99)),"")))</f>
        <v>意康意厂房</v>
      </c>
      <c r="G20" s="39" t="n">
        <v>5250</v>
      </c>
      <c r="H20" s="25" t="s">
        <v>139</v>
      </c>
      <c r="I20" s="35" t="str">
        <f aca="false">IF($H20="","",IFERROR(INDEX(票据归类表,MATCH($H20,票据类型表,0)),"现金无票"))</f>
        <v>发票</v>
      </c>
      <c r="J20" s="25" t="s">
        <v>141</v>
      </c>
      <c r="K20" s="25" t="s">
        <v>138</v>
      </c>
      <c r="L20" s="31" t="s">
        <v>510</v>
      </c>
      <c r="M20" s="29" t="n">
        <f aca="false">IF($C20="","",YEAR($C20))</f>
        <v>2026</v>
      </c>
      <c r="N20" s="24"/>
      <c r="O20" s="35" t="str">
        <f aca="false">IF($C20="","",IF($D20="","★没选客户项目",IF(COUNTIF(合同键,$D20)=0,"★《维保合同》里没这个项目",IF(N($G20)&lt;=0,"★收款金额要填",IF($H20="","★票据类型要选",IF(AND($L20&lt;&gt;"",COUNTIF(应收单号,$L20)=0),"★关联的应收单号不存在",IF(AND($L20&lt;&gt;"",IFERROR(INDEX(应收键,MATCH($L20,应收单号,0)),"")&lt;&gt;$D20),"★关联单号不是这个客户的",IF(AND($L20&lt;&gt;"",ROUND(SUMIF(收款关联,$L20,收款金额)-IFERROR(INDEX(应收金额,MATCH($L20,应收单号,0)),0),2)&gt;0.001),"★指定冲销超过那张单的应收","OK"))))))))</f>
        <v>OK</v>
      </c>
    </row>
    <row r="21" customFormat="false" ht="15" hidden="false" customHeight="false" outlineLevel="0" collapsed="false">
      <c r="A21" s="29" t="n">
        <f aca="false">IF($C21="","",ROW()-4)</f>
        <v>17</v>
      </c>
      <c r="B21" s="35" t="str">
        <f aca="false">IF($C21="","","SK"&amp;TEXT($C21,"yyyymm")&amp;"-"&amp;TEXT(ROW()-4,"0000"))</f>
        <v>SK202605-0017</v>
      </c>
      <c r="C21" s="33" t="n">
        <v>46150</v>
      </c>
      <c r="D21" s="24" t="s">
        <v>470</v>
      </c>
      <c r="E21" s="30" t="str">
        <f aca="false">IF($D21="","",IFERROR(INDEX(合同单位,MATCH($D21,合同键,0)),IFERROR(TRIM(LEFT($D21,FIND("｜",$D21)-1)),$D21)))</f>
        <v>河南尊品益定意食品有限公司</v>
      </c>
      <c r="F21" s="30" t="str">
        <f aca="false">IF($D21="","",IFERROR(INDEX(合同项目,MATCH($D21,合同键,0)),IFERROR(TRIM(MID($D21,FIND("｜",$D21)+1,99)),"")))</f>
        <v>意康意厂房</v>
      </c>
      <c r="G21" s="39" t="n">
        <v>5250</v>
      </c>
      <c r="H21" s="25" t="s">
        <v>139</v>
      </c>
      <c r="I21" s="35" t="str">
        <f aca="false">IF($H21="","",IFERROR(INDEX(票据归类表,MATCH($H21,票据类型表,0)),"现金无票"))</f>
        <v>发票</v>
      </c>
      <c r="J21" s="25" t="s">
        <v>179</v>
      </c>
      <c r="K21" s="25" t="s">
        <v>138</v>
      </c>
      <c r="L21" s="31" t="s">
        <v>511</v>
      </c>
      <c r="M21" s="29" t="n">
        <f aca="false">IF($C21="","",YEAR($C21))</f>
        <v>2026</v>
      </c>
      <c r="N21" s="24"/>
      <c r="O21" s="35" t="str">
        <f aca="false">IF($C21="","",IF($D21="","★没选客户项目",IF(COUNTIF(合同键,$D21)=0,"★《维保合同》里没这个项目",IF(N($G21)&lt;=0,"★收款金额要填",IF($H21="","★票据类型要选",IF(AND($L21&lt;&gt;"",COUNTIF(应收单号,$L21)=0),"★关联的应收单号不存在",IF(AND($L21&lt;&gt;"",IFERROR(INDEX(应收键,MATCH($L21,应收单号,0)),"")&lt;&gt;$D21),"★关联单号不是这个客户的",IF(AND($L21&lt;&gt;"",ROUND(SUMIF(收款关联,$L21,收款金额)-IFERROR(INDEX(应收金额,MATCH($L21,应收单号,0)),0),2)&gt;0.001),"★指定冲销超过那张单的应收","OK"))))))))</f>
        <v>OK</v>
      </c>
    </row>
    <row r="22" customFormat="false" ht="15" hidden="false" customHeight="false" outlineLevel="0" collapsed="false">
      <c r="A22" s="29" t="n">
        <f aca="false">IF($C22="","",ROW()-4)</f>
        <v>18</v>
      </c>
      <c r="B22" s="35" t="str">
        <f aca="false">IF($C22="","","SK"&amp;TEXT($C22,"yyyymm")&amp;"-"&amp;TEXT(ROW()-4,"0000"))</f>
        <v>SK202608-0018</v>
      </c>
      <c r="C22" s="33" t="n">
        <v>46254</v>
      </c>
      <c r="D22" s="24" t="s">
        <v>470</v>
      </c>
      <c r="E22" s="30" t="str">
        <f aca="false">IF($D22="","",IFERROR(INDEX(合同单位,MATCH($D22,合同键,0)),IFERROR(TRIM(LEFT($D22,FIND("｜",$D22)-1)),$D22)))</f>
        <v>河南尊品益定意食品有限公司</v>
      </c>
      <c r="F22" s="30" t="str">
        <f aca="false">IF($D22="","",IFERROR(INDEX(合同项目,MATCH($D22,合同键,0)),IFERROR(TRIM(MID($D22,FIND("｜",$D22)+1,99)),"")))</f>
        <v>意康意厂房</v>
      </c>
      <c r="G22" s="39" t="n">
        <v>5250</v>
      </c>
      <c r="H22" s="25" t="s">
        <v>139</v>
      </c>
      <c r="I22" s="35" t="str">
        <f aca="false">IF($H22="","",IFERROR(INDEX(票据归类表,MATCH($H22,票据类型表,0)),"现金无票"))</f>
        <v>发票</v>
      </c>
      <c r="J22" s="25" t="s">
        <v>141</v>
      </c>
      <c r="K22" s="25" t="s">
        <v>138</v>
      </c>
      <c r="L22" s="31" t="s">
        <v>512</v>
      </c>
      <c r="M22" s="29" t="n">
        <f aca="false">IF($C22="","",YEAR($C22))</f>
        <v>2026</v>
      </c>
      <c r="N22" s="24"/>
      <c r="O22" s="35" t="str">
        <f aca="false">IF($C22="","",IF($D22="","★没选客户项目",IF(COUNTIF(合同键,$D22)=0,"★《维保合同》里没这个项目",IF(N($G22)&lt;=0,"★收款金额要填",IF($H22="","★票据类型要选",IF(AND($L22&lt;&gt;"",COUNTIF(应收单号,$L22)=0),"★关联的应收单号不存在",IF(AND($L22&lt;&gt;"",IFERROR(INDEX(应收键,MATCH($L22,应收单号,0)),"")&lt;&gt;$D22),"★关联单号不是这个客户的",IF(AND($L22&lt;&gt;"",ROUND(SUMIF(收款关联,$L22,收款金额)-IFERROR(INDEX(应收金额,MATCH($L22,应收单号,0)),0),2)&gt;0.001),"★指定冲销超过那张单的应收","OK"))))))))</f>
        <v>OK</v>
      </c>
    </row>
    <row r="23" customFormat="false" ht="15" hidden="false" customHeight="false" outlineLevel="0" collapsed="false">
      <c r="A23" s="29" t="n">
        <f aca="false">IF($C23="","",ROW()-4)</f>
        <v>19</v>
      </c>
      <c r="B23" s="35" t="str">
        <f aca="false">IF($C23="","","SK"&amp;TEXT($C23,"yyyymm")&amp;"-"&amp;TEXT(ROW()-4,"0000"))</f>
        <v>SK202603-0019</v>
      </c>
      <c r="C23" s="33" t="n">
        <v>46086</v>
      </c>
      <c r="D23" s="24" t="s">
        <v>440</v>
      </c>
      <c r="E23" s="30" t="str">
        <f aca="false">IF($D23="","",IFERROR(INDEX(合同单位,MATCH($D23,合同键,0)),IFERROR(TRIM(LEFT($D23,FIND("｜",$D23)-1)),$D23)))</f>
        <v>河南光谷义神新材料孵化器有限公司</v>
      </c>
      <c r="F23" s="30" t="str">
        <f aca="false">IF($D23="","",IFERROR(INDEX(合同项目,MATCH($D23,合同键,0)),IFERROR(TRIM(MID($D23,FIND("｜",$D23)+1,99)),"")))</f>
        <v>永和云居</v>
      </c>
      <c r="G23" s="39" t="n">
        <v>6000</v>
      </c>
      <c r="H23" s="25" t="s">
        <v>139</v>
      </c>
      <c r="I23" s="35" t="str">
        <f aca="false">IF($H23="","",IFERROR(INDEX(票据归类表,MATCH($H23,票据类型表,0)),"现金无票"))</f>
        <v>发票</v>
      </c>
      <c r="J23" s="25" t="s">
        <v>141</v>
      </c>
      <c r="K23" s="25" t="s">
        <v>500</v>
      </c>
      <c r="L23" s="31"/>
      <c r="M23" s="29" t="n">
        <f aca="false">IF($C23="","",YEAR($C23))</f>
        <v>2026</v>
      </c>
      <c r="N23" s="24" t="s">
        <v>513</v>
      </c>
      <c r="O23" s="35" t="str">
        <f aca="false">IF($C23="","",IF($D23="","★没选客户项目",IF(COUNTIF(合同键,$D23)=0,"★《维保合同》里没这个项目",IF(N($G23)&lt;=0,"★收款金额要填",IF($H23="","★票据类型要选",IF(AND($L23&lt;&gt;"",COUNTIF(应收单号,$L23)=0),"★关联的应收单号不存在",IF(AND($L23&lt;&gt;"",IFERROR(INDEX(应收键,MATCH($L23,应收单号,0)),"")&lt;&gt;$D23),"★关联单号不是这个客户的",IF(AND($L23&lt;&gt;"",ROUND(SUMIF(收款关联,$L23,收款金额)-IFERROR(INDEX(应收金额,MATCH($L23,应收单号,0)),0),2)&gt;0.001),"★指定冲销超过那张单的应收","OK"))))))))</f>
        <v>OK</v>
      </c>
    </row>
    <row r="24" customFormat="false" ht="15" hidden="false" customHeight="false" outlineLevel="0" collapsed="false">
      <c r="A24" s="29" t="n">
        <f aca="false">IF($C24="","",ROW()-4)</f>
        <v>20</v>
      </c>
      <c r="B24" s="35" t="str">
        <f aca="false">IF($C24="","","SK"&amp;TEXT($C24,"yyyymm")&amp;"-"&amp;TEXT(ROW()-4,"0000"))</f>
        <v>SK202607-0020</v>
      </c>
      <c r="C24" s="33" t="n">
        <v>46221</v>
      </c>
      <c r="D24" s="24" t="s">
        <v>440</v>
      </c>
      <c r="E24" s="30" t="str">
        <f aca="false">IF($D24="","",IFERROR(INDEX(合同单位,MATCH($D24,合同键,0)),IFERROR(TRIM(LEFT($D24,FIND("｜",$D24)-1)),$D24)))</f>
        <v>河南光谷义神新材料孵化器有限公司</v>
      </c>
      <c r="F24" s="30" t="str">
        <f aca="false">IF($D24="","",IFERROR(INDEX(合同项目,MATCH($D24,合同键,0)),IFERROR(TRIM(MID($D24,FIND("｜",$D24)+1,99)),"")))</f>
        <v>永和云居</v>
      </c>
      <c r="G24" s="39" t="n">
        <v>8000</v>
      </c>
      <c r="H24" s="25" t="s">
        <v>139</v>
      </c>
      <c r="I24" s="35" t="str">
        <f aca="false">IF($H24="","",IFERROR(INDEX(票据归类表,MATCH($H24,票据类型表,0)),"现金无票"))</f>
        <v>发票</v>
      </c>
      <c r="J24" s="25" t="s">
        <v>141</v>
      </c>
      <c r="K24" s="25" t="s">
        <v>138</v>
      </c>
      <c r="L24" s="31"/>
      <c r="M24" s="29" t="n">
        <f aca="false">IF($C24="","",YEAR($C24))</f>
        <v>2026</v>
      </c>
      <c r="N24" s="24" t="s">
        <v>514</v>
      </c>
      <c r="O24" s="35" t="str">
        <f aca="false">IF($C24="","",IF($D24="","★没选客户项目",IF(COUNTIF(合同键,$D24)=0,"★《维保合同》里没这个项目",IF(N($G24)&lt;=0,"★收款金额要填",IF($H24="","★票据类型要选",IF(AND($L24&lt;&gt;"",COUNTIF(应收单号,$L24)=0),"★关联的应收单号不存在",IF(AND($L24&lt;&gt;"",IFERROR(INDEX(应收键,MATCH($L24,应收单号,0)),"")&lt;&gt;$D24),"★关联单号不是这个客户的",IF(AND($L24&lt;&gt;"",ROUND(SUMIF(收款关联,$L24,收款金额)-IFERROR(INDEX(应收金额,MATCH($L24,应收单号,0)),0),2)&gt;0.001),"★指定冲销超过那张单的应收","OK"))))))))</f>
        <v>OK</v>
      </c>
    </row>
    <row r="25" customFormat="false" ht="15" hidden="false" customHeight="false" outlineLevel="0" collapsed="false">
      <c r="A25" s="29" t="n">
        <f aca="false">IF($C25="","",ROW()-4)</f>
        <v>21</v>
      </c>
      <c r="B25" s="35" t="str">
        <f aca="false">IF($C25="","","SK"&amp;TEXT($C25,"yyyymm")&amp;"-"&amp;TEXT(ROW()-4,"0000"))</f>
        <v>SK202609-0021</v>
      </c>
      <c r="C25" s="33" t="n">
        <v>46280</v>
      </c>
      <c r="D25" s="24" t="s">
        <v>440</v>
      </c>
      <c r="E25" s="30" t="str">
        <f aca="false">IF($D25="","",IFERROR(INDEX(合同单位,MATCH($D25,合同键,0)),IFERROR(TRIM(LEFT($D25,FIND("｜",$D25)-1)),$D25)))</f>
        <v>河南光谷义神新材料孵化器有限公司</v>
      </c>
      <c r="F25" s="30" t="str">
        <f aca="false">IF($D25="","",IFERROR(INDEX(合同项目,MATCH($D25,合同键,0)),IFERROR(TRIM(MID($D25,FIND("｜",$D25)+1,99)),"")))</f>
        <v>永和云居</v>
      </c>
      <c r="G25" s="39" t="n">
        <v>1800</v>
      </c>
      <c r="H25" s="25" t="s">
        <v>168</v>
      </c>
      <c r="I25" s="35" t="str">
        <f aca="false">IF($H25="","",IFERROR(INDEX(票据归类表,MATCH($H25,票据类型表,0)),"现金无票"))</f>
        <v>收据</v>
      </c>
      <c r="J25" s="25" t="s">
        <v>160</v>
      </c>
      <c r="K25" s="25" t="s">
        <v>158</v>
      </c>
      <c r="L25" s="31" t="s">
        <v>515</v>
      </c>
      <c r="M25" s="29" t="n">
        <f aca="false">IF($C25="","",YEAR($C25))</f>
        <v>2026</v>
      </c>
      <c r="N25" s="24" t="s">
        <v>516</v>
      </c>
      <c r="O25" s="35" t="str">
        <f aca="false">IF($C25="","",IF($D25="","★没选客户项目",IF(COUNTIF(合同键,$D25)=0,"★《维保合同》里没这个项目",IF(N($G25)&lt;=0,"★收款金额要填",IF($H25="","★票据类型要选",IF(AND($L25&lt;&gt;"",COUNTIF(应收单号,$L25)=0),"★关联的应收单号不存在",IF(AND($L25&lt;&gt;"",IFERROR(INDEX(应收键,MATCH($L25,应收单号,0)),"")&lt;&gt;$D25),"★关联单号不是这个客户的",IF(AND($L25&lt;&gt;"",ROUND(SUMIF(收款关联,$L25,收款金额)-IFERROR(INDEX(应收金额,MATCH($L25,应收单号,0)),0),2)&gt;0.001),"★指定冲销超过那张单的应收","OK"))))))))</f>
        <v>OK</v>
      </c>
    </row>
    <row r="26" customFormat="false" ht="15" hidden="false" customHeight="false" outlineLevel="0" collapsed="false">
      <c r="A26" s="29" t="str">
        <f aca="false">IF($C26="","",ROW()-4)</f>
        <v/>
      </c>
      <c r="B26" s="35" t="str">
        <f aca="false">IF($C26="","","SK"&amp;TEXT($C26,"yyyymm")&amp;"-"&amp;TEXT(ROW()-4,"0000"))</f>
        <v/>
      </c>
      <c r="C26" s="33"/>
      <c r="D26" s="24"/>
      <c r="E26" s="30" t="str">
        <f aca="false">IF($D26="","",IFERROR(INDEX(合同单位,MATCH($D26,合同键,0)),IFERROR(TRIM(LEFT($D26,FIND("｜",$D26)-1)),$D26)))</f>
        <v/>
      </c>
      <c r="F26" s="30" t="str">
        <f aca="false">IF($D26="","",IFERROR(INDEX(合同项目,MATCH($D26,合同键,0)),IFERROR(TRIM(MID($D26,FIND("｜",$D26)+1,99)),"")))</f>
        <v/>
      </c>
      <c r="G26" s="39"/>
      <c r="H26" s="25"/>
      <c r="I26" s="35" t="str">
        <f aca="false">IF($H26="","",IFERROR(INDEX(票据归类表,MATCH($H26,票据类型表,0)),"现金无票"))</f>
        <v/>
      </c>
      <c r="J26" s="25"/>
      <c r="K26" s="25"/>
      <c r="L26" s="31"/>
      <c r="M26" s="29" t="str">
        <f aca="false">IF($C26="","",YEAR($C26))</f>
        <v/>
      </c>
      <c r="N26" s="24"/>
      <c r="O26" s="35" t="str">
        <f aca="false">IF($C26="","",IF($D26="","★没选客户项目",IF(COUNTIF(合同键,$D26)=0,"★《维保合同》里没这个项目",IF(N($G26)&lt;=0,"★收款金额要填",IF($H26="","★票据类型要选",IF(AND($L26&lt;&gt;"",COUNTIF(应收单号,$L26)=0),"★关联的应收单号不存在",IF(AND($L26&lt;&gt;"",IFERROR(INDEX(应收键,MATCH($L26,应收单号,0)),"")&lt;&gt;$D26),"★关联单号不是这个客户的",IF(AND($L26&lt;&gt;"",ROUND(SUMIF(收款关联,$L26,收款金额)-IFERROR(INDEX(应收金额,MATCH($L26,应收单号,0)),0),2)&gt;0.001),"★指定冲销超过那张单的应收","OK"))))))))</f>
        <v/>
      </c>
    </row>
    <row r="27" customFormat="false" ht="15" hidden="false" customHeight="false" outlineLevel="0" collapsed="false">
      <c r="A27" s="29" t="str">
        <f aca="false">IF($C27="","",ROW()-4)</f>
        <v/>
      </c>
      <c r="B27" s="35" t="str">
        <f aca="false">IF($C27="","","SK"&amp;TEXT($C27,"yyyymm")&amp;"-"&amp;TEXT(ROW()-4,"0000"))</f>
        <v/>
      </c>
      <c r="C27" s="33"/>
      <c r="D27" s="24"/>
      <c r="E27" s="30" t="str">
        <f aca="false">IF($D27="","",IFERROR(INDEX(合同单位,MATCH($D27,合同键,0)),IFERROR(TRIM(LEFT($D27,FIND("｜",$D27)-1)),$D27)))</f>
        <v/>
      </c>
      <c r="F27" s="30" t="str">
        <f aca="false">IF($D27="","",IFERROR(INDEX(合同项目,MATCH($D27,合同键,0)),IFERROR(TRIM(MID($D27,FIND("｜",$D27)+1,99)),"")))</f>
        <v/>
      </c>
      <c r="G27" s="39"/>
      <c r="H27" s="25"/>
      <c r="I27" s="35" t="str">
        <f aca="false">IF($H27="","",IFERROR(INDEX(票据归类表,MATCH($H27,票据类型表,0)),"现金无票"))</f>
        <v/>
      </c>
      <c r="J27" s="25"/>
      <c r="K27" s="25"/>
      <c r="L27" s="31"/>
      <c r="M27" s="29" t="str">
        <f aca="false">IF($C27="","",YEAR($C27))</f>
        <v/>
      </c>
      <c r="N27" s="24"/>
      <c r="O27" s="35" t="str">
        <f aca="false">IF($C27="","",IF($D27="","★没选客户项目",IF(COUNTIF(合同键,$D27)=0,"★《维保合同》里没这个项目",IF(N($G27)&lt;=0,"★收款金额要填",IF($H27="","★票据类型要选",IF(AND($L27&lt;&gt;"",COUNTIF(应收单号,$L27)=0),"★关联的应收单号不存在",IF(AND($L27&lt;&gt;"",IFERROR(INDEX(应收键,MATCH($L27,应收单号,0)),"")&lt;&gt;$D27),"★关联单号不是这个客户的",IF(AND($L27&lt;&gt;"",ROUND(SUMIF(收款关联,$L27,收款金额)-IFERROR(INDEX(应收金额,MATCH($L27,应收单号,0)),0),2)&gt;0.001),"★指定冲销超过那张单的应收","OK"))))))))</f>
        <v/>
      </c>
    </row>
    <row r="28" customFormat="false" ht="15" hidden="false" customHeight="false" outlineLevel="0" collapsed="false">
      <c r="A28" s="29" t="str">
        <f aca="false">IF($C28="","",ROW()-4)</f>
        <v/>
      </c>
      <c r="B28" s="35" t="str">
        <f aca="false">IF($C28="","","SK"&amp;TEXT($C28,"yyyymm")&amp;"-"&amp;TEXT(ROW()-4,"0000"))</f>
        <v/>
      </c>
      <c r="C28" s="33"/>
      <c r="D28" s="24"/>
      <c r="E28" s="30" t="str">
        <f aca="false">IF($D28="","",IFERROR(INDEX(合同单位,MATCH($D28,合同键,0)),IFERROR(TRIM(LEFT($D28,FIND("｜",$D28)-1)),$D28)))</f>
        <v/>
      </c>
      <c r="F28" s="30" t="str">
        <f aca="false">IF($D28="","",IFERROR(INDEX(合同项目,MATCH($D28,合同键,0)),IFERROR(TRIM(MID($D28,FIND("｜",$D28)+1,99)),"")))</f>
        <v/>
      </c>
      <c r="G28" s="39"/>
      <c r="H28" s="25"/>
      <c r="I28" s="35" t="str">
        <f aca="false">IF($H28="","",IFERROR(INDEX(票据归类表,MATCH($H28,票据类型表,0)),"现金无票"))</f>
        <v/>
      </c>
      <c r="J28" s="25"/>
      <c r="K28" s="25"/>
      <c r="L28" s="31"/>
      <c r="M28" s="29" t="str">
        <f aca="false">IF($C28="","",YEAR($C28))</f>
        <v/>
      </c>
      <c r="N28" s="24"/>
      <c r="O28" s="35" t="str">
        <f aca="false">IF($C28="","",IF($D28="","★没选客户项目",IF(COUNTIF(合同键,$D28)=0,"★《维保合同》里没这个项目",IF(N($G28)&lt;=0,"★收款金额要填",IF($H28="","★票据类型要选",IF(AND($L28&lt;&gt;"",COUNTIF(应收单号,$L28)=0),"★关联的应收单号不存在",IF(AND($L28&lt;&gt;"",IFERROR(INDEX(应收键,MATCH($L28,应收单号,0)),"")&lt;&gt;$D28),"★关联单号不是这个客户的",IF(AND($L28&lt;&gt;"",ROUND(SUMIF(收款关联,$L28,收款金额)-IFERROR(INDEX(应收金额,MATCH($L28,应收单号,0)),0),2)&gt;0.001),"★指定冲销超过那张单的应收","OK"))))))))</f>
        <v/>
      </c>
    </row>
    <row r="29" customFormat="false" ht="15" hidden="false" customHeight="false" outlineLevel="0" collapsed="false">
      <c r="A29" s="29" t="str">
        <f aca="false">IF($C29="","",ROW()-4)</f>
        <v/>
      </c>
      <c r="B29" s="35" t="str">
        <f aca="false">IF($C29="","","SK"&amp;TEXT($C29,"yyyymm")&amp;"-"&amp;TEXT(ROW()-4,"0000"))</f>
        <v/>
      </c>
      <c r="C29" s="33"/>
      <c r="D29" s="24"/>
      <c r="E29" s="30" t="str">
        <f aca="false">IF($D29="","",IFERROR(INDEX(合同单位,MATCH($D29,合同键,0)),IFERROR(TRIM(LEFT($D29,FIND("｜",$D29)-1)),$D29)))</f>
        <v/>
      </c>
      <c r="F29" s="30" t="str">
        <f aca="false">IF($D29="","",IFERROR(INDEX(合同项目,MATCH($D29,合同键,0)),IFERROR(TRIM(MID($D29,FIND("｜",$D29)+1,99)),"")))</f>
        <v/>
      </c>
      <c r="G29" s="39"/>
      <c r="H29" s="25"/>
      <c r="I29" s="35" t="str">
        <f aca="false">IF($H29="","",IFERROR(INDEX(票据归类表,MATCH($H29,票据类型表,0)),"现金无票"))</f>
        <v/>
      </c>
      <c r="J29" s="25"/>
      <c r="K29" s="25"/>
      <c r="L29" s="31"/>
      <c r="M29" s="29" t="str">
        <f aca="false">IF($C29="","",YEAR($C29))</f>
        <v/>
      </c>
      <c r="N29" s="24"/>
      <c r="O29" s="35" t="str">
        <f aca="false">IF($C29="","",IF($D29="","★没选客户项目",IF(COUNTIF(合同键,$D29)=0,"★《维保合同》里没这个项目",IF(N($G29)&lt;=0,"★收款金额要填",IF($H29="","★票据类型要选",IF(AND($L29&lt;&gt;"",COUNTIF(应收单号,$L29)=0),"★关联的应收单号不存在",IF(AND($L29&lt;&gt;"",IFERROR(INDEX(应收键,MATCH($L29,应收单号,0)),"")&lt;&gt;$D29),"★关联单号不是这个客户的",IF(AND($L29&lt;&gt;"",ROUND(SUMIF(收款关联,$L29,收款金额)-IFERROR(INDEX(应收金额,MATCH($L29,应收单号,0)),0),2)&gt;0.001),"★指定冲销超过那张单的应收","OK"))))))))</f>
        <v/>
      </c>
    </row>
    <row r="30" customFormat="false" ht="15" hidden="false" customHeight="false" outlineLevel="0" collapsed="false">
      <c r="A30" s="29" t="str">
        <f aca="false">IF($C30="","",ROW()-4)</f>
        <v/>
      </c>
      <c r="B30" s="35" t="str">
        <f aca="false">IF($C30="","","SK"&amp;TEXT($C30,"yyyymm")&amp;"-"&amp;TEXT(ROW()-4,"0000"))</f>
        <v/>
      </c>
      <c r="C30" s="33"/>
      <c r="D30" s="24"/>
      <c r="E30" s="30" t="str">
        <f aca="false">IF($D30="","",IFERROR(INDEX(合同单位,MATCH($D30,合同键,0)),IFERROR(TRIM(LEFT($D30,FIND("｜",$D30)-1)),$D30)))</f>
        <v/>
      </c>
      <c r="F30" s="30" t="str">
        <f aca="false">IF($D30="","",IFERROR(INDEX(合同项目,MATCH($D30,合同键,0)),IFERROR(TRIM(MID($D30,FIND("｜",$D30)+1,99)),"")))</f>
        <v/>
      </c>
      <c r="G30" s="39"/>
      <c r="H30" s="25"/>
      <c r="I30" s="35" t="str">
        <f aca="false">IF($H30="","",IFERROR(INDEX(票据归类表,MATCH($H30,票据类型表,0)),"现金无票"))</f>
        <v/>
      </c>
      <c r="J30" s="25"/>
      <c r="K30" s="25"/>
      <c r="L30" s="31"/>
      <c r="M30" s="29" t="str">
        <f aca="false">IF($C30="","",YEAR($C30))</f>
        <v/>
      </c>
      <c r="N30" s="24"/>
      <c r="O30" s="35" t="str">
        <f aca="false">IF($C30="","",IF($D30="","★没选客户项目",IF(COUNTIF(合同键,$D30)=0,"★《维保合同》里没这个项目",IF(N($G30)&lt;=0,"★收款金额要填",IF($H30="","★票据类型要选",IF(AND($L30&lt;&gt;"",COUNTIF(应收单号,$L30)=0),"★关联的应收单号不存在",IF(AND($L30&lt;&gt;"",IFERROR(INDEX(应收键,MATCH($L30,应收单号,0)),"")&lt;&gt;$D30),"★关联单号不是这个客户的",IF(AND($L30&lt;&gt;"",ROUND(SUMIF(收款关联,$L30,收款金额)-IFERROR(INDEX(应收金额,MATCH($L30,应收单号,0)),0),2)&gt;0.001),"★指定冲销超过那张单的应收","OK"))))))))</f>
        <v/>
      </c>
    </row>
    <row r="31" customFormat="false" ht="15" hidden="false" customHeight="false" outlineLevel="0" collapsed="false">
      <c r="A31" s="29" t="str">
        <f aca="false">IF($C31="","",ROW()-4)</f>
        <v/>
      </c>
      <c r="B31" s="35" t="str">
        <f aca="false">IF($C31="","","SK"&amp;TEXT($C31,"yyyymm")&amp;"-"&amp;TEXT(ROW()-4,"0000"))</f>
        <v/>
      </c>
      <c r="C31" s="33"/>
      <c r="D31" s="24"/>
      <c r="E31" s="30" t="str">
        <f aca="false">IF($D31="","",IFERROR(INDEX(合同单位,MATCH($D31,合同键,0)),IFERROR(TRIM(LEFT($D31,FIND("｜",$D31)-1)),$D31)))</f>
        <v/>
      </c>
      <c r="F31" s="30" t="str">
        <f aca="false">IF($D31="","",IFERROR(INDEX(合同项目,MATCH($D31,合同键,0)),IFERROR(TRIM(MID($D31,FIND("｜",$D31)+1,99)),"")))</f>
        <v/>
      </c>
      <c r="G31" s="39"/>
      <c r="H31" s="25"/>
      <c r="I31" s="35" t="str">
        <f aca="false">IF($H31="","",IFERROR(INDEX(票据归类表,MATCH($H31,票据类型表,0)),"现金无票"))</f>
        <v/>
      </c>
      <c r="J31" s="25"/>
      <c r="K31" s="25"/>
      <c r="L31" s="31"/>
      <c r="M31" s="29" t="str">
        <f aca="false">IF($C31="","",YEAR($C31))</f>
        <v/>
      </c>
      <c r="N31" s="24"/>
      <c r="O31" s="35" t="str">
        <f aca="false">IF($C31="","",IF($D31="","★没选客户项目",IF(COUNTIF(合同键,$D31)=0,"★《维保合同》里没这个项目",IF(N($G31)&lt;=0,"★收款金额要填",IF($H31="","★票据类型要选",IF(AND($L31&lt;&gt;"",COUNTIF(应收单号,$L31)=0),"★关联的应收单号不存在",IF(AND($L31&lt;&gt;"",IFERROR(INDEX(应收键,MATCH($L31,应收单号,0)),"")&lt;&gt;$D31),"★关联单号不是这个客户的",IF(AND($L31&lt;&gt;"",ROUND(SUMIF(收款关联,$L31,收款金额)-IFERROR(INDEX(应收金额,MATCH($L31,应收单号,0)),0),2)&gt;0.001),"★指定冲销超过那张单的应收","OK"))))))))</f>
        <v/>
      </c>
    </row>
    <row r="32" customFormat="false" ht="15" hidden="false" customHeight="false" outlineLevel="0" collapsed="false">
      <c r="A32" s="29" t="str">
        <f aca="false">IF($C32="","",ROW()-4)</f>
        <v/>
      </c>
      <c r="B32" s="35" t="str">
        <f aca="false">IF($C32="","","SK"&amp;TEXT($C32,"yyyymm")&amp;"-"&amp;TEXT(ROW()-4,"0000"))</f>
        <v/>
      </c>
      <c r="C32" s="33"/>
      <c r="D32" s="24"/>
      <c r="E32" s="30" t="str">
        <f aca="false">IF($D32="","",IFERROR(INDEX(合同单位,MATCH($D32,合同键,0)),IFERROR(TRIM(LEFT($D32,FIND("｜",$D32)-1)),$D32)))</f>
        <v/>
      </c>
      <c r="F32" s="30" t="str">
        <f aca="false">IF($D32="","",IFERROR(INDEX(合同项目,MATCH($D32,合同键,0)),IFERROR(TRIM(MID($D32,FIND("｜",$D32)+1,99)),"")))</f>
        <v/>
      </c>
      <c r="G32" s="39"/>
      <c r="H32" s="25"/>
      <c r="I32" s="35" t="str">
        <f aca="false">IF($H32="","",IFERROR(INDEX(票据归类表,MATCH($H32,票据类型表,0)),"现金无票"))</f>
        <v/>
      </c>
      <c r="J32" s="25"/>
      <c r="K32" s="25"/>
      <c r="L32" s="31"/>
      <c r="M32" s="29" t="str">
        <f aca="false">IF($C32="","",YEAR($C32))</f>
        <v/>
      </c>
      <c r="N32" s="24"/>
      <c r="O32" s="35" t="str">
        <f aca="false">IF($C32="","",IF($D32="","★没选客户项目",IF(COUNTIF(合同键,$D32)=0,"★《维保合同》里没这个项目",IF(N($G32)&lt;=0,"★收款金额要填",IF($H32="","★票据类型要选",IF(AND($L32&lt;&gt;"",COUNTIF(应收单号,$L32)=0),"★关联的应收单号不存在",IF(AND($L32&lt;&gt;"",IFERROR(INDEX(应收键,MATCH($L32,应收单号,0)),"")&lt;&gt;$D32),"★关联单号不是这个客户的",IF(AND($L32&lt;&gt;"",ROUND(SUMIF(收款关联,$L32,收款金额)-IFERROR(INDEX(应收金额,MATCH($L32,应收单号,0)),0),2)&gt;0.001),"★指定冲销超过那张单的应收","OK"))))))))</f>
        <v/>
      </c>
    </row>
    <row r="33" customFormat="false" ht="15" hidden="false" customHeight="false" outlineLevel="0" collapsed="false">
      <c r="A33" s="29" t="str">
        <f aca="false">IF($C33="","",ROW()-4)</f>
        <v/>
      </c>
      <c r="B33" s="35" t="str">
        <f aca="false">IF($C33="","","SK"&amp;TEXT($C33,"yyyymm")&amp;"-"&amp;TEXT(ROW()-4,"0000"))</f>
        <v/>
      </c>
      <c r="C33" s="33"/>
      <c r="D33" s="24"/>
      <c r="E33" s="30" t="str">
        <f aca="false">IF($D33="","",IFERROR(INDEX(合同单位,MATCH($D33,合同键,0)),IFERROR(TRIM(LEFT($D33,FIND("｜",$D33)-1)),$D33)))</f>
        <v/>
      </c>
      <c r="F33" s="30" t="str">
        <f aca="false">IF($D33="","",IFERROR(INDEX(合同项目,MATCH($D33,合同键,0)),IFERROR(TRIM(MID($D33,FIND("｜",$D33)+1,99)),"")))</f>
        <v/>
      </c>
      <c r="G33" s="39"/>
      <c r="H33" s="25"/>
      <c r="I33" s="35" t="str">
        <f aca="false">IF($H33="","",IFERROR(INDEX(票据归类表,MATCH($H33,票据类型表,0)),"现金无票"))</f>
        <v/>
      </c>
      <c r="J33" s="25"/>
      <c r="K33" s="25"/>
      <c r="L33" s="31"/>
      <c r="M33" s="29" t="str">
        <f aca="false">IF($C33="","",YEAR($C33))</f>
        <v/>
      </c>
      <c r="N33" s="24"/>
      <c r="O33" s="35" t="str">
        <f aca="false">IF($C33="","",IF($D33="","★没选客户项目",IF(COUNTIF(合同键,$D33)=0,"★《维保合同》里没这个项目",IF(N($G33)&lt;=0,"★收款金额要填",IF($H33="","★票据类型要选",IF(AND($L33&lt;&gt;"",COUNTIF(应收单号,$L33)=0),"★关联的应收单号不存在",IF(AND($L33&lt;&gt;"",IFERROR(INDEX(应收键,MATCH($L33,应收单号,0)),"")&lt;&gt;$D33),"★关联单号不是这个客户的",IF(AND($L33&lt;&gt;"",ROUND(SUMIF(收款关联,$L33,收款金额)-IFERROR(INDEX(应收金额,MATCH($L33,应收单号,0)),0),2)&gt;0.001),"★指定冲销超过那张单的应收","OK"))))))))</f>
        <v/>
      </c>
    </row>
    <row r="34" customFormat="false" ht="15" hidden="false" customHeight="false" outlineLevel="0" collapsed="false">
      <c r="A34" s="29" t="str">
        <f aca="false">IF($C34="","",ROW()-4)</f>
        <v/>
      </c>
      <c r="B34" s="35" t="str">
        <f aca="false">IF($C34="","","SK"&amp;TEXT($C34,"yyyymm")&amp;"-"&amp;TEXT(ROW()-4,"0000"))</f>
        <v/>
      </c>
      <c r="C34" s="33"/>
      <c r="D34" s="24"/>
      <c r="E34" s="30" t="str">
        <f aca="false">IF($D34="","",IFERROR(INDEX(合同单位,MATCH($D34,合同键,0)),IFERROR(TRIM(LEFT($D34,FIND("｜",$D34)-1)),$D34)))</f>
        <v/>
      </c>
      <c r="F34" s="30" t="str">
        <f aca="false">IF($D34="","",IFERROR(INDEX(合同项目,MATCH($D34,合同键,0)),IFERROR(TRIM(MID($D34,FIND("｜",$D34)+1,99)),"")))</f>
        <v/>
      </c>
      <c r="G34" s="39"/>
      <c r="H34" s="25"/>
      <c r="I34" s="35" t="str">
        <f aca="false">IF($H34="","",IFERROR(INDEX(票据归类表,MATCH($H34,票据类型表,0)),"现金无票"))</f>
        <v/>
      </c>
      <c r="J34" s="25"/>
      <c r="K34" s="25"/>
      <c r="L34" s="31"/>
      <c r="M34" s="29" t="str">
        <f aca="false">IF($C34="","",YEAR($C34))</f>
        <v/>
      </c>
      <c r="N34" s="24"/>
      <c r="O34" s="35" t="str">
        <f aca="false">IF($C34="","",IF($D34="","★没选客户项目",IF(COUNTIF(合同键,$D34)=0,"★《维保合同》里没这个项目",IF(N($G34)&lt;=0,"★收款金额要填",IF($H34="","★票据类型要选",IF(AND($L34&lt;&gt;"",COUNTIF(应收单号,$L34)=0),"★关联的应收单号不存在",IF(AND($L34&lt;&gt;"",IFERROR(INDEX(应收键,MATCH($L34,应收单号,0)),"")&lt;&gt;$D34),"★关联单号不是这个客户的",IF(AND($L34&lt;&gt;"",ROUND(SUMIF(收款关联,$L34,收款金额)-IFERROR(INDEX(应收金额,MATCH($L34,应收单号,0)),0),2)&gt;0.001),"★指定冲销超过那张单的应收","OK"))))))))</f>
        <v/>
      </c>
    </row>
    <row r="35" customFormat="false" ht="15" hidden="false" customHeight="false" outlineLevel="0" collapsed="false">
      <c r="A35" s="29" t="str">
        <f aca="false">IF($C35="","",ROW()-4)</f>
        <v/>
      </c>
      <c r="B35" s="35" t="str">
        <f aca="false">IF($C35="","","SK"&amp;TEXT($C35,"yyyymm")&amp;"-"&amp;TEXT(ROW()-4,"0000"))</f>
        <v/>
      </c>
      <c r="C35" s="33"/>
      <c r="D35" s="24"/>
      <c r="E35" s="30" t="str">
        <f aca="false">IF($D35="","",IFERROR(INDEX(合同单位,MATCH($D35,合同键,0)),IFERROR(TRIM(LEFT($D35,FIND("｜",$D35)-1)),$D35)))</f>
        <v/>
      </c>
      <c r="F35" s="30" t="str">
        <f aca="false">IF($D35="","",IFERROR(INDEX(合同项目,MATCH($D35,合同键,0)),IFERROR(TRIM(MID($D35,FIND("｜",$D35)+1,99)),"")))</f>
        <v/>
      </c>
      <c r="G35" s="39"/>
      <c r="H35" s="25"/>
      <c r="I35" s="35" t="str">
        <f aca="false">IF($H35="","",IFERROR(INDEX(票据归类表,MATCH($H35,票据类型表,0)),"现金无票"))</f>
        <v/>
      </c>
      <c r="J35" s="25"/>
      <c r="K35" s="25"/>
      <c r="L35" s="31"/>
      <c r="M35" s="29" t="str">
        <f aca="false">IF($C35="","",YEAR($C35))</f>
        <v/>
      </c>
      <c r="N35" s="24"/>
      <c r="O35" s="35" t="str">
        <f aca="false">IF($C35="","",IF($D35="","★没选客户项目",IF(COUNTIF(合同键,$D35)=0,"★《维保合同》里没这个项目",IF(N($G35)&lt;=0,"★收款金额要填",IF($H35="","★票据类型要选",IF(AND($L35&lt;&gt;"",COUNTIF(应收单号,$L35)=0),"★关联的应收单号不存在",IF(AND($L35&lt;&gt;"",IFERROR(INDEX(应收键,MATCH($L35,应收单号,0)),"")&lt;&gt;$D35),"★关联单号不是这个客户的",IF(AND($L35&lt;&gt;"",ROUND(SUMIF(收款关联,$L35,收款金额)-IFERROR(INDEX(应收金额,MATCH($L35,应收单号,0)),0),2)&gt;0.001),"★指定冲销超过那张单的应收","OK"))))))))</f>
        <v/>
      </c>
    </row>
    <row r="36" customFormat="false" ht="15" hidden="false" customHeight="false" outlineLevel="0" collapsed="false">
      <c r="A36" s="29" t="str">
        <f aca="false">IF($C36="","",ROW()-4)</f>
        <v/>
      </c>
      <c r="B36" s="35" t="str">
        <f aca="false">IF($C36="","","SK"&amp;TEXT($C36,"yyyymm")&amp;"-"&amp;TEXT(ROW()-4,"0000"))</f>
        <v/>
      </c>
      <c r="C36" s="33"/>
      <c r="D36" s="24"/>
      <c r="E36" s="30" t="str">
        <f aca="false">IF($D36="","",IFERROR(INDEX(合同单位,MATCH($D36,合同键,0)),IFERROR(TRIM(LEFT($D36,FIND("｜",$D36)-1)),$D36)))</f>
        <v/>
      </c>
      <c r="F36" s="30" t="str">
        <f aca="false">IF($D36="","",IFERROR(INDEX(合同项目,MATCH($D36,合同键,0)),IFERROR(TRIM(MID($D36,FIND("｜",$D36)+1,99)),"")))</f>
        <v/>
      </c>
      <c r="G36" s="39"/>
      <c r="H36" s="25"/>
      <c r="I36" s="35" t="str">
        <f aca="false">IF($H36="","",IFERROR(INDEX(票据归类表,MATCH($H36,票据类型表,0)),"现金无票"))</f>
        <v/>
      </c>
      <c r="J36" s="25"/>
      <c r="K36" s="25"/>
      <c r="L36" s="31"/>
      <c r="M36" s="29" t="str">
        <f aca="false">IF($C36="","",YEAR($C36))</f>
        <v/>
      </c>
      <c r="N36" s="24"/>
      <c r="O36" s="35" t="str">
        <f aca="false">IF($C36="","",IF($D36="","★没选客户项目",IF(COUNTIF(合同键,$D36)=0,"★《维保合同》里没这个项目",IF(N($G36)&lt;=0,"★收款金额要填",IF($H36="","★票据类型要选",IF(AND($L36&lt;&gt;"",COUNTIF(应收单号,$L36)=0),"★关联的应收单号不存在",IF(AND($L36&lt;&gt;"",IFERROR(INDEX(应收键,MATCH($L36,应收单号,0)),"")&lt;&gt;$D36),"★关联单号不是这个客户的",IF(AND($L36&lt;&gt;"",ROUND(SUMIF(收款关联,$L36,收款金额)-IFERROR(INDEX(应收金额,MATCH($L36,应收单号,0)),0),2)&gt;0.001),"★指定冲销超过那张单的应收","OK"))))))))</f>
        <v/>
      </c>
    </row>
    <row r="37" customFormat="false" ht="15" hidden="false" customHeight="false" outlineLevel="0" collapsed="false">
      <c r="A37" s="29" t="str">
        <f aca="false">IF($C37="","",ROW()-4)</f>
        <v/>
      </c>
      <c r="B37" s="35" t="str">
        <f aca="false">IF($C37="","","SK"&amp;TEXT($C37,"yyyymm")&amp;"-"&amp;TEXT(ROW()-4,"0000"))</f>
        <v/>
      </c>
      <c r="C37" s="33"/>
      <c r="D37" s="24"/>
      <c r="E37" s="30" t="str">
        <f aca="false">IF($D37="","",IFERROR(INDEX(合同单位,MATCH($D37,合同键,0)),IFERROR(TRIM(LEFT($D37,FIND("｜",$D37)-1)),$D37)))</f>
        <v/>
      </c>
      <c r="F37" s="30" t="str">
        <f aca="false">IF($D37="","",IFERROR(INDEX(合同项目,MATCH($D37,合同键,0)),IFERROR(TRIM(MID($D37,FIND("｜",$D37)+1,99)),"")))</f>
        <v/>
      </c>
      <c r="G37" s="39"/>
      <c r="H37" s="25"/>
      <c r="I37" s="35" t="str">
        <f aca="false">IF($H37="","",IFERROR(INDEX(票据归类表,MATCH($H37,票据类型表,0)),"现金无票"))</f>
        <v/>
      </c>
      <c r="J37" s="25"/>
      <c r="K37" s="25"/>
      <c r="L37" s="31"/>
      <c r="M37" s="29" t="str">
        <f aca="false">IF($C37="","",YEAR($C37))</f>
        <v/>
      </c>
      <c r="N37" s="24"/>
      <c r="O37" s="35" t="str">
        <f aca="false">IF($C37="","",IF($D37="","★没选客户项目",IF(COUNTIF(合同键,$D37)=0,"★《维保合同》里没这个项目",IF(N($G37)&lt;=0,"★收款金额要填",IF($H37="","★票据类型要选",IF(AND($L37&lt;&gt;"",COUNTIF(应收单号,$L37)=0),"★关联的应收单号不存在",IF(AND($L37&lt;&gt;"",IFERROR(INDEX(应收键,MATCH($L37,应收单号,0)),"")&lt;&gt;$D37),"★关联单号不是这个客户的",IF(AND($L37&lt;&gt;"",ROUND(SUMIF(收款关联,$L37,收款金额)-IFERROR(INDEX(应收金额,MATCH($L37,应收单号,0)),0),2)&gt;0.001),"★指定冲销超过那张单的应收","OK"))))))))</f>
        <v/>
      </c>
    </row>
    <row r="38" customFormat="false" ht="15" hidden="false" customHeight="false" outlineLevel="0" collapsed="false">
      <c r="A38" s="29" t="str">
        <f aca="false">IF($C38="","",ROW()-4)</f>
        <v/>
      </c>
      <c r="B38" s="35" t="str">
        <f aca="false">IF($C38="","","SK"&amp;TEXT($C38,"yyyymm")&amp;"-"&amp;TEXT(ROW()-4,"0000"))</f>
        <v/>
      </c>
      <c r="C38" s="33"/>
      <c r="D38" s="24"/>
      <c r="E38" s="30" t="str">
        <f aca="false">IF($D38="","",IFERROR(INDEX(合同单位,MATCH($D38,合同键,0)),IFERROR(TRIM(LEFT($D38,FIND("｜",$D38)-1)),$D38)))</f>
        <v/>
      </c>
      <c r="F38" s="30" t="str">
        <f aca="false">IF($D38="","",IFERROR(INDEX(合同项目,MATCH($D38,合同键,0)),IFERROR(TRIM(MID($D38,FIND("｜",$D38)+1,99)),"")))</f>
        <v/>
      </c>
      <c r="G38" s="39"/>
      <c r="H38" s="25"/>
      <c r="I38" s="35" t="str">
        <f aca="false">IF($H38="","",IFERROR(INDEX(票据归类表,MATCH($H38,票据类型表,0)),"现金无票"))</f>
        <v/>
      </c>
      <c r="J38" s="25"/>
      <c r="K38" s="25"/>
      <c r="L38" s="31"/>
      <c r="M38" s="29" t="str">
        <f aca="false">IF($C38="","",YEAR($C38))</f>
        <v/>
      </c>
      <c r="N38" s="24"/>
      <c r="O38" s="35" t="str">
        <f aca="false">IF($C38="","",IF($D38="","★没选客户项目",IF(COUNTIF(合同键,$D38)=0,"★《维保合同》里没这个项目",IF(N($G38)&lt;=0,"★收款金额要填",IF($H38="","★票据类型要选",IF(AND($L38&lt;&gt;"",COUNTIF(应收单号,$L38)=0),"★关联的应收单号不存在",IF(AND($L38&lt;&gt;"",IFERROR(INDEX(应收键,MATCH($L38,应收单号,0)),"")&lt;&gt;$D38),"★关联单号不是这个客户的",IF(AND($L38&lt;&gt;"",ROUND(SUMIF(收款关联,$L38,收款金额)-IFERROR(INDEX(应收金额,MATCH($L38,应收单号,0)),0),2)&gt;0.001),"★指定冲销超过那张单的应收","OK"))))))))</f>
        <v/>
      </c>
    </row>
    <row r="39" customFormat="false" ht="15" hidden="false" customHeight="false" outlineLevel="0" collapsed="false">
      <c r="A39" s="29" t="str">
        <f aca="false">IF($C39="","",ROW()-4)</f>
        <v/>
      </c>
      <c r="B39" s="35" t="str">
        <f aca="false">IF($C39="","","SK"&amp;TEXT($C39,"yyyymm")&amp;"-"&amp;TEXT(ROW()-4,"0000"))</f>
        <v/>
      </c>
      <c r="C39" s="33"/>
      <c r="D39" s="24"/>
      <c r="E39" s="30" t="str">
        <f aca="false">IF($D39="","",IFERROR(INDEX(合同单位,MATCH($D39,合同键,0)),IFERROR(TRIM(LEFT($D39,FIND("｜",$D39)-1)),$D39)))</f>
        <v/>
      </c>
      <c r="F39" s="30" t="str">
        <f aca="false">IF($D39="","",IFERROR(INDEX(合同项目,MATCH($D39,合同键,0)),IFERROR(TRIM(MID($D39,FIND("｜",$D39)+1,99)),"")))</f>
        <v/>
      </c>
      <c r="G39" s="39"/>
      <c r="H39" s="25"/>
      <c r="I39" s="35" t="str">
        <f aca="false">IF($H39="","",IFERROR(INDEX(票据归类表,MATCH($H39,票据类型表,0)),"现金无票"))</f>
        <v/>
      </c>
      <c r="J39" s="25"/>
      <c r="K39" s="25"/>
      <c r="L39" s="31"/>
      <c r="M39" s="29" t="str">
        <f aca="false">IF($C39="","",YEAR($C39))</f>
        <v/>
      </c>
      <c r="N39" s="24"/>
      <c r="O39" s="35" t="str">
        <f aca="false">IF($C39="","",IF($D39="","★没选客户项目",IF(COUNTIF(合同键,$D39)=0,"★《维保合同》里没这个项目",IF(N($G39)&lt;=0,"★收款金额要填",IF($H39="","★票据类型要选",IF(AND($L39&lt;&gt;"",COUNTIF(应收单号,$L39)=0),"★关联的应收单号不存在",IF(AND($L39&lt;&gt;"",IFERROR(INDEX(应收键,MATCH($L39,应收单号,0)),"")&lt;&gt;$D39),"★关联单号不是这个客户的",IF(AND($L39&lt;&gt;"",ROUND(SUMIF(收款关联,$L39,收款金额)-IFERROR(INDEX(应收金额,MATCH($L39,应收单号,0)),0),2)&gt;0.001),"★指定冲销超过那张单的应收","OK"))))))))</f>
        <v/>
      </c>
    </row>
    <row r="40" customFormat="false" ht="15" hidden="false" customHeight="false" outlineLevel="0" collapsed="false">
      <c r="A40" s="29" t="str">
        <f aca="false">IF($C40="","",ROW()-4)</f>
        <v/>
      </c>
      <c r="B40" s="35" t="str">
        <f aca="false">IF($C40="","","SK"&amp;TEXT($C40,"yyyymm")&amp;"-"&amp;TEXT(ROW()-4,"0000"))</f>
        <v/>
      </c>
      <c r="C40" s="33"/>
      <c r="D40" s="24"/>
      <c r="E40" s="30" t="str">
        <f aca="false">IF($D40="","",IFERROR(INDEX(合同单位,MATCH($D40,合同键,0)),IFERROR(TRIM(LEFT($D40,FIND("｜",$D40)-1)),$D40)))</f>
        <v/>
      </c>
      <c r="F40" s="30" t="str">
        <f aca="false">IF($D40="","",IFERROR(INDEX(合同项目,MATCH($D40,合同键,0)),IFERROR(TRIM(MID($D40,FIND("｜",$D40)+1,99)),"")))</f>
        <v/>
      </c>
      <c r="G40" s="39"/>
      <c r="H40" s="25"/>
      <c r="I40" s="35" t="str">
        <f aca="false">IF($H40="","",IFERROR(INDEX(票据归类表,MATCH($H40,票据类型表,0)),"现金无票"))</f>
        <v/>
      </c>
      <c r="J40" s="25"/>
      <c r="K40" s="25"/>
      <c r="L40" s="31"/>
      <c r="M40" s="29" t="str">
        <f aca="false">IF($C40="","",YEAR($C40))</f>
        <v/>
      </c>
      <c r="N40" s="24"/>
      <c r="O40" s="35" t="str">
        <f aca="false">IF($C40="","",IF($D40="","★没选客户项目",IF(COUNTIF(合同键,$D40)=0,"★《维保合同》里没这个项目",IF(N($G40)&lt;=0,"★收款金额要填",IF($H40="","★票据类型要选",IF(AND($L40&lt;&gt;"",COUNTIF(应收单号,$L40)=0),"★关联的应收单号不存在",IF(AND($L40&lt;&gt;"",IFERROR(INDEX(应收键,MATCH($L40,应收单号,0)),"")&lt;&gt;$D40),"★关联单号不是这个客户的",IF(AND($L40&lt;&gt;"",ROUND(SUMIF(收款关联,$L40,收款金额)-IFERROR(INDEX(应收金额,MATCH($L40,应收单号,0)),0),2)&gt;0.001),"★指定冲销超过那张单的应收","OK"))))))))</f>
        <v/>
      </c>
    </row>
    <row r="41" customFormat="false" ht="15" hidden="false" customHeight="false" outlineLevel="0" collapsed="false">
      <c r="A41" s="29" t="str">
        <f aca="false">IF($C41="","",ROW()-4)</f>
        <v/>
      </c>
      <c r="B41" s="35" t="str">
        <f aca="false">IF($C41="","","SK"&amp;TEXT($C41,"yyyymm")&amp;"-"&amp;TEXT(ROW()-4,"0000"))</f>
        <v/>
      </c>
      <c r="C41" s="33"/>
      <c r="D41" s="24"/>
      <c r="E41" s="30" t="str">
        <f aca="false">IF($D41="","",IFERROR(INDEX(合同单位,MATCH($D41,合同键,0)),IFERROR(TRIM(LEFT($D41,FIND("｜",$D41)-1)),$D41)))</f>
        <v/>
      </c>
      <c r="F41" s="30" t="str">
        <f aca="false">IF($D41="","",IFERROR(INDEX(合同项目,MATCH($D41,合同键,0)),IFERROR(TRIM(MID($D41,FIND("｜",$D41)+1,99)),"")))</f>
        <v/>
      </c>
      <c r="G41" s="39"/>
      <c r="H41" s="25"/>
      <c r="I41" s="35" t="str">
        <f aca="false">IF($H41="","",IFERROR(INDEX(票据归类表,MATCH($H41,票据类型表,0)),"现金无票"))</f>
        <v/>
      </c>
      <c r="J41" s="25"/>
      <c r="K41" s="25"/>
      <c r="L41" s="31"/>
      <c r="M41" s="29" t="str">
        <f aca="false">IF($C41="","",YEAR($C41))</f>
        <v/>
      </c>
      <c r="N41" s="24"/>
      <c r="O41" s="35" t="str">
        <f aca="false">IF($C41="","",IF($D41="","★没选客户项目",IF(COUNTIF(合同键,$D41)=0,"★《维保合同》里没这个项目",IF(N($G41)&lt;=0,"★收款金额要填",IF($H41="","★票据类型要选",IF(AND($L41&lt;&gt;"",COUNTIF(应收单号,$L41)=0),"★关联的应收单号不存在",IF(AND($L41&lt;&gt;"",IFERROR(INDEX(应收键,MATCH($L41,应收单号,0)),"")&lt;&gt;$D41),"★关联单号不是这个客户的",IF(AND($L41&lt;&gt;"",ROUND(SUMIF(收款关联,$L41,收款金额)-IFERROR(INDEX(应收金额,MATCH($L41,应收单号,0)),0),2)&gt;0.001),"★指定冲销超过那张单的应收","OK"))))))))</f>
        <v/>
      </c>
    </row>
    <row r="42" customFormat="false" ht="15" hidden="false" customHeight="false" outlineLevel="0" collapsed="false">
      <c r="A42" s="29" t="str">
        <f aca="false">IF($C42="","",ROW()-4)</f>
        <v/>
      </c>
      <c r="B42" s="35" t="str">
        <f aca="false">IF($C42="","","SK"&amp;TEXT($C42,"yyyymm")&amp;"-"&amp;TEXT(ROW()-4,"0000"))</f>
        <v/>
      </c>
      <c r="C42" s="33"/>
      <c r="D42" s="24"/>
      <c r="E42" s="30" t="str">
        <f aca="false">IF($D42="","",IFERROR(INDEX(合同单位,MATCH($D42,合同键,0)),IFERROR(TRIM(LEFT($D42,FIND("｜",$D42)-1)),$D42)))</f>
        <v/>
      </c>
      <c r="F42" s="30" t="str">
        <f aca="false">IF($D42="","",IFERROR(INDEX(合同项目,MATCH($D42,合同键,0)),IFERROR(TRIM(MID($D42,FIND("｜",$D42)+1,99)),"")))</f>
        <v/>
      </c>
      <c r="G42" s="39"/>
      <c r="H42" s="25"/>
      <c r="I42" s="35" t="str">
        <f aca="false">IF($H42="","",IFERROR(INDEX(票据归类表,MATCH($H42,票据类型表,0)),"现金无票"))</f>
        <v/>
      </c>
      <c r="J42" s="25"/>
      <c r="K42" s="25"/>
      <c r="L42" s="31"/>
      <c r="M42" s="29" t="str">
        <f aca="false">IF($C42="","",YEAR($C42))</f>
        <v/>
      </c>
      <c r="N42" s="24"/>
      <c r="O42" s="35" t="str">
        <f aca="false">IF($C42="","",IF($D42="","★没选客户项目",IF(COUNTIF(合同键,$D42)=0,"★《维保合同》里没这个项目",IF(N($G42)&lt;=0,"★收款金额要填",IF($H42="","★票据类型要选",IF(AND($L42&lt;&gt;"",COUNTIF(应收单号,$L42)=0),"★关联的应收单号不存在",IF(AND($L42&lt;&gt;"",IFERROR(INDEX(应收键,MATCH($L42,应收单号,0)),"")&lt;&gt;$D42),"★关联单号不是这个客户的",IF(AND($L42&lt;&gt;"",ROUND(SUMIF(收款关联,$L42,收款金额)-IFERROR(INDEX(应收金额,MATCH($L42,应收单号,0)),0),2)&gt;0.001),"★指定冲销超过那张单的应收","OK"))))))))</f>
        <v/>
      </c>
    </row>
    <row r="43" customFormat="false" ht="15" hidden="false" customHeight="false" outlineLevel="0" collapsed="false">
      <c r="A43" s="29" t="str">
        <f aca="false">IF($C43="","",ROW()-4)</f>
        <v/>
      </c>
      <c r="B43" s="35" t="str">
        <f aca="false">IF($C43="","","SK"&amp;TEXT($C43,"yyyymm")&amp;"-"&amp;TEXT(ROW()-4,"0000"))</f>
        <v/>
      </c>
      <c r="C43" s="33"/>
      <c r="D43" s="24"/>
      <c r="E43" s="30" t="str">
        <f aca="false">IF($D43="","",IFERROR(INDEX(合同单位,MATCH($D43,合同键,0)),IFERROR(TRIM(LEFT($D43,FIND("｜",$D43)-1)),$D43)))</f>
        <v/>
      </c>
      <c r="F43" s="30" t="str">
        <f aca="false">IF($D43="","",IFERROR(INDEX(合同项目,MATCH($D43,合同键,0)),IFERROR(TRIM(MID($D43,FIND("｜",$D43)+1,99)),"")))</f>
        <v/>
      </c>
      <c r="G43" s="39"/>
      <c r="H43" s="25"/>
      <c r="I43" s="35" t="str">
        <f aca="false">IF($H43="","",IFERROR(INDEX(票据归类表,MATCH($H43,票据类型表,0)),"现金无票"))</f>
        <v/>
      </c>
      <c r="J43" s="25"/>
      <c r="K43" s="25"/>
      <c r="L43" s="31"/>
      <c r="M43" s="29" t="str">
        <f aca="false">IF($C43="","",YEAR($C43))</f>
        <v/>
      </c>
      <c r="N43" s="24"/>
      <c r="O43" s="35" t="str">
        <f aca="false">IF($C43="","",IF($D43="","★没选客户项目",IF(COUNTIF(合同键,$D43)=0,"★《维保合同》里没这个项目",IF(N($G43)&lt;=0,"★收款金额要填",IF($H43="","★票据类型要选",IF(AND($L43&lt;&gt;"",COUNTIF(应收单号,$L43)=0),"★关联的应收单号不存在",IF(AND($L43&lt;&gt;"",IFERROR(INDEX(应收键,MATCH($L43,应收单号,0)),"")&lt;&gt;$D43),"★关联单号不是这个客户的",IF(AND($L43&lt;&gt;"",ROUND(SUMIF(收款关联,$L43,收款金额)-IFERROR(INDEX(应收金额,MATCH($L43,应收单号,0)),0),2)&gt;0.001),"★指定冲销超过那张单的应收","OK"))))))))</f>
        <v/>
      </c>
    </row>
    <row r="44" customFormat="false" ht="15" hidden="false" customHeight="false" outlineLevel="0" collapsed="false">
      <c r="A44" s="29" t="str">
        <f aca="false">IF($C44="","",ROW()-4)</f>
        <v/>
      </c>
      <c r="B44" s="35" t="str">
        <f aca="false">IF($C44="","","SK"&amp;TEXT($C44,"yyyymm")&amp;"-"&amp;TEXT(ROW()-4,"0000"))</f>
        <v/>
      </c>
      <c r="C44" s="33"/>
      <c r="D44" s="24"/>
      <c r="E44" s="30" t="str">
        <f aca="false">IF($D44="","",IFERROR(INDEX(合同单位,MATCH($D44,合同键,0)),IFERROR(TRIM(LEFT($D44,FIND("｜",$D44)-1)),$D44)))</f>
        <v/>
      </c>
      <c r="F44" s="30" t="str">
        <f aca="false">IF($D44="","",IFERROR(INDEX(合同项目,MATCH($D44,合同键,0)),IFERROR(TRIM(MID($D44,FIND("｜",$D44)+1,99)),"")))</f>
        <v/>
      </c>
      <c r="G44" s="39"/>
      <c r="H44" s="25"/>
      <c r="I44" s="35" t="str">
        <f aca="false">IF($H44="","",IFERROR(INDEX(票据归类表,MATCH($H44,票据类型表,0)),"现金无票"))</f>
        <v/>
      </c>
      <c r="J44" s="25"/>
      <c r="K44" s="25"/>
      <c r="L44" s="31"/>
      <c r="M44" s="29" t="str">
        <f aca="false">IF($C44="","",YEAR($C44))</f>
        <v/>
      </c>
      <c r="N44" s="24"/>
      <c r="O44" s="35" t="str">
        <f aca="false">IF($C44="","",IF($D44="","★没选客户项目",IF(COUNTIF(合同键,$D44)=0,"★《维保合同》里没这个项目",IF(N($G44)&lt;=0,"★收款金额要填",IF($H44="","★票据类型要选",IF(AND($L44&lt;&gt;"",COUNTIF(应收单号,$L44)=0),"★关联的应收单号不存在",IF(AND($L44&lt;&gt;"",IFERROR(INDEX(应收键,MATCH($L44,应收单号,0)),"")&lt;&gt;$D44),"★关联单号不是这个客户的",IF(AND($L44&lt;&gt;"",ROUND(SUMIF(收款关联,$L44,收款金额)-IFERROR(INDEX(应收金额,MATCH($L44,应收单号,0)),0),2)&gt;0.001),"★指定冲销超过那张单的应收","OK"))))))))</f>
        <v/>
      </c>
    </row>
    <row r="45" customFormat="false" ht="15" hidden="false" customHeight="false" outlineLevel="0" collapsed="false">
      <c r="A45" s="29" t="str">
        <f aca="false">IF($C45="","",ROW()-4)</f>
        <v/>
      </c>
      <c r="B45" s="35" t="str">
        <f aca="false">IF($C45="","","SK"&amp;TEXT($C45,"yyyymm")&amp;"-"&amp;TEXT(ROW()-4,"0000"))</f>
        <v/>
      </c>
      <c r="C45" s="33"/>
      <c r="D45" s="24"/>
      <c r="E45" s="30" t="str">
        <f aca="false">IF($D45="","",IFERROR(INDEX(合同单位,MATCH($D45,合同键,0)),IFERROR(TRIM(LEFT($D45,FIND("｜",$D45)-1)),$D45)))</f>
        <v/>
      </c>
      <c r="F45" s="30" t="str">
        <f aca="false">IF($D45="","",IFERROR(INDEX(合同项目,MATCH($D45,合同键,0)),IFERROR(TRIM(MID($D45,FIND("｜",$D45)+1,99)),"")))</f>
        <v/>
      </c>
      <c r="G45" s="39"/>
      <c r="H45" s="25"/>
      <c r="I45" s="35" t="str">
        <f aca="false">IF($H45="","",IFERROR(INDEX(票据归类表,MATCH($H45,票据类型表,0)),"现金无票"))</f>
        <v/>
      </c>
      <c r="J45" s="25"/>
      <c r="K45" s="25"/>
      <c r="L45" s="31"/>
      <c r="M45" s="29" t="str">
        <f aca="false">IF($C45="","",YEAR($C45))</f>
        <v/>
      </c>
      <c r="N45" s="24"/>
      <c r="O45" s="35" t="str">
        <f aca="false">IF($C45="","",IF($D45="","★没选客户项目",IF(COUNTIF(合同键,$D45)=0,"★《维保合同》里没这个项目",IF(N($G45)&lt;=0,"★收款金额要填",IF($H45="","★票据类型要选",IF(AND($L45&lt;&gt;"",COUNTIF(应收单号,$L45)=0),"★关联的应收单号不存在",IF(AND($L45&lt;&gt;"",IFERROR(INDEX(应收键,MATCH($L45,应收单号,0)),"")&lt;&gt;$D45),"★关联单号不是这个客户的",IF(AND($L45&lt;&gt;"",ROUND(SUMIF(收款关联,$L45,收款金额)-IFERROR(INDEX(应收金额,MATCH($L45,应收单号,0)),0),2)&gt;0.001),"★指定冲销超过那张单的应收","OK"))))))))</f>
        <v/>
      </c>
    </row>
    <row r="46" customFormat="false" ht="15" hidden="false" customHeight="false" outlineLevel="0" collapsed="false">
      <c r="A46" s="29" t="str">
        <f aca="false">IF($C46="","",ROW()-4)</f>
        <v/>
      </c>
      <c r="B46" s="35" t="str">
        <f aca="false">IF($C46="","","SK"&amp;TEXT($C46,"yyyymm")&amp;"-"&amp;TEXT(ROW()-4,"0000"))</f>
        <v/>
      </c>
      <c r="C46" s="33"/>
      <c r="D46" s="24"/>
      <c r="E46" s="30" t="str">
        <f aca="false">IF($D46="","",IFERROR(INDEX(合同单位,MATCH($D46,合同键,0)),IFERROR(TRIM(LEFT($D46,FIND("｜",$D46)-1)),$D46)))</f>
        <v/>
      </c>
      <c r="F46" s="30" t="str">
        <f aca="false">IF($D46="","",IFERROR(INDEX(合同项目,MATCH($D46,合同键,0)),IFERROR(TRIM(MID($D46,FIND("｜",$D46)+1,99)),"")))</f>
        <v/>
      </c>
      <c r="G46" s="39"/>
      <c r="H46" s="25"/>
      <c r="I46" s="35" t="str">
        <f aca="false">IF($H46="","",IFERROR(INDEX(票据归类表,MATCH($H46,票据类型表,0)),"现金无票"))</f>
        <v/>
      </c>
      <c r="J46" s="25"/>
      <c r="K46" s="25"/>
      <c r="L46" s="31"/>
      <c r="M46" s="29" t="str">
        <f aca="false">IF($C46="","",YEAR($C46))</f>
        <v/>
      </c>
      <c r="N46" s="24"/>
      <c r="O46" s="35" t="str">
        <f aca="false">IF($C46="","",IF($D46="","★没选客户项目",IF(COUNTIF(合同键,$D46)=0,"★《维保合同》里没这个项目",IF(N($G46)&lt;=0,"★收款金额要填",IF($H46="","★票据类型要选",IF(AND($L46&lt;&gt;"",COUNTIF(应收单号,$L46)=0),"★关联的应收单号不存在",IF(AND($L46&lt;&gt;"",IFERROR(INDEX(应收键,MATCH($L46,应收单号,0)),"")&lt;&gt;$D46),"★关联单号不是这个客户的",IF(AND($L46&lt;&gt;"",ROUND(SUMIF(收款关联,$L46,收款金额)-IFERROR(INDEX(应收金额,MATCH($L46,应收单号,0)),0),2)&gt;0.001),"★指定冲销超过那张单的应收","OK"))))))))</f>
        <v/>
      </c>
    </row>
    <row r="47" customFormat="false" ht="15" hidden="false" customHeight="false" outlineLevel="0" collapsed="false">
      <c r="A47" s="29" t="str">
        <f aca="false">IF($C47="","",ROW()-4)</f>
        <v/>
      </c>
      <c r="B47" s="35" t="str">
        <f aca="false">IF($C47="","","SK"&amp;TEXT($C47,"yyyymm")&amp;"-"&amp;TEXT(ROW()-4,"0000"))</f>
        <v/>
      </c>
      <c r="C47" s="33"/>
      <c r="D47" s="24"/>
      <c r="E47" s="30" t="str">
        <f aca="false">IF($D47="","",IFERROR(INDEX(合同单位,MATCH($D47,合同键,0)),IFERROR(TRIM(LEFT($D47,FIND("｜",$D47)-1)),$D47)))</f>
        <v/>
      </c>
      <c r="F47" s="30" t="str">
        <f aca="false">IF($D47="","",IFERROR(INDEX(合同项目,MATCH($D47,合同键,0)),IFERROR(TRIM(MID($D47,FIND("｜",$D47)+1,99)),"")))</f>
        <v/>
      </c>
      <c r="G47" s="39"/>
      <c r="H47" s="25"/>
      <c r="I47" s="35" t="str">
        <f aca="false">IF($H47="","",IFERROR(INDEX(票据归类表,MATCH($H47,票据类型表,0)),"现金无票"))</f>
        <v/>
      </c>
      <c r="J47" s="25"/>
      <c r="K47" s="25"/>
      <c r="L47" s="31"/>
      <c r="M47" s="29" t="str">
        <f aca="false">IF($C47="","",YEAR($C47))</f>
        <v/>
      </c>
      <c r="N47" s="24"/>
      <c r="O47" s="35" t="str">
        <f aca="false">IF($C47="","",IF($D47="","★没选客户项目",IF(COUNTIF(合同键,$D47)=0,"★《维保合同》里没这个项目",IF(N($G47)&lt;=0,"★收款金额要填",IF($H47="","★票据类型要选",IF(AND($L47&lt;&gt;"",COUNTIF(应收单号,$L47)=0),"★关联的应收单号不存在",IF(AND($L47&lt;&gt;"",IFERROR(INDEX(应收键,MATCH($L47,应收单号,0)),"")&lt;&gt;$D47),"★关联单号不是这个客户的",IF(AND($L47&lt;&gt;"",ROUND(SUMIF(收款关联,$L47,收款金额)-IFERROR(INDEX(应收金额,MATCH($L47,应收单号,0)),0),2)&gt;0.001),"★指定冲销超过那张单的应收","OK"))))))))</f>
        <v/>
      </c>
    </row>
    <row r="48" customFormat="false" ht="15" hidden="false" customHeight="false" outlineLevel="0" collapsed="false">
      <c r="A48" s="29" t="str">
        <f aca="false">IF($C48="","",ROW()-4)</f>
        <v/>
      </c>
      <c r="B48" s="35" t="str">
        <f aca="false">IF($C48="","","SK"&amp;TEXT($C48,"yyyymm")&amp;"-"&amp;TEXT(ROW()-4,"0000"))</f>
        <v/>
      </c>
      <c r="C48" s="33"/>
      <c r="D48" s="24"/>
      <c r="E48" s="30" t="str">
        <f aca="false">IF($D48="","",IFERROR(INDEX(合同单位,MATCH($D48,合同键,0)),IFERROR(TRIM(LEFT($D48,FIND("｜",$D48)-1)),$D48)))</f>
        <v/>
      </c>
      <c r="F48" s="30" t="str">
        <f aca="false">IF($D48="","",IFERROR(INDEX(合同项目,MATCH($D48,合同键,0)),IFERROR(TRIM(MID($D48,FIND("｜",$D48)+1,99)),"")))</f>
        <v/>
      </c>
      <c r="G48" s="39"/>
      <c r="H48" s="25"/>
      <c r="I48" s="35" t="str">
        <f aca="false">IF($H48="","",IFERROR(INDEX(票据归类表,MATCH($H48,票据类型表,0)),"现金无票"))</f>
        <v/>
      </c>
      <c r="J48" s="25"/>
      <c r="K48" s="25"/>
      <c r="L48" s="31"/>
      <c r="M48" s="29" t="str">
        <f aca="false">IF($C48="","",YEAR($C48))</f>
        <v/>
      </c>
      <c r="N48" s="24"/>
      <c r="O48" s="35" t="str">
        <f aca="false">IF($C48="","",IF($D48="","★没选客户项目",IF(COUNTIF(合同键,$D48)=0,"★《维保合同》里没这个项目",IF(N($G48)&lt;=0,"★收款金额要填",IF($H48="","★票据类型要选",IF(AND($L48&lt;&gt;"",COUNTIF(应收单号,$L48)=0),"★关联的应收单号不存在",IF(AND($L48&lt;&gt;"",IFERROR(INDEX(应收键,MATCH($L48,应收单号,0)),"")&lt;&gt;$D48),"★关联单号不是这个客户的",IF(AND($L48&lt;&gt;"",ROUND(SUMIF(收款关联,$L48,收款金额)-IFERROR(INDEX(应收金额,MATCH($L48,应收单号,0)),0),2)&gt;0.001),"★指定冲销超过那张单的应收","OK"))))))))</f>
        <v/>
      </c>
    </row>
    <row r="49" customFormat="false" ht="15" hidden="false" customHeight="false" outlineLevel="0" collapsed="false">
      <c r="A49" s="29" t="str">
        <f aca="false">IF($C49="","",ROW()-4)</f>
        <v/>
      </c>
      <c r="B49" s="35" t="str">
        <f aca="false">IF($C49="","","SK"&amp;TEXT($C49,"yyyymm")&amp;"-"&amp;TEXT(ROW()-4,"0000"))</f>
        <v/>
      </c>
      <c r="C49" s="33"/>
      <c r="D49" s="24"/>
      <c r="E49" s="30" t="str">
        <f aca="false">IF($D49="","",IFERROR(INDEX(合同单位,MATCH($D49,合同键,0)),IFERROR(TRIM(LEFT($D49,FIND("｜",$D49)-1)),$D49)))</f>
        <v/>
      </c>
      <c r="F49" s="30" t="str">
        <f aca="false">IF($D49="","",IFERROR(INDEX(合同项目,MATCH($D49,合同键,0)),IFERROR(TRIM(MID($D49,FIND("｜",$D49)+1,99)),"")))</f>
        <v/>
      </c>
      <c r="G49" s="39"/>
      <c r="H49" s="25"/>
      <c r="I49" s="35" t="str">
        <f aca="false">IF($H49="","",IFERROR(INDEX(票据归类表,MATCH($H49,票据类型表,0)),"现金无票"))</f>
        <v/>
      </c>
      <c r="J49" s="25"/>
      <c r="K49" s="25"/>
      <c r="L49" s="31"/>
      <c r="M49" s="29" t="str">
        <f aca="false">IF($C49="","",YEAR($C49))</f>
        <v/>
      </c>
      <c r="N49" s="24"/>
      <c r="O49" s="35" t="str">
        <f aca="false">IF($C49="","",IF($D49="","★没选客户项目",IF(COUNTIF(合同键,$D49)=0,"★《维保合同》里没这个项目",IF(N($G49)&lt;=0,"★收款金额要填",IF($H49="","★票据类型要选",IF(AND($L49&lt;&gt;"",COUNTIF(应收单号,$L49)=0),"★关联的应收单号不存在",IF(AND($L49&lt;&gt;"",IFERROR(INDEX(应收键,MATCH($L49,应收单号,0)),"")&lt;&gt;$D49),"★关联单号不是这个客户的",IF(AND($L49&lt;&gt;"",ROUND(SUMIF(收款关联,$L49,收款金额)-IFERROR(INDEX(应收金额,MATCH($L49,应收单号,0)),0),2)&gt;0.001),"★指定冲销超过那张单的应收","OK"))))))))</f>
        <v/>
      </c>
    </row>
    <row r="50" customFormat="false" ht="15" hidden="false" customHeight="false" outlineLevel="0" collapsed="false">
      <c r="A50" s="29" t="str">
        <f aca="false">IF($C50="","",ROW()-4)</f>
        <v/>
      </c>
      <c r="B50" s="35" t="str">
        <f aca="false">IF($C50="","","SK"&amp;TEXT($C50,"yyyymm")&amp;"-"&amp;TEXT(ROW()-4,"0000"))</f>
        <v/>
      </c>
      <c r="C50" s="33"/>
      <c r="D50" s="24"/>
      <c r="E50" s="30" t="str">
        <f aca="false">IF($D50="","",IFERROR(INDEX(合同单位,MATCH($D50,合同键,0)),IFERROR(TRIM(LEFT($D50,FIND("｜",$D50)-1)),$D50)))</f>
        <v/>
      </c>
      <c r="F50" s="30" t="str">
        <f aca="false">IF($D50="","",IFERROR(INDEX(合同项目,MATCH($D50,合同键,0)),IFERROR(TRIM(MID($D50,FIND("｜",$D50)+1,99)),"")))</f>
        <v/>
      </c>
      <c r="G50" s="39"/>
      <c r="H50" s="25"/>
      <c r="I50" s="35" t="str">
        <f aca="false">IF($H50="","",IFERROR(INDEX(票据归类表,MATCH($H50,票据类型表,0)),"现金无票"))</f>
        <v/>
      </c>
      <c r="J50" s="25"/>
      <c r="K50" s="25"/>
      <c r="L50" s="31"/>
      <c r="M50" s="29" t="str">
        <f aca="false">IF($C50="","",YEAR($C50))</f>
        <v/>
      </c>
      <c r="N50" s="24"/>
      <c r="O50" s="35" t="str">
        <f aca="false">IF($C50="","",IF($D50="","★没选客户项目",IF(COUNTIF(合同键,$D50)=0,"★《维保合同》里没这个项目",IF(N($G50)&lt;=0,"★收款金额要填",IF($H50="","★票据类型要选",IF(AND($L50&lt;&gt;"",COUNTIF(应收单号,$L50)=0),"★关联的应收单号不存在",IF(AND($L50&lt;&gt;"",IFERROR(INDEX(应收键,MATCH($L50,应收单号,0)),"")&lt;&gt;$D50),"★关联单号不是这个客户的",IF(AND($L50&lt;&gt;"",ROUND(SUMIF(收款关联,$L50,收款金额)-IFERROR(INDEX(应收金额,MATCH($L50,应收单号,0)),0),2)&gt;0.001),"★指定冲销超过那张单的应收","OK"))))))))</f>
        <v/>
      </c>
    </row>
    <row r="51" customFormat="false" ht="15" hidden="false" customHeight="false" outlineLevel="0" collapsed="false">
      <c r="A51" s="29" t="str">
        <f aca="false">IF($C51="","",ROW()-4)</f>
        <v/>
      </c>
      <c r="B51" s="35" t="str">
        <f aca="false">IF($C51="","","SK"&amp;TEXT($C51,"yyyymm")&amp;"-"&amp;TEXT(ROW()-4,"0000"))</f>
        <v/>
      </c>
      <c r="C51" s="33"/>
      <c r="D51" s="24"/>
      <c r="E51" s="30" t="str">
        <f aca="false">IF($D51="","",IFERROR(INDEX(合同单位,MATCH($D51,合同键,0)),IFERROR(TRIM(LEFT($D51,FIND("｜",$D51)-1)),$D51)))</f>
        <v/>
      </c>
      <c r="F51" s="30" t="str">
        <f aca="false">IF($D51="","",IFERROR(INDEX(合同项目,MATCH($D51,合同键,0)),IFERROR(TRIM(MID($D51,FIND("｜",$D51)+1,99)),"")))</f>
        <v/>
      </c>
      <c r="G51" s="39"/>
      <c r="H51" s="25"/>
      <c r="I51" s="35" t="str">
        <f aca="false">IF($H51="","",IFERROR(INDEX(票据归类表,MATCH($H51,票据类型表,0)),"现金无票"))</f>
        <v/>
      </c>
      <c r="J51" s="25"/>
      <c r="K51" s="25"/>
      <c r="L51" s="31"/>
      <c r="M51" s="29" t="str">
        <f aca="false">IF($C51="","",YEAR($C51))</f>
        <v/>
      </c>
      <c r="N51" s="24"/>
      <c r="O51" s="35" t="str">
        <f aca="false">IF($C51="","",IF($D51="","★没选客户项目",IF(COUNTIF(合同键,$D51)=0,"★《维保合同》里没这个项目",IF(N($G51)&lt;=0,"★收款金额要填",IF($H51="","★票据类型要选",IF(AND($L51&lt;&gt;"",COUNTIF(应收单号,$L51)=0),"★关联的应收单号不存在",IF(AND($L51&lt;&gt;"",IFERROR(INDEX(应收键,MATCH($L51,应收单号,0)),"")&lt;&gt;$D51),"★关联单号不是这个客户的",IF(AND($L51&lt;&gt;"",ROUND(SUMIF(收款关联,$L51,收款金额)-IFERROR(INDEX(应收金额,MATCH($L51,应收单号,0)),0),2)&gt;0.001),"★指定冲销超过那张单的应收","OK"))))))))</f>
        <v/>
      </c>
    </row>
    <row r="52" customFormat="false" ht="15" hidden="false" customHeight="false" outlineLevel="0" collapsed="false">
      <c r="A52" s="29" t="str">
        <f aca="false">IF($C52="","",ROW()-4)</f>
        <v/>
      </c>
      <c r="B52" s="35" t="str">
        <f aca="false">IF($C52="","","SK"&amp;TEXT($C52,"yyyymm")&amp;"-"&amp;TEXT(ROW()-4,"0000"))</f>
        <v/>
      </c>
      <c r="C52" s="33"/>
      <c r="D52" s="24"/>
      <c r="E52" s="30" t="str">
        <f aca="false">IF($D52="","",IFERROR(INDEX(合同单位,MATCH($D52,合同键,0)),IFERROR(TRIM(LEFT($D52,FIND("｜",$D52)-1)),$D52)))</f>
        <v/>
      </c>
      <c r="F52" s="30" t="str">
        <f aca="false">IF($D52="","",IFERROR(INDEX(合同项目,MATCH($D52,合同键,0)),IFERROR(TRIM(MID($D52,FIND("｜",$D52)+1,99)),"")))</f>
        <v/>
      </c>
      <c r="G52" s="39"/>
      <c r="H52" s="25"/>
      <c r="I52" s="35" t="str">
        <f aca="false">IF($H52="","",IFERROR(INDEX(票据归类表,MATCH($H52,票据类型表,0)),"现金无票"))</f>
        <v/>
      </c>
      <c r="J52" s="25"/>
      <c r="K52" s="25"/>
      <c r="L52" s="31"/>
      <c r="M52" s="29" t="str">
        <f aca="false">IF($C52="","",YEAR($C52))</f>
        <v/>
      </c>
      <c r="N52" s="24"/>
      <c r="O52" s="35" t="str">
        <f aca="false">IF($C52="","",IF($D52="","★没选客户项目",IF(COUNTIF(合同键,$D52)=0,"★《维保合同》里没这个项目",IF(N($G52)&lt;=0,"★收款金额要填",IF($H52="","★票据类型要选",IF(AND($L52&lt;&gt;"",COUNTIF(应收单号,$L52)=0),"★关联的应收单号不存在",IF(AND($L52&lt;&gt;"",IFERROR(INDEX(应收键,MATCH($L52,应收单号,0)),"")&lt;&gt;$D52),"★关联单号不是这个客户的",IF(AND($L52&lt;&gt;"",ROUND(SUMIF(收款关联,$L52,收款金额)-IFERROR(INDEX(应收金额,MATCH($L52,应收单号,0)),0),2)&gt;0.001),"★指定冲销超过那张单的应收","OK"))))))))</f>
        <v/>
      </c>
    </row>
    <row r="53" customFormat="false" ht="15" hidden="false" customHeight="false" outlineLevel="0" collapsed="false">
      <c r="A53" s="29" t="str">
        <f aca="false">IF($C53="","",ROW()-4)</f>
        <v/>
      </c>
      <c r="B53" s="35" t="str">
        <f aca="false">IF($C53="","","SK"&amp;TEXT($C53,"yyyymm")&amp;"-"&amp;TEXT(ROW()-4,"0000"))</f>
        <v/>
      </c>
      <c r="C53" s="33"/>
      <c r="D53" s="24"/>
      <c r="E53" s="30" t="str">
        <f aca="false">IF($D53="","",IFERROR(INDEX(合同单位,MATCH($D53,合同键,0)),IFERROR(TRIM(LEFT($D53,FIND("｜",$D53)-1)),$D53)))</f>
        <v/>
      </c>
      <c r="F53" s="30" t="str">
        <f aca="false">IF($D53="","",IFERROR(INDEX(合同项目,MATCH($D53,合同键,0)),IFERROR(TRIM(MID($D53,FIND("｜",$D53)+1,99)),"")))</f>
        <v/>
      </c>
      <c r="G53" s="39"/>
      <c r="H53" s="25"/>
      <c r="I53" s="35" t="str">
        <f aca="false">IF($H53="","",IFERROR(INDEX(票据归类表,MATCH($H53,票据类型表,0)),"现金无票"))</f>
        <v/>
      </c>
      <c r="J53" s="25"/>
      <c r="K53" s="25"/>
      <c r="L53" s="31"/>
      <c r="M53" s="29" t="str">
        <f aca="false">IF($C53="","",YEAR($C53))</f>
        <v/>
      </c>
      <c r="N53" s="24"/>
      <c r="O53" s="35" t="str">
        <f aca="false">IF($C53="","",IF($D53="","★没选客户项目",IF(COUNTIF(合同键,$D53)=0,"★《维保合同》里没这个项目",IF(N($G53)&lt;=0,"★收款金额要填",IF($H53="","★票据类型要选",IF(AND($L53&lt;&gt;"",COUNTIF(应收单号,$L53)=0),"★关联的应收单号不存在",IF(AND($L53&lt;&gt;"",IFERROR(INDEX(应收键,MATCH($L53,应收单号,0)),"")&lt;&gt;$D53),"★关联单号不是这个客户的",IF(AND($L53&lt;&gt;"",ROUND(SUMIF(收款关联,$L53,收款金额)-IFERROR(INDEX(应收金额,MATCH($L53,应收单号,0)),0),2)&gt;0.001),"★指定冲销超过那张单的应收","OK"))))))))</f>
        <v/>
      </c>
    </row>
    <row r="54" customFormat="false" ht="15" hidden="false" customHeight="false" outlineLevel="0" collapsed="false">
      <c r="A54" s="29" t="str">
        <f aca="false">IF($C54="","",ROW()-4)</f>
        <v/>
      </c>
      <c r="B54" s="35" t="str">
        <f aca="false">IF($C54="","","SK"&amp;TEXT($C54,"yyyymm")&amp;"-"&amp;TEXT(ROW()-4,"0000"))</f>
        <v/>
      </c>
      <c r="C54" s="33"/>
      <c r="D54" s="24"/>
      <c r="E54" s="30" t="str">
        <f aca="false">IF($D54="","",IFERROR(INDEX(合同单位,MATCH($D54,合同键,0)),IFERROR(TRIM(LEFT($D54,FIND("｜",$D54)-1)),$D54)))</f>
        <v/>
      </c>
      <c r="F54" s="30" t="str">
        <f aca="false">IF($D54="","",IFERROR(INDEX(合同项目,MATCH($D54,合同键,0)),IFERROR(TRIM(MID($D54,FIND("｜",$D54)+1,99)),"")))</f>
        <v/>
      </c>
      <c r="G54" s="39"/>
      <c r="H54" s="25"/>
      <c r="I54" s="35" t="str">
        <f aca="false">IF($H54="","",IFERROR(INDEX(票据归类表,MATCH($H54,票据类型表,0)),"现金无票"))</f>
        <v/>
      </c>
      <c r="J54" s="25"/>
      <c r="K54" s="25"/>
      <c r="L54" s="31"/>
      <c r="M54" s="29" t="str">
        <f aca="false">IF($C54="","",YEAR($C54))</f>
        <v/>
      </c>
      <c r="N54" s="24"/>
      <c r="O54" s="35" t="str">
        <f aca="false">IF($C54="","",IF($D54="","★没选客户项目",IF(COUNTIF(合同键,$D54)=0,"★《维保合同》里没这个项目",IF(N($G54)&lt;=0,"★收款金额要填",IF($H54="","★票据类型要选",IF(AND($L54&lt;&gt;"",COUNTIF(应收单号,$L54)=0),"★关联的应收单号不存在",IF(AND($L54&lt;&gt;"",IFERROR(INDEX(应收键,MATCH($L54,应收单号,0)),"")&lt;&gt;$D54),"★关联单号不是这个客户的",IF(AND($L54&lt;&gt;"",ROUND(SUMIF(收款关联,$L54,收款金额)-IFERROR(INDEX(应收金额,MATCH($L54,应收单号,0)),0),2)&gt;0.001),"★指定冲销超过那张单的应收","OK"))))))))</f>
        <v/>
      </c>
    </row>
    <row r="55" customFormat="false" ht="15" hidden="false" customHeight="false" outlineLevel="0" collapsed="false">
      <c r="A55" s="29" t="str">
        <f aca="false">IF($C55="","",ROW()-4)</f>
        <v/>
      </c>
      <c r="B55" s="35" t="str">
        <f aca="false">IF($C55="","","SK"&amp;TEXT($C55,"yyyymm")&amp;"-"&amp;TEXT(ROW()-4,"0000"))</f>
        <v/>
      </c>
      <c r="C55" s="33"/>
      <c r="D55" s="24"/>
      <c r="E55" s="30" t="str">
        <f aca="false">IF($D55="","",IFERROR(INDEX(合同单位,MATCH($D55,合同键,0)),IFERROR(TRIM(LEFT($D55,FIND("｜",$D55)-1)),$D55)))</f>
        <v/>
      </c>
      <c r="F55" s="30" t="str">
        <f aca="false">IF($D55="","",IFERROR(INDEX(合同项目,MATCH($D55,合同键,0)),IFERROR(TRIM(MID($D55,FIND("｜",$D55)+1,99)),"")))</f>
        <v/>
      </c>
      <c r="G55" s="39"/>
      <c r="H55" s="25"/>
      <c r="I55" s="35" t="str">
        <f aca="false">IF($H55="","",IFERROR(INDEX(票据归类表,MATCH($H55,票据类型表,0)),"现金无票"))</f>
        <v/>
      </c>
      <c r="J55" s="25"/>
      <c r="K55" s="25"/>
      <c r="L55" s="31"/>
      <c r="M55" s="29" t="str">
        <f aca="false">IF($C55="","",YEAR($C55))</f>
        <v/>
      </c>
      <c r="N55" s="24"/>
      <c r="O55" s="35" t="str">
        <f aca="false">IF($C55="","",IF($D55="","★没选客户项目",IF(COUNTIF(合同键,$D55)=0,"★《维保合同》里没这个项目",IF(N($G55)&lt;=0,"★收款金额要填",IF($H55="","★票据类型要选",IF(AND($L55&lt;&gt;"",COUNTIF(应收单号,$L55)=0),"★关联的应收单号不存在",IF(AND($L55&lt;&gt;"",IFERROR(INDEX(应收键,MATCH($L55,应收单号,0)),"")&lt;&gt;$D55),"★关联单号不是这个客户的",IF(AND($L55&lt;&gt;"",ROUND(SUMIF(收款关联,$L55,收款金额)-IFERROR(INDEX(应收金额,MATCH($L55,应收单号,0)),0),2)&gt;0.001),"★指定冲销超过那张单的应收","OK"))))))))</f>
        <v/>
      </c>
    </row>
    <row r="56" customFormat="false" ht="15" hidden="false" customHeight="false" outlineLevel="0" collapsed="false">
      <c r="A56" s="29" t="str">
        <f aca="false">IF($C56="","",ROW()-4)</f>
        <v/>
      </c>
      <c r="B56" s="35" t="str">
        <f aca="false">IF($C56="","","SK"&amp;TEXT($C56,"yyyymm")&amp;"-"&amp;TEXT(ROW()-4,"0000"))</f>
        <v/>
      </c>
      <c r="C56" s="33"/>
      <c r="D56" s="24"/>
      <c r="E56" s="30" t="str">
        <f aca="false">IF($D56="","",IFERROR(INDEX(合同单位,MATCH($D56,合同键,0)),IFERROR(TRIM(LEFT($D56,FIND("｜",$D56)-1)),$D56)))</f>
        <v/>
      </c>
      <c r="F56" s="30" t="str">
        <f aca="false">IF($D56="","",IFERROR(INDEX(合同项目,MATCH($D56,合同键,0)),IFERROR(TRIM(MID($D56,FIND("｜",$D56)+1,99)),"")))</f>
        <v/>
      </c>
      <c r="G56" s="39"/>
      <c r="H56" s="25"/>
      <c r="I56" s="35" t="str">
        <f aca="false">IF($H56="","",IFERROR(INDEX(票据归类表,MATCH($H56,票据类型表,0)),"现金无票"))</f>
        <v/>
      </c>
      <c r="J56" s="25"/>
      <c r="K56" s="25"/>
      <c r="L56" s="31"/>
      <c r="M56" s="29" t="str">
        <f aca="false">IF($C56="","",YEAR($C56))</f>
        <v/>
      </c>
      <c r="N56" s="24"/>
      <c r="O56" s="35" t="str">
        <f aca="false">IF($C56="","",IF($D56="","★没选客户项目",IF(COUNTIF(合同键,$D56)=0,"★《维保合同》里没这个项目",IF(N($G56)&lt;=0,"★收款金额要填",IF($H56="","★票据类型要选",IF(AND($L56&lt;&gt;"",COUNTIF(应收单号,$L56)=0),"★关联的应收单号不存在",IF(AND($L56&lt;&gt;"",IFERROR(INDEX(应收键,MATCH($L56,应收单号,0)),"")&lt;&gt;$D56),"★关联单号不是这个客户的",IF(AND($L56&lt;&gt;"",ROUND(SUMIF(收款关联,$L56,收款金额)-IFERROR(INDEX(应收金额,MATCH($L56,应收单号,0)),0),2)&gt;0.001),"★指定冲销超过那张单的应收","OK"))))))))</f>
        <v/>
      </c>
    </row>
    <row r="57" customFormat="false" ht="15" hidden="false" customHeight="false" outlineLevel="0" collapsed="false">
      <c r="A57" s="29" t="str">
        <f aca="false">IF($C57="","",ROW()-4)</f>
        <v/>
      </c>
      <c r="B57" s="35" t="str">
        <f aca="false">IF($C57="","","SK"&amp;TEXT($C57,"yyyymm")&amp;"-"&amp;TEXT(ROW()-4,"0000"))</f>
        <v/>
      </c>
      <c r="C57" s="33"/>
      <c r="D57" s="24"/>
      <c r="E57" s="30" t="str">
        <f aca="false">IF($D57="","",IFERROR(INDEX(合同单位,MATCH($D57,合同键,0)),IFERROR(TRIM(LEFT($D57,FIND("｜",$D57)-1)),$D57)))</f>
        <v/>
      </c>
      <c r="F57" s="30" t="str">
        <f aca="false">IF($D57="","",IFERROR(INDEX(合同项目,MATCH($D57,合同键,0)),IFERROR(TRIM(MID($D57,FIND("｜",$D57)+1,99)),"")))</f>
        <v/>
      </c>
      <c r="G57" s="39"/>
      <c r="H57" s="25"/>
      <c r="I57" s="35" t="str">
        <f aca="false">IF($H57="","",IFERROR(INDEX(票据归类表,MATCH($H57,票据类型表,0)),"现金无票"))</f>
        <v/>
      </c>
      <c r="J57" s="25"/>
      <c r="K57" s="25"/>
      <c r="L57" s="31"/>
      <c r="M57" s="29" t="str">
        <f aca="false">IF($C57="","",YEAR($C57))</f>
        <v/>
      </c>
      <c r="N57" s="24"/>
      <c r="O57" s="35" t="str">
        <f aca="false">IF($C57="","",IF($D57="","★没选客户项目",IF(COUNTIF(合同键,$D57)=0,"★《维保合同》里没这个项目",IF(N($G57)&lt;=0,"★收款金额要填",IF($H57="","★票据类型要选",IF(AND($L57&lt;&gt;"",COUNTIF(应收单号,$L57)=0),"★关联的应收单号不存在",IF(AND($L57&lt;&gt;"",IFERROR(INDEX(应收键,MATCH($L57,应收单号,0)),"")&lt;&gt;$D57),"★关联单号不是这个客户的",IF(AND($L57&lt;&gt;"",ROUND(SUMIF(收款关联,$L57,收款金额)-IFERROR(INDEX(应收金额,MATCH($L57,应收单号,0)),0),2)&gt;0.001),"★指定冲销超过那张单的应收","OK"))))))))</f>
        <v/>
      </c>
    </row>
    <row r="58" customFormat="false" ht="15" hidden="false" customHeight="false" outlineLevel="0" collapsed="false">
      <c r="A58" s="29" t="str">
        <f aca="false">IF($C58="","",ROW()-4)</f>
        <v/>
      </c>
      <c r="B58" s="35" t="str">
        <f aca="false">IF($C58="","","SK"&amp;TEXT($C58,"yyyymm")&amp;"-"&amp;TEXT(ROW()-4,"0000"))</f>
        <v/>
      </c>
      <c r="C58" s="33"/>
      <c r="D58" s="24"/>
      <c r="E58" s="30" t="str">
        <f aca="false">IF($D58="","",IFERROR(INDEX(合同单位,MATCH($D58,合同键,0)),IFERROR(TRIM(LEFT($D58,FIND("｜",$D58)-1)),$D58)))</f>
        <v/>
      </c>
      <c r="F58" s="30" t="str">
        <f aca="false">IF($D58="","",IFERROR(INDEX(合同项目,MATCH($D58,合同键,0)),IFERROR(TRIM(MID($D58,FIND("｜",$D58)+1,99)),"")))</f>
        <v/>
      </c>
      <c r="G58" s="39"/>
      <c r="H58" s="25"/>
      <c r="I58" s="35" t="str">
        <f aca="false">IF($H58="","",IFERROR(INDEX(票据归类表,MATCH($H58,票据类型表,0)),"现金无票"))</f>
        <v/>
      </c>
      <c r="J58" s="25"/>
      <c r="K58" s="25"/>
      <c r="L58" s="31"/>
      <c r="M58" s="29" t="str">
        <f aca="false">IF($C58="","",YEAR($C58))</f>
        <v/>
      </c>
      <c r="N58" s="24"/>
      <c r="O58" s="35" t="str">
        <f aca="false">IF($C58="","",IF($D58="","★没选客户项目",IF(COUNTIF(合同键,$D58)=0,"★《维保合同》里没这个项目",IF(N($G58)&lt;=0,"★收款金额要填",IF($H58="","★票据类型要选",IF(AND($L58&lt;&gt;"",COUNTIF(应收单号,$L58)=0),"★关联的应收单号不存在",IF(AND($L58&lt;&gt;"",IFERROR(INDEX(应收键,MATCH($L58,应收单号,0)),"")&lt;&gt;$D58),"★关联单号不是这个客户的",IF(AND($L58&lt;&gt;"",ROUND(SUMIF(收款关联,$L58,收款金额)-IFERROR(INDEX(应收金额,MATCH($L58,应收单号,0)),0),2)&gt;0.001),"★指定冲销超过那张单的应收","OK"))))))))</f>
        <v/>
      </c>
    </row>
    <row r="59" customFormat="false" ht="15" hidden="false" customHeight="false" outlineLevel="0" collapsed="false">
      <c r="A59" s="29" t="str">
        <f aca="false">IF($C59="","",ROW()-4)</f>
        <v/>
      </c>
      <c r="B59" s="35" t="str">
        <f aca="false">IF($C59="","","SK"&amp;TEXT($C59,"yyyymm")&amp;"-"&amp;TEXT(ROW()-4,"0000"))</f>
        <v/>
      </c>
      <c r="C59" s="33"/>
      <c r="D59" s="24"/>
      <c r="E59" s="30" t="str">
        <f aca="false">IF($D59="","",IFERROR(INDEX(合同单位,MATCH($D59,合同键,0)),IFERROR(TRIM(LEFT($D59,FIND("｜",$D59)-1)),$D59)))</f>
        <v/>
      </c>
      <c r="F59" s="30" t="str">
        <f aca="false">IF($D59="","",IFERROR(INDEX(合同项目,MATCH($D59,合同键,0)),IFERROR(TRIM(MID($D59,FIND("｜",$D59)+1,99)),"")))</f>
        <v/>
      </c>
      <c r="G59" s="39"/>
      <c r="H59" s="25"/>
      <c r="I59" s="35" t="str">
        <f aca="false">IF($H59="","",IFERROR(INDEX(票据归类表,MATCH($H59,票据类型表,0)),"现金无票"))</f>
        <v/>
      </c>
      <c r="J59" s="25"/>
      <c r="K59" s="25"/>
      <c r="L59" s="31"/>
      <c r="M59" s="29" t="str">
        <f aca="false">IF($C59="","",YEAR($C59))</f>
        <v/>
      </c>
      <c r="N59" s="24"/>
      <c r="O59" s="35" t="str">
        <f aca="false">IF($C59="","",IF($D59="","★没选客户项目",IF(COUNTIF(合同键,$D59)=0,"★《维保合同》里没这个项目",IF(N($G59)&lt;=0,"★收款金额要填",IF($H59="","★票据类型要选",IF(AND($L59&lt;&gt;"",COUNTIF(应收单号,$L59)=0),"★关联的应收单号不存在",IF(AND($L59&lt;&gt;"",IFERROR(INDEX(应收键,MATCH($L59,应收单号,0)),"")&lt;&gt;$D59),"★关联单号不是这个客户的",IF(AND($L59&lt;&gt;"",ROUND(SUMIF(收款关联,$L59,收款金额)-IFERROR(INDEX(应收金额,MATCH($L59,应收单号,0)),0),2)&gt;0.001),"★指定冲销超过那张单的应收","OK"))))))))</f>
        <v/>
      </c>
    </row>
    <row r="60" customFormat="false" ht="15" hidden="false" customHeight="false" outlineLevel="0" collapsed="false">
      <c r="A60" s="29" t="str">
        <f aca="false">IF($C60="","",ROW()-4)</f>
        <v/>
      </c>
      <c r="B60" s="35" t="str">
        <f aca="false">IF($C60="","","SK"&amp;TEXT($C60,"yyyymm")&amp;"-"&amp;TEXT(ROW()-4,"0000"))</f>
        <v/>
      </c>
      <c r="C60" s="33"/>
      <c r="D60" s="24"/>
      <c r="E60" s="30" t="str">
        <f aca="false">IF($D60="","",IFERROR(INDEX(合同单位,MATCH($D60,合同键,0)),IFERROR(TRIM(LEFT($D60,FIND("｜",$D60)-1)),$D60)))</f>
        <v/>
      </c>
      <c r="F60" s="30" t="str">
        <f aca="false">IF($D60="","",IFERROR(INDEX(合同项目,MATCH($D60,合同键,0)),IFERROR(TRIM(MID($D60,FIND("｜",$D60)+1,99)),"")))</f>
        <v/>
      </c>
      <c r="G60" s="39"/>
      <c r="H60" s="25"/>
      <c r="I60" s="35" t="str">
        <f aca="false">IF($H60="","",IFERROR(INDEX(票据归类表,MATCH($H60,票据类型表,0)),"现金无票"))</f>
        <v/>
      </c>
      <c r="J60" s="25"/>
      <c r="K60" s="25"/>
      <c r="L60" s="31"/>
      <c r="M60" s="29" t="str">
        <f aca="false">IF($C60="","",YEAR($C60))</f>
        <v/>
      </c>
      <c r="N60" s="24"/>
      <c r="O60" s="35" t="str">
        <f aca="false">IF($C60="","",IF($D60="","★没选客户项目",IF(COUNTIF(合同键,$D60)=0,"★《维保合同》里没这个项目",IF(N($G60)&lt;=0,"★收款金额要填",IF($H60="","★票据类型要选",IF(AND($L60&lt;&gt;"",COUNTIF(应收单号,$L60)=0),"★关联的应收单号不存在",IF(AND($L60&lt;&gt;"",IFERROR(INDEX(应收键,MATCH($L60,应收单号,0)),"")&lt;&gt;$D60),"★关联单号不是这个客户的",IF(AND($L60&lt;&gt;"",ROUND(SUMIF(收款关联,$L60,收款金额)-IFERROR(INDEX(应收金额,MATCH($L60,应收单号,0)),0),2)&gt;0.001),"★指定冲销超过那张单的应收","OK"))))))))</f>
        <v/>
      </c>
    </row>
    <row r="61" customFormat="false" ht="15" hidden="false" customHeight="false" outlineLevel="0" collapsed="false">
      <c r="A61" s="29" t="str">
        <f aca="false">IF($C61="","",ROW()-4)</f>
        <v/>
      </c>
      <c r="B61" s="35" t="str">
        <f aca="false">IF($C61="","","SK"&amp;TEXT($C61,"yyyymm")&amp;"-"&amp;TEXT(ROW()-4,"0000"))</f>
        <v/>
      </c>
      <c r="C61" s="33"/>
      <c r="D61" s="24"/>
      <c r="E61" s="30" t="str">
        <f aca="false">IF($D61="","",IFERROR(INDEX(合同单位,MATCH($D61,合同键,0)),IFERROR(TRIM(LEFT($D61,FIND("｜",$D61)-1)),$D61)))</f>
        <v/>
      </c>
      <c r="F61" s="30" t="str">
        <f aca="false">IF($D61="","",IFERROR(INDEX(合同项目,MATCH($D61,合同键,0)),IFERROR(TRIM(MID($D61,FIND("｜",$D61)+1,99)),"")))</f>
        <v/>
      </c>
      <c r="G61" s="39"/>
      <c r="H61" s="25"/>
      <c r="I61" s="35" t="str">
        <f aca="false">IF($H61="","",IFERROR(INDEX(票据归类表,MATCH($H61,票据类型表,0)),"现金无票"))</f>
        <v/>
      </c>
      <c r="J61" s="25"/>
      <c r="K61" s="25"/>
      <c r="L61" s="31"/>
      <c r="M61" s="29" t="str">
        <f aca="false">IF($C61="","",YEAR($C61))</f>
        <v/>
      </c>
      <c r="N61" s="24"/>
      <c r="O61" s="35" t="str">
        <f aca="false">IF($C61="","",IF($D61="","★没选客户项目",IF(COUNTIF(合同键,$D61)=0,"★《维保合同》里没这个项目",IF(N($G61)&lt;=0,"★收款金额要填",IF($H61="","★票据类型要选",IF(AND($L61&lt;&gt;"",COUNTIF(应收单号,$L61)=0),"★关联的应收单号不存在",IF(AND($L61&lt;&gt;"",IFERROR(INDEX(应收键,MATCH($L61,应收单号,0)),"")&lt;&gt;$D61),"★关联单号不是这个客户的",IF(AND($L61&lt;&gt;"",ROUND(SUMIF(收款关联,$L61,收款金额)-IFERROR(INDEX(应收金额,MATCH($L61,应收单号,0)),0),2)&gt;0.001),"★指定冲销超过那张单的应收","OK"))))))))</f>
        <v/>
      </c>
    </row>
    <row r="62" customFormat="false" ht="15" hidden="false" customHeight="false" outlineLevel="0" collapsed="false">
      <c r="A62" s="29" t="str">
        <f aca="false">IF($C62="","",ROW()-4)</f>
        <v/>
      </c>
      <c r="B62" s="35" t="str">
        <f aca="false">IF($C62="","","SK"&amp;TEXT($C62,"yyyymm")&amp;"-"&amp;TEXT(ROW()-4,"0000"))</f>
        <v/>
      </c>
      <c r="C62" s="33"/>
      <c r="D62" s="24"/>
      <c r="E62" s="30" t="str">
        <f aca="false">IF($D62="","",IFERROR(INDEX(合同单位,MATCH($D62,合同键,0)),IFERROR(TRIM(LEFT($D62,FIND("｜",$D62)-1)),$D62)))</f>
        <v/>
      </c>
      <c r="F62" s="30" t="str">
        <f aca="false">IF($D62="","",IFERROR(INDEX(合同项目,MATCH($D62,合同键,0)),IFERROR(TRIM(MID($D62,FIND("｜",$D62)+1,99)),"")))</f>
        <v/>
      </c>
      <c r="G62" s="39"/>
      <c r="H62" s="25"/>
      <c r="I62" s="35" t="str">
        <f aca="false">IF($H62="","",IFERROR(INDEX(票据归类表,MATCH($H62,票据类型表,0)),"现金无票"))</f>
        <v/>
      </c>
      <c r="J62" s="25"/>
      <c r="K62" s="25"/>
      <c r="L62" s="31"/>
      <c r="M62" s="29" t="str">
        <f aca="false">IF($C62="","",YEAR($C62))</f>
        <v/>
      </c>
      <c r="N62" s="24"/>
      <c r="O62" s="35" t="str">
        <f aca="false">IF($C62="","",IF($D62="","★没选客户项目",IF(COUNTIF(合同键,$D62)=0,"★《维保合同》里没这个项目",IF(N($G62)&lt;=0,"★收款金额要填",IF($H62="","★票据类型要选",IF(AND($L62&lt;&gt;"",COUNTIF(应收单号,$L62)=0),"★关联的应收单号不存在",IF(AND($L62&lt;&gt;"",IFERROR(INDEX(应收键,MATCH($L62,应收单号,0)),"")&lt;&gt;$D62),"★关联单号不是这个客户的",IF(AND($L62&lt;&gt;"",ROUND(SUMIF(收款关联,$L62,收款金额)-IFERROR(INDEX(应收金额,MATCH($L62,应收单号,0)),0),2)&gt;0.001),"★指定冲销超过那张单的应收","OK"))))))))</f>
        <v/>
      </c>
    </row>
    <row r="63" customFormat="false" ht="15" hidden="false" customHeight="false" outlineLevel="0" collapsed="false">
      <c r="A63" s="29" t="str">
        <f aca="false">IF($C63="","",ROW()-4)</f>
        <v/>
      </c>
      <c r="B63" s="35" t="str">
        <f aca="false">IF($C63="","","SK"&amp;TEXT($C63,"yyyymm")&amp;"-"&amp;TEXT(ROW()-4,"0000"))</f>
        <v/>
      </c>
      <c r="C63" s="33"/>
      <c r="D63" s="24"/>
      <c r="E63" s="30" t="str">
        <f aca="false">IF($D63="","",IFERROR(INDEX(合同单位,MATCH($D63,合同键,0)),IFERROR(TRIM(LEFT($D63,FIND("｜",$D63)-1)),$D63)))</f>
        <v/>
      </c>
      <c r="F63" s="30" t="str">
        <f aca="false">IF($D63="","",IFERROR(INDEX(合同项目,MATCH($D63,合同键,0)),IFERROR(TRIM(MID($D63,FIND("｜",$D63)+1,99)),"")))</f>
        <v/>
      </c>
      <c r="G63" s="39"/>
      <c r="H63" s="25"/>
      <c r="I63" s="35" t="str">
        <f aca="false">IF($H63="","",IFERROR(INDEX(票据归类表,MATCH($H63,票据类型表,0)),"现金无票"))</f>
        <v/>
      </c>
      <c r="J63" s="25"/>
      <c r="K63" s="25"/>
      <c r="L63" s="31"/>
      <c r="M63" s="29" t="str">
        <f aca="false">IF($C63="","",YEAR($C63))</f>
        <v/>
      </c>
      <c r="N63" s="24"/>
      <c r="O63" s="35" t="str">
        <f aca="false">IF($C63="","",IF($D63="","★没选客户项目",IF(COUNTIF(合同键,$D63)=0,"★《维保合同》里没这个项目",IF(N($G63)&lt;=0,"★收款金额要填",IF($H63="","★票据类型要选",IF(AND($L63&lt;&gt;"",COUNTIF(应收单号,$L63)=0),"★关联的应收单号不存在",IF(AND($L63&lt;&gt;"",IFERROR(INDEX(应收键,MATCH($L63,应收单号,0)),"")&lt;&gt;$D63),"★关联单号不是这个客户的",IF(AND($L63&lt;&gt;"",ROUND(SUMIF(收款关联,$L63,收款金额)-IFERROR(INDEX(应收金额,MATCH($L63,应收单号,0)),0),2)&gt;0.001),"★指定冲销超过那张单的应收","OK"))))))))</f>
        <v/>
      </c>
    </row>
    <row r="64" customFormat="false" ht="15" hidden="false" customHeight="false" outlineLevel="0" collapsed="false">
      <c r="A64" s="29" t="str">
        <f aca="false">IF($C64="","",ROW()-4)</f>
        <v/>
      </c>
      <c r="B64" s="35" t="str">
        <f aca="false">IF($C64="","","SK"&amp;TEXT($C64,"yyyymm")&amp;"-"&amp;TEXT(ROW()-4,"0000"))</f>
        <v/>
      </c>
      <c r="C64" s="33"/>
      <c r="D64" s="24"/>
      <c r="E64" s="30" t="str">
        <f aca="false">IF($D64="","",IFERROR(INDEX(合同单位,MATCH($D64,合同键,0)),IFERROR(TRIM(LEFT($D64,FIND("｜",$D64)-1)),$D64)))</f>
        <v/>
      </c>
      <c r="F64" s="30" t="str">
        <f aca="false">IF($D64="","",IFERROR(INDEX(合同项目,MATCH($D64,合同键,0)),IFERROR(TRIM(MID($D64,FIND("｜",$D64)+1,99)),"")))</f>
        <v/>
      </c>
      <c r="G64" s="39"/>
      <c r="H64" s="25"/>
      <c r="I64" s="35" t="str">
        <f aca="false">IF($H64="","",IFERROR(INDEX(票据归类表,MATCH($H64,票据类型表,0)),"现金无票"))</f>
        <v/>
      </c>
      <c r="J64" s="25"/>
      <c r="K64" s="25"/>
      <c r="L64" s="31"/>
      <c r="M64" s="29" t="str">
        <f aca="false">IF($C64="","",YEAR($C64))</f>
        <v/>
      </c>
      <c r="N64" s="24"/>
      <c r="O64" s="35" t="str">
        <f aca="false">IF($C64="","",IF($D64="","★没选客户项目",IF(COUNTIF(合同键,$D64)=0,"★《维保合同》里没这个项目",IF(N($G64)&lt;=0,"★收款金额要填",IF($H64="","★票据类型要选",IF(AND($L64&lt;&gt;"",COUNTIF(应收单号,$L64)=0),"★关联的应收单号不存在",IF(AND($L64&lt;&gt;"",IFERROR(INDEX(应收键,MATCH($L64,应收单号,0)),"")&lt;&gt;$D64),"★关联单号不是这个客户的",IF(AND($L64&lt;&gt;"",ROUND(SUMIF(收款关联,$L64,收款金额)-IFERROR(INDEX(应收金额,MATCH($L64,应收单号,0)),0),2)&gt;0.001),"★指定冲销超过那张单的应收","OK"))))))))</f>
        <v/>
      </c>
    </row>
    <row r="65" customFormat="false" ht="15" hidden="false" customHeight="false" outlineLevel="0" collapsed="false">
      <c r="A65" s="29" t="str">
        <f aca="false">IF($C65="","",ROW()-4)</f>
        <v/>
      </c>
      <c r="B65" s="35" t="str">
        <f aca="false">IF($C65="","","SK"&amp;TEXT($C65,"yyyymm")&amp;"-"&amp;TEXT(ROW()-4,"0000"))</f>
        <v/>
      </c>
      <c r="C65" s="33"/>
      <c r="D65" s="24"/>
      <c r="E65" s="30" t="str">
        <f aca="false">IF($D65="","",IFERROR(INDEX(合同单位,MATCH($D65,合同键,0)),IFERROR(TRIM(LEFT($D65,FIND("｜",$D65)-1)),$D65)))</f>
        <v/>
      </c>
      <c r="F65" s="30" t="str">
        <f aca="false">IF($D65="","",IFERROR(INDEX(合同项目,MATCH($D65,合同键,0)),IFERROR(TRIM(MID($D65,FIND("｜",$D65)+1,99)),"")))</f>
        <v/>
      </c>
      <c r="G65" s="39"/>
      <c r="H65" s="25"/>
      <c r="I65" s="35" t="str">
        <f aca="false">IF($H65="","",IFERROR(INDEX(票据归类表,MATCH($H65,票据类型表,0)),"现金无票"))</f>
        <v/>
      </c>
      <c r="J65" s="25"/>
      <c r="K65" s="25"/>
      <c r="L65" s="31"/>
      <c r="M65" s="29" t="str">
        <f aca="false">IF($C65="","",YEAR($C65))</f>
        <v/>
      </c>
      <c r="N65" s="24"/>
      <c r="O65" s="35" t="str">
        <f aca="false">IF($C65="","",IF($D65="","★没选客户项目",IF(COUNTIF(合同键,$D65)=0,"★《维保合同》里没这个项目",IF(N($G65)&lt;=0,"★收款金额要填",IF($H65="","★票据类型要选",IF(AND($L65&lt;&gt;"",COUNTIF(应收单号,$L65)=0),"★关联的应收单号不存在",IF(AND($L65&lt;&gt;"",IFERROR(INDEX(应收键,MATCH($L65,应收单号,0)),"")&lt;&gt;$D65),"★关联单号不是这个客户的",IF(AND($L65&lt;&gt;"",ROUND(SUMIF(收款关联,$L65,收款金额)-IFERROR(INDEX(应收金额,MATCH($L65,应收单号,0)),0),2)&gt;0.001),"★指定冲销超过那张单的应收","OK"))))))))</f>
        <v/>
      </c>
    </row>
    <row r="66" customFormat="false" ht="15" hidden="false" customHeight="false" outlineLevel="0" collapsed="false">
      <c r="A66" s="29" t="str">
        <f aca="false">IF($C66="","",ROW()-4)</f>
        <v/>
      </c>
      <c r="B66" s="35" t="str">
        <f aca="false">IF($C66="","","SK"&amp;TEXT($C66,"yyyymm")&amp;"-"&amp;TEXT(ROW()-4,"0000"))</f>
        <v/>
      </c>
      <c r="C66" s="33"/>
      <c r="D66" s="24"/>
      <c r="E66" s="30" t="str">
        <f aca="false">IF($D66="","",IFERROR(INDEX(合同单位,MATCH($D66,合同键,0)),IFERROR(TRIM(LEFT($D66,FIND("｜",$D66)-1)),$D66)))</f>
        <v/>
      </c>
      <c r="F66" s="30" t="str">
        <f aca="false">IF($D66="","",IFERROR(INDEX(合同项目,MATCH($D66,合同键,0)),IFERROR(TRIM(MID($D66,FIND("｜",$D66)+1,99)),"")))</f>
        <v/>
      </c>
      <c r="G66" s="39"/>
      <c r="H66" s="25"/>
      <c r="I66" s="35" t="str">
        <f aca="false">IF($H66="","",IFERROR(INDEX(票据归类表,MATCH($H66,票据类型表,0)),"现金无票"))</f>
        <v/>
      </c>
      <c r="J66" s="25"/>
      <c r="K66" s="25"/>
      <c r="L66" s="31"/>
      <c r="M66" s="29" t="str">
        <f aca="false">IF($C66="","",YEAR($C66))</f>
        <v/>
      </c>
      <c r="N66" s="24"/>
      <c r="O66" s="35" t="str">
        <f aca="false">IF($C66="","",IF($D66="","★没选客户项目",IF(COUNTIF(合同键,$D66)=0,"★《维保合同》里没这个项目",IF(N($G66)&lt;=0,"★收款金额要填",IF($H66="","★票据类型要选",IF(AND($L66&lt;&gt;"",COUNTIF(应收单号,$L66)=0),"★关联的应收单号不存在",IF(AND($L66&lt;&gt;"",IFERROR(INDEX(应收键,MATCH($L66,应收单号,0)),"")&lt;&gt;$D66),"★关联单号不是这个客户的",IF(AND($L66&lt;&gt;"",ROUND(SUMIF(收款关联,$L66,收款金额)-IFERROR(INDEX(应收金额,MATCH($L66,应收单号,0)),0),2)&gt;0.001),"★指定冲销超过那张单的应收","OK"))))))))</f>
        <v/>
      </c>
    </row>
    <row r="67" customFormat="false" ht="15" hidden="false" customHeight="false" outlineLevel="0" collapsed="false">
      <c r="A67" s="29" t="str">
        <f aca="false">IF($C67="","",ROW()-4)</f>
        <v/>
      </c>
      <c r="B67" s="35" t="str">
        <f aca="false">IF($C67="","","SK"&amp;TEXT($C67,"yyyymm")&amp;"-"&amp;TEXT(ROW()-4,"0000"))</f>
        <v/>
      </c>
      <c r="C67" s="33"/>
      <c r="D67" s="24"/>
      <c r="E67" s="30" t="str">
        <f aca="false">IF($D67="","",IFERROR(INDEX(合同单位,MATCH($D67,合同键,0)),IFERROR(TRIM(LEFT($D67,FIND("｜",$D67)-1)),$D67)))</f>
        <v/>
      </c>
      <c r="F67" s="30" t="str">
        <f aca="false">IF($D67="","",IFERROR(INDEX(合同项目,MATCH($D67,合同键,0)),IFERROR(TRIM(MID($D67,FIND("｜",$D67)+1,99)),"")))</f>
        <v/>
      </c>
      <c r="G67" s="39"/>
      <c r="H67" s="25"/>
      <c r="I67" s="35" t="str">
        <f aca="false">IF($H67="","",IFERROR(INDEX(票据归类表,MATCH($H67,票据类型表,0)),"现金无票"))</f>
        <v/>
      </c>
      <c r="J67" s="25"/>
      <c r="K67" s="25"/>
      <c r="L67" s="31"/>
      <c r="M67" s="29" t="str">
        <f aca="false">IF($C67="","",YEAR($C67))</f>
        <v/>
      </c>
      <c r="N67" s="24"/>
      <c r="O67" s="35" t="str">
        <f aca="false">IF($C67="","",IF($D67="","★没选客户项目",IF(COUNTIF(合同键,$D67)=0,"★《维保合同》里没这个项目",IF(N($G67)&lt;=0,"★收款金额要填",IF($H67="","★票据类型要选",IF(AND($L67&lt;&gt;"",COUNTIF(应收单号,$L67)=0),"★关联的应收单号不存在",IF(AND($L67&lt;&gt;"",IFERROR(INDEX(应收键,MATCH($L67,应收单号,0)),"")&lt;&gt;$D67),"★关联单号不是这个客户的",IF(AND($L67&lt;&gt;"",ROUND(SUMIF(收款关联,$L67,收款金额)-IFERROR(INDEX(应收金额,MATCH($L67,应收单号,0)),0),2)&gt;0.001),"★指定冲销超过那张单的应收","OK"))))))))</f>
        <v/>
      </c>
    </row>
    <row r="68" customFormat="false" ht="15" hidden="false" customHeight="false" outlineLevel="0" collapsed="false">
      <c r="A68" s="29" t="str">
        <f aca="false">IF($C68="","",ROW()-4)</f>
        <v/>
      </c>
      <c r="B68" s="35" t="str">
        <f aca="false">IF($C68="","","SK"&amp;TEXT($C68,"yyyymm")&amp;"-"&amp;TEXT(ROW()-4,"0000"))</f>
        <v/>
      </c>
      <c r="C68" s="33"/>
      <c r="D68" s="24"/>
      <c r="E68" s="30" t="str">
        <f aca="false">IF($D68="","",IFERROR(INDEX(合同单位,MATCH($D68,合同键,0)),IFERROR(TRIM(LEFT($D68,FIND("｜",$D68)-1)),$D68)))</f>
        <v/>
      </c>
      <c r="F68" s="30" t="str">
        <f aca="false">IF($D68="","",IFERROR(INDEX(合同项目,MATCH($D68,合同键,0)),IFERROR(TRIM(MID($D68,FIND("｜",$D68)+1,99)),"")))</f>
        <v/>
      </c>
      <c r="G68" s="39"/>
      <c r="H68" s="25"/>
      <c r="I68" s="35" t="str">
        <f aca="false">IF($H68="","",IFERROR(INDEX(票据归类表,MATCH($H68,票据类型表,0)),"现金无票"))</f>
        <v/>
      </c>
      <c r="J68" s="25"/>
      <c r="K68" s="25"/>
      <c r="L68" s="31"/>
      <c r="M68" s="29" t="str">
        <f aca="false">IF($C68="","",YEAR($C68))</f>
        <v/>
      </c>
      <c r="N68" s="24"/>
      <c r="O68" s="35" t="str">
        <f aca="false">IF($C68="","",IF($D68="","★没选客户项目",IF(COUNTIF(合同键,$D68)=0,"★《维保合同》里没这个项目",IF(N($G68)&lt;=0,"★收款金额要填",IF($H68="","★票据类型要选",IF(AND($L68&lt;&gt;"",COUNTIF(应收单号,$L68)=0),"★关联的应收单号不存在",IF(AND($L68&lt;&gt;"",IFERROR(INDEX(应收键,MATCH($L68,应收单号,0)),"")&lt;&gt;$D68),"★关联单号不是这个客户的",IF(AND($L68&lt;&gt;"",ROUND(SUMIF(收款关联,$L68,收款金额)-IFERROR(INDEX(应收金额,MATCH($L68,应收单号,0)),0),2)&gt;0.001),"★指定冲销超过那张单的应收","OK"))))))))</f>
        <v/>
      </c>
    </row>
    <row r="69" customFormat="false" ht="15" hidden="false" customHeight="false" outlineLevel="0" collapsed="false">
      <c r="A69" s="29" t="str">
        <f aca="false">IF($C69="","",ROW()-4)</f>
        <v/>
      </c>
      <c r="B69" s="35" t="str">
        <f aca="false">IF($C69="","","SK"&amp;TEXT($C69,"yyyymm")&amp;"-"&amp;TEXT(ROW()-4,"0000"))</f>
        <v/>
      </c>
      <c r="C69" s="33"/>
      <c r="D69" s="24"/>
      <c r="E69" s="30" t="str">
        <f aca="false">IF($D69="","",IFERROR(INDEX(合同单位,MATCH($D69,合同键,0)),IFERROR(TRIM(LEFT($D69,FIND("｜",$D69)-1)),$D69)))</f>
        <v/>
      </c>
      <c r="F69" s="30" t="str">
        <f aca="false">IF($D69="","",IFERROR(INDEX(合同项目,MATCH($D69,合同键,0)),IFERROR(TRIM(MID($D69,FIND("｜",$D69)+1,99)),"")))</f>
        <v/>
      </c>
      <c r="G69" s="39"/>
      <c r="H69" s="25"/>
      <c r="I69" s="35" t="str">
        <f aca="false">IF($H69="","",IFERROR(INDEX(票据归类表,MATCH($H69,票据类型表,0)),"现金无票"))</f>
        <v/>
      </c>
      <c r="J69" s="25"/>
      <c r="K69" s="25"/>
      <c r="L69" s="31"/>
      <c r="M69" s="29" t="str">
        <f aca="false">IF($C69="","",YEAR($C69))</f>
        <v/>
      </c>
      <c r="N69" s="24"/>
      <c r="O69" s="35" t="str">
        <f aca="false">IF($C69="","",IF($D69="","★没选客户项目",IF(COUNTIF(合同键,$D69)=0,"★《维保合同》里没这个项目",IF(N($G69)&lt;=0,"★收款金额要填",IF($H69="","★票据类型要选",IF(AND($L69&lt;&gt;"",COUNTIF(应收单号,$L69)=0),"★关联的应收单号不存在",IF(AND($L69&lt;&gt;"",IFERROR(INDEX(应收键,MATCH($L69,应收单号,0)),"")&lt;&gt;$D69),"★关联单号不是这个客户的",IF(AND($L69&lt;&gt;"",ROUND(SUMIF(收款关联,$L69,收款金额)-IFERROR(INDEX(应收金额,MATCH($L69,应收单号,0)),0),2)&gt;0.001),"★指定冲销超过那张单的应收","OK"))))))))</f>
        <v/>
      </c>
    </row>
    <row r="70" customFormat="false" ht="15" hidden="false" customHeight="false" outlineLevel="0" collapsed="false">
      <c r="A70" s="29" t="str">
        <f aca="false">IF($C70="","",ROW()-4)</f>
        <v/>
      </c>
      <c r="B70" s="35" t="str">
        <f aca="false">IF($C70="","","SK"&amp;TEXT($C70,"yyyymm")&amp;"-"&amp;TEXT(ROW()-4,"0000"))</f>
        <v/>
      </c>
      <c r="C70" s="33"/>
      <c r="D70" s="24"/>
      <c r="E70" s="30" t="str">
        <f aca="false">IF($D70="","",IFERROR(INDEX(合同单位,MATCH($D70,合同键,0)),IFERROR(TRIM(LEFT($D70,FIND("｜",$D70)-1)),$D70)))</f>
        <v/>
      </c>
      <c r="F70" s="30" t="str">
        <f aca="false">IF($D70="","",IFERROR(INDEX(合同项目,MATCH($D70,合同键,0)),IFERROR(TRIM(MID($D70,FIND("｜",$D70)+1,99)),"")))</f>
        <v/>
      </c>
      <c r="G70" s="39"/>
      <c r="H70" s="25"/>
      <c r="I70" s="35" t="str">
        <f aca="false">IF($H70="","",IFERROR(INDEX(票据归类表,MATCH($H70,票据类型表,0)),"现金无票"))</f>
        <v/>
      </c>
      <c r="J70" s="25"/>
      <c r="K70" s="25"/>
      <c r="L70" s="31"/>
      <c r="M70" s="29" t="str">
        <f aca="false">IF($C70="","",YEAR($C70))</f>
        <v/>
      </c>
      <c r="N70" s="24"/>
      <c r="O70" s="35" t="str">
        <f aca="false">IF($C70="","",IF($D70="","★没选客户项目",IF(COUNTIF(合同键,$D70)=0,"★《维保合同》里没这个项目",IF(N($G70)&lt;=0,"★收款金额要填",IF($H70="","★票据类型要选",IF(AND($L70&lt;&gt;"",COUNTIF(应收单号,$L70)=0),"★关联的应收单号不存在",IF(AND($L70&lt;&gt;"",IFERROR(INDEX(应收键,MATCH($L70,应收单号,0)),"")&lt;&gt;$D70),"★关联单号不是这个客户的",IF(AND($L70&lt;&gt;"",ROUND(SUMIF(收款关联,$L70,收款金额)-IFERROR(INDEX(应收金额,MATCH($L70,应收单号,0)),0),2)&gt;0.001),"★指定冲销超过那张单的应收","OK"))))))))</f>
        <v/>
      </c>
    </row>
    <row r="71" customFormat="false" ht="15" hidden="false" customHeight="false" outlineLevel="0" collapsed="false">
      <c r="A71" s="29" t="str">
        <f aca="false">IF($C71="","",ROW()-4)</f>
        <v/>
      </c>
      <c r="B71" s="35" t="str">
        <f aca="false">IF($C71="","","SK"&amp;TEXT($C71,"yyyymm")&amp;"-"&amp;TEXT(ROW()-4,"0000"))</f>
        <v/>
      </c>
      <c r="C71" s="33"/>
      <c r="D71" s="24"/>
      <c r="E71" s="30" t="str">
        <f aca="false">IF($D71="","",IFERROR(INDEX(合同单位,MATCH($D71,合同键,0)),IFERROR(TRIM(LEFT($D71,FIND("｜",$D71)-1)),$D71)))</f>
        <v/>
      </c>
      <c r="F71" s="30" t="str">
        <f aca="false">IF($D71="","",IFERROR(INDEX(合同项目,MATCH($D71,合同键,0)),IFERROR(TRIM(MID($D71,FIND("｜",$D71)+1,99)),"")))</f>
        <v/>
      </c>
      <c r="G71" s="39"/>
      <c r="H71" s="25"/>
      <c r="I71" s="35" t="str">
        <f aca="false">IF($H71="","",IFERROR(INDEX(票据归类表,MATCH($H71,票据类型表,0)),"现金无票"))</f>
        <v/>
      </c>
      <c r="J71" s="25"/>
      <c r="K71" s="25"/>
      <c r="L71" s="31"/>
      <c r="M71" s="29" t="str">
        <f aca="false">IF($C71="","",YEAR($C71))</f>
        <v/>
      </c>
      <c r="N71" s="24"/>
      <c r="O71" s="35" t="str">
        <f aca="false">IF($C71="","",IF($D71="","★没选客户项目",IF(COUNTIF(合同键,$D71)=0,"★《维保合同》里没这个项目",IF(N($G71)&lt;=0,"★收款金额要填",IF($H71="","★票据类型要选",IF(AND($L71&lt;&gt;"",COUNTIF(应收单号,$L71)=0),"★关联的应收单号不存在",IF(AND($L71&lt;&gt;"",IFERROR(INDEX(应收键,MATCH($L71,应收单号,0)),"")&lt;&gt;$D71),"★关联单号不是这个客户的",IF(AND($L71&lt;&gt;"",ROUND(SUMIF(收款关联,$L71,收款金额)-IFERROR(INDEX(应收金额,MATCH($L71,应收单号,0)),0),2)&gt;0.001),"★指定冲销超过那张单的应收","OK"))))))))</f>
        <v/>
      </c>
    </row>
    <row r="72" customFormat="false" ht="15" hidden="false" customHeight="false" outlineLevel="0" collapsed="false">
      <c r="A72" s="29" t="str">
        <f aca="false">IF($C72="","",ROW()-4)</f>
        <v/>
      </c>
      <c r="B72" s="35" t="str">
        <f aca="false">IF($C72="","","SK"&amp;TEXT($C72,"yyyymm")&amp;"-"&amp;TEXT(ROW()-4,"0000"))</f>
        <v/>
      </c>
      <c r="C72" s="33"/>
      <c r="D72" s="24"/>
      <c r="E72" s="30" t="str">
        <f aca="false">IF($D72="","",IFERROR(INDEX(合同单位,MATCH($D72,合同键,0)),IFERROR(TRIM(LEFT($D72,FIND("｜",$D72)-1)),$D72)))</f>
        <v/>
      </c>
      <c r="F72" s="30" t="str">
        <f aca="false">IF($D72="","",IFERROR(INDEX(合同项目,MATCH($D72,合同键,0)),IFERROR(TRIM(MID($D72,FIND("｜",$D72)+1,99)),"")))</f>
        <v/>
      </c>
      <c r="G72" s="39"/>
      <c r="H72" s="25"/>
      <c r="I72" s="35" t="str">
        <f aca="false">IF($H72="","",IFERROR(INDEX(票据归类表,MATCH($H72,票据类型表,0)),"现金无票"))</f>
        <v/>
      </c>
      <c r="J72" s="25"/>
      <c r="K72" s="25"/>
      <c r="L72" s="31"/>
      <c r="M72" s="29" t="str">
        <f aca="false">IF($C72="","",YEAR($C72))</f>
        <v/>
      </c>
      <c r="N72" s="24"/>
      <c r="O72" s="35" t="str">
        <f aca="false">IF($C72="","",IF($D72="","★没选客户项目",IF(COUNTIF(合同键,$D72)=0,"★《维保合同》里没这个项目",IF(N($G72)&lt;=0,"★收款金额要填",IF($H72="","★票据类型要选",IF(AND($L72&lt;&gt;"",COUNTIF(应收单号,$L72)=0),"★关联的应收单号不存在",IF(AND($L72&lt;&gt;"",IFERROR(INDEX(应收键,MATCH($L72,应收单号,0)),"")&lt;&gt;$D72),"★关联单号不是这个客户的",IF(AND($L72&lt;&gt;"",ROUND(SUMIF(收款关联,$L72,收款金额)-IFERROR(INDEX(应收金额,MATCH($L72,应收单号,0)),0),2)&gt;0.001),"★指定冲销超过那张单的应收","OK"))))))))</f>
        <v/>
      </c>
    </row>
    <row r="73" customFormat="false" ht="15" hidden="false" customHeight="false" outlineLevel="0" collapsed="false">
      <c r="A73" s="29" t="str">
        <f aca="false">IF($C73="","",ROW()-4)</f>
        <v/>
      </c>
      <c r="B73" s="35" t="str">
        <f aca="false">IF($C73="","","SK"&amp;TEXT($C73,"yyyymm")&amp;"-"&amp;TEXT(ROW()-4,"0000"))</f>
        <v/>
      </c>
      <c r="C73" s="33"/>
      <c r="D73" s="24"/>
      <c r="E73" s="30" t="str">
        <f aca="false">IF($D73="","",IFERROR(INDEX(合同单位,MATCH($D73,合同键,0)),IFERROR(TRIM(LEFT($D73,FIND("｜",$D73)-1)),$D73)))</f>
        <v/>
      </c>
      <c r="F73" s="30" t="str">
        <f aca="false">IF($D73="","",IFERROR(INDEX(合同项目,MATCH($D73,合同键,0)),IFERROR(TRIM(MID($D73,FIND("｜",$D73)+1,99)),"")))</f>
        <v/>
      </c>
      <c r="G73" s="39"/>
      <c r="H73" s="25"/>
      <c r="I73" s="35" t="str">
        <f aca="false">IF($H73="","",IFERROR(INDEX(票据归类表,MATCH($H73,票据类型表,0)),"现金无票"))</f>
        <v/>
      </c>
      <c r="J73" s="25"/>
      <c r="K73" s="25"/>
      <c r="L73" s="31"/>
      <c r="M73" s="29" t="str">
        <f aca="false">IF($C73="","",YEAR($C73))</f>
        <v/>
      </c>
      <c r="N73" s="24"/>
      <c r="O73" s="35" t="str">
        <f aca="false">IF($C73="","",IF($D73="","★没选客户项目",IF(COUNTIF(合同键,$D73)=0,"★《维保合同》里没这个项目",IF(N($G73)&lt;=0,"★收款金额要填",IF($H73="","★票据类型要选",IF(AND($L73&lt;&gt;"",COUNTIF(应收单号,$L73)=0),"★关联的应收单号不存在",IF(AND($L73&lt;&gt;"",IFERROR(INDEX(应收键,MATCH($L73,应收单号,0)),"")&lt;&gt;$D73),"★关联单号不是这个客户的",IF(AND($L73&lt;&gt;"",ROUND(SUMIF(收款关联,$L73,收款金额)-IFERROR(INDEX(应收金额,MATCH($L73,应收单号,0)),0),2)&gt;0.001),"★指定冲销超过那张单的应收","OK"))))))))</f>
        <v/>
      </c>
    </row>
    <row r="74" customFormat="false" ht="15" hidden="false" customHeight="false" outlineLevel="0" collapsed="false">
      <c r="A74" s="29" t="str">
        <f aca="false">IF($C74="","",ROW()-4)</f>
        <v/>
      </c>
      <c r="B74" s="35" t="str">
        <f aca="false">IF($C74="","","SK"&amp;TEXT($C74,"yyyymm")&amp;"-"&amp;TEXT(ROW()-4,"0000"))</f>
        <v/>
      </c>
      <c r="C74" s="33"/>
      <c r="D74" s="24"/>
      <c r="E74" s="30" t="str">
        <f aca="false">IF($D74="","",IFERROR(INDEX(合同单位,MATCH($D74,合同键,0)),IFERROR(TRIM(LEFT($D74,FIND("｜",$D74)-1)),$D74)))</f>
        <v/>
      </c>
      <c r="F74" s="30" t="str">
        <f aca="false">IF($D74="","",IFERROR(INDEX(合同项目,MATCH($D74,合同键,0)),IFERROR(TRIM(MID($D74,FIND("｜",$D74)+1,99)),"")))</f>
        <v/>
      </c>
      <c r="G74" s="39"/>
      <c r="H74" s="25"/>
      <c r="I74" s="35" t="str">
        <f aca="false">IF($H74="","",IFERROR(INDEX(票据归类表,MATCH($H74,票据类型表,0)),"现金无票"))</f>
        <v/>
      </c>
      <c r="J74" s="25"/>
      <c r="K74" s="25"/>
      <c r="L74" s="31"/>
      <c r="M74" s="29" t="str">
        <f aca="false">IF($C74="","",YEAR($C74))</f>
        <v/>
      </c>
      <c r="N74" s="24"/>
      <c r="O74" s="35" t="str">
        <f aca="false">IF($C74="","",IF($D74="","★没选客户项目",IF(COUNTIF(合同键,$D74)=0,"★《维保合同》里没这个项目",IF(N($G74)&lt;=0,"★收款金额要填",IF($H74="","★票据类型要选",IF(AND($L74&lt;&gt;"",COUNTIF(应收单号,$L74)=0),"★关联的应收单号不存在",IF(AND($L74&lt;&gt;"",IFERROR(INDEX(应收键,MATCH($L74,应收单号,0)),"")&lt;&gt;$D74),"★关联单号不是这个客户的",IF(AND($L74&lt;&gt;"",ROUND(SUMIF(收款关联,$L74,收款金额)-IFERROR(INDEX(应收金额,MATCH($L74,应收单号,0)),0),2)&gt;0.001),"★指定冲销超过那张单的应收","OK"))))))))</f>
        <v/>
      </c>
    </row>
    <row r="75" customFormat="false" ht="15" hidden="false" customHeight="false" outlineLevel="0" collapsed="false">
      <c r="A75" s="29" t="str">
        <f aca="false">IF($C75="","",ROW()-4)</f>
        <v/>
      </c>
      <c r="B75" s="35" t="str">
        <f aca="false">IF($C75="","","SK"&amp;TEXT($C75,"yyyymm")&amp;"-"&amp;TEXT(ROW()-4,"0000"))</f>
        <v/>
      </c>
      <c r="C75" s="33"/>
      <c r="D75" s="24"/>
      <c r="E75" s="30" t="str">
        <f aca="false">IF($D75="","",IFERROR(INDEX(合同单位,MATCH($D75,合同键,0)),IFERROR(TRIM(LEFT($D75,FIND("｜",$D75)-1)),$D75)))</f>
        <v/>
      </c>
      <c r="F75" s="30" t="str">
        <f aca="false">IF($D75="","",IFERROR(INDEX(合同项目,MATCH($D75,合同键,0)),IFERROR(TRIM(MID($D75,FIND("｜",$D75)+1,99)),"")))</f>
        <v/>
      </c>
      <c r="G75" s="39"/>
      <c r="H75" s="25"/>
      <c r="I75" s="35" t="str">
        <f aca="false">IF($H75="","",IFERROR(INDEX(票据归类表,MATCH($H75,票据类型表,0)),"现金无票"))</f>
        <v/>
      </c>
      <c r="J75" s="25"/>
      <c r="K75" s="25"/>
      <c r="L75" s="31"/>
      <c r="M75" s="29" t="str">
        <f aca="false">IF($C75="","",YEAR($C75))</f>
        <v/>
      </c>
      <c r="N75" s="24"/>
      <c r="O75" s="35" t="str">
        <f aca="false">IF($C75="","",IF($D75="","★没选客户项目",IF(COUNTIF(合同键,$D75)=0,"★《维保合同》里没这个项目",IF(N($G75)&lt;=0,"★收款金额要填",IF($H75="","★票据类型要选",IF(AND($L75&lt;&gt;"",COUNTIF(应收单号,$L75)=0),"★关联的应收单号不存在",IF(AND($L75&lt;&gt;"",IFERROR(INDEX(应收键,MATCH($L75,应收单号,0)),"")&lt;&gt;$D75),"★关联单号不是这个客户的",IF(AND($L75&lt;&gt;"",ROUND(SUMIF(收款关联,$L75,收款金额)-IFERROR(INDEX(应收金额,MATCH($L75,应收单号,0)),0),2)&gt;0.001),"★指定冲销超过那张单的应收","OK"))))))))</f>
        <v/>
      </c>
    </row>
    <row r="76" customFormat="false" ht="15" hidden="false" customHeight="false" outlineLevel="0" collapsed="false">
      <c r="A76" s="29" t="str">
        <f aca="false">IF($C76="","",ROW()-4)</f>
        <v/>
      </c>
      <c r="B76" s="35" t="str">
        <f aca="false">IF($C76="","","SK"&amp;TEXT($C76,"yyyymm")&amp;"-"&amp;TEXT(ROW()-4,"0000"))</f>
        <v/>
      </c>
      <c r="C76" s="33"/>
      <c r="D76" s="24"/>
      <c r="E76" s="30" t="str">
        <f aca="false">IF($D76="","",IFERROR(INDEX(合同单位,MATCH($D76,合同键,0)),IFERROR(TRIM(LEFT($D76,FIND("｜",$D76)-1)),$D76)))</f>
        <v/>
      </c>
      <c r="F76" s="30" t="str">
        <f aca="false">IF($D76="","",IFERROR(INDEX(合同项目,MATCH($D76,合同键,0)),IFERROR(TRIM(MID($D76,FIND("｜",$D76)+1,99)),"")))</f>
        <v/>
      </c>
      <c r="G76" s="39"/>
      <c r="H76" s="25"/>
      <c r="I76" s="35" t="str">
        <f aca="false">IF($H76="","",IFERROR(INDEX(票据归类表,MATCH($H76,票据类型表,0)),"现金无票"))</f>
        <v/>
      </c>
      <c r="J76" s="25"/>
      <c r="K76" s="25"/>
      <c r="L76" s="31"/>
      <c r="M76" s="29" t="str">
        <f aca="false">IF($C76="","",YEAR($C76))</f>
        <v/>
      </c>
      <c r="N76" s="24"/>
      <c r="O76" s="35" t="str">
        <f aca="false">IF($C76="","",IF($D76="","★没选客户项目",IF(COUNTIF(合同键,$D76)=0,"★《维保合同》里没这个项目",IF(N($G76)&lt;=0,"★收款金额要填",IF($H76="","★票据类型要选",IF(AND($L76&lt;&gt;"",COUNTIF(应收单号,$L76)=0),"★关联的应收单号不存在",IF(AND($L76&lt;&gt;"",IFERROR(INDEX(应收键,MATCH($L76,应收单号,0)),"")&lt;&gt;$D76),"★关联单号不是这个客户的",IF(AND($L76&lt;&gt;"",ROUND(SUMIF(收款关联,$L76,收款金额)-IFERROR(INDEX(应收金额,MATCH($L76,应收单号,0)),0),2)&gt;0.001),"★指定冲销超过那张单的应收","OK"))))))))</f>
        <v/>
      </c>
    </row>
    <row r="77" customFormat="false" ht="15" hidden="false" customHeight="false" outlineLevel="0" collapsed="false">
      <c r="A77" s="29" t="str">
        <f aca="false">IF($C77="","",ROW()-4)</f>
        <v/>
      </c>
      <c r="B77" s="35" t="str">
        <f aca="false">IF($C77="","","SK"&amp;TEXT($C77,"yyyymm")&amp;"-"&amp;TEXT(ROW()-4,"0000"))</f>
        <v/>
      </c>
      <c r="C77" s="33"/>
      <c r="D77" s="24"/>
      <c r="E77" s="30" t="str">
        <f aca="false">IF($D77="","",IFERROR(INDEX(合同单位,MATCH($D77,合同键,0)),IFERROR(TRIM(LEFT($D77,FIND("｜",$D77)-1)),$D77)))</f>
        <v/>
      </c>
      <c r="F77" s="30" t="str">
        <f aca="false">IF($D77="","",IFERROR(INDEX(合同项目,MATCH($D77,合同键,0)),IFERROR(TRIM(MID($D77,FIND("｜",$D77)+1,99)),"")))</f>
        <v/>
      </c>
      <c r="G77" s="39"/>
      <c r="H77" s="25"/>
      <c r="I77" s="35" t="str">
        <f aca="false">IF($H77="","",IFERROR(INDEX(票据归类表,MATCH($H77,票据类型表,0)),"现金无票"))</f>
        <v/>
      </c>
      <c r="J77" s="25"/>
      <c r="K77" s="25"/>
      <c r="L77" s="31"/>
      <c r="M77" s="29" t="str">
        <f aca="false">IF($C77="","",YEAR($C77))</f>
        <v/>
      </c>
      <c r="N77" s="24"/>
      <c r="O77" s="35" t="str">
        <f aca="false">IF($C77="","",IF($D77="","★没选客户项目",IF(COUNTIF(合同键,$D77)=0,"★《维保合同》里没这个项目",IF(N($G77)&lt;=0,"★收款金额要填",IF($H77="","★票据类型要选",IF(AND($L77&lt;&gt;"",COUNTIF(应收单号,$L77)=0),"★关联的应收单号不存在",IF(AND($L77&lt;&gt;"",IFERROR(INDEX(应收键,MATCH($L77,应收单号,0)),"")&lt;&gt;$D77),"★关联单号不是这个客户的",IF(AND($L77&lt;&gt;"",ROUND(SUMIF(收款关联,$L77,收款金额)-IFERROR(INDEX(应收金额,MATCH($L77,应收单号,0)),0),2)&gt;0.001),"★指定冲销超过那张单的应收","OK"))))))))</f>
        <v/>
      </c>
    </row>
    <row r="78" customFormat="false" ht="15" hidden="false" customHeight="false" outlineLevel="0" collapsed="false">
      <c r="A78" s="29" t="str">
        <f aca="false">IF($C78="","",ROW()-4)</f>
        <v/>
      </c>
      <c r="B78" s="35" t="str">
        <f aca="false">IF($C78="","","SK"&amp;TEXT($C78,"yyyymm")&amp;"-"&amp;TEXT(ROW()-4,"0000"))</f>
        <v/>
      </c>
      <c r="C78" s="33"/>
      <c r="D78" s="24"/>
      <c r="E78" s="30" t="str">
        <f aca="false">IF($D78="","",IFERROR(INDEX(合同单位,MATCH($D78,合同键,0)),IFERROR(TRIM(LEFT($D78,FIND("｜",$D78)-1)),$D78)))</f>
        <v/>
      </c>
      <c r="F78" s="30" t="str">
        <f aca="false">IF($D78="","",IFERROR(INDEX(合同项目,MATCH($D78,合同键,0)),IFERROR(TRIM(MID($D78,FIND("｜",$D78)+1,99)),"")))</f>
        <v/>
      </c>
      <c r="G78" s="39"/>
      <c r="H78" s="25"/>
      <c r="I78" s="35" t="str">
        <f aca="false">IF($H78="","",IFERROR(INDEX(票据归类表,MATCH($H78,票据类型表,0)),"现金无票"))</f>
        <v/>
      </c>
      <c r="J78" s="25"/>
      <c r="K78" s="25"/>
      <c r="L78" s="31"/>
      <c r="M78" s="29" t="str">
        <f aca="false">IF($C78="","",YEAR($C78))</f>
        <v/>
      </c>
      <c r="N78" s="24"/>
      <c r="O78" s="35" t="str">
        <f aca="false">IF($C78="","",IF($D78="","★没选客户项目",IF(COUNTIF(合同键,$D78)=0,"★《维保合同》里没这个项目",IF(N($G78)&lt;=0,"★收款金额要填",IF($H78="","★票据类型要选",IF(AND($L78&lt;&gt;"",COUNTIF(应收单号,$L78)=0),"★关联的应收单号不存在",IF(AND($L78&lt;&gt;"",IFERROR(INDEX(应收键,MATCH($L78,应收单号,0)),"")&lt;&gt;$D78),"★关联单号不是这个客户的",IF(AND($L78&lt;&gt;"",ROUND(SUMIF(收款关联,$L78,收款金额)-IFERROR(INDEX(应收金额,MATCH($L78,应收单号,0)),0),2)&gt;0.001),"★指定冲销超过那张单的应收","OK"))))))))</f>
        <v/>
      </c>
    </row>
    <row r="79" customFormat="false" ht="15" hidden="false" customHeight="false" outlineLevel="0" collapsed="false">
      <c r="A79" s="29" t="str">
        <f aca="false">IF($C79="","",ROW()-4)</f>
        <v/>
      </c>
      <c r="B79" s="35" t="str">
        <f aca="false">IF($C79="","","SK"&amp;TEXT($C79,"yyyymm")&amp;"-"&amp;TEXT(ROW()-4,"0000"))</f>
        <v/>
      </c>
      <c r="C79" s="33"/>
      <c r="D79" s="24"/>
      <c r="E79" s="30" t="str">
        <f aca="false">IF($D79="","",IFERROR(INDEX(合同单位,MATCH($D79,合同键,0)),IFERROR(TRIM(LEFT($D79,FIND("｜",$D79)-1)),$D79)))</f>
        <v/>
      </c>
      <c r="F79" s="30" t="str">
        <f aca="false">IF($D79="","",IFERROR(INDEX(合同项目,MATCH($D79,合同键,0)),IFERROR(TRIM(MID($D79,FIND("｜",$D79)+1,99)),"")))</f>
        <v/>
      </c>
      <c r="G79" s="39"/>
      <c r="H79" s="25"/>
      <c r="I79" s="35" t="str">
        <f aca="false">IF($H79="","",IFERROR(INDEX(票据归类表,MATCH($H79,票据类型表,0)),"现金无票"))</f>
        <v/>
      </c>
      <c r="J79" s="25"/>
      <c r="K79" s="25"/>
      <c r="L79" s="31"/>
      <c r="M79" s="29" t="str">
        <f aca="false">IF($C79="","",YEAR($C79))</f>
        <v/>
      </c>
      <c r="N79" s="24"/>
      <c r="O79" s="35" t="str">
        <f aca="false">IF($C79="","",IF($D79="","★没选客户项目",IF(COUNTIF(合同键,$D79)=0,"★《维保合同》里没这个项目",IF(N($G79)&lt;=0,"★收款金额要填",IF($H79="","★票据类型要选",IF(AND($L79&lt;&gt;"",COUNTIF(应收单号,$L79)=0),"★关联的应收单号不存在",IF(AND($L79&lt;&gt;"",IFERROR(INDEX(应收键,MATCH($L79,应收单号,0)),"")&lt;&gt;$D79),"★关联单号不是这个客户的",IF(AND($L79&lt;&gt;"",ROUND(SUMIF(收款关联,$L79,收款金额)-IFERROR(INDEX(应收金额,MATCH($L79,应收单号,0)),0),2)&gt;0.001),"★指定冲销超过那张单的应收","OK"))))))))</f>
        <v/>
      </c>
    </row>
    <row r="80" customFormat="false" ht="15" hidden="false" customHeight="false" outlineLevel="0" collapsed="false">
      <c r="A80" s="29" t="str">
        <f aca="false">IF($C80="","",ROW()-4)</f>
        <v/>
      </c>
      <c r="B80" s="35" t="str">
        <f aca="false">IF($C80="","","SK"&amp;TEXT($C80,"yyyymm")&amp;"-"&amp;TEXT(ROW()-4,"0000"))</f>
        <v/>
      </c>
      <c r="C80" s="33"/>
      <c r="D80" s="24"/>
      <c r="E80" s="30" t="str">
        <f aca="false">IF($D80="","",IFERROR(INDEX(合同单位,MATCH($D80,合同键,0)),IFERROR(TRIM(LEFT($D80,FIND("｜",$D80)-1)),$D80)))</f>
        <v/>
      </c>
      <c r="F80" s="30" t="str">
        <f aca="false">IF($D80="","",IFERROR(INDEX(合同项目,MATCH($D80,合同键,0)),IFERROR(TRIM(MID($D80,FIND("｜",$D80)+1,99)),"")))</f>
        <v/>
      </c>
      <c r="G80" s="39"/>
      <c r="H80" s="25"/>
      <c r="I80" s="35" t="str">
        <f aca="false">IF($H80="","",IFERROR(INDEX(票据归类表,MATCH($H80,票据类型表,0)),"现金无票"))</f>
        <v/>
      </c>
      <c r="J80" s="25"/>
      <c r="K80" s="25"/>
      <c r="L80" s="31"/>
      <c r="M80" s="29" t="str">
        <f aca="false">IF($C80="","",YEAR($C80))</f>
        <v/>
      </c>
      <c r="N80" s="24"/>
      <c r="O80" s="35" t="str">
        <f aca="false">IF($C80="","",IF($D80="","★没选客户项目",IF(COUNTIF(合同键,$D80)=0,"★《维保合同》里没这个项目",IF(N($G80)&lt;=0,"★收款金额要填",IF($H80="","★票据类型要选",IF(AND($L80&lt;&gt;"",COUNTIF(应收单号,$L80)=0),"★关联的应收单号不存在",IF(AND($L80&lt;&gt;"",IFERROR(INDEX(应收键,MATCH($L80,应收单号,0)),"")&lt;&gt;$D80),"★关联单号不是这个客户的",IF(AND($L80&lt;&gt;"",ROUND(SUMIF(收款关联,$L80,收款金额)-IFERROR(INDEX(应收金额,MATCH($L80,应收单号,0)),0),2)&gt;0.001),"★指定冲销超过那张单的应收","OK"))))))))</f>
        <v/>
      </c>
    </row>
    <row r="81" customFormat="false" ht="15" hidden="false" customHeight="false" outlineLevel="0" collapsed="false">
      <c r="A81" s="29" t="str">
        <f aca="false">IF($C81="","",ROW()-4)</f>
        <v/>
      </c>
      <c r="B81" s="35" t="str">
        <f aca="false">IF($C81="","","SK"&amp;TEXT($C81,"yyyymm")&amp;"-"&amp;TEXT(ROW()-4,"0000"))</f>
        <v/>
      </c>
      <c r="C81" s="33"/>
      <c r="D81" s="24"/>
      <c r="E81" s="30" t="str">
        <f aca="false">IF($D81="","",IFERROR(INDEX(合同单位,MATCH($D81,合同键,0)),IFERROR(TRIM(LEFT($D81,FIND("｜",$D81)-1)),$D81)))</f>
        <v/>
      </c>
      <c r="F81" s="30" t="str">
        <f aca="false">IF($D81="","",IFERROR(INDEX(合同项目,MATCH($D81,合同键,0)),IFERROR(TRIM(MID($D81,FIND("｜",$D81)+1,99)),"")))</f>
        <v/>
      </c>
      <c r="G81" s="39"/>
      <c r="H81" s="25"/>
      <c r="I81" s="35" t="str">
        <f aca="false">IF($H81="","",IFERROR(INDEX(票据归类表,MATCH($H81,票据类型表,0)),"现金无票"))</f>
        <v/>
      </c>
      <c r="J81" s="25"/>
      <c r="K81" s="25"/>
      <c r="L81" s="31"/>
      <c r="M81" s="29" t="str">
        <f aca="false">IF($C81="","",YEAR($C81))</f>
        <v/>
      </c>
      <c r="N81" s="24"/>
      <c r="O81" s="35" t="str">
        <f aca="false">IF($C81="","",IF($D81="","★没选客户项目",IF(COUNTIF(合同键,$D81)=0,"★《维保合同》里没这个项目",IF(N($G81)&lt;=0,"★收款金额要填",IF($H81="","★票据类型要选",IF(AND($L81&lt;&gt;"",COUNTIF(应收单号,$L81)=0),"★关联的应收单号不存在",IF(AND($L81&lt;&gt;"",IFERROR(INDEX(应收键,MATCH($L81,应收单号,0)),"")&lt;&gt;$D81),"★关联单号不是这个客户的",IF(AND($L81&lt;&gt;"",ROUND(SUMIF(收款关联,$L81,收款金额)-IFERROR(INDEX(应收金额,MATCH($L81,应收单号,0)),0),2)&gt;0.001),"★指定冲销超过那张单的应收","OK"))))))))</f>
        <v/>
      </c>
    </row>
    <row r="82" customFormat="false" ht="15" hidden="false" customHeight="false" outlineLevel="0" collapsed="false">
      <c r="A82" s="29" t="str">
        <f aca="false">IF($C82="","",ROW()-4)</f>
        <v/>
      </c>
      <c r="B82" s="35" t="str">
        <f aca="false">IF($C82="","","SK"&amp;TEXT($C82,"yyyymm")&amp;"-"&amp;TEXT(ROW()-4,"0000"))</f>
        <v/>
      </c>
      <c r="C82" s="33"/>
      <c r="D82" s="24"/>
      <c r="E82" s="30" t="str">
        <f aca="false">IF($D82="","",IFERROR(INDEX(合同单位,MATCH($D82,合同键,0)),IFERROR(TRIM(LEFT($D82,FIND("｜",$D82)-1)),$D82)))</f>
        <v/>
      </c>
      <c r="F82" s="30" t="str">
        <f aca="false">IF($D82="","",IFERROR(INDEX(合同项目,MATCH($D82,合同键,0)),IFERROR(TRIM(MID($D82,FIND("｜",$D82)+1,99)),"")))</f>
        <v/>
      </c>
      <c r="G82" s="39"/>
      <c r="H82" s="25"/>
      <c r="I82" s="35" t="str">
        <f aca="false">IF($H82="","",IFERROR(INDEX(票据归类表,MATCH($H82,票据类型表,0)),"现金无票"))</f>
        <v/>
      </c>
      <c r="J82" s="25"/>
      <c r="K82" s="25"/>
      <c r="L82" s="31"/>
      <c r="M82" s="29" t="str">
        <f aca="false">IF($C82="","",YEAR($C82))</f>
        <v/>
      </c>
      <c r="N82" s="24"/>
      <c r="O82" s="35" t="str">
        <f aca="false">IF($C82="","",IF($D82="","★没选客户项目",IF(COUNTIF(合同键,$D82)=0,"★《维保合同》里没这个项目",IF(N($G82)&lt;=0,"★收款金额要填",IF($H82="","★票据类型要选",IF(AND($L82&lt;&gt;"",COUNTIF(应收单号,$L82)=0),"★关联的应收单号不存在",IF(AND($L82&lt;&gt;"",IFERROR(INDEX(应收键,MATCH($L82,应收单号,0)),"")&lt;&gt;$D82),"★关联单号不是这个客户的",IF(AND($L82&lt;&gt;"",ROUND(SUMIF(收款关联,$L82,收款金额)-IFERROR(INDEX(应收金额,MATCH($L82,应收单号,0)),0),2)&gt;0.001),"★指定冲销超过那张单的应收","OK"))))))))</f>
        <v/>
      </c>
    </row>
    <row r="83" customFormat="false" ht="15" hidden="false" customHeight="false" outlineLevel="0" collapsed="false">
      <c r="A83" s="29" t="str">
        <f aca="false">IF($C83="","",ROW()-4)</f>
        <v/>
      </c>
      <c r="B83" s="35" t="str">
        <f aca="false">IF($C83="","","SK"&amp;TEXT($C83,"yyyymm")&amp;"-"&amp;TEXT(ROW()-4,"0000"))</f>
        <v/>
      </c>
      <c r="C83" s="33"/>
      <c r="D83" s="24"/>
      <c r="E83" s="30" t="str">
        <f aca="false">IF($D83="","",IFERROR(INDEX(合同单位,MATCH($D83,合同键,0)),IFERROR(TRIM(LEFT($D83,FIND("｜",$D83)-1)),$D83)))</f>
        <v/>
      </c>
      <c r="F83" s="30" t="str">
        <f aca="false">IF($D83="","",IFERROR(INDEX(合同项目,MATCH($D83,合同键,0)),IFERROR(TRIM(MID($D83,FIND("｜",$D83)+1,99)),"")))</f>
        <v/>
      </c>
      <c r="G83" s="39"/>
      <c r="H83" s="25"/>
      <c r="I83" s="35" t="str">
        <f aca="false">IF($H83="","",IFERROR(INDEX(票据归类表,MATCH($H83,票据类型表,0)),"现金无票"))</f>
        <v/>
      </c>
      <c r="J83" s="25"/>
      <c r="K83" s="25"/>
      <c r="L83" s="31"/>
      <c r="M83" s="29" t="str">
        <f aca="false">IF($C83="","",YEAR($C83))</f>
        <v/>
      </c>
      <c r="N83" s="24"/>
      <c r="O83" s="35" t="str">
        <f aca="false">IF($C83="","",IF($D83="","★没选客户项目",IF(COUNTIF(合同键,$D83)=0,"★《维保合同》里没这个项目",IF(N($G83)&lt;=0,"★收款金额要填",IF($H83="","★票据类型要选",IF(AND($L83&lt;&gt;"",COUNTIF(应收单号,$L83)=0),"★关联的应收单号不存在",IF(AND($L83&lt;&gt;"",IFERROR(INDEX(应收键,MATCH($L83,应收单号,0)),"")&lt;&gt;$D83),"★关联单号不是这个客户的",IF(AND($L83&lt;&gt;"",ROUND(SUMIF(收款关联,$L83,收款金额)-IFERROR(INDEX(应收金额,MATCH($L83,应收单号,0)),0),2)&gt;0.001),"★指定冲销超过那张单的应收","OK"))))))))</f>
        <v/>
      </c>
    </row>
    <row r="84" customFormat="false" ht="15" hidden="false" customHeight="false" outlineLevel="0" collapsed="false">
      <c r="A84" s="29" t="str">
        <f aca="false">IF($C84="","",ROW()-4)</f>
        <v/>
      </c>
      <c r="B84" s="35" t="str">
        <f aca="false">IF($C84="","","SK"&amp;TEXT($C84,"yyyymm")&amp;"-"&amp;TEXT(ROW()-4,"0000"))</f>
        <v/>
      </c>
      <c r="C84" s="33"/>
      <c r="D84" s="24"/>
      <c r="E84" s="30" t="str">
        <f aca="false">IF($D84="","",IFERROR(INDEX(合同单位,MATCH($D84,合同键,0)),IFERROR(TRIM(LEFT($D84,FIND("｜",$D84)-1)),$D84)))</f>
        <v/>
      </c>
      <c r="F84" s="30" t="str">
        <f aca="false">IF($D84="","",IFERROR(INDEX(合同项目,MATCH($D84,合同键,0)),IFERROR(TRIM(MID($D84,FIND("｜",$D84)+1,99)),"")))</f>
        <v/>
      </c>
      <c r="G84" s="39"/>
      <c r="H84" s="25"/>
      <c r="I84" s="35" t="str">
        <f aca="false">IF($H84="","",IFERROR(INDEX(票据归类表,MATCH($H84,票据类型表,0)),"现金无票"))</f>
        <v/>
      </c>
      <c r="J84" s="25"/>
      <c r="K84" s="25"/>
      <c r="L84" s="31"/>
      <c r="M84" s="29" t="str">
        <f aca="false">IF($C84="","",YEAR($C84))</f>
        <v/>
      </c>
      <c r="N84" s="24"/>
      <c r="O84" s="35" t="str">
        <f aca="false">IF($C84="","",IF($D84="","★没选客户项目",IF(COUNTIF(合同键,$D84)=0,"★《维保合同》里没这个项目",IF(N($G84)&lt;=0,"★收款金额要填",IF($H84="","★票据类型要选",IF(AND($L84&lt;&gt;"",COUNTIF(应收单号,$L84)=0),"★关联的应收单号不存在",IF(AND($L84&lt;&gt;"",IFERROR(INDEX(应收键,MATCH($L84,应收单号,0)),"")&lt;&gt;$D84),"★关联单号不是这个客户的",IF(AND($L84&lt;&gt;"",ROUND(SUMIF(收款关联,$L84,收款金额)-IFERROR(INDEX(应收金额,MATCH($L84,应收单号,0)),0),2)&gt;0.001),"★指定冲销超过那张单的应收","OK"))))))))</f>
        <v/>
      </c>
    </row>
    <row r="85" customFormat="false" ht="15" hidden="false" customHeight="false" outlineLevel="0" collapsed="false">
      <c r="A85" s="29" t="str">
        <f aca="false">IF($C85="","",ROW()-4)</f>
        <v/>
      </c>
      <c r="B85" s="35" t="str">
        <f aca="false">IF($C85="","","SK"&amp;TEXT($C85,"yyyymm")&amp;"-"&amp;TEXT(ROW()-4,"0000"))</f>
        <v/>
      </c>
      <c r="C85" s="33"/>
      <c r="D85" s="24"/>
      <c r="E85" s="30" t="str">
        <f aca="false">IF($D85="","",IFERROR(INDEX(合同单位,MATCH($D85,合同键,0)),IFERROR(TRIM(LEFT($D85,FIND("｜",$D85)-1)),$D85)))</f>
        <v/>
      </c>
      <c r="F85" s="30" t="str">
        <f aca="false">IF($D85="","",IFERROR(INDEX(合同项目,MATCH($D85,合同键,0)),IFERROR(TRIM(MID($D85,FIND("｜",$D85)+1,99)),"")))</f>
        <v/>
      </c>
      <c r="G85" s="39"/>
      <c r="H85" s="25"/>
      <c r="I85" s="35" t="str">
        <f aca="false">IF($H85="","",IFERROR(INDEX(票据归类表,MATCH($H85,票据类型表,0)),"现金无票"))</f>
        <v/>
      </c>
      <c r="J85" s="25"/>
      <c r="K85" s="25"/>
      <c r="L85" s="31"/>
      <c r="M85" s="29" t="str">
        <f aca="false">IF($C85="","",YEAR($C85))</f>
        <v/>
      </c>
      <c r="N85" s="24"/>
      <c r="O85" s="35" t="str">
        <f aca="false">IF($C85="","",IF($D85="","★没选客户项目",IF(COUNTIF(合同键,$D85)=0,"★《维保合同》里没这个项目",IF(N($G85)&lt;=0,"★收款金额要填",IF($H85="","★票据类型要选",IF(AND($L85&lt;&gt;"",COUNTIF(应收单号,$L85)=0),"★关联的应收单号不存在",IF(AND($L85&lt;&gt;"",IFERROR(INDEX(应收键,MATCH($L85,应收单号,0)),"")&lt;&gt;$D85),"★关联单号不是这个客户的",IF(AND($L85&lt;&gt;"",ROUND(SUMIF(收款关联,$L85,收款金额)-IFERROR(INDEX(应收金额,MATCH($L85,应收单号,0)),0),2)&gt;0.001),"★指定冲销超过那张单的应收","OK"))))))))</f>
        <v/>
      </c>
    </row>
    <row r="86" customFormat="false" ht="15" hidden="false" customHeight="false" outlineLevel="0" collapsed="false">
      <c r="A86" s="29" t="str">
        <f aca="false">IF($C86="","",ROW()-4)</f>
        <v/>
      </c>
      <c r="B86" s="35" t="str">
        <f aca="false">IF($C86="","","SK"&amp;TEXT($C86,"yyyymm")&amp;"-"&amp;TEXT(ROW()-4,"0000"))</f>
        <v/>
      </c>
      <c r="C86" s="33"/>
      <c r="D86" s="24"/>
      <c r="E86" s="30" t="str">
        <f aca="false">IF($D86="","",IFERROR(INDEX(合同单位,MATCH($D86,合同键,0)),IFERROR(TRIM(LEFT($D86,FIND("｜",$D86)-1)),$D86)))</f>
        <v/>
      </c>
      <c r="F86" s="30" t="str">
        <f aca="false">IF($D86="","",IFERROR(INDEX(合同项目,MATCH($D86,合同键,0)),IFERROR(TRIM(MID($D86,FIND("｜",$D86)+1,99)),"")))</f>
        <v/>
      </c>
      <c r="G86" s="39"/>
      <c r="H86" s="25"/>
      <c r="I86" s="35" t="str">
        <f aca="false">IF($H86="","",IFERROR(INDEX(票据归类表,MATCH($H86,票据类型表,0)),"现金无票"))</f>
        <v/>
      </c>
      <c r="J86" s="25"/>
      <c r="K86" s="25"/>
      <c r="L86" s="31"/>
      <c r="M86" s="29" t="str">
        <f aca="false">IF($C86="","",YEAR($C86))</f>
        <v/>
      </c>
      <c r="N86" s="24"/>
      <c r="O86" s="35" t="str">
        <f aca="false">IF($C86="","",IF($D86="","★没选客户项目",IF(COUNTIF(合同键,$D86)=0,"★《维保合同》里没这个项目",IF(N($G86)&lt;=0,"★收款金额要填",IF($H86="","★票据类型要选",IF(AND($L86&lt;&gt;"",COUNTIF(应收单号,$L86)=0),"★关联的应收单号不存在",IF(AND($L86&lt;&gt;"",IFERROR(INDEX(应收键,MATCH($L86,应收单号,0)),"")&lt;&gt;$D86),"★关联单号不是这个客户的",IF(AND($L86&lt;&gt;"",ROUND(SUMIF(收款关联,$L86,收款金额)-IFERROR(INDEX(应收金额,MATCH($L86,应收单号,0)),0),2)&gt;0.001),"★指定冲销超过那张单的应收","OK"))))))))</f>
        <v/>
      </c>
    </row>
    <row r="87" customFormat="false" ht="15" hidden="false" customHeight="false" outlineLevel="0" collapsed="false">
      <c r="A87" s="29" t="str">
        <f aca="false">IF($C87="","",ROW()-4)</f>
        <v/>
      </c>
      <c r="B87" s="35" t="str">
        <f aca="false">IF($C87="","","SK"&amp;TEXT($C87,"yyyymm")&amp;"-"&amp;TEXT(ROW()-4,"0000"))</f>
        <v/>
      </c>
      <c r="C87" s="33"/>
      <c r="D87" s="24"/>
      <c r="E87" s="30" t="str">
        <f aca="false">IF($D87="","",IFERROR(INDEX(合同单位,MATCH($D87,合同键,0)),IFERROR(TRIM(LEFT($D87,FIND("｜",$D87)-1)),$D87)))</f>
        <v/>
      </c>
      <c r="F87" s="30" t="str">
        <f aca="false">IF($D87="","",IFERROR(INDEX(合同项目,MATCH($D87,合同键,0)),IFERROR(TRIM(MID($D87,FIND("｜",$D87)+1,99)),"")))</f>
        <v/>
      </c>
      <c r="G87" s="39"/>
      <c r="H87" s="25"/>
      <c r="I87" s="35" t="str">
        <f aca="false">IF($H87="","",IFERROR(INDEX(票据归类表,MATCH($H87,票据类型表,0)),"现金无票"))</f>
        <v/>
      </c>
      <c r="J87" s="25"/>
      <c r="K87" s="25"/>
      <c r="L87" s="31"/>
      <c r="M87" s="29" t="str">
        <f aca="false">IF($C87="","",YEAR($C87))</f>
        <v/>
      </c>
      <c r="N87" s="24"/>
      <c r="O87" s="35" t="str">
        <f aca="false">IF($C87="","",IF($D87="","★没选客户项目",IF(COUNTIF(合同键,$D87)=0,"★《维保合同》里没这个项目",IF(N($G87)&lt;=0,"★收款金额要填",IF($H87="","★票据类型要选",IF(AND($L87&lt;&gt;"",COUNTIF(应收单号,$L87)=0),"★关联的应收单号不存在",IF(AND($L87&lt;&gt;"",IFERROR(INDEX(应收键,MATCH($L87,应收单号,0)),"")&lt;&gt;$D87),"★关联单号不是这个客户的",IF(AND($L87&lt;&gt;"",ROUND(SUMIF(收款关联,$L87,收款金额)-IFERROR(INDEX(应收金额,MATCH($L87,应收单号,0)),0),2)&gt;0.001),"★指定冲销超过那张单的应收","OK"))))))))</f>
        <v/>
      </c>
    </row>
    <row r="88" customFormat="false" ht="15" hidden="false" customHeight="false" outlineLevel="0" collapsed="false">
      <c r="A88" s="29" t="str">
        <f aca="false">IF($C88="","",ROW()-4)</f>
        <v/>
      </c>
      <c r="B88" s="35" t="str">
        <f aca="false">IF($C88="","","SK"&amp;TEXT($C88,"yyyymm")&amp;"-"&amp;TEXT(ROW()-4,"0000"))</f>
        <v/>
      </c>
      <c r="C88" s="33"/>
      <c r="D88" s="24"/>
      <c r="E88" s="30" t="str">
        <f aca="false">IF($D88="","",IFERROR(INDEX(合同单位,MATCH($D88,合同键,0)),IFERROR(TRIM(LEFT($D88,FIND("｜",$D88)-1)),$D88)))</f>
        <v/>
      </c>
      <c r="F88" s="30" t="str">
        <f aca="false">IF($D88="","",IFERROR(INDEX(合同项目,MATCH($D88,合同键,0)),IFERROR(TRIM(MID($D88,FIND("｜",$D88)+1,99)),"")))</f>
        <v/>
      </c>
      <c r="G88" s="39"/>
      <c r="H88" s="25"/>
      <c r="I88" s="35" t="str">
        <f aca="false">IF($H88="","",IFERROR(INDEX(票据归类表,MATCH($H88,票据类型表,0)),"现金无票"))</f>
        <v/>
      </c>
      <c r="J88" s="25"/>
      <c r="K88" s="25"/>
      <c r="L88" s="31"/>
      <c r="M88" s="29" t="str">
        <f aca="false">IF($C88="","",YEAR($C88))</f>
        <v/>
      </c>
      <c r="N88" s="24"/>
      <c r="O88" s="35" t="str">
        <f aca="false">IF($C88="","",IF($D88="","★没选客户项目",IF(COUNTIF(合同键,$D88)=0,"★《维保合同》里没这个项目",IF(N($G88)&lt;=0,"★收款金额要填",IF($H88="","★票据类型要选",IF(AND($L88&lt;&gt;"",COUNTIF(应收单号,$L88)=0),"★关联的应收单号不存在",IF(AND($L88&lt;&gt;"",IFERROR(INDEX(应收键,MATCH($L88,应收单号,0)),"")&lt;&gt;$D88),"★关联单号不是这个客户的",IF(AND($L88&lt;&gt;"",ROUND(SUMIF(收款关联,$L88,收款金额)-IFERROR(INDEX(应收金额,MATCH($L88,应收单号,0)),0),2)&gt;0.001),"★指定冲销超过那张单的应收","OK"))))))))</f>
        <v/>
      </c>
    </row>
    <row r="89" customFormat="false" ht="15" hidden="false" customHeight="false" outlineLevel="0" collapsed="false">
      <c r="A89" s="29" t="str">
        <f aca="false">IF($C89="","",ROW()-4)</f>
        <v/>
      </c>
      <c r="B89" s="35" t="str">
        <f aca="false">IF($C89="","","SK"&amp;TEXT($C89,"yyyymm")&amp;"-"&amp;TEXT(ROW()-4,"0000"))</f>
        <v/>
      </c>
      <c r="C89" s="33"/>
      <c r="D89" s="24"/>
      <c r="E89" s="30" t="str">
        <f aca="false">IF($D89="","",IFERROR(INDEX(合同单位,MATCH($D89,合同键,0)),IFERROR(TRIM(LEFT($D89,FIND("｜",$D89)-1)),$D89)))</f>
        <v/>
      </c>
      <c r="F89" s="30" t="str">
        <f aca="false">IF($D89="","",IFERROR(INDEX(合同项目,MATCH($D89,合同键,0)),IFERROR(TRIM(MID($D89,FIND("｜",$D89)+1,99)),"")))</f>
        <v/>
      </c>
      <c r="G89" s="39"/>
      <c r="H89" s="25"/>
      <c r="I89" s="35" t="str">
        <f aca="false">IF($H89="","",IFERROR(INDEX(票据归类表,MATCH($H89,票据类型表,0)),"现金无票"))</f>
        <v/>
      </c>
      <c r="J89" s="25"/>
      <c r="K89" s="25"/>
      <c r="L89" s="31"/>
      <c r="M89" s="29" t="str">
        <f aca="false">IF($C89="","",YEAR($C89))</f>
        <v/>
      </c>
      <c r="N89" s="24"/>
      <c r="O89" s="35" t="str">
        <f aca="false">IF($C89="","",IF($D89="","★没选客户项目",IF(COUNTIF(合同键,$D89)=0,"★《维保合同》里没这个项目",IF(N($G89)&lt;=0,"★收款金额要填",IF($H89="","★票据类型要选",IF(AND($L89&lt;&gt;"",COUNTIF(应收单号,$L89)=0),"★关联的应收单号不存在",IF(AND($L89&lt;&gt;"",IFERROR(INDEX(应收键,MATCH($L89,应收单号,0)),"")&lt;&gt;$D89),"★关联单号不是这个客户的",IF(AND($L89&lt;&gt;"",ROUND(SUMIF(收款关联,$L89,收款金额)-IFERROR(INDEX(应收金额,MATCH($L89,应收单号,0)),0),2)&gt;0.001),"★指定冲销超过那张单的应收","OK"))))))))</f>
        <v/>
      </c>
    </row>
    <row r="90" customFormat="false" ht="15" hidden="false" customHeight="false" outlineLevel="0" collapsed="false">
      <c r="A90" s="29" t="str">
        <f aca="false">IF($C90="","",ROW()-4)</f>
        <v/>
      </c>
      <c r="B90" s="35" t="str">
        <f aca="false">IF($C90="","","SK"&amp;TEXT($C90,"yyyymm")&amp;"-"&amp;TEXT(ROW()-4,"0000"))</f>
        <v/>
      </c>
      <c r="C90" s="33"/>
      <c r="D90" s="24"/>
      <c r="E90" s="30" t="str">
        <f aca="false">IF($D90="","",IFERROR(INDEX(合同单位,MATCH($D90,合同键,0)),IFERROR(TRIM(LEFT($D90,FIND("｜",$D90)-1)),$D90)))</f>
        <v/>
      </c>
      <c r="F90" s="30" t="str">
        <f aca="false">IF($D90="","",IFERROR(INDEX(合同项目,MATCH($D90,合同键,0)),IFERROR(TRIM(MID($D90,FIND("｜",$D90)+1,99)),"")))</f>
        <v/>
      </c>
      <c r="G90" s="39"/>
      <c r="H90" s="25"/>
      <c r="I90" s="35" t="str">
        <f aca="false">IF($H90="","",IFERROR(INDEX(票据归类表,MATCH($H90,票据类型表,0)),"现金无票"))</f>
        <v/>
      </c>
      <c r="J90" s="25"/>
      <c r="K90" s="25"/>
      <c r="L90" s="31"/>
      <c r="M90" s="29" t="str">
        <f aca="false">IF($C90="","",YEAR($C90))</f>
        <v/>
      </c>
      <c r="N90" s="24"/>
      <c r="O90" s="35" t="str">
        <f aca="false">IF($C90="","",IF($D90="","★没选客户项目",IF(COUNTIF(合同键,$D90)=0,"★《维保合同》里没这个项目",IF(N($G90)&lt;=0,"★收款金额要填",IF($H90="","★票据类型要选",IF(AND($L90&lt;&gt;"",COUNTIF(应收单号,$L90)=0),"★关联的应收单号不存在",IF(AND($L90&lt;&gt;"",IFERROR(INDEX(应收键,MATCH($L90,应收单号,0)),"")&lt;&gt;$D90),"★关联单号不是这个客户的",IF(AND($L90&lt;&gt;"",ROUND(SUMIF(收款关联,$L90,收款金额)-IFERROR(INDEX(应收金额,MATCH($L90,应收单号,0)),0),2)&gt;0.001),"★指定冲销超过那张单的应收","OK"))))))))</f>
        <v/>
      </c>
    </row>
    <row r="91" customFormat="false" ht="15" hidden="false" customHeight="false" outlineLevel="0" collapsed="false">
      <c r="A91" s="29" t="str">
        <f aca="false">IF($C91="","",ROW()-4)</f>
        <v/>
      </c>
      <c r="B91" s="35" t="str">
        <f aca="false">IF($C91="","","SK"&amp;TEXT($C91,"yyyymm")&amp;"-"&amp;TEXT(ROW()-4,"0000"))</f>
        <v/>
      </c>
      <c r="C91" s="33"/>
      <c r="D91" s="24"/>
      <c r="E91" s="30" t="str">
        <f aca="false">IF($D91="","",IFERROR(INDEX(合同单位,MATCH($D91,合同键,0)),IFERROR(TRIM(LEFT($D91,FIND("｜",$D91)-1)),$D91)))</f>
        <v/>
      </c>
      <c r="F91" s="30" t="str">
        <f aca="false">IF($D91="","",IFERROR(INDEX(合同项目,MATCH($D91,合同键,0)),IFERROR(TRIM(MID($D91,FIND("｜",$D91)+1,99)),"")))</f>
        <v/>
      </c>
      <c r="G91" s="39"/>
      <c r="H91" s="25"/>
      <c r="I91" s="35" t="str">
        <f aca="false">IF($H91="","",IFERROR(INDEX(票据归类表,MATCH($H91,票据类型表,0)),"现金无票"))</f>
        <v/>
      </c>
      <c r="J91" s="25"/>
      <c r="K91" s="25"/>
      <c r="L91" s="31"/>
      <c r="M91" s="29" t="str">
        <f aca="false">IF($C91="","",YEAR($C91))</f>
        <v/>
      </c>
      <c r="N91" s="24"/>
      <c r="O91" s="35" t="str">
        <f aca="false">IF($C91="","",IF($D91="","★没选客户项目",IF(COUNTIF(合同键,$D91)=0,"★《维保合同》里没这个项目",IF(N($G91)&lt;=0,"★收款金额要填",IF($H91="","★票据类型要选",IF(AND($L91&lt;&gt;"",COUNTIF(应收单号,$L91)=0),"★关联的应收单号不存在",IF(AND($L91&lt;&gt;"",IFERROR(INDEX(应收键,MATCH($L91,应收单号,0)),"")&lt;&gt;$D91),"★关联单号不是这个客户的",IF(AND($L91&lt;&gt;"",ROUND(SUMIF(收款关联,$L91,收款金额)-IFERROR(INDEX(应收金额,MATCH($L91,应收单号,0)),0),2)&gt;0.001),"★指定冲销超过那张单的应收","OK"))))))))</f>
        <v/>
      </c>
    </row>
    <row r="92" customFormat="false" ht="15" hidden="false" customHeight="false" outlineLevel="0" collapsed="false">
      <c r="A92" s="29" t="str">
        <f aca="false">IF($C92="","",ROW()-4)</f>
        <v/>
      </c>
      <c r="B92" s="35" t="str">
        <f aca="false">IF($C92="","","SK"&amp;TEXT($C92,"yyyymm")&amp;"-"&amp;TEXT(ROW()-4,"0000"))</f>
        <v/>
      </c>
      <c r="C92" s="33"/>
      <c r="D92" s="24"/>
      <c r="E92" s="30" t="str">
        <f aca="false">IF($D92="","",IFERROR(INDEX(合同单位,MATCH($D92,合同键,0)),IFERROR(TRIM(LEFT($D92,FIND("｜",$D92)-1)),$D92)))</f>
        <v/>
      </c>
      <c r="F92" s="30" t="str">
        <f aca="false">IF($D92="","",IFERROR(INDEX(合同项目,MATCH($D92,合同键,0)),IFERROR(TRIM(MID($D92,FIND("｜",$D92)+1,99)),"")))</f>
        <v/>
      </c>
      <c r="G92" s="39"/>
      <c r="H92" s="25"/>
      <c r="I92" s="35" t="str">
        <f aca="false">IF($H92="","",IFERROR(INDEX(票据归类表,MATCH($H92,票据类型表,0)),"现金无票"))</f>
        <v/>
      </c>
      <c r="J92" s="25"/>
      <c r="K92" s="25"/>
      <c r="L92" s="31"/>
      <c r="M92" s="29" t="str">
        <f aca="false">IF($C92="","",YEAR($C92))</f>
        <v/>
      </c>
      <c r="N92" s="24"/>
      <c r="O92" s="35" t="str">
        <f aca="false">IF($C92="","",IF($D92="","★没选客户项目",IF(COUNTIF(合同键,$D92)=0,"★《维保合同》里没这个项目",IF(N($G92)&lt;=0,"★收款金额要填",IF($H92="","★票据类型要选",IF(AND($L92&lt;&gt;"",COUNTIF(应收单号,$L92)=0),"★关联的应收单号不存在",IF(AND($L92&lt;&gt;"",IFERROR(INDEX(应收键,MATCH($L92,应收单号,0)),"")&lt;&gt;$D92),"★关联单号不是这个客户的",IF(AND($L92&lt;&gt;"",ROUND(SUMIF(收款关联,$L92,收款金额)-IFERROR(INDEX(应收金额,MATCH($L92,应收单号,0)),0),2)&gt;0.001),"★指定冲销超过那张单的应收","OK"))))))))</f>
        <v/>
      </c>
    </row>
    <row r="93" customFormat="false" ht="15" hidden="false" customHeight="false" outlineLevel="0" collapsed="false">
      <c r="A93" s="29" t="str">
        <f aca="false">IF($C93="","",ROW()-4)</f>
        <v/>
      </c>
      <c r="B93" s="35" t="str">
        <f aca="false">IF($C93="","","SK"&amp;TEXT($C93,"yyyymm")&amp;"-"&amp;TEXT(ROW()-4,"0000"))</f>
        <v/>
      </c>
      <c r="C93" s="33"/>
      <c r="D93" s="24"/>
      <c r="E93" s="30" t="str">
        <f aca="false">IF($D93="","",IFERROR(INDEX(合同单位,MATCH($D93,合同键,0)),IFERROR(TRIM(LEFT($D93,FIND("｜",$D93)-1)),$D93)))</f>
        <v/>
      </c>
      <c r="F93" s="30" t="str">
        <f aca="false">IF($D93="","",IFERROR(INDEX(合同项目,MATCH($D93,合同键,0)),IFERROR(TRIM(MID($D93,FIND("｜",$D93)+1,99)),"")))</f>
        <v/>
      </c>
      <c r="G93" s="39"/>
      <c r="H93" s="25"/>
      <c r="I93" s="35" t="str">
        <f aca="false">IF($H93="","",IFERROR(INDEX(票据归类表,MATCH($H93,票据类型表,0)),"现金无票"))</f>
        <v/>
      </c>
      <c r="J93" s="25"/>
      <c r="K93" s="25"/>
      <c r="L93" s="31"/>
      <c r="M93" s="29" t="str">
        <f aca="false">IF($C93="","",YEAR($C93))</f>
        <v/>
      </c>
      <c r="N93" s="24"/>
      <c r="O93" s="35" t="str">
        <f aca="false">IF($C93="","",IF($D93="","★没选客户项目",IF(COUNTIF(合同键,$D93)=0,"★《维保合同》里没这个项目",IF(N($G93)&lt;=0,"★收款金额要填",IF($H93="","★票据类型要选",IF(AND($L93&lt;&gt;"",COUNTIF(应收单号,$L93)=0),"★关联的应收单号不存在",IF(AND($L93&lt;&gt;"",IFERROR(INDEX(应收键,MATCH($L93,应收单号,0)),"")&lt;&gt;$D93),"★关联单号不是这个客户的",IF(AND($L93&lt;&gt;"",ROUND(SUMIF(收款关联,$L93,收款金额)-IFERROR(INDEX(应收金额,MATCH($L93,应收单号,0)),0),2)&gt;0.001),"★指定冲销超过那张单的应收","OK"))))))))</f>
        <v/>
      </c>
    </row>
    <row r="94" customFormat="false" ht="15" hidden="false" customHeight="false" outlineLevel="0" collapsed="false">
      <c r="A94" s="29" t="str">
        <f aca="false">IF($C94="","",ROW()-4)</f>
        <v/>
      </c>
      <c r="B94" s="35" t="str">
        <f aca="false">IF($C94="","","SK"&amp;TEXT($C94,"yyyymm")&amp;"-"&amp;TEXT(ROW()-4,"0000"))</f>
        <v/>
      </c>
      <c r="C94" s="33"/>
      <c r="D94" s="24"/>
      <c r="E94" s="30" t="str">
        <f aca="false">IF($D94="","",IFERROR(INDEX(合同单位,MATCH($D94,合同键,0)),IFERROR(TRIM(LEFT($D94,FIND("｜",$D94)-1)),$D94)))</f>
        <v/>
      </c>
      <c r="F94" s="30" t="str">
        <f aca="false">IF($D94="","",IFERROR(INDEX(合同项目,MATCH($D94,合同键,0)),IFERROR(TRIM(MID($D94,FIND("｜",$D94)+1,99)),"")))</f>
        <v/>
      </c>
      <c r="G94" s="39"/>
      <c r="H94" s="25"/>
      <c r="I94" s="35" t="str">
        <f aca="false">IF($H94="","",IFERROR(INDEX(票据归类表,MATCH($H94,票据类型表,0)),"现金无票"))</f>
        <v/>
      </c>
      <c r="J94" s="25"/>
      <c r="K94" s="25"/>
      <c r="L94" s="31"/>
      <c r="M94" s="29" t="str">
        <f aca="false">IF($C94="","",YEAR($C94))</f>
        <v/>
      </c>
      <c r="N94" s="24"/>
      <c r="O94" s="35" t="str">
        <f aca="false">IF($C94="","",IF($D94="","★没选客户项目",IF(COUNTIF(合同键,$D94)=0,"★《维保合同》里没这个项目",IF(N($G94)&lt;=0,"★收款金额要填",IF($H94="","★票据类型要选",IF(AND($L94&lt;&gt;"",COUNTIF(应收单号,$L94)=0),"★关联的应收单号不存在",IF(AND($L94&lt;&gt;"",IFERROR(INDEX(应收键,MATCH($L94,应收单号,0)),"")&lt;&gt;$D94),"★关联单号不是这个客户的",IF(AND($L94&lt;&gt;"",ROUND(SUMIF(收款关联,$L94,收款金额)-IFERROR(INDEX(应收金额,MATCH($L94,应收单号,0)),0),2)&gt;0.001),"★指定冲销超过那张单的应收","OK"))))))))</f>
        <v/>
      </c>
    </row>
    <row r="95" customFormat="false" ht="15" hidden="false" customHeight="false" outlineLevel="0" collapsed="false">
      <c r="A95" s="29" t="str">
        <f aca="false">IF($C95="","",ROW()-4)</f>
        <v/>
      </c>
      <c r="B95" s="35" t="str">
        <f aca="false">IF($C95="","","SK"&amp;TEXT($C95,"yyyymm")&amp;"-"&amp;TEXT(ROW()-4,"0000"))</f>
        <v/>
      </c>
      <c r="C95" s="33"/>
      <c r="D95" s="24"/>
      <c r="E95" s="30" t="str">
        <f aca="false">IF($D95="","",IFERROR(INDEX(合同单位,MATCH($D95,合同键,0)),IFERROR(TRIM(LEFT($D95,FIND("｜",$D95)-1)),$D95)))</f>
        <v/>
      </c>
      <c r="F95" s="30" t="str">
        <f aca="false">IF($D95="","",IFERROR(INDEX(合同项目,MATCH($D95,合同键,0)),IFERROR(TRIM(MID($D95,FIND("｜",$D95)+1,99)),"")))</f>
        <v/>
      </c>
      <c r="G95" s="39"/>
      <c r="H95" s="25"/>
      <c r="I95" s="35" t="str">
        <f aca="false">IF($H95="","",IFERROR(INDEX(票据归类表,MATCH($H95,票据类型表,0)),"现金无票"))</f>
        <v/>
      </c>
      <c r="J95" s="25"/>
      <c r="K95" s="25"/>
      <c r="L95" s="31"/>
      <c r="M95" s="29" t="str">
        <f aca="false">IF($C95="","",YEAR($C95))</f>
        <v/>
      </c>
      <c r="N95" s="24"/>
      <c r="O95" s="35" t="str">
        <f aca="false">IF($C95="","",IF($D95="","★没选客户项目",IF(COUNTIF(合同键,$D95)=0,"★《维保合同》里没这个项目",IF(N($G95)&lt;=0,"★收款金额要填",IF($H95="","★票据类型要选",IF(AND($L95&lt;&gt;"",COUNTIF(应收单号,$L95)=0),"★关联的应收单号不存在",IF(AND($L95&lt;&gt;"",IFERROR(INDEX(应收键,MATCH($L95,应收单号,0)),"")&lt;&gt;$D95),"★关联单号不是这个客户的",IF(AND($L95&lt;&gt;"",ROUND(SUMIF(收款关联,$L95,收款金额)-IFERROR(INDEX(应收金额,MATCH($L95,应收单号,0)),0),2)&gt;0.001),"★指定冲销超过那张单的应收","OK"))))))))</f>
        <v/>
      </c>
    </row>
    <row r="96" customFormat="false" ht="15" hidden="false" customHeight="false" outlineLevel="0" collapsed="false">
      <c r="A96" s="29" t="str">
        <f aca="false">IF($C96="","",ROW()-4)</f>
        <v/>
      </c>
      <c r="B96" s="35" t="str">
        <f aca="false">IF($C96="","","SK"&amp;TEXT($C96,"yyyymm")&amp;"-"&amp;TEXT(ROW()-4,"0000"))</f>
        <v/>
      </c>
      <c r="C96" s="33"/>
      <c r="D96" s="24"/>
      <c r="E96" s="30" t="str">
        <f aca="false">IF($D96="","",IFERROR(INDEX(合同单位,MATCH($D96,合同键,0)),IFERROR(TRIM(LEFT($D96,FIND("｜",$D96)-1)),$D96)))</f>
        <v/>
      </c>
      <c r="F96" s="30" t="str">
        <f aca="false">IF($D96="","",IFERROR(INDEX(合同项目,MATCH($D96,合同键,0)),IFERROR(TRIM(MID($D96,FIND("｜",$D96)+1,99)),"")))</f>
        <v/>
      </c>
      <c r="G96" s="39"/>
      <c r="H96" s="25"/>
      <c r="I96" s="35" t="str">
        <f aca="false">IF($H96="","",IFERROR(INDEX(票据归类表,MATCH($H96,票据类型表,0)),"现金无票"))</f>
        <v/>
      </c>
      <c r="J96" s="25"/>
      <c r="K96" s="25"/>
      <c r="L96" s="31"/>
      <c r="M96" s="29" t="str">
        <f aca="false">IF($C96="","",YEAR($C96))</f>
        <v/>
      </c>
      <c r="N96" s="24"/>
      <c r="O96" s="35" t="str">
        <f aca="false">IF($C96="","",IF($D96="","★没选客户项目",IF(COUNTIF(合同键,$D96)=0,"★《维保合同》里没这个项目",IF(N($G96)&lt;=0,"★收款金额要填",IF($H96="","★票据类型要选",IF(AND($L96&lt;&gt;"",COUNTIF(应收单号,$L96)=0),"★关联的应收单号不存在",IF(AND($L96&lt;&gt;"",IFERROR(INDEX(应收键,MATCH($L96,应收单号,0)),"")&lt;&gt;$D96),"★关联单号不是这个客户的",IF(AND($L96&lt;&gt;"",ROUND(SUMIF(收款关联,$L96,收款金额)-IFERROR(INDEX(应收金额,MATCH($L96,应收单号,0)),0),2)&gt;0.001),"★指定冲销超过那张单的应收","OK"))))))))</f>
        <v/>
      </c>
    </row>
    <row r="97" customFormat="false" ht="15" hidden="false" customHeight="false" outlineLevel="0" collapsed="false">
      <c r="A97" s="29" t="str">
        <f aca="false">IF($C97="","",ROW()-4)</f>
        <v/>
      </c>
      <c r="B97" s="35" t="str">
        <f aca="false">IF($C97="","","SK"&amp;TEXT($C97,"yyyymm")&amp;"-"&amp;TEXT(ROW()-4,"0000"))</f>
        <v/>
      </c>
      <c r="C97" s="33"/>
      <c r="D97" s="24"/>
      <c r="E97" s="30" t="str">
        <f aca="false">IF($D97="","",IFERROR(INDEX(合同单位,MATCH($D97,合同键,0)),IFERROR(TRIM(LEFT($D97,FIND("｜",$D97)-1)),$D97)))</f>
        <v/>
      </c>
      <c r="F97" s="30" t="str">
        <f aca="false">IF($D97="","",IFERROR(INDEX(合同项目,MATCH($D97,合同键,0)),IFERROR(TRIM(MID($D97,FIND("｜",$D97)+1,99)),"")))</f>
        <v/>
      </c>
      <c r="G97" s="39"/>
      <c r="H97" s="25"/>
      <c r="I97" s="35" t="str">
        <f aca="false">IF($H97="","",IFERROR(INDEX(票据归类表,MATCH($H97,票据类型表,0)),"现金无票"))</f>
        <v/>
      </c>
      <c r="J97" s="25"/>
      <c r="K97" s="25"/>
      <c r="L97" s="31"/>
      <c r="M97" s="29" t="str">
        <f aca="false">IF($C97="","",YEAR($C97))</f>
        <v/>
      </c>
      <c r="N97" s="24"/>
      <c r="O97" s="35" t="str">
        <f aca="false">IF($C97="","",IF($D97="","★没选客户项目",IF(COUNTIF(合同键,$D97)=0,"★《维保合同》里没这个项目",IF(N($G97)&lt;=0,"★收款金额要填",IF($H97="","★票据类型要选",IF(AND($L97&lt;&gt;"",COUNTIF(应收单号,$L97)=0),"★关联的应收单号不存在",IF(AND($L97&lt;&gt;"",IFERROR(INDEX(应收键,MATCH($L97,应收单号,0)),"")&lt;&gt;$D97),"★关联单号不是这个客户的",IF(AND($L97&lt;&gt;"",ROUND(SUMIF(收款关联,$L97,收款金额)-IFERROR(INDEX(应收金额,MATCH($L97,应收单号,0)),0),2)&gt;0.001),"★指定冲销超过那张单的应收","OK"))))))))</f>
        <v/>
      </c>
    </row>
    <row r="98" customFormat="false" ht="15" hidden="false" customHeight="false" outlineLevel="0" collapsed="false">
      <c r="A98" s="29" t="str">
        <f aca="false">IF($C98="","",ROW()-4)</f>
        <v/>
      </c>
      <c r="B98" s="35" t="str">
        <f aca="false">IF($C98="","","SK"&amp;TEXT($C98,"yyyymm")&amp;"-"&amp;TEXT(ROW()-4,"0000"))</f>
        <v/>
      </c>
      <c r="C98" s="33"/>
      <c r="D98" s="24"/>
      <c r="E98" s="30" t="str">
        <f aca="false">IF($D98="","",IFERROR(INDEX(合同单位,MATCH($D98,合同键,0)),IFERROR(TRIM(LEFT($D98,FIND("｜",$D98)-1)),$D98)))</f>
        <v/>
      </c>
      <c r="F98" s="30" t="str">
        <f aca="false">IF($D98="","",IFERROR(INDEX(合同项目,MATCH($D98,合同键,0)),IFERROR(TRIM(MID($D98,FIND("｜",$D98)+1,99)),"")))</f>
        <v/>
      </c>
      <c r="G98" s="39"/>
      <c r="H98" s="25"/>
      <c r="I98" s="35" t="str">
        <f aca="false">IF($H98="","",IFERROR(INDEX(票据归类表,MATCH($H98,票据类型表,0)),"现金无票"))</f>
        <v/>
      </c>
      <c r="J98" s="25"/>
      <c r="K98" s="25"/>
      <c r="L98" s="31"/>
      <c r="M98" s="29" t="str">
        <f aca="false">IF($C98="","",YEAR($C98))</f>
        <v/>
      </c>
      <c r="N98" s="24"/>
      <c r="O98" s="35" t="str">
        <f aca="false">IF($C98="","",IF($D98="","★没选客户项目",IF(COUNTIF(合同键,$D98)=0,"★《维保合同》里没这个项目",IF(N($G98)&lt;=0,"★收款金额要填",IF($H98="","★票据类型要选",IF(AND($L98&lt;&gt;"",COUNTIF(应收单号,$L98)=0),"★关联的应收单号不存在",IF(AND($L98&lt;&gt;"",IFERROR(INDEX(应收键,MATCH($L98,应收单号,0)),"")&lt;&gt;$D98),"★关联单号不是这个客户的",IF(AND($L98&lt;&gt;"",ROUND(SUMIF(收款关联,$L98,收款金额)-IFERROR(INDEX(应收金额,MATCH($L98,应收单号,0)),0),2)&gt;0.001),"★指定冲销超过那张单的应收","OK"))))))))</f>
        <v/>
      </c>
    </row>
    <row r="99" customFormat="false" ht="15" hidden="false" customHeight="false" outlineLevel="0" collapsed="false">
      <c r="A99" s="29" t="str">
        <f aca="false">IF($C99="","",ROW()-4)</f>
        <v/>
      </c>
      <c r="B99" s="35" t="str">
        <f aca="false">IF($C99="","","SK"&amp;TEXT($C99,"yyyymm")&amp;"-"&amp;TEXT(ROW()-4,"0000"))</f>
        <v/>
      </c>
      <c r="C99" s="33"/>
      <c r="D99" s="24"/>
      <c r="E99" s="30" t="str">
        <f aca="false">IF($D99="","",IFERROR(INDEX(合同单位,MATCH($D99,合同键,0)),IFERROR(TRIM(LEFT($D99,FIND("｜",$D99)-1)),$D99)))</f>
        <v/>
      </c>
      <c r="F99" s="30" t="str">
        <f aca="false">IF($D99="","",IFERROR(INDEX(合同项目,MATCH($D99,合同键,0)),IFERROR(TRIM(MID($D99,FIND("｜",$D99)+1,99)),"")))</f>
        <v/>
      </c>
      <c r="G99" s="39"/>
      <c r="H99" s="25"/>
      <c r="I99" s="35" t="str">
        <f aca="false">IF($H99="","",IFERROR(INDEX(票据归类表,MATCH($H99,票据类型表,0)),"现金无票"))</f>
        <v/>
      </c>
      <c r="J99" s="25"/>
      <c r="K99" s="25"/>
      <c r="L99" s="31"/>
      <c r="M99" s="29" t="str">
        <f aca="false">IF($C99="","",YEAR($C99))</f>
        <v/>
      </c>
      <c r="N99" s="24"/>
      <c r="O99" s="35" t="str">
        <f aca="false">IF($C99="","",IF($D99="","★没选客户项目",IF(COUNTIF(合同键,$D99)=0,"★《维保合同》里没这个项目",IF(N($G99)&lt;=0,"★收款金额要填",IF($H99="","★票据类型要选",IF(AND($L99&lt;&gt;"",COUNTIF(应收单号,$L99)=0),"★关联的应收单号不存在",IF(AND($L99&lt;&gt;"",IFERROR(INDEX(应收键,MATCH($L99,应收单号,0)),"")&lt;&gt;$D99),"★关联单号不是这个客户的",IF(AND($L99&lt;&gt;"",ROUND(SUMIF(收款关联,$L99,收款金额)-IFERROR(INDEX(应收金额,MATCH($L99,应收单号,0)),0),2)&gt;0.001),"★指定冲销超过那张单的应收","OK"))))))))</f>
        <v/>
      </c>
    </row>
    <row r="100" customFormat="false" ht="15" hidden="false" customHeight="false" outlineLevel="0" collapsed="false">
      <c r="A100" s="29" t="str">
        <f aca="false">IF($C100="","",ROW()-4)</f>
        <v/>
      </c>
      <c r="B100" s="35" t="str">
        <f aca="false">IF($C100="","","SK"&amp;TEXT($C100,"yyyymm")&amp;"-"&amp;TEXT(ROW()-4,"0000"))</f>
        <v/>
      </c>
      <c r="C100" s="33"/>
      <c r="D100" s="24"/>
      <c r="E100" s="30" t="str">
        <f aca="false">IF($D100="","",IFERROR(INDEX(合同单位,MATCH($D100,合同键,0)),IFERROR(TRIM(LEFT($D100,FIND("｜",$D100)-1)),$D100)))</f>
        <v/>
      </c>
      <c r="F100" s="30" t="str">
        <f aca="false">IF($D100="","",IFERROR(INDEX(合同项目,MATCH($D100,合同键,0)),IFERROR(TRIM(MID($D100,FIND("｜",$D100)+1,99)),"")))</f>
        <v/>
      </c>
      <c r="G100" s="39"/>
      <c r="H100" s="25"/>
      <c r="I100" s="35" t="str">
        <f aca="false">IF($H100="","",IFERROR(INDEX(票据归类表,MATCH($H100,票据类型表,0)),"现金无票"))</f>
        <v/>
      </c>
      <c r="J100" s="25"/>
      <c r="K100" s="25"/>
      <c r="L100" s="31"/>
      <c r="M100" s="29" t="str">
        <f aca="false">IF($C100="","",YEAR($C100))</f>
        <v/>
      </c>
      <c r="N100" s="24"/>
      <c r="O100" s="35" t="str">
        <f aca="false">IF($C100="","",IF($D100="","★没选客户项目",IF(COUNTIF(合同键,$D100)=0,"★《维保合同》里没这个项目",IF(N($G100)&lt;=0,"★收款金额要填",IF($H100="","★票据类型要选",IF(AND($L100&lt;&gt;"",COUNTIF(应收单号,$L100)=0),"★关联的应收单号不存在",IF(AND($L100&lt;&gt;"",IFERROR(INDEX(应收键,MATCH($L100,应收单号,0)),"")&lt;&gt;$D100),"★关联单号不是这个客户的",IF(AND($L100&lt;&gt;"",ROUND(SUMIF(收款关联,$L100,收款金额)-IFERROR(INDEX(应收金额,MATCH($L100,应收单号,0)),0),2)&gt;0.001),"★指定冲销超过那张单的应收","OK"))))))))</f>
        <v/>
      </c>
    </row>
    <row r="101" customFormat="false" ht="15" hidden="false" customHeight="false" outlineLevel="0" collapsed="false">
      <c r="A101" s="29" t="str">
        <f aca="false">IF($C101="","",ROW()-4)</f>
        <v/>
      </c>
      <c r="B101" s="35" t="str">
        <f aca="false">IF($C101="","","SK"&amp;TEXT($C101,"yyyymm")&amp;"-"&amp;TEXT(ROW()-4,"0000"))</f>
        <v/>
      </c>
      <c r="C101" s="33"/>
      <c r="D101" s="24"/>
      <c r="E101" s="30" t="str">
        <f aca="false">IF($D101="","",IFERROR(INDEX(合同单位,MATCH($D101,合同键,0)),IFERROR(TRIM(LEFT($D101,FIND("｜",$D101)-1)),$D101)))</f>
        <v/>
      </c>
      <c r="F101" s="30" t="str">
        <f aca="false">IF($D101="","",IFERROR(INDEX(合同项目,MATCH($D101,合同键,0)),IFERROR(TRIM(MID($D101,FIND("｜",$D101)+1,99)),"")))</f>
        <v/>
      </c>
      <c r="G101" s="39"/>
      <c r="H101" s="25"/>
      <c r="I101" s="35" t="str">
        <f aca="false">IF($H101="","",IFERROR(INDEX(票据归类表,MATCH($H101,票据类型表,0)),"现金无票"))</f>
        <v/>
      </c>
      <c r="J101" s="25"/>
      <c r="K101" s="25"/>
      <c r="L101" s="31"/>
      <c r="M101" s="29" t="str">
        <f aca="false">IF($C101="","",YEAR($C101))</f>
        <v/>
      </c>
      <c r="N101" s="24"/>
      <c r="O101" s="35" t="str">
        <f aca="false">IF($C101="","",IF($D101="","★没选客户项目",IF(COUNTIF(合同键,$D101)=0,"★《维保合同》里没这个项目",IF(N($G101)&lt;=0,"★收款金额要填",IF($H101="","★票据类型要选",IF(AND($L101&lt;&gt;"",COUNTIF(应收单号,$L101)=0),"★关联的应收单号不存在",IF(AND($L101&lt;&gt;"",IFERROR(INDEX(应收键,MATCH($L101,应收单号,0)),"")&lt;&gt;$D101),"★关联单号不是这个客户的",IF(AND($L101&lt;&gt;"",ROUND(SUMIF(收款关联,$L101,收款金额)-IFERROR(INDEX(应收金额,MATCH($L101,应收单号,0)),0),2)&gt;0.001),"★指定冲销超过那张单的应收","OK"))))))))</f>
        <v/>
      </c>
    </row>
    <row r="102" customFormat="false" ht="15" hidden="false" customHeight="false" outlineLevel="0" collapsed="false">
      <c r="A102" s="29" t="str">
        <f aca="false">IF($C102="","",ROW()-4)</f>
        <v/>
      </c>
      <c r="B102" s="35" t="str">
        <f aca="false">IF($C102="","","SK"&amp;TEXT($C102,"yyyymm")&amp;"-"&amp;TEXT(ROW()-4,"0000"))</f>
        <v/>
      </c>
      <c r="C102" s="33"/>
      <c r="D102" s="24"/>
      <c r="E102" s="30" t="str">
        <f aca="false">IF($D102="","",IFERROR(INDEX(合同单位,MATCH($D102,合同键,0)),IFERROR(TRIM(LEFT($D102,FIND("｜",$D102)-1)),$D102)))</f>
        <v/>
      </c>
      <c r="F102" s="30" t="str">
        <f aca="false">IF($D102="","",IFERROR(INDEX(合同项目,MATCH($D102,合同键,0)),IFERROR(TRIM(MID($D102,FIND("｜",$D102)+1,99)),"")))</f>
        <v/>
      </c>
      <c r="G102" s="39"/>
      <c r="H102" s="25"/>
      <c r="I102" s="35" t="str">
        <f aca="false">IF($H102="","",IFERROR(INDEX(票据归类表,MATCH($H102,票据类型表,0)),"现金无票"))</f>
        <v/>
      </c>
      <c r="J102" s="25"/>
      <c r="K102" s="25"/>
      <c r="L102" s="31"/>
      <c r="M102" s="29" t="str">
        <f aca="false">IF($C102="","",YEAR($C102))</f>
        <v/>
      </c>
      <c r="N102" s="24"/>
      <c r="O102" s="35" t="str">
        <f aca="false">IF($C102="","",IF($D102="","★没选客户项目",IF(COUNTIF(合同键,$D102)=0,"★《维保合同》里没这个项目",IF(N($G102)&lt;=0,"★收款金额要填",IF($H102="","★票据类型要选",IF(AND($L102&lt;&gt;"",COUNTIF(应收单号,$L102)=0),"★关联的应收单号不存在",IF(AND($L102&lt;&gt;"",IFERROR(INDEX(应收键,MATCH($L102,应收单号,0)),"")&lt;&gt;$D102),"★关联单号不是这个客户的",IF(AND($L102&lt;&gt;"",ROUND(SUMIF(收款关联,$L102,收款金额)-IFERROR(INDEX(应收金额,MATCH($L102,应收单号,0)),0),2)&gt;0.001),"★指定冲销超过那张单的应收","OK"))))))))</f>
        <v/>
      </c>
    </row>
    <row r="103" customFormat="false" ht="15" hidden="false" customHeight="false" outlineLevel="0" collapsed="false">
      <c r="A103" s="29" t="str">
        <f aca="false">IF($C103="","",ROW()-4)</f>
        <v/>
      </c>
      <c r="B103" s="35" t="str">
        <f aca="false">IF($C103="","","SK"&amp;TEXT($C103,"yyyymm")&amp;"-"&amp;TEXT(ROW()-4,"0000"))</f>
        <v/>
      </c>
      <c r="C103" s="33"/>
      <c r="D103" s="24"/>
      <c r="E103" s="30" t="str">
        <f aca="false">IF($D103="","",IFERROR(INDEX(合同单位,MATCH($D103,合同键,0)),IFERROR(TRIM(LEFT($D103,FIND("｜",$D103)-1)),$D103)))</f>
        <v/>
      </c>
      <c r="F103" s="30" t="str">
        <f aca="false">IF($D103="","",IFERROR(INDEX(合同项目,MATCH($D103,合同键,0)),IFERROR(TRIM(MID($D103,FIND("｜",$D103)+1,99)),"")))</f>
        <v/>
      </c>
      <c r="G103" s="39"/>
      <c r="H103" s="25"/>
      <c r="I103" s="35" t="str">
        <f aca="false">IF($H103="","",IFERROR(INDEX(票据归类表,MATCH($H103,票据类型表,0)),"现金无票"))</f>
        <v/>
      </c>
      <c r="J103" s="25"/>
      <c r="K103" s="25"/>
      <c r="L103" s="31"/>
      <c r="M103" s="29" t="str">
        <f aca="false">IF($C103="","",YEAR($C103))</f>
        <v/>
      </c>
      <c r="N103" s="24"/>
      <c r="O103" s="35" t="str">
        <f aca="false">IF($C103="","",IF($D103="","★没选客户项目",IF(COUNTIF(合同键,$D103)=0,"★《维保合同》里没这个项目",IF(N($G103)&lt;=0,"★收款金额要填",IF($H103="","★票据类型要选",IF(AND($L103&lt;&gt;"",COUNTIF(应收单号,$L103)=0),"★关联的应收单号不存在",IF(AND($L103&lt;&gt;"",IFERROR(INDEX(应收键,MATCH($L103,应收单号,0)),"")&lt;&gt;$D103),"★关联单号不是这个客户的",IF(AND($L103&lt;&gt;"",ROUND(SUMIF(收款关联,$L103,收款金额)-IFERROR(INDEX(应收金额,MATCH($L103,应收单号,0)),0),2)&gt;0.001),"★指定冲销超过那张单的应收","OK"))))))))</f>
        <v/>
      </c>
    </row>
    <row r="104" customFormat="false" ht="15" hidden="false" customHeight="false" outlineLevel="0" collapsed="false">
      <c r="A104" s="29" t="str">
        <f aca="false">IF($C104="","",ROW()-4)</f>
        <v/>
      </c>
      <c r="B104" s="35" t="str">
        <f aca="false">IF($C104="","","SK"&amp;TEXT($C104,"yyyymm")&amp;"-"&amp;TEXT(ROW()-4,"0000"))</f>
        <v/>
      </c>
      <c r="C104" s="33"/>
      <c r="D104" s="24"/>
      <c r="E104" s="30" t="str">
        <f aca="false">IF($D104="","",IFERROR(INDEX(合同单位,MATCH($D104,合同键,0)),IFERROR(TRIM(LEFT($D104,FIND("｜",$D104)-1)),$D104)))</f>
        <v/>
      </c>
      <c r="F104" s="30" t="str">
        <f aca="false">IF($D104="","",IFERROR(INDEX(合同项目,MATCH($D104,合同键,0)),IFERROR(TRIM(MID($D104,FIND("｜",$D104)+1,99)),"")))</f>
        <v/>
      </c>
      <c r="G104" s="39"/>
      <c r="H104" s="25"/>
      <c r="I104" s="35" t="str">
        <f aca="false">IF($H104="","",IFERROR(INDEX(票据归类表,MATCH($H104,票据类型表,0)),"现金无票"))</f>
        <v/>
      </c>
      <c r="J104" s="25"/>
      <c r="K104" s="25"/>
      <c r="L104" s="31"/>
      <c r="M104" s="29" t="str">
        <f aca="false">IF($C104="","",YEAR($C104))</f>
        <v/>
      </c>
      <c r="N104" s="24"/>
      <c r="O104" s="35" t="str">
        <f aca="false">IF($C104="","",IF($D104="","★没选客户项目",IF(COUNTIF(合同键,$D104)=0,"★《维保合同》里没这个项目",IF(N($G104)&lt;=0,"★收款金额要填",IF($H104="","★票据类型要选",IF(AND($L104&lt;&gt;"",COUNTIF(应收单号,$L104)=0),"★关联的应收单号不存在",IF(AND($L104&lt;&gt;"",IFERROR(INDEX(应收键,MATCH($L104,应收单号,0)),"")&lt;&gt;$D104),"★关联单号不是这个客户的",IF(AND($L104&lt;&gt;"",ROUND(SUMIF(收款关联,$L104,收款金额)-IFERROR(INDEX(应收金额,MATCH($L104,应收单号,0)),0),2)&gt;0.001),"★指定冲销超过那张单的应收","OK"))))))))</f>
        <v/>
      </c>
    </row>
    <row r="105" customFormat="false" ht="15" hidden="false" customHeight="false" outlineLevel="0" collapsed="false">
      <c r="A105" s="29" t="str">
        <f aca="false">IF($C105="","",ROW()-4)</f>
        <v/>
      </c>
      <c r="B105" s="35" t="str">
        <f aca="false">IF($C105="","","SK"&amp;TEXT($C105,"yyyymm")&amp;"-"&amp;TEXT(ROW()-4,"0000"))</f>
        <v/>
      </c>
      <c r="C105" s="33"/>
      <c r="D105" s="24"/>
      <c r="E105" s="30" t="str">
        <f aca="false">IF($D105="","",IFERROR(INDEX(合同单位,MATCH($D105,合同键,0)),IFERROR(TRIM(LEFT($D105,FIND("｜",$D105)-1)),$D105)))</f>
        <v/>
      </c>
      <c r="F105" s="30" t="str">
        <f aca="false">IF($D105="","",IFERROR(INDEX(合同项目,MATCH($D105,合同键,0)),IFERROR(TRIM(MID($D105,FIND("｜",$D105)+1,99)),"")))</f>
        <v/>
      </c>
      <c r="G105" s="39"/>
      <c r="H105" s="25"/>
      <c r="I105" s="35" t="str">
        <f aca="false">IF($H105="","",IFERROR(INDEX(票据归类表,MATCH($H105,票据类型表,0)),"现金无票"))</f>
        <v/>
      </c>
      <c r="J105" s="25"/>
      <c r="K105" s="25"/>
      <c r="L105" s="31"/>
      <c r="M105" s="29" t="str">
        <f aca="false">IF($C105="","",YEAR($C105))</f>
        <v/>
      </c>
      <c r="N105" s="24"/>
      <c r="O105" s="35" t="str">
        <f aca="false">IF($C105="","",IF($D105="","★没选客户项目",IF(COUNTIF(合同键,$D105)=0,"★《维保合同》里没这个项目",IF(N($G105)&lt;=0,"★收款金额要填",IF($H105="","★票据类型要选",IF(AND($L105&lt;&gt;"",COUNTIF(应收单号,$L105)=0),"★关联的应收单号不存在",IF(AND($L105&lt;&gt;"",IFERROR(INDEX(应收键,MATCH($L105,应收单号,0)),"")&lt;&gt;$D105),"★关联单号不是这个客户的",IF(AND($L105&lt;&gt;"",ROUND(SUMIF(收款关联,$L105,收款金额)-IFERROR(INDEX(应收金额,MATCH($L105,应收单号,0)),0),2)&gt;0.001),"★指定冲销超过那张单的应收","OK"))))))))</f>
        <v/>
      </c>
    </row>
    <row r="106" customFormat="false" ht="15" hidden="false" customHeight="false" outlineLevel="0" collapsed="false">
      <c r="A106" s="29" t="str">
        <f aca="false">IF($C106="","",ROW()-4)</f>
        <v/>
      </c>
      <c r="B106" s="35" t="str">
        <f aca="false">IF($C106="","","SK"&amp;TEXT($C106,"yyyymm")&amp;"-"&amp;TEXT(ROW()-4,"0000"))</f>
        <v/>
      </c>
      <c r="C106" s="33"/>
      <c r="D106" s="24"/>
      <c r="E106" s="30" t="str">
        <f aca="false">IF($D106="","",IFERROR(INDEX(合同单位,MATCH($D106,合同键,0)),IFERROR(TRIM(LEFT($D106,FIND("｜",$D106)-1)),$D106)))</f>
        <v/>
      </c>
      <c r="F106" s="30" t="str">
        <f aca="false">IF($D106="","",IFERROR(INDEX(合同项目,MATCH($D106,合同键,0)),IFERROR(TRIM(MID($D106,FIND("｜",$D106)+1,99)),"")))</f>
        <v/>
      </c>
      <c r="G106" s="39"/>
      <c r="H106" s="25"/>
      <c r="I106" s="35" t="str">
        <f aca="false">IF($H106="","",IFERROR(INDEX(票据归类表,MATCH($H106,票据类型表,0)),"现金无票"))</f>
        <v/>
      </c>
      <c r="J106" s="25"/>
      <c r="K106" s="25"/>
      <c r="L106" s="31"/>
      <c r="M106" s="29" t="str">
        <f aca="false">IF($C106="","",YEAR($C106))</f>
        <v/>
      </c>
      <c r="N106" s="24"/>
      <c r="O106" s="35" t="str">
        <f aca="false">IF($C106="","",IF($D106="","★没选客户项目",IF(COUNTIF(合同键,$D106)=0,"★《维保合同》里没这个项目",IF(N($G106)&lt;=0,"★收款金额要填",IF($H106="","★票据类型要选",IF(AND($L106&lt;&gt;"",COUNTIF(应收单号,$L106)=0),"★关联的应收单号不存在",IF(AND($L106&lt;&gt;"",IFERROR(INDEX(应收键,MATCH($L106,应收单号,0)),"")&lt;&gt;$D106),"★关联单号不是这个客户的",IF(AND($L106&lt;&gt;"",ROUND(SUMIF(收款关联,$L106,收款金额)-IFERROR(INDEX(应收金额,MATCH($L106,应收单号,0)),0),2)&gt;0.001),"★指定冲销超过那张单的应收","OK"))))))))</f>
        <v/>
      </c>
    </row>
    <row r="107" customFormat="false" ht="15" hidden="false" customHeight="false" outlineLevel="0" collapsed="false">
      <c r="A107" s="29" t="str">
        <f aca="false">IF($C107="","",ROW()-4)</f>
        <v/>
      </c>
      <c r="B107" s="35" t="str">
        <f aca="false">IF($C107="","","SK"&amp;TEXT($C107,"yyyymm")&amp;"-"&amp;TEXT(ROW()-4,"0000"))</f>
        <v/>
      </c>
      <c r="C107" s="33"/>
      <c r="D107" s="24"/>
      <c r="E107" s="30" t="str">
        <f aca="false">IF($D107="","",IFERROR(INDEX(合同单位,MATCH($D107,合同键,0)),IFERROR(TRIM(LEFT($D107,FIND("｜",$D107)-1)),$D107)))</f>
        <v/>
      </c>
      <c r="F107" s="30" t="str">
        <f aca="false">IF($D107="","",IFERROR(INDEX(合同项目,MATCH($D107,合同键,0)),IFERROR(TRIM(MID($D107,FIND("｜",$D107)+1,99)),"")))</f>
        <v/>
      </c>
      <c r="G107" s="39"/>
      <c r="H107" s="25"/>
      <c r="I107" s="35" t="str">
        <f aca="false">IF($H107="","",IFERROR(INDEX(票据归类表,MATCH($H107,票据类型表,0)),"现金无票"))</f>
        <v/>
      </c>
      <c r="J107" s="25"/>
      <c r="K107" s="25"/>
      <c r="L107" s="31"/>
      <c r="M107" s="29" t="str">
        <f aca="false">IF($C107="","",YEAR($C107))</f>
        <v/>
      </c>
      <c r="N107" s="24"/>
      <c r="O107" s="35" t="str">
        <f aca="false">IF($C107="","",IF($D107="","★没选客户项目",IF(COUNTIF(合同键,$D107)=0,"★《维保合同》里没这个项目",IF(N($G107)&lt;=0,"★收款金额要填",IF($H107="","★票据类型要选",IF(AND($L107&lt;&gt;"",COUNTIF(应收单号,$L107)=0),"★关联的应收单号不存在",IF(AND($L107&lt;&gt;"",IFERROR(INDEX(应收键,MATCH($L107,应收单号,0)),"")&lt;&gt;$D107),"★关联单号不是这个客户的",IF(AND($L107&lt;&gt;"",ROUND(SUMIF(收款关联,$L107,收款金额)-IFERROR(INDEX(应收金额,MATCH($L107,应收单号,0)),0),2)&gt;0.001),"★指定冲销超过那张单的应收","OK"))))))))</f>
        <v/>
      </c>
    </row>
    <row r="108" customFormat="false" ht="15" hidden="false" customHeight="false" outlineLevel="0" collapsed="false">
      <c r="A108" s="29" t="str">
        <f aca="false">IF($C108="","",ROW()-4)</f>
        <v/>
      </c>
      <c r="B108" s="35" t="str">
        <f aca="false">IF($C108="","","SK"&amp;TEXT($C108,"yyyymm")&amp;"-"&amp;TEXT(ROW()-4,"0000"))</f>
        <v/>
      </c>
      <c r="C108" s="33"/>
      <c r="D108" s="24"/>
      <c r="E108" s="30" t="str">
        <f aca="false">IF($D108="","",IFERROR(INDEX(合同单位,MATCH($D108,合同键,0)),IFERROR(TRIM(LEFT($D108,FIND("｜",$D108)-1)),$D108)))</f>
        <v/>
      </c>
      <c r="F108" s="30" t="str">
        <f aca="false">IF($D108="","",IFERROR(INDEX(合同项目,MATCH($D108,合同键,0)),IFERROR(TRIM(MID($D108,FIND("｜",$D108)+1,99)),"")))</f>
        <v/>
      </c>
      <c r="G108" s="39"/>
      <c r="H108" s="25"/>
      <c r="I108" s="35" t="str">
        <f aca="false">IF($H108="","",IFERROR(INDEX(票据归类表,MATCH($H108,票据类型表,0)),"现金无票"))</f>
        <v/>
      </c>
      <c r="J108" s="25"/>
      <c r="K108" s="25"/>
      <c r="L108" s="31"/>
      <c r="M108" s="29" t="str">
        <f aca="false">IF($C108="","",YEAR($C108))</f>
        <v/>
      </c>
      <c r="N108" s="24"/>
      <c r="O108" s="35" t="str">
        <f aca="false">IF($C108="","",IF($D108="","★没选客户项目",IF(COUNTIF(合同键,$D108)=0,"★《维保合同》里没这个项目",IF(N($G108)&lt;=0,"★收款金额要填",IF($H108="","★票据类型要选",IF(AND($L108&lt;&gt;"",COUNTIF(应收单号,$L108)=0),"★关联的应收单号不存在",IF(AND($L108&lt;&gt;"",IFERROR(INDEX(应收键,MATCH($L108,应收单号,0)),"")&lt;&gt;$D108),"★关联单号不是这个客户的",IF(AND($L108&lt;&gt;"",ROUND(SUMIF(收款关联,$L108,收款金额)-IFERROR(INDEX(应收金额,MATCH($L108,应收单号,0)),0),2)&gt;0.001),"★指定冲销超过那张单的应收","OK"))))))))</f>
        <v/>
      </c>
    </row>
    <row r="109" customFormat="false" ht="15" hidden="false" customHeight="false" outlineLevel="0" collapsed="false">
      <c r="A109" s="29" t="str">
        <f aca="false">IF($C109="","",ROW()-4)</f>
        <v/>
      </c>
      <c r="B109" s="35" t="str">
        <f aca="false">IF($C109="","","SK"&amp;TEXT($C109,"yyyymm")&amp;"-"&amp;TEXT(ROW()-4,"0000"))</f>
        <v/>
      </c>
      <c r="C109" s="33"/>
      <c r="D109" s="24"/>
      <c r="E109" s="30" t="str">
        <f aca="false">IF($D109="","",IFERROR(INDEX(合同单位,MATCH($D109,合同键,0)),IFERROR(TRIM(LEFT($D109,FIND("｜",$D109)-1)),$D109)))</f>
        <v/>
      </c>
      <c r="F109" s="30" t="str">
        <f aca="false">IF($D109="","",IFERROR(INDEX(合同项目,MATCH($D109,合同键,0)),IFERROR(TRIM(MID($D109,FIND("｜",$D109)+1,99)),"")))</f>
        <v/>
      </c>
      <c r="G109" s="39"/>
      <c r="H109" s="25"/>
      <c r="I109" s="35" t="str">
        <f aca="false">IF($H109="","",IFERROR(INDEX(票据归类表,MATCH($H109,票据类型表,0)),"现金无票"))</f>
        <v/>
      </c>
      <c r="J109" s="25"/>
      <c r="K109" s="25"/>
      <c r="L109" s="31"/>
      <c r="M109" s="29" t="str">
        <f aca="false">IF($C109="","",YEAR($C109))</f>
        <v/>
      </c>
      <c r="N109" s="24"/>
      <c r="O109" s="35" t="str">
        <f aca="false">IF($C109="","",IF($D109="","★没选客户项目",IF(COUNTIF(合同键,$D109)=0,"★《维保合同》里没这个项目",IF(N($G109)&lt;=0,"★收款金额要填",IF($H109="","★票据类型要选",IF(AND($L109&lt;&gt;"",COUNTIF(应收单号,$L109)=0),"★关联的应收单号不存在",IF(AND($L109&lt;&gt;"",IFERROR(INDEX(应收键,MATCH($L109,应收单号,0)),"")&lt;&gt;$D109),"★关联单号不是这个客户的",IF(AND($L109&lt;&gt;"",ROUND(SUMIF(收款关联,$L109,收款金额)-IFERROR(INDEX(应收金额,MATCH($L109,应收单号,0)),0),2)&gt;0.001),"★指定冲销超过那张单的应收","OK"))))))))</f>
        <v/>
      </c>
    </row>
    <row r="110" customFormat="false" ht="15" hidden="false" customHeight="false" outlineLevel="0" collapsed="false">
      <c r="A110" s="29" t="str">
        <f aca="false">IF($C110="","",ROW()-4)</f>
        <v/>
      </c>
      <c r="B110" s="35" t="str">
        <f aca="false">IF($C110="","","SK"&amp;TEXT($C110,"yyyymm")&amp;"-"&amp;TEXT(ROW()-4,"0000"))</f>
        <v/>
      </c>
      <c r="C110" s="33"/>
      <c r="D110" s="24"/>
      <c r="E110" s="30" t="str">
        <f aca="false">IF($D110="","",IFERROR(INDEX(合同单位,MATCH($D110,合同键,0)),IFERROR(TRIM(LEFT($D110,FIND("｜",$D110)-1)),$D110)))</f>
        <v/>
      </c>
      <c r="F110" s="30" t="str">
        <f aca="false">IF($D110="","",IFERROR(INDEX(合同项目,MATCH($D110,合同键,0)),IFERROR(TRIM(MID($D110,FIND("｜",$D110)+1,99)),"")))</f>
        <v/>
      </c>
      <c r="G110" s="39"/>
      <c r="H110" s="25"/>
      <c r="I110" s="35" t="str">
        <f aca="false">IF($H110="","",IFERROR(INDEX(票据归类表,MATCH($H110,票据类型表,0)),"现金无票"))</f>
        <v/>
      </c>
      <c r="J110" s="25"/>
      <c r="K110" s="25"/>
      <c r="L110" s="31"/>
      <c r="M110" s="29" t="str">
        <f aca="false">IF($C110="","",YEAR($C110))</f>
        <v/>
      </c>
      <c r="N110" s="24"/>
      <c r="O110" s="35" t="str">
        <f aca="false">IF($C110="","",IF($D110="","★没选客户项目",IF(COUNTIF(合同键,$D110)=0,"★《维保合同》里没这个项目",IF(N($G110)&lt;=0,"★收款金额要填",IF($H110="","★票据类型要选",IF(AND($L110&lt;&gt;"",COUNTIF(应收单号,$L110)=0),"★关联的应收单号不存在",IF(AND($L110&lt;&gt;"",IFERROR(INDEX(应收键,MATCH($L110,应收单号,0)),"")&lt;&gt;$D110),"★关联单号不是这个客户的",IF(AND($L110&lt;&gt;"",ROUND(SUMIF(收款关联,$L110,收款金额)-IFERROR(INDEX(应收金额,MATCH($L110,应收单号,0)),0),2)&gt;0.001),"★指定冲销超过那张单的应收","OK"))))))))</f>
        <v/>
      </c>
    </row>
    <row r="111" customFormat="false" ht="15" hidden="false" customHeight="false" outlineLevel="0" collapsed="false">
      <c r="A111" s="29" t="str">
        <f aca="false">IF($C111="","",ROW()-4)</f>
        <v/>
      </c>
      <c r="B111" s="35" t="str">
        <f aca="false">IF($C111="","","SK"&amp;TEXT($C111,"yyyymm")&amp;"-"&amp;TEXT(ROW()-4,"0000"))</f>
        <v/>
      </c>
      <c r="C111" s="33"/>
      <c r="D111" s="24"/>
      <c r="E111" s="30" t="str">
        <f aca="false">IF($D111="","",IFERROR(INDEX(合同单位,MATCH($D111,合同键,0)),IFERROR(TRIM(LEFT($D111,FIND("｜",$D111)-1)),$D111)))</f>
        <v/>
      </c>
      <c r="F111" s="30" t="str">
        <f aca="false">IF($D111="","",IFERROR(INDEX(合同项目,MATCH($D111,合同键,0)),IFERROR(TRIM(MID($D111,FIND("｜",$D111)+1,99)),"")))</f>
        <v/>
      </c>
      <c r="G111" s="39"/>
      <c r="H111" s="25"/>
      <c r="I111" s="35" t="str">
        <f aca="false">IF($H111="","",IFERROR(INDEX(票据归类表,MATCH($H111,票据类型表,0)),"现金无票"))</f>
        <v/>
      </c>
      <c r="J111" s="25"/>
      <c r="K111" s="25"/>
      <c r="L111" s="31"/>
      <c r="M111" s="29" t="str">
        <f aca="false">IF($C111="","",YEAR($C111))</f>
        <v/>
      </c>
      <c r="N111" s="24"/>
      <c r="O111" s="35" t="str">
        <f aca="false">IF($C111="","",IF($D111="","★没选客户项目",IF(COUNTIF(合同键,$D111)=0,"★《维保合同》里没这个项目",IF(N($G111)&lt;=0,"★收款金额要填",IF($H111="","★票据类型要选",IF(AND($L111&lt;&gt;"",COUNTIF(应收单号,$L111)=0),"★关联的应收单号不存在",IF(AND($L111&lt;&gt;"",IFERROR(INDEX(应收键,MATCH($L111,应收单号,0)),"")&lt;&gt;$D111),"★关联单号不是这个客户的",IF(AND($L111&lt;&gt;"",ROUND(SUMIF(收款关联,$L111,收款金额)-IFERROR(INDEX(应收金额,MATCH($L111,应收单号,0)),0),2)&gt;0.001),"★指定冲销超过那张单的应收","OK"))))))))</f>
        <v/>
      </c>
    </row>
    <row r="112" customFormat="false" ht="15" hidden="false" customHeight="false" outlineLevel="0" collapsed="false">
      <c r="A112" s="29" t="str">
        <f aca="false">IF($C112="","",ROW()-4)</f>
        <v/>
      </c>
      <c r="B112" s="35" t="str">
        <f aca="false">IF($C112="","","SK"&amp;TEXT($C112,"yyyymm")&amp;"-"&amp;TEXT(ROW()-4,"0000"))</f>
        <v/>
      </c>
      <c r="C112" s="33"/>
      <c r="D112" s="24"/>
      <c r="E112" s="30" t="str">
        <f aca="false">IF($D112="","",IFERROR(INDEX(合同单位,MATCH($D112,合同键,0)),IFERROR(TRIM(LEFT($D112,FIND("｜",$D112)-1)),$D112)))</f>
        <v/>
      </c>
      <c r="F112" s="30" t="str">
        <f aca="false">IF($D112="","",IFERROR(INDEX(合同项目,MATCH($D112,合同键,0)),IFERROR(TRIM(MID($D112,FIND("｜",$D112)+1,99)),"")))</f>
        <v/>
      </c>
      <c r="G112" s="39"/>
      <c r="H112" s="25"/>
      <c r="I112" s="35" t="str">
        <f aca="false">IF($H112="","",IFERROR(INDEX(票据归类表,MATCH($H112,票据类型表,0)),"现金无票"))</f>
        <v/>
      </c>
      <c r="J112" s="25"/>
      <c r="K112" s="25"/>
      <c r="L112" s="31"/>
      <c r="M112" s="29" t="str">
        <f aca="false">IF($C112="","",YEAR($C112))</f>
        <v/>
      </c>
      <c r="N112" s="24"/>
      <c r="O112" s="35" t="str">
        <f aca="false">IF($C112="","",IF($D112="","★没选客户项目",IF(COUNTIF(合同键,$D112)=0,"★《维保合同》里没这个项目",IF(N($G112)&lt;=0,"★收款金额要填",IF($H112="","★票据类型要选",IF(AND($L112&lt;&gt;"",COUNTIF(应收单号,$L112)=0),"★关联的应收单号不存在",IF(AND($L112&lt;&gt;"",IFERROR(INDEX(应收键,MATCH($L112,应收单号,0)),"")&lt;&gt;$D112),"★关联单号不是这个客户的",IF(AND($L112&lt;&gt;"",ROUND(SUMIF(收款关联,$L112,收款金额)-IFERROR(INDEX(应收金额,MATCH($L112,应收单号,0)),0),2)&gt;0.001),"★指定冲销超过那张单的应收","OK"))))))))</f>
        <v/>
      </c>
    </row>
    <row r="113" customFormat="false" ht="15" hidden="false" customHeight="false" outlineLevel="0" collapsed="false">
      <c r="A113" s="29" t="str">
        <f aca="false">IF($C113="","",ROW()-4)</f>
        <v/>
      </c>
      <c r="B113" s="35" t="str">
        <f aca="false">IF($C113="","","SK"&amp;TEXT($C113,"yyyymm")&amp;"-"&amp;TEXT(ROW()-4,"0000"))</f>
        <v/>
      </c>
      <c r="C113" s="33"/>
      <c r="D113" s="24"/>
      <c r="E113" s="30" t="str">
        <f aca="false">IF($D113="","",IFERROR(INDEX(合同单位,MATCH($D113,合同键,0)),IFERROR(TRIM(LEFT($D113,FIND("｜",$D113)-1)),$D113)))</f>
        <v/>
      </c>
      <c r="F113" s="30" t="str">
        <f aca="false">IF($D113="","",IFERROR(INDEX(合同项目,MATCH($D113,合同键,0)),IFERROR(TRIM(MID($D113,FIND("｜",$D113)+1,99)),"")))</f>
        <v/>
      </c>
      <c r="G113" s="39"/>
      <c r="H113" s="25"/>
      <c r="I113" s="35" t="str">
        <f aca="false">IF($H113="","",IFERROR(INDEX(票据归类表,MATCH($H113,票据类型表,0)),"现金无票"))</f>
        <v/>
      </c>
      <c r="J113" s="25"/>
      <c r="K113" s="25"/>
      <c r="L113" s="31"/>
      <c r="M113" s="29" t="str">
        <f aca="false">IF($C113="","",YEAR($C113))</f>
        <v/>
      </c>
      <c r="N113" s="24"/>
      <c r="O113" s="35" t="str">
        <f aca="false">IF($C113="","",IF($D113="","★没选客户项目",IF(COUNTIF(合同键,$D113)=0,"★《维保合同》里没这个项目",IF(N($G113)&lt;=0,"★收款金额要填",IF($H113="","★票据类型要选",IF(AND($L113&lt;&gt;"",COUNTIF(应收单号,$L113)=0),"★关联的应收单号不存在",IF(AND($L113&lt;&gt;"",IFERROR(INDEX(应收键,MATCH($L113,应收单号,0)),"")&lt;&gt;$D113),"★关联单号不是这个客户的",IF(AND($L113&lt;&gt;"",ROUND(SUMIF(收款关联,$L113,收款金额)-IFERROR(INDEX(应收金额,MATCH($L113,应收单号,0)),0),2)&gt;0.001),"★指定冲销超过那张单的应收","OK"))))))))</f>
        <v/>
      </c>
    </row>
    <row r="114" customFormat="false" ht="15" hidden="false" customHeight="false" outlineLevel="0" collapsed="false">
      <c r="A114" s="29" t="str">
        <f aca="false">IF($C114="","",ROW()-4)</f>
        <v/>
      </c>
      <c r="B114" s="35" t="str">
        <f aca="false">IF($C114="","","SK"&amp;TEXT($C114,"yyyymm")&amp;"-"&amp;TEXT(ROW()-4,"0000"))</f>
        <v/>
      </c>
      <c r="C114" s="33"/>
      <c r="D114" s="24"/>
      <c r="E114" s="30" t="str">
        <f aca="false">IF($D114="","",IFERROR(INDEX(合同单位,MATCH($D114,合同键,0)),IFERROR(TRIM(LEFT($D114,FIND("｜",$D114)-1)),$D114)))</f>
        <v/>
      </c>
      <c r="F114" s="30" t="str">
        <f aca="false">IF($D114="","",IFERROR(INDEX(合同项目,MATCH($D114,合同键,0)),IFERROR(TRIM(MID($D114,FIND("｜",$D114)+1,99)),"")))</f>
        <v/>
      </c>
      <c r="G114" s="39"/>
      <c r="H114" s="25"/>
      <c r="I114" s="35" t="str">
        <f aca="false">IF($H114="","",IFERROR(INDEX(票据归类表,MATCH($H114,票据类型表,0)),"现金无票"))</f>
        <v/>
      </c>
      <c r="J114" s="25"/>
      <c r="K114" s="25"/>
      <c r="L114" s="31"/>
      <c r="M114" s="29" t="str">
        <f aca="false">IF($C114="","",YEAR($C114))</f>
        <v/>
      </c>
      <c r="N114" s="24"/>
      <c r="O114" s="35" t="str">
        <f aca="false">IF($C114="","",IF($D114="","★没选客户项目",IF(COUNTIF(合同键,$D114)=0,"★《维保合同》里没这个项目",IF(N($G114)&lt;=0,"★收款金额要填",IF($H114="","★票据类型要选",IF(AND($L114&lt;&gt;"",COUNTIF(应收单号,$L114)=0),"★关联的应收单号不存在",IF(AND($L114&lt;&gt;"",IFERROR(INDEX(应收键,MATCH($L114,应收单号,0)),"")&lt;&gt;$D114),"★关联单号不是这个客户的",IF(AND($L114&lt;&gt;"",ROUND(SUMIF(收款关联,$L114,收款金额)-IFERROR(INDEX(应收金额,MATCH($L114,应收单号,0)),0),2)&gt;0.001),"★指定冲销超过那张单的应收","OK"))))))))</f>
        <v/>
      </c>
    </row>
    <row r="115" customFormat="false" ht="15" hidden="false" customHeight="false" outlineLevel="0" collapsed="false">
      <c r="A115" s="29" t="str">
        <f aca="false">IF($C115="","",ROW()-4)</f>
        <v/>
      </c>
      <c r="B115" s="35" t="str">
        <f aca="false">IF($C115="","","SK"&amp;TEXT($C115,"yyyymm")&amp;"-"&amp;TEXT(ROW()-4,"0000"))</f>
        <v/>
      </c>
      <c r="C115" s="33"/>
      <c r="D115" s="24"/>
      <c r="E115" s="30" t="str">
        <f aca="false">IF($D115="","",IFERROR(INDEX(合同单位,MATCH($D115,合同键,0)),IFERROR(TRIM(LEFT($D115,FIND("｜",$D115)-1)),$D115)))</f>
        <v/>
      </c>
      <c r="F115" s="30" t="str">
        <f aca="false">IF($D115="","",IFERROR(INDEX(合同项目,MATCH($D115,合同键,0)),IFERROR(TRIM(MID($D115,FIND("｜",$D115)+1,99)),"")))</f>
        <v/>
      </c>
      <c r="G115" s="39"/>
      <c r="H115" s="25"/>
      <c r="I115" s="35" t="str">
        <f aca="false">IF($H115="","",IFERROR(INDEX(票据归类表,MATCH($H115,票据类型表,0)),"现金无票"))</f>
        <v/>
      </c>
      <c r="J115" s="25"/>
      <c r="K115" s="25"/>
      <c r="L115" s="31"/>
      <c r="M115" s="29" t="str">
        <f aca="false">IF($C115="","",YEAR($C115))</f>
        <v/>
      </c>
      <c r="N115" s="24"/>
      <c r="O115" s="35" t="str">
        <f aca="false">IF($C115="","",IF($D115="","★没选客户项目",IF(COUNTIF(合同键,$D115)=0,"★《维保合同》里没这个项目",IF(N($G115)&lt;=0,"★收款金额要填",IF($H115="","★票据类型要选",IF(AND($L115&lt;&gt;"",COUNTIF(应收单号,$L115)=0),"★关联的应收单号不存在",IF(AND($L115&lt;&gt;"",IFERROR(INDEX(应收键,MATCH($L115,应收单号,0)),"")&lt;&gt;$D115),"★关联单号不是这个客户的",IF(AND($L115&lt;&gt;"",ROUND(SUMIF(收款关联,$L115,收款金额)-IFERROR(INDEX(应收金额,MATCH($L115,应收单号,0)),0),2)&gt;0.001),"★指定冲销超过那张单的应收","OK"))))))))</f>
        <v/>
      </c>
    </row>
    <row r="116" customFormat="false" ht="15" hidden="false" customHeight="false" outlineLevel="0" collapsed="false">
      <c r="A116" s="29" t="str">
        <f aca="false">IF($C116="","",ROW()-4)</f>
        <v/>
      </c>
      <c r="B116" s="35" t="str">
        <f aca="false">IF($C116="","","SK"&amp;TEXT($C116,"yyyymm")&amp;"-"&amp;TEXT(ROW()-4,"0000"))</f>
        <v/>
      </c>
      <c r="C116" s="33"/>
      <c r="D116" s="24"/>
      <c r="E116" s="30" t="str">
        <f aca="false">IF($D116="","",IFERROR(INDEX(合同单位,MATCH($D116,合同键,0)),IFERROR(TRIM(LEFT($D116,FIND("｜",$D116)-1)),$D116)))</f>
        <v/>
      </c>
      <c r="F116" s="30" t="str">
        <f aca="false">IF($D116="","",IFERROR(INDEX(合同项目,MATCH($D116,合同键,0)),IFERROR(TRIM(MID($D116,FIND("｜",$D116)+1,99)),"")))</f>
        <v/>
      </c>
      <c r="G116" s="39"/>
      <c r="H116" s="25"/>
      <c r="I116" s="35" t="str">
        <f aca="false">IF($H116="","",IFERROR(INDEX(票据归类表,MATCH($H116,票据类型表,0)),"现金无票"))</f>
        <v/>
      </c>
      <c r="J116" s="25"/>
      <c r="K116" s="25"/>
      <c r="L116" s="31"/>
      <c r="M116" s="29" t="str">
        <f aca="false">IF($C116="","",YEAR($C116))</f>
        <v/>
      </c>
      <c r="N116" s="24"/>
      <c r="O116" s="35" t="str">
        <f aca="false">IF($C116="","",IF($D116="","★没选客户项目",IF(COUNTIF(合同键,$D116)=0,"★《维保合同》里没这个项目",IF(N($G116)&lt;=0,"★收款金额要填",IF($H116="","★票据类型要选",IF(AND($L116&lt;&gt;"",COUNTIF(应收单号,$L116)=0),"★关联的应收单号不存在",IF(AND($L116&lt;&gt;"",IFERROR(INDEX(应收键,MATCH($L116,应收单号,0)),"")&lt;&gt;$D116),"★关联单号不是这个客户的",IF(AND($L116&lt;&gt;"",ROUND(SUMIF(收款关联,$L116,收款金额)-IFERROR(INDEX(应收金额,MATCH($L116,应收单号,0)),0),2)&gt;0.001),"★指定冲销超过那张单的应收","OK"))))))))</f>
        <v/>
      </c>
    </row>
    <row r="117" customFormat="false" ht="15" hidden="false" customHeight="false" outlineLevel="0" collapsed="false">
      <c r="A117" s="29" t="str">
        <f aca="false">IF($C117="","",ROW()-4)</f>
        <v/>
      </c>
      <c r="B117" s="35" t="str">
        <f aca="false">IF($C117="","","SK"&amp;TEXT($C117,"yyyymm")&amp;"-"&amp;TEXT(ROW()-4,"0000"))</f>
        <v/>
      </c>
      <c r="C117" s="33"/>
      <c r="D117" s="24"/>
      <c r="E117" s="30" t="str">
        <f aca="false">IF($D117="","",IFERROR(INDEX(合同单位,MATCH($D117,合同键,0)),IFERROR(TRIM(LEFT($D117,FIND("｜",$D117)-1)),$D117)))</f>
        <v/>
      </c>
      <c r="F117" s="30" t="str">
        <f aca="false">IF($D117="","",IFERROR(INDEX(合同项目,MATCH($D117,合同键,0)),IFERROR(TRIM(MID($D117,FIND("｜",$D117)+1,99)),"")))</f>
        <v/>
      </c>
      <c r="G117" s="39"/>
      <c r="H117" s="25"/>
      <c r="I117" s="35" t="str">
        <f aca="false">IF($H117="","",IFERROR(INDEX(票据归类表,MATCH($H117,票据类型表,0)),"现金无票"))</f>
        <v/>
      </c>
      <c r="J117" s="25"/>
      <c r="K117" s="25"/>
      <c r="L117" s="31"/>
      <c r="M117" s="29" t="str">
        <f aca="false">IF($C117="","",YEAR($C117))</f>
        <v/>
      </c>
      <c r="N117" s="24"/>
      <c r="O117" s="35" t="str">
        <f aca="false">IF($C117="","",IF($D117="","★没选客户项目",IF(COUNTIF(合同键,$D117)=0,"★《维保合同》里没这个项目",IF(N($G117)&lt;=0,"★收款金额要填",IF($H117="","★票据类型要选",IF(AND($L117&lt;&gt;"",COUNTIF(应收单号,$L117)=0),"★关联的应收单号不存在",IF(AND($L117&lt;&gt;"",IFERROR(INDEX(应收键,MATCH($L117,应收单号,0)),"")&lt;&gt;$D117),"★关联单号不是这个客户的",IF(AND($L117&lt;&gt;"",ROUND(SUMIF(收款关联,$L117,收款金额)-IFERROR(INDEX(应收金额,MATCH($L117,应收单号,0)),0),2)&gt;0.001),"★指定冲销超过那张单的应收","OK"))))))))</f>
        <v/>
      </c>
    </row>
    <row r="118" customFormat="false" ht="15" hidden="false" customHeight="false" outlineLevel="0" collapsed="false">
      <c r="A118" s="29" t="str">
        <f aca="false">IF($C118="","",ROW()-4)</f>
        <v/>
      </c>
      <c r="B118" s="35" t="str">
        <f aca="false">IF($C118="","","SK"&amp;TEXT($C118,"yyyymm")&amp;"-"&amp;TEXT(ROW()-4,"0000"))</f>
        <v/>
      </c>
      <c r="C118" s="33"/>
      <c r="D118" s="24"/>
      <c r="E118" s="30" t="str">
        <f aca="false">IF($D118="","",IFERROR(INDEX(合同单位,MATCH($D118,合同键,0)),IFERROR(TRIM(LEFT($D118,FIND("｜",$D118)-1)),$D118)))</f>
        <v/>
      </c>
      <c r="F118" s="30" t="str">
        <f aca="false">IF($D118="","",IFERROR(INDEX(合同项目,MATCH($D118,合同键,0)),IFERROR(TRIM(MID($D118,FIND("｜",$D118)+1,99)),"")))</f>
        <v/>
      </c>
      <c r="G118" s="39"/>
      <c r="H118" s="25"/>
      <c r="I118" s="35" t="str">
        <f aca="false">IF($H118="","",IFERROR(INDEX(票据归类表,MATCH($H118,票据类型表,0)),"现金无票"))</f>
        <v/>
      </c>
      <c r="J118" s="25"/>
      <c r="K118" s="25"/>
      <c r="L118" s="31"/>
      <c r="M118" s="29" t="str">
        <f aca="false">IF($C118="","",YEAR($C118))</f>
        <v/>
      </c>
      <c r="N118" s="24"/>
      <c r="O118" s="35" t="str">
        <f aca="false">IF($C118="","",IF($D118="","★没选客户项目",IF(COUNTIF(合同键,$D118)=0,"★《维保合同》里没这个项目",IF(N($G118)&lt;=0,"★收款金额要填",IF($H118="","★票据类型要选",IF(AND($L118&lt;&gt;"",COUNTIF(应收单号,$L118)=0),"★关联的应收单号不存在",IF(AND($L118&lt;&gt;"",IFERROR(INDEX(应收键,MATCH($L118,应收单号,0)),"")&lt;&gt;$D118),"★关联单号不是这个客户的",IF(AND($L118&lt;&gt;"",ROUND(SUMIF(收款关联,$L118,收款金额)-IFERROR(INDEX(应收金额,MATCH($L118,应收单号,0)),0),2)&gt;0.001),"★指定冲销超过那张单的应收","OK"))))))))</f>
        <v/>
      </c>
    </row>
    <row r="119" customFormat="false" ht="15" hidden="false" customHeight="false" outlineLevel="0" collapsed="false">
      <c r="A119" s="29" t="str">
        <f aca="false">IF($C119="","",ROW()-4)</f>
        <v/>
      </c>
      <c r="B119" s="35" t="str">
        <f aca="false">IF($C119="","","SK"&amp;TEXT($C119,"yyyymm")&amp;"-"&amp;TEXT(ROW()-4,"0000"))</f>
        <v/>
      </c>
      <c r="C119" s="33"/>
      <c r="D119" s="24"/>
      <c r="E119" s="30" t="str">
        <f aca="false">IF($D119="","",IFERROR(INDEX(合同单位,MATCH($D119,合同键,0)),IFERROR(TRIM(LEFT($D119,FIND("｜",$D119)-1)),$D119)))</f>
        <v/>
      </c>
      <c r="F119" s="30" t="str">
        <f aca="false">IF($D119="","",IFERROR(INDEX(合同项目,MATCH($D119,合同键,0)),IFERROR(TRIM(MID($D119,FIND("｜",$D119)+1,99)),"")))</f>
        <v/>
      </c>
      <c r="G119" s="39"/>
      <c r="H119" s="25"/>
      <c r="I119" s="35" t="str">
        <f aca="false">IF($H119="","",IFERROR(INDEX(票据归类表,MATCH($H119,票据类型表,0)),"现金无票"))</f>
        <v/>
      </c>
      <c r="J119" s="25"/>
      <c r="K119" s="25"/>
      <c r="L119" s="31"/>
      <c r="M119" s="29" t="str">
        <f aca="false">IF($C119="","",YEAR($C119))</f>
        <v/>
      </c>
      <c r="N119" s="24"/>
      <c r="O119" s="35" t="str">
        <f aca="false">IF($C119="","",IF($D119="","★没选客户项目",IF(COUNTIF(合同键,$D119)=0,"★《维保合同》里没这个项目",IF(N($G119)&lt;=0,"★收款金额要填",IF($H119="","★票据类型要选",IF(AND($L119&lt;&gt;"",COUNTIF(应收单号,$L119)=0),"★关联的应收单号不存在",IF(AND($L119&lt;&gt;"",IFERROR(INDEX(应收键,MATCH($L119,应收单号,0)),"")&lt;&gt;$D119),"★关联单号不是这个客户的",IF(AND($L119&lt;&gt;"",ROUND(SUMIF(收款关联,$L119,收款金额)-IFERROR(INDEX(应收金额,MATCH($L119,应收单号,0)),0),2)&gt;0.001),"★指定冲销超过那张单的应收","OK"))))))))</f>
        <v/>
      </c>
    </row>
    <row r="120" customFormat="false" ht="15" hidden="false" customHeight="false" outlineLevel="0" collapsed="false">
      <c r="A120" s="29" t="str">
        <f aca="false">IF($C120="","",ROW()-4)</f>
        <v/>
      </c>
      <c r="B120" s="35" t="str">
        <f aca="false">IF($C120="","","SK"&amp;TEXT($C120,"yyyymm")&amp;"-"&amp;TEXT(ROW()-4,"0000"))</f>
        <v/>
      </c>
      <c r="C120" s="33"/>
      <c r="D120" s="24"/>
      <c r="E120" s="30" t="str">
        <f aca="false">IF($D120="","",IFERROR(INDEX(合同单位,MATCH($D120,合同键,0)),IFERROR(TRIM(LEFT($D120,FIND("｜",$D120)-1)),$D120)))</f>
        <v/>
      </c>
      <c r="F120" s="30" t="str">
        <f aca="false">IF($D120="","",IFERROR(INDEX(合同项目,MATCH($D120,合同键,0)),IFERROR(TRIM(MID($D120,FIND("｜",$D120)+1,99)),"")))</f>
        <v/>
      </c>
      <c r="G120" s="39"/>
      <c r="H120" s="25"/>
      <c r="I120" s="35" t="str">
        <f aca="false">IF($H120="","",IFERROR(INDEX(票据归类表,MATCH($H120,票据类型表,0)),"现金无票"))</f>
        <v/>
      </c>
      <c r="J120" s="25"/>
      <c r="K120" s="25"/>
      <c r="L120" s="31"/>
      <c r="M120" s="29" t="str">
        <f aca="false">IF($C120="","",YEAR($C120))</f>
        <v/>
      </c>
      <c r="N120" s="24"/>
      <c r="O120" s="35" t="str">
        <f aca="false">IF($C120="","",IF($D120="","★没选客户项目",IF(COUNTIF(合同键,$D120)=0,"★《维保合同》里没这个项目",IF(N($G120)&lt;=0,"★收款金额要填",IF($H120="","★票据类型要选",IF(AND($L120&lt;&gt;"",COUNTIF(应收单号,$L120)=0),"★关联的应收单号不存在",IF(AND($L120&lt;&gt;"",IFERROR(INDEX(应收键,MATCH($L120,应收单号,0)),"")&lt;&gt;$D120),"★关联单号不是这个客户的",IF(AND($L120&lt;&gt;"",ROUND(SUMIF(收款关联,$L120,收款金额)-IFERROR(INDEX(应收金额,MATCH($L120,应收单号,0)),0),2)&gt;0.001),"★指定冲销超过那张单的应收","OK"))))))))</f>
        <v/>
      </c>
    </row>
    <row r="121" customFormat="false" ht="15" hidden="false" customHeight="false" outlineLevel="0" collapsed="false">
      <c r="A121" s="29" t="str">
        <f aca="false">IF($C121="","",ROW()-4)</f>
        <v/>
      </c>
      <c r="B121" s="35" t="str">
        <f aca="false">IF($C121="","","SK"&amp;TEXT($C121,"yyyymm")&amp;"-"&amp;TEXT(ROW()-4,"0000"))</f>
        <v/>
      </c>
      <c r="C121" s="33"/>
      <c r="D121" s="24"/>
      <c r="E121" s="30" t="str">
        <f aca="false">IF($D121="","",IFERROR(INDEX(合同单位,MATCH($D121,合同键,0)),IFERROR(TRIM(LEFT($D121,FIND("｜",$D121)-1)),$D121)))</f>
        <v/>
      </c>
      <c r="F121" s="30" t="str">
        <f aca="false">IF($D121="","",IFERROR(INDEX(合同项目,MATCH($D121,合同键,0)),IFERROR(TRIM(MID($D121,FIND("｜",$D121)+1,99)),"")))</f>
        <v/>
      </c>
      <c r="G121" s="39"/>
      <c r="H121" s="25"/>
      <c r="I121" s="35" t="str">
        <f aca="false">IF($H121="","",IFERROR(INDEX(票据归类表,MATCH($H121,票据类型表,0)),"现金无票"))</f>
        <v/>
      </c>
      <c r="J121" s="25"/>
      <c r="K121" s="25"/>
      <c r="L121" s="31"/>
      <c r="M121" s="29" t="str">
        <f aca="false">IF($C121="","",YEAR($C121))</f>
        <v/>
      </c>
      <c r="N121" s="24"/>
      <c r="O121" s="35" t="str">
        <f aca="false">IF($C121="","",IF($D121="","★没选客户项目",IF(COUNTIF(合同键,$D121)=0,"★《维保合同》里没这个项目",IF(N($G121)&lt;=0,"★收款金额要填",IF($H121="","★票据类型要选",IF(AND($L121&lt;&gt;"",COUNTIF(应收单号,$L121)=0),"★关联的应收单号不存在",IF(AND($L121&lt;&gt;"",IFERROR(INDEX(应收键,MATCH($L121,应收单号,0)),"")&lt;&gt;$D121),"★关联单号不是这个客户的",IF(AND($L121&lt;&gt;"",ROUND(SUMIF(收款关联,$L121,收款金额)-IFERROR(INDEX(应收金额,MATCH($L121,应收单号,0)),0),2)&gt;0.001),"★指定冲销超过那张单的应收","OK"))))))))</f>
        <v/>
      </c>
    </row>
    <row r="122" customFormat="false" ht="15" hidden="false" customHeight="false" outlineLevel="0" collapsed="false">
      <c r="A122" s="29" t="str">
        <f aca="false">IF($C122="","",ROW()-4)</f>
        <v/>
      </c>
      <c r="B122" s="35" t="str">
        <f aca="false">IF($C122="","","SK"&amp;TEXT($C122,"yyyymm")&amp;"-"&amp;TEXT(ROW()-4,"0000"))</f>
        <v/>
      </c>
      <c r="C122" s="33"/>
      <c r="D122" s="24"/>
      <c r="E122" s="30" t="str">
        <f aca="false">IF($D122="","",IFERROR(INDEX(合同单位,MATCH($D122,合同键,0)),IFERROR(TRIM(LEFT($D122,FIND("｜",$D122)-1)),$D122)))</f>
        <v/>
      </c>
      <c r="F122" s="30" t="str">
        <f aca="false">IF($D122="","",IFERROR(INDEX(合同项目,MATCH($D122,合同键,0)),IFERROR(TRIM(MID($D122,FIND("｜",$D122)+1,99)),"")))</f>
        <v/>
      </c>
      <c r="G122" s="39"/>
      <c r="H122" s="25"/>
      <c r="I122" s="35" t="str">
        <f aca="false">IF($H122="","",IFERROR(INDEX(票据归类表,MATCH($H122,票据类型表,0)),"现金无票"))</f>
        <v/>
      </c>
      <c r="J122" s="25"/>
      <c r="K122" s="25"/>
      <c r="L122" s="31"/>
      <c r="M122" s="29" t="str">
        <f aca="false">IF($C122="","",YEAR($C122))</f>
        <v/>
      </c>
      <c r="N122" s="24"/>
      <c r="O122" s="35" t="str">
        <f aca="false">IF($C122="","",IF($D122="","★没选客户项目",IF(COUNTIF(合同键,$D122)=0,"★《维保合同》里没这个项目",IF(N($G122)&lt;=0,"★收款金额要填",IF($H122="","★票据类型要选",IF(AND($L122&lt;&gt;"",COUNTIF(应收单号,$L122)=0),"★关联的应收单号不存在",IF(AND($L122&lt;&gt;"",IFERROR(INDEX(应收键,MATCH($L122,应收单号,0)),"")&lt;&gt;$D122),"★关联单号不是这个客户的",IF(AND($L122&lt;&gt;"",ROUND(SUMIF(收款关联,$L122,收款金额)-IFERROR(INDEX(应收金额,MATCH($L122,应收单号,0)),0),2)&gt;0.001),"★指定冲销超过那张单的应收","OK"))))))))</f>
        <v/>
      </c>
    </row>
    <row r="123" customFormat="false" ht="15" hidden="false" customHeight="false" outlineLevel="0" collapsed="false">
      <c r="A123" s="29" t="str">
        <f aca="false">IF($C123="","",ROW()-4)</f>
        <v/>
      </c>
      <c r="B123" s="35" t="str">
        <f aca="false">IF($C123="","","SK"&amp;TEXT($C123,"yyyymm")&amp;"-"&amp;TEXT(ROW()-4,"0000"))</f>
        <v/>
      </c>
      <c r="C123" s="33"/>
      <c r="D123" s="24"/>
      <c r="E123" s="30" t="str">
        <f aca="false">IF($D123="","",IFERROR(INDEX(合同单位,MATCH($D123,合同键,0)),IFERROR(TRIM(LEFT($D123,FIND("｜",$D123)-1)),$D123)))</f>
        <v/>
      </c>
      <c r="F123" s="30" t="str">
        <f aca="false">IF($D123="","",IFERROR(INDEX(合同项目,MATCH($D123,合同键,0)),IFERROR(TRIM(MID($D123,FIND("｜",$D123)+1,99)),"")))</f>
        <v/>
      </c>
      <c r="G123" s="39"/>
      <c r="H123" s="25"/>
      <c r="I123" s="35" t="str">
        <f aca="false">IF($H123="","",IFERROR(INDEX(票据归类表,MATCH($H123,票据类型表,0)),"现金无票"))</f>
        <v/>
      </c>
      <c r="J123" s="25"/>
      <c r="K123" s="25"/>
      <c r="L123" s="31"/>
      <c r="M123" s="29" t="str">
        <f aca="false">IF($C123="","",YEAR($C123))</f>
        <v/>
      </c>
      <c r="N123" s="24"/>
      <c r="O123" s="35" t="str">
        <f aca="false">IF($C123="","",IF($D123="","★没选客户项目",IF(COUNTIF(合同键,$D123)=0,"★《维保合同》里没这个项目",IF(N($G123)&lt;=0,"★收款金额要填",IF($H123="","★票据类型要选",IF(AND($L123&lt;&gt;"",COUNTIF(应收单号,$L123)=0),"★关联的应收单号不存在",IF(AND($L123&lt;&gt;"",IFERROR(INDEX(应收键,MATCH($L123,应收单号,0)),"")&lt;&gt;$D123),"★关联单号不是这个客户的",IF(AND($L123&lt;&gt;"",ROUND(SUMIF(收款关联,$L123,收款金额)-IFERROR(INDEX(应收金额,MATCH($L123,应收单号,0)),0),2)&gt;0.001),"★指定冲销超过那张单的应收","OK"))))))))</f>
        <v/>
      </c>
    </row>
    <row r="124" customFormat="false" ht="15" hidden="false" customHeight="false" outlineLevel="0" collapsed="false">
      <c r="A124" s="29" t="str">
        <f aca="false">IF($C124="","",ROW()-4)</f>
        <v/>
      </c>
      <c r="B124" s="35" t="str">
        <f aca="false">IF($C124="","","SK"&amp;TEXT($C124,"yyyymm")&amp;"-"&amp;TEXT(ROW()-4,"0000"))</f>
        <v/>
      </c>
      <c r="C124" s="33"/>
      <c r="D124" s="24"/>
      <c r="E124" s="30" t="str">
        <f aca="false">IF($D124="","",IFERROR(INDEX(合同单位,MATCH($D124,合同键,0)),IFERROR(TRIM(LEFT($D124,FIND("｜",$D124)-1)),$D124)))</f>
        <v/>
      </c>
      <c r="F124" s="30" t="str">
        <f aca="false">IF($D124="","",IFERROR(INDEX(合同项目,MATCH($D124,合同键,0)),IFERROR(TRIM(MID($D124,FIND("｜",$D124)+1,99)),"")))</f>
        <v/>
      </c>
      <c r="G124" s="39"/>
      <c r="H124" s="25"/>
      <c r="I124" s="35" t="str">
        <f aca="false">IF($H124="","",IFERROR(INDEX(票据归类表,MATCH($H124,票据类型表,0)),"现金无票"))</f>
        <v/>
      </c>
      <c r="J124" s="25"/>
      <c r="K124" s="25"/>
      <c r="L124" s="31"/>
      <c r="M124" s="29" t="str">
        <f aca="false">IF($C124="","",YEAR($C124))</f>
        <v/>
      </c>
      <c r="N124" s="24"/>
      <c r="O124" s="35" t="str">
        <f aca="false">IF($C124="","",IF($D124="","★没选客户项目",IF(COUNTIF(合同键,$D124)=0,"★《维保合同》里没这个项目",IF(N($G124)&lt;=0,"★收款金额要填",IF($H124="","★票据类型要选",IF(AND($L124&lt;&gt;"",COUNTIF(应收单号,$L124)=0),"★关联的应收单号不存在",IF(AND($L124&lt;&gt;"",IFERROR(INDEX(应收键,MATCH($L124,应收单号,0)),"")&lt;&gt;$D124),"★关联单号不是这个客户的",IF(AND($L124&lt;&gt;"",ROUND(SUMIF(收款关联,$L124,收款金额)-IFERROR(INDEX(应收金额,MATCH($L124,应收单号,0)),0),2)&gt;0.001),"★指定冲销超过那张单的应收","OK"))))))))</f>
        <v/>
      </c>
    </row>
    <row r="125" customFormat="false" ht="15" hidden="false" customHeight="false" outlineLevel="0" collapsed="false">
      <c r="A125" s="29" t="str">
        <f aca="false">IF($C125="","",ROW()-4)</f>
        <v/>
      </c>
      <c r="B125" s="35" t="str">
        <f aca="false">IF($C125="","","SK"&amp;TEXT($C125,"yyyymm")&amp;"-"&amp;TEXT(ROW()-4,"0000"))</f>
        <v/>
      </c>
      <c r="C125" s="33"/>
      <c r="D125" s="24"/>
      <c r="E125" s="30" t="str">
        <f aca="false">IF($D125="","",IFERROR(INDEX(合同单位,MATCH($D125,合同键,0)),IFERROR(TRIM(LEFT($D125,FIND("｜",$D125)-1)),$D125)))</f>
        <v/>
      </c>
      <c r="F125" s="30" t="str">
        <f aca="false">IF($D125="","",IFERROR(INDEX(合同项目,MATCH($D125,合同键,0)),IFERROR(TRIM(MID($D125,FIND("｜",$D125)+1,99)),"")))</f>
        <v/>
      </c>
      <c r="G125" s="39"/>
      <c r="H125" s="25"/>
      <c r="I125" s="35" t="str">
        <f aca="false">IF($H125="","",IFERROR(INDEX(票据归类表,MATCH($H125,票据类型表,0)),"现金无票"))</f>
        <v/>
      </c>
      <c r="J125" s="25"/>
      <c r="K125" s="25"/>
      <c r="L125" s="31"/>
      <c r="M125" s="29" t="str">
        <f aca="false">IF($C125="","",YEAR($C125))</f>
        <v/>
      </c>
      <c r="N125" s="24"/>
      <c r="O125" s="35" t="str">
        <f aca="false">IF($C125="","",IF($D125="","★没选客户项目",IF(COUNTIF(合同键,$D125)=0,"★《维保合同》里没这个项目",IF(N($G125)&lt;=0,"★收款金额要填",IF($H125="","★票据类型要选",IF(AND($L125&lt;&gt;"",COUNTIF(应收单号,$L125)=0),"★关联的应收单号不存在",IF(AND($L125&lt;&gt;"",IFERROR(INDEX(应收键,MATCH($L125,应收单号,0)),"")&lt;&gt;$D125),"★关联单号不是这个客户的",IF(AND($L125&lt;&gt;"",ROUND(SUMIF(收款关联,$L125,收款金额)-IFERROR(INDEX(应收金额,MATCH($L125,应收单号,0)),0),2)&gt;0.001),"★指定冲销超过那张单的应收","OK"))))))))</f>
        <v/>
      </c>
    </row>
    <row r="126" customFormat="false" ht="15" hidden="false" customHeight="false" outlineLevel="0" collapsed="false">
      <c r="A126" s="29" t="str">
        <f aca="false">IF($C126="","",ROW()-4)</f>
        <v/>
      </c>
      <c r="B126" s="35" t="str">
        <f aca="false">IF($C126="","","SK"&amp;TEXT($C126,"yyyymm")&amp;"-"&amp;TEXT(ROW()-4,"0000"))</f>
        <v/>
      </c>
      <c r="C126" s="33"/>
      <c r="D126" s="24"/>
      <c r="E126" s="30" t="str">
        <f aca="false">IF($D126="","",IFERROR(INDEX(合同单位,MATCH($D126,合同键,0)),IFERROR(TRIM(LEFT($D126,FIND("｜",$D126)-1)),$D126)))</f>
        <v/>
      </c>
      <c r="F126" s="30" t="str">
        <f aca="false">IF($D126="","",IFERROR(INDEX(合同项目,MATCH($D126,合同键,0)),IFERROR(TRIM(MID($D126,FIND("｜",$D126)+1,99)),"")))</f>
        <v/>
      </c>
      <c r="G126" s="39"/>
      <c r="H126" s="25"/>
      <c r="I126" s="35" t="str">
        <f aca="false">IF($H126="","",IFERROR(INDEX(票据归类表,MATCH($H126,票据类型表,0)),"现金无票"))</f>
        <v/>
      </c>
      <c r="J126" s="25"/>
      <c r="K126" s="25"/>
      <c r="L126" s="31"/>
      <c r="M126" s="29" t="str">
        <f aca="false">IF($C126="","",YEAR($C126))</f>
        <v/>
      </c>
      <c r="N126" s="24"/>
      <c r="O126" s="35" t="str">
        <f aca="false">IF($C126="","",IF($D126="","★没选客户项目",IF(COUNTIF(合同键,$D126)=0,"★《维保合同》里没这个项目",IF(N($G126)&lt;=0,"★收款金额要填",IF($H126="","★票据类型要选",IF(AND($L126&lt;&gt;"",COUNTIF(应收单号,$L126)=0),"★关联的应收单号不存在",IF(AND($L126&lt;&gt;"",IFERROR(INDEX(应收键,MATCH($L126,应收单号,0)),"")&lt;&gt;$D126),"★关联单号不是这个客户的",IF(AND($L126&lt;&gt;"",ROUND(SUMIF(收款关联,$L126,收款金额)-IFERROR(INDEX(应收金额,MATCH($L126,应收单号,0)),0),2)&gt;0.001),"★指定冲销超过那张单的应收","OK"))))))))</f>
        <v/>
      </c>
    </row>
    <row r="127" customFormat="false" ht="15" hidden="false" customHeight="false" outlineLevel="0" collapsed="false">
      <c r="A127" s="29" t="str">
        <f aca="false">IF($C127="","",ROW()-4)</f>
        <v/>
      </c>
      <c r="B127" s="35" t="str">
        <f aca="false">IF($C127="","","SK"&amp;TEXT($C127,"yyyymm")&amp;"-"&amp;TEXT(ROW()-4,"0000"))</f>
        <v/>
      </c>
      <c r="C127" s="33"/>
      <c r="D127" s="24"/>
      <c r="E127" s="30" t="str">
        <f aca="false">IF($D127="","",IFERROR(INDEX(合同单位,MATCH($D127,合同键,0)),IFERROR(TRIM(LEFT($D127,FIND("｜",$D127)-1)),$D127)))</f>
        <v/>
      </c>
      <c r="F127" s="30" t="str">
        <f aca="false">IF($D127="","",IFERROR(INDEX(合同项目,MATCH($D127,合同键,0)),IFERROR(TRIM(MID($D127,FIND("｜",$D127)+1,99)),"")))</f>
        <v/>
      </c>
      <c r="G127" s="39"/>
      <c r="H127" s="25"/>
      <c r="I127" s="35" t="str">
        <f aca="false">IF($H127="","",IFERROR(INDEX(票据归类表,MATCH($H127,票据类型表,0)),"现金无票"))</f>
        <v/>
      </c>
      <c r="J127" s="25"/>
      <c r="K127" s="25"/>
      <c r="L127" s="31"/>
      <c r="M127" s="29" t="str">
        <f aca="false">IF($C127="","",YEAR($C127))</f>
        <v/>
      </c>
      <c r="N127" s="24"/>
      <c r="O127" s="35" t="str">
        <f aca="false">IF($C127="","",IF($D127="","★没选客户项目",IF(COUNTIF(合同键,$D127)=0,"★《维保合同》里没这个项目",IF(N($G127)&lt;=0,"★收款金额要填",IF($H127="","★票据类型要选",IF(AND($L127&lt;&gt;"",COUNTIF(应收单号,$L127)=0),"★关联的应收单号不存在",IF(AND($L127&lt;&gt;"",IFERROR(INDEX(应收键,MATCH($L127,应收单号,0)),"")&lt;&gt;$D127),"★关联单号不是这个客户的",IF(AND($L127&lt;&gt;"",ROUND(SUMIF(收款关联,$L127,收款金额)-IFERROR(INDEX(应收金额,MATCH($L127,应收单号,0)),0),2)&gt;0.001),"★指定冲销超过那张单的应收","OK"))))))))</f>
        <v/>
      </c>
    </row>
    <row r="128" customFormat="false" ht="15" hidden="false" customHeight="false" outlineLevel="0" collapsed="false">
      <c r="A128" s="29" t="str">
        <f aca="false">IF($C128="","",ROW()-4)</f>
        <v/>
      </c>
      <c r="B128" s="35" t="str">
        <f aca="false">IF($C128="","","SK"&amp;TEXT($C128,"yyyymm")&amp;"-"&amp;TEXT(ROW()-4,"0000"))</f>
        <v/>
      </c>
      <c r="C128" s="33"/>
      <c r="D128" s="24"/>
      <c r="E128" s="30" t="str">
        <f aca="false">IF($D128="","",IFERROR(INDEX(合同单位,MATCH($D128,合同键,0)),IFERROR(TRIM(LEFT($D128,FIND("｜",$D128)-1)),$D128)))</f>
        <v/>
      </c>
      <c r="F128" s="30" t="str">
        <f aca="false">IF($D128="","",IFERROR(INDEX(合同项目,MATCH($D128,合同键,0)),IFERROR(TRIM(MID($D128,FIND("｜",$D128)+1,99)),"")))</f>
        <v/>
      </c>
      <c r="G128" s="39"/>
      <c r="H128" s="25"/>
      <c r="I128" s="35" t="str">
        <f aca="false">IF($H128="","",IFERROR(INDEX(票据归类表,MATCH($H128,票据类型表,0)),"现金无票"))</f>
        <v/>
      </c>
      <c r="J128" s="25"/>
      <c r="K128" s="25"/>
      <c r="L128" s="31"/>
      <c r="M128" s="29" t="str">
        <f aca="false">IF($C128="","",YEAR($C128))</f>
        <v/>
      </c>
      <c r="N128" s="24"/>
      <c r="O128" s="35" t="str">
        <f aca="false">IF($C128="","",IF($D128="","★没选客户项目",IF(COUNTIF(合同键,$D128)=0,"★《维保合同》里没这个项目",IF(N($G128)&lt;=0,"★收款金额要填",IF($H128="","★票据类型要选",IF(AND($L128&lt;&gt;"",COUNTIF(应收单号,$L128)=0),"★关联的应收单号不存在",IF(AND($L128&lt;&gt;"",IFERROR(INDEX(应收键,MATCH($L128,应收单号,0)),"")&lt;&gt;$D128),"★关联单号不是这个客户的",IF(AND($L128&lt;&gt;"",ROUND(SUMIF(收款关联,$L128,收款金额)-IFERROR(INDEX(应收金额,MATCH($L128,应收单号,0)),0),2)&gt;0.001),"★指定冲销超过那张单的应收","OK"))))))))</f>
        <v/>
      </c>
    </row>
    <row r="129" customFormat="false" ht="15" hidden="false" customHeight="false" outlineLevel="0" collapsed="false">
      <c r="A129" s="29" t="str">
        <f aca="false">IF($C129="","",ROW()-4)</f>
        <v/>
      </c>
      <c r="B129" s="35" t="str">
        <f aca="false">IF($C129="","","SK"&amp;TEXT($C129,"yyyymm")&amp;"-"&amp;TEXT(ROW()-4,"0000"))</f>
        <v/>
      </c>
      <c r="C129" s="33"/>
      <c r="D129" s="24"/>
      <c r="E129" s="30" t="str">
        <f aca="false">IF($D129="","",IFERROR(INDEX(合同单位,MATCH($D129,合同键,0)),IFERROR(TRIM(LEFT($D129,FIND("｜",$D129)-1)),$D129)))</f>
        <v/>
      </c>
      <c r="F129" s="30" t="str">
        <f aca="false">IF($D129="","",IFERROR(INDEX(合同项目,MATCH($D129,合同键,0)),IFERROR(TRIM(MID($D129,FIND("｜",$D129)+1,99)),"")))</f>
        <v/>
      </c>
      <c r="G129" s="39"/>
      <c r="H129" s="25"/>
      <c r="I129" s="35" t="str">
        <f aca="false">IF($H129="","",IFERROR(INDEX(票据归类表,MATCH($H129,票据类型表,0)),"现金无票"))</f>
        <v/>
      </c>
      <c r="J129" s="25"/>
      <c r="K129" s="25"/>
      <c r="L129" s="31"/>
      <c r="M129" s="29" t="str">
        <f aca="false">IF($C129="","",YEAR($C129))</f>
        <v/>
      </c>
      <c r="N129" s="24"/>
      <c r="O129" s="35" t="str">
        <f aca="false">IF($C129="","",IF($D129="","★没选客户项目",IF(COUNTIF(合同键,$D129)=0,"★《维保合同》里没这个项目",IF(N($G129)&lt;=0,"★收款金额要填",IF($H129="","★票据类型要选",IF(AND($L129&lt;&gt;"",COUNTIF(应收单号,$L129)=0),"★关联的应收单号不存在",IF(AND($L129&lt;&gt;"",IFERROR(INDEX(应收键,MATCH($L129,应收单号,0)),"")&lt;&gt;$D129),"★关联单号不是这个客户的",IF(AND($L129&lt;&gt;"",ROUND(SUMIF(收款关联,$L129,收款金额)-IFERROR(INDEX(应收金额,MATCH($L129,应收单号,0)),0),2)&gt;0.001),"★指定冲销超过那张单的应收","OK"))))))))</f>
        <v/>
      </c>
    </row>
    <row r="130" customFormat="false" ht="15" hidden="false" customHeight="false" outlineLevel="0" collapsed="false">
      <c r="A130" s="29" t="str">
        <f aca="false">IF($C130="","",ROW()-4)</f>
        <v/>
      </c>
      <c r="B130" s="35" t="str">
        <f aca="false">IF($C130="","","SK"&amp;TEXT($C130,"yyyymm")&amp;"-"&amp;TEXT(ROW()-4,"0000"))</f>
        <v/>
      </c>
      <c r="C130" s="33"/>
      <c r="D130" s="24"/>
      <c r="E130" s="30" t="str">
        <f aca="false">IF($D130="","",IFERROR(INDEX(合同单位,MATCH($D130,合同键,0)),IFERROR(TRIM(LEFT($D130,FIND("｜",$D130)-1)),$D130)))</f>
        <v/>
      </c>
      <c r="F130" s="30" t="str">
        <f aca="false">IF($D130="","",IFERROR(INDEX(合同项目,MATCH($D130,合同键,0)),IFERROR(TRIM(MID($D130,FIND("｜",$D130)+1,99)),"")))</f>
        <v/>
      </c>
      <c r="G130" s="39"/>
      <c r="H130" s="25"/>
      <c r="I130" s="35" t="str">
        <f aca="false">IF($H130="","",IFERROR(INDEX(票据归类表,MATCH($H130,票据类型表,0)),"现金无票"))</f>
        <v/>
      </c>
      <c r="J130" s="25"/>
      <c r="K130" s="25"/>
      <c r="L130" s="31"/>
      <c r="M130" s="29" t="str">
        <f aca="false">IF($C130="","",YEAR($C130))</f>
        <v/>
      </c>
      <c r="N130" s="24"/>
      <c r="O130" s="35" t="str">
        <f aca="false">IF($C130="","",IF($D130="","★没选客户项目",IF(COUNTIF(合同键,$D130)=0,"★《维保合同》里没这个项目",IF(N($G130)&lt;=0,"★收款金额要填",IF($H130="","★票据类型要选",IF(AND($L130&lt;&gt;"",COUNTIF(应收单号,$L130)=0),"★关联的应收单号不存在",IF(AND($L130&lt;&gt;"",IFERROR(INDEX(应收键,MATCH($L130,应收单号,0)),"")&lt;&gt;$D130),"★关联单号不是这个客户的",IF(AND($L130&lt;&gt;"",ROUND(SUMIF(收款关联,$L130,收款金额)-IFERROR(INDEX(应收金额,MATCH($L130,应收单号,0)),0),2)&gt;0.001),"★指定冲销超过那张单的应收","OK"))))))))</f>
        <v/>
      </c>
    </row>
    <row r="131" customFormat="false" ht="15" hidden="false" customHeight="false" outlineLevel="0" collapsed="false">
      <c r="A131" s="29" t="str">
        <f aca="false">IF($C131="","",ROW()-4)</f>
        <v/>
      </c>
      <c r="B131" s="35" t="str">
        <f aca="false">IF($C131="","","SK"&amp;TEXT($C131,"yyyymm")&amp;"-"&amp;TEXT(ROW()-4,"0000"))</f>
        <v/>
      </c>
      <c r="C131" s="33"/>
      <c r="D131" s="24"/>
      <c r="E131" s="30" t="str">
        <f aca="false">IF($D131="","",IFERROR(INDEX(合同单位,MATCH($D131,合同键,0)),IFERROR(TRIM(LEFT($D131,FIND("｜",$D131)-1)),$D131)))</f>
        <v/>
      </c>
      <c r="F131" s="30" t="str">
        <f aca="false">IF($D131="","",IFERROR(INDEX(合同项目,MATCH($D131,合同键,0)),IFERROR(TRIM(MID($D131,FIND("｜",$D131)+1,99)),"")))</f>
        <v/>
      </c>
      <c r="G131" s="39"/>
      <c r="H131" s="25"/>
      <c r="I131" s="35" t="str">
        <f aca="false">IF($H131="","",IFERROR(INDEX(票据归类表,MATCH($H131,票据类型表,0)),"现金无票"))</f>
        <v/>
      </c>
      <c r="J131" s="25"/>
      <c r="K131" s="25"/>
      <c r="L131" s="31"/>
      <c r="M131" s="29" t="str">
        <f aca="false">IF($C131="","",YEAR($C131))</f>
        <v/>
      </c>
      <c r="N131" s="24"/>
      <c r="O131" s="35" t="str">
        <f aca="false">IF($C131="","",IF($D131="","★没选客户项目",IF(COUNTIF(合同键,$D131)=0,"★《维保合同》里没这个项目",IF(N($G131)&lt;=0,"★收款金额要填",IF($H131="","★票据类型要选",IF(AND($L131&lt;&gt;"",COUNTIF(应收单号,$L131)=0),"★关联的应收单号不存在",IF(AND($L131&lt;&gt;"",IFERROR(INDEX(应收键,MATCH($L131,应收单号,0)),"")&lt;&gt;$D131),"★关联单号不是这个客户的",IF(AND($L131&lt;&gt;"",ROUND(SUMIF(收款关联,$L131,收款金额)-IFERROR(INDEX(应收金额,MATCH($L131,应收单号,0)),0),2)&gt;0.001),"★指定冲销超过那张单的应收","OK"))))))))</f>
        <v/>
      </c>
    </row>
    <row r="132" customFormat="false" ht="15" hidden="false" customHeight="false" outlineLevel="0" collapsed="false">
      <c r="A132" s="29" t="str">
        <f aca="false">IF($C132="","",ROW()-4)</f>
        <v/>
      </c>
      <c r="B132" s="35" t="str">
        <f aca="false">IF($C132="","","SK"&amp;TEXT($C132,"yyyymm")&amp;"-"&amp;TEXT(ROW()-4,"0000"))</f>
        <v/>
      </c>
      <c r="C132" s="33"/>
      <c r="D132" s="24"/>
      <c r="E132" s="30" t="str">
        <f aca="false">IF($D132="","",IFERROR(INDEX(合同单位,MATCH($D132,合同键,0)),IFERROR(TRIM(LEFT($D132,FIND("｜",$D132)-1)),$D132)))</f>
        <v/>
      </c>
      <c r="F132" s="30" t="str">
        <f aca="false">IF($D132="","",IFERROR(INDEX(合同项目,MATCH($D132,合同键,0)),IFERROR(TRIM(MID($D132,FIND("｜",$D132)+1,99)),"")))</f>
        <v/>
      </c>
      <c r="G132" s="39"/>
      <c r="H132" s="25"/>
      <c r="I132" s="35" t="str">
        <f aca="false">IF($H132="","",IFERROR(INDEX(票据归类表,MATCH($H132,票据类型表,0)),"现金无票"))</f>
        <v/>
      </c>
      <c r="J132" s="25"/>
      <c r="K132" s="25"/>
      <c r="L132" s="31"/>
      <c r="M132" s="29" t="str">
        <f aca="false">IF($C132="","",YEAR($C132))</f>
        <v/>
      </c>
      <c r="N132" s="24"/>
      <c r="O132" s="35" t="str">
        <f aca="false">IF($C132="","",IF($D132="","★没选客户项目",IF(COUNTIF(合同键,$D132)=0,"★《维保合同》里没这个项目",IF(N($G132)&lt;=0,"★收款金额要填",IF($H132="","★票据类型要选",IF(AND($L132&lt;&gt;"",COUNTIF(应收单号,$L132)=0),"★关联的应收单号不存在",IF(AND($L132&lt;&gt;"",IFERROR(INDEX(应收键,MATCH($L132,应收单号,0)),"")&lt;&gt;$D132),"★关联单号不是这个客户的",IF(AND($L132&lt;&gt;"",ROUND(SUMIF(收款关联,$L132,收款金额)-IFERROR(INDEX(应收金额,MATCH($L132,应收单号,0)),0),2)&gt;0.001),"★指定冲销超过那张单的应收","OK"))))))))</f>
        <v/>
      </c>
    </row>
    <row r="133" customFormat="false" ht="15" hidden="false" customHeight="false" outlineLevel="0" collapsed="false">
      <c r="A133" s="29" t="str">
        <f aca="false">IF($C133="","",ROW()-4)</f>
        <v/>
      </c>
      <c r="B133" s="35" t="str">
        <f aca="false">IF($C133="","","SK"&amp;TEXT($C133,"yyyymm")&amp;"-"&amp;TEXT(ROW()-4,"0000"))</f>
        <v/>
      </c>
      <c r="C133" s="33"/>
      <c r="D133" s="24"/>
      <c r="E133" s="30" t="str">
        <f aca="false">IF($D133="","",IFERROR(INDEX(合同单位,MATCH($D133,合同键,0)),IFERROR(TRIM(LEFT($D133,FIND("｜",$D133)-1)),$D133)))</f>
        <v/>
      </c>
      <c r="F133" s="30" t="str">
        <f aca="false">IF($D133="","",IFERROR(INDEX(合同项目,MATCH($D133,合同键,0)),IFERROR(TRIM(MID($D133,FIND("｜",$D133)+1,99)),"")))</f>
        <v/>
      </c>
      <c r="G133" s="39"/>
      <c r="H133" s="25"/>
      <c r="I133" s="35" t="str">
        <f aca="false">IF($H133="","",IFERROR(INDEX(票据归类表,MATCH($H133,票据类型表,0)),"现金无票"))</f>
        <v/>
      </c>
      <c r="J133" s="25"/>
      <c r="K133" s="25"/>
      <c r="L133" s="31"/>
      <c r="M133" s="29" t="str">
        <f aca="false">IF($C133="","",YEAR($C133))</f>
        <v/>
      </c>
      <c r="N133" s="24"/>
      <c r="O133" s="35" t="str">
        <f aca="false">IF($C133="","",IF($D133="","★没选客户项目",IF(COUNTIF(合同键,$D133)=0,"★《维保合同》里没这个项目",IF(N($G133)&lt;=0,"★收款金额要填",IF($H133="","★票据类型要选",IF(AND($L133&lt;&gt;"",COUNTIF(应收单号,$L133)=0),"★关联的应收单号不存在",IF(AND($L133&lt;&gt;"",IFERROR(INDEX(应收键,MATCH($L133,应收单号,0)),"")&lt;&gt;$D133),"★关联单号不是这个客户的",IF(AND($L133&lt;&gt;"",ROUND(SUMIF(收款关联,$L133,收款金额)-IFERROR(INDEX(应收金额,MATCH($L133,应收单号,0)),0),2)&gt;0.001),"★指定冲销超过那张单的应收","OK"))))))))</f>
        <v/>
      </c>
    </row>
    <row r="134" customFormat="false" ht="15" hidden="false" customHeight="false" outlineLevel="0" collapsed="false">
      <c r="A134" s="29" t="str">
        <f aca="false">IF($C134="","",ROW()-4)</f>
        <v/>
      </c>
      <c r="B134" s="35" t="str">
        <f aca="false">IF($C134="","","SK"&amp;TEXT($C134,"yyyymm")&amp;"-"&amp;TEXT(ROW()-4,"0000"))</f>
        <v/>
      </c>
      <c r="C134" s="33"/>
      <c r="D134" s="24"/>
      <c r="E134" s="30" t="str">
        <f aca="false">IF($D134="","",IFERROR(INDEX(合同单位,MATCH($D134,合同键,0)),IFERROR(TRIM(LEFT($D134,FIND("｜",$D134)-1)),$D134)))</f>
        <v/>
      </c>
      <c r="F134" s="30" t="str">
        <f aca="false">IF($D134="","",IFERROR(INDEX(合同项目,MATCH($D134,合同键,0)),IFERROR(TRIM(MID($D134,FIND("｜",$D134)+1,99)),"")))</f>
        <v/>
      </c>
      <c r="G134" s="39"/>
      <c r="H134" s="25"/>
      <c r="I134" s="35" t="str">
        <f aca="false">IF($H134="","",IFERROR(INDEX(票据归类表,MATCH($H134,票据类型表,0)),"现金无票"))</f>
        <v/>
      </c>
      <c r="J134" s="25"/>
      <c r="K134" s="25"/>
      <c r="L134" s="31"/>
      <c r="M134" s="29" t="str">
        <f aca="false">IF($C134="","",YEAR($C134))</f>
        <v/>
      </c>
      <c r="N134" s="24"/>
      <c r="O134" s="35" t="str">
        <f aca="false">IF($C134="","",IF($D134="","★没选客户项目",IF(COUNTIF(合同键,$D134)=0,"★《维保合同》里没这个项目",IF(N($G134)&lt;=0,"★收款金额要填",IF($H134="","★票据类型要选",IF(AND($L134&lt;&gt;"",COUNTIF(应收单号,$L134)=0),"★关联的应收单号不存在",IF(AND($L134&lt;&gt;"",IFERROR(INDEX(应收键,MATCH($L134,应收单号,0)),"")&lt;&gt;$D134),"★关联单号不是这个客户的",IF(AND($L134&lt;&gt;"",ROUND(SUMIF(收款关联,$L134,收款金额)-IFERROR(INDEX(应收金额,MATCH($L134,应收单号,0)),0),2)&gt;0.001),"★指定冲销超过那张单的应收","OK"))))))))</f>
        <v/>
      </c>
    </row>
    <row r="135" customFormat="false" ht="15" hidden="false" customHeight="false" outlineLevel="0" collapsed="false">
      <c r="A135" s="29" t="str">
        <f aca="false">IF($C135="","",ROW()-4)</f>
        <v/>
      </c>
      <c r="B135" s="35" t="str">
        <f aca="false">IF($C135="","","SK"&amp;TEXT($C135,"yyyymm")&amp;"-"&amp;TEXT(ROW()-4,"0000"))</f>
        <v/>
      </c>
      <c r="C135" s="33"/>
      <c r="D135" s="24"/>
      <c r="E135" s="30" t="str">
        <f aca="false">IF($D135="","",IFERROR(INDEX(合同单位,MATCH($D135,合同键,0)),IFERROR(TRIM(LEFT($D135,FIND("｜",$D135)-1)),$D135)))</f>
        <v/>
      </c>
      <c r="F135" s="30" t="str">
        <f aca="false">IF($D135="","",IFERROR(INDEX(合同项目,MATCH($D135,合同键,0)),IFERROR(TRIM(MID($D135,FIND("｜",$D135)+1,99)),"")))</f>
        <v/>
      </c>
      <c r="G135" s="39"/>
      <c r="H135" s="25"/>
      <c r="I135" s="35" t="str">
        <f aca="false">IF($H135="","",IFERROR(INDEX(票据归类表,MATCH($H135,票据类型表,0)),"现金无票"))</f>
        <v/>
      </c>
      <c r="J135" s="25"/>
      <c r="K135" s="25"/>
      <c r="L135" s="31"/>
      <c r="M135" s="29" t="str">
        <f aca="false">IF($C135="","",YEAR($C135))</f>
        <v/>
      </c>
      <c r="N135" s="24"/>
      <c r="O135" s="35" t="str">
        <f aca="false">IF($C135="","",IF($D135="","★没选客户项目",IF(COUNTIF(合同键,$D135)=0,"★《维保合同》里没这个项目",IF(N($G135)&lt;=0,"★收款金额要填",IF($H135="","★票据类型要选",IF(AND($L135&lt;&gt;"",COUNTIF(应收单号,$L135)=0),"★关联的应收单号不存在",IF(AND($L135&lt;&gt;"",IFERROR(INDEX(应收键,MATCH($L135,应收单号,0)),"")&lt;&gt;$D135),"★关联单号不是这个客户的",IF(AND($L135&lt;&gt;"",ROUND(SUMIF(收款关联,$L135,收款金额)-IFERROR(INDEX(应收金额,MATCH($L135,应收单号,0)),0),2)&gt;0.001),"★指定冲销超过那张单的应收","OK"))))))))</f>
        <v/>
      </c>
    </row>
    <row r="136" customFormat="false" ht="15" hidden="false" customHeight="false" outlineLevel="0" collapsed="false">
      <c r="A136" s="29" t="str">
        <f aca="false">IF($C136="","",ROW()-4)</f>
        <v/>
      </c>
      <c r="B136" s="35" t="str">
        <f aca="false">IF($C136="","","SK"&amp;TEXT($C136,"yyyymm")&amp;"-"&amp;TEXT(ROW()-4,"0000"))</f>
        <v/>
      </c>
      <c r="C136" s="33"/>
      <c r="D136" s="24"/>
      <c r="E136" s="30" t="str">
        <f aca="false">IF($D136="","",IFERROR(INDEX(合同单位,MATCH($D136,合同键,0)),IFERROR(TRIM(LEFT($D136,FIND("｜",$D136)-1)),$D136)))</f>
        <v/>
      </c>
      <c r="F136" s="30" t="str">
        <f aca="false">IF($D136="","",IFERROR(INDEX(合同项目,MATCH($D136,合同键,0)),IFERROR(TRIM(MID($D136,FIND("｜",$D136)+1,99)),"")))</f>
        <v/>
      </c>
      <c r="G136" s="39"/>
      <c r="H136" s="25"/>
      <c r="I136" s="35" t="str">
        <f aca="false">IF($H136="","",IFERROR(INDEX(票据归类表,MATCH($H136,票据类型表,0)),"现金无票"))</f>
        <v/>
      </c>
      <c r="J136" s="25"/>
      <c r="K136" s="25"/>
      <c r="L136" s="31"/>
      <c r="M136" s="29" t="str">
        <f aca="false">IF($C136="","",YEAR($C136))</f>
        <v/>
      </c>
      <c r="N136" s="24"/>
      <c r="O136" s="35" t="str">
        <f aca="false">IF($C136="","",IF($D136="","★没选客户项目",IF(COUNTIF(合同键,$D136)=0,"★《维保合同》里没这个项目",IF(N($G136)&lt;=0,"★收款金额要填",IF($H136="","★票据类型要选",IF(AND($L136&lt;&gt;"",COUNTIF(应收单号,$L136)=0),"★关联的应收单号不存在",IF(AND($L136&lt;&gt;"",IFERROR(INDEX(应收键,MATCH($L136,应收单号,0)),"")&lt;&gt;$D136),"★关联单号不是这个客户的",IF(AND($L136&lt;&gt;"",ROUND(SUMIF(收款关联,$L136,收款金额)-IFERROR(INDEX(应收金额,MATCH($L136,应收单号,0)),0),2)&gt;0.001),"★指定冲销超过那张单的应收","OK"))))))))</f>
        <v/>
      </c>
    </row>
    <row r="137" customFormat="false" ht="15" hidden="false" customHeight="false" outlineLevel="0" collapsed="false">
      <c r="A137" s="29" t="str">
        <f aca="false">IF($C137="","",ROW()-4)</f>
        <v/>
      </c>
      <c r="B137" s="35" t="str">
        <f aca="false">IF($C137="","","SK"&amp;TEXT($C137,"yyyymm")&amp;"-"&amp;TEXT(ROW()-4,"0000"))</f>
        <v/>
      </c>
      <c r="C137" s="33"/>
      <c r="D137" s="24"/>
      <c r="E137" s="30" t="str">
        <f aca="false">IF($D137="","",IFERROR(INDEX(合同单位,MATCH($D137,合同键,0)),IFERROR(TRIM(LEFT($D137,FIND("｜",$D137)-1)),$D137)))</f>
        <v/>
      </c>
      <c r="F137" s="30" t="str">
        <f aca="false">IF($D137="","",IFERROR(INDEX(合同项目,MATCH($D137,合同键,0)),IFERROR(TRIM(MID($D137,FIND("｜",$D137)+1,99)),"")))</f>
        <v/>
      </c>
      <c r="G137" s="39"/>
      <c r="H137" s="25"/>
      <c r="I137" s="35" t="str">
        <f aca="false">IF($H137="","",IFERROR(INDEX(票据归类表,MATCH($H137,票据类型表,0)),"现金无票"))</f>
        <v/>
      </c>
      <c r="J137" s="25"/>
      <c r="K137" s="25"/>
      <c r="L137" s="31"/>
      <c r="M137" s="29" t="str">
        <f aca="false">IF($C137="","",YEAR($C137))</f>
        <v/>
      </c>
      <c r="N137" s="24"/>
      <c r="O137" s="35" t="str">
        <f aca="false">IF($C137="","",IF($D137="","★没选客户项目",IF(COUNTIF(合同键,$D137)=0,"★《维保合同》里没这个项目",IF(N($G137)&lt;=0,"★收款金额要填",IF($H137="","★票据类型要选",IF(AND($L137&lt;&gt;"",COUNTIF(应收单号,$L137)=0),"★关联的应收单号不存在",IF(AND($L137&lt;&gt;"",IFERROR(INDEX(应收键,MATCH($L137,应收单号,0)),"")&lt;&gt;$D137),"★关联单号不是这个客户的",IF(AND($L137&lt;&gt;"",ROUND(SUMIF(收款关联,$L137,收款金额)-IFERROR(INDEX(应收金额,MATCH($L137,应收单号,0)),0),2)&gt;0.001),"★指定冲销超过那张单的应收","OK"))))))))</f>
        <v/>
      </c>
    </row>
    <row r="138" customFormat="false" ht="15" hidden="false" customHeight="false" outlineLevel="0" collapsed="false">
      <c r="A138" s="29" t="str">
        <f aca="false">IF($C138="","",ROW()-4)</f>
        <v/>
      </c>
      <c r="B138" s="35" t="str">
        <f aca="false">IF($C138="","","SK"&amp;TEXT($C138,"yyyymm")&amp;"-"&amp;TEXT(ROW()-4,"0000"))</f>
        <v/>
      </c>
      <c r="C138" s="33"/>
      <c r="D138" s="24"/>
      <c r="E138" s="30" t="str">
        <f aca="false">IF($D138="","",IFERROR(INDEX(合同单位,MATCH($D138,合同键,0)),IFERROR(TRIM(LEFT($D138,FIND("｜",$D138)-1)),$D138)))</f>
        <v/>
      </c>
      <c r="F138" s="30" t="str">
        <f aca="false">IF($D138="","",IFERROR(INDEX(合同项目,MATCH($D138,合同键,0)),IFERROR(TRIM(MID($D138,FIND("｜",$D138)+1,99)),"")))</f>
        <v/>
      </c>
      <c r="G138" s="39"/>
      <c r="H138" s="25"/>
      <c r="I138" s="35" t="str">
        <f aca="false">IF($H138="","",IFERROR(INDEX(票据归类表,MATCH($H138,票据类型表,0)),"现金无票"))</f>
        <v/>
      </c>
      <c r="J138" s="25"/>
      <c r="K138" s="25"/>
      <c r="L138" s="31"/>
      <c r="M138" s="29" t="str">
        <f aca="false">IF($C138="","",YEAR($C138))</f>
        <v/>
      </c>
      <c r="N138" s="24"/>
      <c r="O138" s="35" t="str">
        <f aca="false">IF($C138="","",IF($D138="","★没选客户项目",IF(COUNTIF(合同键,$D138)=0,"★《维保合同》里没这个项目",IF(N($G138)&lt;=0,"★收款金额要填",IF($H138="","★票据类型要选",IF(AND($L138&lt;&gt;"",COUNTIF(应收单号,$L138)=0),"★关联的应收单号不存在",IF(AND($L138&lt;&gt;"",IFERROR(INDEX(应收键,MATCH($L138,应收单号,0)),"")&lt;&gt;$D138),"★关联单号不是这个客户的",IF(AND($L138&lt;&gt;"",ROUND(SUMIF(收款关联,$L138,收款金额)-IFERROR(INDEX(应收金额,MATCH($L138,应收单号,0)),0),2)&gt;0.001),"★指定冲销超过那张单的应收","OK"))))))))</f>
        <v/>
      </c>
    </row>
    <row r="139" customFormat="false" ht="15" hidden="false" customHeight="false" outlineLevel="0" collapsed="false">
      <c r="A139" s="29" t="str">
        <f aca="false">IF($C139="","",ROW()-4)</f>
        <v/>
      </c>
      <c r="B139" s="35" t="str">
        <f aca="false">IF($C139="","","SK"&amp;TEXT($C139,"yyyymm")&amp;"-"&amp;TEXT(ROW()-4,"0000"))</f>
        <v/>
      </c>
      <c r="C139" s="33"/>
      <c r="D139" s="24"/>
      <c r="E139" s="30" t="str">
        <f aca="false">IF($D139="","",IFERROR(INDEX(合同单位,MATCH($D139,合同键,0)),IFERROR(TRIM(LEFT($D139,FIND("｜",$D139)-1)),$D139)))</f>
        <v/>
      </c>
      <c r="F139" s="30" t="str">
        <f aca="false">IF($D139="","",IFERROR(INDEX(合同项目,MATCH($D139,合同键,0)),IFERROR(TRIM(MID($D139,FIND("｜",$D139)+1,99)),"")))</f>
        <v/>
      </c>
      <c r="G139" s="39"/>
      <c r="H139" s="25"/>
      <c r="I139" s="35" t="str">
        <f aca="false">IF($H139="","",IFERROR(INDEX(票据归类表,MATCH($H139,票据类型表,0)),"现金无票"))</f>
        <v/>
      </c>
      <c r="J139" s="25"/>
      <c r="K139" s="25"/>
      <c r="L139" s="31"/>
      <c r="M139" s="29" t="str">
        <f aca="false">IF($C139="","",YEAR($C139))</f>
        <v/>
      </c>
      <c r="N139" s="24"/>
      <c r="O139" s="35" t="str">
        <f aca="false">IF($C139="","",IF($D139="","★没选客户项目",IF(COUNTIF(合同键,$D139)=0,"★《维保合同》里没这个项目",IF(N($G139)&lt;=0,"★收款金额要填",IF($H139="","★票据类型要选",IF(AND($L139&lt;&gt;"",COUNTIF(应收单号,$L139)=0),"★关联的应收单号不存在",IF(AND($L139&lt;&gt;"",IFERROR(INDEX(应收键,MATCH($L139,应收单号,0)),"")&lt;&gt;$D139),"★关联单号不是这个客户的",IF(AND($L139&lt;&gt;"",ROUND(SUMIF(收款关联,$L139,收款金额)-IFERROR(INDEX(应收金额,MATCH($L139,应收单号,0)),0),2)&gt;0.001),"★指定冲销超过那张单的应收","OK"))))))))</f>
        <v/>
      </c>
    </row>
    <row r="140" customFormat="false" ht="15" hidden="false" customHeight="false" outlineLevel="0" collapsed="false">
      <c r="A140" s="29" t="str">
        <f aca="false">IF($C140="","",ROW()-4)</f>
        <v/>
      </c>
      <c r="B140" s="35" t="str">
        <f aca="false">IF($C140="","","SK"&amp;TEXT($C140,"yyyymm")&amp;"-"&amp;TEXT(ROW()-4,"0000"))</f>
        <v/>
      </c>
      <c r="C140" s="33"/>
      <c r="D140" s="24"/>
      <c r="E140" s="30" t="str">
        <f aca="false">IF($D140="","",IFERROR(INDEX(合同单位,MATCH($D140,合同键,0)),IFERROR(TRIM(LEFT($D140,FIND("｜",$D140)-1)),$D140)))</f>
        <v/>
      </c>
      <c r="F140" s="30" t="str">
        <f aca="false">IF($D140="","",IFERROR(INDEX(合同项目,MATCH($D140,合同键,0)),IFERROR(TRIM(MID($D140,FIND("｜",$D140)+1,99)),"")))</f>
        <v/>
      </c>
      <c r="G140" s="39"/>
      <c r="H140" s="25"/>
      <c r="I140" s="35" t="str">
        <f aca="false">IF($H140="","",IFERROR(INDEX(票据归类表,MATCH($H140,票据类型表,0)),"现金无票"))</f>
        <v/>
      </c>
      <c r="J140" s="25"/>
      <c r="K140" s="25"/>
      <c r="L140" s="31"/>
      <c r="M140" s="29" t="str">
        <f aca="false">IF($C140="","",YEAR($C140))</f>
        <v/>
      </c>
      <c r="N140" s="24"/>
      <c r="O140" s="35" t="str">
        <f aca="false">IF($C140="","",IF($D140="","★没选客户项目",IF(COUNTIF(合同键,$D140)=0,"★《维保合同》里没这个项目",IF(N($G140)&lt;=0,"★收款金额要填",IF($H140="","★票据类型要选",IF(AND($L140&lt;&gt;"",COUNTIF(应收单号,$L140)=0),"★关联的应收单号不存在",IF(AND($L140&lt;&gt;"",IFERROR(INDEX(应收键,MATCH($L140,应收单号,0)),"")&lt;&gt;$D140),"★关联单号不是这个客户的",IF(AND($L140&lt;&gt;"",ROUND(SUMIF(收款关联,$L140,收款金额)-IFERROR(INDEX(应收金额,MATCH($L140,应收单号,0)),0),2)&gt;0.001),"★指定冲销超过那张单的应收","OK"))))))))</f>
        <v/>
      </c>
    </row>
    <row r="141" customFormat="false" ht="15" hidden="false" customHeight="false" outlineLevel="0" collapsed="false">
      <c r="A141" s="29" t="str">
        <f aca="false">IF($C141="","",ROW()-4)</f>
        <v/>
      </c>
      <c r="B141" s="35" t="str">
        <f aca="false">IF($C141="","","SK"&amp;TEXT($C141,"yyyymm")&amp;"-"&amp;TEXT(ROW()-4,"0000"))</f>
        <v/>
      </c>
      <c r="C141" s="33"/>
      <c r="D141" s="24"/>
      <c r="E141" s="30" t="str">
        <f aca="false">IF($D141="","",IFERROR(INDEX(合同单位,MATCH($D141,合同键,0)),IFERROR(TRIM(LEFT($D141,FIND("｜",$D141)-1)),$D141)))</f>
        <v/>
      </c>
      <c r="F141" s="30" t="str">
        <f aca="false">IF($D141="","",IFERROR(INDEX(合同项目,MATCH($D141,合同键,0)),IFERROR(TRIM(MID($D141,FIND("｜",$D141)+1,99)),"")))</f>
        <v/>
      </c>
      <c r="G141" s="39"/>
      <c r="H141" s="25"/>
      <c r="I141" s="35" t="str">
        <f aca="false">IF($H141="","",IFERROR(INDEX(票据归类表,MATCH($H141,票据类型表,0)),"现金无票"))</f>
        <v/>
      </c>
      <c r="J141" s="25"/>
      <c r="K141" s="25"/>
      <c r="L141" s="31"/>
      <c r="M141" s="29" t="str">
        <f aca="false">IF($C141="","",YEAR($C141))</f>
        <v/>
      </c>
      <c r="N141" s="24"/>
      <c r="O141" s="35" t="str">
        <f aca="false">IF($C141="","",IF($D141="","★没选客户项目",IF(COUNTIF(合同键,$D141)=0,"★《维保合同》里没这个项目",IF(N($G141)&lt;=0,"★收款金额要填",IF($H141="","★票据类型要选",IF(AND($L141&lt;&gt;"",COUNTIF(应收单号,$L141)=0),"★关联的应收单号不存在",IF(AND($L141&lt;&gt;"",IFERROR(INDEX(应收键,MATCH($L141,应收单号,0)),"")&lt;&gt;$D141),"★关联单号不是这个客户的",IF(AND($L141&lt;&gt;"",ROUND(SUMIF(收款关联,$L141,收款金额)-IFERROR(INDEX(应收金额,MATCH($L141,应收单号,0)),0),2)&gt;0.001),"★指定冲销超过那张单的应收","OK"))))))))</f>
        <v/>
      </c>
    </row>
    <row r="142" customFormat="false" ht="15" hidden="false" customHeight="false" outlineLevel="0" collapsed="false">
      <c r="A142" s="29" t="str">
        <f aca="false">IF($C142="","",ROW()-4)</f>
        <v/>
      </c>
      <c r="B142" s="35" t="str">
        <f aca="false">IF($C142="","","SK"&amp;TEXT($C142,"yyyymm")&amp;"-"&amp;TEXT(ROW()-4,"0000"))</f>
        <v/>
      </c>
      <c r="C142" s="33"/>
      <c r="D142" s="24"/>
      <c r="E142" s="30" t="str">
        <f aca="false">IF($D142="","",IFERROR(INDEX(合同单位,MATCH($D142,合同键,0)),IFERROR(TRIM(LEFT($D142,FIND("｜",$D142)-1)),$D142)))</f>
        <v/>
      </c>
      <c r="F142" s="30" t="str">
        <f aca="false">IF($D142="","",IFERROR(INDEX(合同项目,MATCH($D142,合同键,0)),IFERROR(TRIM(MID($D142,FIND("｜",$D142)+1,99)),"")))</f>
        <v/>
      </c>
      <c r="G142" s="39"/>
      <c r="H142" s="25"/>
      <c r="I142" s="35" t="str">
        <f aca="false">IF($H142="","",IFERROR(INDEX(票据归类表,MATCH($H142,票据类型表,0)),"现金无票"))</f>
        <v/>
      </c>
      <c r="J142" s="25"/>
      <c r="K142" s="25"/>
      <c r="L142" s="31"/>
      <c r="M142" s="29" t="str">
        <f aca="false">IF($C142="","",YEAR($C142))</f>
        <v/>
      </c>
      <c r="N142" s="24"/>
      <c r="O142" s="35" t="str">
        <f aca="false">IF($C142="","",IF($D142="","★没选客户项目",IF(COUNTIF(合同键,$D142)=0,"★《维保合同》里没这个项目",IF(N($G142)&lt;=0,"★收款金额要填",IF($H142="","★票据类型要选",IF(AND($L142&lt;&gt;"",COUNTIF(应收单号,$L142)=0),"★关联的应收单号不存在",IF(AND($L142&lt;&gt;"",IFERROR(INDEX(应收键,MATCH($L142,应收单号,0)),"")&lt;&gt;$D142),"★关联单号不是这个客户的",IF(AND($L142&lt;&gt;"",ROUND(SUMIF(收款关联,$L142,收款金额)-IFERROR(INDEX(应收金额,MATCH($L142,应收单号,0)),0),2)&gt;0.001),"★指定冲销超过那张单的应收","OK"))))))))</f>
        <v/>
      </c>
    </row>
    <row r="143" customFormat="false" ht="15" hidden="false" customHeight="false" outlineLevel="0" collapsed="false">
      <c r="A143" s="29" t="str">
        <f aca="false">IF($C143="","",ROW()-4)</f>
        <v/>
      </c>
      <c r="B143" s="35" t="str">
        <f aca="false">IF($C143="","","SK"&amp;TEXT($C143,"yyyymm")&amp;"-"&amp;TEXT(ROW()-4,"0000"))</f>
        <v/>
      </c>
      <c r="C143" s="33"/>
      <c r="D143" s="24"/>
      <c r="E143" s="30" t="str">
        <f aca="false">IF($D143="","",IFERROR(INDEX(合同单位,MATCH($D143,合同键,0)),IFERROR(TRIM(LEFT($D143,FIND("｜",$D143)-1)),$D143)))</f>
        <v/>
      </c>
      <c r="F143" s="30" t="str">
        <f aca="false">IF($D143="","",IFERROR(INDEX(合同项目,MATCH($D143,合同键,0)),IFERROR(TRIM(MID($D143,FIND("｜",$D143)+1,99)),"")))</f>
        <v/>
      </c>
      <c r="G143" s="39"/>
      <c r="H143" s="25"/>
      <c r="I143" s="35" t="str">
        <f aca="false">IF($H143="","",IFERROR(INDEX(票据归类表,MATCH($H143,票据类型表,0)),"现金无票"))</f>
        <v/>
      </c>
      <c r="J143" s="25"/>
      <c r="K143" s="25"/>
      <c r="L143" s="31"/>
      <c r="M143" s="29" t="str">
        <f aca="false">IF($C143="","",YEAR($C143))</f>
        <v/>
      </c>
      <c r="N143" s="24"/>
      <c r="O143" s="35" t="str">
        <f aca="false">IF($C143="","",IF($D143="","★没选客户项目",IF(COUNTIF(合同键,$D143)=0,"★《维保合同》里没这个项目",IF(N($G143)&lt;=0,"★收款金额要填",IF($H143="","★票据类型要选",IF(AND($L143&lt;&gt;"",COUNTIF(应收单号,$L143)=0),"★关联的应收单号不存在",IF(AND($L143&lt;&gt;"",IFERROR(INDEX(应收键,MATCH($L143,应收单号,0)),"")&lt;&gt;$D143),"★关联单号不是这个客户的",IF(AND($L143&lt;&gt;"",ROUND(SUMIF(收款关联,$L143,收款金额)-IFERROR(INDEX(应收金额,MATCH($L143,应收单号,0)),0),2)&gt;0.001),"★指定冲销超过那张单的应收","OK"))))))))</f>
        <v/>
      </c>
    </row>
    <row r="144" customFormat="false" ht="15" hidden="false" customHeight="false" outlineLevel="0" collapsed="false">
      <c r="A144" s="29" t="str">
        <f aca="false">IF($C144="","",ROW()-4)</f>
        <v/>
      </c>
      <c r="B144" s="35" t="str">
        <f aca="false">IF($C144="","","SK"&amp;TEXT($C144,"yyyymm")&amp;"-"&amp;TEXT(ROW()-4,"0000"))</f>
        <v/>
      </c>
      <c r="C144" s="33"/>
      <c r="D144" s="24"/>
      <c r="E144" s="30" t="str">
        <f aca="false">IF($D144="","",IFERROR(INDEX(合同单位,MATCH($D144,合同键,0)),IFERROR(TRIM(LEFT($D144,FIND("｜",$D144)-1)),$D144)))</f>
        <v/>
      </c>
      <c r="F144" s="30" t="str">
        <f aca="false">IF($D144="","",IFERROR(INDEX(合同项目,MATCH($D144,合同键,0)),IFERROR(TRIM(MID($D144,FIND("｜",$D144)+1,99)),"")))</f>
        <v/>
      </c>
      <c r="G144" s="39"/>
      <c r="H144" s="25"/>
      <c r="I144" s="35" t="str">
        <f aca="false">IF($H144="","",IFERROR(INDEX(票据归类表,MATCH($H144,票据类型表,0)),"现金无票"))</f>
        <v/>
      </c>
      <c r="J144" s="25"/>
      <c r="K144" s="25"/>
      <c r="L144" s="31"/>
      <c r="M144" s="29" t="str">
        <f aca="false">IF($C144="","",YEAR($C144))</f>
        <v/>
      </c>
      <c r="N144" s="24"/>
      <c r="O144" s="35" t="str">
        <f aca="false">IF($C144="","",IF($D144="","★没选客户项目",IF(COUNTIF(合同键,$D144)=0,"★《维保合同》里没这个项目",IF(N($G144)&lt;=0,"★收款金额要填",IF($H144="","★票据类型要选",IF(AND($L144&lt;&gt;"",COUNTIF(应收单号,$L144)=0),"★关联的应收单号不存在",IF(AND($L144&lt;&gt;"",IFERROR(INDEX(应收键,MATCH($L144,应收单号,0)),"")&lt;&gt;$D144),"★关联单号不是这个客户的",IF(AND($L144&lt;&gt;"",ROUND(SUMIF(收款关联,$L144,收款金额)-IFERROR(INDEX(应收金额,MATCH($L144,应收单号,0)),0),2)&gt;0.001),"★指定冲销超过那张单的应收","OK"))))))))</f>
        <v/>
      </c>
    </row>
    <row r="145" customFormat="false" ht="15" hidden="false" customHeight="false" outlineLevel="0" collapsed="false">
      <c r="A145" s="29" t="str">
        <f aca="false">IF($C145="","",ROW()-4)</f>
        <v/>
      </c>
      <c r="B145" s="35" t="str">
        <f aca="false">IF($C145="","","SK"&amp;TEXT($C145,"yyyymm")&amp;"-"&amp;TEXT(ROW()-4,"0000"))</f>
        <v/>
      </c>
      <c r="C145" s="33"/>
      <c r="D145" s="24"/>
      <c r="E145" s="30" t="str">
        <f aca="false">IF($D145="","",IFERROR(INDEX(合同单位,MATCH($D145,合同键,0)),IFERROR(TRIM(LEFT($D145,FIND("｜",$D145)-1)),$D145)))</f>
        <v/>
      </c>
      <c r="F145" s="30" t="str">
        <f aca="false">IF($D145="","",IFERROR(INDEX(合同项目,MATCH($D145,合同键,0)),IFERROR(TRIM(MID($D145,FIND("｜",$D145)+1,99)),"")))</f>
        <v/>
      </c>
      <c r="G145" s="39"/>
      <c r="H145" s="25"/>
      <c r="I145" s="35" t="str">
        <f aca="false">IF($H145="","",IFERROR(INDEX(票据归类表,MATCH($H145,票据类型表,0)),"现金无票"))</f>
        <v/>
      </c>
      <c r="J145" s="25"/>
      <c r="K145" s="25"/>
      <c r="L145" s="31"/>
      <c r="M145" s="29" t="str">
        <f aca="false">IF($C145="","",YEAR($C145))</f>
        <v/>
      </c>
      <c r="N145" s="24"/>
      <c r="O145" s="35" t="str">
        <f aca="false">IF($C145="","",IF($D145="","★没选客户项目",IF(COUNTIF(合同键,$D145)=0,"★《维保合同》里没这个项目",IF(N($G145)&lt;=0,"★收款金额要填",IF($H145="","★票据类型要选",IF(AND($L145&lt;&gt;"",COUNTIF(应收单号,$L145)=0),"★关联的应收单号不存在",IF(AND($L145&lt;&gt;"",IFERROR(INDEX(应收键,MATCH($L145,应收单号,0)),"")&lt;&gt;$D145),"★关联单号不是这个客户的",IF(AND($L145&lt;&gt;"",ROUND(SUMIF(收款关联,$L145,收款金额)-IFERROR(INDEX(应收金额,MATCH($L145,应收单号,0)),0),2)&gt;0.001),"★指定冲销超过那张单的应收","OK"))))))))</f>
        <v/>
      </c>
    </row>
    <row r="146" customFormat="false" ht="15" hidden="false" customHeight="false" outlineLevel="0" collapsed="false">
      <c r="A146" s="29" t="str">
        <f aca="false">IF($C146="","",ROW()-4)</f>
        <v/>
      </c>
      <c r="B146" s="35" t="str">
        <f aca="false">IF($C146="","","SK"&amp;TEXT($C146,"yyyymm")&amp;"-"&amp;TEXT(ROW()-4,"0000"))</f>
        <v/>
      </c>
      <c r="C146" s="33"/>
      <c r="D146" s="24"/>
      <c r="E146" s="30" t="str">
        <f aca="false">IF($D146="","",IFERROR(INDEX(合同单位,MATCH($D146,合同键,0)),IFERROR(TRIM(LEFT($D146,FIND("｜",$D146)-1)),$D146)))</f>
        <v/>
      </c>
      <c r="F146" s="30" t="str">
        <f aca="false">IF($D146="","",IFERROR(INDEX(合同项目,MATCH($D146,合同键,0)),IFERROR(TRIM(MID($D146,FIND("｜",$D146)+1,99)),"")))</f>
        <v/>
      </c>
      <c r="G146" s="39"/>
      <c r="H146" s="25"/>
      <c r="I146" s="35" t="str">
        <f aca="false">IF($H146="","",IFERROR(INDEX(票据归类表,MATCH($H146,票据类型表,0)),"现金无票"))</f>
        <v/>
      </c>
      <c r="J146" s="25"/>
      <c r="K146" s="25"/>
      <c r="L146" s="31"/>
      <c r="M146" s="29" t="str">
        <f aca="false">IF($C146="","",YEAR($C146))</f>
        <v/>
      </c>
      <c r="N146" s="24"/>
      <c r="O146" s="35" t="str">
        <f aca="false">IF($C146="","",IF($D146="","★没选客户项目",IF(COUNTIF(合同键,$D146)=0,"★《维保合同》里没这个项目",IF(N($G146)&lt;=0,"★收款金额要填",IF($H146="","★票据类型要选",IF(AND($L146&lt;&gt;"",COUNTIF(应收单号,$L146)=0),"★关联的应收单号不存在",IF(AND($L146&lt;&gt;"",IFERROR(INDEX(应收键,MATCH($L146,应收单号,0)),"")&lt;&gt;$D146),"★关联单号不是这个客户的",IF(AND($L146&lt;&gt;"",ROUND(SUMIF(收款关联,$L146,收款金额)-IFERROR(INDEX(应收金额,MATCH($L146,应收单号,0)),0),2)&gt;0.001),"★指定冲销超过那张单的应收","OK"))))))))</f>
        <v/>
      </c>
    </row>
    <row r="147" customFormat="false" ht="15" hidden="false" customHeight="false" outlineLevel="0" collapsed="false">
      <c r="A147" s="29" t="str">
        <f aca="false">IF($C147="","",ROW()-4)</f>
        <v/>
      </c>
      <c r="B147" s="35" t="str">
        <f aca="false">IF($C147="","","SK"&amp;TEXT($C147,"yyyymm")&amp;"-"&amp;TEXT(ROW()-4,"0000"))</f>
        <v/>
      </c>
      <c r="C147" s="33"/>
      <c r="D147" s="24"/>
      <c r="E147" s="30" t="str">
        <f aca="false">IF($D147="","",IFERROR(INDEX(合同单位,MATCH($D147,合同键,0)),IFERROR(TRIM(LEFT($D147,FIND("｜",$D147)-1)),$D147)))</f>
        <v/>
      </c>
      <c r="F147" s="30" t="str">
        <f aca="false">IF($D147="","",IFERROR(INDEX(合同项目,MATCH($D147,合同键,0)),IFERROR(TRIM(MID($D147,FIND("｜",$D147)+1,99)),"")))</f>
        <v/>
      </c>
      <c r="G147" s="39"/>
      <c r="H147" s="25"/>
      <c r="I147" s="35" t="str">
        <f aca="false">IF($H147="","",IFERROR(INDEX(票据归类表,MATCH($H147,票据类型表,0)),"现金无票"))</f>
        <v/>
      </c>
      <c r="J147" s="25"/>
      <c r="K147" s="25"/>
      <c r="L147" s="31"/>
      <c r="M147" s="29" t="str">
        <f aca="false">IF($C147="","",YEAR($C147))</f>
        <v/>
      </c>
      <c r="N147" s="24"/>
      <c r="O147" s="35" t="str">
        <f aca="false">IF($C147="","",IF($D147="","★没选客户项目",IF(COUNTIF(合同键,$D147)=0,"★《维保合同》里没这个项目",IF(N($G147)&lt;=0,"★收款金额要填",IF($H147="","★票据类型要选",IF(AND($L147&lt;&gt;"",COUNTIF(应收单号,$L147)=0),"★关联的应收单号不存在",IF(AND($L147&lt;&gt;"",IFERROR(INDEX(应收键,MATCH($L147,应收单号,0)),"")&lt;&gt;$D147),"★关联单号不是这个客户的",IF(AND($L147&lt;&gt;"",ROUND(SUMIF(收款关联,$L147,收款金额)-IFERROR(INDEX(应收金额,MATCH($L147,应收单号,0)),0),2)&gt;0.001),"★指定冲销超过那张单的应收","OK"))))))))</f>
        <v/>
      </c>
    </row>
    <row r="148" customFormat="false" ht="15" hidden="false" customHeight="false" outlineLevel="0" collapsed="false">
      <c r="A148" s="29" t="str">
        <f aca="false">IF($C148="","",ROW()-4)</f>
        <v/>
      </c>
      <c r="B148" s="35" t="str">
        <f aca="false">IF($C148="","","SK"&amp;TEXT($C148,"yyyymm")&amp;"-"&amp;TEXT(ROW()-4,"0000"))</f>
        <v/>
      </c>
      <c r="C148" s="33"/>
      <c r="D148" s="24"/>
      <c r="E148" s="30" t="str">
        <f aca="false">IF($D148="","",IFERROR(INDEX(合同单位,MATCH($D148,合同键,0)),IFERROR(TRIM(LEFT($D148,FIND("｜",$D148)-1)),$D148)))</f>
        <v/>
      </c>
      <c r="F148" s="30" t="str">
        <f aca="false">IF($D148="","",IFERROR(INDEX(合同项目,MATCH($D148,合同键,0)),IFERROR(TRIM(MID($D148,FIND("｜",$D148)+1,99)),"")))</f>
        <v/>
      </c>
      <c r="G148" s="39"/>
      <c r="H148" s="25"/>
      <c r="I148" s="35" t="str">
        <f aca="false">IF($H148="","",IFERROR(INDEX(票据归类表,MATCH($H148,票据类型表,0)),"现金无票"))</f>
        <v/>
      </c>
      <c r="J148" s="25"/>
      <c r="K148" s="25"/>
      <c r="L148" s="31"/>
      <c r="M148" s="29" t="str">
        <f aca="false">IF($C148="","",YEAR($C148))</f>
        <v/>
      </c>
      <c r="N148" s="24"/>
      <c r="O148" s="35" t="str">
        <f aca="false">IF($C148="","",IF($D148="","★没选客户项目",IF(COUNTIF(合同键,$D148)=0,"★《维保合同》里没这个项目",IF(N($G148)&lt;=0,"★收款金额要填",IF($H148="","★票据类型要选",IF(AND($L148&lt;&gt;"",COUNTIF(应收单号,$L148)=0),"★关联的应收单号不存在",IF(AND($L148&lt;&gt;"",IFERROR(INDEX(应收键,MATCH($L148,应收单号,0)),"")&lt;&gt;$D148),"★关联单号不是这个客户的",IF(AND($L148&lt;&gt;"",ROUND(SUMIF(收款关联,$L148,收款金额)-IFERROR(INDEX(应收金额,MATCH($L148,应收单号,0)),0),2)&gt;0.001),"★指定冲销超过那张单的应收","OK"))))))))</f>
        <v/>
      </c>
    </row>
    <row r="149" customFormat="false" ht="15" hidden="false" customHeight="false" outlineLevel="0" collapsed="false">
      <c r="A149" s="29" t="str">
        <f aca="false">IF($C149="","",ROW()-4)</f>
        <v/>
      </c>
      <c r="B149" s="35" t="str">
        <f aca="false">IF($C149="","","SK"&amp;TEXT($C149,"yyyymm")&amp;"-"&amp;TEXT(ROW()-4,"0000"))</f>
        <v/>
      </c>
      <c r="C149" s="33"/>
      <c r="D149" s="24"/>
      <c r="E149" s="30" t="str">
        <f aca="false">IF($D149="","",IFERROR(INDEX(合同单位,MATCH($D149,合同键,0)),IFERROR(TRIM(LEFT($D149,FIND("｜",$D149)-1)),$D149)))</f>
        <v/>
      </c>
      <c r="F149" s="30" t="str">
        <f aca="false">IF($D149="","",IFERROR(INDEX(合同项目,MATCH($D149,合同键,0)),IFERROR(TRIM(MID($D149,FIND("｜",$D149)+1,99)),"")))</f>
        <v/>
      </c>
      <c r="G149" s="39"/>
      <c r="H149" s="25"/>
      <c r="I149" s="35" t="str">
        <f aca="false">IF($H149="","",IFERROR(INDEX(票据归类表,MATCH($H149,票据类型表,0)),"现金无票"))</f>
        <v/>
      </c>
      <c r="J149" s="25"/>
      <c r="K149" s="25"/>
      <c r="L149" s="31"/>
      <c r="M149" s="29" t="str">
        <f aca="false">IF($C149="","",YEAR($C149))</f>
        <v/>
      </c>
      <c r="N149" s="24"/>
      <c r="O149" s="35" t="str">
        <f aca="false">IF($C149="","",IF($D149="","★没选客户项目",IF(COUNTIF(合同键,$D149)=0,"★《维保合同》里没这个项目",IF(N($G149)&lt;=0,"★收款金额要填",IF($H149="","★票据类型要选",IF(AND($L149&lt;&gt;"",COUNTIF(应收单号,$L149)=0),"★关联的应收单号不存在",IF(AND($L149&lt;&gt;"",IFERROR(INDEX(应收键,MATCH($L149,应收单号,0)),"")&lt;&gt;$D149),"★关联单号不是这个客户的",IF(AND($L149&lt;&gt;"",ROUND(SUMIF(收款关联,$L149,收款金额)-IFERROR(INDEX(应收金额,MATCH($L149,应收单号,0)),0),2)&gt;0.001),"★指定冲销超过那张单的应收","OK"))))))))</f>
        <v/>
      </c>
    </row>
    <row r="150" customFormat="false" ht="15" hidden="false" customHeight="false" outlineLevel="0" collapsed="false">
      <c r="A150" s="29" t="str">
        <f aca="false">IF($C150="","",ROW()-4)</f>
        <v/>
      </c>
      <c r="B150" s="35" t="str">
        <f aca="false">IF($C150="","","SK"&amp;TEXT($C150,"yyyymm")&amp;"-"&amp;TEXT(ROW()-4,"0000"))</f>
        <v/>
      </c>
      <c r="C150" s="33"/>
      <c r="D150" s="24"/>
      <c r="E150" s="30" t="str">
        <f aca="false">IF($D150="","",IFERROR(INDEX(合同单位,MATCH($D150,合同键,0)),IFERROR(TRIM(LEFT($D150,FIND("｜",$D150)-1)),$D150)))</f>
        <v/>
      </c>
      <c r="F150" s="30" t="str">
        <f aca="false">IF($D150="","",IFERROR(INDEX(合同项目,MATCH($D150,合同键,0)),IFERROR(TRIM(MID($D150,FIND("｜",$D150)+1,99)),"")))</f>
        <v/>
      </c>
      <c r="G150" s="39"/>
      <c r="H150" s="25"/>
      <c r="I150" s="35" t="str">
        <f aca="false">IF($H150="","",IFERROR(INDEX(票据归类表,MATCH($H150,票据类型表,0)),"现金无票"))</f>
        <v/>
      </c>
      <c r="J150" s="25"/>
      <c r="K150" s="25"/>
      <c r="L150" s="31"/>
      <c r="M150" s="29" t="str">
        <f aca="false">IF($C150="","",YEAR($C150))</f>
        <v/>
      </c>
      <c r="N150" s="24"/>
      <c r="O150" s="35" t="str">
        <f aca="false">IF($C150="","",IF($D150="","★没选客户项目",IF(COUNTIF(合同键,$D150)=0,"★《维保合同》里没这个项目",IF(N($G150)&lt;=0,"★收款金额要填",IF($H150="","★票据类型要选",IF(AND($L150&lt;&gt;"",COUNTIF(应收单号,$L150)=0),"★关联的应收单号不存在",IF(AND($L150&lt;&gt;"",IFERROR(INDEX(应收键,MATCH($L150,应收单号,0)),"")&lt;&gt;$D150),"★关联单号不是这个客户的",IF(AND($L150&lt;&gt;"",ROUND(SUMIF(收款关联,$L150,收款金额)-IFERROR(INDEX(应收金额,MATCH($L150,应收单号,0)),0),2)&gt;0.001),"★指定冲销超过那张单的应收","OK"))))))))</f>
        <v/>
      </c>
    </row>
    <row r="151" customFormat="false" ht="15" hidden="false" customHeight="false" outlineLevel="0" collapsed="false">
      <c r="A151" s="29" t="str">
        <f aca="false">IF($C151="","",ROW()-4)</f>
        <v/>
      </c>
      <c r="B151" s="35" t="str">
        <f aca="false">IF($C151="","","SK"&amp;TEXT($C151,"yyyymm")&amp;"-"&amp;TEXT(ROW()-4,"0000"))</f>
        <v/>
      </c>
      <c r="C151" s="33"/>
      <c r="D151" s="24"/>
      <c r="E151" s="30" t="str">
        <f aca="false">IF($D151="","",IFERROR(INDEX(合同单位,MATCH($D151,合同键,0)),IFERROR(TRIM(LEFT($D151,FIND("｜",$D151)-1)),$D151)))</f>
        <v/>
      </c>
      <c r="F151" s="30" t="str">
        <f aca="false">IF($D151="","",IFERROR(INDEX(合同项目,MATCH($D151,合同键,0)),IFERROR(TRIM(MID($D151,FIND("｜",$D151)+1,99)),"")))</f>
        <v/>
      </c>
      <c r="G151" s="39"/>
      <c r="H151" s="25"/>
      <c r="I151" s="35" t="str">
        <f aca="false">IF($H151="","",IFERROR(INDEX(票据归类表,MATCH($H151,票据类型表,0)),"现金无票"))</f>
        <v/>
      </c>
      <c r="J151" s="25"/>
      <c r="K151" s="25"/>
      <c r="L151" s="31"/>
      <c r="M151" s="29" t="str">
        <f aca="false">IF($C151="","",YEAR($C151))</f>
        <v/>
      </c>
      <c r="N151" s="24"/>
      <c r="O151" s="35" t="str">
        <f aca="false">IF($C151="","",IF($D151="","★没选客户项目",IF(COUNTIF(合同键,$D151)=0,"★《维保合同》里没这个项目",IF(N($G151)&lt;=0,"★收款金额要填",IF($H151="","★票据类型要选",IF(AND($L151&lt;&gt;"",COUNTIF(应收单号,$L151)=0),"★关联的应收单号不存在",IF(AND($L151&lt;&gt;"",IFERROR(INDEX(应收键,MATCH($L151,应收单号,0)),"")&lt;&gt;$D151),"★关联单号不是这个客户的",IF(AND($L151&lt;&gt;"",ROUND(SUMIF(收款关联,$L151,收款金额)-IFERROR(INDEX(应收金额,MATCH($L151,应收单号,0)),0),2)&gt;0.001),"★指定冲销超过那张单的应收","OK"))))))))</f>
        <v/>
      </c>
    </row>
    <row r="152" customFormat="false" ht="15" hidden="false" customHeight="false" outlineLevel="0" collapsed="false">
      <c r="A152" s="29" t="str">
        <f aca="false">IF($C152="","",ROW()-4)</f>
        <v/>
      </c>
      <c r="B152" s="35" t="str">
        <f aca="false">IF($C152="","","SK"&amp;TEXT($C152,"yyyymm")&amp;"-"&amp;TEXT(ROW()-4,"0000"))</f>
        <v/>
      </c>
      <c r="C152" s="33"/>
      <c r="D152" s="24"/>
      <c r="E152" s="30" t="str">
        <f aca="false">IF($D152="","",IFERROR(INDEX(合同单位,MATCH($D152,合同键,0)),IFERROR(TRIM(LEFT($D152,FIND("｜",$D152)-1)),$D152)))</f>
        <v/>
      </c>
      <c r="F152" s="30" t="str">
        <f aca="false">IF($D152="","",IFERROR(INDEX(合同项目,MATCH($D152,合同键,0)),IFERROR(TRIM(MID($D152,FIND("｜",$D152)+1,99)),"")))</f>
        <v/>
      </c>
      <c r="G152" s="39"/>
      <c r="H152" s="25"/>
      <c r="I152" s="35" t="str">
        <f aca="false">IF($H152="","",IFERROR(INDEX(票据归类表,MATCH($H152,票据类型表,0)),"现金无票"))</f>
        <v/>
      </c>
      <c r="J152" s="25"/>
      <c r="K152" s="25"/>
      <c r="L152" s="31"/>
      <c r="M152" s="29" t="str">
        <f aca="false">IF($C152="","",YEAR($C152))</f>
        <v/>
      </c>
      <c r="N152" s="24"/>
      <c r="O152" s="35" t="str">
        <f aca="false">IF($C152="","",IF($D152="","★没选客户项目",IF(COUNTIF(合同键,$D152)=0,"★《维保合同》里没这个项目",IF(N($G152)&lt;=0,"★收款金额要填",IF($H152="","★票据类型要选",IF(AND($L152&lt;&gt;"",COUNTIF(应收单号,$L152)=0),"★关联的应收单号不存在",IF(AND($L152&lt;&gt;"",IFERROR(INDEX(应收键,MATCH($L152,应收单号,0)),"")&lt;&gt;$D152),"★关联单号不是这个客户的",IF(AND($L152&lt;&gt;"",ROUND(SUMIF(收款关联,$L152,收款金额)-IFERROR(INDEX(应收金额,MATCH($L152,应收单号,0)),0),2)&gt;0.001),"★指定冲销超过那张单的应收","OK"))))))))</f>
        <v/>
      </c>
    </row>
    <row r="153" customFormat="false" ht="15" hidden="false" customHeight="false" outlineLevel="0" collapsed="false">
      <c r="A153" s="29" t="str">
        <f aca="false">IF($C153="","",ROW()-4)</f>
        <v/>
      </c>
      <c r="B153" s="35" t="str">
        <f aca="false">IF($C153="","","SK"&amp;TEXT($C153,"yyyymm")&amp;"-"&amp;TEXT(ROW()-4,"0000"))</f>
        <v/>
      </c>
      <c r="C153" s="33"/>
      <c r="D153" s="24"/>
      <c r="E153" s="30" t="str">
        <f aca="false">IF($D153="","",IFERROR(INDEX(合同单位,MATCH($D153,合同键,0)),IFERROR(TRIM(LEFT($D153,FIND("｜",$D153)-1)),$D153)))</f>
        <v/>
      </c>
      <c r="F153" s="30" t="str">
        <f aca="false">IF($D153="","",IFERROR(INDEX(合同项目,MATCH($D153,合同键,0)),IFERROR(TRIM(MID($D153,FIND("｜",$D153)+1,99)),"")))</f>
        <v/>
      </c>
      <c r="G153" s="39"/>
      <c r="H153" s="25"/>
      <c r="I153" s="35" t="str">
        <f aca="false">IF($H153="","",IFERROR(INDEX(票据归类表,MATCH($H153,票据类型表,0)),"现金无票"))</f>
        <v/>
      </c>
      <c r="J153" s="25"/>
      <c r="K153" s="25"/>
      <c r="L153" s="31"/>
      <c r="M153" s="29" t="str">
        <f aca="false">IF($C153="","",YEAR($C153))</f>
        <v/>
      </c>
      <c r="N153" s="24"/>
      <c r="O153" s="35" t="str">
        <f aca="false">IF($C153="","",IF($D153="","★没选客户项目",IF(COUNTIF(合同键,$D153)=0,"★《维保合同》里没这个项目",IF(N($G153)&lt;=0,"★收款金额要填",IF($H153="","★票据类型要选",IF(AND($L153&lt;&gt;"",COUNTIF(应收单号,$L153)=0),"★关联的应收单号不存在",IF(AND($L153&lt;&gt;"",IFERROR(INDEX(应收键,MATCH($L153,应收单号,0)),"")&lt;&gt;$D153),"★关联单号不是这个客户的",IF(AND($L153&lt;&gt;"",ROUND(SUMIF(收款关联,$L153,收款金额)-IFERROR(INDEX(应收金额,MATCH($L153,应收单号,0)),0),2)&gt;0.001),"★指定冲销超过那张单的应收","OK"))))))))</f>
        <v/>
      </c>
    </row>
    <row r="154" customFormat="false" ht="15" hidden="false" customHeight="false" outlineLevel="0" collapsed="false">
      <c r="A154" s="29" t="str">
        <f aca="false">IF($C154="","",ROW()-4)</f>
        <v/>
      </c>
      <c r="B154" s="35" t="str">
        <f aca="false">IF($C154="","","SK"&amp;TEXT($C154,"yyyymm")&amp;"-"&amp;TEXT(ROW()-4,"0000"))</f>
        <v/>
      </c>
      <c r="C154" s="33"/>
      <c r="D154" s="24"/>
      <c r="E154" s="30" t="str">
        <f aca="false">IF($D154="","",IFERROR(INDEX(合同单位,MATCH($D154,合同键,0)),IFERROR(TRIM(LEFT($D154,FIND("｜",$D154)-1)),$D154)))</f>
        <v/>
      </c>
      <c r="F154" s="30" t="str">
        <f aca="false">IF($D154="","",IFERROR(INDEX(合同项目,MATCH($D154,合同键,0)),IFERROR(TRIM(MID($D154,FIND("｜",$D154)+1,99)),"")))</f>
        <v/>
      </c>
      <c r="G154" s="39"/>
      <c r="H154" s="25"/>
      <c r="I154" s="35" t="str">
        <f aca="false">IF($H154="","",IFERROR(INDEX(票据归类表,MATCH($H154,票据类型表,0)),"现金无票"))</f>
        <v/>
      </c>
      <c r="J154" s="25"/>
      <c r="K154" s="25"/>
      <c r="L154" s="31"/>
      <c r="M154" s="29" t="str">
        <f aca="false">IF($C154="","",YEAR($C154))</f>
        <v/>
      </c>
      <c r="N154" s="24"/>
      <c r="O154" s="35" t="str">
        <f aca="false">IF($C154="","",IF($D154="","★没选客户项目",IF(COUNTIF(合同键,$D154)=0,"★《维保合同》里没这个项目",IF(N($G154)&lt;=0,"★收款金额要填",IF($H154="","★票据类型要选",IF(AND($L154&lt;&gt;"",COUNTIF(应收单号,$L154)=0),"★关联的应收单号不存在",IF(AND($L154&lt;&gt;"",IFERROR(INDEX(应收键,MATCH($L154,应收单号,0)),"")&lt;&gt;$D154),"★关联单号不是这个客户的",IF(AND($L154&lt;&gt;"",ROUND(SUMIF(收款关联,$L154,收款金额)-IFERROR(INDEX(应收金额,MATCH($L154,应收单号,0)),0),2)&gt;0.001),"★指定冲销超过那张单的应收","OK"))))))))</f>
        <v/>
      </c>
    </row>
    <row r="155" customFormat="false" ht="15" hidden="false" customHeight="false" outlineLevel="0" collapsed="false">
      <c r="A155" s="29" t="str">
        <f aca="false">IF($C155="","",ROW()-4)</f>
        <v/>
      </c>
      <c r="B155" s="35" t="str">
        <f aca="false">IF($C155="","","SK"&amp;TEXT($C155,"yyyymm")&amp;"-"&amp;TEXT(ROW()-4,"0000"))</f>
        <v/>
      </c>
      <c r="C155" s="33"/>
      <c r="D155" s="24"/>
      <c r="E155" s="30" t="str">
        <f aca="false">IF($D155="","",IFERROR(INDEX(合同单位,MATCH($D155,合同键,0)),IFERROR(TRIM(LEFT($D155,FIND("｜",$D155)-1)),$D155)))</f>
        <v/>
      </c>
      <c r="F155" s="30" t="str">
        <f aca="false">IF($D155="","",IFERROR(INDEX(合同项目,MATCH($D155,合同键,0)),IFERROR(TRIM(MID($D155,FIND("｜",$D155)+1,99)),"")))</f>
        <v/>
      </c>
      <c r="G155" s="39"/>
      <c r="H155" s="25"/>
      <c r="I155" s="35" t="str">
        <f aca="false">IF($H155="","",IFERROR(INDEX(票据归类表,MATCH($H155,票据类型表,0)),"现金无票"))</f>
        <v/>
      </c>
      <c r="J155" s="25"/>
      <c r="K155" s="25"/>
      <c r="L155" s="31"/>
      <c r="M155" s="29" t="str">
        <f aca="false">IF($C155="","",YEAR($C155))</f>
        <v/>
      </c>
      <c r="N155" s="24"/>
      <c r="O155" s="35" t="str">
        <f aca="false">IF($C155="","",IF($D155="","★没选客户项目",IF(COUNTIF(合同键,$D155)=0,"★《维保合同》里没这个项目",IF(N($G155)&lt;=0,"★收款金额要填",IF($H155="","★票据类型要选",IF(AND($L155&lt;&gt;"",COUNTIF(应收单号,$L155)=0),"★关联的应收单号不存在",IF(AND($L155&lt;&gt;"",IFERROR(INDEX(应收键,MATCH($L155,应收单号,0)),"")&lt;&gt;$D155),"★关联单号不是这个客户的",IF(AND($L155&lt;&gt;"",ROUND(SUMIF(收款关联,$L155,收款金额)-IFERROR(INDEX(应收金额,MATCH($L155,应收单号,0)),0),2)&gt;0.001),"★指定冲销超过那张单的应收","OK"))))))))</f>
        <v/>
      </c>
    </row>
    <row r="156" customFormat="false" ht="15" hidden="false" customHeight="false" outlineLevel="0" collapsed="false">
      <c r="A156" s="29" t="str">
        <f aca="false">IF($C156="","",ROW()-4)</f>
        <v/>
      </c>
      <c r="B156" s="35" t="str">
        <f aca="false">IF($C156="","","SK"&amp;TEXT($C156,"yyyymm")&amp;"-"&amp;TEXT(ROW()-4,"0000"))</f>
        <v/>
      </c>
      <c r="C156" s="33"/>
      <c r="D156" s="24"/>
      <c r="E156" s="30" t="str">
        <f aca="false">IF($D156="","",IFERROR(INDEX(合同单位,MATCH($D156,合同键,0)),IFERROR(TRIM(LEFT($D156,FIND("｜",$D156)-1)),$D156)))</f>
        <v/>
      </c>
      <c r="F156" s="30" t="str">
        <f aca="false">IF($D156="","",IFERROR(INDEX(合同项目,MATCH($D156,合同键,0)),IFERROR(TRIM(MID($D156,FIND("｜",$D156)+1,99)),"")))</f>
        <v/>
      </c>
      <c r="G156" s="39"/>
      <c r="H156" s="25"/>
      <c r="I156" s="35" t="str">
        <f aca="false">IF($H156="","",IFERROR(INDEX(票据归类表,MATCH($H156,票据类型表,0)),"现金无票"))</f>
        <v/>
      </c>
      <c r="J156" s="25"/>
      <c r="K156" s="25"/>
      <c r="L156" s="31"/>
      <c r="M156" s="29" t="str">
        <f aca="false">IF($C156="","",YEAR($C156))</f>
        <v/>
      </c>
      <c r="N156" s="24"/>
      <c r="O156" s="35" t="str">
        <f aca="false">IF($C156="","",IF($D156="","★没选客户项目",IF(COUNTIF(合同键,$D156)=0,"★《维保合同》里没这个项目",IF(N($G156)&lt;=0,"★收款金额要填",IF($H156="","★票据类型要选",IF(AND($L156&lt;&gt;"",COUNTIF(应收单号,$L156)=0),"★关联的应收单号不存在",IF(AND($L156&lt;&gt;"",IFERROR(INDEX(应收键,MATCH($L156,应收单号,0)),"")&lt;&gt;$D156),"★关联单号不是这个客户的",IF(AND($L156&lt;&gt;"",ROUND(SUMIF(收款关联,$L156,收款金额)-IFERROR(INDEX(应收金额,MATCH($L156,应收单号,0)),0),2)&gt;0.001),"★指定冲销超过那张单的应收","OK"))))))))</f>
        <v/>
      </c>
    </row>
    <row r="157" customFormat="false" ht="15" hidden="false" customHeight="false" outlineLevel="0" collapsed="false">
      <c r="A157" s="29" t="str">
        <f aca="false">IF($C157="","",ROW()-4)</f>
        <v/>
      </c>
      <c r="B157" s="35" t="str">
        <f aca="false">IF($C157="","","SK"&amp;TEXT($C157,"yyyymm")&amp;"-"&amp;TEXT(ROW()-4,"0000"))</f>
        <v/>
      </c>
      <c r="C157" s="33"/>
      <c r="D157" s="24"/>
      <c r="E157" s="30" t="str">
        <f aca="false">IF($D157="","",IFERROR(INDEX(合同单位,MATCH($D157,合同键,0)),IFERROR(TRIM(LEFT($D157,FIND("｜",$D157)-1)),$D157)))</f>
        <v/>
      </c>
      <c r="F157" s="30" t="str">
        <f aca="false">IF($D157="","",IFERROR(INDEX(合同项目,MATCH($D157,合同键,0)),IFERROR(TRIM(MID($D157,FIND("｜",$D157)+1,99)),"")))</f>
        <v/>
      </c>
      <c r="G157" s="39"/>
      <c r="H157" s="25"/>
      <c r="I157" s="35" t="str">
        <f aca="false">IF($H157="","",IFERROR(INDEX(票据归类表,MATCH($H157,票据类型表,0)),"现金无票"))</f>
        <v/>
      </c>
      <c r="J157" s="25"/>
      <c r="K157" s="25"/>
      <c r="L157" s="31"/>
      <c r="M157" s="29" t="str">
        <f aca="false">IF($C157="","",YEAR($C157))</f>
        <v/>
      </c>
      <c r="N157" s="24"/>
      <c r="O157" s="35" t="str">
        <f aca="false">IF($C157="","",IF($D157="","★没选客户项目",IF(COUNTIF(合同键,$D157)=0,"★《维保合同》里没这个项目",IF(N($G157)&lt;=0,"★收款金额要填",IF($H157="","★票据类型要选",IF(AND($L157&lt;&gt;"",COUNTIF(应收单号,$L157)=0),"★关联的应收单号不存在",IF(AND($L157&lt;&gt;"",IFERROR(INDEX(应收键,MATCH($L157,应收单号,0)),"")&lt;&gt;$D157),"★关联单号不是这个客户的",IF(AND($L157&lt;&gt;"",ROUND(SUMIF(收款关联,$L157,收款金额)-IFERROR(INDEX(应收金额,MATCH($L157,应收单号,0)),0),2)&gt;0.001),"★指定冲销超过那张单的应收","OK"))))))))</f>
        <v/>
      </c>
    </row>
    <row r="158" customFormat="false" ht="15" hidden="false" customHeight="false" outlineLevel="0" collapsed="false">
      <c r="A158" s="29" t="str">
        <f aca="false">IF($C158="","",ROW()-4)</f>
        <v/>
      </c>
      <c r="B158" s="35" t="str">
        <f aca="false">IF($C158="","","SK"&amp;TEXT($C158,"yyyymm")&amp;"-"&amp;TEXT(ROW()-4,"0000"))</f>
        <v/>
      </c>
      <c r="C158" s="33"/>
      <c r="D158" s="24"/>
      <c r="E158" s="30" t="str">
        <f aca="false">IF($D158="","",IFERROR(INDEX(合同单位,MATCH($D158,合同键,0)),IFERROR(TRIM(LEFT($D158,FIND("｜",$D158)-1)),$D158)))</f>
        <v/>
      </c>
      <c r="F158" s="30" t="str">
        <f aca="false">IF($D158="","",IFERROR(INDEX(合同项目,MATCH($D158,合同键,0)),IFERROR(TRIM(MID($D158,FIND("｜",$D158)+1,99)),"")))</f>
        <v/>
      </c>
      <c r="G158" s="39"/>
      <c r="H158" s="25"/>
      <c r="I158" s="35" t="str">
        <f aca="false">IF($H158="","",IFERROR(INDEX(票据归类表,MATCH($H158,票据类型表,0)),"现金无票"))</f>
        <v/>
      </c>
      <c r="J158" s="25"/>
      <c r="K158" s="25"/>
      <c r="L158" s="31"/>
      <c r="M158" s="29" t="str">
        <f aca="false">IF($C158="","",YEAR($C158))</f>
        <v/>
      </c>
      <c r="N158" s="24"/>
      <c r="O158" s="35" t="str">
        <f aca="false">IF($C158="","",IF($D158="","★没选客户项目",IF(COUNTIF(合同键,$D158)=0,"★《维保合同》里没这个项目",IF(N($G158)&lt;=0,"★收款金额要填",IF($H158="","★票据类型要选",IF(AND($L158&lt;&gt;"",COUNTIF(应收单号,$L158)=0),"★关联的应收单号不存在",IF(AND($L158&lt;&gt;"",IFERROR(INDEX(应收键,MATCH($L158,应收单号,0)),"")&lt;&gt;$D158),"★关联单号不是这个客户的",IF(AND($L158&lt;&gt;"",ROUND(SUMIF(收款关联,$L158,收款金额)-IFERROR(INDEX(应收金额,MATCH($L158,应收单号,0)),0),2)&gt;0.001),"★指定冲销超过那张单的应收","OK"))))))))</f>
        <v/>
      </c>
    </row>
    <row r="159" customFormat="false" ht="15" hidden="false" customHeight="false" outlineLevel="0" collapsed="false">
      <c r="A159" s="29" t="str">
        <f aca="false">IF($C159="","",ROW()-4)</f>
        <v/>
      </c>
      <c r="B159" s="35" t="str">
        <f aca="false">IF($C159="","","SK"&amp;TEXT($C159,"yyyymm")&amp;"-"&amp;TEXT(ROW()-4,"0000"))</f>
        <v/>
      </c>
      <c r="C159" s="33"/>
      <c r="D159" s="24"/>
      <c r="E159" s="30" t="str">
        <f aca="false">IF($D159="","",IFERROR(INDEX(合同单位,MATCH($D159,合同键,0)),IFERROR(TRIM(LEFT($D159,FIND("｜",$D159)-1)),$D159)))</f>
        <v/>
      </c>
      <c r="F159" s="30" t="str">
        <f aca="false">IF($D159="","",IFERROR(INDEX(合同项目,MATCH($D159,合同键,0)),IFERROR(TRIM(MID($D159,FIND("｜",$D159)+1,99)),"")))</f>
        <v/>
      </c>
      <c r="G159" s="39"/>
      <c r="H159" s="25"/>
      <c r="I159" s="35" t="str">
        <f aca="false">IF($H159="","",IFERROR(INDEX(票据归类表,MATCH($H159,票据类型表,0)),"现金无票"))</f>
        <v/>
      </c>
      <c r="J159" s="25"/>
      <c r="K159" s="25"/>
      <c r="L159" s="31"/>
      <c r="M159" s="29" t="str">
        <f aca="false">IF($C159="","",YEAR($C159))</f>
        <v/>
      </c>
      <c r="N159" s="24"/>
      <c r="O159" s="35" t="str">
        <f aca="false">IF($C159="","",IF($D159="","★没选客户项目",IF(COUNTIF(合同键,$D159)=0,"★《维保合同》里没这个项目",IF(N($G159)&lt;=0,"★收款金额要填",IF($H159="","★票据类型要选",IF(AND($L159&lt;&gt;"",COUNTIF(应收单号,$L159)=0),"★关联的应收单号不存在",IF(AND($L159&lt;&gt;"",IFERROR(INDEX(应收键,MATCH($L159,应收单号,0)),"")&lt;&gt;$D159),"★关联单号不是这个客户的",IF(AND($L159&lt;&gt;"",ROUND(SUMIF(收款关联,$L159,收款金额)-IFERROR(INDEX(应收金额,MATCH($L159,应收单号,0)),0),2)&gt;0.001),"★指定冲销超过那张单的应收","OK"))))))))</f>
        <v/>
      </c>
    </row>
    <row r="160" customFormat="false" ht="15" hidden="false" customHeight="false" outlineLevel="0" collapsed="false">
      <c r="A160" s="29" t="str">
        <f aca="false">IF($C160="","",ROW()-4)</f>
        <v/>
      </c>
      <c r="B160" s="35" t="str">
        <f aca="false">IF($C160="","","SK"&amp;TEXT($C160,"yyyymm")&amp;"-"&amp;TEXT(ROW()-4,"0000"))</f>
        <v/>
      </c>
      <c r="C160" s="33"/>
      <c r="D160" s="24"/>
      <c r="E160" s="30" t="str">
        <f aca="false">IF($D160="","",IFERROR(INDEX(合同单位,MATCH($D160,合同键,0)),IFERROR(TRIM(LEFT($D160,FIND("｜",$D160)-1)),$D160)))</f>
        <v/>
      </c>
      <c r="F160" s="30" t="str">
        <f aca="false">IF($D160="","",IFERROR(INDEX(合同项目,MATCH($D160,合同键,0)),IFERROR(TRIM(MID($D160,FIND("｜",$D160)+1,99)),"")))</f>
        <v/>
      </c>
      <c r="G160" s="39"/>
      <c r="H160" s="25"/>
      <c r="I160" s="35" t="str">
        <f aca="false">IF($H160="","",IFERROR(INDEX(票据归类表,MATCH($H160,票据类型表,0)),"现金无票"))</f>
        <v/>
      </c>
      <c r="J160" s="25"/>
      <c r="K160" s="25"/>
      <c r="L160" s="31"/>
      <c r="M160" s="29" t="str">
        <f aca="false">IF($C160="","",YEAR($C160))</f>
        <v/>
      </c>
      <c r="N160" s="24"/>
      <c r="O160" s="35" t="str">
        <f aca="false">IF($C160="","",IF($D160="","★没选客户项目",IF(COUNTIF(合同键,$D160)=0,"★《维保合同》里没这个项目",IF(N($G160)&lt;=0,"★收款金额要填",IF($H160="","★票据类型要选",IF(AND($L160&lt;&gt;"",COUNTIF(应收单号,$L160)=0),"★关联的应收单号不存在",IF(AND($L160&lt;&gt;"",IFERROR(INDEX(应收键,MATCH($L160,应收单号,0)),"")&lt;&gt;$D160),"★关联单号不是这个客户的",IF(AND($L160&lt;&gt;"",ROUND(SUMIF(收款关联,$L160,收款金额)-IFERROR(INDEX(应收金额,MATCH($L160,应收单号,0)),0),2)&gt;0.001),"★指定冲销超过那张单的应收","OK"))))))))</f>
        <v/>
      </c>
    </row>
    <row r="161" customFormat="false" ht="15" hidden="false" customHeight="false" outlineLevel="0" collapsed="false">
      <c r="A161" s="29" t="str">
        <f aca="false">IF($C161="","",ROW()-4)</f>
        <v/>
      </c>
      <c r="B161" s="35" t="str">
        <f aca="false">IF($C161="","","SK"&amp;TEXT($C161,"yyyymm")&amp;"-"&amp;TEXT(ROW()-4,"0000"))</f>
        <v/>
      </c>
      <c r="C161" s="33"/>
      <c r="D161" s="24"/>
      <c r="E161" s="30" t="str">
        <f aca="false">IF($D161="","",IFERROR(INDEX(合同单位,MATCH($D161,合同键,0)),IFERROR(TRIM(LEFT($D161,FIND("｜",$D161)-1)),$D161)))</f>
        <v/>
      </c>
      <c r="F161" s="30" t="str">
        <f aca="false">IF($D161="","",IFERROR(INDEX(合同项目,MATCH($D161,合同键,0)),IFERROR(TRIM(MID($D161,FIND("｜",$D161)+1,99)),"")))</f>
        <v/>
      </c>
      <c r="G161" s="39"/>
      <c r="H161" s="25"/>
      <c r="I161" s="35" t="str">
        <f aca="false">IF($H161="","",IFERROR(INDEX(票据归类表,MATCH($H161,票据类型表,0)),"现金无票"))</f>
        <v/>
      </c>
      <c r="J161" s="25"/>
      <c r="K161" s="25"/>
      <c r="L161" s="31"/>
      <c r="M161" s="29" t="str">
        <f aca="false">IF($C161="","",YEAR($C161))</f>
        <v/>
      </c>
      <c r="N161" s="24"/>
      <c r="O161" s="35" t="str">
        <f aca="false">IF($C161="","",IF($D161="","★没选客户项目",IF(COUNTIF(合同键,$D161)=0,"★《维保合同》里没这个项目",IF(N($G161)&lt;=0,"★收款金额要填",IF($H161="","★票据类型要选",IF(AND($L161&lt;&gt;"",COUNTIF(应收单号,$L161)=0),"★关联的应收单号不存在",IF(AND($L161&lt;&gt;"",IFERROR(INDEX(应收键,MATCH($L161,应收单号,0)),"")&lt;&gt;$D161),"★关联单号不是这个客户的",IF(AND($L161&lt;&gt;"",ROUND(SUMIF(收款关联,$L161,收款金额)-IFERROR(INDEX(应收金额,MATCH($L161,应收单号,0)),0),2)&gt;0.001),"★指定冲销超过那张单的应收","OK"))))))))</f>
        <v/>
      </c>
    </row>
    <row r="162" customFormat="false" ht="15" hidden="false" customHeight="false" outlineLevel="0" collapsed="false">
      <c r="A162" s="29" t="str">
        <f aca="false">IF($C162="","",ROW()-4)</f>
        <v/>
      </c>
      <c r="B162" s="35" t="str">
        <f aca="false">IF($C162="","","SK"&amp;TEXT($C162,"yyyymm")&amp;"-"&amp;TEXT(ROW()-4,"0000"))</f>
        <v/>
      </c>
      <c r="C162" s="33"/>
      <c r="D162" s="24"/>
      <c r="E162" s="30" t="str">
        <f aca="false">IF($D162="","",IFERROR(INDEX(合同单位,MATCH($D162,合同键,0)),IFERROR(TRIM(LEFT($D162,FIND("｜",$D162)-1)),$D162)))</f>
        <v/>
      </c>
      <c r="F162" s="30" t="str">
        <f aca="false">IF($D162="","",IFERROR(INDEX(合同项目,MATCH($D162,合同键,0)),IFERROR(TRIM(MID($D162,FIND("｜",$D162)+1,99)),"")))</f>
        <v/>
      </c>
      <c r="G162" s="39"/>
      <c r="H162" s="25"/>
      <c r="I162" s="35" t="str">
        <f aca="false">IF($H162="","",IFERROR(INDEX(票据归类表,MATCH($H162,票据类型表,0)),"现金无票"))</f>
        <v/>
      </c>
      <c r="J162" s="25"/>
      <c r="K162" s="25"/>
      <c r="L162" s="31"/>
      <c r="M162" s="29" t="str">
        <f aca="false">IF($C162="","",YEAR($C162))</f>
        <v/>
      </c>
      <c r="N162" s="24"/>
      <c r="O162" s="35" t="str">
        <f aca="false">IF($C162="","",IF($D162="","★没选客户项目",IF(COUNTIF(合同键,$D162)=0,"★《维保合同》里没这个项目",IF(N($G162)&lt;=0,"★收款金额要填",IF($H162="","★票据类型要选",IF(AND($L162&lt;&gt;"",COUNTIF(应收单号,$L162)=0),"★关联的应收单号不存在",IF(AND($L162&lt;&gt;"",IFERROR(INDEX(应收键,MATCH($L162,应收单号,0)),"")&lt;&gt;$D162),"★关联单号不是这个客户的",IF(AND($L162&lt;&gt;"",ROUND(SUMIF(收款关联,$L162,收款金额)-IFERROR(INDEX(应收金额,MATCH($L162,应收单号,0)),0),2)&gt;0.001),"★指定冲销超过那张单的应收","OK"))))))))</f>
        <v/>
      </c>
    </row>
    <row r="163" customFormat="false" ht="15" hidden="false" customHeight="false" outlineLevel="0" collapsed="false">
      <c r="A163" s="29" t="str">
        <f aca="false">IF($C163="","",ROW()-4)</f>
        <v/>
      </c>
      <c r="B163" s="35" t="str">
        <f aca="false">IF($C163="","","SK"&amp;TEXT($C163,"yyyymm")&amp;"-"&amp;TEXT(ROW()-4,"0000"))</f>
        <v/>
      </c>
      <c r="C163" s="33"/>
      <c r="D163" s="24"/>
      <c r="E163" s="30" t="str">
        <f aca="false">IF($D163="","",IFERROR(INDEX(合同单位,MATCH($D163,合同键,0)),IFERROR(TRIM(LEFT($D163,FIND("｜",$D163)-1)),$D163)))</f>
        <v/>
      </c>
      <c r="F163" s="30" t="str">
        <f aca="false">IF($D163="","",IFERROR(INDEX(合同项目,MATCH($D163,合同键,0)),IFERROR(TRIM(MID($D163,FIND("｜",$D163)+1,99)),"")))</f>
        <v/>
      </c>
      <c r="G163" s="39"/>
      <c r="H163" s="25"/>
      <c r="I163" s="35" t="str">
        <f aca="false">IF($H163="","",IFERROR(INDEX(票据归类表,MATCH($H163,票据类型表,0)),"现金无票"))</f>
        <v/>
      </c>
      <c r="J163" s="25"/>
      <c r="K163" s="25"/>
      <c r="L163" s="31"/>
      <c r="M163" s="29" t="str">
        <f aca="false">IF($C163="","",YEAR($C163))</f>
        <v/>
      </c>
      <c r="N163" s="24"/>
      <c r="O163" s="35" t="str">
        <f aca="false">IF($C163="","",IF($D163="","★没选客户项目",IF(COUNTIF(合同键,$D163)=0,"★《维保合同》里没这个项目",IF(N($G163)&lt;=0,"★收款金额要填",IF($H163="","★票据类型要选",IF(AND($L163&lt;&gt;"",COUNTIF(应收单号,$L163)=0),"★关联的应收单号不存在",IF(AND($L163&lt;&gt;"",IFERROR(INDEX(应收键,MATCH($L163,应收单号,0)),"")&lt;&gt;$D163),"★关联单号不是这个客户的",IF(AND($L163&lt;&gt;"",ROUND(SUMIF(收款关联,$L163,收款金额)-IFERROR(INDEX(应收金额,MATCH($L163,应收单号,0)),0),2)&gt;0.001),"★指定冲销超过那张单的应收","OK"))))))))</f>
        <v/>
      </c>
    </row>
    <row r="164" customFormat="false" ht="15" hidden="false" customHeight="false" outlineLevel="0" collapsed="false">
      <c r="A164" s="29" t="str">
        <f aca="false">IF($C164="","",ROW()-4)</f>
        <v/>
      </c>
      <c r="B164" s="35" t="str">
        <f aca="false">IF($C164="","","SK"&amp;TEXT($C164,"yyyymm")&amp;"-"&amp;TEXT(ROW()-4,"0000"))</f>
        <v/>
      </c>
      <c r="C164" s="33"/>
      <c r="D164" s="24"/>
      <c r="E164" s="30" t="str">
        <f aca="false">IF($D164="","",IFERROR(INDEX(合同单位,MATCH($D164,合同键,0)),IFERROR(TRIM(LEFT($D164,FIND("｜",$D164)-1)),$D164)))</f>
        <v/>
      </c>
      <c r="F164" s="30" t="str">
        <f aca="false">IF($D164="","",IFERROR(INDEX(合同项目,MATCH($D164,合同键,0)),IFERROR(TRIM(MID($D164,FIND("｜",$D164)+1,99)),"")))</f>
        <v/>
      </c>
      <c r="G164" s="39"/>
      <c r="H164" s="25"/>
      <c r="I164" s="35" t="str">
        <f aca="false">IF($H164="","",IFERROR(INDEX(票据归类表,MATCH($H164,票据类型表,0)),"现金无票"))</f>
        <v/>
      </c>
      <c r="J164" s="25"/>
      <c r="K164" s="25"/>
      <c r="L164" s="31"/>
      <c r="M164" s="29" t="str">
        <f aca="false">IF($C164="","",YEAR($C164))</f>
        <v/>
      </c>
      <c r="N164" s="24"/>
      <c r="O164" s="35" t="str">
        <f aca="false">IF($C164="","",IF($D164="","★没选客户项目",IF(COUNTIF(合同键,$D164)=0,"★《维保合同》里没这个项目",IF(N($G164)&lt;=0,"★收款金额要填",IF($H164="","★票据类型要选",IF(AND($L164&lt;&gt;"",COUNTIF(应收单号,$L164)=0),"★关联的应收单号不存在",IF(AND($L164&lt;&gt;"",IFERROR(INDEX(应收键,MATCH($L164,应收单号,0)),"")&lt;&gt;$D164),"★关联单号不是这个客户的",IF(AND($L164&lt;&gt;"",ROUND(SUMIF(收款关联,$L164,收款金额)-IFERROR(INDEX(应收金额,MATCH($L164,应收单号,0)),0),2)&gt;0.001),"★指定冲销超过那张单的应收","OK"))))))))</f>
        <v/>
      </c>
    </row>
    <row r="165" customFormat="false" ht="15" hidden="false" customHeight="false" outlineLevel="0" collapsed="false">
      <c r="A165" s="29" t="str">
        <f aca="false">IF($C165="","",ROW()-4)</f>
        <v/>
      </c>
      <c r="B165" s="35" t="str">
        <f aca="false">IF($C165="","","SK"&amp;TEXT($C165,"yyyymm")&amp;"-"&amp;TEXT(ROW()-4,"0000"))</f>
        <v/>
      </c>
      <c r="C165" s="33"/>
      <c r="D165" s="24"/>
      <c r="E165" s="30" t="str">
        <f aca="false">IF($D165="","",IFERROR(INDEX(合同单位,MATCH($D165,合同键,0)),IFERROR(TRIM(LEFT($D165,FIND("｜",$D165)-1)),$D165)))</f>
        <v/>
      </c>
      <c r="F165" s="30" t="str">
        <f aca="false">IF($D165="","",IFERROR(INDEX(合同项目,MATCH($D165,合同键,0)),IFERROR(TRIM(MID($D165,FIND("｜",$D165)+1,99)),"")))</f>
        <v/>
      </c>
      <c r="G165" s="39"/>
      <c r="H165" s="25"/>
      <c r="I165" s="35" t="str">
        <f aca="false">IF($H165="","",IFERROR(INDEX(票据归类表,MATCH($H165,票据类型表,0)),"现金无票"))</f>
        <v/>
      </c>
      <c r="J165" s="25"/>
      <c r="K165" s="25"/>
      <c r="L165" s="31"/>
      <c r="M165" s="29" t="str">
        <f aca="false">IF($C165="","",YEAR($C165))</f>
        <v/>
      </c>
      <c r="N165" s="24"/>
      <c r="O165" s="35" t="str">
        <f aca="false">IF($C165="","",IF($D165="","★没选客户项目",IF(COUNTIF(合同键,$D165)=0,"★《维保合同》里没这个项目",IF(N($G165)&lt;=0,"★收款金额要填",IF($H165="","★票据类型要选",IF(AND($L165&lt;&gt;"",COUNTIF(应收单号,$L165)=0),"★关联的应收单号不存在",IF(AND($L165&lt;&gt;"",IFERROR(INDEX(应收键,MATCH($L165,应收单号,0)),"")&lt;&gt;$D165),"★关联单号不是这个客户的",IF(AND($L165&lt;&gt;"",ROUND(SUMIF(收款关联,$L165,收款金额)-IFERROR(INDEX(应收金额,MATCH($L165,应收单号,0)),0),2)&gt;0.001),"★指定冲销超过那张单的应收","OK"))))))))</f>
        <v/>
      </c>
    </row>
    <row r="166" customFormat="false" ht="15" hidden="false" customHeight="false" outlineLevel="0" collapsed="false">
      <c r="A166" s="29" t="str">
        <f aca="false">IF($C166="","",ROW()-4)</f>
        <v/>
      </c>
      <c r="B166" s="35" t="str">
        <f aca="false">IF($C166="","","SK"&amp;TEXT($C166,"yyyymm")&amp;"-"&amp;TEXT(ROW()-4,"0000"))</f>
        <v/>
      </c>
      <c r="C166" s="33"/>
      <c r="D166" s="24"/>
      <c r="E166" s="30" t="str">
        <f aca="false">IF($D166="","",IFERROR(INDEX(合同单位,MATCH($D166,合同键,0)),IFERROR(TRIM(LEFT($D166,FIND("｜",$D166)-1)),$D166)))</f>
        <v/>
      </c>
      <c r="F166" s="30" t="str">
        <f aca="false">IF($D166="","",IFERROR(INDEX(合同项目,MATCH($D166,合同键,0)),IFERROR(TRIM(MID($D166,FIND("｜",$D166)+1,99)),"")))</f>
        <v/>
      </c>
      <c r="G166" s="39"/>
      <c r="H166" s="25"/>
      <c r="I166" s="35" t="str">
        <f aca="false">IF($H166="","",IFERROR(INDEX(票据归类表,MATCH($H166,票据类型表,0)),"现金无票"))</f>
        <v/>
      </c>
      <c r="J166" s="25"/>
      <c r="K166" s="25"/>
      <c r="L166" s="31"/>
      <c r="M166" s="29" t="str">
        <f aca="false">IF($C166="","",YEAR($C166))</f>
        <v/>
      </c>
      <c r="N166" s="24"/>
      <c r="O166" s="35" t="str">
        <f aca="false">IF($C166="","",IF($D166="","★没选客户项目",IF(COUNTIF(合同键,$D166)=0,"★《维保合同》里没这个项目",IF(N($G166)&lt;=0,"★收款金额要填",IF($H166="","★票据类型要选",IF(AND($L166&lt;&gt;"",COUNTIF(应收单号,$L166)=0),"★关联的应收单号不存在",IF(AND($L166&lt;&gt;"",IFERROR(INDEX(应收键,MATCH($L166,应收单号,0)),"")&lt;&gt;$D166),"★关联单号不是这个客户的",IF(AND($L166&lt;&gt;"",ROUND(SUMIF(收款关联,$L166,收款金额)-IFERROR(INDEX(应收金额,MATCH($L166,应收单号,0)),0),2)&gt;0.001),"★指定冲销超过那张单的应收","OK"))))))))</f>
        <v/>
      </c>
    </row>
    <row r="167" customFormat="false" ht="15" hidden="false" customHeight="false" outlineLevel="0" collapsed="false">
      <c r="A167" s="29" t="str">
        <f aca="false">IF($C167="","",ROW()-4)</f>
        <v/>
      </c>
      <c r="B167" s="35" t="str">
        <f aca="false">IF($C167="","","SK"&amp;TEXT($C167,"yyyymm")&amp;"-"&amp;TEXT(ROW()-4,"0000"))</f>
        <v/>
      </c>
      <c r="C167" s="33"/>
      <c r="D167" s="24"/>
      <c r="E167" s="30" t="str">
        <f aca="false">IF($D167="","",IFERROR(INDEX(合同单位,MATCH($D167,合同键,0)),IFERROR(TRIM(LEFT($D167,FIND("｜",$D167)-1)),$D167)))</f>
        <v/>
      </c>
      <c r="F167" s="30" t="str">
        <f aca="false">IF($D167="","",IFERROR(INDEX(合同项目,MATCH($D167,合同键,0)),IFERROR(TRIM(MID($D167,FIND("｜",$D167)+1,99)),"")))</f>
        <v/>
      </c>
      <c r="G167" s="39"/>
      <c r="H167" s="25"/>
      <c r="I167" s="35" t="str">
        <f aca="false">IF($H167="","",IFERROR(INDEX(票据归类表,MATCH($H167,票据类型表,0)),"现金无票"))</f>
        <v/>
      </c>
      <c r="J167" s="25"/>
      <c r="K167" s="25"/>
      <c r="L167" s="31"/>
      <c r="M167" s="29" t="str">
        <f aca="false">IF($C167="","",YEAR($C167))</f>
        <v/>
      </c>
      <c r="N167" s="24"/>
      <c r="O167" s="35" t="str">
        <f aca="false">IF($C167="","",IF($D167="","★没选客户项目",IF(COUNTIF(合同键,$D167)=0,"★《维保合同》里没这个项目",IF(N($G167)&lt;=0,"★收款金额要填",IF($H167="","★票据类型要选",IF(AND($L167&lt;&gt;"",COUNTIF(应收单号,$L167)=0),"★关联的应收单号不存在",IF(AND($L167&lt;&gt;"",IFERROR(INDEX(应收键,MATCH($L167,应收单号,0)),"")&lt;&gt;$D167),"★关联单号不是这个客户的",IF(AND($L167&lt;&gt;"",ROUND(SUMIF(收款关联,$L167,收款金额)-IFERROR(INDEX(应收金额,MATCH($L167,应收单号,0)),0),2)&gt;0.001),"★指定冲销超过那张单的应收","OK"))))))))</f>
        <v/>
      </c>
    </row>
    <row r="168" customFormat="false" ht="15" hidden="false" customHeight="false" outlineLevel="0" collapsed="false">
      <c r="A168" s="29" t="str">
        <f aca="false">IF($C168="","",ROW()-4)</f>
        <v/>
      </c>
      <c r="B168" s="35" t="str">
        <f aca="false">IF($C168="","","SK"&amp;TEXT($C168,"yyyymm")&amp;"-"&amp;TEXT(ROW()-4,"0000"))</f>
        <v/>
      </c>
      <c r="C168" s="33"/>
      <c r="D168" s="24"/>
      <c r="E168" s="30" t="str">
        <f aca="false">IF($D168="","",IFERROR(INDEX(合同单位,MATCH($D168,合同键,0)),IFERROR(TRIM(LEFT($D168,FIND("｜",$D168)-1)),$D168)))</f>
        <v/>
      </c>
      <c r="F168" s="30" t="str">
        <f aca="false">IF($D168="","",IFERROR(INDEX(合同项目,MATCH($D168,合同键,0)),IFERROR(TRIM(MID($D168,FIND("｜",$D168)+1,99)),"")))</f>
        <v/>
      </c>
      <c r="G168" s="39"/>
      <c r="H168" s="25"/>
      <c r="I168" s="35" t="str">
        <f aca="false">IF($H168="","",IFERROR(INDEX(票据归类表,MATCH($H168,票据类型表,0)),"现金无票"))</f>
        <v/>
      </c>
      <c r="J168" s="25"/>
      <c r="K168" s="25"/>
      <c r="L168" s="31"/>
      <c r="M168" s="29" t="str">
        <f aca="false">IF($C168="","",YEAR($C168))</f>
        <v/>
      </c>
      <c r="N168" s="24"/>
      <c r="O168" s="35" t="str">
        <f aca="false">IF($C168="","",IF($D168="","★没选客户项目",IF(COUNTIF(合同键,$D168)=0,"★《维保合同》里没这个项目",IF(N($G168)&lt;=0,"★收款金额要填",IF($H168="","★票据类型要选",IF(AND($L168&lt;&gt;"",COUNTIF(应收单号,$L168)=0),"★关联的应收单号不存在",IF(AND($L168&lt;&gt;"",IFERROR(INDEX(应收键,MATCH($L168,应收单号,0)),"")&lt;&gt;$D168),"★关联单号不是这个客户的",IF(AND($L168&lt;&gt;"",ROUND(SUMIF(收款关联,$L168,收款金额)-IFERROR(INDEX(应收金额,MATCH($L168,应收单号,0)),0),2)&gt;0.001),"★指定冲销超过那张单的应收","OK"))))))))</f>
        <v/>
      </c>
    </row>
    <row r="169" customFormat="false" ht="15" hidden="false" customHeight="false" outlineLevel="0" collapsed="false">
      <c r="A169" s="29" t="str">
        <f aca="false">IF($C169="","",ROW()-4)</f>
        <v/>
      </c>
      <c r="B169" s="35" t="str">
        <f aca="false">IF($C169="","","SK"&amp;TEXT($C169,"yyyymm")&amp;"-"&amp;TEXT(ROW()-4,"0000"))</f>
        <v/>
      </c>
      <c r="C169" s="33"/>
      <c r="D169" s="24"/>
      <c r="E169" s="30" t="str">
        <f aca="false">IF($D169="","",IFERROR(INDEX(合同单位,MATCH($D169,合同键,0)),IFERROR(TRIM(LEFT($D169,FIND("｜",$D169)-1)),$D169)))</f>
        <v/>
      </c>
      <c r="F169" s="30" t="str">
        <f aca="false">IF($D169="","",IFERROR(INDEX(合同项目,MATCH($D169,合同键,0)),IFERROR(TRIM(MID($D169,FIND("｜",$D169)+1,99)),"")))</f>
        <v/>
      </c>
      <c r="G169" s="39"/>
      <c r="H169" s="25"/>
      <c r="I169" s="35" t="str">
        <f aca="false">IF($H169="","",IFERROR(INDEX(票据归类表,MATCH($H169,票据类型表,0)),"现金无票"))</f>
        <v/>
      </c>
      <c r="J169" s="25"/>
      <c r="K169" s="25"/>
      <c r="L169" s="31"/>
      <c r="M169" s="29" t="str">
        <f aca="false">IF($C169="","",YEAR($C169))</f>
        <v/>
      </c>
      <c r="N169" s="24"/>
      <c r="O169" s="35" t="str">
        <f aca="false">IF($C169="","",IF($D169="","★没选客户项目",IF(COUNTIF(合同键,$D169)=0,"★《维保合同》里没这个项目",IF(N($G169)&lt;=0,"★收款金额要填",IF($H169="","★票据类型要选",IF(AND($L169&lt;&gt;"",COUNTIF(应收单号,$L169)=0),"★关联的应收单号不存在",IF(AND($L169&lt;&gt;"",IFERROR(INDEX(应收键,MATCH($L169,应收单号,0)),"")&lt;&gt;$D169),"★关联单号不是这个客户的",IF(AND($L169&lt;&gt;"",ROUND(SUMIF(收款关联,$L169,收款金额)-IFERROR(INDEX(应收金额,MATCH($L169,应收单号,0)),0),2)&gt;0.001),"★指定冲销超过那张单的应收","OK"))))))))</f>
        <v/>
      </c>
    </row>
    <row r="170" customFormat="false" ht="15" hidden="false" customHeight="false" outlineLevel="0" collapsed="false">
      <c r="A170" s="29" t="str">
        <f aca="false">IF($C170="","",ROW()-4)</f>
        <v/>
      </c>
      <c r="B170" s="35" t="str">
        <f aca="false">IF($C170="","","SK"&amp;TEXT($C170,"yyyymm")&amp;"-"&amp;TEXT(ROW()-4,"0000"))</f>
        <v/>
      </c>
      <c r="C170" s="33"/>
      <c r="D170" s="24"/>
      <c r="E170" s="30" t="str">
        <f aca="false">IF($D170="","",IFERROR(INDEX(合同单位,MATCH($D170,合同键,0)),IFERROR(TRIM(LEFT($D170,FIND("｜",$D170)-1)),$D170)))</f>
        <v/>
      </c>
      <c r="F170" s="30" t="str">
        <f aca="false">IF($D170="","",IFERROR(INDEX(合同项目,MATCH($D170,合同键,0)),IFERROR(TRIM(MID($D170,FIND("｜",$D170)+1,99)),"")))</f>
        <v/>
      </c>
      <c r="G170" s="39"/>
      <c r="H170" s="25"/>
      <c r="I170" s="35" t="str">
        <f aca="false">IF($H170="","",IFERROR(INDEX(票据归类表,MATCH($H170,票据类型表,0)),"现金无票"))</f>
        <v/>
      </c>
      <c r="J170" s="25"/>
      <c r="K170" s="25"/>
      <c r="L170" s="31"/>
      <c r="M170" s="29" t="str">
        <f aca="false">IF($C170="","",YEAR($C170))</f>
        <v/>
      </c>
      <c r="N170" s="24"/>
      <c r="O170" s="35" t="str">
        <f aca="false">IF($C170="","",IF($D170="","★没选客户项目",IF(COUNTIF(合同键,$D170)=0,"★《维保合同》里没这个项目",IF(N($G170)&lt;=0,"★收款金额要填",IF($H170="","★票据类型要选",IF(AND($L170&lt;&gt;"",COUNTIF(应收单号,$L170)=0),"★关联的应收单号不存在",IF(AND($L170&lt;&gt;"",IFERROR(INDEX(应收键,MATCH($L170,应收单号,0)),"")&lt;&gt;$D170),"★关联单号不是这个客户的",IF(AND($L170&lt;&gt;"",ROUND(SUMIF(收款关联,$L170,收款金额)-IFERROR(INDEX(应收金额,MATCH($L170,应收单号,0)),0),2)&gt;0.001),"★指定冲销超过那张单的应收","OK"))))))))</f>
        <v/>
      </c>
    </row>
    <row r="171" customFormat="false" ht="15" hidden="false" customHeight="false" outlineLevel="0" collapsed="false">
      <c r="A171" s="29" t="str">
        <f aca="false">IF($C171="","",ROW()-4)</f>
        <v/>
      </c>
      <c r="B171" s="35" t="str">
        <f aca="false">IF($C171="","","SK"&amp;TEXT($C171,"yyyymm")&amp;"-"&amp;TEXT(ROW()-4,"0000"))</f>
        <v/>
      </c>
      <c r="C171" s="33"/>
      <c r="D171" s="24"/>
      <c r="E171" s="30" t="str">
        <f aca="false">IF($D171="","",IFERROR(INDEX(合同单位,MATCH($D171,合同键,0)),IFERROR(TRIM(LEFT($D171,FIND("｜",$D171)-1)),$D171)))</f>
        <v/>
      </c>
      <c r="F171" s="30" t="str">
        <f aca="false">IF($D171="","",IFERROR(INDEX(合同项目,MATCH($D171,合同键,0)),IFERROR(TRIM(MID($D171,FIND("｜",$D171)+1,99)),"")))</f>
        <v/>
      </c>
      <c r="G171" s="39"/>
      <c r="H171" s="25"/>
      <c r="I171" s="35" t="str">
        <f aca="false">IF($H171="","",IFERROR(INDEX(票据归类表,MATCH($H171,票据类型表,0)),"现金无票"))</f>
        <v/>
      </c>
      <c r="J171" s="25"/>
      <c r="K171" s="25"/>
      <c r="L171" s="31"/>
      <c r="M171" s="29" t="str">
        <f aca="false">IF($C171="","",YEAR($C171))</f>
        <v/>
      </c>
      <c r="N171" s="24"/>
      <c r="O171" s="35" t="str">
        <f aca="false">IF($C171="","",IF($D171="","★没选客户项目",IF(COUNTIF(合同键,$D171)=0,"★《维保合同》里没这个项目",IF(N($G171)&lt;=0,"★收款金额要填",IF($H171="","★票据类型要选",IF(AND($L171&lt;&gt;"",COUNTIF(应收单号,$L171)=0),"★关联的应收单号不存在",IF(AND($L171&lt;&gt;"",IFERROR(INDEX(应收键,MATCH($L171,应收单号,0)),"")&lt;&gt;$D171),"★关联单号不是这个客户的",IF(AND($L171&lt;&gt;"",ROUND(SUMIF(收款关联,$L171,收款金额)-IFERROR(INDEX(应收金额,MATCH($L171,应收单号,0)),0),2)&gt;0.001),"★指定冲销超过那张单的应收","OK"))))))))</f>
        <v/>
      </c>
    </row>
    <row r="172" customFormat="false" ht="15" hidden="false" customHeight="false" outlineLevel="0" collapsed="false">
      <c r="A172" s="29" t="str">
        <f aca="false">IF($C172="","",ROW()-4)</f>
        <v/>
      </c>
      <c r="B172" s="35" t="str">
        <f aca="false">IF($C172="","","SK"&amp;TEXT($C172,"yyyymm")&amp;"-"&amp;TEXT(ROW()-4,"0000"))</f>
        <v/>
      </c>
      <c r="C172" s="33"/>
      <c r="D172" s="24"/>
      <c r="E172" s="30" t="str">
        <f aca="false">IF($D172="","",IFERROR(INDEX(合同单位,MATCH($D172,合同键,0)),IFERROR(TRIM(LEFT($D172,FIND("｜",$D172)-1)),$D172)))</f>
        <v/>
      </c>
      <c r="F172" s="30" t="str">
        <f aca="false">IF($D172="","",IFERROR(INDEX(合同项目,MATCH($D172,合同键,0)),IFERROR(TRIM(MID($D172,FIND("｜",$D172)+1,99)),"")))</f>
        <v/>
      </c>
      <c r="G172" s="39"/>
      <c r="H172" s="25"/>
      <c r="I172" s="35" t="str">
        <f aca="false">IF($H172="","",IFERROR(INDEX(票据归类表,MATCH($H172,票据类型表,0)),"现金无票"))</f>
        <v/>
      </c>
      <c r="J172" s="25"/>
      <c r="K172" s="25"/>
      <c r="L172" s="31"/>
      <c r="M172" s="29" t="str">
        <f aca="false">IF($C172="","",YEAR($C172))</f>
        <v/>
      </c>
      <c r="N172" s="24"/>
      <c r="O172" s="35" t="str">
        <f aca="false">IF($C172="","",IF($D172="","★没选客户项目",IF(COUNTIF(合同键,$D172)=0,"★《维保合同》里没这个项目",IF(N($G172)&lt;=0,"★收款金额要填",IF($H172="","★票据类型要选",IF(AND($L172&lt;&gt;"",COUNTIF(应收单号,$L172)=0),"★关联的应收单号不存在",IF(AND($L172&lt;&gt;"",IFERROR(INDEX(应收键,MATCH($L172,应收单号,0)),"")&lt;&gt;$D172),"★关联单号不是这个客户的",IF(AND($L172&lt;&gt;"",ROUND(SUMIF(收款关联,$L172,收款金额)-IFERROR(INDEX(应收金额,MATCH($L172,应收单号,0)),0),2)&gt;0.001),"★指定冲销超过那张单的应收","OK"))))))))</f>
        <v/>
      </c>
    </row>
    <row r="173" customFormat="false" ht="15" hidden="false" customHeight="false" outlineLevel="0" collapsed="false">
      <c r="A173" s="29" t="str">
        <f aca="false">IF($C173="","",ROW()-4)</f>
        <v/>
      </c>
      <c r="B173" s="35" t="str">
        <f aca="false">IF($C173="","","SK"&amp;TEXT($C173,"yyyymm")&amp;"-"&amp;TEXT(ROW()-4,"0000"))</f>
        <v/>
      </c>
      <c r="C173" s="33"/>
      <c r="D173" s="24"/>
      <c r="E173" s="30" t="str">
        <f aca="false">IF($D173="","",IFERROR(INDEX(合同单位,MATCH($D173,合同键,0)),IFERROR(TRIM(LEFT($D173,FIND("｜",$D173)-1)),$D173)))</f>
        <v/>
      </c>
      <c r="F173" s="30" t="str">
        <f aca="false">IF($D173="","",IFERROR(INDEX(合同项目,MATCH($D173,合同键,0)),IFERROR(TRIM(MID($D173,FIND("｜",$D173)+1,99)),"")))</f>
        <v/>
      </c>
      <c r="G173" s="39"/>
      <c r="H173" s="25"/>
      <c r="I173" s="35" t="str">
        <f aca="false">IF($H173="","",IFERROR(INDEX(票据归类表,MATCH($H173,票据类型表,0)),"现金无票"))</f>
        <v/>
      </c>
      <c r="J173" s="25"/>
      <c r="K173" s="25"/>
      <c r="L173" s="31"/>
      <c r="M173" s="29" t="str">
        <f aca="false">IF($C173="","",YEAR($C173))</f>
        <v/>
      </c>
      <c r="N173" s="24"/>
      <c r="O173" s="35" t="str">
        <f aca="false">IF($C173="","",IF($D173="","★没选客户项目",IF(COUNTIF(合同键,$D173)=0,"★《维保合同》里没这个项目",IF(N($G173)&lt;=0,"★收款金额要填",IF($H173="","★票据类型要选",IF(AND($L173&lt;&gt;"",COUNTIF(应收单号,$L173)=0),"★关联的应收单号不存在",IF(AND($L173&lt;&gt;"",IFERROR(INDEX(应收键,MATCH($L173,应收单号,0)),"")&lt;&gt;$D173),"★关联单号不是这个客户的",IF(AND($L173&lt;&gt;"",ROUND(SUMIF(收款关联,$L173,收款金额)-IFERROR(INDEX(应收金额,MATCH($L173,应收单号,0)),0),2)&gt;0.001),"★指定冲销超过那张单的应收","OK"))))))))</f>
        <v/>
      </c>
    </row>
    <row r="174" customFormat="false" ht="15" hidden="false" customHeight="false" outlineLevel="0" collapsed="false">
      <c r="A174" s="29" t="str">
        <f aca="false">IF($C174="","",ROW()-4)</f>
        <v/>
      </c>
      <c r="B174" s="35" t="str">
        <f aca="false">IF($C174="","","SK"&amp;TEXT($C174,"yyyymm")&amp;"-"&amp;TEXT(ROW()-4,"0000"))</f>
        <v/>
      </c>
      <c r="C174" s="33"/>
      <c r="D174" s="24"/>
      <c r="E174" s="30" t="str">
        <f aca="false">IF($D174="","",IFERROR(INDEX(合同单位,MATCH($D174,合同键,0)),IFERROR(TRIM(LEFT($D174,FIND("｜",$D174)-1)),$D174)))</f>
        <v/>
      </c>
      <c r="F174" s="30" t="str">
        <f aca="false">IF($D174="","",IFERROR(INDEX(合同项目,MATCH($D174,合同键,0)),IFERROR(TRIM(MID($D174,FIND("｜",$D174)+1,99)),"")))</f>
        <v/>
      </c>
      <c r="G174" s="39"/>
      <c r="H174" s="25"/>
      <c r="I174" s="35" t="str">
        <f aca="false">IF($H174="","",IFERROR(INDEX(票据归类表,MATCH($H174,票据类型表,0)),"现金无票"))</f>
        <v/>
      </c>
      <c r="J174" s="25"/>
      <c r="K174" s="25"/>
      <c r="L174" s="31"/>
      <c r="M174" s="29" t="str">
        <f aca="false">IF($C174="","",YEAR($C174))</f>
        <v/>
      </c>
      <c r="N174" s="24"/>
      <c r="O174" s="35" t="str">
        <f aca="false">IF($C174="","",IF($D174="","★没选客户项目",IF(COUNTIF(合同键,$D174)=0,"★《维保合同》里没这个项目",IF(N($G174)&lt;=0,"★收款金额要填",IF($H174="","★票据类型要选",IF(AND($L174&lt;&gt;"",COUNTIF(应收单号,$L174)=0),"★关联的应收单号不存在",IF(AND($L174&lt;&gt;"",IFERROR(INDEX(应收键,MATCH($L174,应收单号,0)),"")&lt;&gt;$D174),"★关联单号不是这个客户的",IF(AND($L174&lt;&gt;"",ROUND(SUMIF(收款关联,$L174,收款金额)-IFERROR(INDEX(应收金额,MATCH($L174,应收单号,0)),0),2)&gt;0.001),"★指定冲销超过那张单的应收","OK"))))))))</f>
        <v/>
      </c>
    </row>
    <row r="175" customFormat="false" ht="15" hidden="false" customHeight="false" outlineLevel="0" collapsed="false">
      <c r="A175" s="29" t="str">
        <f aca="false">IF($C175="","",ROW()-4)</f>
        <v/>
      </c>
      <c r="B175" s="35" t="str">
        <f aca="false">IF($C175="","","SK"&amp;TEXT($C175,"yyyymm")&amp;"-"&amp;TEXT(ROW()-4,"0000"))</f>
        <v/>
      </c>
      <c r="C175" s="33"/>
      <c r="D175" s="24"/>
      <c r="E175" s="30" t="str">
        <f aca="false">IF($D175="","",IFERROR(INDEX(合同单位,MATCH($D175,合同键,0)),IFERROR(TRIM(LEFT($D175,FIND("｜",$D175)-1)),$D175)))</f>
        <v/>
      </c>
      <c r="F175" s="30" t="str">
        <f aca="false">IF($D175="","",IFERROR(INDEX(合同项目,MATCH($D175,合同键,0)),IFERROR(TRIM(MID($D175,FIND("｜",$D175)+1,99)),"")))</f>
        <v/>
      </c>
      <c r="G175" s="39"/>
      <c r="H175" s="25"/>
      <c r="I175" s="35" t="str">
        <f aca="false">IF($H175="","",IFERROR(INDEX(票据归类表,MATCH($H175,票据类型表,0)),"现金无票"))</f>
        <v/>
      </c>
      <c r="J175" s="25"/>
      <c r="K175" s="25"/>
      <c r="L175" s="31"/>
      <c r="M175" s="29" t="str">
        <f aca="false">IF($C175="","",YEAR($C175))</f>
        <v/>
      </c>
      <c r="N175" s="24"/>
      <c r="O175" s="35" t="str">
        <f aca="false">IF($C175="","",IF($D175="","★没选客户项目",IF(COUNTIF(合同键,$D175)=0,"★《维保合同》里没这个项目",IF(N($G175)&lt;=0,"★收款金额要填",IF($H175="","★票据类型要选",IF(AND($L175&lt;&gt;"",COUNTIF(应收单号,$L175)=0),"★关联的应收单号不存在",IF(AND($L175&lt;&gt;"",IFERROR(INDEX(应收键,MATCH($L175,应收单号,0)),"")&lt;&gt;$D175),"★关联单号不是这个客户的",IF(AND($L175&lt;&gt;"",ROUND(SUMIF(收款关联,$L175,收款金额)-IFERROR(INDEX(应收金额,MATCH($L175,应收单号,0)),0),2)&gt;0.001),"★指定冲销超过那张单的应收","OK"))))))))</f>
        <v/>
      </c>
    </row>
    <row r="176" customFormat="false" ht="15" hidden="false" customHeight="false" outlineLevel="0" collapsed="false">
      <c r="A176" s="29" t="str">
        <f aca="false">IF($C176="","",ROW()-4)</f>
        <v/>
      </c>
      <c r="B176" s="35" t="str">
        <f aca="false">IF($C176="","","SK"&amp;TEXT($C176,"yyyymm")&amp;"-"&amp;TEXT(ROW()-4,"0000"))</f>
        <v/>
      </c>
      <c r="C176" s="33"/>
      <c r="D176" s="24"/>
      <c r="E176" s="30" t="str">
        <f aca="false">IF($D176="","",IFERROR(INDEX(合同单位,MATCH($D176,合同键,0)),IFERROR(TRIM(LEFT($D176,FIND("｜",$D176)-1)),$D176)))</f>
        <v/>
      </c>
      <c r="F176" s="30" t="str">
        <f aca="false">IF($D176="","",IFERROR(INDEX(合同项目,MATCH($D176,合同键,0)),IFERROR(TRIM(MID($D176,FIND("｜",$D176)+1,99)),"")))</f>
        <v/>
      </c>
      <c r="G176" s="39"/>
      <c r="H176" s="25"/>
      <c r="I176" s="35" t="str">
        <f aca="false">IF($H176="","",IFERROR(INDEX(票据归类表,MATCH($H176,票据类型表,0)),"现金无票"))</f>
        <v/>
      </c>
      <c r="J176" s="25"/>
      <c r="K176" s="25"/>
      <c r="L176" s="31"/>
      <c r="M176" s="29" t="str">
        <f aca="false">IF($C176="","",YEAR($C176))</f>
        <v/>
      </c>
      <c r="N176" s="24"/>
      <c r="O176" s="35" t="str">
        <f aca="false">IF($C176="","",IF($D176="","★没选客户项目",IF(COUNTIF(合同键,$D176)=0,"★《维保合同》里没这个项目",IF(N($G176)&lt;=0,"★收款金额要填",IF($H176="","★票据类型要选",IF(AND($L176&lt;&gt;"",COUNTIF(应收单号,$L176)=0),"★关联的应收单号不存在",IF(AND($L176&lt;&gt;"",IFERROR(INDEX(应收键,MATCH($L176,应收单号,0)),"")&lt;&gt;$D176),"★关联单号不是这个客户的",IF(AND($L176&lt;&gt;"",ROUND(SUMIF(收款关联,$L176,收款金额)-IFERROR(INDEX(应收金额,MATCH($L176,应收单号,0)),0),2)&gt;0.001),"★指定冲销超过那张单的应收","OK"))))))))</f>
        <v/>
      </c>
    </row>
    <row r="177" customFormat="false" ht="15" hidden="false" customHeight="false" outlineLevel="0" collapsed="false">
      <c r="A177" s="29" t="str">
        <f aca="false">IF($C177="","",ROW()-4)</f>
        <v/>
      </c>
      <c r="B177" s="35" t="str">
        <f aca="false">IF($C177="","","SK"&amp;TEXT($C177,"yyyymm")&amp;"-"&amp;TEXT(ROW()-4,"0000"))</f>
        <v/>
      </c>
      <c r="C177" s="33"/>
      <c r="D177" s="24"/>
      <c r="E177" s="30" t="str">
        <f aca="false">IF($D177="","",IFERROR(INDEX(合同单位,MATCH($D177,合同键,0)),IFERROR(TRIM(LEFT($D177,FIND("｜",$D177)-1)),$D177)))</f>
        <v/>
      </c>
      <c r="F177" s="30" t="str">
        <f aca="false">IF($D177="","",IFERROR(INDEX(合同项目,MATCH($D177,合同键,0)),IFERROR(TRIM(MID($D177,FIND("｜",$D177)+1,99)),"")))</f>
        <v/>
      </c>
      <c r="G177" s="39"/>
      <c r="H177" s="25"/>
      <c r="I177" s="35" t="str">
        <f aca="false">IF($H177="","",IFERROR(INDEX(票据归类表,MATCH($H177,票据类型表,0)),"现金无票"))</f>
        <v/>
      </c>
      <c r="J177" s="25"/>
      <c r="K177" s="25"/>
      <c r="L177" s="31"/>
      <c r="M177" s="29" t="str">
        <f aca="false">IF($C177="","",YEAR($C177))</f>
        <v/>
      </c>
      <c r="N177" s="24"/>
      <c r="O177" s="35" t="str">
        <f aca="false">IF($C177="","",IF($D177="","★没选客户项目",IF(COUNTIF(合同键,$D177)=0,"★《维保合同》里没这个项目",IF(N($G177)&lt;=0,"★收款金额要填",IF($H177="","★票据类型要选",IF(AND($L177&lt;&gt;"",COUNTIF(应收单号,$L177)=0),"★关联的应收单号不存在",IF(AND($L177&lt;&gt;"",IFERROR(INDEX(应收键,MATCH($L177,应收单号,0)),"")&lt;&gt;$D177),"★关联单号不是这个客户的",IF(AND($L177&lt;&gt;"",ROUND(SUMIF(收款关联,$L177,收款金额)-IFERROR(INDEX(应收金额,MATCH($L177,应收单号,0)),0),2)&gt;0.001),"★指定冲销超过那张单的应收","OK"))))))))</f>
        <v/>
      </c>
    </row>
    <row r="178" customFormat="false" ht="15" hidden="false" customHeight="false" outlineLevel="0" collapsed="false">
      <c r="A178" s="29" t="str">
        <f aca="false">IF($C178="","",ROW()-4)</f>
        <v/>
      </c>
      <c r="B178" s="35" t="str">
        <f aca="false">IF($C178="","","SK"&amp;TEXT($C178,"yyyymm")&amp;"-"&amp;TEXT(ROW()-4,"0000"))</f>
        <v/>
      </c>
      <c r="C178" s="33"/>
      <c r="D178" s="24"/>
      <c r="E178" s="30" t="str">
        <f aca="false">IF($D178="","",IFERROR(INDEX(合同单位,MATCH($D178,合同键,0)),IFERROR(TRIM(LEFT($D178,FIND("｜",$D178)-1)),$D178)))</f>
        <v/>
      </c>
      <c r="F178" s="30" t="str">
        <f aca="false">IF($D178="","",IFERROR(INDEX(合同项目,MATCH($D178,合同键,0)),IFERROR(TRIM(MID($D178,FIND("｜",$D178)+1,99)),"")))</f>
        <v/>
      </c>
      <c r="G178" s="39"/>
      <c r="H178" s="25"/>
      <c r="I178" s="35" t="str">
        <f aca="false">IF($H178="","",IFERROR(INDEX(票据归类表,MATCH($H178,票据类型表,0)),"现金无票"))</f>
        <v/>
      </c>
      <c r="J178" s="25"/>
      <c r="K178" s="25"/>
      <c r="L178" s="31"/>
      <c r="M178" s="29" t="str">
        <f aca="false">IF($C178="","",YEAR($C178))</f>
        <v/>
      </c>
      <c r="N178" s="24"/>
      <c r="O178" s="35" t="str">
        <f aca="false">IF($C178="","",IF($D178="","★没选客户项目",IF(COUNTIF(合同键,$D178)=0,"★《维保合同》里没这个项目",IF(N($G178)&lt;=0,"★收款金额要填",IF($H178="","★票据类型要选",IF(AND($L178&lt;&gt;"",COUNTIF(应收单号,$L178)=0),"★关联的应收单号不存在",IF(AND($L178&lt;&gt;"",IFERROR(INDEX(应收键,MATCH($L178,应收单号,0)),"")&lt;&gt;$D178),"★关联单号不是这个客户的",IF(AND($L178&lt;&gt;"",ROUND(SUMIF(收款关联,$L178,收款金额)-IFERROR(INDEX(应收金额,MATCH($L178,应收单号,0)),0),2)&gt;0.001),"★指定冲销超过那张单的应收","OK"))))))))</f>
        <v/>
      </c>
    </row>
    <row r="179" customFormat="false" ht="15" hidden="false" customHeight="false" outlineLevel="0" collapsed="false">
      <c r="A179" s="29" t="str">
        <f aca="false">IF($C179="","",ROW()-4)</f>
        <v/>
      </c>
      <c r="B179" s="35" t="str">
        <f aca="false">IF($C179="","","SK"&amp;TEXT($C179,"yyyymm")&amp;"-"&amp;TEXT(ROW()-4,"0000"))</f>
        <v/>
      </c>
      <c r="C179" s="33"/>
      <c r="D179" s="24"/>
      <c r="E179" s="30" t="str">
        <f aca="false">IF($D179="","",IFERROR(INDEX(合同单位,MATCH($D179,合同键,0)),IFERROR(TRIM(LEFT($D179,FIND("｜",$D179)-1)),$D179)))</f>
        <v/>
      </c>
      <c r="F179" s="30" t="str">
        <f aca="false">IF($D179="","",IFERROR(INDEX(合同项目,MATCH($D179,合同键,0)),IFERROR(TRIM(MID($D179,FIND("｜",$D179)+1,99)),"")))</f>
        <v/>
      </c>
      <c r="G179" s="39"/>
      <c r="H179" s="25"/>
      <c r="I179" s="35" t="str">
        <f aca="false">IF($H179="","",IFERROR(INDEX(票据归类表,MATCH($H179,票据类型表,0)),"现金无票"))</f>
        <v/>
      </c>
      <c r="J179" s="25"/>
      <c r="K179" s="25"/>
      <c r="L179" s="31"/>
      <c r="M179" s="29" t="str">
        <f aca="false">IF($C179="","",YEAR($C179))</f>
        <v/>
      </c>
      <c r="N179" s="24"/>
      <c r="O179" s="35" t="str">
        <f aca="false">IF($C179="","",IF($D179="","★没选客户项目",IF(COUNTIF(合同键,$D179)=0,"★《维保合同》里没这个项目",IF(N($G179)&lt;=0,"★收款金额要填",IF($H179="","★票据类型要选",IF(AND($L179&lt;&gt;"",COUNTIF(应收单号,$L179)=0),"★关联的应收单号不存在",IF(AND($L179&lt;&gt;"",IFERROR(INDEX(应收键,MATCH($L179,应收单号,0)),"")&lt;&gt;$D179),"★关联单号不是这个客户的",IF(AND($L179&lt;&gt;"",ROUND(SUMIF(收款关联,$L179,收款金额)-IFERROR(INDEX(应收金额,MATCH($L179,应收单号,0)),0),2)&gt;0.001),"★指定冲销超过那张单的应收","OK"))))))))</f>
        <v/>
      </c>
    </row>
    <row r="180" customFormat="false" ht="15" hidden="false" customHeight="false" outlineLevel="0" collapsed="false">
      <c r="A180" s="29" t="str">
        <f aca="false">IF($C180="","",ROW()-4)</f>
        <v/>
      </c>
      <c r="B180" s="35" t="str">
        <f aca="false">IF($C180="","","SK"&amp;TEXT($C180,"yyyymm")&amp;"-"&amp;TEXT(ROW()-4,"0000"))</f>
        <v/>
      </c>
      <c r="C180" s="33"/>
      <c r="D180" s="24"/>
      <c r="E180" s="30" t="str">
        <f aca="false">IF($D180="","",IFERROR(INDEX(合同单位,MATCH($D180,合同键,0)),IFERROR(TRIM(LEFT($D180,FIND("｜",$D180)-1)),$D180)))</f>
        <v/>
      </c>
      <c r="F180" s="30" t="str">
        <f aca="false">IF($D180="","",IFERROR(INDEX(合同项目,MATCH($D180,合同键,0)),IFERROR(TRIM(MID($D180,FIND("｜",$D180)+1,99)),"")))</f>
        <v/>
      </c>
      <c r="G180" s="39"/>
      <c r="H180" s="25"/>
      <c r="I180" s="35" t="str">
        <f aca="false">IF($H180="","",IFERROR(INDEX(票据归类表,MATCH($H180,票据类型表,0)),"现金无票"))</f>
        <v/>
      </c>
      <c r="J180" s="25"/>
      <c r="K180" s="25"/>
      <c r="L180" s="31"/>
      <c r="M180" s="29" t="str">
        <f aca="false">IF($C180="","",YEAR($C180))</f>
        <v/>
      </c>
      <c r="N180" s="24"/>
      <c r="O180" s="35" t="str">
        <f aca="false">IF($C180="","",IF($D180="","★没选客户项目",IF(COUNTIF(合同键,$D180)=0,"★《维保合同》里没这个项目",IF(N($G180)&lt;=0,"★收款金额要填",IF($H180="","★票据类型要选",IF(AND($L180&lt;&gt;"",COUNTIF(应收单号,$L180)=0),"★关联的应收单号不存在",IF(AND($L180&lt;&gt;"",IFERROR(INDEX(应收键,MATCH($L180,应收单号,0)),"")&lt;&gt;$D180),"★关联单号不是这个客户的",IF(AND($L180&lt;&gt;"",ROUND(SUMIF(收款关联,$L180,收款金额)-IFERROR(INDEX(应收金额,MATCH($L180,应收单号,0)),0),2)&gt;0.001),"★指定冲销超过那张单的应收","OK"))))))))</f>
        <v/>
      </c>
    </row>
    <row r="181" customFormat="false" ht="15" hidden="false" customHeight="false" outlineLevel="0" collapsed="false">
      <c r="A181" s="29" t="str">
        <f aca="false">IF($C181="","",ROW()-4)</f>
        <v/>
      </c>
      <c r="B181" s="35" t="str">
        <f aca="false">IF($C181="","","SK"&amp;TEXT($C181,"yyyymm")&amp;"-"&amp;TEXT(ROW()-4,"0000"))</f>
        <v/>
      </c>
      <c r="C181" s="33"/>
      <c r="D181" s="24"/>
      <c r="E181" s="30" t="str">
        <f aca="false">IF($D181="","",IFERROR(INDEX(合同单位,MATCH($D181,合同键,0)),IFERROR(TRIM(LEFT($D181,FIND("｜",$D181)-1)),$D181)))</f>
        <v/>
      </c>
      <c r="F181" s="30" t="str">
        <f aca="false">IF($D181="","",IFERROR(INDEX(合同项目,MATCH($D181,合同键,0)),IFERROR(TRIM(MID($D181,FIND("｜",$D181)+1,99)),"")))</f>
        <v/>
      </c>
      <c r="G181" s="39"/>
      <c r="H181" s="25"/>
      <c r="I181" s="35" t="str">
        <f aca="false">IF($H181="","",IFERROR(INDEX(票据归类表,MATCH($H181,票据类型表,0)),"现金无票"))</f>
        <v/>
      </c>
      <c r="J181" s="25"/>
      <c r="K181" s="25"/>
      <c r="L181" s="31"/>
      <c r="M181" s="29" t="str">
        <f aca="false">IF($C181="","",YEAR($C181))</f>
        <v/>
      </c>
      <c r="N181" s="24"/>
      <c r="O181" s="35" t="str">
        <f aca="false">IF($C181="","",IF($D181="","★没选客户项目",IF(COUNTIF(合同键,$D181)=0,"★《维保合同》里没这个项目",IF(N($G181)&lt;=0,"★收款金额要填",IF($H181="","★票据类型要选",IF(AND($L181&lt;&gt;"",COUNTIF(应收单号,$L181)=0),"★关联的应收单号不存在",IF(AND($L181&lt;&gt;"",IFERROR(INDEX(应收键,MATCH($L181,应收单号,0)),"")&lt;&gt;$D181),"★关联单号不是这个客户的",IF(AND($L181&lt;&gt;"",ROUND(SUMIF(收款关联,$L181,收款金额)-IFERROR(INDEX(应收金额,MATCH($L181,应收单号,0)),0),2)&gt;0.001),"★指定冲销超过那张单的应收","OK"))))))))</f>
        <v/>
      </c>
    </row>
    <row r="182" customFormat="false" ht="15" hidden="false" customHeight="false" outlineLevel="0" collapsed="false">
      <c r="A182" s="29" t="str">
        <f aca="false">IF($C182="","",ROW()-4)</f>
        <v/>
      </c>
      <c r="B182" s="35" t="str">
        <f aca="false">IF($C182="","","SK"&amp;TEXT($C182,"yyyymm")&amp;"-"&amp;TEXT(ROW()-4,"0000"))</f>
        <v/>
      </c>
      <c r="C182" s="33"/>
      <c r="D182" s="24"/>
      <c r="E182" s="30" t="str">
        <f aca="false">IF($D182="","",IFERROR(INDEX(合同单位,MATCH($D182,合同键,0)),IFERROR(TRIM(LEFT($D182,FIND("｜",$D182)-1)),$D182)))</f>
        <v/>
      </c>
      <c r="F182" s="30" t="str">
        <f aca="false">IF($D182="","",IFERROR(INDEX(合同项目,MATCH($D182,合同键,0)),IFERROR(TRIM(MID($D182,FIND("｜",$D182)+1,99)),"")))</f>
        <v/>
      </c>
      <c r="G182" s="39"/>
      <c r="H182" s="25"/>
      <c r="I182" s="35" t="str">
        <f aca="false">IF($H182="","",IFERROR(INDEX(票据归类表,MATCH($H182,票据类型表,0)),"现金无票"))</f>
        <v/>
      </c>
      <c r="J182" s="25"/>
      <c r="K182" s="25"/>
      <c r="L182" s="31"/>
      <c r="M182" s="29" t="str">
        <f aca="false">IF($C182="","",YEAR($C182))</f>
        <v/>
      </c>
      <c r="N182" s="24"/>
      <c r="O182" s="35" t="str">
        <f aca="false">IF($C182="","",IF($D182="","★没选客户项目",IF(COUNTIF(合同键,$D182)=0,"★《维保合同》里没这个项目",IF(N($G182)&lt;=0,"★收款金额要填",IF($H182="","★票据类型要选",IF(AND($L182&lt;&gt;"",COUNTIF(应收单号,$L182)=0),"★关联的应收单号不存在",IF(AND($L182&lt;&gt;"",IFERROR(INDEX(应收键,MATCH($L182,应收单号,0)),"")&lt;&gt;$D182),"★关联单号不是这个客户的",IF(AND($L182&lt;&gt;"",ROUND(SUMIF(收款关联,$L182,收款金额)-IFERROR(INDEX(应收金额,MATCH($L182,应收单号,0)),0),2)&gt;0.001),"★指定冲销超过那张单的应收","OK"))))))))</f>
        <v/>
      </c>
    </row>
    <row r="183" customFormat="false" ht="15" hidden="false" customHeight="false" outlineLevel="0" collapsed="false">
      <c r="A183" s="29" t="str">
        <f aca="false">IF($C183="","",ROW()-4)</f>
        <v/>
      </c>
      <c r="B183" s="35" t="str">
        <f aca="false">IF($C183="","","SK"&amp;TEXT($C183,"yyyymm")&amp;"-"&amp;TEXT(ROW()-4,"0000"))</f>
        <v/>
      </c>
      <c r="C183" s="33"/>
      <c r="D183" s="24"/>
      <c r="E183" s="30" t="str">
        <f aca="false">IF($D183="","",IFERROR(INDEX(合同单位,MATCH($D183,合同键,0)),IFERROR(TRIM(LEFT($D183,FIND("｜",$D183)-1)),$D183)))</f>
        <v/>
      </c>
      <c r="F183" s="30" t="str">
        <f aca="false">IF($D183="","",IFERROR(INDEX(合同项目,MATCH($D183,合同键,0)),IFERROR(TRIM(MID($D183,FIND("｜",$D183)+1,99)),"")))</f>
        <v/>
      </c>
      <c r="G183" s="39"/>
      <c r="H183" s="25"/>
      <c r="I183" s="35" t="str">
        <f aca="false">IF($H183="","",IFERROR(INDEX(票据归类表,MATCH($H183,票据类型表,0)),"现金无票"))</f>
        <v/>
      </c>
      <c r="J183" s="25"/>
      <c r="K183" s="25"/>
      <c r="L183" s="31"/>
      <c r="M183" s="29" t="str">
        <f aca="false">IF($C183="","",YEAR($C183))</f>
        <v/>
      </c>
      <c r="N183" s="24"/>
      <c r="O183" s="35" t="str">
        <f aca="false">IF($C183="","",IF($D183="","★没选客户项目",IF(COUNTIF(合同键,$D183)=0,"★《维保合同》里没这个项目",IF(N($G183)&lt;=0,"★收款金额要填",IF($H183="","★票据类型要选",IF(AND($L183&lt;&gt;"",COUNTIF(应收单号,$L183)=0),"★关联的应收单号不存在",IF(AND($L183&lt;&gt;"",IFERROR(INDEX(应收键,MATCH($L183,应收单号,0)),"")&lt;&gt;$D183),"★关联单号不是这个客户的",IF(AND($L183&lt;&gt;"",ROUND(SUMIF(收款关联,$L183,收款金额)-IFERROR(INDEX(应收金额,MATCH($L183,应收单号,0)),0),2)&gt;0.001),"★指定冲销超过那张单的应收","OK"))))))))</f>
        <v/>
      </c>
    </row>
    <row r="184" customFormat="false" ht="15" hidden="false" customHeight="false" outlineLevel="0" collapsed="false">
      <c r="A184" s="29" t="str">
        <f aca="false">IF($C184="","",ROW()-4)</f>
        <v/>
      </c>
      <c r="B184" s="35" t="str">
        <f aca="false">IF($C184="","","SK"&amp;TEXT($C184,"yyyymm")&amp;"-"&amp;TEXT(ROW()-4,"0000"))</f>
        <v/>
      </c>
      <c r="C184" s="33"/>
      <c r="D184" s="24"/>
      <c r="E184" s="30" t="str">
        <f aca="false">IF($D184="","",IFERROR(INDEX(合同单位,MATCH($D184,合同键,0)),IFERROR(TRIM(LEFT($D184,FIND("｜",$D184)-1)),$D184)))</f>
        <v/>
      </c>
      <c r="F184" s="30" t="str">
        <f aca="false">IF($D184="","",IFERROR(INDEX(合同项目,MATCH($D184,合同键,0)),IFERROR(TRIM(MID($D184,FIND("｜",$D184)+1,99)),"")))</f>
        <v/>
      </c>
      <c r="G184" s="39"/>
      <c r="H184" s="25"/>
      <c r="I184" s="35" t="str">
        <f aca="false">IF($H184="","",IFERROR(INDEX(票据归类表,MATCH($H184,票据类型表,0)),"现金无票"))</f>
        <v/>
      </c>
      <c r="J184" s="25"/>
      <c r="K184" s="25"/>
      <c r="L184" s="31"/>
      <c r="M184" s="29" t="str">
        <f aca="false">IF($C184="","",YEAR($C184))</f>
        <v/>
      </c>
      <c r="N184" s="24"/>
      <c r="O184" s="35" t="str">
        <f aca="false">IF($C184="","",IF($D184="","★没选客户项目",IF(COUNTIF(合同键,$D184)=0,"★《维保合同》里没这个项目",IF(N($G184)&lt;=0,"★收款金额要填",IF($H184="","★票据类型要选",IF(AND($L184&lt;&gt;"",COUNTIF(应收单号,$L184)=0),"★关联的应收单号不存在",IF(AND($L184&lt;&gt;"",IFERROR(INDEX(应收键,MATCH($L184,应收单号,0)),"")&lt;&gt;$D184),"★关联单号不是这个客户的",IF(AND($L184&lt;&gt;"",ROUND(SUMIF(收款关联,$L184,收款金额)-IFERROR(INDEX(应收金额,MATCH($L184,应收单号,0)),0),2)&gt;0.001),"★指定冲销超过那张单的应收","OK"))))))))</f>
        <v/>
      </c>
    </row>
    <row r="185" customFormat="false" ht="15" hidden="false" customHeight="false" outlineLevel="0" collapsed="false">
      <c r="A185" s="29" t="str">
        <f aca="false">IF($C185="","",ROW()-4)</f>
        <v/>
      </c>
      <c r="B185" s="35" t="str">
        <f aca="false">IF($C185="","","SK"&amp;TEXT($C185,"yyyymm")&amp;"-"&amp;TEXT(ROW()-4,"0000"))</f>
        <v/>
      </c>
      <c r="C185" s="33"/>
      <c r="D185" s="24"/>
      <c r="E185" s="30" t="str">
        <f aca="false">IF($D185="","",IFERROR(INDEX(合同单位,MATCH($D185,合同键,0)),IFERROR(TRIM(LEFT($D185,FIND("｜",$D185)-1)),$D185)))</f>
        <v/>
      </c>
      <c r="F185" s="30" t="str">
        <f aca="false">IF($D185="","",IFERROR(INDEX(合同项目,MATCH($D185,合同键,0)),IFERROR(TRIM(MID($D185,FIND("｜",$D185)+1,99)),"")))</f>
        <v/>
      </c>
      <c r="G185" s="39"/>
      <c r="H185" s="25"/>
      <c r="I185" s="35" t="str">
        <f aca="false">IF($H185="","",IFERROR(INDEX(票据归类表,MATCH($H185,票据类型表,0)),"现金无票"))</f>
        <v/>
      </c>
      <c r="J185" s="25"/>
      <c r="K185" s="25"/>
      <c r="L185" s="31"/>
      <c r="M185" s="29" t="str">
        <f aca="false">IF($C185="","",YEAR($C185))</f>
        <v/>
      </c>
      <c r="N185" s="24"/>
      <c r="O185" s="35" t="str">
        <f aca="false">IF($C185="","",IF($D185="","★没选客户项目",IF(COUNTIF(合同键,$D185)=0,"★《维保合同》里没这个项目",IF(N($G185)&lt;=0,"★收款金额要填",IF($H185="","★票据类型要选",IF(AND($L185&lt;&gt;"",COUNTIF(应收单号,$L185)=0),"★关联的应收单号不存在",IF(AND($L185&lt;&gt;"",IFERROR(INDEX(应收键,MATCH($L185,应收单号,0)),"")&lt;&gt;$D185),"★关联单号不是这个客户的",IF(AND($L185&lt;&gt;"",ROUND(SUMIF(收款关联,$L185,收款金额)-IFERROR(INDEX(应收金额,MATCH($L185,应收单号,0)),0),2)&gt;0.001),"★指定冲销超过那张单的应收","OK"))))))))</f>
        <v/>
      </c>
    </row>
    <row r="186" customFormat="false" ht="15" hidden="false" customHeight="false" outlineLevel="0" collapsed="false">
      <c r="A186" s="29" t="str">
        <f aca="false">IF($C186="","",ROW()-4)</f>
        <v/>
      </c>
      <c r="B186" s="35" t="str">
        <f aca="false">IF($C186="","","SK"&amp;TEXT($C186,"yyyymm")&amp;"-"&amp;TEXT(ROW()-4,"0000"))</f>
        <v/>
      </c>
      <c r="C186" s="33"/>
      <c r="D186" s="24"/>
      <c r="E186" s="30" t="str">
        <f aca="false">IF($D186="","",IFERROR(INDEX(合同单位,MATCH($D186,合同键,0)),IFERROR(TRIM(LEFT($D186,FIND("｜",$D186)-1)),$D186)))</f>
        <v/>
      </c>
      <c r="F186" s="30" t="str">
        <f aca="false">IF($D186="","",IFERROR(INDEX(合同项目,MATCH($D186,合同键,0)),IFERROR(TRIM(MID($D186,FIND("｜",$D186)+1,99)),"")))</f>
        <v/>
      </c>
      <c r="G186" s="39"/>
      <c r="H186" s="25"/>
      <c r="I186" s="35" t="str">
        <f aca="false">IF($H186="","",IFERROR(INDEX(票据归类表,MATCH($H186,票据类型表,0)),"现金无票"))</f>
        <v/>
      </c>
      <c r="J186" s="25"/>
      <c r="K186" s="25"/>
      <c r="L186" s="31"/>
      <c r="M186" s="29" t="str">
        <f aca="false">IF($C186="","",YEAR($C186))</f>
        <v/>
      </c>
      <c r="N186" s="24"/>
      <c r="O186" s="35" t="str">
        <f aca="false">IF($C186="","",IF($D186="","★没选客户项目",IF(COUNTIF(合同键,$D186)=0,"★《维保合同》里没这个项目",IF(N($G186)&lt;=0,"★收款金额要填",IF($H186="","★票据类型要选",IF(AND($L186&lt;&gt;"",COUNTIF(应收单号,$L186)=0),"★关联的应收单号不存在",IF(AND($L186&lt;&gt;"",IFERROR(INDEX(应收键,MATCH($L186,应收单号,0)),"")&lt;&gt;$D186),"★关联单号不是这个客户的",IF(AND($L186&lt;&gt;"",ROUND(SUMIF(收款关联,$L186,收款金额)-IFERROR(INDEX(应收金额,MATCH($L186,应收单号,0)),0),2)&gt;0.001),"★指定冲销超过那张单的应收","OK"))))))))</f>
        <v/>
      </c>
    </row>
    <row r="187" customFormat="false" ht="15" hidden="false" customHeight="false" outlineLevel="0" collapsed="false">
      <c r="A187" s="29" t="str">
        <f aca="false">IF($C187="","",ROW()-4)</f>
        <v/>
      </c>
      <c r="B187" s="35" t="str">
        <f aca="false">IF($C187="","","SK"&amp;TEXT($C187,"yyyymm")&amp;"-"&amp;TEXT(ROW()-4,"0000"))</f>
        <v/>
      </c>
      <c r="C187" s="33"/>
      <c r="D187" s="24"/>
      <c r="E187" s="30" t="str">
        <f aca="false">IF($D187="","",IFERROR(INDEX(合同单位,MATCH($D187,合同键,0)),IFERROR(TRIM(LEFT($D187,FIND("｜",$D187)-1)),$D187)))</f>
        <v/>
      </c>
      <c r="F187" s="30" t="str">
        <f aca="false">IF($D187="","",IFERROR(INDEX(合同项目,MATCH($D187,合同键,0)),IFERROR(TRIM(MID($D187,FIND("｜",$D187)+1,99)),"")))</f>
        <v/>
      </c>
      <c r="G187" s="39"/>
      <c r="H187" s="25"/>
      <c r="I187" s="35" t="str">
        <f aca="false">IF($H187="","",IFERROR(INDEX(票据归类表,MATCH($H187,票据类型表,0)),"现金无票"))</f>
        <v/>
      </c>
      <c r="J187" s="25"/>
      <c r="K187" s="25"/>
      <c r="L187" s="31"/>
      <c r="M187" s="29" t="str">
        <f aca="false">IF($C187="","",YEAR($C187))</f>
        <v/>
      </c>
      <c r="N187" s="24"/>
      <c r="O187" s="35" t="str">
        <f aca="false">IF($C187="","",IF($D187="","★没选客户项目",IF(COUNTIF(合同键,$D187)=0,"★《维保合同》里没这个项目",IF(N($G187)&lt;=0,"★收款金额要填",IF($H187="","★票据类型要选",IF(AND($L187&lt;&gt;"",COUNTIF(应收单号,$L187)=0),"★关联的应收单号不存在",IF(AND($L187&lt;&gt;"",IFERROR(INDEX(应收键,MATCH($L187,应收单号,0)),"")&lt;&gt;$D187),"★关联单号不是这个客户的",IF(AND($L187&lt;&gt;"",ROUND(SUMIF(收款关联,$L187,收款金额)-IFERROR(INDEX(应收金额,MATCH($L187,应收单号,0)),0),2)&gt;0.001),"★指定冲销超过那张单的应收","OK"))))))))</f>
        <v/>
      </c>
    </row>
    <row r="188" customFormat="false" ht="15" hidden="false" customHeight="false" outlineLevel="0" collapsed="false">
      <c r="A188" s="29" t="str">
        <f aca="false">IF($C188="","",ROW()-4)</f>
        <v/>
      </c>
      <c r="B188" s="35" t="str">
        <f aca="false">IF($C188="","","SK"&amp;TEXT($C188,"yyyymm")&amp;"-"&amp;TEXT(ROW()-4,"0000"))</f>
        <v/>
      </c>
      <c r="C188" s="33"/>
      <c r="D188" s="24"/>
      <c r="E188" s="30" t="str">
        <f aca="false">IF($D188="","",IFERROR(INDEX(合同单位,MATCH($D188,合同键,0)),IFERROR(TRIM(LEFT($D188,FIND("｜",$D188)-1)),$D188)))</f>
        <v/>
      </c>
      <c r="F188" s="30" t="str">
        <f aca="false">IF($D188="","",IFERROR(INDEX(合同项目,MATCH($D188,合同键,0)),IFERROR(TRIM(MID($D188,FIND("｜",$D188)+1,99)),"")))</f>
        <v/>
      </c>
      <c r="G188" s="39"/>
      <c r="H188" s="25"/>
      <c r="I188" s="35" t="str">
        <f aca="false">IF($H188="","",IFERROR(INDEX(票据归类表,MATCH($H188,票据类型表,0)),"现金无票"))</f>
        <v/>
      </c>
      <c r="J188" s="25"/>
      <c r="K188" s="25"/>
      <c r="L188" s="31"/>
      <c r="M188" s="29" t="str">
        <f aca="false">IF($C188="","",YEAR($C188))</f>
        <v/>
      </c>
      <c r="N188" s="24"/>
      <c r="O188" s="35" t="str">
        <f aca="false">IF($C188="","",IF($D188="","★没选客户项目",IF(COUNTIF(合同键,$D188)=0,"★《维保合同》里没这个项目",IF(N($G188)&lt;=0,"★收款金额要填",IF($H188="","★票据类型要选",IF(AND($L188&lt;&gt;"",COUNTIF(应收单号,$L188)=0),"★关联的应收单号不存在",IF(AND($L188&lt;&gt;"",IFERROR(INDEX(应收键,MATCH($L188,应收单号,0)),"")&lt;&gt;$D188),"★关联单号不是这个客户的",IF(AND($L188&lt;&gt;"",ROUND(SUMIF(收款关联,$L188,收款金额)-IFERROR(INDEX(应收金额,MATCH($L188,应收单号,0)),0),2)&gt;0.001),"★指定冲销超过那张单的应收","OK"))))))))</f>
        <v/>
      </c>
    </row>
    <row r="189" customFormat="false" ht="15" hidden="false" customHeight="false" outlineLevel="0" collapsed="false">
      <c r="A189" s="29" t="str">
        <f aca="false">IF($C189="","",ROW()-4)</f>
        <v/>
      </c>
      <c r="B189" s="35" t="str">
        <f aca="false">IF($C189="","","SK"&amp;TEXT($C189,"yyyymm")&amp;"-"&amp;TEXT(ROW()-4,"0000"))</f>
        <v/>
      </c>
      <c r="C189" s="33"/>
      <c r="D189" s="24"/>
      <c r="E189" s="30" t="str">
        <f aca="false">IF($D189="","",IFERROR(INDEX(合同单位,MATCH($D189,合同键,0)),IFERROR(TRIM(LEFT($D189,FIND("｜",$D189)-1)),$D189)))</f>
        <v/>
      </c>
      <c r="F189" s="30" t="str">
        <f aca="false">IF($D189="","",IFERROR(INDEX(合同项目,MATCH($D189,合同键,0)),IFERROR(TRIM(MID($D189,FIND("｜",$D189)+1,99)),"")))</f>
        <v/>
      </c>
      <c r="G189" s="39"/>
      <c r="H189" s="25"/>
      <c r="I189" s="35" t="str">
        <f aca="false">IF($H189="","",IFERROR(INDEX(票据归类表,MATCH($H189,票据类型表,0)),"现金无票"))</f>
        <v/>
      </c>
      <c r="J189" s="25"/>
      <c r="K189" s="25"/>
      <c r="L189" s="31"/>
      <c r="M189" s="29" t="str">
        <f aca="false">IF($C189="","",YEAR($C189))</f>
        <v/>
      </c>
      <c r="N189" s="24"/>
      <c r="O189" s="35" t="str">
        <f aca="false">IF($C189="","",IF($D189="","★没选客户项目",IF(COUNTIF(合同键,$D189)=0,"★《维保合同》里没这个项目",IF(N($G189)&lt;=0,"★收款金额要填",IF($H189="","★票据类型要选",IF(AND($L189&lt;&gt;"",COUNTIF(应收单号,$L189)=0),"★关联的应收单号不存在",IF(AND($L189&lt;&gt;"",IFERROR(INDEX(应收键,MATCH($L189,应收单号,0)),"")&lt;&gt;$D189),"★关联单号不是这个客户的",IF(AND($L189&lt;&gt;"",ROUND(SUMIF(收款关联,$L189,收款金额)-IFERROR(INDEX(应收金额,MATCH($L189,应收单号,0)),0),2)&gt;0.001),"★指定冲销超过那张单的应收","OK"))))))))</f>
        <v/>
      </c>
    </row>
    <row r="190" customFormat="false" ht="15" hidden="false" customHeight="false" outlineLevel="0" collapsed="false">
      <c r="A190" s="29" t="str">
        <f aca="false">IF($C190="","",ROW()-4)</f>
        <v/>
      </c>
      <c r="B190" s="35" t="str">
        <f aca="false">IF($C190="","","SK"&amp;TEXT($C190,"yyyymm")&amp;"-"&amp;TEXT(ROW()-4,"0000"))</f>
        <v/>
      </c>
      <c r="C190" s="33"/>
      <c r="D190" s="24"/>
      <c r="E190" s="30" t="str">
        <f aca="false">IF($D190="","",IFERROR(INDEX(合同单位,MATCH($D190,合同键,0)),IFERROR(TRIM(LEFT($D190,FIND("｜",$D190)-1)),$D190)))</f>
        <v/>
      </c>
      <c r="F190" s="30" t="str">
        <f aca="false">IF($D190="","",IFERROR(INDEX(合同项目,MATCH($D190,合同键,0)),IFERROR(TRIM(MID($D190,FIND("｜",$D190)+1,99)),"")))</f>
        <v/>
      </c>
      <c r="G190" s="39"/>
      <c r="H190" s="25"/>
      <c r="I190" s="35" t="str">
        <f aca="false">IF($H190="","",IFERROR(INDEX(票据归类表,MATCH($H190,票据类型表,0)),"现金无票"))</f>
        <v/>
      </c>
      <c r="J190" s="25"/>
      <c r="K190" s="25"/>
      <c r="L190" s="31"/>
      <c r="M190" s="29" t="str">
        <f aca="false">IF($C190="","",YEAR($C190))</f>
        <v/>
      </c>
      <c r="N190" s="24"/>
      <c r="O190" s="35" t="str">
        <f aca="false">IF($C190="","",IF($D190="","★没选客户项目",IF(COUNTIF(合同键,$D190)=0,"★《维保合同》里没这个项目",IF(N($G190)&lt;=0,"★收款金额要填",IF($H190="","★票据类型要选",IF(AND($L190&lt;&gt;"",COUNTIF(应收单号,$L190)=0),"★关联的应收单号不存在",IF(AND($L190&lt;&gt;"",IFERROR(INDEX(应收键,MATCH($L190,应收单号,0)),"")&lt;&gt;$D190),"★关联单号不是这个客户的",IF(AND($L190&lt;&gt;"",ROUND(SUMIF(收款关联,$L190,收款金额)-IFERROR(INDEX(应收金额,MATCH($L190,应收单号,0)),0),2)&gt;0.001),"★指定冲销超过那张单的应收","OK"))))))))</f>
        <v/>
      </c>
    </row>
    <row r="191" customFormat="false" ht="15" hidden="false" customHeight="false" outlineLevel="0" collapsed="false">
      <c r="A191" s="29" t="str">
        <f aca="false">IF($C191="","",ROW()-4)</f>
        <v/>
      </c>
      <c r="B191" s="35" t="str">
        <f aca="false">IF($C191="","","SK"&amp;TEXT($C191,"yyyymm")&amp;"-"&amp;TEXT(ROW()-4,"0000"))</f>
        <v/>
      </c>
      <c r="C191" s="33"/>
      <c r="D191" s="24"/>
      <c r="E191" s="30" t="str">
        <f aca="false">IF($D191="","",IFERROR(INDEX(合同单位,MATCH($D191,合同键,0)),IFERROR(TRIM(LEFT($D191,FIND("｜",$D191)-1)),$D191)))</f>
        <v/>
      </c>
      <c r="F191" s="30" t="str">
        <f aca="false">IF($D191="","",IFERROR(INDEX(合同项目,MATCH($D191,合同键,0)),IFERROR(TRIM(MID($D191,FIND("｜",$D191)+1,99)),"")))</f>
        <v/>
      </c>
      <c r="G191" s="39"/>
      <c r="H191" s="25"/>
      <c r="I191" s="35" t="str">
        <f aca="false">IF($H191="","",IFERROR(INDEX(票据归类表,MATCH($H191,票据类型表,0)),"现金无票"))</f>
        <v/>
      </c>
      <c r="J191" s="25"/>
      <c r="K191" s="25"/>
      <c r="L191" s="31"/>
      <c r="M191" s="29" t="str">
        <f aca="false">IF($C191="","",YEAR($C191))</f>
        <v/>
      </c>
      <c r="N191" s="24"/>
      <c r="O191" s="35" t="str">
        <f aca="false">IF($C191="","",IF($D191="","★没选客户项目",IF(COUNTIF(合同键,$D191)=0,"★《维保合同》里没这个项目",IF(N($G191)&lt;=0,"★收款金额要填",IF($H191="","★票据类型要选",IF(AND($L191&lt;&gt;"",COUNTIF(应收单号,$L191)=0),"★关联的应收单号不存在",IF(AND($L191&lt;&gt;"",IFERROR(INDEX(应收键,MATCH($L191,应收单号,0)),"")&lt;&gt;$D191),"★关联单号不是这个客户的",IF(AND($L191&lt;&gt;"",ROUND(SUMIF(收款关联,$L191,收款金额)-IFERROR(INDEX(应收金额,MATCH($L191,应收单号,0)),0),2)&gt;0.001),"★指定冲销超过那张单的应收","OK"))))))))</f>
        <v/>
      </c>
    </row>
    <row r="192" customFormat="false" ht="15" hidden="false" customHeight="false" outlineLevel="0" collapsed="false">
      <c r="A192" s="29" t="str">
        <f aca="false">IF($C192="","",ROW()-4)</f>
        <v/>
      </c>
      <c r="B192" s="35" t="str">
        <f aca="false">IF($C192="","","SK"&amp;TEXT($C192,"yyyymm")&amp;"-"&amp;TEXT(ROW()-4,"0000"))</f>
        <v/>
      </c>
      <c r="C192" s="33"/>
      <c r="D192" s="24"/>
      <c r="E192" s="30" t="str">
        <f aca="false">IF($D192="","",IFERROR(INDEX(合同单位,MATCH($D192,合同键,0)),IFERROR(TRIM(LEFT($D192,FIND("｜",$D192)-1)),$D192)))</f>
        <v/>
      </c>
      <c r="F192" s="30" t="str">
        <f aca="false">IF($D192="","",IFERROR(INDEX(合同项目,MATCH($D192,合同键,0)),IFERROR(TRIM(MID($D192,FIND("｜",$D192)+1,99)),"")))</f>
        <v/>
      </c>
      <c r="G192" s="39"/>
      <c r="H192" s="25"/>
      <c r="I192" s="35" t="str">
        <f aca="false">IF($H192="","",IFERROR(INDEX(票据归类表,MATCH($H192,票据类型表,0)),"现金无票"))</f>
        <v/>
      </c>
      <c r="J192" s="25"/>
      <c r="K192" s="25"/>
      <c r="L192" s="31"/>
      <c r="M192" s="29" t="str">
        <f aca="false">IF($C192="","",YEAR($C192))</f>
        <v/>
      </c>
      <c r="N192" s="24"/>
      <c r="O192" s="35" t="str">
        <f aca="false">IF($C192="","",IF($D192="","★没选客户项目",IF(COUNTIF(合同键,$D192)=0,"★《维保合同》里没这个项目",IF(N($G192)&lt;=0,"★收款金额要填",IF($H192="","★票据类型要选",IF(AND($L192&lt;&gt;"",COUNTIF(应收单号,$L192)=0),"★关联的应收单号不存在",IF(AND($L192&lt;&gt;"",IFERROR(INDEX(应收键,MATCH($L192,应收单号,0)),"")&lt;&gt;$D192),"★关联单号不是这个客户的",IF(AND($L192&lt;&gt;"",ROUND(SUMIF(收款关联,$L192,收款金额)-IFERROR(INDEX(应收金额,MATCH($L192,应收单号,0)),0),2)&gt;0.001),"★指定冲销超过那张单的应收","OK"))))))))</f>
        <v/>
      </c>
    </row>
    <row r="193" customFormat="false" ht="15" hidden="false" customHeight="false" outlineLevel="0" collapsed="false">
      <c r="A193" s="29" t="str">
        <f aca="false">IF($C193="","",ROW()-4)</f>
        <v/>
      </c>
      <c r="B193" s="35" t="str">
        <f aca="false">IF($C193="","","SK"&amp;TEXT($C193,"yyyymm")&amp;"-"&amp;TEXT(ROW()-4,"0000"))</f>
        <v/>
      </c>
      <c r="C193" s="33"/>
      <c r="D193" s="24"/>
      <c r="E193" s="30" t="str">
        <f aca="false">IF($D193="","",IFERROR(INDEX(合同单位,MATCH($D193,合同键,0)),IFERROR(TRIM(LEFT($D193,FIND("｜",$D193)-1)),$D193)))</f>
        <v/>
      </c>
      <c r="F193" s="30" t="str">
        <f aca="false">IF($D193="","",IFERROR(INDEX(合同项目,MATCH($D193,合同键,0)),IFERROR(TRIM(MID($D193,FIND("｜",$D193)+1,99)),"")))</f>
        <v/>
      </c>
      <c r="G193" s="39"/>
      <c r="H193" s="25"/>
      <c r="I193" s="35" t="str">
        <f aca="false">IF($H193="","",IFERROR(INDEX(票据归类表,MATCH($H193,票据类型表,0)),"现金无票"))</f>
        <v/>
      </c>
      <c r="J193" s="25"/>
      <c r="K193" s="25"/>
      <c r="L193" s="31"/>
      <c r="M193" s="29" t="str">
        <f aca="false">IF($C193="","",YEAR($C193))</f>
        <v/>
      </c>
      <c r="N193" s="24"/>
      <c r="O193" s="35" t="str">
        <f aca="false">IF($C193="","",IF($D193="","★没选客户项目",IF(COUNTIF(合同键,$D193)=0,"★《维保合同》里没这个项目",IF(N($G193)&lt;=0,"★收款金额要填",IF($H193="","★票据类型要选",IF(AND($L193&lt;&gt;"",COUNTIF(应收单号,$L193)=0),"★关联的应收单号不存在",IF(AND($L193&lt;&gt;"",IFERROR(INDEX(应收键,MATCH($L193,应收单号,0)),"")&lt;&gt;$D193),"★关联单号不是这个客户的",IF(AND($L193&lt;&gt;"",ROUND(SUMIF(收款关联,$L193,收款金额)-IFERROR(INDEX(应收金额,MATCH($L193,应收单号,0)),0),2)&gt;0.001),"★指定冲销超过那张单的应收","OK"))))))))</f>
        <v/>
      </c>
    </row>
    <row r="194" customFormat="false" ht="15" hidden="false" customHeight="false" outlineLevel="0" collapsed="false">
      <c r="A194" s="29" t="str">
        <f aca="false">IF($C194="","",ROW()-4)</f>
        <v/>
      </c>
      <c r="B194" s="35" t="str">
        <f aca="false">IF($C194="","","SK"&amp;TEXT($C194,"yyyymm")&amp;"-"&amp;TEXT(ROW()-4,"0000"))</f>
        <v/>
      </c>
      <c r="C194" s="33"/>
      <c r="D194" s="24"/>
      <c r="E194" s="30" t="str">
        <f aca="false">IF($D194="","",IFERROR(INDEX(合同单位,MATCH($D194,合同键,0)),IFERROR(TRIM(LEFT($D194,FIND("｜",$D194)-1)),$D194)))</f>
        <v/>
      </c>
      <c r="F194" s="30" t="str">
        <f aca="false">IF($D194="","",IFERROR(INDEX(合同项目,MATCH($D194,合同键,0)),IFERROR(TRIM(MID($D194,FIND("｜",$D194)+1,99)),"")))</f>
        <v/>
      </c>
      <c r="G194" s="39"/>
      <c r="H194" s="25"/>
      <c r="I194" s="35" t="str">
        <f aca="false">IF($H194="","",IFERROR(INDEX(票据归类表,MATCH($H194,票据类型表,0)),"现金无票"))</f>
        <v/>
      </c>
      <c r="J194" s="25"/>
      <c r="K194" s="25"/>
      <c r="L194" s="31"/>
      <c r="M194" s="29" t="str">
        <f aca="false">IF($C194="","",YEAR($C194))</f>
        <v/>
      </c>
      <c r="N194" s="24"/>
      <c r="O194" s="35" t="str">
        <f aca="false">IF($C194="","",IF($D194="","★没选客户项目",IF(COUNTIF(合同键,$D194)=0,"★《维保合同》里没这个项目",IF(N($G194)&lt;=0,"★收款金额要填",IF($H194="","★票据类型要选",IF(AND($L194&lt;&gt;"",COUNTIF(应收单号,$L194)=0),"★关联的应收单号不存在",IF(AND($L194&lt;&gt;"",IFERROR(INDEX(应收键,MATCH($L194,应收单号,0)),"")&lt;&gt;$D194),"★关联单号不是这个客户的",IF(AND($L194&lt;&gt;"",ROUND(SUMIF(收款关联,$L194,收款金额)-IFERROR(INDEX(应收金额,MATCH($L194,应收单号,0)),0),2)&gt;0.001),"★指定冲销超过那张单的应收","OK"))))))))</f>
        <v/>
      </c>
    </row>
    <row r="195" customFormat="false" ht="15" hidden="false" customHeight="false" outlineLevel="0" collapsed="false">
      <c r="A195" s="29" t="str">
        <f aca="false">IF($C195="","",ROW()-4)</f>
        <v/>
      </c>
      <c r="B195" s="35" t="str">
        <f aca="false">IF($C195="","","SK"&amp;TEXT($C195,"yyyymm")&amp;"-"&amp;TEXT(ROW()-4,"0000"))</f>
        <v/>
      </c>
      <c r="C195" s="33"/>
      <c r="D195" s="24"/>
      <c r="E195" s="30" t="str">
        <f aca="false">IF($D195="","",IFERROR(INDEX(合同单位,MATCH($D195,合同键,0)),IFERROR(TRIM(LEFT($D195,FIND("｜",$D195)-1)),$D195)))</f>
        <v/>
      </c>
      <c r="F195" s="30" t="str">
        <f aca="false">IF($D195="","",IFERROR(INDEX(合同项目,MATCH($D195,合同键,0)),IFERROR(TRIM(MID($D195,FIND("｜",$D195)+1,99)),"")))</f>
        <v/>
      </c>
      <c r="G195" s="39"/>
      <c r="H195" s="25"/>
      <c r="I195" s="35" t="str">
        <f aca="false">IF($H195="","",IFERROR(INDEX(票据归类表,MATCH($H195,票据类型表,0)),"现金无票"))</f>
        <v/>
      </c>
      <c r="J195" s="25"/>
      <c r="K195" s="25"/>
      <c r="L195" s="31"/>
      <c r="M195" s="29" t="str">
        <f aca="false">IF($C195="","",YEAR($C195))</f>
        <v/>
      </c>
      <c r="N195" s="24"/>
      <c r="O195" s="35" t="str">
        <f aca="false">IF($C195="","",IF($D195="","★没选客户项目",IF(COUNTIF(合同键,$D195)=0,"★《维保合同》里没这个项目",IF(N($G195)&lt;=0,"★收款金额要填",IF($H195="","★票据类型要选",IF(AND($L195&lt;&gt;"",COUNTIF(应收单号,$L195)=0),"★关联的应收单号不存在",IF(AND($L195&lt;&gt;"",IFERROR(INDEX(应收键,MATCH($L195,应收单号,0)),"")&lt;&gt;$D195),"★关联单号不是这个客户的",IF(AND($L195&lt;&gt;"",ROUND(SUMIF(收款关联,$L195,收款金额)-IFERROR(INDEX(应收金额,MATCH($L195,应收单号,0)),0),2)&gt;0.001),"★指定冲销超过那张单的应收","OK"))))))))</f>
        <v/>
      </c>
    </row>
    <row r="196" customFormat="false" ht="15" hidden="false" customHeight="false" outlineLevel="0" collapsed="false">
      <c r="A196" s="29" t="str">
        <f aca="false">IF($C196="","",ROW()-4)</f>
        <v/>
      </c>
      <c r="B196" s="35" t="str">
        <f aca="false">IF($C196="","","SK"&amp;TEXT($C196,"yyyymm")&amp;"-"&amp;TEXT(ROW()-4,"0000"))</f>
        <v/>
      </c>
      <c r="C196" s="33"/>
      <c r="D196" s="24"/>
      <c r="E196" s="30" t="str">
        <f aca="false">IF($D196="","",IFERROR(INDEX(合同单位,MATCH($D196,合同键,0)),IFERROR(TRIM(LEFT($D196,FIND("｜",$D196)-1)),$D196)))</f>
        <v/>
      </c>
      <c r="F196" s="30" t="str">
        <f aca="false">IF($D196="","",IFERROR(INDEX(合同项目,MATCH($D196,合同键,0)),IFERROR(TRIM(MID($D196,FIND("｜",$D196)+1,99)),"")))</f>
        <v/>
      </c>
      <c r="G196" s="39"/>
      <c r="H196" s="25"/>
      <c r="I196" s="35" t="str">
        <f aca="false">IF($H196="","",IFERROR(INDEX(票据归类表,MATCH($H196,票据类型表,0)),"现金无票"))</f>
        <v/>
      </c>
      <c r="J196" s="25"/>
      <c r="K196" s="25"/>
      <c r="L196" s="31"/>
      <c r="M196" s="29" t="str">
        <f aca="false">IF($C196="","",YEAR($C196))</f>
        <v/>
      </c>
      <c r="N196" s="24"/>
      <c r="O196" s="35" t="str">
        <f aca="false">IF($C196="","",IF($D196="","★没选客户项目",IF(COUNTIF(合同键,$D196)=0,"★《维保合同》里没这个项目",IF(N($G196)&lt;=0,"★收款金额要填",IF($H196="","★票据类型要选",IF(AND($L196&lt;&gt;"",COUNTIF(应收单号,$L196)=0),"★关联的应收单号不存在",IF(AND($L196&lt;&gt;"",IFERROR(INDEX(应收键,MATCH($L196,应收单号,0)),"")&lt;&gt;$D196),"★关联单号不是这个客户的",IF(AND($L196&lt;&gt;"",ROUND(SUMIF(收款关联,$L196,收款金额)-IFERROR(INDEX(应收金额,MATCH($L196,应收单号,0)),0),2)&gt;0.001),"★指定冲销超过那张单的应收","OK"))))))))</f>
        <v/>
      </c>
    </row>
    <row r="197" customFormat="false" ht="15" hidden="false" customHeight="false" outlineLevel="0" collapsed="false">
      <c r="A197" s="29" t="str">
        <f aca="false">IF($C197="","",ROW()-4)</f>
        <v/>
      </c>
      <c r="B197" s="35" t="str">
        <f aca="false">IF($C197="","","SK"&amp;TEXT($C197,"yyyymm")&amp;"-"&amp;TEXT(ROW()-4,"0000"))</f>
        <v/>
      </c>
      <c r="C197" s="33"/>
      <c r="D197" s="24"/>
      <c r="E197" s="30" t="str">
        <f aca="false">IF($D197="","",IFERROR(INDEX(合同单位,MATCH($D197,合同键,0)),IFERROR(TRIM(LEFT($D197,FIND("｜",$D197)-1)),$D197)))</f>
        <v/>
      </c>
      <c r="F197" s="30" t="str">
        <f aca="false">IF($D197="","",IFERROR(INDEX(合同项目,MATCH($D197,合同键,0)),IFERROR(TRIM(MID($D197,FIND("｜",$D197)+1,99)),"")))</f>
        <v/>
      </c>
      <c r="G197" s="39"/>
      <c r="H197" s="25"/>
      <c r="I197" s="35" t="str">
        <f aca="false">IF($H197="","",IFERROR(INDEX(票据归类表,MATCH($H197,票据类型表,0)),"现金无票"))</f>
        <v/>
      </c>
      <c r="J197" s="25"/>
      <c r="K197" s="25"/>
      <c r="L197" s="31"/>
      <c r="M197" s="29" t="str">
        <f aca="false">IF($C197="","",YEAR($C197))</f>
        <v/>
      </c>
      <c r="N197" s="24"/>
      <c r="O197" s="35" t="str">
        <f aca="false">IF($C197="","",IF($D197="","★没选客户项目",IF(COUNTIF(合同键,$D197)=0,"★《维保合同》里没这个项目",IF(N($G197)&lt;=0,"★收款金额要填",IF($H197="","★票据类型要选",IF(AND($L197&lt;&gt;"",COUNTIF(应收单号,$L197)=0),"★关联的应收单号不存在",IF(AND($L197&lt;&gt;"",IFERROR(INDEX(应收键,MATCH($L197,应收单号,0)),"")&lt;&gt;$D197),"★关联单号不是这个客户的",IF(AND($L197&lt;&gt;"",ROUND(SUMIF(收款关联,$L197,收款金额)-IFERROR(INDEX(应收金额,MATCH($L197,应收单号,0)),0),2)&gt;0.001),"★指定冲销超过那张单的应收","OK"))))))))</f>
        <v/>
      </c>
    </row>
    <row r="198" customFormat="false" ht="15" hidden="false" customHeight="false" outlineLevel="0" collapsed="false">
      <c r="A198" s="29" t="str">
        <f aca="false">IF($C198="","",ROW()-4)</f>
        <v/>
      </c>
      <c r="B198" s="35" t="str">
        <f aca="false">IF($C198="","","SK"&amp;TEXT($C198,"yyyymm")&amp;"-"&amp;TEXT(ROW()-4,"0000"))</f>
        <v/>
      </c>
      <c r="C198" s="33"/>
      <c r="D198" s="24"/>
      <c r="E198" s="30" t="str">
        <f aca="false">IF($D198="","",IFERROR(INDEX(合同单位,MATCH($D198,合同键,0)),IFERROR(TRIM(LEFT($D198,FIND("｜",$D198)-1)),$D198)))</f>
        <v/>
      </c>
      <c r="F198" s="30" t="str">
        <f aca="false">IF($D198="","",IFERROR(INDEX(合同项目,MATCH($D198,合同键,0)),IFERROR(TRIM(MID($D198,FIND("｜",$D198)+1,99)),"")))</f>
        <v/>
      </c>
      <c r="G198" s="39"/>
      <c r="H198" s="25"/>
      <c r="I198" s="35" t="str">
        <f aca="false">IF($H198="","",IFERROR(INDEX(票据归类表,MATCH($H198,票据类型表,0)),"现金无票"))</f>
        <v/>
      </c>
      <c r="J198" s="25"/>
      <c r="K198" s="25"/>
      <c r="L198" s="31"/>
      <c r="M198" s="29" t="str">
        <f aca="false">IF($C198="","",YEAR($C198))</f>
        <v/>
      </c>
      <c r="N198" s="24"/>
      <c r="O198" s="35" t="str">
        <f aca="false">IF($C198="","",IF($D198="","★没选客户项目",IF(COUNTIF(合同键,$D198)=0,"★《维保合同》里没这个项目",IF(N($G198)&lt;=0,"★收款金额要填",IF($H198="","★票据类型要选",IF(AND($L198&lt;&gt;"",COUNTIF(应收单号,$L198)=0),"★关联的应收单号不存在",IF(AND($L198&lt;&gt;"",IFERROR(INDEX(应收键,MATCH($L198,应收单号,0)),"")&lt;&gt;$D198),"★关联单号不是这个客户的",IF(AND($L198&lt;&gt;"",ROUND(SUMIF(收款关联,$L198,收款金额)-IFERROR(INDEX(应收金额,MATCH($L198,应收单号,0)),0),2)&gt;0.001),"★指定冲销超过那张单的应收","OK"))))))))</f>
        <v/>
      </c>
    </row>
    <row r="199" customFormat="false" ht="15" hidden="false" customHeight="false" outlineLevel="0" collapsed="false">
      <c r="A199" s="29" t="str">
        <f aca="false">IF($C199="","",ROW()-4)</f>
        <v/>
      </c>
      <c r="B199" s="35" t="str">
        <f aca="false">IF($C199="","","SK"&amp;TEXT($C199,"yyyymm")&amp;"-"&amp;TEXT(ROW()-4,"0000"))</f>
        <v/>
      </c>
      <c r="C199" s="33"/>
      <c r="D199" s="24"/>
      <c r="E199" s="30" t="str">
        <f aca="false">IF($D199="","",IFERROR(INDEX(合同单位,MATCH($D199,合同键,0)),IFERROR(TRIM(LEFT($D199,FIND("｜",$D199)-1)),$D199)))</f>
        <v/>
      </c>
      <c r="F199" s="30" t="str">
        <f aca="false">IF($D199="","",IFERROR(INDEX(合同项目,MATCH($D199,合同键,0)),IFERROR(TRIM(MID($D199,FIND("｜",$D199)+1,99)),"")))</f>
        <v/>
      </c>
      <c r="G199" s="39"/>
      <c r="H199" s="25"/>
      <c r="I199" s="35" t="str">
        <f aca="false">IF($H199="","",IFERROR(INDEX(票据归类表,MATCH($H199,票据类型表,0)),"现金无票"))</f>
        <v/>
      </c>
      <c r="J199" s="25"/>
      <c r="K199" s="25"/>
      <c r="L199" s="31"/>
      <c r="M199" s="29" t="str">
        <f aca="false">IF($C199="","",YEAR($C199))</f>
        <v/>
      </c>
      <c r="N199" s="24"/>
      <c r="O199" s="35" t="str">
        <f aca="false">IF($C199="","",IF($D199="","★没选客户项目",IF(COUNTIF(合同键,$D199)=0,"★《维保合同》里没这个项目",IF(N($G199)&lt;=0,"★收款金额要填",IF($H199="","★票据类型要选",IF(AND($L199&lt;&gt;"",COUNTIF(应收单号,$L199)=0),"★关联的应收单号不存在",IF(AND($L199&lt;&gt;"",IFERROR(INDEX(应收键,MATCH($L199,应收单号,0)),"")&lt;&gt;$D199),"★关联单号不是这个客户的",IF(AND($L199&lt;&gt;"",ROUND(SUMIF(收款关联,$L199,收款金额)-IFERROR(INDEX(应收金额,MATCH($L199,应收单号,0)),0),2)&gt;0.001),"★指定冲销超过那张单的应收","OK"))))))))</f>
        <v/>
      </c>
    </row>
    <row r="200" customFormat="false" ht="15" hidden="false" customHeight="false" outlineLevel="0" collapsed="false">
      <c r="A200" s="29" t="str">
        <f aca="false">IF($C200="","",ROW()-4)</f>
        <v/>
      </c>
      <c r="B200" s="35" t="str">
        <f aca="false">IF($C200="","","SK"&amp;TEXT($C200,"yyyymm")&amp;"-"&amp;TEXT(ROW()-4,"0000"))</f>
        <v/>
      </c>
      <c r="C200" s="33"/>
      <c r="D200" s="24"/>
      <c r="E200" s="30" t="str">
        <f aca="false">IF($D200="","",IFERROR(INDEX(合同单位,MATCH($D200,合同键,0)),IFERROR(TRIM(LEFT($D200,FIND("｜",$D200)-1)),$D200)))</f>
        <v/>
      </c>
      <c r="F200" s="30" t="str">
        <f aca="false">IF($D200="","",IFERROR(INDEX(合同项目,MATCH($D200,合同键,0)),IFERROR(TRIM(MID($D200,FIND("｜",$D200)+1,99)),"")))</f>
        <v/>
      </c>
      <c r="G200" s="39"/>
      <c r="H200" s="25"/>
      <c r="I200" s="35" t="str">
        <f aca="false">IF($H200="","",IFERROR(INDEX(票据归类表,MATCH($H200,票据类型表,0)),"现金无票"))</f>
        <v/>
      </c>
      <c r="J200" s="25"/>
      <c r="K200" s="25"/>
      <c r="L200" s="31"/>
      <c r="M200" s="29" t="str">
        <f aca="false">IF($C200="","",YEAR($C200))</f>
        <v/>
      </c>
      <c r="N200" s="24"/>
      <c r="O200" s="35" t="str">
        <f aca="false">IF($C200="","",IF($D200="","★没选客户项目",IF(COUNTIF(合同键,$D200)=0,"★《维保合同》里没这个项目",IF(N($G200)&lt;=0,"★收款金额要填",IF($H200="","★票据类型要选",IF(AND($L200&lt;&gt;"",COUNTIF(应收单号,$L200)=0),"★关联的应收单号不存在",IF(AND($L200&lt;&gt;"",IFERROR(INDEX(应收键,MATCH($L200,应收单号,0)),"")&lt;&gt;$D200),"★关联单号不是这个客户的",IF(AND($L200&lt;&gt;"",ROUND(SUMIF(收款关联,$L200,收款金额)-IFERROR(INDEX(应收金额,MATCH($L200,应收单号,0)),0),2)&gt;0.001),"★指定冲销超过那张单的应收","OK"))))))))</f>
        <v/>
      </c>
    </row>
    <row r="201" customFormat="false" ht="15" hidden="false" customHeight="false" outlineLevel="0" collapsed="false">
      <c r="A201" s="29" t="str">
        <f aca="false">IF($C201="","",ROW()-4)</f>
        <v/>
      </c>
      <c r="B201" s="35" t="str">
        <f aca="false">IF($C201="","","SK"&amp;TEXT($C201,"yyyymm")&amp;"-"&amp;TEXT(ROW()-4,"0000"))</f>
        <v/>
      </c>
      <c r="C201" s="33"/>
      <c r="D201" s="24"/>
      <c r="E201" s="30" t="str">
        <f aca="false">IF($D201="","",IFERROR(INDEX(合同单位,MATCH($D201,合同键,0)),IFERROR(TRIM(LEFT($D201,FIND("｜",$D201)-1)),$D201)))</f>
        <v/>
      </c>
      <c r="F201" s="30" t="str">
        <f aca="false">IF($D201="","",IFERROR(INDEX(合同项目,MATCH($D201,合同键,0)),IFERROR(TRIM(MID($D201,FIND("｜",$D201)+1,99)),"")))</f>
        <v/>
      </c>
      <c r="G201" s="39"/>
      <c r="H201" s="25"/>
      <c r="I201" s="35" t="str">
        <f aca="false">IF($H201="","",IFERROR(INDEX(票据归类表,MATCH($H201,票据类型表,0)),"现金无票"))</f>
        <v/>
      </c>
      <c r="J201" s="25"/>
      <c r="K201" s="25"/>
      <c r="L201" s="31"/>
      <c r="M201" s="29" t="str">
        <f aca="false">IF($C201="","",YEAR($C201))</f>
        <v/>
      </c>
      <c r="N201" s="24"/>
      <c r="O201" s="35" t="str">
        <f aca="false">IF($C201="","",IF($D201="","★没选客户项目",IF(COUNTIF(合同键,$D201)=0,"★《维保合同》里没这个项目",IF(N($G201)&lt;=0,"★收款金额要填",IF($H201="","★票据类型要选",IF(AND($L201&lt;&gt;"",COUNTIF(应收单号,$L201)=0),"★关联的应收单号不存在",IF(AND($L201&lt;&gt;"",IFERROR(INDEX(应收键,MATCH($L201,应收单号,0)),"")&lt;&gt;$D201),"★关联单号不是这个客户的",IF(AND($L201&lt;&gt;"",ROUND(SUMIF(收款关联,$L201,收款金额)-IFERROR(INDEX(应收金额,MATCH($L201,应收单号,0)),0),2)&gt;0.001),"★指定冲销超过那张单的应收","OK"))))))))</f>
        <v/>
      </c>
    </row>
    <row r="202" customFormat="false" ht="15" hidden="false" customHeight="false" outlineLevel="0" collapsed="false">
      <c r="A202" s="29" t="str">
        <f aca="false">IF($C202="","",ROW()-4)</f>
        <v/>
      </c>
      <c r="B202" s="35" t="str">
        <f aca="false">IF($C202="","","SK"&amp;TEXT($C202,"yyyymm")&amp;"-"&amp;TEXT(ROW()-4,"0000"))</f>
        <v/>
      </c>
      <c r="C202" s="33"/>
      <c r="D202" s="24"/>
      <c r="E202" s="30" t="str">
        <f aca="false">IF($D202="","",IFERROR(INDEX(合同单位,MATCH($D202,合同键,0)),IFERROR(TRIM(LEFT($D202,FIND("｜",$D202)-1)),$D202)))</f>
        <v/>
      </c>
      <c r="F202" s="30" t="str">
        <f aca="false">IF($D202="","",IFERROR(INDEX(合同项目,MATCH($D202,合同键,0)),IFERROR(TRIM(MID($D202,FIND("｜",$D202)+1,99)),"")))</f>
        <v/>
      </c>
      <c r="G202" s="39"/>
      <c r="H202" s="25"/>
      <c r="I202" s="35" t="str">
        <f aca="false">IF($H202="","",IFERROR(INDEX(票据归类表,MATCH($H202,票据类型表,0)),"现金无票"))</f>
        <v/>
      </c>
      <c r="J202" s="25"/>
      <c r="K202" s="25"/>
      <c r="L202" s="31"/>
      <c r="M202" s="29" t="str">
        <f aca="false">IF($C202="","",YEAR($C202))</f>
        <v/>
      </c>
      <c r="N202" s="24"/>
      <c r="O202" s="35" t="str">
        <f aca="false">IF($C202="","",IF($D202="","★没选客户项目",IF(COUNTIF(合同键,$D202)=0,"★《维保合同》里没这个项目",IF(N($G202)&lt;=0,"★收款金额要填",IF($H202="","★票据类型要选",IF(AND($L202&lt;&gt;"",COUNTIF(应收单号,$L202)=0),"★关联的应收单号不存在",IF(AND($L202&lt;&gt;"",IFERROR(INDEX(应收键,MATCH($L202,应收单号,0)),"")&lt;&gt;$D202),"★关联单号不是这个客户的",IF(AND($L202&lt;&gt;"",ROUND(SUMIF(收款关联,$L202,收款金额)-IFERROR(INDEX(应收金额,MATCH($L202,应收单号,0)),0),2)&gt;0.001),"★指定冲销超过那张单的应收","OK"))))))))</f>
        <v/>
      </c>
    </row>
    <row r="203" customFormat="false" ht="15" hidden="false" customHeight="false" outlineLevel="0" collapsed="false">
      <c r="A203" s="29" t="str">
        <f aca="false">IF($C203="","",ROW()-4)</f>
        <v/>
      </c>
      <c r="B203" s="35" t="str">
        <f aca="false">IF($C203="","","SK"&amp;TEXT($C203,"yyyymm")&amp;"-"&amp;TEXT(ROW()-4,"0000"))</f>
        <v/>
      </c>
      <c r="C203" s="33"/>
      <c r="D203" s="24"/>
      <c r="E203" s="30" t="str">
        <f aca="false">IF($D203="","",IFERROR(INDEX(合同单位,MATCH($D203,合同键,0)),IFERROR(TRIM(LEFT($D203,FIND("｜",$D203)-1)),$D203)))</f>
        <v/>
      </c>
      <c r="F203" s="30" t="str">
        <f aca="false">IF($D203="","",IFERROR(INDEX(合同项目,MATCH($D203,合同键,0)),IFERROR(TRIM(MID($D203,FIND("｜",$D203)+1,99)),"")))</f>
        <v/>
      </c>
      <c r="G203" s="39"/>
      <c r="H203" s="25"/>
      <c r="I203" s="35" t="str">
        <f aca="false">IF($H203="","",IFERROR(INDEX(票据归类表,MATCH($H203,票据类型表,0)),"现金无票"))</f>
        <v/>
      </c>
      <c r="J203" s="25"/>
      <c r="K203" s="25"/>
      <c r="L203" s="31"/>
      <c r="M203" s="29" t="str">
        <f aca="false">IF($C203="","",YEAR($C203))</f>
        <v/>
      </c>
      <c r="N203" s="24"/>
      <c r="O203" s="35" t="str">
        <f aca="false">IF($C203="","",IF($D203="","★没选客户项目",IF(COUNTIF(合同键,$D203)=0,"★《维保合同》里没这个项目",IF(N($G203)&lt;=0,"★收款金额要填",IF($H203="","★票据类型要选",IF(AND($L203&lt;&gt;"",COUNTIF(应收单号,$L203)=0),"★关联的应收单号不存在",IF(AND($L203&lt;&gt;"",IFERROR(INDEX(应收键,MATCH($L203,应收单号,0)),"")&lt;&gt;$D203),"★关联单号不是这个客户的",IF(AND($L203&lt;&gt;"",ROUND(SUMIF(收款关联,$L203,收款金额)-IFERROR(INDEX(应收金额,MATCH($L203,应收单号,0)),0),2)&gt;0.001),"★指定冲销超过那张单的应收","OK"))))))))</f>
        <v/>
      </c>
    </row>
    <row r="204" customFormat="false" ht="15" hidden="false" customHeight="false" outlineLevel="0" collapsed="false">
      <c r="A204" s="29" t="str">
        <f aca="false">IF($C204="","",ROW()-4)</f>
        <v/>
      </c>
      <c r="B204" s="35" t="str">
        <f aca="false">IF($C204="","","SK"&amp;TEXT($C204,"yyyymm")&amp;"-"&amp;TEXT(ROW()-4,"0000"))</f>
        <v/>
      </c>
      <c r="C204" s="33"/>
      <c r="D204" s="24"/>
      <c r="E204" s="30" t="str">
        <f aca="false">IF($D204="","",IFERROR(INDEX(合同单位,MATCH($D204,合同键,0)),IFERROR(TRIM(LEFT($D204,FIND("｜",$D204)-1)),$D204)))</f>
        <v/>
      </c>
      <c r="F204" s="30" t="str">
        <f aca="false">IF($D204="","",IFERROR(INDEX(合同项目,MATCH($D204,合同键,0)),IFERROR(TRIM(MID($D204,FIND("｜",$D204)+1,99)),"")))</f>
        <v/>
      </c>
      <c r="G204" s="39"/>
      <c r="H204" s="25"/>
      <c r="I204" s="35" t="str">
        <f aca="false">IF($H204="","",IFERROR(INDEX(票据归类表,MATCH($H204,票据类型表,0)),"现金无票"))</f>
        <v/>
      </c>
      <c r="J204" s="25"/>
      <c r="K204" s="25"/>
      <c r="L204" s="31"/>
      <c r="M204" s="29" t="str">
        <f aca="false">IF($C204="","",YEAR($C204))</f>
        <v/>
      </c>
      <c r="N204" s="24"/>
      <c r="O204" s="35" t="str">
        <f aca="false">IF($C204="","",IF($D204="","★没选客户项目",IF(COUNTIF(合同键,$D204)=0,"★《维保合同》里没这个项目",IF(N($G204)&lt;=0,"★收款金额要填",IF($H204="","★票据类型要选",IF(AND($L204&lt;&gt;"",COUNTIF(应收单号,$L204)=0),"★关联的应收单号不存在",IF(AND($L204&lt;&gt;"",IFERROR(INDEX(应收键,MATCH($L204,应收单号,0)),"")&lt;&gt;$D204),"★关联单号不是这个客户的",IF(AND($L204&lt;&gt;"",ROUND(SUMIF(收款关联,$L204,收款金额)-IFERROR(INDEX(应收金额,MATCH($L204,应收单号,0)),0),2)&gt;0.001),"★指定冲销超过那张单的应收","OK"))))))))</f>
        <v/>
      </c>
    </row>
    <row r="205" customFormat="false" ht="15" hidden="false" customHeight="false" outlineLevel="0" collapsed="false">
      <c r="A205" s="29" t="str">
        <f aca="false">IF($C205="","",ROW()-4)</f>
        <v/>
      </c>
      <c r="B205" s="35" t="str">
        <f aca="false">IF($C205="","","SK"&amp;TEXT($C205,"yyyymm")&amp;"-"&amp;TEXT(ROW()-4,"0000"))</f>
        <v/>
      </c>
      <c r="C205" s="33"/>
      <c r="D205" s="24"/>
      <c r="E205" s="30" t="str">
        <f aca="false">IF($D205="","",IFERROR(INDEX(合同单位,MATCH($D205,合同键,0)),IFERROR(TRIM(LEFT($D205,FIND("｜",$D205)-1)),$D205)))</f>
        <v/>
      </c>
      <c r="F205" s="30" t="str">
        <f aca="false">IF($D205="","",IFERROR(INDEX(合同项目,MATCH($D205,合同键,0)),IFERROR(TRIM(MID($D205,FIND("｜",$D205)+1,99)),"")))</f>
        <v/>
      </c>
      <c r="G205" s="39"/>
      <c r="H205" s="25"/>
      <c r="I205" s="35" t="str">
        <f aca="false">IF($H205="","",IFERROR(INDEX(票据归类表,MATCH($H205,票据类型表,0)),"现金无票"))</f>
        <v/>
      </c>
      <c r="J205" s="25"/>
      <c r="K205" s="25"/>
      <c r="L205" s="31"/>
      <c r="M205" s="29" t="str">
        <f aca="false">IF($C205="","",YEAR($C205))</f>
        <v/>
      </c>
      <c r="N205" s="24"/>
      <c r="O205" s="35" t="str">
        <f aca="false">IF($C205="","",IF($D205="","★没选客户项目",IF(COUNTIF(合同键,$D205)=0,"★《维保合同》里没这个项目",IF(N($G205)&lt;=0,"★收款金额要填",IF($H205="","★票据类型要选",IF(AND($L205&lt;&gt;"",COUNTIF(应收单号,$L205)=0),"★关联的应收单号不存在",IF(AND($L205&lt;&gt;"",IFERROR(INDEX(应收键,MATCH($L205,应收单号,0)),"")&lt;&gt;$D205),"★关联单号不是这个客户的",IF(AND($L205&lt;&gt;"",ROUND(SUMIF(收款关联,$L205,收款金额)-IFERROR(INDEX(应收金额,MATCH($L205,应收单号,0)),0),2)&gt;0.001),"★指定冲销超过那张单的应收","OK"))))))))</f>
        <v/>
      </c>
    </row>
    <row r="206" customFormat="false" ht="15" hidden="false" customHeight="false" outlineLevel="0" collapsed="false">
      <c r="A206" s="29" t="str">
        <f aca="false">IF($C206="","",ROW()-4)</f>
        <v/>
      </c>
      <c r="B206" s="35" t="str">
        <f aca="false">IF($C206="","","SK"&amp;TEXT($C206,"yyyymm")&amp;"-"&amp;TEXT(ROW()-4,"0000"))</f>
        <v/>
      </c>
      <c r="C206" s="33"/>
      <c r="D206" s="24"/>
      <c r="E206" s="30" t="str">
        <f aca="false">IF($D206="","",IFERROR(INDEX(合同单位,MATCH($D206,合同键,0)),IFERROR(TRIM(LEFT($D206,FIND("｜",$D206)-1)),$D206)))</f>
        <v/>
      </c>
      <c r="F206" s="30" t="str">
        <f aca="false">IF($D206="","",IFERROR(INDEX(合同项目,MATCH($D206,合同键,0)),IFERROR(TRIM(MID($D206,FIND("｜",$D206)+1,99)),"")))</f>
        <v/>
      </c>
      <c r="G206" s="39"/>
      <c r="H206" s="25"/>
      <c r="I206" s="35" t="str">
        <f aca="false">IF($H206="","",IFERROR(INDEX(票据归类表,MATCH($H206,票据类型表,0)),"现金无票"))</f>
        <v/>
      </c>
      <c r="J206" s="25"/>
      <c r="K206" s="25"/>
      <c r="L206" s="31"/>
      <c r="M206" s="29" t="str">
        <f aca="false">IF($C206="","",YEAR($C206))</f>
        <v/>
      </c>
      <c r="N206" s="24"/>
      <c r="O206" s="35" t="str">
        <f aca="false">IF($C206="","",IF($D206="","★没选客户项目",IF(COUNTIF(合同键,$D206)=0,"★《维保合同》里没这个项目",IF(N($G206)&lt;=0,"★收款金额要填",IF($H206="","★票据类型要选",IF(AND($L206&lt;&gt;"",COUNTIF(应收单号,$L206)=0),"★关联的应收单号不存在",IF(AND($L206&lt;&gt;"",IFERROR(INDEX(应收键,MATCH($L206,应收单号,0)),"")&lt;&gt;$D206),"★关联单号不是这个客户的",IF(AND($L206&lt;&gt;"",ROUND(SUMIF(收款关联,$L206,收款金额)-IFERROR(INDEX(应收金额,MATCH($L206,应收单号,0)),0),2)&gt;0.001),"★指定冲销超过那张单的应收","OK"))))))))</f>
        <v/>
      </c>
    </row>
    <row r="207" customFormat="false" ht="15" hidden="false" customHeight="false" outlineLevel="0" collapsed="false">
      <c r="A207" s="29" t="str">
        <f aca="false">IF($C207="","",ROW()-4)</f>
        <v/>
      </c>
      <c r="B207" s="35" t="str">
        <f aca="false">IF($C207="","","SK"&amp;TEXT($C207,"yyyymm")&amp;"-"&amp;TEXT(ROW()-4,"0000"))</f>
        <v/>
      </c>
      <c r="C207" s="33"/>
      <c r="D207" s="24"/>
      <c r="E207" s="30" t="str">
        <f aca="false">IF($D207="","",IFERROR(INDEX(合同单位,MATCH($D207,合同键,0)),IFERROR(TRIM(LEFT($D207,FIND("｜",$D207)-1)),$D207)))</f>
        <v/>
      </c>
      <c r="F207" s="30" t="str">
        <f aca="false">IF($D207="","",IFERROR(INDEX(合同项目,MATCH($D207,合同键,0)),IFERROR(TRIM(MID($D207,FIND("｜",$D207)+1,99)),"")))</f>
        <v/>
      </c>
      <c r="G207" s="39"/>
      <c r="H207" s="25"/>
      <c r="I207" s="35" t="str">
        <f aca="false">IF($H207="","",IFERROR(INDEX(票据归类表,MATCH($H207,票据类型表,0)),"现金无票"))</f>
        <v/>
      </c>
      <c r="J207" s="25"/>
      <c r="K207" s="25"/>
      <c r="L207" s="31"/>
      <c r="M207" s="29" t="str">
        <f aca="false">IF($C207="","",YEAR($C207))</f>
        <v/>
      </c>
      <c r="N207" s="24"/>
      <c r="O207" s="35" t="str">
        <f aca="false">IF($C207="","",IF($D207="","★没选客户项目",IF(COUNTIF(合同键,$D207)=0,"★《维保合同》里没这个项目",IF(N($G207)&lt;=0,"★收款金额要填",IF($H207="","★票据类型要选",IF(AND($L207&lt;&gt;"",COUNTIF(应收单号,$L207)=0),"★关联的应收单号不存在",IF(AND($L207&lt;&gt;"",IFERROR(INDEX(应收键,MATCH($L207,应收单号,0)),"")&lt;&gt;$D207),"★关联单号不是这个客户的",IF(AND($L207&lt;&gt;"",ROUND(SUMIF(收款关联,$L207,收款金额)-IFERROR(INDEX(应收金额,MATCH($L207,应收单号,0)),0),2)&gt;0.001),"★指定冲销超过那张单的应收","OK"))))))))</f>
        <v/>
      </c>
    </row>
    <row r="208" customFormat="false" ht="15" hidden="false" customHeight="false" outlineLevel="0" collapsed="false">
      <c r="A208" s="29" t="str">
        <f aca="false">IF($C208="","",ROW()-4)</f>
        <v/>
      </c>
      <c r="B208" s="35" t="str">
        <f aca="false">IF($C208="","","SK"&amp;TEXT($C208,"yyyymm")&amp;"-"&amp;TEXT(ROW()-4,"0000"))</f>
        <v/>
      </c>
      <c r="C208" s="33"/>
      <c r="D208" s="24"/>
      <c r="E208" s="30" t="str">
        <f aca="false">IF($D208="","",IFERROR(INDEX(合同单位,MATCH($D208,合同键,0)),IFERROR(TRIM(LEFT($D208,FIND("｜",$D208)-1)),$D208)))</f>
        <v/>
      </c>
      <c r="F208" s="30" t="str">
        <f aca="false">IF($D208="","",IFERROR(INDEX(合同项目,MATCH($D208,合同键,0)),IFERROR(TRIM(MID($D208,FIND("｜",$D208)+1,99)),"")))</f>
        <v/>
      </c>
      <c r="G208" s="39"/>
      <c r="H208" s="25"/>
      <c r="I208" s="35" t="str">
        <f aca="false">IF($H208="","",IFERROR(INDEX(票据归类表,MATCH($H208,票据类型表,0)),"现金无票"))</f>
        <v/>
      </c>
      <c r="J208" s="25"/>
      <c r="K208" s="25"/>
      <c r="L208" s="31"/>
      <c r="M208" s="29" t="str">
        <f aca="false">IF($C208="","",YEAR($C208))</f>
        <v/>
      </c>
      <c r="N208" s="24"/>
      <c r="O208" s="35" t="str">
        <f aca="false">IF($C208="","",IF($D208="","★没选客户项目",IF(COUNTIF(合同键,$D208)=0,"★《维保合同》里没这个项目",IF(N($G208)&lt;=0,"★收款金额要填",IF($H208="","★票据类型要选",IF(AND($L208&lt;&gt;"",COUNTIF(应收单号,$L208)=0),"★关联的应收单号不存在",IF(AND($L208&lt;&gt;"",IFERROR(INDEX(应收键,MATCH($L208,应收单号,0)),"")&lt;&gt;$D208),"★关联单号不是这个客户的",IF(AND($L208&lt;&gt;"",ROUND(SUMIF(收款关联,$L208,收款金额)-IFERROR(INDEX(应收金额,MATCH($L208,应收单号,0)),0),2)&gt;0.001),"★指定冲销超过那张单的应收","OK"))))))))</f>
        <v/>
      </c>
    </row>
    <row r="209" customFormat="false" ht="15" hidden="false" customHeight="false" outlineLevel="0" collapsed="false">
      <c r="A209" s="29" t="str">
        <f aca="false">IF($C209="","",ROW()-4)</f>
        <v/>
      </c>
      <c r="B209" s="35" t="str">
        <f aca="false">IF($C209="","","SK"&amp;TEXT($C209,"yyyymm")&amp;"-"&amp;TEXT(ROW()-4,"0000"))</f>
        <v/>
      </c>
      <c r="C209" s="33"/>
      <c r="D209" s="24"/>
      <c r="E209" s="30" t="str">
        <f aca="false">IF($D209="","",IFERROR(INDEX(合同单位,MATCH($D209,合同键,0)),IFERROR(TRIM(LEFT($D209,FIND("｜",$D209)-1)),$D209)))</f>
        <v/>
      </c>
      <c r="F209" s="30" t="str">
        <f aca="false">IF($D209="","",IFERROR(INDEX(合同项目,MATCH($D209,合同键,0)),IFERROR(TRIM(MID($D209,FIND("｜",$D209)+1,99)),"")))</f>
        <v/>
      </c>
      <c r="G209" s="39"/>
      <c r="H209" s="25"/>
      <c r="I209" s="35" t="str">
        <f aca="false">IF($H209="","",IFERROR(INDEX(票据归类表,MATCH($H209,票据类型表,0)),"现金无票"))</f>
        <v/>
      </c>
      <c r="J209" s="25"/>
      <c r="K209" s="25"/>
      <c r="L209" s="31"/>
      <c r="M209" s="29" t="str">
        <f aca="false">IF($C209="","",YEAR($C209))</f>
        <v/>
      </c>
      <c r="N209" s="24"/>
      <c r="O209" s="35" t="str">
        <f aca="false">IF($C209="","",IF($D209="","★没选客户项目",IF(COUNTIF(合同键,$D209)=0,"★《维保合同》里没这个项目",IF(N($G209)&lt;=0,"★收款金额要填",IF($H209="","★票据类型要选",IF(AND($L209&lt;&gt;"",COUNTIF(应收单号,$L209)=0),"★关联的应收单号不存在",IF(AND($L209&lt;&gt;"",IFERROR(INDEX(应收键,MATCH($L209,应收单号,0)),"")&lt;&gt;$D209),"★关联单号不是这个客户的",IF(AND($L209&lt;&gt;"",ROUND(SUMIF(收款关联,$L209,收款金额)-IFERROR(INDEX(应收金额,MATCH($L209,应收单号,0)),0),2)&gt;0.001),"★指定冲销超过那张单的应收","OK"))))))))</f>
        <v/>
      </c>
    </row>
    <row r="210" customFormat="false" ht="15" hidden="false" customHeight="false" outlineLevel="0" collapsed="false">
      <c r="A210" s="29" t="str">
        <f aca="false">IF($C210="","",ROW()-4)</f>
        <v/>
      </c>
      <c r="B210" s="35" t="str">
        <f aca="false">IF($C210="","","SK"&amp;TEXT($C210,"yyyymm")&amp;"-"&amp;TEXT(ROW()-4,"0000"))</f>
        <v/>
      </c>
      <c r="C210" s="33"/>
      <c r="D210" s="24"/>
      <c r="E210" s="30" t="str">
        <f aca="false">IF($D210="","",IFERROR(INDEX(合同单位,MATCH($D210,合同键,0)),IFERROR(TRIM(LEFT($D210,FIND("｜",$D210)-1)),$D210)))</f>
        <v/>
      </c>
      <c r="F210" s="30" t="str">
        <f aca="false">IF($D210="","",IFERROR(INDEX(合同项目,MATCH($D210,合同键,0)),IFERROR(TRIM(MID($D210,FIND("｜",$D210)+1,99)),"")))</f>
        <v/>
      </c>
      <c r="G210" s="39"/>
      <c r="H210" s="25"/>
      <c r="I210" s="35" t="str">
        <f aca="false">IF($H210="","",IFERROR(INDEX(票据归类表,MATCH($H210,票据类型表,0)),"现金无票"))</f>
        <v/>
      </c>
      <c r="J210" s="25"/>
      <c r="K210" s="25"/>
      <c r="L210" s="31"/>
      <c r="M210" s="29" t="str">
        <f aca="false">IF($C210="","",YEAR($C210))</f>
        <v/>
      </c>
      <c r="N210" s="24"/>
      <c r="O210" s="35" t="str">
        <f aca="false">IF($C210="","",IF($D210="","★没选客户项目",IF(COUNTIF(合同键,$D210)=0,"★《维保合同》里没这个项目",IF(N($G210)&lt;=0,"★收款金额要填",IF($H210="","★票据类型要选",IF(AND($L210&lt;&gt;"",COUNTIF(应收单号,$L210)=0),"★关联的应收单号不存在",IF(AND($L210&lt;&gt;"",IFERROR(INDEX(应收键,MATCH($L210,应收单号,0)),"")&lt;&gt;$D210),"★关联单号不是这个客户的",IF(AND($L210&lt;&gt;"",ROUND(SUMIF(收款关联,$L210,收款金额)-IFERROR(INDEX(应收金额,MATCH($L210,应收单号,0)),0),2)&gt;0.001),"★指定冲销超过那张单的应收","OK"))))))))</f>
        <v/>
      </c>
    </row>
    <row r="211" customFormat="false" ht="15" hidden="false" customHeight="false" outlineLevel="0" collapsed="false">
      <c r="A211" s="29" t="str">
        <f aca="false">IF($C211="","",ROW()-4)</f>
        <v/>
      </c>
      <c r="B211" s="35" t="str">
        <f aca="false">IF($C211="","","SK"&amp;TEXT($C211,"yyyymm")&amp;"-"&amp;TEXT(ROW()-4,"0000"))</f>
        <v/>
      </c>
      <c r="C211" s="33"/>
      <c r="D211" s="24"/>
      <c r="E211" s="30" t="str">
        <f aca="false">IF($D211="","",IFERROR(INDEX(合同单位,MATCH($D211,合同键,0)),IFERROR(TRIM(LEFT($D211,FIND("｜",$D211)-1)),$D211)))</f>
        <v/>
      </c>
      <c r="F211" s="30" t="str">
        <f aca="false">IF($D211="","",IFERROR(INDEX(合同项目,MATCH($D211,合同键,0)),IFERROR(TRIM(MID($D211,FIND("｜",$D211)+1,99)),"")))</f>
        <v/>
      </c>
      <c r="G211" s="39"/>
      <c r="H211" s="25"/>
      <c r="I211" s="35" t="str">
        <f aca="false">IF($H211="","",IFERROR(INDEX(票据归类表,MATCH($H211,票据类型表,0)),"现金无票"))</f>
        <v/>
      </c>
      <c r="J211" s="25"/>
      <c r="K211" s="25"/>
      <c r="L211" s="31"/>
      <c r="M211" s="29" t="str">
        <f aca="false">IF($C211="","",YEAR($C211))</f>
        <v/>
      </c>
      <c r="N211" s="24"/>
      <c r="O211" s="35" t="str">
        <f aca="false">IF($C211="","",IF($D211="","★没选客户项目",IF(COUNTIF(合同键,$D211)=0,"★《维保合同》里没这个项目",IF(N($G211)&lt;=0,"★收款金额要填",IF($H211="","★票据类型要选",IF(AND($L211&lt;&gt;"",COUNTIF(应收单号,$L211)=0),"★关联的应收单号不存在",IF(AND($L211&lt;&gt;"",IFERROR(INDEX(应收键,MATCH($L211,应收单号,0)),"")&lt;&gt;$D211),"★关联单号不是这个客户的",IF(AND($L211&lt;&gt;"",ROUND(SUMIF(收款关联,$L211,收款金额)-IFERROR(INDEX(应收金额,MATCH($L211,应收单号,0)),0),2)&gt;0.001),"★指定冲销超过那张单的应收","OK"))))))))</f>
        <v/>
      </c>
    </row>
    <row r="212" customFormat="false" ht="15" hidden="false" customHeight="false" outlineLevel="0" collapsed="false">
      <c r="A212" s="29" t="str">
        <f aca="false">IF($C212="","",ROW()-4)</f>
        <v/>
      </c>
      <c r="B212" s="35" t="str">
        <f aca="false">IF($C212="","","SK"&amp;TEXT($C212,"yyyymm")&amp;"-"&amp;TEXT(ROW()-4,"0000"))</f>
        <v/>
      </c>
      <c r="C212" s="33"/>
      <c r="D212" s="24"/>
      <c r="E212" s="30" t="str">
        <f aca="false">IF($D212="","",IFERROR(INDEX(合同单位,MATCH($D212,合同键,0)),IFERROR(TRIM(LEFT($D212,FIND("｜",$D212)-1)),$D212)))</f>
        <v/>
      </c>
      <c r="F212" s="30" t="str">
        <f aca="false">IF($D212="","",IFERROR(INDEX(合同项目,MATCH($D212,合同键,0)),IFERROR(TRIM(MID($D212,FIND("｜",$D212)+1,99)),"")))</f>
        <v/>
      </c>
      <c r="G212" s="39"/>
      <c r="H212" s="25"/>
      <c r="I212" s="35" t="str">
        <f aca="false">IF($H212="","",IFERROR(INDEX(票据归类表,MATCH($H212,票据类型表,0)),"现金无票"))</f>
        <v/>
      </c>
      <c r="J212" s="25"/>
      <c r="K212" s="25"/>
      <c r="L212" s="31"/>
      <c r="M212" s="29" t="str">
        <f aca="false">IF($C212="","",YEAR($C212))</f>
        <v/>
      </c>
      <c r="N212" s="24"/>
      <c r="O212" s="35" t="str">
        <f aca="false">IF($C212="","",IF($D212="","★没选客户项目",IF(COUNTIF(合同键,$D212)=0,"★《维保合同》里没这个项目",IF(N($G212)&lt;=0,"★收款金额要填",IF($H212="","★票据类型要选",IF(AND($L212&lt;&gt;"",COUNTIF(应收单号,$L212)=0),"★关联的应收单号不存在",IF(AND($L212&lt;&gt;"",IFERROR(INDEX(应收键,MATCH($L212,应收单号,0)),"")&lt;&gt;$D212),"★关联单号不是这个客户的",IF(AND($L212&lt;&gt;"",ROUND(SUMIF(收款关联,$L212,收款金额)-IFERROR(INDEX(应收金额,MATCH($L212,应收单号,0)),0),2)&gt;0.001),"★指定冲销超过那张单的应收","OK"))))))))</f>
        <v/>
      </c>
    </row>
    <row r="213" customFormat="false" ht="15" hidden="false" customHeight="false" outlineLevel="0" collapsed="false">
      <c r="A213" s="29" t="str">
        <f aca="false">IF($C213="","",ROW()-4)</f>
        <v/>
      </c>
      <c r="B213" s="35" t="str">
        <f aca="false">IF($C213="","","SK"&amp;TEXT($C213,"yyyymm")&amp;"-"&amp;TEXT(ROW()-4,"0000"))</f>
        <v/>
      </c>
      <c r="C213" s="33"/>
      <c r="D213" s="24"/>
      <c r="E213" s="30" t="str">
        <f aca="false">IF($D213="","",IFERROR(INDEX(合同单位,MATCH($D213,合同键,0)),IFERROR(TRIM(LEFT($D213,FIND("｜",$D213)-1)),$D213)))</f>
        <v/>
      </c>
      <c r="F213" s="30" t="str">
        <f aca="false">IF($D213="","",IFERROR(INDEX(合同项目,MATCH($D213,合同键,0)),IFERROR(TRIM(MID($D213,FIND("｜",$D213)+1,99)),"")))</f>
        <v/>
      </c>
      <c r="G213" s="39"/>
      <c r="H213" s="25"/>
      <c r="I213" s="35" t="str">
        <f aca="false">IF($H213="","",IFERROR(INDEX(票据归类表,MATCH($H213,票据类型表,0)),"现金无票"))</f>
        <v/>
      </c>
      <c r="J213" s="25"/>
      <c r="K213" s="25"/>
      <c r="L213" s="31"/>
      <c r="M213" s="29" t="str">
        <f aca="false">IF($C213="","",YEAR($C213))</f>
        <v/>
      </c>
      <c r="N213" s="24"/>
      <c r="O213" s="35" t="str">
        <f aca="false">IF($C213="","",IF($D213="","★没选客户项目",IF(COUNTIF(合同键,$D213)=0,"★《维保合同》里没这个项目",IF(N($G213)&lt;=0,"★收款金额要填",IF($H213="","★票据类型要选",IF(AND($L213&lt;&gt;"",COUNTIF(应收单号,$L213)=0),"★关联的应收单号不存在",IF(AND($L213&lt;&gt;"",IFERROR(INDEX(应收键,MATCH($L213,应收单号,0)),"")&lt;&gt;$D213),"★关联单号不是这个客户的",IF(AND($L213&lt;&gt;"",ROUND(SUMIF(收款关联,$L213,收款金额)-IFERROR(INDEX(应收金额,MATCH($L213,应收单号,0)),0),2)&gt;0.001),"★指定冲销超过那张单的应收","OK"))))))))</f>
        <v/>
      </c>
    </row>
    <row r="214" customFormat="false" ht="15" hidden="false" customHeight="false" outlineLevel="0" collapsed="false">
      <c r="A214" s="29" t="str">
        <f aca="false">IF($C214="","",ROW()-4)</f>
        <v/>
      </c>
      <c r="B214" s="35" t="str">
        <f aca="false">IF($C214="","","SK"&amp;TEXT($C214,"yyyymm")&amp;"-"&amp;TEXT(ROW()-4,"0000"))</f>
        <v/>
      </c>
      <c r="C214" s="33"/>
      <c r="D214" s="24"/>
      <c r="E214" s="30" t="str">
        <f aca="false">IF($D214="","",IFERROR(INDEX(合同单位,MATCH($D214,合同键,0)),IFERROR(TRIM(LEFT($D214,FIND("｜",$D214)-1)),$D214)))</f>
        <v/>
      </c>
      <c r="F214" s="30" t="str">
        <f aca="false">IF($D214="","",IFERROR(INDEX(合同项目,MATCH($D214,合同键,0)),IFERROR(TRIM(MID($D214,FIND("｜",$D214)+1,99)),"")))</f>
        <v/>
      </c>
      <c r="G214" s="39"/>
      <c r="H214" s="25"/>
      <c r="I214" s="35" t="str">
        <f aca="false">IF($H214="","",IFERROR(INDEX(票据归类表,MATCH($H214,票据类型表,0)),"现金无票"))</f>
        <v/>
      </c>
      <c r="J214" s="25"/>
      <c r="K214" s="25"/>
      <c r="L214" s="31"/>
      <c r="M214" s="29" t="str">
        <f aca="false">IF($C214="","",YEAR($C214))</f>
        <v/>
      </c>
      <c r="N214" s="24"/>
      <c r="O214" s="35" t="str">
        <f aca="false">IF($C214="","",IF($D214="","★没选客户项目",IF(COUNTIF(合同键,$D214)=0,"★《维保合同》里没这个项目",IF(N($G214)&lt;=0,"★收款金额要填",IF($H214="","★票据类型要选",IF(AND($L214&lt;&gt;"",COUNTIF(应收单号,$L214)=0),"★关联的应收单号不存在",IF(AND($L214&lt;&gt;"",IFERROR(INDEX(应收键,MATCH($L214,应收单号,0)),"")&lt;&gt;$D214),"★关联单号不是这个客户的",IF(AND($L214&lt;&gt;"",ROUND(SUMIF(收款关联,$L214,收款金额)-IFERROR(INDEX(应收金额,MATCH($L214,应收单号,0)),0),2)&gt;0.001),"★指定冲销超过那张单的应收","OK"))))))))</f>
        <v/>
      </c>
    </row>
    <row r="215" customFormat="false" ht="15" hidden="false" customHeight="false" outlineLevel="0" collapsed="false">
      <c r="A215" s="29" t="str">
        <f aca="false">IF($C215="","",ROW()-4)</f>
        <v/>
      </c>
      <c r="B215" s="35" t="str">
        <f aca="false">IF($C215="","","SK"&amp;TEXT($C215,"yyyymm")&amp;"-"&amp;TEXT(ROW()-4,"0000"))</f>
        <v/>
      </c>
      <c r="C215" s="33"/>
      <c r="D215" s="24"/>
      <c r="E215" s="30" t="str">
        <f aca="false">IF($D215="","",IFERROR(INDEX(合同单位,MATCH($D215,合同键,0)),IFERROR(TRIM(LEFT($D215,FIND("｜",$D215)-1)),$D215)))</f>
        <v/>
      </c>
      <c r="F215" s="30" t="str">
        <f aca="false">IF($D215="","",IFERROR(INDEX(合同项目,MATCH($D215,合同键,0)),IFERROR(TRIM(MID($D215,FIND("｜",$D215)+1,99)),"")))</f>
        <v/>
      </c>
      <c r="G215" s="39"/>
      <c r="H215" s="25"/>
      <c r="I215" s="35" t="str">
        <f aca="false">IF($H215="","",IFERROR(INDEX(票据归类表,MATCH($H215,票据类型表,0)),"现金无票"))</f>
        <v/>
      </c>
      <c r="J215" s="25"/>
      <c r="K215" s="25"/>
      <c r="L215" s="31"/>
      <c r="M215" s="29" t="str">
        <f aca="false">IF($C215="","",YEAR($C215))</f>
        <v/>
      </c>
      <c r="N215" s="24"/>
      <c r="O215" s="35" t="str">
        <f aca="false">IF($C215="","",IF($D215="","★没选客户项目",IF(COUNTIF(合同键,$D215)=0,"★《维保合同》里没这个项目",IF(N($G215)&lt;=0,"★收款金额要填",IF($H215="","★票据类型要选",IF(AND($L215&lt;&gt;"",COUNTIF(应收单号,$L215)=0),"★关联的应收单号不存在",IF(AND($L215&lt;&gt;"",IFERROR(INDEX(应收键,MATCH($L215,应收单号,0)),"")&lt;&gt;$D215),"★关联单号不是这个客户的",IF(AND($L215&lt;&gt;"",ROUND(SUMIF(收款关联,$L215,收款金额)-IFERROR(INDEX(应收金额,MATCH($L215,应收单号,0)),0),2)&gt;0.001),"★指定冲销超过那张单的应收","OK"))))))))</f>
        <v/>
      </c>
    </row>
    <row r="216" customFormat="false" ht="15" hidden="false" customHeight="false" outlineLevel="0" collapsed="false">
      <c r="A216" s="29" t="str">
        <f aca="false">IF($C216="","",ROW()-4)</f>
        <v/>
      </c>
      <c r="B216" s="35" t="str">
        <f aca="false">IF($C216="","","SK"&amp;TEXT($C216,"yyyymm")&amp;"-"&amp;TEXT(ROW()-4,"0000"))</f>
        <v/>
      </c>
      <c r="C216" s="33"/>
      <c r="D216" s="24"/>
      <c r="E216" s="30" t="str">
        <f aca="false">IF($D216="","",IFERROR(INDEX(合同单位,MATCH($D216,合同键,0)),IFERROR(TRIM(LEFT($D216,FIND("｜",$D216)-1)),$D216)))</f>
        <v/>
      </c>
      <c r="F216" s="30" t="str">
        <f aca="false">IF($D216="","",IFERROR(INDEX(合同项目,MATCH($D216,合同键,0)),IFERROR(TRIM(MID($D216,FIND("｜",$D216)+1,99)),"")))</f>
        <v/>
      </c>
      <c r="G216" s="39"/>
      <c r="H216" s="25"/>
      <c r="I216" s="35" t="str">
        <f aca="false">IF($H216="","",IFERROR(INDEX(票据归类表,MATCH($H216,票据类型表,0)),"现金无票"))</f>
        <v/>
      </c>
      <c r="J216" s="25"/>
      <c r="K216" s="25"/>
      <c r="L216" s="31"/>
      <c r="M216" s="29" t="str">
        <f aca="false">IF($C216="","",YEAR($C216))</f>
        <v/>
      </c>
      <c r="N216" s="24"/>
      <c r="O216" s="35" t="str">
        <f aca="false">IF($C216="","",IF($D216="","★没选客户项目",IF(COUNTIF(合同键,$D216)=0,"★《维保合同》里没这个项目",IF(N($G216)&lt;=0,"★收款金额要填",IF($H216="","★票据类型要选",IF(AND($L216&lt;&gt;"",COUNTIF(应收单号,$L216)=0),"★关联的应收单号不存在",IF(AND($L216&lt;&gt;"",IFERROR(INDEX(应收键,MATCH($L216,应收单号,0)),"")&lt;&gt;$D216),"★关联单号不是这个客户的",IF(AND($L216&lt;&gt;"",ROUND(SUMIF(收款关联,$L216,收款金额)-IFERROR(INDEX(应收金额,MATCH($L216,应收单号,0)),0),2)&gt;0.001),"★指定冲销超过那张单的应收","OK"))))))))</f>
        <v/>
      </c>
    </row>
    <row r="217" customFormat="false" ht="15" hidden="false" customHeight="false" outlineLevel="0" collapsed="false">
      <c r="A217" s="29" t="str">
        <f aca="false">IF($C217="","",ROW()-4)</f>
        <v/>
      </c>
      <c r="B217" s="35" t="str">
        <f aca="false">IF($C217="","","SK"&amp;TEXT($C217,"yyyymm")&amp;"-"&amp;TEXT(ROW()-4,"0000"))</f>
        <v/>
      </c>
      <c r="C217" s="33"/>
      <c r="D217" s="24"/>
      <c r="E217" s="30" t="str">
        <f aca="false">IF($D217="","",IFERROR(INDEX(合同单位,MATCH($D217,合同键,0)),IFERROR(TRIM(LEFT($D217,FIND("｜",$D217)-1)),$D217)))</f>
        <v/>
      </c>
      <c r="F217" s="30" t="str">
        <f aca="false">IF($D217="","",IFERROR(INDEX(合同项目,MATCH($D217,合同键,0)),IFERROR(TRIM(MID($D217,FIND("｜",$D217)+1,99)),"")))</f>
        <v/>
      </c>
      <c r="G217" s="39"/>
      <c r="H217" s="25"/>
      <c r="I217" s="35" t="str">
        <f aca="false">IF($H217="","",IFERROR(INDEX(票据归类表,MATCH($H217,票据类型表,0)),"现金无票"))</f>
        <v/>
      </c>
      <c r="J217" s="25"/>
      <c r="K217" s="25"/>
      <c r="L217" s="31"/>
      <c r="M217" s="29" t="str">
        <f aca="false">IF($C217="","",YEAR($C217))</f>
        <v/>
      </c>
      <c r="N217" s="24"/>
      <c r="O217" s="35" t="str">
        <f aca="false">IF($C217="","",IF($D217="","★没选客户项目",IF(COUNTIF(合同键,$D217)=0,"★《维保合同》里没这个项目",IF(N($G217)&lt;=0,"★收款金额要填",IF($H217="","★票据类型要选",IF(AND($L217&lt;&gt;"",COUNTIF(应收单号,$L217)=0),"★关联的应收单号不存在",IF(AND($L217&lt;&gt;"",IFERROR(INDEX(应收键,MATCH($L217,应收单号,0)),"")&lt;&gt;$D217),"★关联单号不是这个客户的",IF(AND($L217&lt;&gt;"",ROUND(SUMIF(收款关联,$L217,收款金额)-IFERROR(INDEX(应收金额,MATCH($L217,应收单号,0)),0),2)&gt;0.001),"★指定冲销超过那张单的应收","OK"))))))))</f>
        <v/>
      </c>
    </row>
    <row r="218" customFormat="false" ht="15" hidden="false" customHeight="false" outlineLevel="0" collapsed="false">
      <c r="A218" s="29" t="str">
        <f aca="false">IF($C218="","",ROW()-4)</f>
        <v/>
      </c>
      <c r="B218" s="35" t="str">
        <f aca="false">IF($C218="","","SK"&amp;TEXT($C218,"yyyymm")&amp;"-"&amp;TEXT(ROW()-4,"0000"))</f>
        <v/>
      </c>
      <c r="C218" s="33"/>
      <c r="D218" s="24"/>
      <c r="E218" s="30" t="str">
        <f aca="false">IF($D218="","",IFERROR(INDEX(合同单位,MATCH($D218,合同键,0)),IFERROR(TRIM(LEFT($D218,FIND("｜",$D218)-1)),$D218)))</f>
        <v/>
      </c>
      <c r="F218" s="30" t="str">
        <f aca="false">IF($D218="","",IFERROR(INDEX(合同项目,MATCH($D218,合同键,0)),IFERROR(TRIM(MID($D218,FIND("｜",$D218)+1,99)),"")))</f>
        <v/>
      </c>
      <c r="G218" s="39"/>
      <c r="H218" s="25"/>
      <c r="I218" s="35" t="str">
        <f aca="false">IF($H218="","",IFERROR(INDEX(票据归类表,MATCH($H218,票据类型表,0)),"现金无票"))</f>
        <v/>
      </c>
      <c r="J218" s="25"/>
      <c r="K218" s="25"/>
      <c r="L218" s="31"/>
      <c r="M218" s="29" t="str">
        <f aca="false">IF($C218="","",YEAR($C218))</f>
        <v/>
      </c>
      <c r="N218" s="24"/>
      <c r="O218" s="35" t="str">
        <f aca="false">IF($C218="","",IF($D218="","★没选客户项目",IF(COUNTIF(合同键,$D218)=0,"★《维保合同》里没这个项目",IF(N($G218)&lt;=0,"★收款金额要填",IF($H218="","★票据类型要选",IF(AND($L218&lt;&gt;"",COUNTIF(应收单号,$L218)=0),"★关联的应收单号不存在",IF(AND($L218&lt;&gt;"",IFERROR(INDEX(应收键,MATCH($L218,应收单号,0)),"")&lt;&gt;$D218),"★关联单号不是这个客户的",IF(AND($L218&lt;&gt;"",ROUND(SUMIF(收款关联,$L218,收款金额)-IFERROR(INDEX(应收金额,MATCH($L218,应收单号,0)),0),2)&gt;0.001),"★指定冲销超过那张单的应收","OK"))))))))</f>
        <v/>
      </c>
    </row>
    <row r="219" customFormat="false" ht="15" hidden="false" customHeight="false" outlineLevel="0" collapsed="false">
      <c r="A219" s="29" t="str">
        <f aca="false">IF($C219="","",ROW()-4)</f>
        <v/>
      </c>
      <c r="B219" s="35" t="str">
        <f aca="false">IF($C219="","","SK"&amp;TEXT($C219,"yyyymm")&amp;"-"&amp;TEXT(ROW()-4,"0000"))</f>
        <v/>
      </c>
      <c r="C219" s="33"/>
      <c r="D219" s="24"/>
      <c r="E219" s="30" t="str">
        <f aca="false">IF($D219="","",IFERROR(INDEX(合同单位,MATCH($D219,合同键,0)),IFERROR(TRIM(LEFT($D219,FIND("｜",$D219)-1)),$D219)))</f>
        <v/>
      </c>
      <c r="F219" s="30" t="str">
        <f aca="false">IF($D219="","",IFERROR(INDEX(合同项目,MATCH($D219,合同键,0)),IFERROR(TRIM(MID($D219,FIND("｜",$D219)+1,99)),"")))</f>
        <v/>
      </c>
      <c r="G219" s="39"/>
      <c r="H219" s="25"/>
      <c r="I219" s="35" t="str">
        <f aca="false">IF($H219="","",IFERROR(INDEX(票据归类表,MATCH($H219,票据类型表,0)),"现金无票"))</f>
        <v/>
      </c>
      <c r="J219" s="25"/>
      <c r="K219" s="25"/>
      <c r="L219" s="31"/>
      <c r="M219" s="29" t="str">
        <f aca="false">IF($C219="","",YEAR($C219))</f>
        <v/>
      </c>
      <c r="N219" s="24"/>
      <c r="O219" s="35" t="str">
        <f aca="false">IF($C219="","",IF($D219="","★没选客户项目",IF(COUNTIF(合同键,$D219)=0,"★《维保合同》里没这个项目",IF(N($G219)&lt;=0,"★收款金额要填",IF($H219="","★票据类型要选",IF(AND($L219&lt;&gt;"",COUNTIF(应收单号,$L219)=0),"★关联的应收单号不存在",IF(AND($L219&lt;&gt;"",IFERROR(INDEX(应收键,MATCH($L219,应收单号,0)),"")&lt;&gt;$D219),"★关联单号不是这个客户的",IF(AND($L219&lt;&gt;"",ROUND(SUMIF(收款关联,$L219,收款金额)-IFERROR(INDEX(应收金额,MATCH($L219,应收单号,0)),0),2)&gt;0.001),"★指定冲销超过那张单的应收","OK"))))))))</f>
        <v/>
      </c>
    </row>
    <row r="220" customFormat="false" ht="15" hidden="false" customHeight="false" outlineLevel="0" collapsed="false">
      <c r="A220" s="29" t="str">
        <f aca="false">IF($C220="","",ROW()-4)</f>
        <v/>
      </c>
      <c r="B220" s="35" t="str">
        <f aca="false">IF($C220="","","SK"&amp;TEXT($C220,"yyyymm")&amp;"-"&amp;TEXT(ROW()-4,"0000"))</f>
        <v/>
      </c>
      <c r="C220" s="33"/>
      <c r="D220" s="24"/>
      <c r="E220" s="30" t="str">
        <f aca="false">IF($D220="","",IFERROR(INDEX(合同单位,MATCH($D220,合同键,0)),IFERROR(TRIM(LEFT($D220,FIND("｜",$D220)-1)),$D220)))</f>
        <v/>
      </c>
      <c r="F220" s="30" t="str">
        <f aca="false">IF($D220="","",IFERROR(INDEX(合同项目,MATCH($D220,合同键,0)),IFERROR(TRIM(MID($D220,FIND("｜",$D220)+1,99)),"")))</f>
        <v/>
      </c>
      <c r="G220" s="39"/>
      <c r="H220" s="25"/>
      <c r="I220" s="35" t="str">
        <f aca="false">IF($H220="","",IFERROR(INDEX(票据归类表,MATCH($H220,票据类型表,0)),"现金无票"))</f>
        <v/>
      </c>
      <c r="J220" s="25"/>
      <c r="K220" s="25"/>
      <c r="L220" s="31"/>
      <c r="M220" s="29" t="str">
        <f aca="false">IF($C220="","",YEAR($C220))</f>
        <v/>
      </c>
      <c r="N220" s="24"/>
      <c r="O220" s="35" t="str">
        <f aca="false">IF($C220="","",IF($D220="","★没选客户项目",IF(COUNTIF(合同键,$D220)=0,"★《维保合同》里没这个项目",IF(N($G220)&lt;=0,"★收款金额要填",IF($H220="","★票据类型要选",IF(AND($L220&lt;&gt;"",COUNTIF(应收单号,$L220)=0),"★关联的应收单号不存在",IF(AND($L220&lt;&gt;"",IFERROR(INDEX(应收键,MATCH($L220,应收单号,0)),"")&lt;&gt;$D220),"★关联单号不是这个客户的",IF(AND($L220&lt;&gt;"",ROUND(SUMIF(收款关联,$L220,收款金额)-IFERROR(INDEX(应收金额,MATCH($L220,应收单号,0)),0),2)&gt;0.001),"★指定冲销超过那张单的应收","OK"))))))))</f>
        <v/>
      </c>
    </row>
    <row r="221" customFormat="false" ht="15" hidden="false" customHeight="false" outlineLevel="0" collapsed="false">
      <c r="A221" s="29" t="str">
        <f aca="false">IF($C221="","",ROW()-4)</f>
        <v/>
      </c>
      <c r="B221" s="35" t="str">
        <f aca="false">IF($C221="","","SK"&amp;TEXT($C221,"yyyymm")&amp;"-"&amp;TEXT(ROW()-4,"0000"))</f>
        <v/>
      </c>
      <c r="C221" s="33"/>
      <c r="D221" s="24"/>
      <c r="E221" s="30" t="str">
        <f aca="false">IF($D221="","",IFERROR(INDEX(合同单位,MATCH($D221,合同键,0)),IFERROR(TRIM(LEFT($D221,FIND("｜",$D221)-1)),$D221)))</f>
        <v/>
      </c>
      <c r="F221" s="30" t="str">
        <f aca="false">IF($D221="","",IFERROR(INDEX(合同项目,MATCH($D221,合同键,0)),IFERROR(TRIM(MID($D221,FIND("｜",$D221)+1,99)),"")))</f>
        <v/>
      </c>
      <c r="G221" s="39"/>
      <c r="H221" s="25"/>
      <c r="I221" s="35" t="str">
        <f aca="false">IF($H221="","",IFERROR(INDEX(票据归类表,MATCH($H221,票据类型表,0)),"现金无票"))</f>
        <v/>
      </c>
      <c r="J221" s="25"/>
      <c r="K221" s="25"/>
      <c r="L221" s="31"/>
      <c r="M221" s="29" t="str">
        <f aca="false">IF($C221="","",YEAR($C221))</f>
        <v/>
      </c>
      <c r="N221" s="24"/>
      <c r="O221" s="35" t="str">
        <f aca="false">IF($C221="","",IF($D221="","★没选客户项目",IF(COUNTIF(合同键,$D221)=0,"★《维保合同》里没这个项目",IF(N($G221)&lt;=0,"★收款金额要填",IF($H221="","★票据类型要选",IF(AND($L221&lt;&gt;"",COUNTIF(应收单号,$L221)=0),"★关联的应收单号不存在",IF(AND($L221&lt;&gt;"",IFERROR(INDEX(应收键,MATCH($L221,应收单号,0)),"")&lt;&gt;$D221),"★关联单号不是这个客户的",IF(AND($L221&lt;&gt;"",ROUND(SUMIF(收款关联,$L221,收款金额)-IFERROR(INDEX(应收金额,MATCH($L221,应收单号,0)),0),2)&gt;0.001),"★指定冲销超过那张单的应收","OK"))))))))</f>
        <v/>
      </c>
    </row>
    <row r="222" customFormat="false" ht="15" hidden="false" customHeight="false" outlineLevel="0" collapsed="false">
      <c r="A222" s="29" t="str">
        <f aca="false">IF($C222="","",ROW()-4)</f>
        <v/>
      </c>
      <c r="B222" s="35" t="str">
        <f aca="false">IF($C222="","","SK"&amp;TEXT($C222,"yyyymm")&amp;"-"&amp;TEXT(ROW()-4,"0000"))</f>
        <v/>
      </c>
      <c r="C222" s="33"/>
      <c r="D222" s="24"/>
      <c r="E222" s="30" t="str">
        <f aca="false">IF($D222="","",IFERROR(INDEX(合同单位,MATCH($D222,合同键,0)),IFERROR(TRIM(LEFT($D222,FIND("｜",$D222)-1)),$D222)))</f>
        <v/>
      </c>
      <c r="F222" s="30" t="str">
        <f aca="false">IF($D222="","",IFERROR(INDEX(合同项目,MATCH($D222,合同键,0)),IFERROR(TRIM(MID($D222,FIND("｜",$D222)+1,99)),"")))</f>
        <v/>
      </c>
      <c r="G222" s="39"/>
      <c r="H222" s="25"/>
      <c r="I222" s="35" t="str">
        <f aca="false">IF($H222="","",IFERROR(INDEX(票据归类表,MATCH($H222,票据类型表,0)),"现金无票"))</f>
        <v/>
      </c>
      <c r="J222" s="25"/>
      <c r="K222" s="25"/>
      <c r="L222" s="31"/>
      <c r="M222" s="29" t="str">
        <f aca="false">IF($C222="","",YEAR($C222))</f>
        <v/>
      </c>
      <c r="N222" s="24"/>
      <c r="O222" s="35" t="str">
        <f aca="false">IF($C222="","",IF($D222="","★没选客户项目",IF(COUNTIF(合同键,$D222)=0,"★《维保合同》里没这个项目",IF(N($G222)&lt;=0,"★收款金额要填",IF($H222="","★票据类型要选",IF(AND($L222&lt;&gt;"",COUNTIF(应收单号,$L222)=0),"★关联的应收单号不存在",IF(AND($L222&lt;&gt;"",IFERROR(INDEX(应收键,MATCH($L222,应收单号,0)),"")&lt;&gt;$D222),"★关联单号不是这个客户的",IF(AND($L222&lt;&gt;"",ROUND(SUMIF(收款关联,$L222,收款金额)-IFERROR(INDEX(应收金额,MATCH($L222,应收单号,0)),0),2)&gt;0.001),"★指定冲销超过那张单的应收","OK"))))))))</f>
        <v/>
      </c>
    </row>
    <row r="223" customFormat="false" ht="15" hidden="false" customHeight="false" outlineLevel="0" collapsed="false">
      <c r="A223" s="29" t="str">
        <f aca="false">IF($C223="","",ROW()-4)</f>
        <v/>
      </c>
      <c r="B223" s="35" t="str">
        <f aca="false">IF($C223="","","SK"&amp;TEXT($C223,"yyyymm")&amp;"-"&amp;TEXT(ROW()-4,"0000"))</f>
        <v/>
      </c>
      <c r="C223" s="33"/>
      <c r="D223" s="24"/>
      <c r="E223" s="30" t="str">
        <f aca="false">IF($D223="","",IFERROR(INDEX(合同单位,MATCH($D223,合同键,0)),IFERROR(TRIM(LEFT($D223,FIND("｜",$D223)-1)),$D223)))</f>
        <v/>
      </c>
      <c r="F223" s="30" t="str">
        <f aca="false">IF($D223="","",IFERROR(INDEX(合同项目,MATCH($D223,合同键,0)),IFERROR(TRIM(MID($D223,FIND("｜",$D223)+1,99)),"")))</f>
        <v/>
      </c>
      <c r="G223" s="39"/>
      <c r="H223" s="25"/>
      <c r="I223" s="35" t="str">
        <f aca="false">IF($H223="","",IFERROR(INDEX(票据归类表,MATCH($H223,票据类型表,0)),"现金无票"))</f>
        <v/>
      </c>
      <c r="J223" s="25"/>
      <c r="K223" s="25"/>
      <c r="L223" s="31"/>
      <c r="M223" s="29" t="str">
        <f aca="false">IF($C223="","",YEAR($C223))</f>
        <v/>
      </c>
      <c r="N223" s="24"/>
      <c r="O223" s="35" t="str">
        <f aca="false">IF($C223="","",IF($D223="","★没选客户项目",IF(COUNTIF(合同键,$D223)=0,"★《维保合同》里没这个项目",IF(N($G223)&lt;=0,"★收款金额要填",IF($H223="","★票据类型要选",IF(AND($L223&lt;&gt;"",COUNTIF(应收单号,$L223)=0),"★关联的应收单号不存在",IF(AND($L223&lt;&gt;"",IFERROR(INDEX(应收键,MATCH($L223,应收单号,0)),"")&lt;&gt;$D223),"★关联单号不是这个客户的",IF(AND($L223&lt;&gt;"",ROUND(SUMIF(收款关联,$L223,收款金额)-IFERROR(INDEX(应收金额,MATCH($L223,应收单号,0)),0),2)&gt;0.001),"★指定冲销超过那张单的应收","OK"))))))))</f>
        <v/>
      </c>
    </row>
    <row r="224" customFormat="false" ht="15" hidden="false" customHeight="false" outlineLevel="0" collapsed="false">
      <c r="A224" s="29" t="str">
        <f aca="false">IF($C224="","",ROW()-4)</f>
        <v/>
      </c>
      <c r="B224" s="35" t="str">
        <f aca="false">IF($C224="","","SK"&amp;TEXT($C224,"yyyymm")&amp;"-"&amp;TEXT(ROW()-4,"0000"))</f>
        <v/>
      </c>
      <c r="C224" s="33"/>
      <c r="D224" s="24"/>
      <c r="E224" s="30" t="str">
        <f aca="false">IF($D224="","",IFERROR(INDEX(合同单位,MATCH($D224,合同键,0)),IFERROR(TRIM(LEFT($D224,FIND("｜",$D224)-1)),$D224)))</f>
        <v/>
      </c>
      <c r="F224" s="30" t="str">
        <f aca="false">IF($D224="","",IFERROR(INDEX(合同项目,MATCH($D224,合同键,0)),IFERROR(TRIM(MID($D224,FIND("｜",$D224)+1,99)),"")))</f>
        <v/>
      </c>
      <c r="G224" s="39"/>
      <c r="H224" s="25"/>
      <c r="I224" s="35" t="str">
        <f aca="false">IF($H224="","",IFERROR(INDEX(票据归类表,MATCH($H224,票据类型表,0)),"现金无票"))</f>
        <v/>
      </c>
      <c r="J224" s="25"/>
      <c r="K224" s="25"/>
      <c r="L224" s="31"/>
      <c r="M224" s="29" t="str">
        <f aca="false">IF($C224="","",YEAR($C224))</f>
        <v/>
      </c>
      <c r="N224" s="24"/>
      <c r="O224" s="35" t="str">
        <f aca="false">IF($C224="","",IF($D224="","★没选客户项目",IF(COUNTIF(合同键,$D224)=0,"★《维保合同》里没这个项目",IF(N($G224)&lt;=0,"★收款金额要填",IF($H224="","★票据类型要选",IF(AND($L224&lt;&gt;"",COUNTIF(应收单号,$L224)=0),"★关联的应收单号不存在",IF(AND($L224&lt;&gt;"",IFERROR(INDEX(应收键,MATCH($L224,应收单号,0)),"")&lt;&gt;$D224),"★关联单号不是这个客户的",IF(AND($L224&lt;&gt;"",ROUND(SUMIF(收款关联,$L224,收款金额)-IFERROR(INDEX(应收金额,MATCH($L224,应收单号,0)),0),2)&gt;0.001),"★指定冲销超过那张单的应收","OK"))))))))</f>
        <v/>
      </c>
    </row>
    <row r="225" customFormat="false" ht="15" hidden="false" customHeight="false" outlineLevel="0" collapsed="false">
      <c r="A225" s="29" t="str">
        <f aca="false">IF($C225="","",ROW()-4)</f>
        <v/>
      </c>
      <c r="B225" s="35" t="str">
        <f aca="false">IF($C225="","","SK"&amp;TEXT($C225,"yyyymm")&amp;"-"&amp;TEXT(ROW()-4,"0000"))</f>
        <v/>
      </c>
      <c r="C225" s="33"/>
      <c r="D225" s="24"/>
      <c r="E225" s="30" t="str">
        <f aca="false">IF($D225="","",IFERROR(INDEX(合同单位,MATCH($D225,合同键,0)),IFERROR(TRIM(LEFT($D225,FIND("｜",$D225)-1)),$D225)))</f>
        <v/>
      </c>
      <c r="F225" s="30" t="str">
        <f aca="false">IF($D225="","",IFERROR(INDEX(合同项目,MATCH($D225,合同键,0)),IFERROR(TRIM(MID($D225,FIND("｜",$D225)+1,99)),"")))</f>
        <v/>
      </c>
      <c r="G225" s="39"/>
      <c r="H225" s="25"/>
      <c r="I225" s="35" t="str">
        <f aca="false">IF($H225="","",IFERROR(INDEX(票据归类表,MATCH($H225,票据类型表,0)),"现金无票"))</f>
        <v/>
      </c>
      <c r="J225" s="25"/>
      <c r="K225" s="25"/>
      <c r="L225" s="31"/>
      <c r="M225" s="29" t="str">
        <f aca="false">IF($C225="","",YEAR($C225))</f>
        <v/>
      </c>
      <c r="N225" s="24"/>
      <c r="O225" s="35" t="str">
        <f aca="false">IF($C225="","",IF($D225="","★没选客户项目",IF(COUNTIF(合同键,$D225)=0,"★《维保合同》里没这个项目",IF(N($G225)&lt;=0,"★收款金额要填",IF($H225="","★票据类型要选",IF(AND($L225&lt;&gt;"",COUNTIF(应收单号,$L225)=0),"★关联的应收单号不存在",IF(AND($L225&lt;&gt;"",IFERROR(INDEX(应收键,MATCH($L225,应收单号,0)),"")&lt;&gt;$D225),"★关联单号不是这个客户的",IF(AND($L225&lt;&gt;"",ROUND(SUMIF(收款关联,$L225,收款金额)-IFERROR(INDEX(应收金额,MATCH($L225,应收单号,0)),0),2)&gt;0.001),"★指定冲销超过那张单的应收","OK"))))))))</f>
        <v/>
      </c>
    </row>
    <row r="226" customFormat="false" ht="15" hidden="false" customHeight="false" outlineLevel="0" collapsed="false">
      <c r="A226" s="29" t="str">
        <f aca="false">IF($C226="","",ROW()-4)</f>
        <v/>
      </c>
      <c r="B226" s="35" t="str">
        <f aca="false">IF($C226="","","SK"&amp;TEXT($C226,"yyyymm")&amp;"-"&amp;TEXT(ROW()-4,"0000"))</f>
        <v/>
      </c>
      <c r="C226" s="33"/>
      <c r="D226" s="24"/>
      <c r="E226" s="30" t="str">
        <f aca="false">IF($D226="","",IFERROR(INDEX(合同单位,MATCH($D226,合同键,0)),IFERROR(TRIM(LEFT($D226,FIND("｜",$D226)-1)),$D226)))</f>
        <v/>
      </c>
      <c r="F226" s="30" t="str">
        <f aca="false">IF($D226="","",IFERROR(INDEX(合同项目,MATCH($D226,合同键,0)),IFERROR(TRIM(MID($D226,FIND("｜",$D226)+1,99)),"")))</f>
        <v/>
      </c>
      <c r="G226" s="39"/>
      <c r="H226" s="25"/>
      <c r="I226" s="35" t="str">
        <f aca="false">IF($H226="","",IFERROR(INDEX(票据归类表,MATCH($H226,票据类型表,0)),"现金无票"))</f>
        <v/>
      </c>
      <c r="J226" s="25"/>
      <c r="K226" s="25"/>
      <c r="L226" s="31"/>
      <c r="M226" s="29" t="str">
        <f aca="false">IF($C226="","",YEAR($C226))</f>
        <v/>
      </c>
      <c r="N226" s="24"/>
      <c r="O226" s="35" t="str">
        <f aca="false">IF($C226="","",IF($D226="","★没选客户项目",IF(COUNTIF(合同键,$D226)=0,"★《维保合同》里没这个项目",IF(N($G226)&lt;=0,"★收款金额要填",IF($H226="","★票据类型要选",IF(AND($L226&lt;&gt;"",COUNTIF(应收单号,$L226)=0),"★关联的应收单号不存在",IF(AND($L226&lt;&gt;"",IFERROR(INDEX(应收键,MATCH($L226,应收单号,0)),"")&lt;&gt;$D226),"★关联单号不是这个客户的",IF(AND($L226&lt;&gt;"",ROUND(SUMIF(收款关联,$L226,收款金额)-IFERROR(INDEX(应收金额,MATCH($L226,应收单号,0)),0),2)&gt;0.001),"★指定冲销超过那张单的应收","OK"))))))))</f>
        <v/>
      </c>
    </row>
    <row r="227" customFormat="false" ht="15" hidden="false" customHeight="false" outlineLevel="0" collapsed="false">
      <c r="A227" s="29" t="str">
        <f aca="false">IF($C227="","",ROW()-4)</f>
        <v/>
      </c>
      <c r="B227" s="35" t="str">
        <f aca="false">IF($C227="","","SK"&amp;TEXT($C227,"yyyymm")&amp;"-"&amp;TEXT(ROW()-4,"0000"))</f>
        <v/>
      </c>
      <c r="C227" s="33"/>
      <c r="D227" s="24"/>
      <c r="E227" s="30" t="str">
        <f aca="false">IF($D227="","",IFERROR(INDEX(合同单位,MATCH($D227,合同键,0)),IFERROR(TRIM(LEFT($D227,FIND("｜",$D227)-1)),$D227)))</f>
        <v/>
      </c>
      <c r="F227" s="30" t="str">
        <f aca="false">IF($D227="","",IFERROR(INDEX(合同项目,MATCH($D227,合同键,0)),IFERROR(TRIM(MID($D227,FIND("｜",$D227)+1,99)),"")))</f>
        <v/>
      </c>
      <c r="G227" s="39"/>
      <c r="H227" s="25"/>
      <c r="I227" s="35" t="str">
        <f aca="false">IF($H227="","",IFERROR(INDEX(票据归类表,MATCH($H227,票据类型表,0)),"现金无票"))</f>
        <v/>
      </c>
      <c r="J227" s="25"/>
      <c r="K227" s="25"/>
      <c r="L227" s="31"/>
      <c r="M227" s="29" t="str">
        <f aca="false">IF($C227="","",YEAR($C227))</f>
        <v/>
      </c>
      <c r="N227" s="24"/>
      <c r="O227" s="35" t="str">
        <f aca="false">IF($C227="","",IF($D227="","★没选客户项目",IF(COUNTIF(合同键,$D227)=0,"★《维保合同》里没这个项目",IF(N($G227)&lt;=0,"★收款金额要填",IF($H227="","★票据类型要选",IF(AND($L227&lt;&gt;"",COUNTIF(应收单号,$L227)=0),"★关联的应收单号不存在",IF(AND($L227&lt;&gt;"",IFERROR(INDEX(应收键,MATCH($L227,应收单号,0)),"")&lt;&gt;$D227),"★关联单号不是这个客户的",IF(AND($L227&lt;&gt;"",ROUND(SUMIF(收款关联,$L227,收款金额)-IFERROR(INDEX(应收金额,MATCH($L227,应收单号,0)),0),2)&gt;0.001),"★指定冲销超过那张单的应收","OK"))))))))</f>
        <v/>
      </c>
    </row>
    <row r="228" customFormat="false" ht="15" hidden="false" customHeight="false" outlineLevel="0" collapsed="false">
      <c r="A228" s="29" t="str">
        <f aca="false">IF($C228="","",ROW()-4)</f>
        <v/>
      </c>
      <c r="B228" s="35" t="str">
        <f aca="false">IF($C228="","","SK"&amp;TEXT($C228,"yyyymm")&amp;"-"&amp;TEXT(ROW()-4,"0000"))</f>
        <v/>
      </c>
      <c r="C228" s="33"/>
      <c r="D228" s="24"/>
      <c r="E228" s="30" t="str">
        <f aca="false">IF($D228="","",IFERROR(INDEX(合同单位,MATCH($D228,合同键,0)),IFERROR(TRIM(LEFT($D228,FIND("｜",$D228)-1)),$D228)))</f>
        <v/>
      </c>
      <c r="F228" s="30" t="str">
        <f aca="false">IF($D228="","",IFERROR(INDEX(合同项目,MATCH($D228,合同键,0)),IFERROR(TRIM(MID($D228,FIND("｜",$D228)+1,99)),"")))</f>
        <v/>
      </c>
      <c r="G228" s="39"/>
      <c r="H228" s="25"/>
      <c r="I228" s="35" t="str">
        <f aca="false">IF($H228="","",IFERROR(INDEX(票据归类表,MATCH($H228,票据类型表,0)),"现金无票"))</f>
        <v/>
      </c>
      <c r="J228" s="25"/>
      <c r="K228" s="25"/>
      <c r="L228" s="31"/>
      <c r="M228" s="29" t="str">
        <f aca="false">IF($C228="","",YEAR($C228))</f>
        <v/>
      </c>
      <c r="N228" s="24"/>
      <c r="O228" s="35" t="str">
        <f aca="false">IF($C228="","",IF($D228="","★没选客户项目",IF(COUNTIF(合同键,$D228)=0,"★《维保合同》里没这个项目",IF(N($G228)&lt;=0,"★收款金额要填",IF($H228="","★票据类型要选",IF(AND($L228&lt;&gt;"",COUNTIF(应收单号,$L228)=0),"★关联的应收单号不存在",IF(AND($L228&lt;&gt;"",IFERROR(INDEX(应收键,MATCH($L228,应收单号,0)),"")&lt;&gt;$D228),"★关联单号不是这个客户的",IF(AND($L228&lt;&gt;"",ROUND(SUMIF(收款关联,$L228,收款金额)-IFERROR(INDEX(应收金额,MATCH($L228,应收单号,0)),0),2)&gt;0.001),"★指定冲销超过那张单的应收","OK"))))))))</f>
        <v/>
      </c>
    </row>
    <row r="229" customFormat="false" ht="15" hidden="false" customHeight="false" outlineLevel="0" collapsed="false">
      <c r="A229" s="29" t="str">
        <f aca="false">IF($C229="","",ROW()-4)</f>
        <v/>
      </c>
      <c r="B229" s="35" t="str">
        <f aca="false">IF($C229="","","SK"&amp;TEXT($C229,"yyyymm")&amp;"-"&amp;TEXT(ROW()-4,"0000"))</f>
        <v/>
      </c>
      <c r="C229" s="33"/>
      <c r="D229" s="24"/>
      <c r="E229" s="30" t="str">
        <f aca="false">IF($D229="","",IFERROR(INDEX(合同单位,MATCH($D229,合同键,0)),IFERROR(TRIM(LEFT($D229,FIND("｜",$D229)-1)),$D229)))</f>
        <v/>
      </c>
      <c r="F229" s="30" t="str">
        <f aca="false">IF($D229="","",IFERROR(INDEX(合同项目,MATCH($D229,合同键,0)),IFERROR(TRIM(MID($D229,FIND("｜",$D229)+1,99)),"")))</f>
        <v/>
      </c>
      <c r="G229" s="39"/>
      <c r="H229" s="25"/>
      <c r="I229" s="35" t="str">
        <f aca="false">IF($H229="","",IFERROR(INDEX(票据归类表,MATCH($H229,票据类型表,0)),"现金无票"))</f>
        <v/>
      </c>
      <c r="J229" s="25"/>
      <c r="K229" s="25"/>
      <c r="L229" s="31"/>
      <c r="M229" s="29" t="str">
        <f aca="false">IF($C229="","",YEAR($C229))</f>
        <v/>
      </c>
      <c r="N229" s="24"/>
      <c r="O229" s="35" t="str">
        <f aca="false">IF($C229="","",IF($D229="","★没选客户项目",IF(COUNTIF(合同键,$D229)=0,"★《维保合同》里没这个项目",IF(N($G229)&lt;=0,"★收款金额要填",IF($H229="","★票据类型要选",IF(AND($L229&lt;&gt;"",COUNTIF(应收单号,$L229)=0),"★关联的应收单号不存在",IF(AND($L229&lt;&gt;"",IFERROR(INDEX(应收键,MATCH($L229,应收单号,0)),"")&lt;&gt;$D229),"★关联单号不是这个客户的",IF(AND($L229&lt;&gt;"",ROUND(SUMIF(收款关联,$L229,收款金额)-IFERROR(INDEX(应收金额,MATCH($L229,应收单号,0)),0),2)&gt;0.001),"★指定冲销超过那张单的应收","OK"))))))))</f>
        <v/>
      </c>
    </row>
    <row r="230" customFormat="false" ht="15" hidden="false" customHeight="false" outlineLevel="0" collapsed="false">
      <c r="A230" s="29" t="str">
        <f aca="false">IF($C230="","",ROW()-4)</f>
        <v/>
      </c>
      <c r="B230" s="35" t="str">
        <f aca="false">IF($C230="","","SK"&amp;TEXT($C230,"yyyymm")&amp;"-"&amp;TEXT(ROW()-4,"0000"))</f>
        <v/>
      </c>
      <c r="C230" s="33"/>
      <c r="D230" s="24"/>
      <c r="E230" s="30" t="str">
        <f aca="false">IF($D230="","",IFERROR(INDEX(合同单位,MATCH($D230,合同键,0)),IFERROR(TRIM(LEFT($D230,FIND("｜",$D230)-1)),$D230)))</f>
        <v/>
      </c>
      <c r="F230" s="30" t="str">
        <f aca="false">IF($D230="","",IFERROR(INDEX(合同项目,MATCH($D230,合同键,0)),IFERROR(TRIM(MID($D230,FIND("｜",$D230)+1,99)),"")))</f>
        <v/>
      </c>
      <c r="G230" s="39"/>
      <c r="H230" s="25"/>
      <c r="I230" s="35" t="str">
        <f aca="false">IF($H230="","",IFERROR(INDEX(票据归类表,MATCH($H230,票据类型表,0)),"现金无票"))</f>
        <v/>
      </c>
      <c r="J230" s="25"/>
      <c r="K230" s="25"/>
      <c r="L230" s="31"/>
      <c r="M230" s="29" t="str">
        <f aca="false">IF($C230="","",YEAR($C230))</f>
        <v/>
      </c>
      <c r="N230" s="24"/>
      <c r="O230" s="35" t="str">
        <f aca="false">IF($C230="","",IF($D230="","★没选客户项目",IF(COUNTIF(合同键,$D230)=0,"★《维保合同》里没这个项目",IF(N($G230)&lt;=0,"★收款金额要填",IF($H230="","★票据类型要选",IF(AND($L230&lt;&gt;"",COUNTIF(应收单号,$L230)=0),"★关联的应收单号不存在",IF(AND($L230&lt;&gt;"",IFERROR(INDEX(应收键,MATCH($L230,应收单号,0)),"")&lt;&gt;$D230),"★关联单号不是这个客户的",IF(AND($L230&lt;&gt;"",ROUND(SUMIF(收款关联,$L230,收款金额)-IFERROR(INDEX(应收金额,MATCH($L230,应收单号,0)),0),2)&gt;0.001),"★指定冲销超过那张单的应收","OK"))))))))</f>
        <v/>
      </c>
    </row>
    <row r="231" customFormat="false" ht="15" hidden="false" customHeight="false" outlineLevel="0" collapsed="false">
      <c r="A231" s="29" t="str">
        <f aca="false">IF($C231="","",ROW()-4)</f>
        <v/>
      </c>
      <c r="B231" s="35" t="str">
        <f aca="false">IF($C231="","","SK"&amp;TEXT($C231,"yyyymm")&amp;"-"&amp;TEXT(ROW()-4,"0000"))</f>
        <v/>
      </c>
      <c r="C231" s="33"/>
      <c r="D231" s="24"/>
      <c r="E231" s="30" t="str">
        <f aca="false">IF($D231="","",IFERROR(INDEX(合同单位,MATCH($D231,合同键,0)),IFERROR(TRIM(LEFT($D231,FIND("｜",$D231)-1)),$D231)))</f>
        <v/>
      </c>
      <c r="F231" s="30" t="str">
        <f aca="false">IF($D231="","",IFERROR(INDEX(合同项目,MATCH($D231,合同键,0)),IFERROR(TRIM(MID($D231,FIND("｜",$D231)+1,99)),"")))</f>
        <v/>
      </c>
      <c r="G231" s="39"/>
      <c r="H231" s="25"/>
      <c r="I231" s="35" t="str">
        <f aca="false">IF($H231="","",IFERROR(INDEX(票据归类表,MATCH($H231,票据类型表,0)),"现金无票"))</f>
        <v/>
      </c>
      <c r="J231" s="25"/>
      <c r="K231" s="25"/>
      <c r="L231" s="31"/>
      <c r="M231" s="29" t="str">
        <f aca="false">IF($C231="","",YEAR($C231))</f>
        <v/>
      </c>
      <c r="N231" s="24"/>
      <c r="O231" s="35" t="str">
        <f aca="false">IF($C231="","",IF($D231="","★没选客户项目",IF(COUNTIF(合同键,$D231)=0,"★《维保合同》里没这个项目",IF(N($G231)&lt;=0,"★收款金额要填",IF($H231="","★票据类型要选",IF(AND($L231&lt;&gt;"",COUNTIF(应收单号,$L231)=0),"★关联的应收单号不存在",IF(AND($L231&lt;&gt;"",IFERROR(INDEX(应收键,MATCH($L231,应收单号,0)),"")&lt;&gt;$D231),"★关联单号不是这个客户的",IF(AND($L231&lt;&gt;"",ROUND(SUMIF(收款关联,$L231,收款金额)-IFERROR(INDEX(应收金额,MATCH($L231,应收单号,0)),0),2)&gt;0.001),"★指定冲销超过那张单的应收","OK"))))))))</f>
        <v/>
      </c>
    </row>
    <row r="232" customFormat="false" ht="15" hidden="false" customHeight="false" outlineLevel="0" collapsed="false">
      <c r="A232" s="29" t="str">
        <f aca="false">IF($C232="","",ROW()-4)</f>
        <v/>
      </c>
      <c r="B232" s="35" t="str">
        <f aca="false">IF($C232="","","SK"&amp;TEXT($C232,"yyyymm")&amp;"-"&amp;TEXT(ROW()-4,"0000"))</f>
        <v/>
      </c>
      <c r="C232" s="33"/>
      <c r="D232" s="24"/>
      <c r="E232" s="30" t="str">
        <f aca="false">IF($D232="","",IFERROR(INDEX(合同单位,MATCH($D232,合同键,0)),IFERROR(TRIM(LEFT($D232,FIND("｜",$D232)-1)),$D232)))</f>
        <v/>
      </c>
      <c r="F232" s="30" t="str">
        <f aca="false">IF($D232="","",IFERROR(INDEX(合同项目,MATCH($D232,合同键,0)),IFERROR(TRIM(MID($D232,FIND("｜",$D232)+1,99)),"")))</f>
        <v/>
      </c>
      <c r="G232" s="39"/>
      <c r="H232" s="25"/>
      <c r="I232" s="35" t="str">
        <f aca="false">IF($H232="","",IFERROR(INDEX(票据归类表,MATCH($H232,票据类型表,0)),"现金无票"))</f>
        <v/>
      </c>
      <c r="J232" s="25"/>
      <c r="K232" s="25"/>
      <c r="L232" s="31"/>
      <c r="M232" s="29" t="str">
        <f aca="false">IF($C232="","",YEAR($C232))</f>
        <v/>
      </c>
      <c r="N232" s="24"/>
      <c r="O232" s="35" t="str">
        <f aca="false">IF($C232="","",IF($D232="","★没选客户项目",IF(COUNTIF(合同键,$D232)=0,"★《维保合同》里没这个项目",IF(N($G232)&lt;=0,"★收款金额要填",IF($H232="","★票据类型要选",IF(AND($L232&lt;&gt;"",COUNTIF(应收单号,$L232)=0),"★关联的应收单号不存在",IF(AND($L232&lt;&gt;"",IFERROR(INDEX(应收键,MATCH($L232,应收单号,0)),"")&lt;&gt;$D232),"★关联单号不是这个客户的",IF(AND($L232&lt;&gt;"",ROUND(SUMIF(收款关联,$L232,收款金额)-IFERROR(INDEX(应收金额,MATCH($L232,应收单号,0)),0),2)&gt;0.001),"★指定冲销超过那张单的应收","OK"))))))))</f>
        <v/>
      </c>
    </row>
    <row r="233" customFormat="false" ht="15" hidden="false" customHeight="false" outlineLevel="0" collapsed="false">
      <c r="A233" s="29" t="str">
        <f aca="false">IF($C233="","",ROW()-4)</f>
        <v/>
      </c>
      <c r="B233" s="35" t="str">
        <f aca="false">IF($C233="","","SK"&amp;TEXT($C233,"yyyymm")&amp;"-"&amp;TEXT(ROW()-4,"0000"))</f>
        <v/>
      </c>
      <c r="C233" s="33"/>
      <c r="D233" s="24"/>
      <c r="E233" s="30" t="str">
        <f aca="false">IF($D233="","",IFERROR(INDEX(合同单位,MATCH($D233,合同键,0)),IFERROR(TRIM(LEFT($D233,FIND("｜",$D233)-1)),$D233)))</f>
        <v/>
      </c>
      <c r="F233" s="30" t="str">
        <f aca="false">IF($D233="","",IFERROR(INDEX(合同项目,MATCH($D233,合同键,0)),IFERROR(TRIM(MID($D233,FIND("｜",$D233)+1,99)),"")))</f>
        <v/>
      </c>
      <c r="G233" s="39"/>
      <c r="H233" s="25"/>
      <c r="I233" s="35" t="str">
        <f aca="false">IF($H233="","",IFERROR(INDEX(票据归类表,MATCH($H233,票据类型表,0)),"现金无票"))</f>
        <v/>
      </c>
      <c r="J233" s="25"/>
      <c r="K233" s="25"/>
      <c r="L233" s="31"/>
      <c r="M233" s="29" t="str">
        <f aca="false">IF($C233="","",YEAR($C233))</f>
        <v/>
      </c>
      <c r="N233" s="24"/>
      <c r="O233" s="35" t="str">
        <f aca="false">IF($C233="","",IF($D233="","★没选客户项目",IF(COUNTIF(合同键,$D233)=0,"★《维保合同》里没这个项目",IF(N($G233)&lt;=0,"★收款金额要填",IF($H233="","★票据类型要选",IF(AND($L233&lt;&gt;"",COUNTIF(应收单号,$L233)=0),"★关联的应收单号不存在",IF(AND($L233&lt;&gt;"",IFERROR(INDEX(应收键,MATCH($L233,应收单号,0)),"")&lt;&gt;$D233),"★关联单号不是这个客户的",IF(AND($L233&lt;&gt;"",ROUND(SUMIF(收款关联,$L233,收款金额)-IFERROR(INDEX(应收金额,MATCH($L233,应收单号,0)),0),2)&gt;0.001),"★指定冲销超过那张单的应收","OK"))))))))</f>
        <v/>
      </c>
    </row>
    <row r="234" customFormat="false" ht="15" hidden="false" customHeight="false" outlineLevel="0" collapsed="false">
      <c r="A234" s="29" t="str">
        <f aca="false">IF($C234="","",ROW()-4)</f>
        <v/>
      </c>
      <c r="B234" s="35" t="str">
        <f aca="false">IF($C234="","","SK"&amp;TEXT($C234,"yyyymm")&amp;"-"&amp;TEXT(ROW()-4,"0000"))</f>
        <v/>
      </c>
      <c r="C234" s="33"/>
      <c r="D234" s="24"/>
      <c r="E234" s="30" t="str">
        <f aca="false">IF($D234="","",IFERROR(INDEX(合同单位,MATCH($D234,合同键,0)),IFERROR(TRIM(LEFT($D234,FIND("｜",$D234)-1)),$D234)))</f>
        <v/>
      </c>
      <c r="F234" s="30" t="str">
        <f aca="false">IF($D234="","",IFERROR(INDEX(合同项目,MATCH($D234,合同键,0)),IFERROR(TRIM(MID($D234,FIND("｜",$D234)+1,99)),"")))</f>
        <v/>
      </c>
      <c r="G234" s="39"/>
      <c r="H234" s="25"/>
      <c r="I234" s="35" t="str">
        <f aca="false">IF($H234="","",IFERROR(INDEX(票据归类表,MATCH($H234,票据类型表,0)),"现金无票"))</f>
        <v/>
      </c>
      <c r="J234" s="25"/>
      <c r="K234" s="25"/>
      <c r="L234" s="31"/>
      <c r="M234" s="29" t="str">
        <f aca="false">IF($C234="","",YEAR($C234))</f>
        <v/>
      </c>
      <c r="N234" s="24"/>
      <c r="O234" s="35" t="str">
        <f aca="false">IF($C234="","",IF($D234="","★没选客户项目",IF(COUNTIF(合同键,$D234)=0,"★《维保合同》里没这个项目",IF(N($G234)&lt;=0,"★收款金额要填",IF($H234="","★票据类型要选",IF(AND($L234&lt;&gt;"",COUNTIF(应收单号,$L234)=0),"★关联的应收单号不存在",IF(AND($L234&lt;&gt;"",IFERROR(INDEX(应收键,MATCH($L234,应收单号,0)),"")&lt;&gt;$D234),"★关联单号不是这个客户的",IF(AND($L234&lt;&gt;"",ROUND(SUMIF(收款关联,$L234,收款金额)-IFERROR(INDEX(应收金额,MATCH($L234,应收单号,0)),0),2)&gt;0.001),"★指定冲销超过那张单的应收","OK"))))))))</f>
        <v/>
      </c>
    </row>
    <row r="235" customFormat="false" ht="15" hidden="false" customHeight="false" outlineLevel="0" collapsed="false">
      <c r="A235" s="29" t="str">
        <f aca="false">IF($C235="","",ROW()-4)</f>
        <v/>
      </c>
      <c r="B235" s="35" t="str">
        <f aca="false">IF($C235="","","SK"&amp;TEXT($C235,"yyyymm")&amp;"-"&amp;TEXT(ROW()-4,"0000"))</f>
        <v/>
      </c>
      <c r="C235" s="33"/>
      <c r="D235" s="24"/>
      <c r="E235" s="30" t="str">
        <f aca="false">IF($D235="","",IFERROR(INDEX(合同单位,MATCH($D235,合同键,0)),IFERROR(TRIM(LEFT($D235,FIND("｜",$D235)-1)),$D235)))</f>
        <v/>
      </c>
      <c r="F235" s="30" t="str">
        <f aca="false">IF($D235="","",IFERROR(INDEX(合同项目,MATCH($D235,合同键,0)),IFERROR(TRIM(MID($D235,FIND("｜",$D235)+1,99)),"")))</f>
        <v/>
      </c>
      <c r="G235" s="39"/>
      <c r="H235" s="25"/>
      <c r="I235" s="35" t="str">
        <f aca="false">IF($H235="","",IFERROR(INDEX(票据归类表,MATCH($H235,票据类型表,0)),"现金无票"))</f>
        <v/>
      </c>
      <c r="J235" s="25"/>
      <c r="K235" s="25"/>
      <c r="L235" s="31"/>
      <c r="M235" s="29" t="str">
        <f aca="false">IF($C235="","",YEAR($C235))</f>
        <v/>
      </c>
      <c r="N235" s="24"/>
      <c r="O235" s="35" t="str">
        <f aca="false">IF($C235="","",IF($D235="","★没选客户项目",IF(COUNTIF(合同键,$D235)=0,"★《维保合同》里没这个项目",IF(N($G235)&lt;=0,"★收款金额要填",IF($H235="","★票据类型要选",IF(AND($L235&lt;&gt;"",COUNTIF(应收单号,$L235)=0),"★关联的应收单号不存在",IF(AND($L235&lt;&gt;"",IFERROR(INDEX(应收键,MATCH($L235,应收单号,0)),"")&lt;&gt;$D235),"★关联单号不是这个客户的",IF(AND($L235&lt;&gt;"",ROUND(SUMIF(收款关联,$L235,收款金额)-IFERROR(INDEX(应收金额,MATCH($L235,应收单号,0)),0),2)&gt;0.001),"★指定冲销超过那张单的应收","OK"))))))))</f>
        <v/>
      </c>
    </row>
    <row r="236" customFormat="false" ht="15" hidden="false" customHeight="false" outlineLevel="0" collapsed="false">
      <c r="A236" s="29" t="str">
        <f aca="false">IF($C236="","",ROW()-4)</f>
        <v/>
      </c>
      <c r="B236" s="35" t="str">
        <f aca="false">IF($C236="","","SK"&amp;TEXT($C236,"yyyymm")&amp;"-"&amp;TEXT(ROW()-4,"0000"))</f>
        <v/>
      </c>
      <c r="C236" s="33"/>
      <c r="D236" s="24"/>
      <c r="E236" s="30" t="str">
        <f aca="false">IF($D236="","",IFERROR(INDEX(合同单位,MATCH($D236,合同键,0)),IFERROR(TRIM(LEFT($D236,FIND("｜",$D236)-1)),$D236)))</f>
        <v/>
      </c>
      <c r="F236" s="30" t="str">
        <f aca="false">IF($D236="","",IFERROR(INDEX(合同项目,MATCH($D236,合同键,0)),IFERROR(TRIM(MID($D236,FIND("｜",$D236)+1,99)),"")))</f>
        <v/>
      </c>
      <c r="G236" s="39"/>
      <c r="H236" s="25"/>
      <c r="I236" s="35" t="str">
        <f aca="false">IF($H236="","",IFERROR(INDEX(票据归类表,MATCH($H236,票据类型表,0)),"现金无票"))</f>
        <v/>
      </c>
      <c r="J236" s="25"/>
      <c r="K236" s="25"/>
      <c r="L236" s="31"/>
      <c r="M236" s="29" t="str">
        <f aca="false">IF($C236="","",YEAR($C236))</f>
        <v/>
      </c>
      <c r="N236" s="24"/>
      <c r="O236" s="35" t="str">
        <f aca="false">IF($C236="","",IF($D236="","★没选客户项目",IF(COUNTIF(合同键,$D236)=0,"★《维保合同》里没这个项目",IF(N($G236)&lt;=0,"★收款金额要填",IF($H236="","★票据类型要选",IF(AND($L236&lt;&gt;"",COUNTIF(应收单号,$L236)=0),"★关联的应收单号不存在",IF(AND($L236&lt;&gt;"",IFERROR(INDEX(应收键,MATCH($L236,应收单号,0)),"")&lt;&gt;$D236),"★关联单号不是这个客户的",IF(AND($L236&lt;&gt;"",ROUND(SUMIF(收款关联,$L236,收款金额)-IFERROR(INDEX(应收金额,MATCH($L236,应收单号,0)),0),2)&gt;0.001),"★指定冲销超过那张单的应收","OK"))))))))</f>
        <v/>
      </c>
    </row>
    <row r="237" customFormat="false" ht="15" hidden="false" customHeight="false" outlineLevel="0" collapsed="false">
      <c r="A237" s="29" t="str">
        <f aca="false">IF($C237="","",ROW()-4)</f>
        <v/>
      </c>
      <c r="B237" s="35" t="str">
        <f aca="false">IF($C237="","","SK"&amp;TEXT($C237,"yyyymm")&amp;"-"&amp;TEXT(ROW()-4,"0000"))</f>
        <v/>
      </c>
      <c r="C237" s="33"/>
      <c r="D237" s="24"/>
      <c r="E237" s="30" t="str">
        <f aca="false">IF($D237="","",IFERROR(INDEX(合同单位,MATCH($D237,合同键,0)),IFERROR(TRIM(LEFT($D237,FIND("｜",$D237)-1)),$D237)))</f>
        <v/>
      </c>
      <c r="F237" s="30" t="str">
        <f aca="false">IF($D237="","",IFERROR(INDEX(合同项目,MATCH($D237,合同键,0)),IFERROR(TRIM(MID($D237,FIND("｜",$D237)+1,99)),"")))</f>
        <v/>
      </c>
      <c r="G237" s="39"/>
      <c r="H237" s="25"/>
      <c r="I237" s="35" t="str">
        <f aca="false">IF($H237="","",IFERROR(INDEX(票据归类表,MATCH($H237,票据类型表,0)),"现金无票"))</f>
        <v/>
      </c>
      <c r="J237" s="25"/>
      <c r="K237" s="25"/>
      <c r="L237" s="31"/>
      <c r="M237" s="29" t="str">
        <f aca="false">IF($C237="","",YEAR($C237))</f>
        <v/>
      </c>
      <c r="N237" s="24"/>
      <c r="O237" s="35" t="str">
        <f aca="false">IF($C237="","",IF($D237="","★没选客户项目",IF(COUNTIF(合同键,$D237)=0,"★《维保合同》里没这个项目",IF(N($G237)&lt;=0,"★收款金额要填",IF($H237="","★票据类型要选",IF(AND($L237&lt;&gt;"",COUNTIF(应收单号,$L237)=0),"★关联的应收单号不存在",IF(AND($L237&lt;&gt;"",IFERROR(INDEX(应收键,MATCH($L237,应收单号,0)),"")&lt;&gt;$D237),"★关联单号不是这个客户的",IF(AND($L237&lt;&gt;"",ROUND(SUMIF(收款关联,$L237,收款金额)-IFERROR(INDEX(应收金额,MATCH($L237,应收单号,0)),0),2)&gt;0.001),"★指定冲销超过那张单的应收","OK"))))))))</f>
        <v/>
      </c>
    </row>
    <row r="238" customFormat="false" ht="15" hidden="false" customHeight="false" outlineLevel="0" collapsed="false">
      <c r="A238" s="29" t="str">
        <f aca="false">IF($C238="","",ROW()-4)</f>
        <v/>
      </c>
      <c r="B238" s="35" t="str">
        <f aca="false">IF($C238="","","SK"&amp;TEXT($C238,"yyyymm")&amp;"-"&amp;TEXT(ROW()-4,"0000"))</f>
        <v/>
      </c>
      <c r="C238" s="33"/>
      <c r="D238" s="24"/>
      <c r="E238" s="30" t="str">
        <f aca="false">IF($D238="","",IFERROR(INDEX(合同单位,MATCH($D238,合同键,0)),IFERROR(TRIM(LEFT($D238,FIND("｜",$D238)-1)),$D238)))</f>
        <v/>
      </c>
      <c r="F238" s="30" t="str">
        <f aca="false">IF($D238="","",IFERROR(INDEX(合同项目,MATCH($D238,合同键,0)),IFERROR(TRIM(MID($D238,FIND("｜",$D238)+1,99)),"")))</f>
        <v/>
      </c>
      <c r="G238" s="39"/>
      <c r="H238" s="25"/>
      <c r="I238" s="35" t="str">
        <f aca="false">IF($H238="","",IFERROR(INDEX(票据归类表,MATCH($H238,票据类型表,0)),"现金无票"))</f>
        <v/>
      </c>
      <c r="J238" s="25"/>
      <c r="K238" s="25"/>
      <c r="L238" s="31"/>
      <c r="M238" s="29" t="str">
        <f aca="false">IF($C238="","",YEAR($C238))</f>
        <v/>
      </c>
      <c r="N238" s="24"/>
      <c r="O238" s="35" t="str">
        <f aca="false">IF($C238="","",IF($D238="","★没选客户项目",IF(COUNTIF(合同键,$D238)=0,"★《维保合同》里没这个项目",IF(N($G238)&lt;=0,"★收款金额要填",IF($H238="","★票据类型要选",IF(AND($L238&lt;&gt;"",COUNTIF(应收单号,$L238)=0),"★关联的应收单号不存在",IF(AND($L238&lt;&gt;"",IFERROR(INDEX(应收键,MATCH($L238,应收单号,0)),"")&lt;&gt;$D238),"★关联单号不是这个客户的",IF(AND($L238&lt;&gt;"",ROUND(SUMIF(收款关联,$L238,收款金额)-IFERROR(INDEX(应收金额,MATCH($L238,应收单号,0)),0),2)&gt;0.001),"★指定冲销超过那张单的应收","OK"))))))))</f>
        <v/>
      </c>
    </row>
    <row r="239" customFormat="false" ht="15" hidden="false" customHeight="false" outlineLevel="0" collapsed="false">
      <c r="A239" s="29" t="str">
        <f aca="false">IF($C239="","",ROW()-4)</f>
        <v/>
      </c>
      <c r="B239" s="35" t="str">
        <f aca="false">IF($C239="","","SK"&amp;TEXT($C239,"yyyymm")&amp;"-"&amp;TEXT(ROW()-4,"0000"))</f>
        <v/>
      </c>
      <c r="C239" s="33"/>
      <c r="D239" s="24"/>
      <c r="E239" s="30" t="str">
        <f aca="false">IF($D239="","",IFERROR(INDEX(合同单位,MATCH($D239,合同键,0)),IFERROR(TRIM(LEFT($D239,FIND("｜",$D239)-1)),$D239)))</f>
        <v/>
      </c>
      <c r="F239" s="30" t="str">
        <f aca="false">IF($D239="","",IFERROR(INDEX(合同项目,MATCH($D239,合同键,0)),IFERROR(TRIM(MID($D239,FIND("｜",$D239)+1,99)),"")))</f>
        <v/>
      </c>
      <c r="G239" s="39"/>
      <c r="H239" s="25"/>
      <c r="I239" s="35" t="str">
        <f aca="false">IF($H239="","",IFERROR(INDEX(票据归类表,MATCH($H239,票据类型表,0)),"现金无票"))</f>
        <v/>
      </c>
      <c r="J239" s="25"/>
      <c r="K239" s="25"/>
      <c r="L239" s="31"/>
      <c r="M239" s="29" t="str">
        <f aca="false">IF($C239="","",YEAR($C239))</f>
        <v/>
      </c>
      <c r="N239" s="24"/>
      <c r="O239" s="35" t="str">
        <f aca="false">IF($C239="","",IF($D239="","★没选客户项目",IF(COUNTIF(合同键,$D239)=0,"★《维保合同》里没这个项目",IF(N($G239)&lt;=0,"★收款金额要填",IF($H239="","★票据类型要选",IF(AND($L239&lt;&gt;"",COUNTIF(应收单号,$L239)=0),"★关联的应收单号不存在",IF(AND($L239&lt;&gt;"",IFERROR(INDEX(应收键,MATCH($L239,应收单号,0)),"")&lt;&gt;$D239),"★关联单号不是这个客户的",IF(AND($L239&lt;&gt;"",ROUND(SUMIF(收款关联,$L239,收款金额)-IFERROR(INDEX(应收金额,MATCH($L239,应收单号,0)),0),2)&gt;0.001),"★指定冲销超过那张单的应收","OK"))))))))</f>
        <v/>
      </c>
    </row>
    <row r="240" customFormat="false" ht="15" hidden="false" customHeight="false" outlineLevel="0" collapsed="false">
      <c r="A240" s="29" t="str">
        <f aca="false">IF($C240="","",ROW()-4)</f>
        <v/>
      </c>
      <c r="B240" s="35" t="str">
        <f aca="false">IF($C240="","","SK"&amp;TEXT($C240,"yyyymm")&amp;"-"&amp;TEXT(ROW()-4,"0000"))</f>
        <v/>
      </c>
      <c r="C240" s="33"/>
      <c r="D240" s="24"/>
      <c r="E240" s="30" t="str">
        <f aca="false">IF($D240="","",IFERROR(INDEX(合同单位,MATCH($D240,合同键,0)),IFERROR(TRIM(LEFT($D240,FIND("｜",$D240)-1)),$D240)))</f>
        <v/>
      </c>
      <c r="F240" s="30" t="str">
        <f aca="false">IF($D240="","",IFERROR(INDEX(合同项目,MATCH($D240,合同键,0)),IFERROR(TRIM(MID($D240,FIND("｜",$D240)+1,99)),"")))</f>
        <v/>
      </c>
      <c r="G240" s="39"/>
      <c r="H240" s="25"/>
      <c r="I240" s="35" t="str">
        <f aca="false">IF($H240="","",IFERROR(INDEX(票据归类表,MATCH($H240,票据类型表,0)),"现金无票"))</f>
        <v/>
      </c>
      <c r="J240" s="25"/>
      <c r="K240" s="25"/>
      <c r="L240" s="31"/>
      <c r="M240" s="29" t="str">
        <f aca="false">IF($C240="","",YEAR($C240))</f>
        <v/>
      </c>
      <c r="N240" s="24"/>
      <c r="O240" s="35" t="str">
        <f aca="false">IF($C240="","",IF($D240="","★没选客户项目",IF(COUNTIF(合同键,$D240)=0,"★《维保合同》里没这个项目",IF(N($G240)&lt;=0,"★收款金额要填",IF($H240="","★票据类型要选",IF(AND($L240&lt;&gt;"",COUNTIF(应收单号,$L240)=0),"★关联的应收单号不存在",IF(AND($L240&lt;&gt;"",IFERROR(INDEX(应收键,MATCH($L240,应收单号,0)),"")&lt;&gt;$D240),"★关联单号不是这个客户的",IF(AND($L240&lt;&gt;"",ROUND(SUMIF(收款关联,$L240,收款金额)-IFERROR(INDEX(应收金额,MATCH($L240,应收单号,0)),0),2)&gt;0.001),"★指定冲销超过那张单的应收","OK"))))))))</f>
        <v/>
      </c>
    </row>
    <row r="241" customFormat="false" ht="15" hidden="false" customHeight="false" outlineLevel="0" collapsed="false">
      <c r="A241" s="29" t="str">
        <f aca="false">IF($C241="","",ROW()-4)</f>
        <v/>
      </c>
      <c r="B241" s="35" t="str">
        <f aca="false">IF($C241="","","SK"&amp;TEXT($C241,"yyyymm")&amp;"-"&amp;TEXT(ROW()-4,"0000"))</f>
        <v/>
      </c>
      <c r="C241" s="33"/>
      <c r="D241" s="24"/>
      <c r="E241" s="30" t="str">
        <f aca="false">IF($D241="","",IFERROR(INDEX(合同单位,MATCH($D241,合同键,0)),IFERROR(TRIM(LEFT($D241,FIND("｜",$D241)-1)),$D241)))</f>
        <v/>
      </c>
      <c r="F241" s="30" t="str">
        <f aca="false">IF($D241="","",IFERROR(INDEX(合同项目,MATCH($D241,合同键,0)),IFERROR(TRIM(MID($D241,FIND("｜",$D241)+1,99)),"")))</f>
        <v/>
      </c>
      <c r="G241" s="39"/>
      <c r="H241" s="25"/>
      <c r="I241" s="35" t="str">
        <f aca="false">IF($H241="","",IFERROR(INDEX(票据归类表,MATCH($H241,票据类型表,0)),"现金无票"))</f>
        <v/>
      </c>
      <c r="J241" s="25"/>
      <c r="K241" s="25"/>
      <c r="L241" s="31"/>
      <c r="M241" s="29" t="str">
        <f aca="false">IF($C241="","",YEAR($C241))</f>
        <v/>
      </c>
      <c r="N241" s="24"/>
      <c r="O241" s="35" t="str">
        <f aca="false">IF($C241="","",IF($D241="","★没选客户项目",IF(COUNTIF(合同键,$D241)=0,"★《维保合同》里没这个项目",IF(N($G241)&lt;=0,"★收款金额要填",IF($H241="","★票据类型要选",IF(AND($L241&lt;&gt;"",COUNTIF(应收单号,$L241)=0),"★关联的应收单号不存在",IF(AND($L241&lt;&gt;"",IFERROR(INDEX(应收键,MATCH($L241,应收单号,0)),"")&lt;&gt;$D241),"★关联单号不是这个客户的",IF(AND($L241&lt;&gt;"",ROUND(SUMIF(收款关联,$L241,收款金额)-IFERROR(INDEX(应收金额,MATCH($L241,应收单号,0)),0),2)&gt;0.001),"★指定冲销超过那张单的应收","OK"))))))))</f>
        <v/>
      </c>
    </row>
    <row r="242" customFormat="false" ht="15" hidden="false" customHeight="false" outlineLevel="0" collapsed="false">
      <c r="A242" s="29" t="str">
        <f aca="false">IF($C242="","",ROW()-4)</f>
        <v/>
      </c>
      <c r="B242" s="35" t="str">
        <f aca="false">IF($C242="","","SK"&amp;TEXT($C242,"yyyymm")&amp;"-"&amp;TEXT(ROW()-4,"0000"))</f>
        <v/>
      </c>
      <c r="C242" s="33"/>
      <c r="D242" s="24"/>
      <c r="E242" s="30" t="str">
        <f aca="false">IF($D242="","",IFERROR(INDEX(合同单位,MATCH($D242,合同键,0)),IFERROR(TRIM(LEFT($D242,FIND("｜",$D242)-1)),$D242)))</f>
        <v/>
      </c>
      <c r="F242" s="30" t="str">
        <f aca="false">IF($D242="","",IFERROR(INDEX(合同项目,MATCH($D242,合同键,0)),IFERROR(TRIM(MID($D242,FIND("｜",$D242)+1,99)),"")))</f>
        <v/>
      </c>
      <c r="G242" s="39"/>
      <c r="H242" s="25"/>
      <c r="I242" s="35" t="str">
        <f aca="false">IF($H242="","",IFERROR(INDEX(票据归类表,MATCH($H242,票据类型表,0)),"现金无票"))</f>
        <v/>
      </c>
      <c r="J242" s="25"/>
      <c r="K242" s="25"/>
      <c r="L242" s="31"/>
      <c r="M242" s="29" t="str">
        <f aca="false">IF($C242="","",YEAR($C242))</f>
        <v/>
      </c>
      <c r="N242" s="24"/>
      <c r="O242" s="35" t="str">
        <f aca="false">IF($C242="","",IF($D242="","★没选客户项目",IF(COUNTIF(合同键,$D242)=0,"★《维保合同》里没这个项目",IF(N($G242)&lt;=0,"★收款金额要填",IF($H242="","★票据类型要选",IF(AND($L242&lt;&gt;"",COUNTIF(应收单号,$L242)=0),"★关联的应收单号不存在",IF(AND($L242&lt;&gt;"",IFERROR(INDEX(应收键,MATCH($L242,应收单号,0)),"")&lt;&gt;$D242),"★关联单号不是这个客户的",IF(AND($L242&lt;&gt;"",ROUND(SUMIF(收款关联,$L242,收款金额)-IFERROR(INDEX(应收金额,MATCH($L242,应收单号,0)),0),2)&gt;0.001),"★指定冲销超过那张单的应收","OK"))))))))</f>
        <v/>
      </c>
    </row>
    <row r="243" customFormat="false" ht="15" hidden="false" customHeight="false" outlineLevel="0" collapsed="false">
      <c r="A243" s="29" t="str">
        <f aca="false">IF($C243="","",ROW()-4)</f>
        <v/>
      </c>
      <c r="B243" s="35" t="str">
        <f aca="false">IF($C243="","","SK"&amp;TEXT($C243,"yyyymm")&amp;"-"&amp;TEXT(ROW()-4,"0000"))</f>
        <v/>
      </c>
      <c r="C243" s="33"/>
      <c r="D243" s="24"/>
      <c r="E243" s="30" t="str">
        <f aca="false">IF($D243="","",IFERROR(INDEX(合同单位,MATCH($D243,合同键,0)),IFERROR(TRIM(LEFT($D243,FIND("｜",$D243)-1)),$D243)))</f>
        <v/>
      </c>
      <c r="F243" s="30" t="str">
        <f aca="false">IF($D243="","",IFERROR(INDEX(合同项目,MATCH($D243,合同键,0)),IFERROR(TRIM(MID($D243,FIND("｜",$D243)+1,99)),"")))</f>
        <v/>
      </c>
      <c r="G243" s="39"/>
      <c r="H243" s="25"/>
      <c r="I243" s="35" t="str">
        <f aca="false">IF($H243="","",IFERROR(INDEX(票据归类表,MATCH($H243,票据类型表,0)),"现金无票"))</f>
        <v/>
      </c>
      <c r="J243" s="25"/>
      <c r="K243" s="25"/>
      <c r="L243" s="31"/>
      <c r="M243" s="29" t="str">
        <f aca="false">IF($C243="","",YEAR($C243))</f>
        <v/>
      </c>
      <c r="N243" s="24"/>
      <c r="O243" s="35" t="str">
        <f aca="false">IF($C243="","",IF($D243="","★没选客户项目",IF(COUNTIF(合同键,$D243)=0,"★《维保合同》里没这个项目",IF(N($G243)&lt;=0,"★收款金额要填",IF($H243="","★票据类型要选",IF(AND($L243&lt;&gt;"",COUNTIF(应收单号,$L243)=0),"★关联的应收单号不存在",IF(AND($L243&lt;&gt;"",IFERROR(INDEX(应收键,MATCH($L243,应收单号,0)),"")&lt;&gt;$D243),"★关联单号不是这个客户的",IF(AND($L243&lt;&gt;"",ROUND(SUMIF(收款关联,$L243,收款金额)-IFERROR(INDEX(应收金额,MATCH($L243,应收单号,0)),0),2)&gt;0.001),"★指定冲销超过那张单的应收","OK"))))))))</f>
        <v/>
      </c>
    </row>
    <row r="244" customFormat="false" ht="15" hidden="false" customHeight="false" outlineLevel="0" collapsed="false">
      <c r="A244" s="29" t="str">
        <f aca="false">IF($C244="","",ROW()-4)</f>
        <v/>
      </c>
      <c r="B244" s="35" t="str">
        <f aca="false">IF($C244="","","SK"&amp;TEXT($C244,"yyyymm")&amp;"-"&amp;TEXT(ROW()-4,"0000"))</f>
        <v/>
      </c>
      <c r="C244" s="33"/>
      <c r="D244" s="24"/>
      <c r="E244" s="30" t="str">
        <f aca="false">IF($D244="","",IFERROR(INDEX(合同单位,MATCH($D244,合同键,0)),IFERROR(TRIM(LEFT($D244,FIND("｜",$D244)-1)),$D244)))</f>
        <v/>
      </c>
      <c r="F244" s="30" t="str">
        <f aca="false">IF($D244="","",IFERROR(INDEX(合同项目,MATCH($D244,合同键,0)),IFERROR(TRIM(MID($D244,FIND("｜",$D244)+1,99)),"")))</f>
        <v/>
      </c>
      <c r="G244" s="39"/>
      <c r="H244" s="25"/>
      <c r="I244" s="35" t="str">
        <f aca="false">IF($H244="","",IFERROR(INDEX(票据归类表,MATCH($H244,票据类型表,0)),"现金无票"))</f>
        <v/>
      </c>
      <c r="J244" s="25"/>
      <c r="K244" s="25"/>
      <c r="L244" s="31"/>
      <c r="M244" s="29" t="str">
        <f aca="false">IF($C244="","",YEAR($C244))</f>
        <v/>
      </c>
      <c r="N244" s="24"/>
      <c r="O244" s="35" t="str">
        <f aca="false">IF($C244="","",IF($D244="","★没选客户项目",IF(COUNTIF(合同键,$D244)=0,"★《维保合同》里没这个项目",IF(N($G244)&lt;=0,"★收款金额要填",IF($H244="","★票据类型要选",IF(AND($L244&lt;&gt;"",COUNTIF(应收单号,$L244)=0),"★关联的应收单号不存在",IF(AND($L244&lt;&gt;"",IFERROR(INDEX(应收键,MATCH($L244,应收单号,0)),"")&lt;&gt;$D244),"★关联单号不是这个客户的",IF(AND($L244&lt;&gt;"",ROUND(SUMIF(收款关联,$L244,收款金额)-IFERROR(INDEX(应收金额,MATCH($L244,应收单号,0)),0),2)&gt;0.001),"★指定冲销超过那张单的应收","OK"))))))))</f>
        <v/>
      </c>
    </row>
    <row r="245" customFormat="false" ht="15" hidden="false" customHeight="false" outlineLevel="0" collapsed="false">
      <c r="A245" s="29" t="str">
        <f aca="false">IF($C245="","",ROW()-4)</f>
        <v/>
      </c>
      <c r="B245" s="35" t="str">
        <f aca="false">IF($C245="","","SK"&amp;TEXT($C245,"yyyymm")&amp;"-"&amp;TEXT(ROW()-4,"0000"))</f>
        <v/>
      </c>
      <c r="C245" s="33"/>
      <c r="D245" s="24"/>
      <c r="E245" s="30" t="str">
        <f aca="false">IF($D245="","",IFERROR(INDEX(合同单位,MATCH($D245,合同键,0)),IFERROR(TRIM(LEFT($D245,FIND("｜",$D245)-1)),$D245)))</f>
        <v/>
      </c>
      <c r="F245" s="30" t="str">
        <f aca="false">IF($D245="","",IFERROR(INDEX(合同项目,MATCH($D245,合同键,0)),IFERROR(TRIM(MID($D245,FIND("｜",$D245)+1,99)),"")))</f>
        <v/>
      </c>
      <c r="G245" s="39"/>
      <c r="H245" s="25"/>
      <c r="I245" s="35" t="str">
        <f aca="false">IF($H245="","",IFERROR(INDEX(票据归类表,MATCH($H245,票据类型表,0)),"现金无票"))</f>
        <v/>
      </c>
      <c r="J245" s="25"/>
      <c r="K245" s="25"/>
      <c r="L245" s="31"/>
      <c r="M245" s="29" t="str">
        <f aca="false">IF($C245="","",YEAR($C245))</f>
        <v/>
      </c>
      <c r="N245" s="24"/>
      <c r="O245" s="35" t="str">
        <f aca="false">IF($C245="","",IF($D245="","★没选客户项目",IF(COUNTIF(合同键,$D245)=0,"★《维保合同》里没这个项目",IF(N($G245)&lt;=0,"★收款金额要填",IF($H245="","★票据类型要选",IF(AND($L245&lt;&gt;"",COUNTIF(应收单号,$L245)=0),"★关联的应收单号不存在",IF(AND($L245&lt;&gt;"",IFERROR(INDEX(应收键,MATCH($L245,应收单号,0)),"")&lt;&gt;$D245),"★关联单号不是这个客户的",IF(AND($L245&lt;&gt;"",ROUND(SUMIF(收款关联,$L245,收款金额)-IFERROR(INDEX(应收金额,MATCH($L245,应收单号,0)),0),2)&gt;0.001),"★指定冲销超过那张单的应收","OK"))))))))</f>
        <v/>
      </c>
    </row>
    <row r="246" customFormat="false" ht="15" hidden="false" customHeight="false" outlineLevel="0" collapsed="false">
      <c r="A246" s="29" t="str">
        <f aca="false">IF($C246="","",ROW()-4)</f>
        <v/>
      </c>
      <c r="B246" s="35" t="str">
        <f aca="false">IF($C246="","","SK"&amp;TEXT($C246,"yyyymm")&amp;"-"&amp;TEXT(ROW()-4,"0000"))</f>
        <v/>
      </c>
      <c r="C246" s="33"/>
      <c r="D246" s="24"/>
      <c r="E246" s="30" t="str">
        <f aca="false">IF($D246="","",IFERROR(INDEX(合同单位,MATCH($D246,合同键,0)),IFERROR(TRIM(LEFT($D246,FIND("｜",$D246)-1)),$D246)))</f>
        <v/>
      </c>
      <c r="F246" s="30" t="str">
        <f aca="false">IF($D246="","",IFERROR(INDEX(合同项目,MATCH($D246,合同键,0)),IFERROR(TRIM(MID($D246,FIND("｜",$D246)+1,99)),"")))</f>
        <v/>
      </c>
      <c r="G246" s="39"/>
      <c r="H246" s="25"/>
      <c r="I246" s="35" t="str">
        <f aca="false">IF($H246="","",IFERROR(INDEX(票据归类表,MATCH($H246,票据类型表,0)),"现金无票"))</f>
        <v/>
      </c>
      <c r="J246" s="25"/>
      <c r="K246" s="25"/>
      <c r="L246" s="31"/>
      <c r="M246" s="29" t="str">
        <f aca="false">IF($C246="","",YEAR($C246))</f>
        <v/>
      </c>
      <c r="N246" s="24"/>
      <c r="O246" s="35" t="str">
        <f aca="false">IF($C246="","",IF($D246="","★没选客户项目",IF(COUNTIF(合同键,$D246)=0,"★《维保合同》里没这个项目",IF(N($G246)&lt;=0,"★收款金额要填",IF($H246="","★票据类型要选",IF(AND($L246&lt;&gt;"",COUNTIF(应收单号,$L246)=0),"★关联的应收单号不存在",IF(AND($L246&lt;&gt;"",IFERROR(INDEX(应收键,MATCH($L246,应收单号,0)),"")&lt;&gt;$D246),"★关联单号不是这个客户的",IF(AND($L246&lt;&gt;"",ROUND(SUMIF(收款关联,$L246,收款金额)-IFERROR(INDEX(应收金额,MATCH($L246,应收单号,0)),0),2)&gt;0.001),"★指定冲销超过那张单的应收","OK"))))))))</f>
        <v/>
      </c>
    </row>
    <row r="247" customFormat="false" ht="15" hidden="false" customHeight="false" outlineLevel="0" collapsed="false">
      <c r="A247" s="29" t="str">
        <f aca="false">IF($C247="","",ROW()-4)</f>
        <v/>
      </c>
      <c r="B247" s="35" t="str">
        <f aca="false">IF($C247="","","SK"&amp;TEXT($C247,"yyyymm")&amp;"-"&amp;TEXT(ROW()-4,"0000"))</f>
        <v/>
      </c>
      <c r="C247" s="33"/>
      <c r="D247" s="24"/>
      <c r="E247" s="30" t="str">
        <f aca="false">IF($D247="","",IFERROR(INDEX(合同单位,MATCH($D247,合同键,0)),IFERROR(TRIM(LEFT($D247,FIND("｜",$D247)-1)),$D247)))</f>
        <v/>
      </c>
      <c r="F247" s="30" t="str">
        <f aca="false">IF($D247="","",IFERROR(INDEX(合同项目,MATCH($D247,合同键,0)),IFERROR(TRIM(MID($D247,FIND("｜",$D247)+1,99)),"")))</f>
        <v/>
      </c>
      <c r="G247" s="39"/>
      <c r="H247" s="25"/>
      <c r="I247" s="35" t="str">
        <f aca="false">IF($H247="","",IFERROR(INDEX(票据归类表,MATCH($H247,票据类型表,0)),"现金无票"))</f>
        <v/>
      </c>
      <c r="J247" s="25"/>
      <c r="K247" s="25"/>
      <c r="L247" s="31"/>
      <c r="M247" s="29" t="str">
        <f aca="false">IF($C247="","",YEAR($C247))</f>
        <v/>
      </c>
      <c r="N247" s="24"/>
      <c r="O247" s="35" t="str">
        <f aca="false">IF($C247="","",IF($D247="","★没选客户项目",IF(COUNTIF(合同键,$D247)=0,"★《维保合同》里没这个项目",IF(N($G247)&lt;=0,"★收款金额要填",IF($H247="","★票据类型要选",IF(AND($L247&lt;&gt;"",COUNTIF(应收单号,$L247)=0),"★关联的应收单号不存在",IF(AND($L247&lt;&gt;"",IFERROR(INDEX(应收键,MATCH($L247,应收单号,0)),"")&lt;&gt;$D247),"★关联单号不是这个客户的",IF(AND($L247&lt;&gt;"",ROUND(SUMIF(收款关联,$L247,收款金额)-IFERROR(INDEX(应收金额,MATCH($L247,应收单号,0)),0),2)&gt;0.001),"★指定冲销超过那张单的应收","OK"))))))))</f>
        <v/>
      </c>
    </row>
    <row r="248" customFormat="false" ht="15" hidden="false" customHeight="false" outlineLevel="0" collapsed="false">
      <c r="A248" s="29" t="str">
        <f aca="false">IF($C248="","",ROW()-4)</f>
        <v/>
      </c>
      <c r="B248" s="35" t="str">
        <f aca="false">IF($C248="","","SK"&amp;TEXT($C248,"yyyymm")&amp;"-"&amp;TEXT(ROW()-4,"0000"))</f>
        <v/>
      </c>
      <c r="C248" s="33"/>
      <c r="D248" s="24"/>
      <c r="E248" s="30" t="str">
        <f aca="false">IF($D248="","",IFERROR(INDEX(合同单位,MATCH($D248,合同键,0)),IFERROR(TRIM(LEFT($D248,FIND("｜",$D248)-1)),$D248)))</f>
        <v/>
      </c>
      <c r="F248" s="30" t="str">
        <f aca="false">IF($D248="","",IFERROR(INDEX(合同项目,MATCH($D248,合同键,0)),IFERROR(TRIM(MID($D248,FIND("｜",$D248)+1,99)),"")))</f>
        <v/>
      </c>
      <c r="G248" s="39"/>
      <c r="H248" s="25"/>
      <c r="I248" s="35" t="str">
        <f aca="false">IF($H248="","",IFERROR(INDEX(票据归类表,MATCH($H248,票据类型表,0)),"现金无票"))</f>
        <v/>
      </c>
      <c r="J248" s="25"/>
      <c r="K248" s="25"/>
      <c r="L248" s="31"/>
      <c r="M248" s="29" t="str">
        <f aca="false">IF($C248="","",YEAR($C248))</f>
        <v/>
      </c>
      <c r="N248" s="24"/>
      <c r="O248" s="35" t="str">
        <f aca="false">IF($C248="","",IF($D248="","★没选客户项目",IF(COUNTIF(合同键,$D248)=0,"★《维保合同》里没这个项目",IF(N($G248)&lt;=0,"★收款金额要填",IF($H248="","★票据类型要选",IF(AND($L248&lt;&gt;"",COUNTIF(应收单号,$L248)=0),"★关联的应收单号不存在",IF(AND($L248&lt;&gt;"",IFERROR(INDEX(应收键,MATCH($L248,应收单号,0)),"")&lt;&gt;$D248),"★关联单号不是这个客户的",IF(AND($L248&lt;&gt;"",ROUND(SUMIF(收款关联,$L248,收款金额)-IFERROR(INDEX(应收金额,MATCH($L248,应收单号,0)),0),2)&gt;0.001),"★指定冲销超过那张单的应收","OK"))))))))</f>
        <v/>
      </c>
    </row>
    <row r="249" customFormat="false" ht="15" hidden="false" customHeight="false" outlineLevel="0" collapsed="false">
      <c r="A249" s="29" t="str">
        <f aca="false">IF($C249="","",ROW()-4)</f>
        <v/>
      </c>
      <c r="B249" s="35" t="str">
        <f aca="false">IF($C249="","","SK"&amp;TEXT($C249,"yyyymm")&amp;"-"&amp;TEXT(ROW()-4,"0000"))</f>
        <v/>
      </c>
      <c r="C249" s="33"/>
      <c r="D249" s="24"/>
      <c r="E249" s="30" t="str">
        <f aca="false">IF($D249="","",IFERROR(INDEX(合同单位,MATCH($D249,合同键,0)),IFERROR(TRIM(LEFT($D249,FIND("｜",$D249)-1)),$D249)))</f>
        <v/>
      </c>
      <c r="F249" s="30" t="str">
        <f aca="false">IF($D249="","",IFERROR(INDEX(合同项目,MATCH($D249,合同键,0)),IFERROR(TRIM(MID($D249,FIND("｜",$D249)+1,99)),"")))</f>
        <v/>
      </c>
      <c r="G249" s="39"/>
      <c r="H249" s="25"/>
      <c r="I249" s="35" t="str">
        <f aca="false">IF($H249="","",IFERROR(INDEX(票据归类表,MATCH($H249,票据类型表,0)),"现金无票"))</f>
        <v/>
      </c>
      <c r="J249" s="25"/>
      <c r="K249" s="25"/>
      <c r="L249" s="31"/>
      <c r="M249" s="29" t="str">
        <f aca="false">IF($C249="","",YEAR($C249))</f>
        <v/>
      </c>
      <c r="N249" s="24"/>
      <c r="O249" s="35" t="str">
        <f aca="false">IF($C249="","",IF($D249="","★没选客户项目",IF(COUNTIF(合同键,$D249)=0,"★《维保合同》里没这个项目",IF(N($G249)&lt;=0,"★收款金额要填",IF($H249="","★票据类型要选",IF(AND($L249&lt;&gt;"",COUNTIF(应收单号,$L249)=0),"★关联的应收单号不存在",IF(AND($L249&lt;&gt;"",IFERROR(INDEX(应收键,MATCH($L249,应收单号,0)),"")&lt;&gt;$D249),"★关联单号不是这个客户的",IF(AND($L249&lt;&gt;"",ROUND(SUMIF(收款关联,$L249,收款金额)-IFERROR(INDEX(应收金额,MATCH($L249,应收单号,0)),0),2)&gt;0.001),"★指定冲销超过那张单的应收","OK"))))))))</f>
        <v/>
      </c>
    </row>
    <row r="250" customFormat="false" ht="15" hidden="false" customHeight="false" outlineLevel="0" collapsed="false">
      <c r="A250" s="29" t="str">
        <f aca="false">IF($C250="","",ROW()-4)</f>
        <v/>
      </c>
      <c r="B250" s="35" t="str">
        <f aca="false">IF($C250="","","SK"&amp;TEXT($C250,"yyyymm")&amp;"-"&amp;TEXT(ROW()-4,"0000"))</f>
        <v/>
      </c>
      <c r="C250" s="33"/>
      <c r="D250" s="24"/>
      <c r="E250" s="30" t="str">
        <f aca="false">IF($D250="","",IFERROR(INDEX(合同单位,MATCH($D250,合同键,0)),IFERROR(TRIM(LEFT($D250,FIND("｜",$D250)-1)),$D250)))</f>
        <v/>
      </c>
      <c r="F250" s="30" t="str">
        <f aca="false">IF($D250="","",IFERROR(INDEX(合同项目,MATCH($D250,合同键,0)),IFERROR(TRIM(MID($D250,FIND("｜",$D250)+1,99)),"")))</f>
        <v/>
      </c>
      <c r="G250" s="39"/>
      <c r="H250" s="25"/>
      <c r="I250" s="35" t="str">
        <f aca="false">IF($H250="","",IFERROR(INDEX(票据归类表,MATCH($H250,票据类型表,0)),"现金无票"))</f>
        <v/>
      </c>
      <c r="J250" s="25"/>
      <c r="K250" s="25"/>
      <c r="L250" s="31"/>
      <c r="M250" s="29" t="str">
        <f aca="false">IF($C250="","",YEAR($C250))</f>
        <v/>
      </c>
      <c r="N250" s="24"/>
      <c r="O250" s="35" t="str">
        <f aca="false">IF($C250="","",IF($D250="","★没选客户项目",IF(COUNTIF(合同键,$D250)=0,"★《维保合同》里没这个项目",IF(N($G250)&lt;=0,"★收款金额要填",IF($H250="","★票据类型要选",IF(AND($L250&lt;&gt;"",COUNTIF(应收单号,$L250)=0),"★关联的应收单号不存在",IF(AND($L250&lt;&gt;"",IFERROR(INDEX(应收键,MATCH($L250,应收单号,0)),"")&lt;&gt;$D250),"★关联单号不是这个客户的",IF(AND($L250&lt;&gt;"",ROUND(SUMIF(收款关联,$L250,收款金额)-IFERROR(INDEX(应收金额,MATCH($L250,应收单号,0)),0),2)&gt;0.001),"★指定冲销超过那张单的应收","OK"))))))))</f>
        <v/>
      </c>
    </row>
    <row r="251" customFormat="false" ht="15" hidden="false" customHeight="false" outlineLevel="0" collapsed="false">
      <c r="A251" s="29" t="str">
        <f aca="false">IF($C251="","",ROW()-4)</f>
        <v/>
      </c>
      <c r="B251" s="35" t="str">
        <f aca="false">IF($C251="","","SK"&amp;TEXT($C251,"yyyymm")&amp;"-"&amp;TEXT(ROW()-4,"0000"))</f>
        <v/>
      </c>
      <c r="C251" s="33"/>
      <c r="D251" s="24"/>
      <c r="E251" s="30" t="str">
        <f aca="false">IF($D251="","",IFERROR(INDEX(合同单位,MATCH($D251,合同键,0)),IFERROR(TRIM(LEFT($D251,FIND("｜",$D251)-1)),$D251)))</f>
        <v/>
      </c>
      <c r="F251" s="30" t="str">
        <f aca="false">IF($D251="","",IFERROR(INDEX(合同项目,MATCH($D251,合同键,0)),IFERROR(TRIM(MID($D251,FIND("｜",$D251)+1,99)),"")))</f>
        <v/>
      </c>
      <c r="G251" s="39"/>
      <c r="H251" s="25"/>
      <c r="I251" s="35" t="str">
        <f aca="false">IF($H251="","",IFERROR(INDEX(票据归类表,MATCH($H251,票据类型表,0)),"现金无票"))</f>
        <v/>
      </c>
      <c r="J251" s="25"/>
      <c r="K251" s="25"/>
      <c r="L251" s="31"/>
      <c r="M251" s="29" t="str">
        <f aca="false">IF($C251="","",YEAR($C251))</f>
        <v/>
      </c>
      <c r="N251" s="24"/>
      <c r="O251" s="35" t="str">
        <f aca="false">IF($C251="","",IF($D251="","★没选客户项目",IF(COUNTIF(合同键,$D251)=0,"★《维保合同》里没这个项目",IF(N($G251)&lt;=0,"★收款金额要填",IF($H251="","★票据类型要选",IF(AND($L251&lt;&gt;"",COUNTIF(应收单号,$L251)=0),"★关联的应收单号不存在",IF(AND($L251&lt;&gt;"",IFERROR(INDEX(应收键,MATCH($L251,应收单号,0)),"")&lt;&gt;$D251),"★关联单号不是这个客户的",IF(AND($L251&lt;&gt;"",ROUND(SUMIF(收款关联,$L251,收款金额)-IFERROR(INDEX(应收金额,MATCH($L251,应收单号,0)),0),2)&gt;0.001),"★指定冲销超过那张单的应收","OK"))))))))</f>
        <v/>
      </c>
    </row>
    <row r="252" customFormat="false" ht="15" hidden="false" customHeight="false" outlineLevel="0" collapsed="false">
      <c r="A252" s="29" t="str">
        <f aca="false">IF($C252="","",ROW()-4)</f>
        <v/>
      </c>
      <c r="B252" s="35" t="str">
        <f aca="false">IF($C252="","","SK"&amp;TEXT($C252,"yyyymm")&amp;"-"&amp;TEXT(ROW()-4,"0000"))</f>
        <v/>
      </c>
      <c r="C252" s="33"/>
      <c r="D252" s="24"/>
      <c r="E252" s="30" t="str">
        <f aca="false">IF($D252="","",IFERROR(INDEX(合同单位,MATCH($D252,合同键,0)),IFERROR(TRIM(LEFT($D252,FIND("｜",$D252)-1)),$D252)))</f>
        <v/>
      </c>
      <c r="F252" s="30" t="str">
        <f aca="false">IF($D252="","",IFERROR(INDEX(合同项目,MATCH($D252,合同键,0)),IFERROR(TRIM(MID($D252,FIND("｜",$D252)+1,99)),"")))</f>
        <v/>
      </c>
      <c r="G252" s="39"/>
      <c r="H252" s="25"/>
      <c r="I252" s="35" t="str">
        <f aca="false">IF($H252="","",IFERROR(INDEX(票据归类表,MATCH($H252,票据类型表,0)),"现金无票"))</f>
        <v/>
      </c>
      <c r="J252" s="25"/>
      <c r="K252" s="25"/>
      <c r="L252" s="31"/>
      <c r="M252" s="29" t="str">
        <f aca="false">IF($C252="","",YEAR($C252))</f>
        <v/>
      </c>
      <c r="N252" s="24"/>
      <c r="O252" s="35" t="str">
        <f aca="false">IF($C252="","",IF($D252="","★没选客户项目",IF(COUNTIF(合同键,$D252)=0,"★《维保合同》里没这个项目",IF(N($G252)&lt;=0,"★收款金额要填",IF($H252="","★票据类型要选",IF(AND($L252&lt;&gt;"",COUNTIF(应收单号,$L252)=0),"★关联的应收单号不存在",IF(AND($L252&lt;&gt;"",IFERROR(INDEX(应收键,MATCH($L252,应收单号,0)),"")&lt;&gt;$D252),"★关联单号不是这个客户的",IF(AND($L252&lt;&gt;"",ROUND(SUMIF(收款关联,$L252,收款金额)-IFERROR(INDEX(应收金额,MATCH($L252,应收单号,0)),0),2)&gt;0.001),"★指定冲销超过那张单的应收","OK"))))))))</f>
        <v/>
      </c>
    </row>
    <row r="253" customFormat="false" ht="15" hidden="false" customHeight="false" outlineLevel="0" collapsed="false">
      <c r="A253" s="29" t="str">
        <f aca="false">IF($C253="","",ROW()-4)</f>
        <v/>
      </c>
      <c r="B253" s="35" t="str">
        <f aca="false">IF($C253="","","SK"&amp;TEXT($C253,"yyyymm")&amp;"-"&amp;TEXT(ROW()-4,"0000"))</f>
        <v/>
      </c>
      <c r="C253" s="33"/>
      <c r="D253" s="24"/>
      <c r="E253" s="30" t="str">
        <f aca="false">IF($D253="","",IFERROR(INDEX(合同单位,MATCH($D253,合同键,0)),IFERROR(TRIM(LEFT($D253,FIND("｜",$D253)-1)),$D253)))</f>
        <v/>
      </c>
      <c r="F253" s="30" t="str">
        <f aca="false">IF($D253="","",IFERROR(INDEX(合同项目,MATCH($D253,合同键,0)),IFERROR(TRIM(MID($D253,FIND("｜",$D253)+1,99)),"")))</f>
        <v/>
      </c>
      <c r="G253" s="39"/>
      <c r="H253" s="25"/>
      <c r="I253" s="35" t="str">
        <f aca="false">IF($H253="","",IFERROR(INDEX(票据归类表,MATCH($H253,票据类型表,0)),"现金无票"))</f>
        <v/>
      </c>
      <c r="J253" s="25"/>
      <c r="K253" s="25"/>
      <c r="L253" s="31"/>
      <c r="M253" s="29" t="str">
        <f aca="false">IF($C253="","",YEAR($C253))</f>
        <v/>
      </c>
      <c r="N253" s="24"/>
      <c r="O253" s="35" t="str">
        <f aca="false">IF($C253="","",IF($D253="","★没选客户项目",IF(COUNTIF(合同键,$D253)=0,"★《维保合同》里没这个项目",IF(N($G253)&lt;=0,"★收款金额要填",IF($H253="","★票据类型要选",IF(AND($L253&lt;&gt;"",COUNTIF(应收单号,$L253)=0),"★关联的应收单号不存在",IF(AND($L253&lt;&gt;"",IFERROR(INDEX(应收键,MATCH($L253,应收单号,0)),"")&lt;&gt;$D253),"★关联单号不是这个客户的",IF(AND($L253&lt;&gt;"",ROUND(SUMIF(收款关联,$L253,收款金额)-IFERROR(INDEX(应收金额,MATCH($L253,应收单号,0)),0),2)&gt;0.001),"★指定冲销超过那张单的应收","OK"))))))))</f>
        <v/>
      </c>
    </row>
    <row r="254" customFormat="false" ht="15" hidden="false" customHeight="false" outlineLevel="0" collapsed="false">
      <c r="A254" s="29" t="str">
        <f aca="false">IF($C254="","",ROW()-4)</f>
        <v/>
      </c>
      <c r="B254" s="35" t="str">
        <f aca="false">IF($C254="","","SK"&amp;TEXT($C254,"yyyymm")&amp;"-"&amp;TEXT(ROW()-4,"0000"))</f>
        <v/>
      </c>
      <c r="C254" s="33"/>
      <c r="D254" s="24"/>
      <c r="E254" s="30" t="str">
        <f aca="false">IF($D254="","",IFERROR(INDEX(合同单位,MATCH($D254,合同键,0)),IFERROR(TRIM(LEFT($D254,FIND("｜",$D254)-1)),$D254)))</f>
        <v/>
      </c>
      <c r="F254" s="30" t="str">
        <f aca="false">IF($D254="","",IFERROR(INDEX(合同项目,MATCH($D254,合同键,0)),IFERROR(TRIM(MID($D254,FIND("｜",$D254)+1,99)),"")))</f>
        <v/>
      </c>
      <c r="G254" s="39"/>
      <c r="H254" s="25"/>
      <c r="I254" s="35" t="str">
        <f aca="false">IF($H254="","",IFERROR(INDEX(票据归类表,MATCH($H254,票据类型表,0)),"现金无票"))</f>
        <v/>
      </c>
      <c r="J254" s="25"/>
      <c r="K254" s="25"/>
      <c r="L254" s="31"/>
      <c r="M254" s="29" t="str">
        <f aca="false">IF($C254="","",YEAR($C254))</f>
        <v/>
      </c>
      <c r="N254" s="24"/>
      <c r="O254" s="35" t="str">
        <f aca="false">IF($C254="","",IF($D254="","★没选客户项目",IF(COUNTIF(合同键,$D254)=0,"★《维保合同》里没这个项目",IF(N($G254)&lt;=0,"★收款金额要填",IF($H254="","★票据类型要选",IF(AND($L254&lt;&gt;"",COUNTIF(应收单号,$L254)=0),"★关联的应收单号不存在",IF(AND($L254&lt;&gt;"",IFERROR(INDEX(应收键,MATCH($L254,应收单号,0)),"")&lt;&gt;$D254),"★关联单号不是这个客户的",IF(AND($L254&lt;&gt;"",ROUND(SUMIF(收款关联,$L254,收款金额)-IFERROR(INDEX(应收金额,MATCH($L254,应收单号,0)),0),2)&gt;0.001),"★指定冲销超过那张单的应收","OK"))))))))</f>
        <v/>
      </c>
    </row>
    <row r="255" customFormat="false" ht="15" hidden="false" customHeight="false" outlineLevel="0" collapsed="false">
      <c r="A255" s="29" t="str">
        <f aca="false">IF($C255="","",ROW()-4)</f>
        <v/>
      </c>
      <c r="B255" s="35" t="str">
        <f aca="false">IF($C255="","","SK"&amp;TEXT($C255,"yyyymm")&amp;"-"&amp;TEXT(ROW()-4,"0000"))</f>
        <v/>
      </c>
      <c r="C255" s="33"/>
      <c r="D255" s="24"/>
      <c r="E255" s="30" t="str">
        <f aca="false">IF($D255="","",IFERROR(INDEX(合同单位,MATCH($D255,合同键,0)),IFERROR(TRIM(LEFT($D255,FIND("｜",$D255)-1)),$D255)))</f>
        <v/>
      </c>
      <c r="F255" s="30" t="str">
        <f aca="false">IF($D255="","",IFERROR(INDEX(合同项目,MATCH($D255,合同键,0)),IFERROR(TRIM(MID($D255,FIND("｜",$D255)+1,99)),"")))</f>
        <v/>
      </c>
      <c r="G255" s="39"/>
      <c r="H255" s="25"/>
      <c r="I255" s="35" t="str">
        <f aca="false">IF($H255="","",IFERROR(INDEX(票据归类表,MATCH($H255,票据类型表,0)),"现金无票"))</f>
        <v/>
      </c>
      <c r="J255" s="25"/>
      <c r="K255" s="25"/>
      <c r="L255" s="31"/>
      <c r="M255" s="29" t="str">
        <f aca="false">IF($C255="","",YEAR($C255))</f>
        <v/>
      </c>
      <c r="N255" s="24"/>
      <c r="O255" s="35" t="str">
        <f aca="false">IF($C255="","",IF($D255="","★没选客户项目",IF(COUNTIF(合同键,$D255)=0,"★《维保合同》里没这个项目",IF(N($G255)&lt;=0,"★收款金额要填",IF($H255="","★票据类型要选",IF(AND($L255&lt;&gt;"",COUNTIF(应收单号,$L255)=0),"★关联的应收单号不存在",IF(AND($L255&lt;&gt;"",IFERROR(INDEX(应收键,MATCH($L255,应收单号,0)),"")&lt;&gt;$D255),"★关联单号不是这个客户的",IF(AND($L255&lt;&gt;"",ROUND(SUMIF(收款关联,$L255,收款金额)-IFERROR(INDEX(应收金额,MATCH($L255,应收单号,0)),0),2)&gt;0.001),"★指定冲销超过那张单的应收","OK"))))))))</f>
        <v/>
      </c>
    </row>
    <row r="256" customFormat="false" ht="15" hidden="false" customHeight="false" outlineLevel="0" collapsed="false">
      <c r="A256" s="29" t="str">
        <f aca="false">IF($C256="","",ROW()-4)</f>
        <v/>
      </c>
      <c r="B256" s="35" t="str">
        <f aca="false">IF($C256="","","SK"&amp;TEXT($C256,"yyyymm")&amp;"-"&amp;TEXT(ROW()-4,"0000"))</f>
        <v/>
      </c>
      <c r="C256" s="33"/>
      <c r="D256" s="24"/>
      <c r="E256" s="30" t="str">
        <f aca="false">IF($D256="","",IFERROR(INDEX(合同单位,MATCH($D256,合同键,0)),IFERROR(TRIM(LEFT($D256,FIND("｜",$D256)-1)),$D256)))</f>
        <v/>
      </c>
      <c r="F256" s="30" t="str">
        <f aca="false">IF($D256="","",IFERROR(INDEX(合同项目,MATCH($D256,合同键,0)),IFERROR(TRIM(MID($D256,FIND("｜",$D256)+1,99)),"")))</f>
        <v/>
      </c>
      <c r="G256" s="39"/>
      <c r="H256" s="25"/>
      <c r="I256" s="35" t="str">
        <f aca="false">IF($H256="","",IFERROR(INDEX(票据归类表,MATCH($H256,票据类型表,0)),"现金无票"))</f>
        <v/>
      </c>
      <c r="J256" s="25"/>
      <c r="K256" s="25"/>
      <c r="L256" s="31"/>
      <c r="M256" s="29" t="str">
        <f aca="false">IF($C256="","",YEAR($C256))</f>
        <v/>
      </c>
      <c r="N256" s="24"/>
      <c r="O256" s="35" t="str">
        <f aca="false">IF($C256="","",IF($D256="","★没选客户项目",IF(COUNTIF(合同键,$D256)=0,"★《维保合同》里没这个项目",IF(N($G256)&lt;=0,"★收款金额要填",IF($H256="","★票据类型要选",IF(AND($L256&lt;&gt;"",COUNTIF(应收单号,$L256)=0),"★关联的应收单号不存在",IF(AND($L256&lt;&gt;"",IFERROR(INDEX(应收键,MATCH($L256,应收单号,0)),"")&lt;&gt;$D256),"★关联单号不是这个客户的",IF(AND($L256&lt;&gt;"",ROUND(SUMIF(收款关联,$L256,收款金额)-IFERROR(INDEX(应收金额,MATCH($L256,应收单号,0)),0),2)&gt;0.001),"★指定冲销超过那张单的应收","OK"))))))))</f>
        <v/>
      </c>
    </row>
    <row r="257" customFormat="false" ht="15" hidden="false" customHeight="false" outlineLevel="0" collapsed="false">
      <c r="A257" s="29" t="str">
        <f aca="false">IF($C257="","",ROW()-4)</f>
        <v/>
      </c>
      <c r="B257" s="35" t="str">
        <f aca="false">IF($C257="","","SK"&amp;TEXT($C257,"yyyymm")&amp;"-"&amp;TEXT(ROW()-4,"0000"))</f>
        <v/>
      </c>
      <c r="C257" s="33"/>
      <c r="D257" s="24"/>
      <c r="E257" s="30" t="str">
        <f aca="false">IF($D257="","",IFERROR(INDEX(合同单位,MATCH($D257,合同键,0)),IFERROR(TRIM(LEFT($D257,FIND("｜",$D257)-1)),$D257)))</f>
        <v/>
      </c>
      <c r="F257" s="30" t="str">
        <f aca="false">IF($D257="","",IFERROR(INDEX(合同项目,MATCH($D257,合同键,0)),IFERROR(TRIM(MID($D257,FIND("｜",$D257)+1,99)),"")))</f>
        <v/>
      </c>
      <c r="G257" s="39"/>
      <c r="H257" s="25"/>
      <c r="I257" s="35" t="str">
        <f aca="false">IF($H257="","",IFERROR(INDEX(票据归类表,MATCH($H257,票据类型表,0)),"现金无票"))</f>
        <v/>
      </c>
      <c r="J257" s="25"/>
      <c r="K257" s="25"/>
      <c r="L257" s="31"/>
      <c r="M257" s="29" t="str">
        <f aca="false">IF($C257="","",YEAR($C257))</f>
        <v/>
      </c>
      <c r="N257" s="24"/>
      <c r="O257" s="35" t="str">
        <f aca="false">IF($C257="","",IF($D257="","★没选客户项目",IF(COUNTIF(合同键,$D257)=0,"★《维保合同》里没这个项目",IF(N($G257)&lt;=0,"★收款金额要填",IF($H257="","★票据类型要选",IF(AND($L257&lt;&gt;"",COUNTIF(应收单号,$L257)=0),"★关联的应收单号不存在",IF(AND($L257&lt;&gt;"",IFERROR(INDEX(应收键,MATCH($L257,应收单号,0)),"")&lt;&gt;$D257),"★关联单号不是这个客户的",IF(AND($L257&lt;&gt;"",ROUND(SUMIF(收款关联,$L257,收款金额)-IFERROR(INDEX(应收金额,MATCH($L257,应收单号,0)),0),2)&gt;0.001),"★指定冲销超过那张单的应收","OK"))))))))</f>
        <v/>
      </c>
    </row>
    <row r="258" customFormat="false" ht="15" hidden="false" customHeight="false" outlineLevel="0" collapsed="false">
      <c r="A258" s="29" t="str">
        <f aca="false">IF($C258="","",ROW()-4)</f>
        <v/>
      </c>
      <c r="B258" s="35" t="str">
        <f aca="false">IF($C258="","","SK"&amp;TEXT($C258,"yyyymm")&amp;"-"&amp;TEXT(ROW()-4,"0000"))</f>
        <v/>
      </c>
      <c r="C258" s="33"/>
      <c r="D258" s="24"/>
      <c r="E258" s="30" t="str">
        <f aca="false">IF($D258="","",IFERROR(INDEX(合同单位,MATCH($D258,合同键,0)),IFERROR(TRIM(LEFT($D258,FIND("｜",$D258)-1)),$D258)))</f>
        <v/>
      </c>
      <c r="F258" s="30" t="str">
        <f aca="false">IF($D258="","",IFERROR(INDEX(合同项目,MATCH($D258,合同键,0)),IFERROR(TRIM(MID($D258,FIND("｜",$D258)+1,99)),"")))</f>
        <v/>
      </c>
      <c r="G258" s="39"/>
      <c r="H258" s="25"/>
      <c r="I258" s="35" t="str">
        <f aca="false">IF($H258="","",IFERROR(INDEX(票据归类表,MATCH($H258,票据类型表,0)),"现金无票"))</f>
        <v/>
      </c>
      <c r="J258" s="25"/>
      <c r="K258" s="25"/>
      <c r="L258" s="31"/>
      <c r="M258" s="29" t="str">
        <f aca="false">IF($C258="","",YEAR($C258))</f>
        <v/>
      </c>
      <c r="N258" s="24"/>
      <c r="O258" s="35" t="str">
        <f aca="false">IF($C258="","",IF($D258="","★没选客户项目",IF(COUNTIF(合同键,$D258)=0,"★《维保合同》里没这个项目",IF(N($G258)&lt;=0,"★收款金额要填",IF($H258="","★票据类型要选",IF(AND($L258&lt;&gt;"",COUNTIF(应收单号,$L258)=0),"★关联的应收单号不存在",IF(AND($L258&lt;&gt;"",IFERROR(INDEX(应收键,MATCH($L258,应收单号,0)),"")&lt;&gt;$D258),"★关联单号不是这个客户的",IF(AND($L258&lt;&gt;"",ROUND(SUMIF(收款关联,$L258,收款金额)-IFERROR(INDEX(应收金额,MATCH($L258,应收单号,0)),0),2)&gt;0.001),"★指定冲销超过那张单的应收","OK"))))))))</f>
        <v/>
      </c>
    </row>
    <row r="259" customFormat="false" ht="15" hidden="false" customHeight="false" outlineLevel="0" collapsed="false">
      <c r="A259" s="29" t="str">
        <f aca="false">IF($C259="","",ROW()-4)</f>
        <v/>
      </c>
      <c r="B259" s="35" t="str">
        <f aca="false">IF($C259="","","SK"&amp;TEXT($C259,"yyyymm")&amp;"-"&amp;TEXT(ROW()-4,"0000"))</f>
        <v/>
      </c>
      <c r="C259" s="33"/>
      <c r="D259" s="24"/>
      <c r="E259" s="30" t="str">
        <f aca="false">IF($D259="","",IFERROR(INDEX(合同单位,MATCH($D259,合同键,0)),IFERROR(TRIM(LEFT($D259,FIND("｜",$D259)-1)),$D259)))</f>
        <v/>
      </c>
      <c r="F259" s="30" t="str">
        <f aca="false">IF($D259="","",IFERROR(INDEX(合同项目,MATCH($D259,合同键,0)),IFERROR(TRIM(MID($D259,FIND("｜",$D259)+1,99)),"")))</f>
        <v/>
      </c>
      <c r="G259" s="39"/>
      <c r="H259" s="25"/>
      <c r="I259" s="35" t="str">
        <f aca="false">IF($H259="","",IFERROR(INDEX(票据归类表,MATCH($H259,票据类型表,0)),"现金无票"))</f>
        <v/>
      </c>
      <c r="J259" s="25"/>
      <c r="K259" s="25"/>
      <c r="L259" s="31"/>
      <c r="M259" s="29" t="str">
        <f aca="false">IF($C259="","",YEAR($C259))</f>
        <v/>
      </c>
      <c r="N259" s="24"/>
      <c r="O259" s="35" t="str">
        <f aca="false">IF($C259="","",IF($D259="","★没选客户项目",IF(COUNTIF(合同键,$D259)=0,"★《维保合同》里没这个项目",IF(N($G259)&lt;=0,"★收款金额要填",IF($H259="","★票据类型要选",IF(AND($L259&lt;&gt;"",COUNTIF(应收单号,$L259)=0),"★关联的应收单号不存在",IF(AND($L259&lt;&gt;"",IFERROR(INDEX(应收键,MATCH($L259,应收单号,0)),"")&lt;&gt;$D259),"★关联单号不是这个客户的",IF(AND($L259&lt;&gt;"",ROUND(SUMIF(收款关联,$L259,收款金额)-IFERROR(INDEX(应收金额,MATCH($L259,应收单号,0)),0),2)&gt;0.001),"★指定冲销超过那张单的应收","OK"))))))))</f>
        <v/>
      </c>
    </row>
    <row r="260" customFormat="false" ht="15" hidden="false" customHeight="false" outlineLevel="0" collapsed="false">
      <c r="A260" s="29" t="str">
        <f aca="false">IF($C260="","",ROW()-4)</f>
        <v/>
      </c>
      <c r="B260" s="35" t="str">
        <f aca="false">IF($C260="","","SK"&amp;TEXT($C260,"yyyymm")&amp;"-"&amp;TEXT(ROW()-4,"0000"))</f>
        <v/>
      </c>
      <c r="C260" s="33"/>
      <c r="D260" s="24"/>
      <c r="E260" s="30" t="str">
        <f aca="false">IF($D260="","",IFERROR(INDEX(合同单位,MATCH($D260,合同键,0)),IFERROR(TRIM(LEFT($D260,FIND("｜",$D260)-1)),$D260)))</f>
        <v/>
      </c>
      <c r="F260" s="30" t="str">
        <f aca="false">IF($D260="","",IFERROR(INDEX(合同项目,MATCH($D260,合同键,0)),IFERROR(TRIM(MID($D260,FIND("｜",$D260)+1,99)),"")))</f>
        <v/>
      </c>
      <c r="G260" s="39"/>
      <c r="H260" s="25"/>
      <c r="I260" s="35" t="str">
        <f aca="false">IF($H260="","",IFERROR(INDEX(票据归类表,MATCH($H260,票据类型表,0)),"现金无票"))</f>
        <v/>
      </c>
      <c r="J260" s="25"/>
      <c r="K260" s="25"/>
      <c r="L260" s="31"/>
      <c r="M260" s="29" t="str">
        <f aca="false">IF($C260="","",YEAR($C260))</f>
        <v/>
      </c>
      <c r="N260" s="24"/>
      <c r="O260" s="35" t="str">
        <f aca="false">IF($C260="","",IF($D260="","★没选客户项目",IF(COUNTIF(合同键,$D260)=0,"★《维保合同》里没这个项目",IF(N($G260)&lt;=0,"★收款金额要填",IF($H260="","★票据类型要选",IF(AND($L260&lt;&gt;"",COUNTIF(应收单号,$L260)=0),"★关联的应收单号不存在",IF(AND($L260&lt;&gt;"",IFERROR(INDEX(应收键,MATCH($L260,应收单号,0)),"")&lt;&gt;$D260),"★关联单号不是这个客户的",IF(AND($L260&lt;&gt;"",ROUND(SUMIF(收款关联,$L260,收款金额)-IFERROR(INDEX(应收金额,MATCH($L260,应收单号,0)),0),2)&gt;0.001),"★指定冲销超过那张单的应收","OK"))))))))</f>
        <v/>
      </c>
    </row>
    <row r="261" customFormat="false" ht="15" hidden="false" customHeight="false" outlineLevel="0" collapsed="false">
      <c r="A261" s="29" t="str">
        <f aca="false">IF($C261="","",ROW()-4)</f>
        <v/>
      </c>
      <c r="B261" s="35" t="str">
        <f aca="false">IF($C261="","","SK"&amp;TEXT($C261,"yyyymm")&amp;"-"&amp;TEXT(ROW()-4,"0000"))</f>
        <v/>
      </c>
      <c r="C261" s="33"/>
      <c r="D261" s="24"/>
      <c r="E261" s="30" t="str">
        <f aca="false">IF($D261="","",IFERROR(INDEX(合同单位,MATCH($D261,合同键,0)),IFERROR(TRIM(LEFT($D261,FIND("｜",$D261)-1)),$D261)))</f>
        <v/>
      </c>
      <c r="F261" s="30" t="str">
        <f aca="false">IF($D261="","",IFERROR(INDEX(合同项目,MATCH($D261,合同键,0)),IFERROR(TRIM(MID($D261,FIND("｜",$D261)+1,99)),"")))</f>
        <v/>
      </c>
      <c r="G261" s="39"/>
      <c r="H261" s="25"/>
      <c r="I261" s="35" t="str">
        <f aca="false">IF($H261="","",IFERROR(INDEX(票据归类表,MATCH($H261,票据类型表,0)),"现金无票"))</f>
        <v/>
      </c>
      <c r="J261" s="25"/>
      <c r="K261" s="25"/>
      <c r="L261" s="31"/>
      <c r="M261" s="29" t="str">
        <f aca="false">IF($C261="","",YEAR($C261))</f>
        <v/>
      </c>
      <c r="N261" s="24"/>
      <c r="O261" s="35" t="str">
        <f aca="false">IF($C261="","",IF($D261="","★没选客户项目",IF(COUNTIF(合同键,$D261)=0,"★《维保合同》里没这个项目",IF(N($G261)&lt;=0,"★收款金额要填",IF($H261="","★票据类型要选",IF(AND($L261&lt;&gt;"",COUNTIF(应收单号,$L261)=0),"★关联的应收单号不存在",IF(AND($L261&lt;&gt;"",IFERROR(INDEX(应收键,MATCH($L261,应收单号,0)),"")&lt;&gt;$D261),"★关联单号不是这个客户的",IF(AND($L261&lt;&gt;"",ROUND(SUMIF(收款关联,$L261,收款金额)-IFERROR(INDEX(应收金额,MATCH($L261,应收单号,0)),0),2)&gt;0.001),"★指定冲销超过那张单的应收","OK"))))))))</f>
        <v/>
      </c>
    </row>
    <row r="262" customFormat="false" ht="15" hidden="false" customHeight="false" outlineLevel="0" collapsed="false">
      <c r="A262" s="29" t="str">
        <f aca="false">IF($C262="","",ROW()-4)</f>
        <v/>
      </c>
      <c r="B262" s="35" t="str">
        <f aca="false">IF($C262="","","SK"&amp;TEXT($C262,"yyyymm")&amp;"-"&amp;TEXT(ROW()-4,"0000"))</f>
        <v/>
      </c>
      <c r="C262" s="33"/>
      <c r="D262" s="24"/>
      <c r="E262" s="30" t="str">
        <f aca="false">IF($D262="","",IFERROR(INDEX(合同单位,MATCH($D262,合同键,0)),IFERROR(TRIM(LEFT($D262,FIND("｜",$D262)-1)),$D262)))</f>
        <v/>
      </c>
      <c r="F262" s="30" t="str">
        <f aca="false">IF($D262="","",IFERROR(INDEX(合同项目,MATCH($D262,合同键,0)),IFERROR(TRIM(MID($D262,FIND("｜",$D262)+1,99)),"")))</f>
        <v/>
      </c>
      <c r="G262" s="39"/>
      <c r="H262" s="25"/>
      <c r="I262" s="35" t="str">
        <f aca="false">IF($H262="","",IFERROR(INDEX(票据归类表,MATCH($H262,票据类型表,0)),"现金无票"))</f>
        <v/>
      </c>
      <c r="J262" s="25"/>
      <c r="K262" s="25"/>
      <c r="L262" s="31"/>
      <c r="M262" s="29" t="str">
        <f aca="false">IF($C262="","",YEAR($C262))</f>
        <v/>
      </c>
      <c r="N262" s="24"/>
      <c r="O262" s="35" t="str">
        <f aca="false">IF($C262="","",IF($D262="","★没选客户项目",IF(COUNTIF(合同键,$D262)=0,"★《维保合同》里没这个项目",IF(N($G262)&lt;=0,"★收款金额要填",IF($H262="","★票据类型要选",IF(AND($L262&lt;&gt;"",COUNTIF(应收单号,$L262)=0),"★关联的应收单号不存在",IF(AND($L262&lt;&gt;"",IFERROR(INDEX(应收键,MATCH($L262,应收单号,0)),"")&lt;&gt;$D262),"★关联单号不是这个客户的",IF(AND($L262&lt;&gt;"",ROUND(SUMIF(收款关联,$L262,收款金额)-IFERROR(INDEX(应收金额,MATCH($L262,应收单号,0)),0),2)&gt;0.001),"★指定冲销超过那张单的应收","OK"))))))))</f>
        <v/>
      </c>
    </row>
    <row r="263" customFormat="false" ht="15" hidden="false" customHeight="false" outlineLevel="0" collapsed="false">
      <c r="A263" s="29" t="str">
        <f aca="false">IF($C263="","",ROW()-4)</f>
        <v/>
      </c>
      <c r="B263" s="35" t="str">
        <f aca="false">IF($C263="","","SK"&amp;TEXT($C263,"yyyymm")&amp;"-"&amp;TEXT(ROW()-4,"0000"))</f>
        <v/>
      </c>
      <c r="C263" s="33"/>
      <c r="D263" s="24"/>
      <c r="E263" s="30" t="str">
        <f aca="false">IF($D263="","",IFERROR(INDEX(合同单位,MATCH($D263,合同键,0)),IFERROR(TRIM(LEFT($D263,FIND("｜",$D263)-1)),$D263)))</f>
        <v/>
      </c>
      <c r="F263" s="30" t="str">
        <f aca="false">IF($D263="","",IFERROR(INDEX(合同项目,MATCH($D263,合同键,0)),IFERROR(TRIM(MID($D263,FIND("｜",$D263)+1,99)),"")))</f>
        <v/>
      </c>
      <c r="G263" s="39"/>
      <c r="H263" s="25"/>
      <c r="I263" s="35" t="str">
        <f aca="false">IF($H263="","",IFERROR(INDEX(票据归类表,MATCH($H263,票据类型表,0)),"现金无票"))</f>
        <v/>
      </c>
      <c r="J263" s="25"/>
      <c r="K263" s="25"/>
      <c r="L263" s="31"/>
      <c r="M263" s="29" t="str">
        <f aca="false">IF($C263="","",YEAR($C263))</f>
        <v/>
      </c>
      <c r="N263" s="24"/>
      <c r="O263" s="35" t="str">
        <f aca="false">IF($C263="","",IF($D263="","★没选客户项目",IF(COUNTIF(合同键,$D263)=0,"★《维保合同》里没这个项目",IF(N($G263)&lt;=0,"★收款金额要填",IF($H263="","★票据类型要选",IF(AND($L263&lt;&gt;"",COUNTIF(应收单号,$L263)=0),"★关联的应收单号不存在",IF(AND($L263&lt;&gt;"",IFERROR(INDEX(应收键,MATCH($L263,应收单号,0)),"")&lt;&gt;$D263),"★关联单号不是这个客户的",IF(AND($L263&lt;&gt;"",ROUND(SUMIF(收款关联,$L263,收款金额)-IFERROR(INDEX(应收金额,MATCH($L263,应收单号,0)),0),2)&gt;0.001),"★指定冲销超过那张单的应收","OK"))))))))</f>
        <v/>
      </c>
    </row>
    <row r="264" customFormat="false" ht="15" hidden="false" customHeight="false" outlineLevel="0" collapsed="false">
      <c r="A264" s="29" t="str">
        <f aca="false">IF($C264="","",ROW()-4)</f>
        <v/>
      </c>
      <c r="B264" s="35" t="str">
        <f aca="false">IF($C264="","","SK"&amp;TEXT($C264,"yyyymm")&amp;"-"&amp;TEXT(ROW()-4,"0000"))</f>
        <v/>
      </c>
      <c r="C264" s="33"/>
      <c r="D264" s="24"/>
      <c r="E264" s="30" t="str">
        <f aca="false">IF($D264="","",IFERROR(INDEX(合同单位,MATCH($D264,合同键,0)),IFERROR(TRIM(LEFT($D264,FIND("｜",$D264)-1)),$D264)))</f>
        <v/>
      </c>
      <c r="F264" s="30" t="str">
        <f aca="false">IF($D264="","",IFERROR(INDEX(合同项目,MATCH($D264,合同键,0)),IFERROR(TRIM(MID($D264,FIND("｜",$D264)+1,99)),"")))</f>
        <v/>
      </c>
      <c r="G264" s="39"/>
      <c r="H264" s="25"/>
      <c r="I264" s="35" t="str">
        <f aca="false">IF($H264="","",IFERROR(INDEX(票据归类表,MATCH($H264,票据类型表,0)),"现金无票"))</f>
        <v/>
      </c>
      <c r="J264" s="25"/>
      <c r="K264" s="25"/>
      <c r="L264" s="31"/>
      <c r="M264" s="29" t="str">
        <f aca="false">IF($C264="","",YEAR($C264))</f>
        <v/>
      </c>
      <c r="N264" s="24"/>
      <c r="O264" s="35" t="str">
        <f aca="false">IF($C264="","",IF($D264="","★没选客户项目",IF(COUNTIF(合同键,$D264)=0,"★《维保合同》里没这个项目",IF(N($G264)&lt;=0,"★收款金额要填",IF($H264="","★票据类型要选",IF(AND($L264&lt;&gt;"",COUNTIF(应收单号,$L264)=0),"★关联的应收单号不存在",IF(AND($L264&lt;&gt;"",IFERROR(INDEX(应收键,MATCH($L264,应收单号,0)),"")&lt;&gt;$D264),"★关联单号不是这个客户的",IF(AND($L264&lt;&gt;"",ROUND(SUMIF(收款关联,$L264,收款金额)-IFERROR(INDEX(应收金额,MATCH($L264,应收单号,0)),0),2)&gt;0.001),"★指定冲销超过那张单的应收","OK"))))))))</f>
        <v/>
      </c>
    </row>
    <row r="265" customFormat="false" ht="15" hidden="false" customHeight="false" outlineLevel="0" collapsed="false">
      <c r="A265" s="29" t="str">
        <f aca="false">IF($C265="","",ROW()-4)</f>
        <v/>
      </c>
      <c r="B265" s="35" t="str">
        <f aca="false">IF($C265="","","SK"&amp;TEXT($C265,"yyyymm")&amp;"-"&amp;TEXT(ROW()-4,"0000"))</f>
        <v/>
      </c>
      <c r="C265" s="33"/>
      <c r="D265" s="24"/>
      <c r="E265" s="30" t="str">
        <f aca="false">IF($D265="","",IFERROR(INDEX(合同单位,MATCH($D265,合同键,0)),IFERROR(TRIM(LEFT($D265,FIND("｜",$D265)-1)),$D265)))</f>
        <v/>
      </c>
      <c r="F265" s="30" t="str">
        <f aca="false">IF($D265="","",IFERROR(INDEX(合同项目,MATCH($D265,合同键,0)),IFERROR(TRIM(MID($D265,FIND("｜",$D265)+1,99)),"")))</f>
        <v/>
      </c>
      <c r="G265" s="39"/>
      <c r="H265" s="25"/>
      <c r="I265" s="35" t="str">
        <f aca="false">IF($H265="","",IFERROR(INDEX(票据归类表,MATCH($H265,票据类型表,0)),"现金无票"))</f>
        <v/>
      </c>
      <c r="J265" s="25"/>
      <c r="K265" s="25"/>
      <c r="L265" s="31"/>
      <c r="M265" s="29" t="str">
        <f aca="false">IF($C265="","",YEAR($C265))</f>
        <v/>
      </c>
      <c r="N265" s="24"/>
      <c r="O265" s="35" t="str">
        <f aca="false">IF($C265="","",IF($D265="","★没选客户项目",IF(COUNTIF(合同键,$D265)=0,"★《维保合同》里没这个项目",IF(N($G265)&lt;=0,"★收款金额要填",IF($H265="","★票据类型要选",IF(AND($L265&lt;&gt;"",COUNTIF(应收单号,$L265)=0),"★关联的应收单号不存在",IF(AND($L265&lt;&gt;"",IFERROR(INDEX(应收键,MATCH($L265,应收单号,0)),"")&lt;&gt;$D265),"★关联单号不是这个客户的",IF(AND($L265&lt;&gt;"",ROUND(SUMIF(收款关联,$L265,收款金额)-IFERROR(INDEX(应收金额,MATCH($L265,应收单号,0)),0),2)&gt;0.001),"★指定冲销超过那张单的应收","OK"))))))))</f>
        <v/>
      </c>
    </row>
    <row r="266" customFormat="false" ht="15" hidden="false" customHeight="false" outlineLevel="0" collapsed="false">
      <c r="A266" s="29" t="str">
        <f aca="false">IF($C266="","",ROW()-4)</f>
        <v/>
      </c>
      <c r="B266" s="35" t="str">
        <f aca="false">IF($C266="","","SK"&amp;TEXT($C266,"yyyymm")&amp;"-"&amp;TEXT(ROW()-4,"0000"))</f>
        <v/>
      </c>
      <c r="C266" s="33"/>
      <c r="D266" s="24"/>
      <c r="E266" s="30" t="str">
        <f aca="false">IF($D266="","",IFERROR(INDEX(合同单位,MATCH($D266,合同键,0)),IFERROR(TRIM(LEFT($D266,FIND("｜",$D266)-1)),$D266)))</f>
        <v/>
      </c>
      <c r="F266" s="30" t="str">
        <f aca="false">IF($D266="","",IFERROR(INDEX(合同项目,MATCH($D266,合同键,0)),IFERROR(TRIM(MID($D266,FIND("｜",$D266)+1,99)),"")))</f>
        <v/>
      </c>
      <c r="G266" s="39"/>
      <c r="H266" s="25"/>
      <c r="I266" s="35" t="str">
        <f aca="false">IF($H266="","",IFERROR(INDEX(票据归类表,MATCH($H266,票据类型表,0)),"现金无票"))</f>
        <v/>
      </c>
      <c r="J266" s="25"/>
      <c r="K266" s="25"/>
      <c r="L266" s="31"/>
      <c r="M266" s="29" t="str">
        <f aca="false">IF($C266="","",YEAR($C266))</f>
        <v/>
      </c>
      <c r="N266" s="24"/>
      <c r="O266" s="35" t="str">
        <f aca="false">IF($C266="","",IF($D266="","★没选客户项目",IF(COUNTIF(合同键,$D266)=0,"★《维保合同》里没这个项目",IF(N($G266)&lt;=0,"★收款金额要填",IF($H266="","★票据类型要选",IF(AND($L266&lt;&gt;"",COUNTIF(应收单号,$L266)=0),"★关联的应收单号不存在",IF(AND($L266&lt;&gt;"",IFERROR(INDEX(应收键,MATCH($L266,应收单号,0)),"")&lt;&gt;$D266),"★关联单号不是这个客户的",IF(AND($L266&lt;&gt;"",ROUND(SUMIF(收款关联,$L266,收款金额)-IFERROR(INDEX(应收金额,MATCH($L266,应收单号,0)),0),2)&gt;0.001),"★指定冲销超过那张单的应收","OK"))))))))</f>
        <v/>
      </c>
    </row>
    <row r="267" customFormat="false" ht="15" hidden="false" customHeight="false" outlineLevel="0" collapsed="false">
      <c r="A267" s="29" t="str">
        <f aca="false">IF($C267="","",ROW()-4)</f>
        <v/>
      </c>
      <c r="B267" s="35" t="str">
        <f aca="false">IF($C267="","","SK"&amp;TEXT($C267,"yyyymm")&amp;"-"&amp;TEXT(ROW()-4,"0000"))</f>
        <v/>
      </c>
      <c r="C267" s="33"/>
      <c r="D267" s="24"/>
      <c r="E267" s="30" t="str">
        <f aca="false">IF($D267="","",IFERROR(INDEX(合同单位,MATCH($D267,合同键,0)),IFERROR(TRIM(LEFT($D267,FIND("｜",$D267)-1)),$D267)))</f>
        <v/>
      </c>
      <c r="F267" s="30" t="str">
        <f aca="false">IF($D267="","",IFERROR(INDEX(合同项目,MATCH($D267,合同键,0)),IFERROR(TRIM(MID($D267,FIND("｜",$D267)+1,99)),"")))</f>
        <v/>
      </c>
      <c r="G267" s="39"/>
      <c r="H267" s="25"/>
      <c r="I267" s="35" t="str">
        <f aca="false">IF($H267="","",IFERROR(INDEX(票据归类表,MATCH($H267,票据类型表,0)),"现金无票"))</f>
        <v/>
      </c>
      <c r="J267" s="25"/>
      <c r="K267" s="25"/>
      <c r="L267" s="31"/>
      <c r="M267" s="29" t="str">
        <f aca="false">IF($C267="","",YEAR($C267))</f>
        <v/>
      </c>
      <c r="N267" s="24"/>
      <c r="O267" s="35" t="str">
        <f aca="false">IF($C267="","",IF($D267="","★没选客户项目",IF(COUNTIF(合同键,$D267)=0,"★《维保合同》里没这个项目",IF(N($G267)&lt;=0,"★收款金额要填",IF($H267="","★票据类型要选",IF(AND($L267&lt;&gt;"",COUNTIF(应收单号,$L267)=0),"★关联的应收单号不存在",IF(AND($L267&lt;&gt;"",IFERROR(INDEX(应收键,MATCH($L267,应收单号,0)),"")&lt;&gt;$D267),"★关联单号不是这个客户的",IF(AND($L267&lt;&gt;"",ROUND(SUMIF(收款关联,$L267,收款金额)-IFERROR(INDEX(应收金额,MATCH($L267,应收单号,0)),0),2)&gt;0.001),"★指定冲销超过那张单的应收","OK"))))))))</f>
        <v/>
      </c>
    </row>
    <row r="268" customFormat="false" ht="15" hidden="false" customHeight="false" outlineLevel="0" collapsed="false">
      <c r="A268" s="29" t="str">
        <f aca="false">IF($C268="","",ROW()-4)</f>
        <v/>
      </c>
      <c r="B268" s="35" t="str">
        <f aca="false">IF($C268="","","SK"&amp;TEXT($C268,"yyyymm")&amp;"-"&amp;TEXT(ROW()-4,"0000"))</f>
        <v/>
      </c>
      <c r="C268" s="33"/>
      <c r="D268" s="24"/>
      <c r="E268" s="30" t="str">
        <f aca="false">IF($D268="","",IFERROR(INDEX(合同单位,MATCH($D268,合同键,0)),IFERROR(TRIM(LEFT($D268,FIND("｜",$D268)-1)),$D268)))</f>
        <v/>
      </c>
      <c r="F268" s="30" t="str">
        <f aca="false">IF($D268="","",IFERROR(INDEX(合同项目,MATCH($D268,合同键,0)),IFERROR(TRIM(MID($D268,FIND("｜",$D268)+1,99)),"")))</f>
        <v/>
      </c>
      <c r="G268" s="39"/>
      <c r="H268" s="25"/>
      <c r="I268" s="35" t="str">
        <f aca="false">IF($H268="","",IFERROR(INDEX(票据归类表,MATCH($H268,票据类型表,0)),"现金无票"))</f>
        <v/>
      </c>
      <c r="J268" s="25"/>
      <c r="K268" s="25"/>
      <c r="L268" s="31"/>
      <c r="M268" s="29" t="str">
        <f aca="false">IF($C268="","",YEAR($C268))</f>
        <v/>
      </c>
      <c r="N268" s="24"/>
      <c r="O268" s="35" t="str">
        <f aca="false">IF($C268="","",IF($D268="","★没选客户项目",IF(COUNTIF(合同键,$D268)=0,"★《维保合同》里没这个项目",IF(N($G268)&lt;=0,"★收款金额要填",IF($H268="","★票据类型要选",IF(AND($L268&lt;&gt;"",COUNTIF(应收单号,$L268)=0),"★关联的应收单号不存在",IF(AND($L268&lt;&gt;"",IFERROR(INDEX(应收键,MATCH($L268,应收单号,0)),"")&lt;&gt;$D268),"★关联单号不是这个客户的",IF(AND($L268&lt;&gt;"",ROUND(SUMIF(收款关联,$L268,收款金额)-IFERROR(INDEX(应收金额,MATCH($L268,应收单号,0)),0),2)&gt;0.001),"★指定冲销超过那张单的应收","OK"))))))))</f>
        <v/>
      </c>
    </row>
    <row r="269" customFormat="false" ht="15" hidden="false" customHeight="false" outlineLevel="0" collapsed="false">
      <c r="A269" s="29" t="str">
        <f aca="false">IF($C269="","",ROW()-4)</f>
        <v/>
      </c>
      <c r="B269" s="35" t="str">
        <f aca="false">IF($C269="","","SK"&amp;TEXT($C269,"yyyymm")&amp;"-"&amp;TEXT(ROW()-4,"0000"))</f>
        <v/>
      </c>
      <c r="C269" s="33"/>
      <c r="D269" s="24"/>
      <c r="E269" s="30" t="str">
        <f aca="false">IF($D269="","",IFERROR(INDEX(合同单位,MATCH($D269,合同键,0)),IFERROR(TRIM(LEFT($D269,FIND("｜",$D269)-1)),$D269)))</f>
        <v/>
      </c>
      <c r="F269" s="30" t="str">
        <f aca="false">IF($D269="","",IFERROR(INDEX(合同项目,MATCH($D269,合同键,0)),IFERROR(TRIM(MID($D269,FIND("｜",$D269)+1,99)),"")))</f>
        <v/>
      </c>
      <c r="G269" s="39"/>
      <c r="H269" s="25"/>
      <c r="I269" s="35" t="str">
        <f aca="false">IF($H269="","",IFERROR(INDEX(票据归类表,MATCH($H269,票据类型表,0)),"现金无票"))</f>
        <v/>
      </c>
      <c r="J269" s="25"/>
      <c r="K269" s="25"/>
      <c r="L269" s="31"/>
      <c r="M269" s="29" t="str">
        <f aca="false">IF($C269="","",YEAR($C269))</f>
        <v/>
      </c>
      <c r="N269" s="24"/>
      <c r="O269" s="35" t="str">
        <f aca="false">IF($C269="","",IF($D269="","★没选客户项目",IF(COUNTIF(合同键,$D269)=0,"★《维保合同》里没这个项目",IF(N($G269)&lt;=0,"★收款金额要填",IF($H269="","★票据类型要选",IF(AND($L269&lt;&gt;"",COUNTIF(应收单号,$L269)=0),"★关联的应收单号不存在",IF(AND($L269&lt;&gt;"",IFERROR(INDEX(应收键,MATCH($L269,应收单号,0)),"")&lt;&gt;$D269),"★关联单号不是这个客户的",IF(AND($L269&lt;&gt;"",ROUND(SUMIF(收款关联,$L269,收款金额)-IFERROR(INDEX(应收金额,MATCH($L269,应收单号,0)),0),2)&gt;0.001),"★指定冲销超过那张单的应收","OK"))))))))</f>
        <v/>
      </c>
    </row>
    <row r="270" customFormat="false" ht="15" hidden="false" customHeight="false" outlineLevel="0" collapsed="false">
      <c r="A270" s="29" t="str">
        <f aca="false">IF($C270="","",ROW()-4)</f>
        <v/>
      </c>
      <c r="B270" s="35" t="str">
        <f aca="false">IF($C270="","","SK"&amp;TEXT($C270,"yyyymm")&amp;"-"&amp;TEXT(ROW()-4,"0000"))</f>
        <v/>
      </c>
      <c r="C270" s="33"/>
      <c r="D270" s="24"/>
      <c r="E270" s="30" t="str">
        <f aca="false">IF($D270="","",IFERROR(INDEX(合同单位,MATCH($D270,合同键,0)),IFERROR(TRIM(LEFT($D270,FIND("｜",$D270)-1)),$D270)))</f>
        <v/>
      </c>
      <c r="F270" s="30" t="str">
        <f aca="false">IF($D270="","",IFERROR(INDEX(合同项目,MATCH($D270,合同键,0)),IFERROR(TRIM(MID($D270,FIND("｜",$D270)+1,99)),"")))</f>
        <v/>
      </c>
      <c r="G270" s="39"/>
      <c r="H270" s="25"/>
      <c r="I270" s="35" t="str">
        <f aca="false">IF($H270="","",IFERROR(INDEX(票据归类表,MATCH($H270,票据类型表,0)),"现金无票"))</f>
        <v/>
      </c>
      <c r="J270" s="25"/>
      <c r="K270" s="25"/>
      <c r="L270" s="31"/>
      <c r="M270" s="29" t="str">
        <f aca="false">IF($C270="","",YEAR($C270))</f>
        <v/>
      </c>
      <c r="N270" s="24"/>
      <c r="O270" s="35" t="str">
        <f aca="false">IF($C270="","",IF($D270="","★没选客户项目",IF(COUNTIF(合同键,$D270)=0,"★《维保合同》里没这个项目",IF(N($G270)&lt;=0,"★收款金额要填",IF($H270="","★票据类型要选",IF(AND($L270&lt;&gt;"",COUNTIF(应收单号,$L270)=0),"★关联的应收单号不存在",IF(AND($L270&lt;&gt;"",IFERROR(INDEX(应收键,MATCH($L270,应收单号,0)),"")&lt;&gt;$D270),"★关联单号不是这个客户的",IF(AND($L270&lt;&gt;"",ROUND(SUMIF(收款关联,$L270,收款金额)-IFERROR(INDEX(应收金额,MATCH($L270,应收单号,0)),0),2)&gt;0.001),"★指定冲销超过那张单的应收","OK"))))))))</f>
        <v/>
      </c>
    </row>
    <row r="271" customFormat="false" ht="15" hidden="false" customHeight="false" outlineLevel="0" collapsed="false">
      <c r="A271" s="29" t="str">
        <f aca="false">IF($C271="","",ROW()-4)</f>
        <v/>
      </c>
      <c r="B271" s="35" t="str">
        <f aca="false">IF($C271="","","SK"&amp;TEXT($C271,"yyyymm")&amp;"-"&amp;TEXT(ROW()-4,"0000"))</f>
        <v/>
      </c>
      <c r="C271" s="33"/>
      <c r="D271" s="24"/>
      <c r="E271" s="30" t="str">
        <f aca="false">IF($D271="","",IFERROR(INDEX(合同单位,MATCH($D271,合同键,0)),IFERROR(TRIM(LEFT($D271,FIND("｜",$D271)-1)),$D271)))</f>
        <v/>
      </c>
      <c r="F271" s="30" t="str">
        <f aca="false">IF($D271="","",IFERROR(INDEX(合同项目,MATCH($D271,合同键,0)),IFERROR(TRIM(MID($D271,FIND("｜",$D271)+1,99)),"")))</f>
        <v/>
      </c>
      <c r="G271" s="39"/>
      <c r="H271" s="25"/>
      <c r="I271" s="35" t="str">
        <f aca="false">IF($H271="","",IFERROR(INDEX(票据归类表,MATCH($H271,票据类型表,0)),"现金无票"))</f>
        <v/>
      </c>
      <c r="J271" s="25"/>
      <c r="K271" s="25"/>
      <c r="L271" s="31"/>
      <c r="M271" s="29" t="str">
        <f aca="false">IF($C271="","",YEAR($C271))</f>
        <v/>
      </c>
      <c r="N271" s="24"/>
      <c r="O271" s="35" t="str">
        <f aca="false">IF($C271="","",IF($D271="","★没选客户项目",IF(COUNTIF(合同键,$D271)=0,"★《维保合同》里没这个项目",IF(N($G271)&lt;=0,"★收款金额要填",IF($H271="","★票据类型要选",IF(AND($L271&lt;&gt;"",COUNTIF(应收单号,$L271)=0),"★关联的应收单号不存在",IF(AND($L271&lt;&gt;"",IFERROR(INDEX(应收键,MATCH($L271,应收单号,0)),"")&lt;&gt;$D271),"★关联单号不是这个客户的",IF(AND($L271&lt;&gt;"",ROUND(SUMIF(收款关联,$L271,收款金额)-IFERROR(INDEX(应收金额,MATCH($L271,应收单号,0)),0),2)&gt;0.001),"★指定冲销超过那张单的应收","OK"))))))))</f>
        <v/>
      </c>
    </row>
    <row r="272" customFormat="false" ht="15" hidden="false" customHeight="false" outlineLevel="0" collapsed="false">
      <c r="A272" s="29" t="str">
        <f aca="false">IF($C272="","",ROW()-4)</f>
        <v/>
      </c>
      <c r="B272" s="35" t="str">
        <f aca="false">IF($C272="","","SK"&amp;TEXT($C272,"yyyymm")&amp;"-"&amp;TEXT(ROW()-4,"0000"))</f>
        <v/>
      </c>
      <c r="C272" s="33"/>
      <c r="D272" s="24"/>
      <c r="E272" s="30" t="str">
        <f aca="false">IF($D272="","",IFERROR(INDEX(合同单位,MATCH($D272,合同键,0)),IFERROR(TRIM(LEFT($D272,FIND("｜",$D272)-1)),$D272)))</f>
        <v/>
      </c>
      <c r="F272" s="30" t="str">
        <f aca="false">IF($D272="","",IFERROR(INDEX(合同项目,MATCH($D272,合同键,0)),IFERROR(TRIM(MID($D272,FIND("｜",$D272)+1,99)),"")))</f>
        <v/>
      </c>
      <c r="G272" s="39"/>
      <c r="H272" s="25"/>
      <c r="I272" s="35" t="str">
        <f aca="false">IF($H272="","",IFERROR(INDEX(票据归类表,MATCH($H272,票据类型表,0)),"现金无票"))</f>
        <v/>
      </c>
      <c r="J272" s="25"/>
      <c r="K272" s="25"/>
      <c r="L272" s="31"/>
      <c r="M272" s="29" t="str">
        <f aca="false">IF($C272="","",YEAR($C272))</f>
        <v/>
      </c>
      <c r="N272" s="24"/>
      <c r="O272" s="35" t="str">
        <f aca="false">IF($C272="","",IF($D272="","★没选客户项目",IF(COUNTIF(合同键,$D272)=0,"★《维保合同》里没这个项目",IF(N($G272)&lt;=0,"★收款金额要填",IF($H272="","★票据类型要选",IF(AND($L272&lt;&gt;"",COUNTIF(应收单号,$L272)=0),"★关联的应收单号不存在",IF(AND($L272&lt;&gt;"",IFERROR(INDEX(应收键,MATCH($L272,应收单号,0)),"")&lt;&gt;$D272),"★关联单号不是这个客户的",IF(AND($L272&lt;&gt;"",ROUND(SUMIF(收款关联,$L272,收款金额)-IFERROR(INDEX(应收金额,MATCH($L272,应收单号,0)),0),2)&gt;0.001),"★指定冲销超过那张单的应收","OK"))))))))</f>
        <v/>
      </c>
    </row>
    <row r="273" customFormat="false" ht="15" hidden="false" customHeight="false" outlineLevel="0" collapsed="false">
      <c r="A273" s="29" t="str">
        <f aca="false">IF($C273="","",ROW()-4)</f>
        <v/>
      </c>
      <c r="B273" s="35" t="str">
        <f aca="false">IF($C273="","","SK"&amp;TEXT($C273,"yyyymm")&amp;"-"&amp;TEXT(ROW()-4,"0000"))</f>
        <v/>
      </c>
      <c r="C273" s="33"/>
      <c r="D273" s="24"/>
      <c r="E273" s="30" t="str">
        <f aca="false">IF($D273="","",IFERROR(INDEX(合同单位,MATCH($D273,合同键,0)),IFERROR(TRIM(LEFT($D273,FIND("｜",$D273)-1)),$D273)))</f>
        <v/>
      </c>
      <c r="F273" s="30" t="str">
        <f aca="false">IF($D273="","",IFERROR(INDEX(合同项目,MATCH($D273,合同键,0)),IFERROR(TRIM(MID($D273,FIND("｜",$D273)+1,99)),"")))</f>
        <v/>
      </c>
      <c r="G273" s="39"/>
      <c r="H273" s="25"/>
      <c r="I273" s="35" t="str">
        <f aca="false">IF($H273="","",IFERROR(INDEX(票据归类表,MATCH($H273,票据类型表,0)),"现金无票"))</f>
        <v/>
      </c>
      <c r="J273" s="25"/>
      <c r="K273" s="25"/>
      <c r="L273" s="31"/>
      <c r="M273" s="29" t="str">
        <f aca="false">IF($C273="","",YEAR($C273))</f>
        <v/>
      </c>
      <c r="N273" s="24"/>
      <c r="O273" s="35" t="str">
        <f aca="false">IF($C273="","",IF($D273="","★没选客户项目",IF(COUNTIF(合同键,$D273)=0,"★《维保合同》里没这个项目",IF(N($G273)&lt;=0,"★收款金额要填",IF($H273="","★票据类型要选",IF(AND($L273&lt;&gt;"",COUNTIF(应收单号,$L273)=0),"★关联的应收单号不存在",IF(AND($L273&lt;&gt;"",IFERROR(INDEX(应收键,MATCH($L273,应收单号,0)),"")&lt;&gt;$D273),"★关联单号不是这个客户的",IF(AND($L273&lt;&gt;"",ROUND(SUMIF(收款关联,$L273,收款金额)-IFERROR(INDEX(应收金额,MATCH($L273,应收单号,0)),0),2)&gt;0.001),"★指定冲销超过那张单的应收","OK"))))))))</f>
        <v/>
      </c>
    </row>
    <row r="274" customFormat="false" ht="15" hidden="false" customHeight="false" outlineLevel="0" collapsed="false">
      <c r="A274" s="29" t="str">
        <f aca="false">IF($C274="","",ROW()-4)</f>
        <v/>
      </c>
      <c r="B274" s="35" t="str">
        <f aca="false">IF($C274="","","SK"&amp;TEXT($C274,"yyyymm")&amp;"-"&amp;TEXT(ROW()-4,"0000"))</f>
        <v/>
      </c>
      <c r="C274" s="33"/>
      <c r="D274" s="24"/>
      <c r="E274" s="30" t="str">
        <f aca="false">IF($D274="","",IFERROR(INDEX(合同单位,MATCH($D274,合同键,0)),IFERROR(TRIM(LEFT($D274,FIND("｜",$D274)-1)),$D274)))</f>
        <v/>
      </c>
      <c r="F274" s="30" t="str">
        <f aca="false">IF($D274="","",IFERROR(INDEX(合同项目,MATCH($D274,合同键,0)),IFERROR(TRIM(MID($D274,FIND("｜",$D274)+1,99)),"")))</f>
        <v/>
      </c>
      <c r="G274" s="39"/>
      <c r="H274" s="25"/>
      <c r="I274" s="35" t="str">
        <f aca="false">IF($H274="","",IFERROR(INDEX(票据归类表,MATCH($H274,票据类型表,0)),"现金无票"))</f>
        <v/>
      </c>
      <c r="J274" s="25"/>
      <c r="K274" s="25"/>
      <c r="L274" s="31"/>
      <c r="M274" s="29" t="str">
        <f aca="false">IF($C274="","",YEAR($C274))</f>
        <v/>
      </c>
      <c r="N274" s="24"/>
      <c r="O274" s="35" t="str">
        <f aca="false">IF($C274="","",IF($D274="","★没选客户项目",IF(COUNTIF(合同键,$D274)=0,"★《维保合同》里没这个项目",IF(N($G274)&lt;=0,"★收款金额要填",IF($H274="","★票据类型要选",IF(AND($L274&lt;&gt;"",COUNTIF(应收单号,$L274)=0),"★关联的应收单号不存在",IF(AND($L274&lt;&gt;"",IFERROR(INDEX(应收键,MATCH($L274,应收单号,0)),"")&lt;&gt;$D274),"★关联单号不是这个客户的",IF(AND($L274&lt;&gt;"",ROUND(SUMIF(收款关联,$L274,收款金额)-IFERROR(INDEX(应收金额,MATCH($L274,应收单号,0)),0),2)&gt;0.001),"★指定冲销超过那张单的应收","OK"))))))))</f>
        <v/>
      </c>
    </row>
    <row r="275" customFormat="false" ht="15" hidden="false" customHeight="false" outlineLevel="0" collapsed="false">
      <c r="A275" s="29" t="str">
        <f aca="false">IF($C275="","",ROW()-4)</f>
        <v/>
      </c>
      <c r="B275" s="35" t="str">
        <f aca="false">IF($C275="","","SK"&amp;TEXT($C275,"yyyymm")&amp;"-"&amp;TEXT(ROW()-4,"0000"))</f>
        <v/>
      </c>
      <c r="C275" s="33"/>
      <c r="D275" s="24"/>
      <c r="E275" s="30" t="str">
        <f aca="false">IF($D275="","",IFERROR(INDEX(合同单位,MATCH($D275,合同键,0)),IFERROR(TRIM(LEFT($D275,FIND("｜",$D275)-1)),$D275)))</f>
        <v/>
      </c>
      <c r="F275" s="30" t="str">
        <f aca="false">IF($D275="","",IFERROR(INDEX(合同项目,MATCH($D275,合同键,0)),IFERROR(TRIM(MID($D275,FIND("｜",$D275)+1,99)),"")))</f>
        <v/>
      </c>
      <c r="G275" s="39"/>
      <c r="H275" s="25"/>
      <c r="I275" s="35" t="str">
        <f aca="false">IF($H275="","",IFERROR(INDEX(票据归类表,MATCH($H275,票据类型表,0)),"现金无票"))</f>
        <v/>
      </c>
      <c r="J275" s="25"/>
      <c r="K275" s="25"/>
      <c r="L275" s="31"/>
      <c r="M275" s="29" t="str">
        <f aca="false">IF($C275="","",YEAR($C275))</f>
        <v/>
      </c>
      <c r="N275" s="24"/>
      <c r="O275" s="35" t="str">
        <f aca="false">IF($C275="","",IF($D275="","★没选客户项目",IF(COUNTIF(合同键,$D275)=0,"★《维保合同》里没这个项目",IF(N($G275)&lt;=0,"★收款金额要填",IF($H275="","★票据类型要选",IF(AND($L275&lt;&gt;"",COUNTIF(应收单号,$L275)=0),"★关联的应收单号不存在",IF(AND($L275&lt;&gt;"",IFERROR(INDEX(应收键,MATCH($L275,应收单号,0)),"")&lt;&gt;$D275),"★关联单号不是这个客户的",IF(AND($L275&lt;&gt;"",ROUND(SUMIF(收款关联,$L275,收款金额)-IFERROR(INDEX(应收金额,MATCH($L275,应收单号,0)),0),2)&gt;0.001),"★指定冲销超过那张单的应收","OK"))))))))</f>
        <v/>
      </c>
    </row>
    <row r="276" customFormat="false" ht="15" hidden="false" customHeight="false" outlineLevel="0" collapsed="false">
      <c r="A276" s="29" t="str">
        <f aca="false">IF($C276="","",ROW()-4)</f>
        <v/>
      </c>
      <c r="B276" s="35" t="str">
        <f aca="false">IF($C276="","","SK"&amp;TEXT($C276,"yyyymm")&amp;"-"&amp;TEXT(ROW()-4,"0000"))</f>
        <v/>
      </c>
      <c r="C276" s="33"/>
      <c r="D276" s="24"/>
      <c r="E276" s="30" t="str">
        <f aca="false">IF($D276="","",IFERROR(INDEX(合同单位,MATCH($D276,合同键,0)),IFERROR(TRIM(LEFT($D276,FIND("｜",$D276)-1)),$D276)))</f>
        <v/>
      </c>
      <c r="F276" s="30" t="str">
        <f aca="false">IF($D276="","",IFERROR(INDEX(合同项目,MATCH($D276,合同键,0)),IFERROR(TRIM(MID($D276,FIND("｜",$D276)+1,99)),"")))</f>
        <v/>
      </c>
      <c r="G276" s="39"/>
      <c r="H276" s="25"/>
      <c r="I276" s="35" t="str">
        <f aca="false">IF($H276="","",IFERROR(INDEX(票据归类表,MATCH($H276,票据类型表,0)),"现金无票"))</f>
        <v/>
      </c>
      <c r="J276" s="25"/>
      <c r="K276" s="25"/>
      <c r="L276" s="31"/>
      <c r="M276" s="29" t="str">
        <f aca="false">IF($C276="","",YEAR($C276))</f>
        <v/>
      </c>
      <c r="N276" s="24"/>
      <c r="O276" s="35" t="str">
        <f aca="false">IF($C276="","",IF($D276="","★没选客户项目",IF(COUNTIF(合同键,$D276)=0,"★《维保合同》里没这个项目",IF(N($G276)&lt;=0,"★收款金额要填",IF($H276="","★票据类型要选",IF(AND($L276&lt;&gt;"",COUNTIF(应收单号,$L276)=0),"★关联的应收单号不存在",IF(AND($L276&lt;&gt;"",IFERROR(INDEX(应收键,MATCH($L276,应收单号,0)),"")&lt;&gt;$D276),"★关联单号不是这个客户的",IF(AND($L276&lt;&gt;"",ROUND(SUMIF(收款关联,$L276,收款金额)-IFERROR(INDEX(应收金额,MATCH($L276,应收单号,0)),0),2)&gt;0.001),"★指定冲销超过那张单的应收","OK"))))))))</f>
        <v/>
      </c>
    </row>
    <row r="277" customFormat="false" ht="15" hidden="false" customHeight="false" outlineLevel="0" collapsed="false">
      <c r="A277" s="29" t="str">
        <f aca="false">IF($C277="","",ROW()-4)</f>
        <v/>
      </c>
      <c r="B277" s="35" t="str">
        <f aca="false">IF($C277="","","SK"&amp;TEXT($C277,"yyyymm")&amp;"-"&amp;TEXT(ROW()-4,"0000"))</f>
        <v/>
      </c>
      <c r="C277" s="33"/>
      <c r="D277" s="24"/>
      <c r="E277" s="30" t="str">
        <f aca="false">IF($D277="","",IFERROR(INDEX(合同单位,MATCH($D277,合同键,0)),IFERROR(TRIM(LEFT($D277,FIND("｜",$D277)-1)),$D277)))</f>
        <v/>
      </c>
      <c r="F277" s="30" t="str">
        <f aca="false">IF($D277="","",IFERROR(INDEX(合同项目,MATCH($D277,合同键,0)),IFERROR(TRIM(MID($D277,FIND("｜",$D277)+1,99)),"")))</f>
        <v/>
      </c>
      <c r="G277" s="39"/>
      <c r="H277" s="25"/>
      <c r="I277" s="35" t="str">
        <f aca="false">IF($H277="","",IFERROR(INDEX(票据归类表,MATCH($H277,票据类型表,0)),"现金无票"))</f>
        <v/>
      </c>
      <c r="J277" s="25"/>
      <c r="K277" s="25"/>
      <c r="L277" s="31"/>
      <c r="M277" s="29" t="str">
        <f aca="false">IF($C277="","",YEAR($C277))</f>
        <v/>
      </c>
      <c r="N277" s="24"/>
      <c r="O277" s="35" t="str">
        <f aca="false">IF($C277="","",IF($D277="","★没选客户项目",IF(COUNTIF(合同键,$D277)=0,"★《维保合同》里没这个项目",IF(N($G277)&lt;=0,"★收款金额要填",IF($H277="","★票据类型要选",IF(AND($L277&lt;&gt;"",COUNTIF(应收单号,$L277)=0),"★关联的应收单号不存在",IF(AND($L277&lt;&gt;"",IFERROR(INDEX(应收键,MATCH($L277,应收单号,0)),"")&lt;&gt;$D277),"★关联单号不是这个客户的",IF(AND($L277&lt;&gt;"",ROUND(SUMIF(收款关联,$L277,收款金额)-IFERROR(INDEX(应收金额,MATCH($L277,应收单号,0)),0),2)&gt;0.001),"★指定冲销超过那张单的应收","OK"))))))))</f>
        <v/>
      </c>
    </row>
    <row r="278" customFormat="false" ht="15" hidden="false" customHeight="false" outlineLevel="0" collapsed="false">
      <c r="A278" s="29" t="str">
        <f aca="false">IF($C278="","",ROW()-4)</f>
        <v/>
      </c>
      <c r="B278" s="35" t="str">
        <f aca="false">IF($C278="","","SK"&amp;TEXT($C278,"yyyymm")&amp;"-"&amp;TEXT(ROW()-4,"0000"))</f>
        <v/>
      </c>
      <c r="C278" s="33"/>
      <c r="D278" s="24"/>
      <c r="E278" s="30" t="str">
        <f aca="false">IF($D278="","",IFERROR(INDEX(合同单位,MATCH($D278,合同键,0)),IFERROR(TRIM(LEFT($D278,FIND("｜",$D278)-1)),$D278)))</f>
        <v/>
      </c>
      <c r="F278" s="30" t="str">
        <f aca="false">IF($D278="","",IFERROR(INDEX(合同项目,MATCH($D278,合同键,0)),IFERROR(TRIM(MID($D278,FIND("｜",$D278)+1,99)),"")))</f>
        <v/>
      </c>
      <c r="G278" s="39"/>
      <c r="H278" s="25"/>
      <c r="I278" s="35" t="str">
        <f aca="false">IF($H278="","",IFERROR(INDEX(票据归类表,MATCH($H278,票据类型表,0)),"现金无票"))</f>
        <v/>
      </c>
      <c r="J278" s="25"/>
      <c r="K278" s="25"/>
      <c r="L278" s="31"/>
      <c r="M278" s="29" t="str">
        <f aca="false">IF($C278="","",YEAR($C278))</f>
        <v/>
      </c>
      <c r="N278" s="24"/>
      <c r="O278" s="35" t="str">
        <f aca="false">IF($C278="","",IF($D278="","★没选客户项目",IF(COUNTIF(合同键,$D278)=0,"★《维保合同》里没这个项目",IF(N($G278)&lt;=0,"★收款金额要填",IF($H278="","★票据类型要选",IF(AND($L278&lt;&gt;"",COUNTIF(应收单号,$L278)=0),"★关联的应收单号不存在",IF(AND($L278&lt;&gt;"",IFERROR(INDEX(应收键,MATCH($L278,应收单号,0)),"")&lt;&gt;$D278),"★关联单号不是这个客户的",IF(AND($L278&lt;&gt;"",ROUND(SUMIF(收款关联,$L278,收款金额)-IFERROR(INDEX(应收金额,MATCH($L278,应收单号,0)),0),2)&gt;0.001),"★指定冲销超过那张单的应收","OK"))))))))</f>
        <v/>
      </c>
    </row>
    <row r="279" customFormat="false" ht="15" hidden="false" customHeight="false" outlineLevel="0" collapsed="false">
      <c r="A279" s="29" t="str">
        <f aca="false">IF($C279="","",ROW()-4)</f>
        <v/>
      </c>
      <c r="B279" s="35" t="str">
        <f aca="false">IF($C279="","","SK"&amp;TEXT($C279,"yyyymm")&amp;"-"&amp;TEXT(ROW()-4,"0000"))</f>
        <v/>
      </c>
      <c r="C279" s="33"/>
      <c r="D279" s="24"/>
      <c r="E279" s="30" t="str">
        <f aca="false">IF($D279="","",IFERROR(INDEX(合同单位,MATCH($D279,合同键,0)),IFERROR(TRIM(LEFT($D279,FIND("｜",$D279)-1)),$D279)))</f>
        <v/>
      </c>
      <c r="F279" s="30" t="str">
        <f aca="false">IF($D279="","",IFERROR(INDEX(合同项目,MATCH($D279,合同键,0)),IFERROR(TRIM(MID($D279,FIND("｜",$D279)+1,99)),"")))</f>
        <v/>
      </c>
      <c r="G279" s="39"/>
      <c r="H279" s="25"/>
      <c r="I279" s="35" t="str">
        <f aca="false">IF($H279="","",IFERROR(INDEX(票据归类表,MATCH($H279,票据类型表,0)),"现金无票"))</f>
        <v/>
      </c>
      <c r="J279" s="25"/>
      <c r="K279" s="25"/>
      <c r="L279" s="31"/>
      <c r="M279" s="29" t="str">
        <f aca="false">IF($C279="","",YEAR($C279))</f>
        <v/>
      </c>
      <c r="N279" s="24"/>
      <c r="O279" s="35" t="str">
        <f aca="false">IF($C279="","",IF($D279="","★没选客户项目",IF(COUNTIF(合同键,$D279)=0,"★《维保合同》里没这个项目",IF(N($G279)&lt;=0,"★收款金额要填",IF($H279="","★票据类型要选",IF(AND($L279&lt;&gt;"",COUNTIF(应收单号,$L279)=0),"★关联的应收单号不存在",IF(AND($L279&lt;&gt;"",IFERROR(INDEX(应收键,MATCH($L279,应收单号,0)),"")&lt;&gt;$D279),"★关联单号不是这个客户的",IF(AND($L279&lt;&gt;"",ROUND(SUMIF(收款关联,$L279,收款金额)-IFERROR(INDEX(应收金额,MATCH($L279,应收单号,0)),0),2)&gt;0.001),"★指定冲销超过那张单的应收","OK"))))))))</f>
        <v/>
      </c>
    </row>
    <row r="280" customFormat="false" ht="15" hidden="false" customHeight="false" outlineLevel="0" collapsed="false">
      <c r="A280" s="29" t="str">
        <f aca="false">IF($C280="","",ROW()-4)</f>
        <v/>
      </c>
      <c r="B280" s="35" t="str">
        <f aca="false">IF($C280="","","SK"&amp;TEXT($C280,"yyyymm")&amp;"-"&amp;TEXT(ROW()-4,"0000"))</f>
        <v/>
      </c>
      <c r="C280" s="33"/>
      <c r="D280" s="24"/>
      <c r="E280" s="30" t="str">
        <f aca="false">IF($D280="","",IFERROR(INDEX(合同单位,MATCH($D280,合同键,0)),IFERROR(TRIM(LEFT($D280,FIND("｜",$D280)-1)),$D280)))</f>
        <v/>
      </c>
      <c r="F280" s="30" t="str">
        <f aca="false">IF($D280="","",IFERROR(INDEX(合同项目,MATCH($D280,合同键,0)),IFERROR(TRIM(MID($D280,FIND("｜",$D280)+1,99)),"")))</f>
        <v/>
      </c>
      <c r="G280" s="39"/>
      <c r="H280" s="25"/>
      <c r="I280" s="35" t="str">
        <f aca="false">IF($H280="","",IFERROR(INDEX(票据归类表,MATCH($H280,票据类型表,0)),"现金无票"))</f>
        <v/>
      </c>
      <c r="J280" s="25"/>
      <c r="K280" s="25"/>
      <c r="L280" s="31"/>
      <c r="M280" s="29" t="str">
        <f aca="false">IF($C280="","",YEAR($C280))</f>
        <v/>
      </c>
      <c r="N280" s="24"/>
      <c r="O280" s="35" t="str">
        <f aca="false">IF($C280="","",IF($D280="","★没选客户项目",IF(COUNTIF(合同键,$D280)=0,"★《维保合同》里没这个项目",IF(N($G280)&lt;=0,"★收款金额要填",IF($H280="","★票据类型要选",IF(AND($L280&lt;&gt;"",COUNTIF(应收单号,$L280)=0),"★关联的应收单号不存在",IF(AND($L280&lt;&gt;"",IFERROR(INDEX(应收键,MATCH($L280,应收单号,0)),"")&lt;&gt;$D280),"★关联单号不是这个客户的",IF(AND($L280&lt;&gt;"",ROUND(SUMIF(收款关联,$L280,收款金额)-IFERROR(INDEX(应收金额,MATCH($L280,应收单号,0)),0),2)&gt;0.001),"★指定冲销超过那张单的应收","OK"))))))))</f>
        <v/>
      </c>
    </row>
    <row r="281" customFormat="false" ht="15" hidden="false" customHeight="false" outlineLevel="0" collapsed="false">
      <c r="A281" s="29" t="str">
        <f aca="false">IF($C281="","",ROW()-4)</f>
        <v/>
      </c>
      <c r="B281" s="35" t="str">
        <f aca="false">IF($C281="","","SK"&amp;TEXT($C281,"yyyymm")&amp;"-"&amp;TEXT(ROW()-4,"0000"))</f>
        <v/>
      </c>
      <c r="C281" s="33"/>
      <c r="D281" s="24"/>
      <c r="E281" s="30" t="str">
        <f aca="false">IF($D281="","",IFERROR(INDEX(合同单位,MATCH($D281,合同键,0)),IFERROR(TRIM(LEFT($D281,FIND("｜",$D281)-1)),$D281)))</f>
        <v/>
      </c>
      <c r="F281" s="30" t="str">
        <f aca="false">IF($D281="","",IFERROR(INDEX(合同项目,MATCH($D281,合同键,0)),IFERROR(TRIM(MID($D281,FIND("｜",$D281)+1,99)),"")))</f>
        <v/>
      </c>
      <c r="G281" s="39"/>
      <c r="H281" s="25"/>
      <c r="I281" s="35" t="str">
        <f aca="false">IF($H281="","",IFERROR(INDEX(票据归类表,MATCH($H281,票据类型表,0)),"现金无票"))</f>
        <v/>
      </c>
      <c r="J281" s="25"/>
      <c r="K281" s="25"/>
      <c r="L281" s="31"/>
      <c r="M281" s="29" t="str">
        <f aca="false">IF($C281="","",YEAR($C281))</f>
        <v/>
      </c>
      <c r="N281" s="24"/>
      <c r="O281" s="35" t="str">
        <f aca="false">IF($C281="","",IF($D281="","★没选客户项目",IF(COUNTIF(合同键,$D281)=0,"★《维保合同》里没这个项目",IF(N($G281)&lt;=0,"★收款金额要填",IF($H281="","★票据类型要选",IF(AND($L281&lt;&gt;"",COUNTIF(应收单号,$L281)=0),"★关联的应收单号不存在",IF(AND($L281&lt;&gt;"",IFERROR(INDEX(应收键,MATCH($L281,应收单号,0)),"")&lt;&gt;$D281),"★关联单号不是这个客户的",IF(AND($L281&lt;&gt;"",ROUND(SUMIF(收款关联,$L281,收款金额)-IFERROR(INDEX(应收金额,MATCH($L281,应收单号,0)),0),2)&gt;0.001),"★指定冲销超过那张单的应收","OK"))))))))</f>
        <v/>
      </c>
    </row>
    <row r="282" customFormat="false" ht="15" hidden="false" customHeight="false" outlineLevel="0" collapsed="false">
      <c r="A282" s="29" t="str">
        <f aca="false">IF($C282="","",ROW()-4)</f>
        <v/>
      </c>
      <c r="B282" s="35" t="str">
        <f aca="false">IF($C282="","","SK"&amp;TEXT($C282,"yyyymm")&amp;"-"&amp;TEXT(ROW()-4,"0000"))</f>
        <v/>
      </c>
      <c r="C282" s="33"/>
      <c r="D282" s="24"/>
      <c r="E282" s="30" t="str">
        <f aca="false">IF($D282="","",IFERROR(INDEX(合同单位,MATCH($D282,合同键,0)),IFERROR(TRIM(LEFT($D282,FIND("｜",$D282)-1)),$D282)))</f>
        <v/>
      </c>
      <c r="F282" s="30" t="str">
        <f aca="false">IF($D282="","",IFERROR(INDEX(合同项目,MATCH($D282,合同键,0)),IFERROR(TRIM(MID($D282,FIND("｜",$D282)+1,99)),"")))</f>
        <v/>
      </c>
      <c r="G282" s="39"/>
      <c r="H282" s="25"/>
      <c r="I282" s="35" t="str">
        <f aca="false">IF($H282="","",IFERROR(INDEX(票据归类表,MATCH($H282,票据类型表,0)),"现金无票"))</f>
        <v/>
      </c>
      <c r="J282" s="25"/>
      <c r="K282" s="25"/>
      <c r="L282" s="31"/>
      <c r="M282" s="29" t="str">
        <f aca="false">IF($C282="","",YEAR($C282))</f>
        <v/>
      </c>
      <c r="N282" s="24"/>
      <c r="O282" s="35" t="str">
        <f aca="false">IF($C282="","",IF($D282="","★没选客户项目",IF(COUNTIF(合同键,$D282)=0,"★《维保合同》里没这个项目",IF(N($G282)&lt;=0,"★收款金额要填",IF($H282="","★票据类型要选",IF(AND($L282&lt;&gt;"",COUNTIF(应收单号,$L282)=0),"★关联的应收单号不存在",IF(AND($L282&lt;&gt;"",IFERROR(INDEX(应收键,MATCH($L282,应收单号,0)),"")&lt;&gt;$D282),"★关联单号不是这个客户的",IF(AND($L282&lt;&gt;"",ROUND(SUMIF(收款关联,$L282,收款金额)-IFERROR(INDEX(应收金额,MATCH($L282,应收单号,0)),0),2)&gt;0.001),"★指定冲销超过那张单的应收","OK"))))))))</f>
        <v/>
      </c>
    </row>
    <row r="283" customFormat="false" ht="15" hidden="false" customHeight="false" outlineLevel="0" collapsed="false">
      <c r="A283" s="29" t="str">
        <f aca="false">IF($C283="","",ROW()-4)</f>
        <v/>
      </c>
      <c r="B283" s="35" t="str">
        <f aca="false">IF($C283="","","SK"&amp;TEXT($C283,"yyyymm")&amp;"-"&amp;TEXT(ROW()-4,"0000"))</f>
        <v/>
      </c>
      <c r="C283" s="33"/>
      <c r="D283" s="24"/>
      <c r="E283" s="30" t="str">
        <f aca="false">IF($D283="","",IFERROR(INDEX(合同单位,MATCH($D283,合同键,0)),IFERROR(TRIM(LEFT($D283,FIND("｜",$D283)-1)),$D283)))</f>
        <v/>
      </c>
      <c r="F283" s="30" t="str">
        <f aca="false">IF($D283="","",IFERROR(INDEX(合同项目,MATCH($D283,合同键,0)),IFERROR(TRIM(MID($D283,FIND("｜",$D283)+1,99)),"")))</f>
        <v/>
      </c>
      <c r="G283" s="39"/>
      <c r="H283" s="25"/>
      <c r="I283" s="35" t="str">
        <f aca="false">IF($H283="","",IFERROR(INDEX(票据归类表,MATCH($H283,票据类型表,0)),"现金无票"))</f>
        <v/>
      </c>
      <c r="J283" s="25"/>
      <c r="K283" s="25"/>
      <c r="L283" s="31"/>
      <c r="M283" s="29" t="str">
        <f aca="false">IF($C283="","",YEAR($C283))</f>
        <v/>
      </c>
      <c r="N283" s="24"/>
      <c r="O283" s="35" t="str">
        <f aca="false">IF($C283="","",IF($D283="","★没选客户项目",IF(COUNTIF(合同键,$D283)=0,"★《维保合同》里没这个项目",IF(N($G283)&lt;=0,"★收款金额要填",IF($H283="","★票据类型要选",IF(AND($L283&lt;&gt;"",COUNTIF(应收单号,$L283)=0),"★关联的应收单号不存在",IF(AND($L283&lt;&gt;"",IFERROR(INDEX(应收键,MATCH($L283,应收单号,0)),"")&lt;&gt;$D283),"★关联单号不是这个客户的",IF(AND($L283&lt;&gt;"",ROUND(SUMIF(收款关联,$L283,收款金额)-IFERROR(INDEX(应收金额,MATCH($L283,应收单号,0)),0),2)&gt;0.001),"★指定冲销超过那张单的应收","OK"))))))))</f>
        <v/>
      </c>
    </row>
    <row r="284" customFormat="false" ht="15" hidden="false" customHeight="false" outlineLevel="0" collapsed="false">
      <c r="A284" s="29" t="str">
        <f aca="false">IF($C284="","",ROW()-4)</f>
        <v/>
      </c>
      <c r="B284" s="35" t="str">
        <f aca="false">IF($C284="","","SK"&amp;TEXT($C284,"yyyymm")&amp;"-"&amp;TEXT(ROW()-4,"0000"))</f>
        <v/>
      </c>
      <c r="C284" s="33"/>
      <c r="D284" s="24"/>
      <c r="E284" s="30" t="str">
        <f aca="false">IF($D284="","",IFERROR(INDEX(合同单位,MATCH($D284,合同键,0)),IFERROR(TRIM(LEFT($D284,FIND("｜",$D284)-1)),$D284)))</f>
        <v/>
      </c>
      <c r="F284" s="30" t="str">
        <f aca="false">IF($D284="","",IFERROR(INDEX(合同项目,MATCH($D284,合同键,0)),IFERROR(TRIM(MID($D284,FIND("｜",$D284)+1,99)),"")))</f>
        <v/>
      </c>
      <c r="G284" s="39"/>
      <c r="H284" s="25"/>
      <c r="I284" s="35" t="str">
        <f aca="false">IF($H284="","",IFERROR(INDEX(票据归类表,MATCH($H284,票据类型表,0)),"现金无票"))</f>
        <v/>
      </c>
      <c r="J284" s="25"/>
      <c r="K284" s="25"/>
      <c r="L284" s="31"/>
      <c r="M284" s="29" t="str">
        <f aca="false">IF($C284="","",YEAR($C284))</f>
        <v/>
      </c>
      <c r="N284" s="24"/>
      <c r="O284" s="35" t="str">
        <f aca="false">IF($C284="","",IF($D284="","★没选客户项目",IF(COUNTIF(合同键,$D284)=0,"★《维保合同》里没这个项目",IF(N($G284)&lt;=0,"★收款金额要填",IF($H284="","★票据类型要选",IF(AND($L284&lt;&gt;"",COUNTIF(应收单号,$L284)=0),"★关联的应收单号不存在",IF(AND($L284&lt;&gt;"",IFERROR(INDEX(应收键,MATCH($L284,应收单号,0)),"")&lt;&gt;$D284),"★关联单号不是这个客户的",IF(AND($L284&lt;&gt;"",ROUND(SUMIF(收款关联,$L284,收款金额)-IFERROR(INDEX(应收金额,MATCH($L284,应收单号,0)),0),2)&gt;0.001),"★指定冲销超过那张单的应收","OK"))))))))</f>
        <v/>
      </c>
    </row>
    <row r="285" customFormat="false" ht="15" hidden="false" customHeight="false" outlineLevel="0" collapsed="false">
      <c r="A285" s="29" t="str">
        <f aca="false">IF($C285="","",ROW()-4)</f>
        <v/>
      </c>
      <c r="B285" s="35" t="str">
        <f aca="false">IF($C285="","","SK"&amp;TEXT($C285,"yyyymm")&amp;"-"&amp;TEXT(ROW()-4,"0000"))</f>
        <v/>
      </c>
      <c r="C285" s="33"/>
      <c r="D285" s="24"/>
      <c r="E285" s="30" t="str">
        <f aca="false">IF($D285="","",IFERROR(INDEX(合同单位,MATCH($D285,合同键,0)),IFERROR(TRIM(LEFT($D285,FIND("｜",$D285)-1)),$D285)))</f>
        <v/>
      </c>
      <c r="F285" s="30" t="str">
        <f aca="false">IF($D285="","",IFERROR(INDEX(合同项目,MATCH($D285,合同键,0)),IFERROR(TRIM(MID($D285,FIND("｜",$D285)+1,99)),"")))</f>
        <v/>
      </c>
      <c r="G285" s="39"/>
      <c r="H285" s="25"/>
      <c r="I285" s="35" t="str">
        <f aca="false">IF($H285="","",IFERROR(INDEX(票据归类表,MATCH($H285,票据类型表,0)),"现金无票"))</f>
        <v/>
      </c>
      <c r="J285" s="25"/>
      <c r="K285" s="25"/>
      <c r="L285" s="31"/>
      <c r="M285" s="29" t="str">
        <f aca="false">IF($C285="","",YEAR($C285))</f>
        <v/>
      </c>
      <c r="N285" s="24"/>
      <c r="O285" s="35" t="str">
        <f aca="false">IF($C285="","",IF($D285="","★没选客户项目",IF(COUNTIF(合同键,$D285)=0,"★《维保合同》里没这个项目",IF(N($G285)&lt;=0,"★收款金额要填",IF($H285="","★票据类型要选",IF(AND($L285&lt;&gt;"",COUNTIF(应收单号,$L285)=0),"★关联的应收单号不存在",IF(AND($L285&lt;&gt;"",IFERROR(INDEX(应收键,MATCH($L285,应收单号,0)),"")&lt;&gt;$D285),"★关联单号不是这个客户的",IF(AND($L285&lt;&gt;"",ROUND(SUMIF(收款关联,$L285,收款金额)-IFERROR(INDEX(应收金额,MATCH($L285,应收单号,0)),0),2)&gt;0.001),"★指定冲销超过那张单的应收","OK"))))))))</f>
        <v/>
      </c>
    </row>
    <row r="286" customFormat="false" ht="15" hidden="false" customHeight="false" outlineLevel="0" collapsed="false">
      <c r="A286" s="29" t="str">
        <f aca="false">IF($C286="","",ROW()-4)</f>
        <v/>
      </c>
      <c r="B286" s="35" t="str">
        <f aca="false">IF($C286="","","SK"&amp;TEXT($C286,"yyyymm")&amp;"-"&amp;TEXT(ROW()-4,"0000"))</f>
        <v/>
      </c>
      <c r="C286" s="33"/>
      <c r="D286" s="24"/>
      <c r="E286" s="30" t="str">
        <f aca="false">IF($D286="","",IFERROR(INDEX(合同单位,MATCH($D286,合同键,0)),IFERROR(TRIM(LEFT($D286,FIND("｜",$D286)-1)),$D286)))</f>
        <v/>
      </c>
      <c r="F286" s="30" t="str">
        <f aca="false">IF($D286="","",IFERROR(INDEX(合同项目,MATCH($D286,合同键,0)),IFERROR(TRIM(MID($D286,FIND("｜",$D286)+1,99)),"")))</f>
        <v/>
      </c>
      <c r="G286" s="39"/>
      <c r="H286" s="25"/>
      <c r="I286" s="35" t="str">
        <f aca="false">IF($H286="","",IFERROR(INDEX(票据归类表,MATCH($H286,票据类型表,0)),"现金无票"))</f>
        <v/>
      </c>
      <c r="J286" s="25"/>
      <c r="K286" s="25"/>
      <c r="L286" s="31"/>
      <c r="M286" s="29" t="str">
        <f aca="false">IF($C286="","",YEAR($C286))</f>
        <v/>
      </c>
      <c r="N286" s="24"/>
      <c r="O286" s="35" t="str">
        <f aca="false">IF($C286="","",IF($D286="","★没选客户项目",IF(COUNTIF(合同键,$D286)=0,"★《维保合同》里没这个项目",IF(N($G286)&lt;=0,"★收款金额要填",IF($H286="","★票据类型要选",IF(AND($L286&lt;&gt;"",COUNTIF(应收单号,$L286)=0),"★关联的应收单号不存在",IF(AND($L286&lt;&gt;"",IFERROR(INDEX(应收键,MATCH($L286,应收单号,0)),"")&lt;&gt;$D286),"★关联单号不是这个客户的",IF(AND($L286&lt;&gt;"",ROUND(SUMIF(收款关联,$L286,收款金额)-IFERROR(INDEX(应收金额,MATCH($L286,应收单号,0)),0),2)&gt;0.001),"★指定冲销超过那张单的应收","OK"))))))))</f>
        <v/>
      </c>
    </row>
    <row r="287" customFormat="false" ht="15" hidden="false" customHeight="false" outlineLevel="0" collapsed="false">
      <c r="A287" s="29" t="str">
        <f aca="false">IF($C287="","",ROW()-4)</f>
        <v/>
      </c>
      <c r="B287" s="35" t="str">
        <f aca="false">IF($C287="","","SK"&amp;TEXT($C287,"yyyymm")&amp;"-"&amp;TEXT(ROW()-4,"0000"))</f>
        <v/>
      </c>
      <c r="C287" s="33"/>
      <c r="D287" s="24"/>
      <c r="E287" s="30" t="str">
        <f aca="false">IF($D287="","",IFERROR(INDEX(合同单位,MATCH($D287,合同键,0)),IFERROR(TRIM(LEFT($D287,FIND("｜",$D287)-1)),$D287)))</f>
        <v/>
      </c>
      <c r="F287" s="30" t="str">
        <f aca="false">IF($D287="","",IFERROR(INDEX(合同项目,MATCH($D287,合同键,0)),IFERROR(TRIM(MID($D287,FIND("｜",$D287)+1,99)),"")))</f>
        <v/>
      </c>
      <c r="G287" s="39"/>
      <c r="H287" s="25"/>
      <c r="I287" s="35" t="str">
        <f aca="false">IF($H287="","",IFERROR(INDEX(票据归类表,MATCH($H287,票据类型表,0)),"现金无票"))</f>
        <v/>
      </c>
      <c r="J287" s="25"/>
      <c r="K287" s="25"/>
      <c r="L287" s="31"/>
      <c r="M287" s="29" t="str">
        <f aca="false">IF($C287="","",YEAR($C287))</f>
        <v/>
      </c>
      <c r="N287" s="24"/>
      <c r="O287" s="35" t="str">
        <f aca="false">IF($C287="","",IF($D287="","★没选客户项目",IF(COUNTIF(合同键,$D287)=0,"★《维保合同》里没这个项目",IF(N($G287)&lt;=0,"★收款金额要填",IF($H287="","★票据类型要选",IF(AND($L287&lt;&gt;"",COUNTIF(应收单号,$L287)=0),"★关联的应收单号不存在",IF(AND($L287&lt;&gt;"",IFERROR(INDEX(应收键,MATCH($L287,应收单号,0)),"")&lt;&gt;$D287),"★关联单号不是这个客户的",IF(AND($L287&lt;&gt;"",ROUND(SUMIF(收款关联,$L287,收款金额)-IFERROR(INDEX(应收金额,MATCH($L287,应收单号,0)),0),2)&gt;0.001),"★指定冲销超过那张单的应收","OK"))))))))</f>
        <v/>
      </c>
    </row>
    <row r="288" customFormat="false" ht="15" hidden="false" customHeight="false" outlineLevel="0" collapsed="false">
      <c r="A288" s="29" t="str">
        <f aca="false">IF($C288="","",ROW()-4)</f>
        <v/>
      </c>
      <c r="B288" s="35" t="str">
        <f aca="false">IF($C288="","","SK"&amp;TEXT($C288,"yyyymm")&amp;"-"&amp;TEXT(ROW()-4,"0000"))</f>
        <v/>
      </c>
      <c r="C288" s="33"/>
      <c r="D288" s="24"/>
      <c r="E288" s="30" t="str">
        <f aca="false">IF($D288="","",IFERROR(INDEX(合同单位,MATCH($D288,合同键,0)),IFERROR(TRIM(LEFT($D288,FIND("｜",$D288)-1)),$D288)))</f>
        <v/>
      </c>
      <c r="F288" s="30" t="str">
        <f aca="false">IF($D288="","",IFERROR(INDEX(合同项目,MATCH($D288,合同键,0)),IFERROR(TRIM(MID($D288,FIND("｜",$D288)+1,99)),"")))</f>
        <v/>
      </c>
      <c r="G288" s="39"/>
      <c r="H288" s="25"/>
      <c r="I288" s="35" t="str">
        <f aca="false">IF($H288="","",IFERROR(INDEX(票据归类表,MATCH($H288,票据类型表,0)),"现金无票"))</f>
        <v/>
      </c>
      <c r="J288" s="25"/>
      <c r="K288" s="25"/>
      <c r="L288" s="31"/>
      <c r="M288" s="29" t="str">
        <f aca="false">IF($C288="","",YEAR($C288))</f>
        <v/>
      </c>
      <c r="N288" s="24"/>
      <c r="O288" s="35" t="str">
        <f aca="false">IF($C288="","",IF($D288="","★没选客户项目",IF(COUNTIF(合同键,$D288)=0,"★《维保合同》里没这个项目",IF(N($G288)&lt;=0,"★收款金额要填",IF($H288="","★票据类型要选",IF(AND($L288&lt;&gt;"",COUNTIF(应收单号,$L288)=0),"★关联的应收单号不存在",IF(AND($L288&lt;&gt;"",IFERROR(INDEX(应收键,MATCH($L288,应收单号,0)),"")&lt;&gt;$D288),"★关联单号不是这个客户的",IF(AND($L288&lt;&gt;"",ROUND(SUMIF(收款关联,$L288,收款金额)-IFERROR(INDEX(应收金额,MATCH($L288,应收单号,0)),0),2)&gt;0.001),"★指定冲销超过那张单的应收","OK"))))))))</f>
        <v/>
      </c>
    </row>
    <row r="289" customFormat="false" ht="15" hidden="false" customHeight="false" outlineLevel="0" collapsed="false">
      <c r="A289" s="29" t="str">
        <f aca="false">IF($C289="","",ROW()-4)</f>
        <v/>
      </c>
      <c r="B289" s="35" t="str">
        <f aca="false">IF($C289="","","SK"&amp;TEXT($C289,"yyyymm")&amp;"-"&amp;TEXT(ROW()-4,"0000"))</f>
        <v/>
      </c>
      <c r="C289" s="33"/>
      <c r="D289" s="24"/>
      <c r="E289" s="30" t="str">
        <f aca="false">IF($D289="","",IFERROR(INDEX(合同单位,MATCH($D289,合同键,0)),IFERROR(TRIM(LEFT($D289,FIND("｜",$D289)-1)),$D289)))</f>
        <v/>
      </c>
      <c r="F289" s="30" t="str">
        <f aca="false">IF($D289="","",IFERROR(INDEX(合同项目,MATCH($D289,合同键,0)),IFERROR(TRIM(MID($D289,FIND("｜",$D289)+1,99)),"")))</f>
        <v/>
      </c>
      <c r="G289" s="39"/>
      <c r="H289" s="25"/>
      <c r="I289" s="35" t="str">
        <f aca="false">IF($H289="","",IFERROR(INDEX(票据归类表,MATCH($H289,票据类型表,0)),"现金无票"))</f>
        <v/>
      </c>
      <c r="J289" s="25"/>
      <c r="K289" s="25"/>
      <c r="L289" s="31"/>
      <c r="M289" s="29" t="str">
        <f aca="false">IF($C289="","",YEAR($C289))</f>
        <v/>
      </c>
      <c r="N289" s="24"/>
      <c r="O289" s="35" t="str">
        <f aca="false">IF($C289="","",IF($D289="","★没选客户项目",IF(COUNTIF(合同键,$D289)=0,"★《维保合同》里没这个项目",IF(N($G289)&lt;=0,"★收款金额要填",IF($H289="","★票据类型要选",IF(AND($L289&lt;&gt;"",COUNTIF(应收单号,$L289)=0),"★关联的应收单号不存在",IF(AND($L289&lt;&gt;"",IFERROR(INDEX(应收键,MATCH($L289,应收单号,0)),"")&lt;&gt;$D289),"★关联单号不是这个客户的",IF(AND($L289&lt;&gt;"",ROUND(SUMIF(收款关联,$L289,收款金额)-IFERROR(INDEX(应收金额,MATCH($L289,应收单号,0)),0),2)&gt;0.001),"★指定冲销超过那张单的应收","OK"))))))))</f>
        <v/>
      </c>
    </row>
    <row r="290" customFormat="false" ht="15" hidden="false" customHeight="false" outlineLevel="0" collapsed="false">
      <c r="A290" s="29" t="str">
        <f aca="false">IF($C290="","",ROW()-4)</f>
        <v/>
      </c>
      <c r="B290" s="35" t="str">
        <f aca="false">IF($C290="","","SK"&amp;TEXT($C290,"yyyymm")&amp;"-"&amp;TEXT(ROW()-4,"0000"))</f>
        <v/>
      </c>
      <c r="C290" s="33"/>
      <c r="D290" s="24"/>
      <c r="E290" s="30" t="str">
        <f aca="false">IF($D290="","",IFERROR(INDEX(合同单位,MATCH($D290,合同键,0)),IFERROR(TRIM(LEFT($D290,FIND("｜",$D290)-1)),$D290)))</f>
        <v/>
      </c>
      <c r="F290" s="30" t="str">
        <f aca="false">IF($D290="","",IFERROR(INDEX(合同项目,MATCH($D290,合同键,0)),IFERROR(TRIM(MID($D290,FIND("｜",$D290)+1,99)),"")))</f>
        <v/>
      </c>
      <c r="G290" s="39"/>
      <c r="H290" s="25"/>
      <c r="I290" s="35" t="str">
        <f aca="false">IF($H290="","",IFERROR(INDEX(票据归类表,MATCH($H290,票据类型表,0)),"现金无票"))</f>
        <v/>
      </c>
      <c r="J290" s="25"/>
      <c r="K290" s="25"/>
      <c r="L290" s="31"/>
      <c r="M290" s="29" t="str">
        <f aca="false">IF($C290="","",YEAR($C290))</f>
        <v/>
      </c>
      <c r="N290" s="24"/>
      <c r="O290" s="35" t="str">
        <f aca="false">IF($C290="","",IF($D290="","★没选客户项目",IF(COUNTIF(合同键,$D290)=0,"★《维保合同》里没这个项目",IF(N($G290)&lt;=0,"★收款金额要填",IF($H290="","★票据类型要选",IF(AND($L290&lt;&gt;"",COUNTIF(应收单号,$L290)=0),"★关联的应收单号不存在",IF(AND($L290&lt;&gt;"",IFERROR(INDEX(应收键,MATCH($L290,应收单号,0)),"")&lt;&gt;$D290),"★关联单号不是这个客户的",IF(AND($L290&lt;&gt;"",ROUND(SUMIF(收款关联,$L290,收款金额)-IFERROR(INDEX(应收金额,MATCH($L290,应收单号,0)),0),2)&gt;0.001),"★指定冲销超过那张单的应收","OK"))))))))</f>
        <v/>
      </c>
    </row>
    <row r="291" customFormat="false" ht="15" hidden="false" customHeight="false" outlineLevel="0" collapsed="false">
      <c r="A291" s="29" t="str">
        <f aca="false">IF($C291="","",ROW()-4)</f>
        <v/>
      </c>
      <c r="B291" s="35" t="str">
        <f aca="false">IF($C291="","","SK"&amp;TEXT($C291,"yyyymm")&amp;"-"&amp;TEXT(ROW()-4,"0000"))</f>
        <v/>
      </c>
      <c r="C291" s="33"/>
      <c r="D291" s="24"/>
      <c r="E291" s="30" t="str">
        <f aca="false">IF($D291="","",IFERROR(INDEX(合同单位,MATCH($D291,合同键,0)),IFERROR(TRIM(LEFT($D291,FIND("｜",$D291)-1)),$D291)))</f>
        <v/>
      </c>
      <c r="F291" s="30" t="str">
        <f aca="false">IF($D291="","",IFERROR(INDEX(合同项目,MATCH($D291,合同键,0)),IFERROR(TRIM(MID($D291,FIND("｜",$D291)+1,99)),"")))</f>
        <v/>
      </c>
      <c r="G291" s="39"/>
      <c r="H291" s="25"/>
      <c r="I291" s="35" t="str">
        <f aca="false">IF($H291="","",IFERROR(INDEX(票据归类表,MATCH($H291,票据类型表,0)),"现金无票"))</f>
        <v/>
      </c>
      <c r="J291" s="25"/>
      <c r="K291" s="25"/>
      <c r="L291" s="31"/>
      <c r="M291" s="29" t="str">
        <f aca="false">IF($C291="","",YEAR($C291))</f>
        <v/>
      </c>
      <c r="N291" s="24"/>
      <c r="O291" s="35" t="str">
        <f aca="false">IF($C291="","",IF($D291="","★没选客户项目",IF(COUNTIF(合同键,$D291)=0,"★《维保合同》里没这个项目",IF(N($G291)&lt;=0,"★收款金额要填",IF($H291="","★票据类型要选",IF(AND($L291&lt;&gt;"",COUNTIF(应收单号,$L291)=0),"★关联的应收单号不存在",IF(AND($L291&lt;&gt;"",IFERROR(INDEX(应收键,MATCH($L291,应收单号,0)),"")&lt;&gt;$D291),"★关联单号不是这个客户的",IF(AND($L291&lt;&gt;"",ROUND(SUMIF(收款关联,$L291,收款金额)-IFERROR(INDEX(应收金额,MATCH($L291,应收单号,0)),0),2)&gt;0.001),"★指定冲销超过那张单的应收","OK"))))))))</f>
        <v/>
      </c>
    </row>
    <row r="292" customFormat="false" ht="15" hidden="false" customHeight="false" outlineLevel="0" collapsed="false">
      <c r="A292" s="29" t="str">
        <f aca="false">IF($C292="","",ROW()-4)</f>
        <v/>
      </c>
      <c r="B292" s="35" t="str">
        <f aca="false">IF($C292="","","SK"&amp;TEXT($C292,"yyyymm")&amp;"-"&amp;TEXT(ROW()-4,"0000"))</f>
        <v/>
      </c>
      <c r="C292" s="33"/>
      <c r="D292" s="24"/>
      <c r="E292" s="30" t="str">
        <f aca="false">IF($D292="","",IFERROR(INDEX(合同单位,MATCH($D292,合同键,0)),IFERROR(TRIM(LEFT($D292,FIND("｜",$D292)-1)),$D292)))</f>
        <v/>
      </c>
      <c r="F292" s="30" t="str">
        <f aca="false">IF($D292="","",IFERROR(INDEX(合同项目,MATCH($D292,合同键,0)),IFERROR(TRIM(MID($D292,FIND("｜",$D292)+1,99)),"")))</f>
        <v/>
      </c>
      <c r="G292" s="39"/>
      <c r="H292" s="25"/>
      <c r="I292" s="35" t="str">
        <f aca="false">IF($H292="","",IFERROR(INDEX(票据归类表,MATCH($H292,票据类型表,0)),"现金无票"))</f>
        <v/>
      </c>
      <c r="J292" s="25"/>
      <c r="K292" s="25"/>
      <c r="L292" s="31"/>
      <c r="M292" s="29" t="str">
        <f aca="false">IF($C292="","",YEAR($C292))</f>
        <v/>
      </c>
      <c r="N292" s="24"/>
      <c r="O292" s="35" t="str">
        <f aca="false">IF($C292="","",IF($D292="","★没选客户项目",IF(COUNTIF(合同键,$D292)=0,"★《维保合同》里没这个项目",IF(N($G292)&lt;=0,"★收款金额要填",IF($H292="","★票据类型要选",IF(AND($L292&lt;&gt;"",COUNTIF(应收单号,$L292)=0),"★关联的应收单号不存在",IF(AND($L292&lt;&gt;"",IFERROR(INDEX(应收键,MATCH($L292,应收单号,0)),"")&lt;&gt;$D292),"★关联单号不是这个客户的",IF(AND($L292&lt;&gt;"",ROUND(SUMIF(收款关联,$L292,收款金额)-IFERROR(INDEX(应收金额,MATCH($L292,应收单号,0)),0),2)&gt;0.001),"★指定冲销超过那张单的应收","OK"))))))))</f>
        <v/>
      </c>
    </row>
    <row r="293" customFormat="false" ht="15" hidden="false" customHeight="false" outlineLevel="0" collapsed="false">
      <c r="A293" s="29" t="str">
        <f aca="false">IF($C293="","",ROW()-4)</f>
        <v/>
      </c>
      <c r="B293" s="35" t="str">
        <f aca="false">IF($C293="","","SK"&amp;TEXT($C293,"yyyymm")&amp;"-"&amp;TEXT(ROW()-4,"0000"))</f>
        <v/>
      </c>
      <c r="C293" s="33"/>
      <c r="D293" s="24"/>
      <c r="E293" s="30" t="str">
        <f aca="false">IF($D293="","",IFERROR(INDEX(合同单位,MATCH($D293,合同键,0)),IFERROR(TRIM(LEFT($D293,FIND("｜",$D293)-1)),$D293)))</f>
        <v/>
      </c>
      <c r="F293" s="30" t="str">
        <f aca="false">IF($D293="","",IFERROR(INDEX(合同项目,MATCH($D293,合同键,0)),IFERROR(TRIM(MID($D293,FIND("｜",$D293)+1,99)),"")))</f>
        <v/>
      </c>
      <c r="G293" s="39"/>
      <c r="H293" s="25"/>
      <c r="I293" s="35" t="str">
        <f aca="false">IF($H293="","",IFERROR(INDEX(票据归类表,MATCH($H293,票据类型表,0)),"现金无票"))</f>
        <v/>
      </c>
      <c r="J293" s="25"/>
      <c r="K293" s="25"/>
      <c r="L293" s="31"/>
      <c r="M293" s="29" t="str">
        <f aca="false">IF($C293="","",YEAR($C293))</f>
        <v/>
      </c>
      <c r="N293" s="24"/>
      <c r="O293" s="35" t="str">
        <f aca="false">IF($C293="","",IF($D293="","★没选客户项目",IF(COUNTIF(合同键,$D293)=0,"★《维保合同》里没这个项目",IF(N($G293)&lt;=0,"★收款金额要填",IF($H293="","★票据类型要选",IF(AND($L293&lt;&gt;"",COUNTIF(应收单号,$L293)=0),"★关联的应收单号不存在",IF(AND($L293&lt;&gt;"",IFERROR(INDEX(应收键,MATCH($L293,应收单号,0)),"")&lt;&gt;$D293),"★关联单号不是这个客户的",IF(AND($L293&lt;&gt;"",ROUND(SUMIF(收款关联,$L293,收款金额)-IFERROR(INDEX(应收金额,MATCH($L293,应收单号,0)),0),2)&gt;0.001),"★指定冲销超过那张单的应收","OK"))))))))</f>
        <v/>
      </c>
    </row>
    <row r="294" customFormat="false" ht="15" hidden="false" customHeight="false" outlineLevel="0" collapsed="false">
      <c r="A294" s="29" t="str">
        <f aca="false">IF($C294="","",ROW()-4)</f>
        <v/>
      </c>
      <c r="B294" s="35" t="str">
        <f aca="false">IF($C294="","","SK"&amp;TEXT($C294,"yyyymm")&amp;"-"&amp;TEXT(ROW()-4,"0000"))</f>
        <v/>
      </c>
      <c r="C294" s="33"/>
      <c r="D294" s="24"/>
      <c r="E294" s="30" t="str">
        <f aca="false">IF($D294="","",IFERROR(INDEX(合同单位,MATCH($D294,合同键,0)),IFERROR(TRIM(LEFT($D294,FIND("｜",$D294)-1)),$D294)))</f>
        <v/>
      </c>
      <c r="F294" s="30" t="str">
        <f aca="false">IF($D294="","",IFERROR(INDEX(合同项目,MATCH($D294,合同键,0)),IFERROR(TRIM(MID($D294,FIND("｜",$D294)+1,99)),"")))</f>
        <v/>
      </c>
      <c r="G294" s="39"/>
      <c r="H294" s="25"/>
      <c r="I294" s="35" t="str">
        <f aca="false">IF($H294="","",IFERROR(INDEX(票据归类表,MATCH($H294,票据类型表,0)),"现金无票"))</f>
        <v/>
      </c>
      <c r="J294" s="25"/>
      <c r="K294" s="25"/>
      <c r="L294" s="31"/>
      <c r="M294" s="29" t="str">
        <f aca="false">IF($C294="","",YEAR($C294))</f>
        <v/>
      </c>
      <c r="N294" s="24"/>
      <c r="O294" s="35" t="str">
        <f aca="false">IF($C294="","",IF($D294="","★没选客户项目",IF(COUNTIF(合同键,$D294)=0,"★《维保合同》里没这个项目",IF(N($G294)&lt;=0,"★收款金额要填",IF($H294="","★票据类型要选",IF(AND($L294&lt;&gt;"",COUNTIF(应收单号,$L294)=0),"★关联的应收单号不存在",IF(AND($L294&lt;&gt;"",IFERROR(INDEX(应收键,MATCH($L294,应收单号,0)),"")&lt;&gt;$D294),"★关联单号不是这个客户的",IF(AND($L294&lt;&gt;"",ROUND(SUMIF(收款关联,$L294,收款金额)-IFERROR(INDEX(应收金额,MATCH($L294,应收单号,0)),0),2)&gt;0.001),"★指定冲销超过那张单的应收","OK"))))))))</f>
        <v/>
      </c>
    </row>
    <row r="295" customFormat="false" ht="15" hidden="false" customHeight="false" outlineLevel="0" collapsed="false">
      <c r="A295" s="29" t="str">
        <f aca="false">IF($C295="","",ROW()-4)</f>
        <v/>
      </c>
      <c r="B295" s="35" t="str">
        <f aca="false">IF($C295="","","SK"&amp;TEXT($C295,"yyyymm")&amp;"-"&amp;TEXT(ROW()-4,"0000"))</f>
        <v/>
      </c>
      <c r="C295" s="33"/>
      <c r="D295" s="24"/>
      <c r="E295" s="30" t="str">
        <f aca="false">IF($D295="","",IFERROR(INDEX(合同单位,MATCH($D295,合同键,0)),IFERROR(TRIM(LEFT($D295,FIND("｜",$D295)-1)),$D295)))</f>
        <v/>
      </c>
      <c r="F295" s="30" t="str">
        <f aca="false">IF($D295="","",IFERROR(INDEX(合同项目,MATCH($D295,合同键,0)),IFERROR(TRIM(MID($D295,FIND("｜",$D295)+1,99)),"")))</f>
        <v/>
      </c>
      <c r="G295" s="39"/>
      <c r="H295" s="25"/>
      <c r="I295" s="35" t="str">
        <f aca="false">IF($H295="","",IFERROR(INDEX(票据归类表,MATCH($H295,票据类型表,0)),"现金无票"))</f>
        <v/>
      </c>
      <c r="J295" s="25"/>
      <c r="K295" s="25"/>
      <c r="L295" s="31"/>
      <c r="M295" s="29" t="str">
        <f aca="false">IF($C295="","",YEAR($C295))</f>
        <v/>
      </c>
      <c r="N295" s="24"/>
      <c r="O295" s="35" t="str">
        <f aca="false">IF($C295="","",IF($D295="","★没选客户项目",IF(COUNTIF(合同键,$D295)=0,"★《维保合同》里没这个项目",IF(N($G295)&lt;=0,"★收款金额要填",IF($H295="","★票据类型要选",IF(AND($L295&lt;&gt;"",COUNTIF(应收单号,$L295)=0),"★关联的应收单号不存在",IF(AND($L295&lt;&gt;"",IFERROR(INDEX(应收键,MATCH($L295,应收单号,0)),"")&lt;&gt;$D295),"★关联单号不是这个客户的",IF(AND($L295&lt;&gt;"",ROUND(SUMIF(收款关联,$L295,收款金额)-IFERROR(INDEX(应收金额,MATCH($L295,应收单号,0)),0),2)&gt;0.001),"★指定冲销超过那张单的应收","OK"))))))))</f>
        <v/>
      </c>
    </row>
    <row r="296" customFormat="false" ht="15" hidden="false" customHeight="false" outlineLevel="0" collapsed="false">
      <c r="A296" s="29" t="str">
        <f aca="false">IF($C296="","",ROW()-4)</f>
        <v/>
      </c>
      <c r="B296" s="35" t="str">
        <f aca="false">IF($C296="","","SK"&amp;TEXT($C296,"yyyymm")&amp;"-"&amp;TEXT(ROW()-4,"0000"))</f>
        <v/>
      </c>
      <c r="C296" s="33"/>
      <c r="D296" s="24"/>
      <c r="E296" s="30" t="str">
        <f aca="false">IF($D296="","",IFERROR(INDEX(合同单位,MATCH($D296,合同键,0)),IFERROR(TRIM(LEFT($D296,FIND("｜",$D296)-1)),$D296)))</f>
        <v/>
      </c>
      <c r="F296" s="30" t="str">
        <f aca="false">IF($D296="","",IFERROR(INDEX(合同项目,MATCH($D296,合同键,0)),IFERROR(TRIM(MID($D296,FIND("｜",$D296)+1,99)),"")))</f>
        <v/>
      </c>
      <c r="G296" s="39"/>
      <c r="H296" s="25"/>
      <c r="I296" s="35" t="str">
        <f aca="false">IF($H296="","",IFERROR(INDEX(票据归类表,MATCH($H296,票据类型表,0)),"现金无票"))</f>
        <v/>
      </c>
      <c r="J296" s="25"/>
      <c r="K296" s="25"/>
      <c r="L296" s="31"/>
      <c r="M296" s="29" t="str">
        <f aca="false">IF($C296="","",YEAR($C296))</f>
        <v/>
      </c>
      <c r="N296" s="24"/>
      <c r="O296" s="35" t="str">
        <f aca="false">IF($C296="","",IF($D296="","★没选客户项目",IF(COUNTIF(合同键,$D296)=0,"★《维保合同》里没这个项目",IF(N($G296)&lt;=0,"★收款金额要填",IF($H296="","★票据类型要选",IF(AND($L296&lt;&gt;"",COUNTIF(应收单号,$L296)=0),"★关联的应收单号不存在",IF(AND($L296&lt;&gt;"",IFERROR(INDEX(应收键,MATCH($L296,应收单号,0)),"")&lt;&gt;$D296),"★关联单号不是这个客户的",IF(AND($L296&lt;&gt;"",ROUND(SUMIF(收款关联,$L296,收款金额)-IFERROR(INDEX(应收金额,MATCH($L296,应收单号,0)),0),2)&gt;0.001),"★指定冲销超过那张单的应收","OK"))))))))</f>
        <v/>
      </c>
    </row>
    <row r="297" customFormat="false" ht="15" hidden="false" customHeight="false" outlineLevel="0" collapsed="false">
      <c r="A297" s="29" t="str">
        <f aca="false">IF($C297="","",ROW()-4)</f>
        <v/>
      </c>
      <c r="B297" s="35" t="str">
        <f aca="false">IF($C297="","","SK"&amp;TEXT($C297,"yyyymm")&amp;"-"&amp;TEXT(ROW()-4,"0000"))</f>
        <v/>
      </c>
      <c r="C297" s="33"/>
      <c r="D297" s="24"/>
      <c r="E297" s="30" t="str">
        <f aca="false">IF($D297="","",IFERROR(INDEX(合同单位,MATCH($D297,合同键,0)),IFERROR(TRIM(LEFT($D297,FIND("｜",$D297)-1)),$D297)))</f>
        <v/>
      </c>
      <c r="F297" s="30" t="str">
        <f aca="false">IF($D297="","",IFERROR(INDEX(合同项目,MATCH($D297,合同键,0)),IFERROR(TRIM(MID($D297,FIND("｜",$D297)+1,99)),"")))</f>
        <v/>
      </c>
      <c r="G297" s="39"/>
      <c r="H297" s="25"/>
      <c r="I297" s="35" t="str">
        <f aca="false">IF($H297="","",IFERROR(INDEX(票据归类表,MATCH($H297,票据类型表,0)),"现金无票"))</f>
        <v/>
      </c>
      <c r="J297" s="25"/>
      <c r="K297" s="25"/>
      <c r="L297" s="31"/>
      <c r="M297" s="29" t="str">
        <f aca="false">IF($C297="","",YEAR($C297))</f>
        <v/>
      </c>
      <c r="N297" s="24"/>
      <c r="O297" s="35" t="str">
        <f aca="false">IF($C297="","",IF($D297="","★没选客户项目",IF(COUNTIF(合同键,$D297)=0,"★《维保合同》里没这个项目",IF(N($G297)&lt;=0,"★收款金额要填",IF($H297="","★票据类型要选",IF(AND($L297&lt;&gt;"",COUNTIF(应收单号,$L297)=0),"★关联的应收单号不存在",IF(AND($L297&lt;&gt;"",IFERROR(INDEX(应收键,MATCH($L297,应收单号,0)),"")&lt;&gt;$D297),"★关联单号不是这个客户的",IF(AND($L297&lt;&gt;"",ROUND(SUMIF(收款关联,$L297,收款金额)-IFERROR(INDEX(应收金额,MATCH($L297,应收单号,0)),0),2)&gt;0.001),"★指定冲销超过那张单的应收","OK"))))))))</f>
        <v/>
      </c>
    </row>
    <row r="298" customFormat="false" ht="15" hidden="false" customHeight="false" outlineLevel="0" collapsed="false">
      <c r="A298" s="29" t="str">
        <f aca="false">IF($C298="","",ROW()-4)</f>
        <v/>
      </c>
      <c r="B298" s="35" t="str">
        <f aca="false">IF($C298="","","SK"&amp;TEXT($C298,"yyyymm")&amp;"-"&amp;TEXT(ROW()-4,"0000"))</f>
        <v/>
      </c>
      <c r="C298" s="33"/>
      <c r="D298" s="24"/>
      <c r="E298" s="30" t="str">
        <f aca="false">IF($D298="","",IFERROR(INDEX(合同单位,MATCH($D298,合同键,0)),IFERROR(TRIM(LEFT($D298,FIND("｜",$D298)-1)),$D298)))</f>
        <v/>
      </c>
      <c r="F298" s="30" t="str">
        <f aca="false">IF($D298="","",IFERROR(INDEX(合同项目,MATCH($D298,合同键,0)),IFERROR(TRIM(MID($D298,FIND("｜",$D298)+1,99)),"")))</f>
        <v/>
      </c>
      <c r="G298" s="39"/>
      <c r="H298" s="25"/>
      <c r="I298" s="35" t="str">
        <f aca="false">IF($H298="","",IFERROR(INDEX(票据归类表,MATCH($H298,票据类型表,0)),"现金无票"))</f>
        <v/>
      </c>
      <c r="J298" s="25"/>
      <c r="K298" s="25"/>
      <c r="L298" s="31"/>
      <c r="M298" s="29" t="str">
        <f aca="false">IF($C298="","",YEAR($C298))</f>
        <v/>
      </c>
      <c r="N298" s="24"/>
      <c r="O298" s="35" t="str">
        <f aca="false">IF($C298="","",IF($D298="","★没选客户项目",IF(COUNTIF(合同键,$D298)=0,"★《维保合同》里没这个项目",IF(N($G298)&lt;=0,"★收款金额要填",IF($H298="","★票据类型要选",IF(AND($L298&lt;&gt;"",COUNTIF(应收单号,$L298)=0),"★关联的应收单号不存在",IF(AND($L298&lt;&gt;"",IFERROR(INDEX(应收键,MATCH($L298,应收单号,0)),"")&lt;&gt;$D298),"★关联单号不是这个客户的",IF(AND($L298&lt;&gt;"",ROUND(SUMIF(收款关联,$L298,收款金额)-IFERROR(INDEX(应收金额,MATCH($L298,应收单号,0)),0),2)&gt;0.001),"★指定冲销超过那张单的应收","OK"))))))))</f>
        <v/>
      </c>
    </row>
    <row r="299" customFormat="false" ht="15" hidden="false" customHeight="false" outlineLevel="0" collapsed="false">
      <c r="A299" s="29" t="str">
        <f aca="false">IF($C299="","",ROW()-4)</f>
        <v/>
      </c>
      <c r="B299" s="35" t="str">
        <f aca="false">IF($C299="","","SK"&amp;TEXT($C299,"yyyymm")&amp;"-"&amp;TEXT(ROW()-4,"0000"))</f>
        <v/>
      </c>
      <c r="C299" s="33"/>
      <c r="D299" s="24"/>
      <c r="E299" s="30" t="str">
        <f aca="false">IF($D299="","",IFERROR(INDEX(合同单位,MATCH($D299,合同键,0)),IFERROR(TRIM(LEFT($D299,FIND("｜",$D299)-1)),$D299)))</f>
        <v/>
      </c>
      <c r="F299" s="30" t="str">
        <f aca="false">IF($D299="","",IFERROR(INDEX(合同项目,MATCH($D299,合同键,0)),IFERROR(TRIM(MID($D299,FIND("｜",$D299)+1,99)),"")))</f>
        <v/>
      </c>
      <c r="G299" s="39"/>
      <c r="H299" s="25"/>
      <c r="I299" s="35" t="str">
        <f aca="false">IF($H299="","",IFERROR(INDEX(票据归类表,MATCH($H299,票据类型表,0)),"现金无票"))</f>
        <v/>
      </c>
      <c r="J299" s="25"/>
      <c r="K299" s="25"/>
      <c r="L299" s="31"/>
      <c r="M299" s="29" t="str">
        <f aca="false">IF($C299="","",YEAR($C299))</f>
        <v/>
      </c>
      <c r="N299" s="24"/>
      <c r="O299" s="35" t="str">
        <f aca="false">IF($C299="","",IF($D299="","★没选客户项目",IF(COUNTIF(合同键,$D299)=0,"★《维保合同》里没这个项目",IF(N($G299)&lt;=0,"★收款金额要填",IF($H299="","★票据类型要选",IF(AND($L299&lt;&gt;"",COUNTIF(应收单号,$L299)=0),"★关联的应收单号不存在",IF(AND($L299&lt;&gt;"",IFERROR(INDEX(应收键,MATCH($L299,应收单号,0)),"")&lt;&gt;$D299),"★关联单号不是这个客户的",IF(AND($L299&lt;&gt;"",ROUND(SUMIF(收款关联,$L299,收款金额)-IFERROR(INDEX(应收金额,MATCH($L299,应收单号,0)),0),2)&gt;0.001),"★指定冲销超过那张单的应收","OK"))))))))</f>
        <v/>
      </c>
    </row>
    <row r="300" customFormat="false" ht="15" hidden="false" customHeight="false" outlineLevel="0" collapsed="false">
      <c r="A300" s="29" t="str">
        <f aca="false">IF($C300="","",ROW()-4)</f>
        <v/>
      </c>
      <c r="B300" s="35" t="str">
        <f aca="false">IF($C300="","","SK"&amp;TEXT($C300,"yyyymm")&amp;"-"&amp;TEXT(ROW()-4,"0000"))</f>
        <v/>
      </c>
      <c r="C300" s="33"/>
      <c r="D300" s="24"/>
      <c r="E300" s="30" t="str">
        <f aca="false">IF($D300="","",IFERROR(INDEX(合同单位,MATCH($D300,合同键,0)),IFERROR(TRIM(LEFT($D300,FIND("｜",$D300)-1)),$D300)))</f>
        <v/>
      </c>
      <c r="F300" s="30" t="str">
        <f aca="false">IF($D300="","",IFERROR(INDEX(合同项目,MATCH($D300,合同键,0)),IFERROR(TRIM(MID($D300,FIND("｜",$D300)+1,99)),"")))</f>
        <v/>
      </c>
      <c r="G300" s="39"/>
      <c r="H300" s="25"/>
      <c r="I300" s="35" t="str">
        <f aca="false">IF($H300="","",IFERROR(INDEX(票据归类表,MATCH($H300,票据类型表,0)),"现金无票"))</f>
        <v/>
      </c>
      <c r="J300" s="25"/>
      <c r="K300" s="25"/>
      <c r="L300" s="31"/>
      <c r="M300" s="29" t="str">
        <f aca="false">IF($C300="","",YEAR($C300))</f>
        <v/>
      </c>
      <c r="N300" s="24"/>
      <c r="O300" s="35" t="str">
        <f aca="false">IF($C300="","",IF($D300="","★没选客户项目",IF(COUNTIF(合同键,$D300)=0,"★《维保合同》里没这个项目",IF(N($G300)&lt;=0,"★收款金额要填",IF($H300="","★票据类型要选",IF(AND($L300&lt;&gt;"",COUNTIF(应收单号,$L300)=0),"★关联的应收单号不存在",IF(AND($L300&lt;&gt;"",IFERROR(INDEX(应收键,MATCH($L300,应收单号,0)),"")&lt;&gt;$D300),"★关联单号不是这个客户的",IF(AND($L300&lt;&gt;"",ROUND(SUMIF(收款关联,$L300,收款金额)-IFERROR(INDEX(应收金额,MATCH($L300,应收单号,0)),0),2)&gt;0.001),"★指定冲销超过那张单的应收","OK"))))))))</f>
        <v/>
      </c>
    </row>
    <row r="301" customFormat="false" ht="15" hidden="false" customHeight="false" outlineLevel="0" collapsed="false">
      <c r="A301" s="29" t="str">
        <f aca="false">IF($C301="","",ROW()-4)</f>
        <v/>
      </c>
      <c r="B301" s="35" t="str">
        <f aca="false">IF($C301="","","SK"&amp;TEXT($C301,"yyyymm")&amp;"-"&amp;TEXT(ROW()-4,"0000"))</f>
        <v/>
      </c>
      <c r="C301" s="33"/>
      <c r="D301" s="24"/>
      <c r="E301" s="30" t="str">
        <f aca="false">IF($D301="","",IFERROR(INDEX(合同单位,MATCH($D301,合同键,0)),IFERROR(TRIM(LEFT($D301,FIND("｜",$D301)-1)),$D301)))</f>
        <v/>
      </c>
      <c r="F301" s="30" t="str">
        <f aca="false">IF($D301="","",IFERROR(INDEX(合同项目,MATCH($D301,合同键,0)),IFERROR(TRIM(MID($D301,FIND("｜",$D301)+1,99)),"")))</f>
        <v/>
      </c>
      <c r="G301" s="39"/>
      <c r="H301" s="25"/>
      <c r="I301" s="35" t="str">
        <f aca="false">IF($H301="","",IFERROR(INDEX(票据归类表,MATCH($H301,票据类型表,0)),"现金无票"))</f>
        <v/>
      </c>
      <c r="J301" s="25"/>
      <c r="K301" s="25"/>
      <c r="L301" s="31"/>
      <c r="M301" s="29" t="str">
        <f aca="false">IF($C301="","",YEAR($C301))</f>
        <v/>
      </c>
      <c r="N301" s="24"/>
      <c r="O301" s="35" t="str">
        <f aca="false">IF($C301="","",IF($D301="","★没选客户项目",IF(COUNTIF(合同键,$D301)=0,"★《维保合同》里没这个项目",IF(N($G301)&lt;=0,"★收款金额要填",IF($H301="","★票据类型要选",IF(AND($L301&lt;&gt;"",COUNTIF(应收单号,$L301)=0),"★关联的应收单号不存在",IF(AND($L301&lt;&gt;"",IFERROR(INDEX(应收键,MATCH($L301,应收单号,0)),"")&lt;&gt;$D301),"★关联单号不是这个客户的",IF(AND($L301&lt;&gt;"",ROUND(SUMIF(收款关联,$L301,收款金额)-IFERROR(INDEX(应收金额,MATCH($L301,应收单号,0)),0),2)&gt;0.001),"★指定冲销超过那张单的应收","OK"))))))))</f>
        <v/>
      </c>
    </row>
    <row r="302" customFormat="false" ht="15" hidden="false" customHeight="false" outlineLevel="0" collapsed="false">
      <c r="A302" s="29" t="str">
        <f aca="false">IF($C302="","",ROW()-4)</f>
        <v/>
      </c>
      <c r="B302" s="35" t="str">
        <f aca="false">IF($C302="","","SK"&amp;TEXT($C302,"yyyymm")&amp;"-"&amp;TEXT(ROW()-4,"0000"))</f>
        <v/>
      </c>
      <c r="C302" s="33"/>
      <c r="D302" s="24"/>
      <c r="E302" s="30" t="str">
        <f aca="false">IF($D302="","",IFERROR(INDEX(合同单位,MATCH($D302,合同键,0)),IFERROR(TRIM(LEFT($D302,FIND("｜",$D302)-1)),$D302)))</f>
        <v/>
      </c>
      <c r="F302" s="30" t="str">
        <f aca="false">IF($D302="","",IFERROR(INDEX(合同项目,MATCH($D302,合同键,0)),IFERROR(TRIM(MID($D302,FIND("｜",$D302)+1,99)),"")))</f>
        <v/>
      </c>
      <c r="G302" s="39"/>
      <c r="H302" s="25"/>
      <c r="I302" s="35" t="str">
        <f aca="false">IF($H302="","",IFERROR(INDEX(票据归类表,MATCH($H302,票据类型表,0)),"现金无票"))</f>
        <v/>
      </c>
      <c r="J302" s="25"/>
      <c r="K302" s="25"/>
      <c r="L302" s="31"/>
      <c r="M302" s="29" t="str">
        <f aca="false">IF($C302="","",YEAR($C302))</f>
        <v/>
      </c>
      <c r="N302" s="24"/>
      <c r="O302" s="35" t="str">
        <f aca="false">IF($C302="","",IF($D302="","★没选客户项目",IF(COUNTIF(合同键,$D302)=0,"★《维保合同》里没这个项目",IF(N($G302)&lt;=0,"★收款金额要填",IF($H302="","★票据类型要选",IF(AND($L302&lt;&gt;"",COUNTIF(应收单号,$L302)=0),"★关联的应收单号不存在",IF(AND($L302&lt;&gt;"",IFERROR(INDEX(应收键,MATCH($L302,应收单号,0)),"")&lt;&gt;$D302),"★关联单号不是这个客户的",IF(AND($L302&lt;&gt;"",ROUND(SUMIF(收款关联,$L302,收款金额)-IFERROR(INDEX(应收金额,MATCH($L302,应收单号,0)),0),2)&gt;0.001),"★指定冲销超过那张单的应收","OK"))))))))</f>
        <v/>
      </c>
    </row>
    <row r="303" customFormat="false" ht="15" hidden="false" customHeight="false" outlineLevel="0" collapsed="false">
      <c r="A303" s="29" t="str">
        <f aca="false">IF($C303="","",ROW()-4)</f>
        <v/>
      </c>
      <c r="B303" s="35" t="str">
        <f aca="false">IF($C303="","","SK"&amp;TEXT($C303,"yyyymm")&amp;"-"&amp;TEXT(ROW()-4,"0000"))</f>
        <v/>
      </c>
      <c r="C303" s="33"/>
      <c r="D303" s="24"/>
      <c r="E303" s="30" t="str">
        <f aca="false">IF($D303="","",IFERROR(INDEX(合同单位,MATCH($D303,合同键,0)),IFERROR(TRIM(LEFT($D303,FIND("｜",$D303)-1)),$D303)))</f>
        <v/>
      </c>
      <c r="F303" s="30" t="str">
        <f aca="false">IF($D303="","",IFERROR(INDEX(合同项目,MATCH($D303,合同键,0)),IFERROR(TRIM(MID($D303,FIND("｜",$D303)+1,99)),"")))</f>
        <v/>
      </c>
      <c r="G303" s="39"/>
      <c r="H303" s="25"/>
      <c r="I303" s="35" t="str">
        <f aca="false">IF($H303="","",IFERROR(INDEX(票据归类表,MATCH($H303,票据类型表,0)),"现金无票"))</f>
        <v/>
      </c>
      <c r="J303" s="25"/>
      <c r="K303" s="25"/>
      <c r="L303" s="31"/>
      <c r="M303" s="29" t="str">
        <f aca="false">IF($C303="","",YEAR($C303))</f>
        <v/>
      </c>
      <c r="N303" s="24"/>
      <c r="O303" s="35" t="str">
        <f aca="false">IF($C303="","",IF($D303="","★没选客户项目",IF(COUNTIF(合同键,$D303)=0,"★《维保合同》里没这个项目",IF(N($G303)&lt;=0,"★收款金额要填",IF($H303="","★票据类型要选",IF(AND($L303&lt;&gt;"",COUNTIF(应收单号,$L303)=0),"★关联的应收单号不存在",IF(AND($L303&lt;&gt;"",IFERROR(INDEX(应收键,MATCH($L303,应收单号,0)),"")&lt;&gt;$D303),"★关联单号不是这个客户的",IF(AND($L303&lt;&gt;"",ROUND(SUMIF(收款关联,$L303,收款金额)-IFERROR(INDEX(应收金额,MATCH($L303,应收单号,0)),0),2)&gt;0.001),"★指定冲销超过那张单的应收","OK"))))))))</f>
        <v/>
      </c>
    </row>
    <row r="304" customFormat="false" ht="15" hidden="false" customHeight="false" outlineLevel="0" collapsed="false">
      <c r="A304" s="29" t="str">
        <f aca="false">IF($C304="","",ROW()-4)</f>
        <v/>
      </c>
      <c r="B304" s="35" t="str">
        <f aca="false">IF($C304="","","SK"&amp;TEXT($C304,"yyyymm")&amp;"-"&amp;TEXT(ROW()-4,"0000"))</f>
        <v/>
      </c>
      <c r="C304" s="33"/>
      <c r="D304" s="24"/>
      <c r="E304" s="30" t="str">
        <f aca="false">IF($D304="","",IFERROR(INDEX(合同单位,MATCH($D304,合同键,0)),IFERROR(TRIM(LEFT($D304,FIND("｜",$D304)-1)),$D304)))</f>
        <v/>
      </c>
      <c r="F304" s="30" t="str">
        <f aca="false">IF($D304="","",IFERROR(INDEX(合同项目,MATCH($D304,合同键,0)),IFERROR(TRIM(MID($D304,FIND("｜",$D304)+1,99)),"")))</f>
        <v/>
      </c>
      <c r="G304" s="39"/>
      <c r="H304" s="25"/>
      <c r="I304" s="35" t="str">
        <f aca="false">IF($H304="","",IFERROR(INDEX(票据归类表,MATCH($H304,票据类型表,0)),"现金无票"))</f>
        <v/>
      </c>
      <c r="J304" s="25"/>
      <c r="K304" s="25"/>
      <c r="L304" s="31"/>
      <c r="M304" s="29" t="str">
        <f aca="false">IF($C304="","",YEAR($C304))</f>
        <v/>
      </c>
      <c r="N304" s="24"/>
      <c r="O304" s="35" t="str">
        <f aca="false">IF($C304="","",IF($D304="","★没选客户项目",IF(COUNTIF(合同键,$D304)=0,"★《维保合同》里没这个项目",IF(N($G304)&lt;=0,"★收款金额要填",IF($H304="","★票据类型要选",IF(AND($L304&lt;&gt;"",COUNTIF(应收单号,$L304)=0),"★关联的应收单号不存在",IF(AND($L304&lt;&gt;"",IFERROR(INDEX(应收键,MATCH($L304,应收单号,0)),"")&lt;&gt;$D304),"★关联单号不是这个客户的",IF(AND($L304&lt;&gt;"",ROUND(SUMIF(收款关联,$L304,收款金额)-IFERROR(INDEX(应收金额,MATCH($L304,应收单号,0)),0),2)&gt;0.001),"★指定冲销超过那张单的应收","OK"))))))))</f>
        <v/>
      </c>
    </row>
    <row r="305" customFormat="false" ht="15" hidden="false" customHeight="false" outlineLevel="0" collapsed="false">
      <c r="A305" s="29" t="str">
        <f aca="false">IF($C305="","",ROW()-4)</f>
        <v/>
      </c>
      <c r="B305" s="35" t="str">
        <f aca="false">IF($C305="","","SK"&amp;TEXT($C305,"yyyymm")&amp;"-"&amp;TEXT(ROW()-4,"0000"))</f>
        <v/>
      </c>
      <c r="C305" s="33"/>
      <c r="D305" s="24"/>
      <c r="E305" s="30" t="str">
        <f aca="false">IF($D305="","",IFERROR(INDEX(合同单位,MATCH($D305,合同键,0)),IFERROR(TRIM(LEFT($D305,FIND("｜",$D305)-1)),$D305)))</f>
        <v/>
      </c>
      <c r="F305" s="30" t="str">
        <f aca="false">IF($D305="","",IFERROR(INDEX(合同项目,MATCH($D305,合同键,0)),IFERROR(TRIM(MID($D305,FIND("｜",$D305)+1,99)),"")))</f>
        <v/>
      </c>
      <c r="G305" s="39"/>
      <c r="H305" s="25"/>
      <c r="I305" s="35" t="str">
        <f aca="false">IF($H305="","",IFERROR(INDEX(票据归类表,MATCH($H305,票据类型表,0)),"现金无票"))</f>
        <v/>
      </c>
      <c r="J305" s="25"/>
      <c r="K305" s="25"/>
      <c r="L305" s="31"/>
      <c r="M305" s="29" t="str">
        <f aca="false">IF($C305="","",YEAR($C305))</f>
        <v/>
      </c>
      <c r="N305" s="24"/>
      <c r="O305" s="35" t="str">
        <f aca="false">IF($C305="","",IF($D305="","★没选客户项目",IF(COUNTIF(合同键,$D305)=0,"★《维保合同》里没这个项目",IF(N($G305)&lt;=0,"★收款金额要填",IF($H305="","★票据类型要选",IF(AND($L305&lt;&gt;"",COUNTIF(应收单号,$L305)=0),"★关联的应收单号不存在",IF(AND($L305&lt;&gt;"",IFERROR(INDEX(应收键,MATCH($L305,应收单号,0)),"")&lt;&gt;$D305),"★关联单号不是这个客户的",IF(AND($L305&lt;&gt;"",ROUND(SUMIF(收款关联,$L305,收款金额)-IFERROR(INDEX(应收金额,MATCH($L305,应收单号,0)),0),2)&gt;0.001),"★指定冲销超过那张单的应收","OK"))))))))</f>
        <v/>
      </c>
    </row>
    <row r="306" customFormat="false" ht="15" hidden="false" customHeight="false" outlineLevel="0" collapsed="false">
      <c r="A306" s="29" t="str">
        <f aca="false">IF($C306="","",ROW()-4)</f>
        <v/>
      </c>
      <c r="B306" s="35" t="str">
        <f aca="false">IF($C306="","","SK"&amp;TEXT($C306,"yyyymm")&amp;"-"&amp;TEXT(ROW()-4,"0000"))</f>
        <v/>
      </c>
      <c r="C306" s="33"/>
      <c r="D306" s="24"/>
      <c r="E306" s="30" t="str">
        <f aca="false">IF($D306="","",IFERROR(INDEX(合同单位,MATCH($D306,合同键,0)),IFERROR(TRIM(LEFT($D306,FIND("｜",$D306)-1)),$D306)))</f>
        <v/>
      </c>
      <c r="F306" s="30" t="str">
        <f aca="false">IF($D306="","",IFERROR(INDEX(合同项目,MATCH($D306,合同键,0)),IFERROR(TRIM(MID($D306,FIND("｜",$D306)+1,99)),"")))</f>
        <v/>
      </c>
      <c r="G306" s="39"/>
      <c r="H306" s="25"/>
      <c r="I306" s="35" t="str">
        <f aca="false">IF($H306="","",IFERROR(INDEX(票据归类表,MATCH($H306,票据类型表,0)),"现金无票"))</f>
        <v/>
      </c>
      <c r="J306" s="25"/>
      <c r="K306" s="25"/>
      <c r="L306" s="31"/>
      <c r="M306" s="29" t="str">
        <f aca="false">IF($C306="","",YEAR($C306))</f>
        <v/>
      </c>
      <c r="N306" s="24"/>
      <c r="O306" s="35" t="str">
        <f aca="false">IF($C306="","",IF($D306="","★没选客户项目",IF(COUNTIF(合同键,$D306)=0,"★《维保合同》里没这个项目",IF(N($G306)&lt;=0,"★收款金额要填",IF($H306="","★票据类型要选",IF(AND($L306&lt;&gt;"",COUNTIF(应收单号,$L306)=0),"★关联的应收单号不存在",IF(AND($L306&lt;&gt;"",IFERROR(INDEX(应收键,MATCH($L306,应收单号,0)),"")&lt;&gt;$D306),"★关联单号不是这个客户的",IF(AND($L306&lt;&gt;"",ROUND(SUMIF(收款关联,$L306,收款金额)-IFERROR(INDEX(应收金额,MATCH($L306,应收单号,0)),0),2)&gt;0.001),"★指定冲销超过那张单的应收","OK"))))))))</f>
        <v/>
      </c>
    </row>
    <row r="307" customFormat="false" ht="15" hidden="false" customHeight="false" outlineLevel="0" collapsed="false">
      <c r="A307" s="29" t="str">
        <f aca="false">IF($C307="","",ROW()-4)</f>
        <v/>
      </c>
      <c r="B307" s="35" t="str">
        <f aca="false">IF($C307="","","SK"&amp;TEXT($C307,"yyyymm")&amp;"-"&amp;TEXT(ROW()-4,"0000"))</f>
        <v/>
      </c>
      <c r="C307" s="33"/>
      <c r="D307" s="24"/>
      <c r="E307" s="30" t="str">
        <f aca="false">IF($D307="","",IFERROR(INDEX(合同单位,MATCH($D307,合同键,0)),IFERROR(TRIM(LEFT($D307,FIND("｜",$D307)-1)),$D307)))</f>
        <v/>
      </c>
      <c r="F307" s="30" t="str">
        <f aca="false">IF($D307="","",IFERROR(INDEX(合同项目,MATCH($D307,合同键,0)),IFERROR(TRIM(MID($D307,FIND("｜",$D307)+1,99)),"")))</f>
        <v/>
      </c>
      <c r="G307" s="39"/>
      <c r="H307" s="25"/>
      <c r="I307" s="35" t="str">
        <f aca="false">IF($H307="","",IFERROR(INDEX(票据归类表,MATCH($H307,票据类型表,0)),"现金无票"))</f>
        <v/>
      </c>
      <c r="J307" s="25"/>
      <c r="K307" s="25"/>
      <c r="L307" s="31"/>
      <c r="M307" s="29" t="str">
        <f aca="false">IF($C307="","",YEAR($C307))</f>
        <v/>
      </c>
      <c r="N307" s="24"/>
      <c r="O307" s="35" t="str">
        <f aca="false">IF($C307="","",IF($D307="","★没选客户项目",IF(COUNTIF(合同键,$D307)=0,"★《维保合同》里没这个项目",IF(N($G307)&lt;=0,"★收款金额要填",IF($H307="","★票据类型要选",IF(AND($L307&lt;&gt;"",COUNTIF(应收单号,$L307)=0),"★关联的应收单号不存在",IF(AND($L307&lt;&gt;"",IFERROR(INDEX(应收键,MATCH($L307,应收单号,0)),"")&lt;&gt;$D307),"★关联单号不是这个客户的",IF(AND($L307&lt;&gt;"",ROUND(SUMIF(收款关联,$L307,收款金额)-IFERROR(INDEX(应收金额,MATCH($L307,应收单号,0)),0),2)&gt;0.001),"★指定冲销超过那张单的应收","OK"))))))))</f>
        <v/>
      </c>
    </row>
    <row r="308" customFormat="false" ht="15" hidden="false" customHeight="false" outlineLevel="0" collapsed="false">
      <c r="A308" s="29" t="str">
        <f aca="false">IF($C308="","",ROW()-4)</f>
        <v/>
      </c>
      <c r="B308" s="35" t="str">
        <f aca="false">IF($C308="","","SK"&amp;TEXT($C308,"yyyymm")&amp;"-"&amp;TEXT(ROW()-4,"0000"))</f>
        <v/>
      </c>
      <c r="C308" s="33"/>
      <c r="D308" s="24"/>
      <c r="E308" s="30" t="str">
        <f aca="false">IF($D308="","",IFERROR(INDEX(合同单位,MATCH($D308,合同键,0)),IFERROR(TRIM(LEFT($D308,FIND("｜",$D308)-1)),$D308)))</f>
        <v/>
      </c>
      <c r="F308" s="30" t="str">
        <f aca="false">IF($D308="","",IFERROR(INDEX(合同项目,MATCH($D308,合同键,0)),IFERROR(TRIM(MID($D308,FIND("｜",$D308)+1,99)),"")))</f>
        <v/>
      </c>
      <c r="G308" s="39"/>
      <c r="H308" s="25"/>
      <c r="I308" s="35" t="str">
        <f aca="false">IF($H308="","",IFERROR(INDEX(票据归类表,MATCH($H308,票据类型表,0)),"现金无票"))</f>
        <v/>
      </c>
      <c r="J308" s="25"/>
      <c r="K308" s="25"/>
      <c r="L308" s="31"/>
      <c r="M308" s="29" t="str">
        <f aca="false">IF($C308="","",YEAR($C308))</f>
        <v/>
      </c>
      <c r="N308" s="24"/>
      <c r="O308" s="35" t="str">
        <f aca="false">IF($C308="","",IF($D308="","★没选客户项目",IF(COUNTIF(合同键,$D308)=0,"★《维保合同》里没这个项目",IF(N($G308)&lt;=0,"★收款金额要填",IF($H308="","★票据类型要选",IF(AND($L308&lt;&gt;"",COUNTIF(应收单号,$L308)=0),"★关联的应收单号不存在",IF(AND($L308&lt;&gt;"",IFERROR(INDEX(应收键,MATCH($L308,应收单号,0)),"")&lt;&gt;$D308),"★关联单号不是这个客户的",IF(AND($L308&lt;&gt;"",ROUND(SUMIF(收款关联,$L308,收款金额)-IFERROR(INDEX(应收金额,MATCH($L308,应收单号,0)),0),2)&gt;0.001),"★指定冲销超过那张单的应收","OK"))))))))</f>
        <v/>
      </c>
    </row>
    <row r="309" customFormat="false" ht="15" hidden="false" customHeight="false" outlineLevel="0" collapsed="false">
      <c r="A309" s="29" t="str">
        <f aca="false">IF($C309="","",ROW()-4)</f>
        <v/>
      </c>
      <c r="B309" s="35" t="str">
        <f aca="false">IF($C309="","","SK"&amp;TEXT($C309,"yyyymm")&amp;"-"&amp;TEXT(ROW()-4,"0000"))</f>
        <v/>
      </c>
      <c r="C309" s="33"/>
      <c r="D309" s="24"/>
      <c r="E309" s="30" t="str">
        <f aca="false">IF($D309="","",IFERROR(INDEX(合同单位,MATCH($D309,合同键,0)),IFERROR(TRIM(LEFT($D309,FIND("｜",$D309)-1)),$D309)))</f>
        <v/>
      </c>
      <c r="F309" s="30" t="str">
        <f aca="false">IF($D309="","",IFERROR(INDEX(合同项目,MATCH($D309,合同键,0)),IFERROR(TRIM(MID($D309,FIND("｜",$D309)+1,99)),"")))</f>
        <v/>
      </c>
      <c r="G309" s="39"/>
      <c r="H309" s="25"/>
      <c r="I309" s="35" t="str">
        <f aca="false">IF($H309="","",IFERROR(INDEX(票据归类表,MATCH($H309,票据类型表,0)),"现金无票"))</f>
        <v/>
      </c>
      <c r="J309" s="25"/>
      <c r="K309" s="25"/>
      <c r="L309" s="31"/>
      <c r="M309" s="29" t="str">
        <f aca="false">IF($C309="","",YEAR($C309))</f>
        <v/>
      </c>
      <c r="N309" s="24"/>
      <c r="O309" s="35" t="str">
        <f aca="false">IF($C309="","",IF($D309="","★没选客户项目",IF(COUNTIF(合同键,$D309)=0,"★《维保合同》里没这个项目",IF(N($G309)&lt;=0,"★收款金额要填",IF($H309="","★票据类型要选",IF(AND($L309&lt;&gt;"",COUNTIF(应收单号,$L309)=0),"★关联的应收单号不存在",IF(AND($L309&lt;&gt;"",IFERROR(INDEX(应收键,MATCH($L309,应收单号,0)),"")&lt;&gt;$D309),"★关联单号不是这个客户的",IF(AND($L309&lt;&gt;"",ROUND(SUMIF(收款关联,$L309,收款金额)-IFERROR(INDEX(应收金额,MATCH($L309,应收单号,0)),0),2)&gt;0.001),"★指定冲销超过那张单的应收","OK"))))))))</f>
        <v/>
      </c>
    </row>
    <row r="310" customFormat="false" ht="15" hidden="false" customHeight="false" outlineLevel="0" collapsed="false">
      <c r="A310" s="29" t="str">
        <f aca="false">IF($C310="","",ROW()-4)</f>
        <v/>
      </c>
      <c r="B310" s="35" t="str">
        <f aca="false">IF($C310="","","SK"&amp;TEXT($C310,"yyyymm")&amp;"-"&amp;TEXT(ROW()-4,"0000"))</f>
        <v/>
      </c>
      <c r="C310" s="33"/>
      <c r="D310" s="24"/>
      <c r="E310" s="30" t="str">
        <f aca="false">IF($D310="","",IFERROR(INDEX(合同单位,MATCH($D310,合同键,0)),IFERROR(TRIM(LEFT($D310,FIND("｜",$D310)-1)),$D310)))</f>
        <v/>
      </c>
      <c r="F310" s="30" t="str">
        <f aca="false">IF($D310="","",IFERROR(INDEX(合同项目,MATCH($D310,合同键,0)),IFERROR(TRIM(MID($D310,FIND("｜",$D310)+1,99)),"")))</f>
        <v/>
      </c>
      <c r="G310" s="39"/>
      <c r="H310" s="25"/>
      <c r="I310" s="35" t="str">
        <f aca="false">IF($H310="","",IFERROR(INDEX(票据归类表,MATCH($H310,票据类型表,0)),"现金无票"))</f>
        <v/>
      </c>
      <c r="J310" s="25"/>
      <c r="K310" s="25"/>
      <c r="L310" s="31"/>
      <c r="M310" s="29" t="str">
        <f aca="false">IF($C310="","",YEAR($C310))</f>
        <v/>
      </c>
      <c r="N310" s="24"/>
      <c r="O310" s="35" t="str">
        <f aca="false">IF($C310="","",IF($D310="","★没选客户项目",IF(COUNTIF(合同键,$D310)=0,"★《维保合同》里没这个项目",IF(N($G310)&lt;=0,"★收款金额要填",IF($H310="","★票据类型要选",IF(AND($L310&lt;&gt;"",COUNTIF(应收单号,$L310)=0),"★关联的应收单号不存在",IF(AND($L310&lt;&gt;"",IFERROR(INDEX(应收键,MATCH($L310,应收单号,0)),"")&lt;&gt;$D310),"★关联单号不是这个客户的",IF(AND($L310&lt;&gt;"",ROUND(SUMIF(收款关联,$L310,收款金额)-IFERROR(INDEX(应收金额,MATCH($L310,应收单号,0)),0),2)&gt;0.001),"★指定冲销超过那张单的应收","OK"))))))))</f>
        <v/>
      </c>
    </row>
    <row r="311" customFormat="false" ht="15" hidden="false" customHeight="false" outlineLevel="0" collapsed="false">
      <c r="A311" s="29" t="str">
        <f aca="false">IF($C311="","",ROW()-4)</f>
        <v/>
      </c>
      <c r="B311" s="35" t="str">
        <f aca="false">IF($C311="","","SK"&amp;TEXT($C311,"yyyymm")&amp;"-"&amp;TEXT(ROW()-4,"0000"))</f>
        <v/>
      </c>
      <c r="C311" s="33"/>
      <c r="D311" s="24"/>
      <c r="E311" s="30" t="str">
        <f aca="false">IF($D311="","",IFERROR(INDEX(合同单位,MATCH($D311,合同键,0)),IFERROR(TRIM(LEFT($D311,FIND("｜",$D311)-1)),$D311)))</f>
        <v/>
      </c>
      <c r="F311" s="30" t="str">
        <f aca="false">IF($D311="","",IFERROR(INDEX(合同项目,MATCH($D311,合同键,0)),IFERROR(TRIM(MID($D311,FIND("｜",$D311)+1,99)),"")))</f>
        <v/>
      </c>
      <c r="G311" s="39"/>
      <c r="H311" s="25"/>
      <c r="I311" s="35" t="str">
        <f aca="false">IF($H311="","",IFERROR(INDEX(票据归类表,MATCH($H311,票据类型表,0)),"现金无票"))</f>
        <v/>
      </c>
      <c r="J311" s="25"/>
      <c r="K311" s="25"/>
      <c r="L311" s="31"/>
      <c r="M311" s="29" t="str">
        <f aca="false">IF($C311="","",YEAR($C311))</f>
        <v/>
      </c>
      <c r="N311" s="24"/>
      <c r="O311" s="35" t="str">
        <f aca="false">IF($C311="","",IF($D311="","★没选客户项目",IF(COUNTIF(合同键,$D311)=0,"★《维保合同》里没这个项目",IF(N($G311)&lt;=0,"★收款金额要填",IF($H311="","★票据类型要选",IF(AND($L311&lt;&gt;"",COUNTIF(应收单号,$L311)=0),"★关联的应收单号不存在",IF(AND($L311&lt;&gt;"",IFERROR(INDEX(应收键,MATCH($L311,应收单号,0)),"")&lt;&gt;$D311),"★关联单号不是这个客户的",IF(AND($L311&lt;&gt;"",ROUND(SUMIF(收款关联,$L311,收款金额)-IFERROR(INDEX(应收金额,MATCH($L311,应收单号,0)),0),2)&gt;0.001),"★指定冲销超过那张单的应收","OK"))))))))</f>
        <v/>
      </c>
    </row>
    <row r="312" customFormat="false" ht="15" hidden="false" customHeight="false" outlineLevel="0" collapsed="false">
      <c r="A312" s="29" t="str">
        <f aca="false">IF($C312="","",ROW()-4)</f>
        <v/>
      </c>
      <c r="B312" s="35" t="str">
        <f aca="false">IF($C312="","","SK"&amp;TEXT($C312,"yyyymm")&amp;"-"&amp;TEXT(ROW()-4,"0000"))</f>
        <v/>
      </c>
      <c r="C312" s="33"/>
      <c r="D312" s="24"/>
      <c r="E312" s="30" t="str">
        <f aca="false">IF($D312="","",IFERROR(INDEX(合同单位,MATCH($D312,合同键,0)),IFERROR(TRIM(LEFT($D312,FIND("｜",$D312)-1)),$D312)))</f>
        <v/>
      </c>
      <c r="F312" s="30" t="str">
        <f aca="false">IF($D312="","",IFERROR(INDEX(合同项目,MATCH($D312,合同键,0)),IFERROR(TRIM(MID($D312,FIND("｜",$D312)+1,99)),"")))</f>
        <v/>
      </c>
      <c r="G312" s="39"/>
      <c r="H312" s="25"/>
      <c r="I312" s="35" t="str">
        <f aca="false">IF($H312="","",IFERROR(INDEX(票据归类表,MATCH($H312,票据类型表,0)),"现金无票"))</f>
        <v/>
      </c>
      <c r="J312" s="25"/>
      <c r="K312" s="25"/>
      <c r="L312" s="31"/>
      <c r="M312" s="29" t="str">
        <f aca="false">IF($C312="","",YEAR($C312))</f>
        <v/>
      </c>
      <c r="N312" s="24"/>
      <c r="O312" s="35" t="str">
        <f aca="false">IF($C312="","",IF($D312="","★没选客户项目",IF(COUNTIF(合同键,$D312)=0,"★《维保合同》里没这个项目",IF(N($G312)&lt;=0,"★收款金额要填",IF($H312="","★票据类型要选",IF(AND($L312&lt;&gt;"",COUNTIF(应收单号,$L312)=0),"★关联的应收单号不存在",IF(AND($L312&lt;&gt;"",IFERROR(INDEX(应收键,MATCH($L312,应收单号,0)),"")&lt;&gt;$D312),"★关联单号不是这个客户的",IF(AND($L312&lt;&gt;"",ROUND(SUMIF(收款关联,$L312,收款金额)-IFERROR(INDEX(应收金额,MATCH($L312,应收单号,0)),0),2)&gt;0.001),"★指定冲销超过那张单的应收","OK"))))))))</f>
        <v/>
      </c>
    </row>
    <row r="313" customFormat="false" ht="15" hidden="false" customHeight="false" outlineLevel="0" collapsed="false">
      <c r="A313" s="29" t="str">
        <f aca="false">IF($C313="","",ROW()-4)</f>
        <v/>
      </c>
      <c r="B313" s="35" t="str">
        <f aca="false">IF($C313="","","SK"&amp;TEXT($C313,"yyyymm")&amp;"-"&amp;TEXT(ROW()-4,"0000"))</f>
        <v/>
      </c>
      <c r="C313" s="33"/>
      <c r="D313" s="24"/>
      <c r="E313" s="30" t="str">
        <f aca="false">IF($D313="","",IFERROR(INDEX(合同单位,MATCH($D313,合同键,0)),IFERROR(TRIM(LEFT($D313,FIND("｜",$D313)-1)),$D313)))</f>
        <v/>
      </c>
      <c r="F313" s="30" t="str">
        <f aca="false">IF($D313="","",IFERROR(INDEX(合同项目,MATCH($D313,合同键,0)),IFERROR(TRIM(MID($D313,FIND("｜",$D313)+1,99)),"")))</f>
        <v/>
      </c>
      <c r="G313" s="39"/>
      <c r="H313" s="25"/>
      <c r="I313" s="35" t="str">
        <f aca="false">IF($H313="","",IFERROR(INDEX(票据归类表,MATCH($H313,票据类型表,0)),"现金无票"))</f>
        <v/>
      </c>
      <c r="J313" s="25"/>
      <c r="K313" s="25"/>
      <c r="L313" s="31"/>
      <c r="M313" s="29" t="str">
        <f aca="false">IF($C313="","",YEAR($C313))</f>
        <v/>
      </c>
      <c r="N313" s="24"/>
      <c r="O313" s="35" t="str">
        <f aca="false">IF($C313="","",IF($D313="","★没选客户项目",IF(COUNTIF(合同键,$D313)=0,"★《维保合同》里没这个项目",IF(N($G313)&lt;=0,"★收款金额要填",IF($H313="","★票据类型要选",IF(AND($L313&lt;&gt;"",COUNTIF(应收单号,$L313)=0),"★关联的应收单号不存在",IF(AND($L313&lt;&gt;"",IFERROR(INDEX(应收键,MATCH($L313,应收单号,0)),"")&lt;&gt;$D313),"★关联单号不是这个客户的",IF(AND($L313&lt;&gt;"",ROUND(SUMIF(收款关联,$L313,收款金额)-IFERROR(INDEX(应收金额,MATCH($L313,应收单号,0)),0),2)&gt;0.001),"★指定冲销超过那张单的应收","OK"))))))))</f>
        <v/>
      </c>
    </row>
    <row r="314" customFormat="false" ht="15" hidden="false" customHeight="false" outlineLevel="0" collapsed="false">
      <c r="A314" s="29" t="str">
        <f aca="false">IF($C314="","",ROW()-4)</f>
        <v/>
      </c>
      <c r="B314" s="35" t="str">
        <f aca="false">IF($C314="","","SK"&amp;TEXT($C314,"yyyymm")&amp;"-"&amp;TEXT(ROW()-4,"0000"))</f>
        <v/>
      </c>
      <c r="C314" s="33"/>
      <c r="D314" s="24"/>
      <c r="E314" s="30" t="str">
        <f aca="false">IF($D314="","",IFERROR(INDEX(合同单位,MATCH($D314,合同键,0)),IFERROR(TRIM(LEFT($D314,FIND("｜",$D314)-1)),$D314)))</f>
        <v/>
      </c>
      <c r="F314" s="30" t="str">
        <f aca="false">IF($D314="","",IFERROR(INDEX(合同项目,MATCH($D314,合同键,0)),IFERROR(TRIM(MID($D314,FIND("｜",$D314)+1,99)),"")))</f>
        <v/>
      </c>
      <c r="G314" s="39"/>
      <c r="H314" s="25"/>
      <c r="I314" s="35" t="str">
        <f aca="false">IF($H314="","",IFERROR(INDEX(票据归类表,MATCH($H314,票据类型表,0)),"现金无票"))</f>
        <v/>
      </c>
      <c r="J314" s="25"/>
      <c r="K314" s="25"/>
      <c r="L314" s="31"/>
      <c r="M314" s="29" t="str">
        <f aca="false">IF($C314="","",YEAR($C314))</f>
        <v/>
      </c>
      <c r="N314" s="24"/>
      <c r="O314" s="35" t="str">
        <f aca="false">IF($C314="","",IF($D314="","★没选客户项目",IF(COUNTIF(合同键,$D314)=0,"★《维保合同》里没这个项目",IF(N($G314)&lt;=0,"★收款金额要填",IF($H314="","★票据类型要选",IF(AND($L314&lt;&gt;"",COUNTIF(应收单号,$L314)=0),"★关联的应收单号不存在",IF(AND($L314&lt;&gt;"",IFERROR(INDEX(应收键,MATCH($L314,应收单号,0)),"")&lt;&gt;$D314),"★关联单号不是这个客户的",IF(AND($L314&lt;&gt;"",ROUND(SUMIF(收款关联,$L314,收款金额)-IFERROR(INDEX(应收金额,MATCH($L314,应收单号,0)),0),2)&gt;0.001),"★指定冲销超过那张单的应收","OK"))))))))</f>
        <v/>
      </c>
    </row>
    <row r="315" customFormat="false" ht="15" hidden="false" customHeight="false" outlineLevel="0" collapsed="false">
      <c r="A315" s="29" t="str">
        <f aca="false">IF($C315="","",ROW()-4)</f>
        <v/>
      </c>
      <c r="B315" s="35" t="str">
        <f aca="false">IF($C315="","","SK"&amp;TEXT($C315,"yyyymm")&amp;"-"&amp;TEXT(ROW()-4,"0000"))</f>
        <v/>
      </c>
      <c r="C315" s="33"/>
      <c r="D315" s="24"/>
      <c r="E315" s="30" t="str">
        <f aca="false">IF($D315="","",IFERROR(INDEX(合同单位,MATCH($D315,合同键,0)),IFERROR(TRIM(LEFT($D315,FIND("｜",$D315)-1)),$D315)))</f>
        <v/>
      </c>
      <c r="F315" s="30" t="str">
        <f aca="false">IF($D315="","",IFERROR(INDEX(合同项目,MATCH($D315,合同键,0)),IFERROR(TRIM(MID($D315,FIND("｜",$D315)+1,99)),"")))</f>
        <v/>
      </c>
      <c r="G315" s="39"/>
      <c r="H315" s="25"/>
      <c r="I315" s="35" t="str">
        <f aca="false">IF($H315="","",IFERROR(INDEX(票据归类表,MATCH($H315,票据类型表,0)),"现金无票"))</f>
        <v/>
      </c>
      <c r="J315" s="25"/>
      <c r="K315" s="25"/>
      <c r="L315" s="31"/>
      <c r="M315" s="29" t="str">
        <f aca="false">IF($C315="","",YEAR($C315))</f>
        <v/>
      </c>
      <c r="N315" s="24"/>
      <c r="O315" s="35" t="str">
        <f aca="false">IF($C315="","",IF($D315="","★没选客户项目",IF(COUNTIF(合同键,$D315)=0,"★《维保合同》里没这个项目",IF(N($G315)&lt;=0,"★收款金额要填",IF($H315="","★票据类型要选",IF(AND($L315&lt;&gt;"",COUNTIF(应收单号,$L315)=0),"★关联的应收单号不存在",IF(AND($L315&lt;&gt;"",IFERROR(INDEX(应收键,MATCH($L315,应收单号,0)),"")&lt;&gt;$D315),"★关联单号不是这个客户的",IF(AND($L315&lt;&gt;"",ROUND(SUMIF(收款关联,$L315,收款金额)-IFERROR(INDEX(应收金额,MATCH($L315,应收单号,0)),0),2)&gt;0.001),"★指定冲销超过那张单的应收","OK"))))))))</f>
        <v/>
      </c>
    </row>
    <row r="316" customFormat="false" ht="15" hidden="false" customHeight="false" outlineLevel="0" collapsed="false">
      <c r="A316" s="29" t="str">
        <f aca="false">IF($C316="","",ROW()-4)</f>
        <v/>
      </c>
      <c r="B316" s="35" t="str">
        <f aca="false">IF($C316="","","SK"&amp;TEXT($C316,"yyyymm")&amp;"-"&amp;TEXT(ROW()-4,"0000"))</f>
        <v/>
      </c>
      <c r="C316" s="33"/>
      <c r="D316" s="24"/>
      <c r="E316" s="30" t="str">
        <f aca="false">IF($D316="","",IFERROR(INDEX(合同单位,MATCH($D316,合同键,0)),IFERROR(TRIM(LEFT($D316,FIND("｜",$D316)-1)),$D316)))</f>
        <v/>
      </c>
      <c r="F316" s="30" t="str">
        <f aca="false">IF($D316="","",IFERROR(INDEX(合同项目,MATCH($D316,合同键,0)),IFERROR(TRIM(MID($D316,FIND("｜",$D316)+1,99)),"")))</f>
        <v/>
      </c>
      <c r="G316" s="39"/>
      <c r="H316" s="25"/>
      <c r="I316" s="35" t="str">
        <f aca="false">IF($H316="","",IFERROR(INDEX(票据归类表,MATCH($H316,票据类型表,0)),"现金无票"))</f>
        <v/>
      </c>
      <c r="J316" s="25"/>
      <c r="K316" s="25"/>
      <c r="L316" s="31"/>
      <c r="M316" s="29" t="str">
        <f aca="false">IF($C316="","",YEAR($C316))</f>
        <v/>
      </c>
      <c r="N316" s="24"/>
      <c r="O316" s="35" t="str">
        <f aca="false">IF($C316="","",IF($D316="","★没选客户项目",IF(COUNTIF(合同键,$D316)=0,"★《维保合同》里没这个项目",IF(N($G316)&lt;=0,"★收款金额要填",IF($H316="","★票据类型要选",IF(AND($L316&lt;&gt;"",COUNTIF(应收单号,$L316)=0),"★关联的应收单号不存在",IF(AND($L316&lt;&gt;"",IFERROR(INDEX(应收键,MATCH($L316,应收单号,0)),"")&lt;&gt;$D316),"★关联单号不是这个客户的",IF(AND($L316&lt;&gt;"",ROUND(SUMIF(收款关联,$L316,收款金额)-IFERROR(INDEX(应收金额,MATCH($L316,应收单号,0)),0),2)&gt;0.001),"★指定冲销超过那张单的应收","OK"))))))))</f>
        <v/>
      </c>
    </row>
    <row r="317" customFormat="false" ht="15" hidden="false" customHeight="false" outlineLevel="0" collapsed="false">
      <c r="A317" s="29" t="str">
        <f aca="false">IF($C317="","",ROW()-4)</f>
        <v/>
      </c>
      <c r="B317" s="35" t="str">
        <f aca="false">IF($C317="","","SK"&amp;TEXT($C317,"yyyymm")&amp;"-"&amp;TEXT(ROW()-4,"0000"))</f>
        <v/>
      </c>
      <c r="C317" s="33"/>
      <c r="D317" s="24"/>
      <c r="E317" s="30" t="str">
        <f aca="false">IF($D317="","",IFERROR(INDEX(合同单位,MATCH($D317,合同键,0)),IFERROR(TRIM(LEFT($D317,FIND("｜",$D317)-1)),$D317)))</f>
        <v/>
      </c>
      <c r="F317" s="30" t="str">
        <f aca="false">IF($D317="","",IFERROR(INDEX(合同项目,MATCH($D317,合同键,0)),IFERROR(TRIM(MID($D317,FIND("｜",$D317)+1,99)),"")))</f>
        <v/>
      </c>
      <c r="G317" s="39"/>
      <c r="H317" s="25"/>
      <c r="I317" s="35" t="str">
        <f aca="false">IF($H317="","",IFERROR(INDEX(票据归类表,MATCH($H317,票据类型表,0)),"现金无票"))</f>
        <v/>
      </c>
      <c r="J317" s="25"/>
      <c r="K317" s="25"/>
      <c r="L317" s="31"/>
      <c r="M317" s="29" t="str">
        <f aca="false">IF($C317="","",YEAR($C317))</f>
        <v/>
      </c>
      <c r="N317" s="24"/>
      <c r="O317" s="35" t="str">
        <f aca="false">IF($C317="","",IF($D317="","★没选客户项目",IF(COUNTIF(合同键,$D317)=0,"★《维保合同》里没这个项目",IF(N($G317)&lt;=0,"★收款金额要填",IF($H317="","★票据类型要选",IF(AND($L317&lt;&gt;"",COUNTIF(应收单号,$L317)=0),"★关联的应收单号不存在",IF(AND($L317&lt;&gt;"",IFERROR(INDEX(应收键,MATCH($L317,应收单号,0)),"")&lt;&gt;$D317),"★关联单号不是这个客户的",IF(AND($L317&lt;&gt;"",ROUND(SUMIF(收款关联,$L317,收款金额)-IFERROR(INDEX(应收金额,MATCH($L317,应收单号,0)),0),2)&gt;0.001),"★指定冲销超过那张单的应收","OK"))))))))</f>
        <v/>
      </c>
    </row>
    <row r="318" customFormat="false" ht="15" hidden="false" customHeight="false" outlineLevel="0" collapsed="false">
      <c r="A318" s="29" t="str">
        <f aca="false">IF($C318="","",ROW()-4)</f>
        <v/>
      </c>
      <c r="B318" s="35" t="str">
        <f aca="false">IF($C318="","","SK"&amp;TEXT($C318,"yyyymm")&amp;"-"&amp;TEXT(ROW()-4,"0000"))</f>
        <v/>
      </c>
      <c r="C318" s="33"/>
      <c r="D318" s="24"/>
      <c r="E318" s="30" t="str">
        <f aca="false">IF($D318="","",IFERROR(INDEX(合同单位,MATCH($D318,合同键,0)),IFERROR(TRIM(LEFT($D318,FIND("｜",$D318)-1)),$D318)))</f>
        <v/>
      </c>
      <c r="F318" s="30" t="str">
        <f aca="false">IF($D318="","",IFERROR(INDEX(合同项目,MATCH($D318,合同键,0)),IFERROR(TRIM(MID($D318,FIND("｜",$D318)+1,99)),"")))</f>
        <v/>
      </c>
      <c r="G318" s="39"/>
      <c r="H318" s="25"/>
      <c r="I318" s="35" t="str">
        <f aca="false">IF($H318="","",IFERROR(INDEX(票据归类表,MATCH($H318,票据类型表,0)),"现金无票"))</f>
        <v/>
      </c>
      <c r="J318" s="25"/>
      <c r="K318" s="25"/>
      <c r="L318" s="31"/>
      <c r="M318" s="29" t="str">
        <f aca="false">IF($C318="","",YEAR($C318))</f>
        <v/>
      </c>
      <c r="N318" s="24"/>
      <c r="O318" s="35" t="str">
        <f aca="false">IF($C318="","",IF($D318="","★没选客户项目",IF(COUNTIF(合同键,$D318)=0,"★《维保合同》里没这个项目",IF(N($G318)&lt;=0,"★收款金额要填",IF($H318="","★票据类型要选",IF(AND($L318&lt;&gt;"",COUNTIF(应收单号,$L318)=0),"★关联的应收单号不存在",IF(AND($L318&lt;&gt;"",IFERROR(INDEX(应收键,MATCH($L318,应收单号,0)),"")&lt;&gt;$D318),"★关联单号不是这个客户的",IF(AND($L318&lt;&gt;"",ROUND(SUMIF(收款关联,$L318,收款金额)-IFERROR(INDEX(应收金额,MATCH($L318,应收单号,0)),0),2)&gt;0.001),"★指定冲销超过那张单的应收","OK"))))))))</f>
        <v/>
      </c>
    </row>
    <row r="319" customFormat="false" ht="15" hidden="false" customHeight="false" outlineLevel="0" collapsed="false">
      <c r="A319" s="29" t="str">
        <f aca="false">IF($C319="","",ROW()-4)</f>
        <v/>
      </c>
      <c r="B319" s="35" t="str">
        <f aca="false">IF($C319="","","SK"&amp;TEXT($C319,"yyyymm")&amp;"-"&amp;TEXT(ROW()-4,"0000"))</f>
        <v/>
      </c>
      <c r="C319" s="33"/>
      <c r="D319" s="24"/>
      <c r="E319" s="30" t="str">
        <f aca="false">IF($D319="","",IFERROR(INDEX(合同单位,MATCH($D319,合同键,0)),IFERROR(TRIM(LEFT($D319,FIND("｜",$D319)-1)),$D319)))</f>
        <v/>
      </c>
      <c r="F319" s="30" t="str">
        <f aca="false">IF($D319="","",IFERROR(INDEX(合同项目,MATCH($D319,合同键,0)),IFERROR(TRIM(MID($D319,FIND("｜",$D319)+1,99)),"")))</f>
        <v/>
      </c>
      <c r="G319" s="39"/>
      <c r="H319" s="25"/>
      <c r="I319" s="35" t="str">
        <f aca="false">IF($H319="","",IFERROR(INDEX(票据归类表,MATCH($H319,票据类型表,0)),"现金无票"))</f>
        <v/>
      </c>
      <c r="J319" s="25"/>
      <c r="K319" s="25"/>
      <c r="L319" s="31"/>
      <c r="M319" s="29" t="str">
        <f aca="false">IF($C319="","",YEAR($C319))</f>
        <v/>
      </c>
      <c r="N319" s="24"/>
      <c r="O319" s="35" t="str">
        <f aca="false">IF($C319="","",IF($D319="","★没选客户项目",IF(COUNTIF(合同键,$D319)=0,"★《维保合同》里没这个项目",IF(N($G319)&lt;=0,"★收款金额要填",IF($H319="","★票据类型要选",IF(AND($L319&lt;&gt;"",COUNTIF(应收单号,$L319)=0),"★关联的应收单号不存在",IF(AND($L319&lt;&gt;"",IFERROR(INDEX(应收键,MATCH($L319,应收单号,0)),"")&lt;&gt;$D319),"★关联单号不是这个客户的",IF(AND($L319&lt;&gt;"",ROUND(SUMIF(收款关联,$L319,收款金额)-IFERROR(INDEX(应收金额,MATCH($L319,应收单号,0)),0),2)&gt;0.001),"★指定冲销超过那张单的应收","OK"))))))))</f>
        <v/>
      </c>
    </row>
    <row r="320" customFormat="false" ht="15" hidden="false" customHeight="false" outlineLevel="0" collapsed="false">
      <c r="A320" s="29" t="str">
        <f aca="false">IF($C320="","",ROW()-4)</f>
        <v/>
      </c>
      <c r="B320" s="35" t="str">
        <f aca="false">IF($C320="","","SK"&amp;TEXT($C320,"yyyymm")&amp;"-"&amp;TEXT(ROW()-4,"0000"))</f>
        <v/>
      </c>
      <c r="C320" s="33"/>
      <c r="D320" s="24"/>
      <c r="E320" s="30" t="str">
        <f aca="false">IF($D320="","",IFERROR(INDEX(合同单位,MATCH($D320,合同键,0)),IFERROR(TRIM(LEFT($D320,FIND("｜",$D320)-1)),$D320)))</f>
        <v/>
      </c>
      <c r="F320" s="30" t="str">
        <f aca="false">IF($D320="","",IFERROR(INDEX(合同项目,MATCH($D320,合同键,0)),IFERROR(TRIM(MID($D320,FIND("｜",$D320)+1,99)),"")))</f>
        <v/>
      </c>
      <c r="G320" s="39"/>
      <c r="H320" s="25"/>
      <c r="I320" s="35" t="str">
        <f aca="false">IF($H320="","",IFERROR(INDEX(票据归类表,MATCH($H320,票据类型表,0)),"现金无票"))</f>
        <v/>
      </c>
      <c r="J320" s="25"/>
      <c r="K320" s="25"/>
      <c r="L320" s="31"/>
      <c r="M320" s="29" t="str">
        <f aca="false">IF($C320="","",YEAR($C320))</f>
        <v/>
      </c>
      <c r="N320" s="24"/>
      <c r="O320" s="35" t="str">
        <f aca="false">IF($C320="","",IF($D320="","★没选客户项目",IF(COUNTIF(合同键,$D320)=0,"★《维保合同》里没这个项目",IF(N($G320)&lt;=0,"★收款金额要填",IF($H320="","★票据类型要选",IF(AND($L320&lt;&gt;"",COUNTIF(应收单号,$L320)=0),"★关联的应收单号不存在",IF(AND($L320&lt;&gt;"",IFERROR(INDEX(应收键,MATCH($L320,应收单号,0)),"")&lt;&gt;$D320),"★关联单号不是这个客户的",IF(AND($L320&lt;&gt;"",ROUND(SUMIF(收款关联,$L320,收款金额)-IFERROR(INDEX(应收金额,MATCH($L320,应收单号,0)),0),2)&gt;0.001),"★指定冲销超过那张单的应收","OK"))))))))</f>
        <v/>
      </c>
    </row>
    <row r="321" customFormat="false" ht="15" hidden="false" customHeight="false" outlineLevel="0" collapsed="false">
      <c r="A321" s="29" t="str">
        <f aca="false">IF($C321="","",ROW()-4)</f>
        <v/>
      </c>
      <c r="B321" s="35" t="str">
        <f aca="false">IF($C321="","","SK"&amp;TEXT($C321,"yyyymm")&amp;"-"&amp;TEXT(ROW()-4,"0000"))</f>
        <v/>
      </c>
      <c r="C321" s="33"/>
      <c r="D321" s="24"/>
      <c r="E321" s="30" t="str">
        <f aca="false">IF($D321="","",IFERROR(INDEX(合同单位,MATCH($D321,合同键,0)),IFERROR(TRIM(LEFT($D321,FIND("｜",$D321)-1)),$D321)))</f>
        <v/>
      </c>
      <c r="F321" s="30" t="str">
        <f aca="false">IF($D321="","",IFERROR(INDEX(合同项目,MATCH($D321,合同键,0)),IFERROR(TRIM(MID($D321,FIND("｜",$D321)+1,99)),"")))</f>
        <v/>
      </c>
      <c r="G321" s="39"/>
      <c r="H321" s="25"/>
      <c r="I321" s="35" t="str">
        <f aca="false">IF($H321="","",IFERROR(INDEX(票据归类表,MATCH($H321,票据类型表,0)),"现金无票"))</f>
        <v/>
      </c>
      <c r="J321" s="25"/>
      <c r="K321" s="25"/>
      <c r="L321" s="31"/>
      <c r="M321" s="29" t="str">
        <f aca="false">IF($C321="","",YEAR($C321))</f>
        <v/>
      </c>
      <c r="N321" s="24"/>
      <c r="O321" s="35" t="str">
        <f aca="false">IF($C321="","",IF($D321="","★没选客户项目",IF(COUNTIF(合同键,$D321)=0,"★《维保合同》里没这个项目",IF(N($G321)&lt;=0,"★收款金额要填",IF($H321="","★票据类型要选",IF(AND($L321&lt;&gt;"",COUNTIF(应收单号,$L321)=0),"★关联的应收单号不存在",IF(AND($L321&lt;&gt;"",IFERROR(INDEX(应收键,MATCH($L321,应收单号,0)),"")&lt;&gt;$D321),"★关联单号不是这个客户的",IF(AND($L321&lt;&gt;"",ROUND(SUMIF(收款关联,$L321,收款金额)-IFERROR(INDEX(应收金额,MATCH($L321,应收单号,0)),0),2)&gt;0.001),"★指定冲销超过那张单的应收","OK"))))))))</f>
        <v/>
      </c>
    </row>
    <row r="322" customFormat="false" ht="15" hidden="false" customHeight="false" outlineLevel="0" collapsed="false">
      <c r="A322" s="29" t="str">
        <f aca="false">IF($C322="","",ROW()-4)</f>
        <v/>
      </c>
      <c r="B322" s="35" t="str">
        <f aca="false">IF($C322="","","SK"&amp;TEXT($C322,"yyyymm")&amp;"-"&amp;TEXT(ROW()-4,"0000"))</f>
        <v/>
      </c>
      <c r="C322" s="33"/>
      <c r="D322" s="24"/>
      <c r="E322" s="30" t="str">
        <f aca="false">IF($D322="","",IFERROR(INDEX(合同单位,MATCH($D322,合同键,0)),IFERROR(TRIM(LEFT($D322,FIND("｜",$D322)-1)),$D322)))</f>
        <v/>
      </c>
      <c r="F322" s="30" t="str">
        <f aca="false">IF($D322="","",IFERROR(INDEX(合同项目,MATCH($D322,合同键,0)),IFERROR(TRIM(MID($D322,FIND("｜",$D322)+1,99)),"")))</f>
        <v/>
      </c>
      <c r="G322" s="39"/>
      <c r="H322" s="25"/>
      <c r="I322" s="35" t="str">
        <f aca="false">IF($H322="","",IFERROR(INDEX(票据归类表,MATCH($H322,票据类型表,0)),"现金无票"))</f>
        <v/>
      </c>
      <c r="J322" s="25"/>
      <c r="K322" s="25"/>
      <c r="L322" s="31"/>
      <c r="M322" s="29" t="str">
        <f aca="false">IF($C322="","",YEAR($C322))</f>
        <v/>
      </c>
      <c r="N322" s="24"/>
      <c r="O322" s="35" t="str">
        <f aca="false">IF($C322="","",IF($D322="","★没选客户项目",IF(COUNTIF(合同键,$D322)=0,"★《维保合同》里没这个项目",IF(N($G322)&lt;=0,"★收款金额要填",IF($H322="","★票据类型要选",IF(AND($L322&lt;&gt;"",COUNTIF(应收单号,$L322)=0),"★关联的应收单号不存在",IF(AND($L322&lt;&gt;"",IFERROR(INDEX(应收键,MATCH($L322,应收单号,0)),"")&lt;&gt;$D322),"★关联单号不是这个客户的",IF(AND($L322&lt;&gt;"",ROUND(SUMIF(收款关联,$L322,收款金额)-IFERROR(INDEX(应收金额,MATCH($L322,应收单号,0)),0),2)&gt;0.001),"★指定冲销超过那张单的应收","OK"))))))))</f>
        <v/>
      </c>
    </row>
    <row r="323" customFormat="false" ht="15" hidden="false" customHeight="false" outlineLevel="0" collapsed="false">
      <c r="A323" s="29" t="str">
        <f aca="false">IF($C323="","",ROW()-4)</f>
        <v/>
      </c>
      <c r="B323" s="35" t="str">
        <f aca="false">IF($C323="","","SK"&amp;TEXT($C323,"yyyymm")&amp;"-"&amp;TEXT(ROW()-4,"0000"))</f>
        <v/>
      </c>
      <c r="C323" s="33"/>
      <c r="D323" s="24"/>
      <c r="E323" s="30" t="str">
        <f aca="false">IF($D323="","",IFERROR(INDEX(合同单位,MATCH($D323,合同键,0)),IFERROR(TRIM(LEFT($D323,FIND("｜",$D323)-1)),$D323)))</f>
        <v/>
      </c>
      <c r="F323" s="30" t="str">
        <f aca="false">IF($D323="","",IFERROR(INDEX(合同项目,MATCH($D323,合同键,0)),IFERROR(TRIM(MID($D323,FIND("｜",$D323)+1,99)),"")))</f>
        <v/>
      </c>
      <c r="G323" s="39"/>
      <c r="H323" s="25"/>
      <c r="I323" s="35" t="str">
        <f aca="false">IF($H323="","",IFERROR(INDEX(票据归类表,MATCH($H323,票据类型表,0)),"现金无票"))</f>
        <v/>
      </c>
      <c r="J323" s="25"/>
      <c r="K323" s="25"/>
      <c r="L323" s="31"/>
      <c r="M323" s="29" t="str">
        <f aca="false">IF($C323="","",YEAR($C323))</f>
        <v/>
      </c>
      <c r="N323" s="24"/>
      <c r="O323" s="35" t="str">
        <f aca="false">IF($C323="","",IF($D323="","★没选客户项目",IF(COUNTIF(合同键,$D323)=0,"★《维保合同》里没这个项目",IF(N($G323)&lt;=0,"★收款金额要填",IF($H323="","★票据类型要选",IF(AND($L323&lt;&gt;"",COUNTIF(应收单号,$L323)=0),"★关联的应收单号不存在",IF(AND($L323&lt;&gt;"",IFERROR(INDEX(应收键,MATCH($L323,应收单号,0)),"")&lt;&gt;$D323),"★关联单号不是这个客户的",IF(AND($L323&lt;&gt;"",ROUND(SUMIF(收款关联,$L323,收款金额)-IFERROR(INDEX(应收金额,MATCH($L323,应收单号,0)),0),2)&gt;0.001),"★指定冲销超过那张单的应收","OK"))))))))</f>
        <v/>
      </c>
    </row>
    <row r="324" customFormat="false" ht="15" hidden="false" customHeight="false" outlineLevel="0" collapsed="false">
      <c r="A324" s="29" t="str">
        <f aca="false">IF($C324="","",ROW()-4)</f>
        <v/>
      </c>
      <c r="B324" s="35" t="str">
        <f aca="false">IF($C324="","","SK"&amp;TEXT($C324,"yyyymm")&amp;"-"&amp;TEXT(ROW()-4,"0000"))</f>
        <v/>
      </c>
      <c r="C324" s="33"/>
      <c r="D324" s="24"/>
      <c r="E324" s="30" t="str">
        <f aca="false">IF($D324="","",IFERROR(INDEX(合同单位,MATCH($D324,合同键,0)),IFERROR(TRIM(LEFT($D324,FIND("｜",$D324)-1)),$D324)))</f>
        <v/>
      </c>
      <c r="F324" s="30" t="str">
        <f aca="false">IF($D324="","",IFERROR(INDEX(合同项目,MATCH($D324,合同键,0)),IFERROR(TRIM(MID($D324,FIND("｜",$D324)+1,99)),"")))</f>
        <v/>
      </c>
      <c r="G324" s="39"/>
      <c r="H324" s="25"/>
      <c r="I324" s="35" t="str">
        <f aca="false">IF($H324="","",IFERROR(INDEX(票据归类表,MATCH($H324,票据类型表,0)),"现金无票"))</f>
        <v/>
      </c>
      <c r="J324" s="25"/>
      <c r="K324" s="25"/>
      <c r="L324" s="31"/>
      <c r="M324" s="29" t="str">
        <f aca="false">IF($C324="","",YEAR($C324))</f>
        <v/>
      </c>
      <c r="N324" s="24"/>
      <c r="O324" s="35" t="str">
        <f aca="false">IF($C324="","",IF($D324="","★没选客户项目",IF(COUNTIF(合同键,$D324)=0,"★《维保合同》里没这个项目",IF(N($G324)&lt;=0,"★收款金额要填",IF($H324="","★票据类型要选",IF(AND($L324&lt;&gt;"",COUNTIF(应收单号,$L324)=0),"★关联的应收单号不存在",IF(AND($L324&lt;&gt;"",IFERROR(INDEX(应收键,MATCH($L324,应收单号,0)),"")&lt;&gt;$D324),"★关联单号不是这个客户的",IF(AND($L324&lt;&gt;"",ROUND(SUMIF(收款关联,$L324,收款金额)-IFERROR(INDEX(应收金额,MATCH($L324,应收单号,0)),0),2)&gt;0.001),"★指定冲销超过那张单的应收","OK"))))))))</f>
        <v/>
      </c>
    </row>
    <row r="325" customFormat="false" ht="15" hidden="false" customHeight="false" outlineLevel="0" collapsed="false">
      <c r="A325" s="29" t="str">
        <f aca="false">IF($C325="","",ROW()-4)</f>
        <v/>
      </c>
      <c r="B325" s="35" t="str">
        <f aca="false">IF($C325="","","SK"&amp;TEXT($C325,"yyyymm")&amp;"-"&amp;TEXT(ROW()-4,"0000"))</f>
        <v/>
      </c>
      <c r="C325" s="33"/>
      <c r="D325" s="24"/>
      <c r="E325" s="30" t="str">
        <f aca="false">IF($D325="","",IFERROR(INDEX(合同单位,MATCH($D325,合同键,0)),IFERROR(TRIM(LEFT($D325,FIND("｜",$D325)-1)),$D325)))</f>
        <v/>
      </c>
      <c r="F325" s="30" t="str">
        <f aca="false">IF($D325="","",IFERROR(INDEX(合同项目,MATCH($D325,合同键,0)),IFERROR(TRIM(MID($D325,FIND("｜",$D325)+1,99)),"")))</f>
        <v/>
      </c>
      <c r="G325" s="39"/>
      <c r="H325" s="25"/>
      <c r="I325" s="35" t="str">
        <f aca="false">IF($H325="","",IFERROR(INDEX(票据归类表,MATCH($H325,票据类型表,0)),"现金无票"))</f>
        <v/>
      </c>
      <c r="J325" s="25"/>
      <c r="K325" s="25"/>
      <c r="L325" s="31"/>
      <c r="M325" s="29" t="str">
        <f aca="false">IF($C325="","",YEAR($C325))</f>
        <v/>
      </c>
      <c r="N325" s="24"/>
      <c r="O325" s="35" t="str">
        <f aca="false">IF($C325="","",IF($D325="","★没选客户项目",IF(COUNTIF(合同键,$D325)=0,"★《维保合同》里没这个项目",IF(N($G325)&lt;=0,"★收款金额要填",IF($H325="","★票据类型要选",IF(AND($L325&lt;&gt;"",COUNTIF(应收单号,$L325)=0),"★关联的应收单号不存在",IF(AND($L325&lt;&gt;"",IFERROR(INDEX(应收键,MATCH($L325,应收单号,0)),"")&lt;&gt;$D325),"★关联单号不是这个客户的",IF(AND($L325&lt;&gt;"",ROUND(SUMIF(收款关联,$L325,收款金额)-IFERROR(INDEX(应收金额,MATCH($L325,应收单号,0)),0),2)&gt;0.001),"★指定冲销超过那张单的应收","OK"))))))))</f>
        <v/>
      </c>
    </row>
    <row r="326" customFormat="false" ht="15" hidden="false" customHeight="false" outlineLevel="0" collapsed="false">
      <c r="A326" s="29" t="str">
        <f aca="false">IF($C326="","",ROW()-4)</f>
        <v/>
      </c>
      <c r="B326" s="35" t="str">
        <f aca="false">IF($C326="","","SK"&amp;TEXT($C326,"yyyymm")&amp;"-"&amp;TEXT(ROW()-4,"0000"))</f>
        <v/>
      </c>
      <c r="C326" s="33"/>
      <c r="D326" s="24"/>
      <c r="E326" s="30" t="str">
        <f aca="false">IF($D326="","",IFERROR(INDEX(合同单位,MATCH($D326,合同键,0)),IFERROR(TRIM(LEFT($D326,FIND("｜",$D326)-1)),$D326)))</f>
        <v/>
      </c>
      <c r="F326" s="30" t="str">
        <f aca="false">IF($D326="","",IFERROR(INDEX(合同项目,MATCH($D326,合同键,0)),IFERROR(TRIM(MID($D326,FIND("｜",$D326)+1,99)),"")))</f>
        <v/>
      </c>
      <c r="G326" s="39"/>
      <c r="H326" s="25"/>
      <c r="I326" s="35" t="str">
        <f aca="false">IF($H326="","",IFERROR(INDEX(票据归类表,MATCH($H326,票据类型表,0)),"现金无票"))</f>
        <v/>
      </c>
      <c r="J326" s="25"/>
      <c r="K326" s="25"/>
      <c r="L326" s="31"/>
      <c r="M326" s="29" t="str">
        <f aca="false">IF($C326="","",YEAR($C326))</f>
        <v/>
      </c>
      <c r="N326" s="24"/>
      <c r="O326" s="35" t="str">
        <f aca="false">IF($C326="","",IF($D326="","★没选客户项目",IF(COUNTIF(合同键,$D326)=0,"★《维保合同》里没这个项目",IF(N($G326)&lt;=0,"★收款金额要填",IF($H326="","★票据类型要选",IF(AND($L326&lt;&gt;"",COUNTIF(应收单号,$L326)=0),"★关联的应收单号不存在",IF(AND($L326&lt;&gt;"",IFERROR(INDEX(应收键,MATCH($L326,应收单号,0)),"")&lt;&gt;$D326),"★关联单号不是这个客户的",IF(AND($L326&lt;&gt;"",ROUND(SUMIF(收款关联,$L326,收款金额)-IFERROR(INDEX(应收金额,MATCH($L326,应收单号,0)),0),2)&gt;0.001),"★指定冲销超过那张单的应收","OK"))))))))</f>
        <v/>
      </c>
    </row>
    <row r="327" customFormat="false" ht="15" hidden="false" customHeight="false" outlineLevel="0" collapsed="false">
      <c r="A327" s="29" t="str">
        <f aca="false">IF($C327="","",ROW()-4)</f>
        <v/>
      </c>
      <c r="B327" s="35" t="str">
        <f aca="false">IF($C327="","","SK"&amp;TEXT($C327,"yyyymm")&amp;"-"&amp;TEXT(ROW()-4,"0000"))</f>
        <v/>
      </c>
      <c r="C327" s="33"/>
      <c r="D327" s="24"/>
      <c r="E327" s="30" t="str">
        <f aca="false">IF($D327="","",IFERROR(INDEX(合同单位,MATCH($D327,合同键,0)),IFERROR(TRIM(LEFT($D327,FIND("｜",$D327)-1)),$D327)))</f>
        <v/>
      </c>
      <c r="F327" s="30" t="str">
        <f aca="false">IF($D327="","",IFERROR(INDEX(合同项目,MATCH($D327,合同键,0)),IFERROR(TRIM(MID($D327,FIND("｜",$D327)+1,99)),"")))</f>
        <v/>
      </c>
      <c r="G327" s="39"/>
      <c r="H327" s="25"/>
      <c r="I327" s="35" t="str">
        <f aca="false">IF($H327="","",IFERROR(INDEX(票据归类表,MATCH($H327,票据类型表,0)),"现金无票"))</f>
        <v/>
      </c>
      <c r="J327" s="25"/>
      <c r="K327" s="25"/>
      <c r="L327" s="31"/>
      <c r="M327" s="29" t="str">
        <f aca="false">IF($C327="","",YEAR($C327))</f>
        <v/>
      </c>
      <c r="N327" s="24"/>
      <c r="O327" s="35" t="str">
        <f aca="false">IF($C327="","",IF($D327="","★没选客户项目",IF(COUNTIF(合同键,$D327)=0,"★《维保合同》里没这个项目",IF(N($G327)&lt;=0,"★收款金额要填",IF($H327="","★票据类型要选",IF(AND($L327&lt;&gt;"",COUNTIF(应收单号,$L327)=0),"★关联的应收单号不存在",IF(AND($L327&lt;&gt;"",IFERROR(INDEX(应收键,MATCH($L327,应收单号,0)),"")&lt;&gt;$D327),"★关联单号不是这个客户的",IF(AND($L327&lt;&gt;"",ROUND(SUMIF(收款关联,$L327,收款金额)-IFERROR(INDEX(应收金额,MATCH($L327,应收单号,0)),0),2)&gt;0.001),"★指定冲销超过那张单的应收","OK"))))))))</f>
        <v/>
      </c>
    </row>
    <row r="328" customFormat="false" ht="15" hidden="false" customHeight="false" outlineLevel="0" collapsed="false">
      <c r="A328" s="29" t="str">
        <f aca="false">IF($C328="","",ROW()-4)</f>
        <v/>
      </c>
      <c r="B328" s="35" t="str">
        <f aca="false">IF($C328="","","SK"&amp;TEXT($C328,"yyyymm")&amp;"-"&amp;TEXT(ROW()-4,"0000"))</f>
        <v/>
      </c>
      <c r="C328" s="33"/>
      <c r="D328" s="24"/>
      <c r="E328" s="30" t="str">
        <f aca="false">IF($D328="","",IFERROR(INDEX(合同单位,MATCH($D328,合同键,0)),IFERROR(TRIM(LEFT($D328,FIND("｜",$D328)-1)),$D328)))</f>
        <v/>
      </c>
      <c r="F328" s="30" t="str">
        <f aca="false">IF($D328="","",IFERROR(INDEX(合同项目,MATCH($D328,合同键,0)),IFERROR(TRIM(MID($D328,FIND("｜",$D328)+1,99)),"")))</f>
        <v/>
      </c>
      <c r="G328" s="39"/>
      <c r="H328" s="25"/>
      <c r="I328" s="35" t="str">
        <f aca="false">IF($H328="","",IFERROR(INDEX(票据归类表,MATCH($H328,票据类型表,0)),"现金无票"))</f>
        <v/>
      </c>
      <c r="J328" s="25"/>
      <c r="K328" s="25"/>
      <c r="L328" s="31"/>
      <c r="M328" s="29" t="str">
        <f aca="false">IF($C328="","",YEAR($C328))</f>
        <v/>
      </c>
      <c r="N328" s="24"/>
      <c r="O328" s="35" t="str">
        <f aca="false">IF($C328="","",IF($D328="","★没选客户项目",IF(COUNTIF(合同键,$D328)=0,"★《维保合同》里没这个项目",IF(N($G328)&lt;=0,"★收款金额要填",IF($H328="","★票据类型要选",IF(AND($L328&lt;&gt;"",COUNTIF(应收单号,$L328)=0),"★关联的应收单号不存在",IF(AND($L328&lt;&gt;"",IFERROR(INDEX(应收键,MATCH($L328,应收单号,0)),"")&lt;&gt;$D328),"★关联单号不是这个客户的",IF(AND($L328&lt;&gt;"",ROUND(SUMIF(收款关联,$L328,收款金额)-IFERROR(INDEX(应收金额,MATCH($L328,应收单号,0)),0),2)&gt;0.001),"★指定冲销超过那张单的应收","OK"))))))))</f>
        <v/>
      </c>
    </row>
    <row r="329" customFormat="false" ht="15" hidden="false" customHeight="false" outlineLevel="0" collapsed="false">
      <c r="A329" s="29" t="str">
        <f aca="false">IF($C329="","",ROW()-4)</f>
        <v/>
      </c>
      <c r="B329" s="35" t="str">
        <f aca="false">IF($C329="","","SK"&amp;TEXT($C329,"yyyymm")&amp;"-"&amp;TEXT(ROW()-4,"0000"))</f>
        <v/>
      </c>
      <c r="C329" s="33"/>
      <c r="D329" s="24"/>
      <c r="E329" s="30" t="str">
        <f aca="false">IF($D329="","",IFERROR(INDEX(合同单位,MATCH($D329,合同键,0)),IFERROR(TRIM(LEFT($D329,FIND("｜",$D329)-1)),$D329)))</f>
        <v/>
      </c>
      <c r="F329" s="30" t="str">
        <f aca="false">IF($D329="","",IFERROR(INDEX(合同项目,MATCH($D329,合同键,0)),IFERROR(TRIM(MID($D329,FIND("｜",$D329)+1,99)),"")))</f>
        <v/>
      </c>
      <c r="G329" s="39"/>
      <c r="H329" s="25"/>
      <c r="I329" s="35" t="str">
        <f aca="false">IF($H329="","",IFERROR(INDEX(票据归类表,MATCH($H329,票据类型表,0)),"现金无票"))</f>
        <v/>
      </c>
      <c r="J329" s="25"/>
      <c r="K329" s="25"/>
      <c r="L329" s="31"/>
      <c r="M329" s="29" t="str">
        <f aca="false">IF($C329="","",YEAR($C329))</f>
        <v/>
      </c>
      <c r="N329" s="24"/>
      <c r="O329" s="35" t="str">
        <f aca="false">IF($C329="","",IF($D329="","★没选客户项目",IF(COUNTIF(合同键,$D329)=0,"★《维保合同》里没这个项目",IF(N($G329)&lt;=0,"★收款金额要填",IF($H329="","★票据类型要选",IF(AND($L329&lt;&gt;"",COUNTIF(应收单号,$L329)=0),"★关联的应收单号不存在",IF(AND($L329&lt;&gt;"",IFERROR(INDEX(应收键,MATCH($L329,应收单号,0)),"")&lt;&gt;$D329),"★关联单号不是这个客户的",IF(AND($L329&lt;&gt;"",ROUND(SUMIF(收款关联,$L329,收款金额)-IFERROR(INDEX(应收金额,MATCH($L329,应收单号,0)),0),2)&gt;0.001),"★指定冲销超过那张单的应收","OK"))))))))</f>
        <v/>
      </c>
    </row>
    <row r="330" customFormat="false" ht="15" hidden="false" customHeight="false" outlineLevel="0" collapsed="false">
      <c r="A330" s="29" t="str">
        <f aca="false">IF($C330="","",ROW()-4)</f>
        <v/>
      </c>
      <c r="B330" s="35" t="str">
        <f aca="false">IF($C330="","","SK"&amp;TEXT($C330,"yyyymm")&amp;"-"&amp;TEXT(ROW()-4,"0000"))</f>
        <v/>
      </c>
      <c r="C330" s="33"/>
      <c r="D330" s="24"/>
      <c r="E330" s="30" t="str">
        <f aca="false">IF($D330="","",IFERROR(INDEX(合同单位,MATCH($D330,合同键,0)),IFERROR(TRIM(LEFT($D330,FIND("｜",$D330)-1)),$D330)))</f>
        <v/>
      </c>
      <c r="F330" s="30" t="str">
        <f aca="false">IF($D330="","",IFERROR(INDEX(合同项目,MATCH($D330,合同键,0)),IFERROR(TRIM(MID($D330,FIND("｜",$D330)+1,99)),"")))</f>
        <v/>
      </c>
      <c r="G330" s="39"/>
      <c r="H330" s="25"/>
      <c r="I330" s="35" t="str">
        <f aca="false">IF($H330="","",IFERROR(INDEX(票据归类表,MATCH($H330,票据类型表,0)),"现金无票"))</f>
        <v/>
      </c>
      <c r="J330" s="25"/>
      <c r="K330" s="25"/>
      <c r="L330" s="31"/>
      <c r="M330" s="29" t="str">
        <f aca="false">IF($C330="","",YEAR($C330))</f>
        <v/>
      </c>
      <c r="N330" s="24"/>
      <c r="O330" s="35" t="str">
        <f aca="false">IF($C330="","",IF($D330="","★没选客户项目",IF(COUNTIF(合同键,$D330)=0,"★《维保合同》里没这个项目",IF(N($G330)&lt;=0,"★收款金额要填",IF($H330="","★票据类型要选",IF(AND($L330&lt;&gt;"",COUNTIF(应收单号,$L330)=0),"★关联的应收单号不存在",IF(AND($L330&lt;&gt;"",IFERROR(INDEX(应收键,MATCH($L330,应收单号,0)),"")&lt;&gt;$D330),"★关联单号不是这个客户的",IF(AND($L330&lt;&gt;"",ROUND(SUMIF(收款关联,$L330,收款金额)-IFERROR(INDEX(应收金额,MATCH($L330,应收单号,0)),0),2)&gt;0.001),"★指定冲销超过那张单的应收","OK"))))))))</f>
        <v/>
      </c>
    </row>
    <row r="331" customFormat="false" ht="15" hidden="false" customHeight="false" outlineLevel="0" collapsed="false">
      <c r="A331" s="29" t="str">
        <f aca="false">IF($C331="","",ROW()-4)</f>
        <v/>
      </c>
      <c r="B331" s="35" t="str">
        <f aca="false">IF($C331="","","SK"&amp;TEXT($C331,"yyyymm")&amp;"-"&amp;TEXT(ROW()-4,"0000"))</f>
        <v/>
      </c>
      <c r="C331" s="33"/>
      <c r="D331" s="24"/>
      <c r="E331" s="30" t="str">
        <f aca="false">IF($D331="","",IFERROR(INDEX(合同单位,MATCH($D331,合同键,0)),IFERROR(TRIM(LEFT($D331,FIND("｜",$D331)-1)),$D331)))</f>
        <v/>
      </c>
      <c r="F331" s="30" t="str">
        <f aca="false">IF($D331="","",IFERROR(INDEX(合同项目,MATCH($D331,合同键,0)),IFERROR(TRIM(MID($D331,FIND("｜",$D331)+1,99)),"")))</f>
        <v/>
      </c>
      <c r="G331" s="39"/>
      <c r="H331" s="25"/>
      <c r="I331" s="35" t="str">
        <f aca="false">IF($H331="","",IFERROR(INDEX(票据归类表,MATCH($H331,票据类型表,0)),"现金无票"))</f>
        <v/>
      </c>
      <c r="J331" s="25"/>
      <c r="K331" s="25"/>
      <c r="L331" s="31"/>
      <c r="M331" s="29" t="str">
        <f aca="false">IF($C331="","",YEAR($C331))</f>
        <v/>
      </c>
      <c r="N331" s="24"/>
      <c r="O331" s="35" t="str">
        <f aca="false">IF($C331="","",IF($D331="","★没选客户项目",IF(COUNTIF(合同键,$D331)=0,"★《维保合同》里没这个项目",IF(N($G331)&lt;=0,"★收款金额要填",IF($H331="","★票据类型要选",IF(AND($L331&lt;&gt;"",COUNTIF(应收单号,$L331)=0),"★关联的应收单号不存在",IF(AND($L331&lt;&gt;"",IFERROR(INDEX(应收键,MATCH($L331,应收单号,0)),"")&lt;&gt;$D331),"★关联单号不是这个客户的",IF(AND($L331&lt;&gt;"",ROUND(SUMIF(收款关联,$L331,收款金额)-IFERROR(INDEX(应收金额,MATCH($L331,应收单号,0)),0),2)&gt;0.001),"★指定冲销超过那张单的应收","OK"))))))))</f>
        <v/>
      </c>
    </row>
    <row r="332" customFormat="false" ht="15" hidden="false" customHeight="false" outlineLevel="0" collapsed="false">
      <c r="A332" s="29" t="str">
        <f aca="false">IF($C332="","",ROW()-4)</f>
        <v/>
      </c>
      <c r="B332" s="35" t="str">
        <f aca="false">IF($C332="","","SK"&amp;TEXT($C332,"yyyymm")&amp;"-"&amp;TEXT(ROW()-4,"0000"))</f>
        <v/>
      </c>
      <c r="C332" s="33"/>
      <c r="D332" s="24"/>
      <c r="E332" s="30" t="str">
        <f aca="false">IF($D332="","",IFERROR(INDEX(合同单位,MATCH($D332,合同键,0)),IFERROR(TRIM(LEFT($D332,FIND("｜",$D332)-1)),$D332)))</f>
        <v/>
      </c>
      <c r="F332" s="30" t="str">
        <f aca="false">IF($D332="","",IFERROR(INDEX(合同项目,MATCH($D332,合同键,0)),IFERROR(TRIM(MID($D332,FIND("｜",$D332)+1,99)),"")))</f>
        <v/>
      </c>
      <c r="G332" s="39"/>
      <c r="H332" s="25"/>
      <c r="I332" s="35" t="str">
        <f aca="false">IF($H332="","",IFERROR(INDEX(票据归类表,MATCH($H332,票据类型表,0)),"现金无票"))</f>
        <v/>
      </c>
      <c r="J332" s="25"/>
      <c r="K332" s="25"/>
      <c r="L332" s="31"/>
      <c r="M332" s="29" t="str">
        <f aca="false">IF($C332="","",YEAR($C332))</f>
        <v/>
      </c>
      <c r="N332" s="24"/>
      <c r="O332" s="35" t="str">
        <f aca="false">IF($C332="","",IF($D332="","★没选客户项目",IF(COUNTIF(合同键,$D332)=0,"★《维保合同》里没这个项目",IF(N($G332)&lt;=0,"★收款金额要填",IF($H332="","★票据类型要选",IF(AND($L332&lt;&gt;"",COUNTIF(应收单号,$L332)=0),"★关联的应收单号不存在",IF(AND($L332&lt;&gt;"",IFERROR(INDEX(应收键,MATCH($L332,应收单号,0)),"")&lt;&gt;$D332),"★关联单号不是这个客户的",IF(AND($L332&lt;&gt;"",ROUND(SUMIF(收款关联,$L332,收款金额)-IFERROR(INDEX(应收金额,MATCH($L332,应收单号,0)),0),2)&gt;0.001),"★指定冲销超过那张单的应收","OK"))))))))</f>
        <v/>
      </c>
    </row>
    <row r="333" customFormat="false" ht="15" hidden="false" customHeight="false" outlineLevel="0" collapsed="false">
      <c r="A333" s="29" t="str">
        <f aca="false">IF($C333="","",ROW()-4)</f>
        <v/>
      </c>
      <c r="B333" s="35" t="str">
        <f aca="false">IF($C333="","","SK"&amp;TEXT($C333,"yyyymm")&amp;"-"&amp;TEXT(ROW()-4,"0000"))</f>
        <v/>
      </c>
      <c r="C333" s="33"/>
      <c r="D333" s="24"/>
      <c r="E333" s="30" t="str">
        <f aca="false">IF($D333="","",IFERROR(INDEX(合同单位,MATCH($D333,合同键,0)),IFERROR(TRIM(LEFT($D333,FIND("｜",$D333)-1)),$D333)))</f>
        <v/>
      </c>
      <c r="F333" s="30" t="str">
        <f aca="false">IF($D333="","",IFERROR(INDEX(合同项目,MATCH($D333,合同键,0)),IFERROR(TRIM(MID($D333,FIND("｜",$D333)+1,99)),"")))</f>
        <v/>
      </c>
      <c r="G333" s="39"/>
      <c r="H333" s="25"/>
      <c r="I333" s="35" t="str">
        <f aca="false">IF($H333="","",IFERROR(INDEX(票据归类表,MATCH($H333,票据类型表,0)),"现金无票"))</f>
        <v/>
      </c>
      <c r="J333" s="25"/>
      <c r="K333" s="25"/>
      <c r="L333" s="31"/>
      <c r="M333" s="29" t="str">
        <f aca="false">IF($C333="","",YEAR($C333))</f>
        <v/>
      </c>
      <c r="N333" s="24"/>
      <c r="O333" s="35" t="str">
        <f aca="false">IF($C333="","",IF($D333="","★没选客户项目",IF(COUNTIF(合同键,$D333)=0,"★《维保合同》里没这个项目",IF(N($G333)&lt;=0,"★收款金额要填",IF($H333="","★票据类型要选",IF(AND($L333&lt;&gt;"",COUNTIF(应收单号,$L333)=0),"★关联的应收单号不存在",IF(AND($L333&lt;&gt;"",IFERROR(INDEX(应收键,MATCH($L333,应收单号,0)),"")&lt;&gt;$D333),"★关联单号不是这个客户的",IF(AND($L333&lt;&gt;"",ROUND(SUMIF(收款关联,$L333,收款金额)-IFERROR(INDEX(应收金额,MATCH($L333,应收单号,0)),0),2)&gt;0.001),"★指定冲销超过那张单的应收","OK"))))))))</f>
        <v/>
      </c>
    </row>
    <row r="334" customFormat="false" ht="15" hidden="false" customHeight="false" outlineLevel="0" collapsed="false">
      <c r="A334" s="29" t="str">
        <f aca="false">IF($C334="","",ROW()-4)</f>
        <v/>
      </c>
      <c r="B334" s="35" t="str">
        <f aca="false">IF($C334="","","SK"&amp;TEXT($C334,"yyyymm")&amp;"-"&amp;TEXT(ROW()-4,"0000"))</f>
        <v/>
      </c>
      <c r="C334" s="33"/>
      <c r="D334" s="24"/>
      <c r="E334" s="30" t="str">
        <f aca="false">IF($D334="","",IFERROR(INDEX(合同单位,MATCH($D334,合同键,0)),IFERROR(TRIM(LEFT($D334,FIND("｜",$D334)-1)),$D334)))</f>
        <v/>
      </c>
      <c r="F334" s="30" t="str">
        <f aca="false">IF($D334="","",IFERROR(INDEX(合同项目,MATCH($D334,合同键,0)),IFERROR(TRIM(MID($D334,FIND("｜",$D334)+1,99)),"")))</f>
        <v/>
      </c>
      <c r="G334" s="39"/>
      <c r="H334" s="25"/>
      <c r="I334" s="35" t="str">
        <f aca="false">IF($H334="","",IFERROR(INDEX(票据归类表,MATCH($H334,票据类型表,0)),"现金无票"))</f>
        <v/>
      </c>
      <c r="J334" s="25"/>
      <c r="K334" s="25"/>
      <c r="L334" s="31"/>
      <c r="M334" s="29" t="str">
        <f aca="false">IF($C334="","",YEAR($C334))</f>
        <v/>
      </c>
      <c r="N334" s="24"/>
      <c r="O334" s="35" t="str">
        <f aca="false">IF($C334="","",IF($D334="","★没选客户项目",IF(COUNTIF(合同键,$D334)=0,"★《维保合同》里没这个项目",IF(N($G334)&lt;=0,"★收款金额要填",IF($H334="","★票据类型要选",IF(AND($L334&lt;&gt;"",COUNTIF(应收单号,$L334)=0),"★关联的应收单号不存在",IF(AND($L334&lt;&gt;"",IFERROR(INDEX(应收键,MATCH($L334,应收单号,0)),"")&lt;&gt;$D334),"★关联单号不是这个客户的",IF(AND($L334&lt;&gt;"",ROUND(SUMIF(收款关联,$L334,收款金额)-IFERROR(INDEX(应收金额,MATCH($L334,应收单号,0)),0),2)&gt;0.001),"★指定冲销超过那张单的应收","OK"))))))))</f>
        <v/>
      </c>
    </row>
    <row r="335" customFormat="false" ht="15" hidden="false" customHeight="false" outlineLevel="0" collapsed="false">
      <c r="A335" s="29" t="str">
        <f aca="false">IF($C335="","",ROW()-4)</f>
        <v/>
      </c>
      <c r="B335" s="35" t="str">
        <f aca="false">IF($C335="","","SK"&amp;TEXT($C335,"yyyymm")&amp;"-"&amp;TEXT(ROW()-4,"0000"))</f>
        <v/>
      </c>
      <c r="C335" s="33"/>
      <c r="D335" s="24"/>
      <c r="E335" s="30" t="str">
        <f aca="false">IF($D335="","",IFERROR(INDEX(合同单位,MATCH($D335,合同键,0)),IFERROR(TRIM(LEFT($D335,FIND("｜",$D335)-1)),$D335)))</f>
        <v/>
      </c>
      <c r="F335" s="30" t="str">
        <f aca="false">IF($D335="","",IFERROR(INDEX(合同项目,MATCH($D335,合同键,0)),IFERROR(TRIM(MID($D335,FIND("｜",$D335)+1,99)),"")))</f>
        <v/>
      </c>
      <c r="G335" s="39"/>
      <c r="H335" s="25"/>
      <c r="I335" s="35" t="str">
        <f aca="false">IF($H335="","",IFERROR(INDEX(票据归类表,MATCH($H335,票据类型表,0)),"现金无票"))</f>
        <v/>
      </c>
      <c r="J335" s="25"/>
      <c r="K335" s="25"/>
      <c r="L335" s="31"/>
      <c r="M335" s="29" t="str">
        <f aca="false">IF($C335="","",YEAR($C335))</f>
        <v/>
      </c>
      <c r="N335" s="24"/>
      <c r="O335" s="35" t="str">
        <f aca="false">IF($C335="","",IF($D335="","★没选客户项目",IF(COUNTIF(合同键,$D335)=0,"★《维保合同》里没这个项目",IF(N($G335)&lt;=0,"★收款金额要填",IF($H335="","★票据类型要选",IF(AND($L335&lt;&gt;"",COUNTIF(应收单号,$L335)=0),"★关联的应收单号不存在",IF(AND($L335&lt;&gt;"",IFERROR(INDEX(应收键,MATCH($L335,应收单号,0)),"")&lt;&gt;$D335),"★关联单号不是这个客户的",IF(AND($L335&lt;&gt;"",ROUND(SUMIF(收款关联,$L335,收款金额)-IFERROR(INDEX(应收金额,MATCH($L335,应收单号,0)),0),2)&gt;0.001),"★指定冲销超过那张单的应收","OK"))))))))</f>
        <v/>
      </c>
    </row>
    <row r="336" customFormat="false" ht="15" hidden="false" customHeight="false" outlineLevel="0" collapsed="false">
      <c r="A336" s="29" t="str">
        <f aca="false">IF($C336="","",ROW()-4)</f>
        <v/>
      </c>
      <c r="B336" s="35" t="str">
        <f aca="false">IF($C336="","","SK"&amp;TEXT($C336,"yyyymm")&amp;"-"&amp;TEXT(ROW()-4,"0000"))</f>
        <v/>
      </c>
      <c r="C336" s="33"/>
      <c r="D336" s="24"/>
      <c r="E336" s="30" t="str">
        <f aca="false">IF($D336="","",IFERROR(INDEX(合同单位,MATCH($D336,合同键,0)),IFERROR(TRIM(LEFT($D336,FIND("｜",$D336)-1)),$D336)))</f>
        <v/>
      </c>
      <c r="F336" s="30" t="str">
        <f aca="false">IF($D336="","",IFERROR(INDEX(合同项目,MATCH($D336,合同键,0)),IFERROR(TRIM(MID($D336,FIND("｜",$D336)+1,99)),"")))</f>
        <v/>
      </c>
      <c r="G336" s="39"/>
      <c r="H336" s="25"/>
      <c r="I336" s="35" t="str">
        <f aca="false">IF($H336="","",IFERROR(INDEX(票据归类表,MATCH($H336,票据类型表,0)),"现金无票"))</f>
        <v/>
      </c>
      <c r="J336" s="25"/>
      <c r="K336" s="25"/>
      <c r="L336" s="31"/>
      <c r="M336" s="29" t="str">
        <f aca="false">IF($C336="","",YEAR($C336))</f>
        <v/>
      </c>
      <c r="N336" s="24"/>
      <c r="O336" s="35" t="str">
        <f aca="false">IF($C336="","",IF($D336="","★没选客户项目",IF(COUNTIF(合同键,$D336)=0,"★《维保合同》里没这个项目",IF(N($G336)&lt;=0,"★收款金额要填",IF($H336="","★票据类型要选",IF(AND($L336&lt;&gt;"",COUNTIF(应收单号,$L336)=0),"★关联的应收单号不存在",IF(AND($L336&lt;&gt;"",IFERROR(INDEX(应收键,MATCH($L336,应收单号,0)),"")&lt;&gt;$D336),"★关联单号不是这个客户的",IF(AND($L336&lt;&gt;"",ROUND(SUMIF(收款关联,$L336,收款金额)-IFERROR(INDEX(应收金额,MATCH($L336,应收单号,0)),0),2)&gt;0.001),"★指定冲销超过那张单的应收","OK"))))))))</f>
        <v/>
      </c>
    </row>
    <row r="337" customFormat="false" ht="15" hidden="false" customHeight="false" outlineLevel="0" collapsed="false">
      <c r="A337" s="29" t="str">
        <f aca="false">IF($C337="","",ROW()-4)</f>
        <v/>
      </c>
      <c r="B337" s="35" t="str">
        <f aca="false">IF($C337="","","SK"&amp;TEXT($C337,"yyyymm")&amp;"-"&amp;TEXT(ROW()-4,"0000"))</f>
        <v/>
      </c>
      <c r="C337" s="33"/>
      <c r="D337" s="24"/>
      <c r="E337" s="30" t="str">
        <f aca="false">IF($D337="","",IFERROR(INDEX(合同单位,MATCH($D337,合同键,0)),IFERROR(TRIM(LEFT($D337,FIND("｜",$D337)-1)),$D337)))</f>
        <v/>
      </c>
      <c r="F337" s="30" t="str">
        <f aca="false">IF($D337="","",IFERROR(INDEX(合同项目,MATCH($D337,合同键,0)),IFERROR(TRIM(MID($D337,FIND("｜",$D337)+1,99)),"")))</f>
        <v/>
      </c>
      <c r="G337" s="39"/>
      <c r="H337" s="25"/>
      <c r="I337" s="35" t="str">
        <f aca="false">IF($H337="","",IFERROR(INDEX(票据归类表,MATCH($H337,票据类型表,0)),"现金无票"))</f>
        <v/>
      </c>
      <c r="J337" s="25"/>
      <c r="K337" s="25"/>
      <c r="L337" s="31"/>
      <c r="M337" s="29" t="str">
        <f aca="false">IF($C337="","",YEAR($C337))</f>
        <v/>
      </c>
      <c r="N337" s="24"/>
      <c r="O337" s="35" t="str">
        <f aca="false">IF($C337="","",IF($D337="","★没选客户项目",IF(COUNTIF(合同键,$D337)=0,"★《维保合同》里没这个项目",IF(N($G337)&lt;=0,"★收款金额要填",IF($H337="","★票据类型要选",IF(AND($L337&lt;&gt;"",COUNTIF(应收单号,$L337)=0),"★关联的应收单号不存在",IF(AND($L337&lt;&gt;"",IFERROR(INDEX(应收键,MATCH($L337,应收单号,0)),"")&lt;&gt;$D337),"★关联单号不是这个客户的",IF(AND($L337&lt;&gt;"",ROUND(SUMIF(收款关联,$L337,收款金额)-IFERROR(INDEX(应收金额,MATCH($L337,应收单号,0)),0),2)&gt;0.001),"★指定冲销超过那张单的应收","OK"))))))))</f>
        <v/>
      </c>
    </row>
    <row r="338" customFormat="false" ht="15" hidden="false" customHeight="false" outlineLevel="0" collapsed="false">
      <c r="A338" s="29" t="str">
        <f aca="false">IF($C338="","",ROW()-4)</f>
        <v/>
      </c>
      <c r="B338" s="35" t="str">
        <f aca="false">IF($C338="","","SK"&amp;TEXT($C338,"yyyymm")&amp;"-"&amp;TEXT(ROW()-4,"0000"))</f>
        <v/>
      </c>
      <c r="C338" s="33"/>
      <c r="D338" s="24"/>
      <c r="E338" s="30" t="str">
        <f aca="false">IF($D338="","",IFERROR(INDEX(合同单位,MATCH($D338,合同键,0)),IFERROR(TRIM(LEFT($D338,FIND("｜",$D338)-1)),$D338)))</f>
        <v/>
      </c>
      <c r="F338" s="30" t="str">
        <f aca="false">IF($D338="","",IFERROR(INDEX(合同项目,MATCH($D338,合同键,0)),IFERROR(TRIM(MID($D338,FIND("｜",$D338)+1,99)),"")))</f>
        <v/>
      </c>
      <c r="G338" s="39"/>
      <c r="H338" s="25"/>
      <c r="I338" s="35" t="str">
        <f aca="false">IF($H338="","",IFERROR(INDEX(票据归类表,MATCH($H338,票据类型表,0)),"现金无票"))</f>
        <v/>
      </c>
      <c r="J338" s="25"/>
      <c r="K338" s="25"/>
      <c r="L338" s="31"/>
      <c r="M338" s="29" t="str">
        <f aca="false">IF($C338="","",YEAR($C338))</f>
        <v/>
      </c>
      <c r="N338" s="24"/>
      <c r="O338" s="35" t="str">
        <f aca="false">IF($C338="","",IF($D338="","★没选客户项目",IF(COUNTIF(合同键,$D338)=0,"★《维保合同》里没这个项目",IF(N($G338)&lt;=0,"★收款金额要填",IF($H338="","★票据类型要选",IF(AND($L338&lt;&gt;"",COUNTIF(应收单号,$L338)=0),"★关联的应收单号不存在",IF(AND($L338&lt;&gt;"",IFERROR(INDEX(应收键,MATCH($L338,应收单号,0)),"")&lt;&gt;$D338),"★关联单号不是这个客户的",IF(AND($L338&lt;&gt;"",ROUND(SUMIF(收款关联,$L338,收款金额)-IFERROR(INDEX(应收金额,MATCH($L338,应收单号,0)),0),2)&gt;0.001),"★指定冲销超过那张单的应收","OK"))))))))</f>
        <v/>
      </c>
    </row>
    <row r="339" customFormat="false" ht="15" hidden="false" customHeight="false" outlineLevel="0" collapsed="false">
      <c r="A339" s="29" t="str">
        <f aca="false">IF($C339="","",ROW()-4)</f>
        <v/>
      </c>
      <c r="B339" s="35" t="str">
        <f aca="false">IF($C339="","","SK"&amp;TEXT($C339,"yyyymm")&amp;"-"&amp;TEXT(ROW()-4,"0000"))</f>
        <v/>
      </c>
      <c r="C339" s="33"/>
      <c r="D339" s="24"/>
      <c r="E339" s="30" t="str">
        <f aca="false">IF($D339="","",IFERROR(INDEX(合同单位,MATCH($D339,合同键,0)),IFERROR(TRIM(LEFT($D339,FIND("｜",$D339)-1)),$D339)))</f>
        <v/>
      </c>
      <c r="F339" s="30" t="str">
        <f aca="false">IF($D339="","",IFERROR(INDEX(合同项目,MATCH($D339,合同键,0)),IFERROR(TRIM(MID($D339,FIND("｜",$D339)+1,99)),"")))</f>
        <v/>
      </c>
      <c r="G339" s="39"/>
      <c r="H339" s="25"/>
      <c r="I339" s="35" t="str">
        <f aca="false">IF($H339="","",IFERROR(INDEX(票据归类表,MATCH($H339,票据类型表,0)),"现金无票"))</f>
        <v/>
      </c>
      <c r="J339" s="25"/>
      <c r="K339" s="25"/>
      <c r="L339" s="31"/>
      <c r="M339" s="29" t="str">
        <f aca="false">IF($C339="","",YEAR($C339))</f>
        <v/>
      </c>
      <c r="N339" s="24"/>
      <c r="O339" s="35" t="str">
        <f aca="false">IF($C339="","",IF($D339="","★没选客户项目",IF(COUNTIF(合同键,$D339)=0,"★《维保合同》里没这个项目",IF(N($G339)&lt;=0,"★收款金额要填",IF($H339="","★票据类型要选",IF(AND($L339&lt;&gt;"",COUNTIF(应收单号,$L339)=0),"★关联的应收单号不存在",IF(AND($L339&lt;&gt;"",IFERROR(INDEX(应收键,MATCH($L339,应收单号,0)),"")&lt;&gt;$D339),"★关联单号不是这个客户的",IF(AND($L339&lt;&gt;"",ROUND(SUMIF(收款关联,$L339,收款金额)-IFERROR(INDEX(应收金额,MATCH($L339,应收单号,0)),0),2)&gt;0.001),"★指定冲销超过那张单的应收","OK"))))))))</f>
        <v/>
      </c>
    </row>
    <row r="340" customFormat="false" ht="15" hidden="false" customHeight="false" outlineLevel="0" collapsed="false">
      <c r="A340" s="29" t="str">
        <f aca="false">IF($C340="","",ROW()-4)</f>
        <v/>
      </c>
      <c r="B340" s="35" t="str">
        <f aca="false">IF($C340="","","SK"&amp;TEXT($C340,"yyyymm")&amp;"-"&amp;TEXT(ROW()-4,"0000"))</f>
        <v/>
      </c>
      <c r="C340" s="33"/>
      <c r="D340" s="24"/>
      <c r="E340" s="30" t="str">
        <f aca="false">IF($D340="","",IFERROR(INDEX(合同单位,MATCH($D340,合同键,0)),IFERROR(TRIM(LEFT($D340,FIND("｜",$D340)-1)),$D340)))</f>
        <v/>
      </c>
      <c r="F340" s="30" t="str">
        <f aca="false">IF($D340="","",IFERROR(INDEX(合同项目,MATCH($D340,合同键,0)),IFERROR(TRIM(MID($D340,FIND("｜",$D340)+1,99)),"")))</f>
        <v/>
      </c>
      <c r="G340" s="39"/>
      <c r="H340" s="25"/>
      <c r="I340" s="35" t="str">
        <f aca="false">IF($H340="","",IFERROR(INDEX(票据归类表,MATCH($H340,票据类型表,0)),"现金无票"))</f>
        <v/>
      </c>
      <c r="J340" s="25"/>
      <c r="K340" s="25"/>
      <c r="L340" s="31"/>
      <c r="M340" s="29" t="str">
        <f aca="false">IF($C340="","",YEAR($C340))</f>
        <v/>
      </c>
      <c r="N340" s="24"/>
      <c r="O340" s="35" t="str">
        <f aca="false">IF($C340="","",IF($D340="","★没选客户项目",IF(COUNTIF(合同键,$D340)=0,"★《维保合同》里没这个项目",IF(N($G340)&lt;=0,"★收款金额要填",IF($H340="","★票据类型要选",IF(AND($L340&lt;&gt;"",COUNTIF(应收单号,$L340)=0),"★关联的应收单号不存在",IF(AND($L340&lt;&gt;"",IFERROR(INDEX(应收键,MATCH($L340,应收单号,0)),"")&lt;&gt;$D340),"★关联单号不是这个客户的",IF(AND($L340&lt;&gt;"",ROUND(SUMIF(收款关联,$L340,收款金额)-IFERROR(INDEX(应收金额,MATCH($L340,应收单号,0)),0),2)&gt;0.001),"★指定冲销超过那张单的应收","OK"))))))))</f>
        <v/>
      </c>
    </row>
    <row r="341" customFormat="false" ht="15" hidden="false" customHeight="false" outlineLevel="0" collapsed="false">
      <c r="A341" s="29" t="str">
        <f aca="false">IF($C341="","",ROW()-4)</f>
        <v/>
      </c>
      <c r="B341" s="35" t="str">
        <f aca="false">IF($C341="","","SK"&amp;TEXT($C341,"yyyymm")&amp;"-"&amp;TEXT(ROW()-4,"0000"))</f>
        <v/>
      </c>
      <c r="C341" s="33"/>
      <c r="D341" s="24"/>
      <c r="E341" s="30" t="str">
        <f aca="false">IF($D341="","",IFERROR(INDEX(合同单位,MATCH($D341,合同键,0)),IFERROR(TRIM(LEFT($D341,FIND("｜",$D341)-1)),$D341)))</f>
        <v/>
      </c>
      <c r="F341" s="30" t="str">
        <f aca="false">IF($D341="","",IFERROR(INDEX(合同项目,MATCH($D341,合同键,0)),IFERROR(TRIM(MID($D341,FIND("｜",$D341)+1,99)),"")))</f>
        <v/>
      </c>
      <c r="G341" s="39"/>
      <c r="H341" s="25"/>
      <c r="I341" s="35" t="str">
        <f aca="false">IF($H341="","",IFERROR(INDEX(票据归类表,MATCH($H341,票据类型表,0)),"现金无票"))</f>
        <v/>
      </c>
      <c r="J341" s="25"/>
      <c r="K341" s="25"/>
      <c r="L341" s="31"/>
      <c r="M341" s="29" t="str">
        <f aca="false">IF($C341="","",YEAR($C341))</f>
        <v/>
      </c>
      <c r="N341" s="24"/>
      <c r="O341" s="35" t="str">
        <f aca="false">IF($C341="","",IF($D341="","★没选客户项目",IF(COUNTIF(合同键,$D341)=0,"★《维保合同》里没这个项目",IF(N($G341)&lt;=0,"★收款金额要填",IF($H341="","★票据类型要选",IF(AND($L341&lt;&gt;"",COUNTIF(应收单号,$L341)=0),"★关联的应收单号不存在",IF(AND($L341&lt;&gt;"",IFERROR(INDEX(应收键,MATCH($L341,应收单号,0)),"")&lt;&gt;$D341),"★关联单号不是这个客户的",IF(AND($L341&lt;&gt;"",ROUND(SUMIF(收款关联,$L341,收款金额)-IFERROR(INDEX(应收金额,MATCH($L341,应收单号,0)),0),2)&gt;0.001),"★指定冲销超过那张单的应收","OK"))))))))</f>
        <v/>
      </c>
    </row>
    <row r="342" customFormat="false" ht="15" hidden="false" customHeight="false" outlineLevel="0" collapsed="false">
      <c r="A342" s="29" t="str">
        <f aca="false">IF($C342="","",ROW()-4)</f>
        <v/>
      </c>
      <c r="B342" s="35" t="str">
        <f aca="false">IF($C342="","","SK"&amp;TEXT($C342,"yyyymm")&amp;"-"&amp;TEXT(ROW()-4,"0000"))</f>
        <v/>
      </c>
      <c r="C342" s="33"/>
      <c r="D342" s="24"/>
      <c r="E342" s="30" t="str">
        <f aca="false">IF($D342="","",IFERROR(INDEX(合同单位,MATCH($D342,合同键,0)),IFERROR(TRIM(LEFT($D342,FIND("｜",$D342)-1)),$D342)))</f>
        <v/>
      </c>
      <c r="F342" s="30" t="str">
        <f aca="false">IF($D342="","",IFERROR(INDEX(合同项目,MATCH($D342,合同键,0)),IFERROR(TRIM(MID($D342,FIND("｜",$D342)+1,99)),"")))</f>
        <v/>
      </c>
      <c r="G342" s="39"/>
      <c r="H342" s="25"/>
      <c r="I342" s="35" t="str">
        <f aca="false">IF($H342="","",IFERROR(INDEX(票据归类表,MATCH($H342,票据类型表,0)),"现金无票"))</f>
        <v/>
      </c>
      <c r="J342" s="25"/>
      <c r="K342" s="25"/>
      <c r="L342" s="31"/>
      <c r="M342" s="29" t="str">
        <f aca="false">IF($C342="","",YEAR($C342))</f>
        <v/>
      </c>
      <c r="N342" s="24"/>
      <c r="O342" s="35" t="str">
        <f aca="false">IF($C342="","",IF($D342="","★没选客户项目",IF(COUNTIF(合同键,$D342)=0,"★《维保合同》里没这个项目",IF(N($G342)&lt;=0,"★收款金额要填",IF($H342="","★票据类型要选",IF(AND($L342&lt;&gt;"",COUNTIF(应收单号,$L342)=0),"★关联的应收单号不存在",IF(AND($L342&lt;&gt;"",IFERROR(INDEX(应收键,MATCH($L342,应收单号,0)),"")&lt;&gt;$D342),"★关联单号不是这个客户的",IF(AND($L342&lt;&gt;"",ROUND(SUMIF(收款关联,$L342,收款金额)-IFERROR(INDEX(应收金额,MATCH($L342,应收单号,0)),0),2)&gt;0.001),"★指定冲销超过那张单的应收","OK"))))))))</f>
        <v/>
      </c>
    </row>
    <row r="343" customFormat="false" ht="15" hidden="false" customHeight="false" outlineLevel="0" collapsed="false">
      <c r="A343" s="29" t="str">
        <f aca="false">IF($C343="","",ROW()-4)</f>
        <v/>
      </c>
      <c r="B343" s="35" t="str">
        <f aca="false">IF($C343="","","SK"&amp;TEXT($C343,"yyyymm")&amp;"-"&amp;TEXT(ROW()-4,"0000"))</f>
        <v/>
      </c>
      <c r="C343" s="33"/>
      <c r="D343" s="24"/>
      <c r="E343" s="30" t="str">
        <f aca="false">IF($D343="","",IFERROR(INDEX(合同单位,MATCH($D343,合同键,0)),IFERROR(TRIM(LEFT($D343,FIND("｜",$D343)-1)),$D343)))</f>
        <v/>
      </c>
      <c r="F343" s="30" t="str">
        <f aca="false">IF($D343="","",IFERROR(INDEX(合同项目,MATCH($D343,合同键,0)),IFERROR(TRIM(MID($D343,FIND("｜",$D343)+1,99)),"")))</f>
        <v/>
      </c>
      <c r="G343" s="39"/>
      <c r="H343" s="25"/>
      <c r="I343" s="35" t="str">
        <f aca="false">IF($H343="","",IFERROR(INDEX(票据归类表,MATCH($H343,票据类型表,0)),"现金无票"))</f>
        <v/>
      </c>
      <c r="J343" s="25"/>
      <c r="K343" s="25"/>
      <c r="L343" s="31"/>
      <c r="M343" s="29" t="str">
        <f aca="false">IF($C343="","",YEAR($C343))</f>
        <v/>
      </c>
      <c r="N343" s="24"/>
      <c r="O343" s="35" t="str">
        <f aca="false">IF($C343="","",IF($D343="","★没选客户项目",IF(COUNTIF(合同键,$D343)=0,"★《维保合同》里没这个项目",IF(N($G343)&lt;=0,"★收款金额要填",IF($H343="","★票据类型要选",IF(AND($L343&lt;&gt;"",COUNTIF(应收单号,$L343)=0),"★关联的应收单号不存在",IF(AND($L343&lt;&gt;"",IFERROR(INDEX(应收键,MATCH($L343,应收单号,0)),"")&lt;&gt;$D343),"★关联单号不是这个客户的",IF(AND($L343&lt;&gt;"",ROUND(SUMIF(收款关联,$L343,收款金额)-IFERROR(INDEX(应收金额,MATCH($L343,应收单号,0)),0),2)&gt;0.001),"★指定冲销超过那张单的应收","OK"))))))))</f>
        <v/>
      </c>
    </row>
    <row r="344" customFormat="false" ht="15" hidden="false" customHeight="false" outlineLevel="0" collapsed="false">
      <c r="A344" s="29" t="str">
        <f aca="false">IF($C344="","",ROW()-4)</f>
        <v/>
      </c>
      <c r="B344" s="35" t="str">
        <f aca="false">IF($C344="","","SK"&amp;TEXT($C344,"yyyymm")&amp;"-"&amp;TEXT(ROW()-4,"0000"))</f>
        <v/>
      </c>
      <c r="C344" s="33"/>
      <c r="D344" s="24"/>
      <c r="E344" s="30" t="str">
        <f aca="false">IF($D344="","",IFERROR(INDEX(合同单位,MATCH($D344,合同键,0)),IFERROR(TRIM(LEFT($D344,FIND("｜",$D344)-1)),$D344)))</f>
        <v/>
      </c>
      <c r="F344" s="30" t="str">
        <f aca="false">IF($D344="","",IFERROR(INDEX(合同项目,MATCH($D344,合同键,0)),IFERROR(TRIM(MID($D344,FIND("｜",$D344)+1,99)),"")))</f>
        <v/>
      </c>
      <c r="G344" s="39"/>
      <c r="H344" s="25"/>
      <c r="I344" s="35" t="str">
        <f aca="false">IF($H344="","",IFERROR(INDEX(票据归类表,MATCH($H344,票据类型表,0)),"现金无票"))</f>
        <v/>
      </c>
      <c r="J344" s="25"/>
      <c r="K344" s="25"/>
      <c r="L344" s="31"/>
      <c r="M344" s="29" t="str">
        <f aca="false">IF($C344="","",YEAR($C344))</f>
        <v/>
      </c>
      <c r="N344" s="24"/>
      <c r="O344" s="35" t="str">
        <f aca="false">IF($C344="","",IF($D344="","★没选客户项目",IF(COUNTIF(合同键,$D344)=0,"★《维保合同》里没这个项目",IF(N($G344)&lt;=0,"★收款金额要填",IF($H344="","★票据类型要选",IF(AND($L344&lt;&gt;"",COUNTIF(应收单号,$L344)=0),"★关联的应收单号不存在",IF(AND($L344&lt;&gt;"",IFERROR(INDEX(应收键,MATCH($L344,应收单号,0)),"")&lt;&gt;$D344),"★关联单号不是这个客户的",IF(AND($L344&lt;&gt;"",ROUND(SUMIF(收款关联,$L344,收款金额)-IFERROR(INDEX(应收金额,MATCH($L344,应收单号,0)),0),2)&gt;0.001),"★指定冲销超过那张单的应收","OK"))))))))</f>
        <v/>
      </c>
    </row>
    <row r="345" customFormat="false" ht="15" hidden="false" customHeight="false" outlineLevel="0" collapsed="false">
      <c r="A345" s="29" t="str">
        <f aca="false">IF($C345="","",ROW()-4)</f>
        <v/>
      </c>
      <c r="B345" s="35" t="str">
        <f aca="false">IF($C345="","","SK"&amp;TEXT($C345,"yyyymm")&amp;"-"&amp;TEXT(ROW()-4,"0000"))</f>
        <v/>
      </c>
      <c r="C345" s="33"/>
      <c r="D345" s="24"/>
      <c r="E345" s="30" t="str">
        <f aca="false">IF($D345="","",IFERROR(INDEX(合同单位,MATCH($D345,合同键,0)),IFERROR(TRIM(LEFT($D345,FIND("｜",$D345)-1)),$D345)))</f>
        <v/>
      </c>
      <c r="F345" s="30" t="str">
        <f aca="false">IF($D345="","",IFERROR(INDEX(合同项目,MATCH($D345,合同键,0)),IFERROR(TRIM(MID($D345,FIND("｜",$D345)+1,99)),"")))</f>
        <v/>
      </c>
      <c r="G345" s="39"/>
      <c r="H345" s="25"/>
      <c r="I345" s="35" t="str">
        <f aca="false">IF($H345="","",IFERROR(INDEX(票据归类表,MATCH($H345,票据类型表,0)),"现金无票"))</f>
        <v/>
      </c>
      <c r="J345" s="25"/>
      <c r="K345" s="25"/>
      <c r="L345" s="31"/>
      <c r="M345" s="29" t="str">
        <f aca="false">IF($C345="","",YEAR($C345))</f>
        <v/>
      </c>
      <c r="N345" s="24"/>
      <c r="O345" s="35" t="str">
        <f aca="false">IF($C345="","",IF($D345="","★没选客户项目",IF(COUNTIF(合同键,$D345)=0,"★《维保合同》里没这个项目",IF(N($G345)&lt;=0,"★收款金额要填",IF($H345="","★票据类型要选",IF(AND($L345&lt;&gt;"",COUNTIF(应收单号,$L345)=0),"★关联的应收单号不存在",IF(AND($L345&lt;&gt;"",IFERROR(INDEX(应收键,MATCH($L345,应收单号,0)),"")&lt;&gt;$D345),"★关联单号不是这个客户的",IF(AND($L345&lt;&gt;"",ROUND(SUMIF(收款关联,$L345,收款金额)-IFERROR(INDEX(应收金额,MATCH($L345,应收单号,0)),0),2)&gt;0.001),"★指定冲销超过那张单的应收","OK"))))))))</f>
        <v/>
      </c>
    </row>
    <row r="346" customFormat="false" ht="15" hidden="false" customHeight="false" outlineLevel="0" collapsed="false">
      <c r="A346" s="29" t="str">
        <f aca="false">IF($C346="","",ROW()-4)</f>
        <v/>
      </c>
      <c r="B346" s="35" t="str">
        <f aca="false">IF($C346="","","SK"&amp;TEXT($C346,"yyyymm")&amp;"-"&amp;TEXT(ROW()-4,"0000"))</f>
        <v/>
      </c>
      <c r="C346" s="33"/>
      <c r="D346" s="24"/>
      <c r="E346" s="30" t="str">
        <f aca="false">IF($D346="","",IFERROR(INDEX(合同单位,MATCH($D346,合同键,0)),IFERROR(TRIM(LEFT($D346,FIND("｜",$D346)-1)),$D346)))</f>
        <v/>
      </c>
      <c r="F346" s="30" t="str">
        <f aca="false">IF($D346="","",IFERROR(INDEX(合同项目,MATCH($D346,合同键,0)),IFERROR(TRIM(MID($D346,FIND("｜",$D346)+1,99)),"")))</f>
        <v/>
      </c>
      <c r="G346" s="39"/>
      <c r="H346" s="25"/>
      <c r="I346" s="35" t="str">
        <f aca="false">IF($H346="","",IFERROR(INDEX(票据归类表,MATCH($H346,票据类型表,0)),"现金无票"))</f>
        <v/>
      </c>
      <c r="J346" s="25"/>
      <c r="K346" s="25"/>
      <c r="L346" s="31"/>
      <c r="M346" s="29" t="str">
        <f aca="false">IF($C346="","",YEAR($C346))</f>
        <v/>
      </c>
      <c r="N346" s="24"/>
      <c r="O346" s="35" t="str">
        <f aca="false">IF($C346="","",IF($D346="","★没选客户项目",IF(COUNTIF(合同键,$D346)=0,"★《维保合同》里没这个项目",IF(N($G346)&lt;=0,"★收款金额要填",IF($H346="","★票据类型要选",IF(AND($L346&lt;&gt;"",COUNTIF(应收单号,$L346)=0),"★关联的应收单号不存在",IF(AND($L346&lt;&gt;"",IFERROR(INDEX(应收键,MATCH($L346,应收单号,0)),"")&lt;&gt;$D346),"★关联单号不是这个客户的",IF(AND($L346&lt;&gt;"",ROUND(SUMIF(收款关联,$L346,收款金额)-IFERROR(INDEX(应收金额,MATCH($L346,应收单号,0)),0),2)&gt;0.001),"★指定冲销超过那张单的应收","OK"))))))))</f>
        <v/>
      </c>
    </row>
    <row r="347" customFormat="false" ht="15" hidden="false" customHeight="false" outlineLevel="0" collapsed="false">
      <c r="A347" s="29" t="str">
        <f aca="false">IF($C347="","",ROW()-4)</f>
        <v/>
      </c>
      <c r="B347" s="35" t="str">
        <f aca="false">IF($C347="","","SK"&amp;TEXT($C347,"yyyymm")&amp;"-"&amp;TEXT(ROW()-4,"0000"))</f>
        <v/>
      </c>
      <c r="C347" s="33"/>
      <c r="D347" s="24"/>
      <c r="E347" s="30" t="str">
        <f aca="false">IF($D347="","",IFERROR(INDEX(合同单位,MATCH($D347,合同键,0)),IFERROR(TRIM(LEFT($D347,FIND("｜",$D347)-1)),$D347)))</f>
        <v/>
      </c>
      <c r="F347" s="30" t="str">
        <f aca="false">IF($D347="","",IFERROR(INDEX(合同项目,MATCH($D347,合同键,0)),IFERROR(TRIM(MID($D347,FIND("｜",$D347)+1,99)),"")))</f>
        <v/>
      </c>
      <c r="G347" s="39"/>
      <c r="H347" s="25"/>
      <c r="I347" s="35" t="str">
        <f aca="false">IF($H347="","",IFERROR(INDEX(票据归类表,MATCH($H347,票据类型表,0)),"现金无票"))</f>
        <v/>
      </c>
      <c r="J347" s="25"/>
      <c r="K347" s="25"/>
      <c r="L347" s="31"/>
      <c r="M347" s="29" t="str">
        <f aca="false">IF($C347="","",YEAR($C347))</f>
        <v/>
      </c>
      <c r="N347" s="24"/>
      <c r="O347" s="35" t="str">
        <f aca="false">IF($C347="","",IF($D347="","★没选客户项目",IF(COUNTIF(合同键,$D347)=0,"★《维保合同》里没这个项目",IF(N($G347)&lt;=0,"★收款金额要填",IF($H347="","★票据类型要选",IF(AND($L347&lt;&gt;"",COUNTIF(应收单号,$L347)=0),"★关联的应收单号不存在",IF(AND($L347&lt;&gt;"",IFERROR(INDEX(应收键,MATCH($L347,应收单号,0)),"")&lt;&gt;$D347),"★关联单号不是这个客户的",IF(AND($L347&lt;&gt;"",ROUND(SUMIF(收款关联,$L347,收款金额)-IFERROR(INDEX(应收金额,MATCH($L347,应收单号,0)),0),2)&gt;0.001),"★指定冲销超过那张单的应收","OK"))))))))</f>
        <v/>
      </c>
    </row>
    <row r="348" customFormat="false" ht="15" hidden="false" customHeight="false" outlineLevel="0" collapsed="false">
      <c r="A348" s="29" t="str">
        <f aca="false">IF($C348="","",ROW()-4)</f>
        <v/>
      </c>
      <c r="B348" s="35" t="str">
        <f aca="false">IF($C348="","","SK"&amp;TEXT($C348,"yyyymm")&amp;"-"&amp;TEXT(ROW()-4,"0000"))</f>
        <v/>
      </c>
      <c r="C348" s="33"/>
      <c r="D348" s="24"/>
      <c r="E348" s="30" t="str">
        <f aca="false">IF($D348="","",IFERROR(INDEX(合同单位,MATCH($D348,合同键,0)),IFERROR(TRIM(LEFT($D348,FIND("｜",$D348)-1)),$D348)))</f>
        <v/>
      </c>
      <c r="F348" s="30" t="str">
        <f aca="false">IF($D348="","",IFERROR(INDEX(合同项目,MATCH($D348,合同键,0)),IFERROR(TRIM(MID($D348,FIND("｜",$D348)+1,99)),"")))</f>
        <v/>
      </c>
      <c r="G348" s="39"/>
      <c r="H348" s="25"/>
      <c r="I348" s="35" t="str">
        <f aca="false">IF($H348="","",IFERROR(INDEX(票据归类表,MATCH($H348,票据类型表,0)),"现金无票"))</f>
        <v/>
      </c>
      <c r="J348" s="25"/>
      <c r="K348" s="25"/>
      <c r="L348" s="31"/>
      <c r="M348" s="29" t="str">
        <f aca="false">IF($C348="","",YEAR($C348))</f>
        <v/>
      </c>
      <c r="N348" s="24"/>
      <c r="O348" s="35" t="str">
        <f aca="false">IF($C348="","",IF($D348="","★没选客户项目",IF(COUNTIF(合同键,$D348)=0,"★《维保合同》里没这个项目",IF(N($G348)&lt;=0,"★收款金额要填",IF($H348="","★票据类型要选",IF(AND($L348&lt;&gt;"",COUNTIF(应收单号,$L348)=0),"★关联的应收单号不存在",IF(AND($L348&lt;&gt;"",IFERROR(INDEX(应收键,MATCH($L348,应收单号,0)),"")&lt;&gt;$D348),"★关联单号不是这个客户的",IF(AND($L348&lt;&gt;"",ROUND(SUMIF(收款关联,$L348,收款金额)-IFERROR(INDEX(应收金额,MATCH($L348,应收单号,0)),0),2)&gt;0.001),"★指定冲销超过那张单的应收","OK"))))))))</f>
        <v/>
      </c>
    </row>
    <row r="349" customFormat="false" ht="15" hidden="false" customHeight="false" outlineLevel="0" collapsed="false">
      <c r="A349" s="29" t="str">
        <f aca="false">IF($C349="","",ROW()-4)</f>
        <v/>
      </c>
      <c r="B349" s="35" t="str">
        <f aca="false">IF($C349="","","SK"&amp;TEXT($C349,"yyyymm")&amp;"-"&amp;TEXT(ROW()-4,"0000"))</f>
        <v/>
      </c>
      <c r="C349" s="33"/>
      <c r="D349" s="24"/>
      <c r="E349" s="30" t="str">
        <f aca="false">IF($D349="","",IFERROR(INDEX(合同单位,MATCH($D349,合同键,0)),IFERROR(TRIM(LEFT($D349,FIND("｜",$D349)-1)),$D349)))</f>
        <v/>
      </c>
      <c r="F349" s="30" t="str">
        <f aca="false">IF($D349="","",IFERROR(INDEX(合同项目,MATCH($D349,合同键,0)),IFERROR(TRIM(MID($D349,FIND("｜",$D349)+1,99)),"")))</f>
        <v/>
      </c>
      <c r="G349" s="39"/>
      <c r="H349" s="25"/>
      <c r="I349" s="35" t="str">
        <f aca="false">IF($H349="","",IFERROR(INDEX(票据归类表,MATCH($H349,票据类型表,0)),"现金无票"))</f>
        <v/>
      </c>
      <c r="J349" s="25"/>
      <c r="K349" s="25"/>
      <c r="L349" s="31"/>
      <c r="M349" s="29" t="str">
        <f aca="false">IF($C349="","",YEAR($C349))</f>
        <v/>
      </c>
      <c r="N349" s="24"/>
      <c r="O349" s="35" t="str">
        <f aca="false">IF($C349="","",IF($D349="","★没选客户项目",IF(COUNTIF(合同键,$D349)=0,"★《维保合同》里没这个项目",IF(N($G349)&lt;=0,"★收款金额要填",IF($H349="","★票据类型要选",IF(AND($L349&lt;&gt;"",COUNTIF(应收单号,$L349)=0),"★关联的应收单号不存在",IF(AND($L349&lt;&gt;"",IFERROR(INDEX(应收键,MATCH($L349,应收单号,0)),"")&lt;&gt;$D349),"★关联单号不是这个客户的",IF(AND($L349&lt;&gt;"",ROUND(SUMIF(收款关联,$L349,收款金额)-IFERROR(INDEX(应收金额,MATCH($L349,应收单号,0)),0),2)&gt;0.001),"★指定冲销超过那张单的应收","OK"))))))))</f>
        <v/>
      </c>
    </row>
    <row r="350" customFormat="false" ht="15" hidden="false" customHeight="false" outlineLevel="0" collapsed="false">
      <c r="A350" s="29" t="str">
        <f aca="false">IF($C350="","",ROW()-4)</f>
        <v/>
      </c>
      <c r="B350" s="35" t="str">
        <f aca="false">IF($C350="","","SK"&amp;TEXT($C350,"yyyymm")&amp;"-"&amp;TEXT(ROW()-4,"0000"))</f>
        <v/>
      </c>
      <c r="C350" s="33"/>
      <c r="D350" s="24"/>
      <c r="E350" s="30" t="str">
        <f aca="false">IF($D350="","",IFERROR(INDEX(合同单位,MATCH($D350,合同键,0)),IFERROR(TRIM(LEFT($D350,FIND("｜",$D350)-1)),$D350)))</f>
        <v/>
      </c>
      <c r="F350" s="30" t="str">
        <f aca="false">IF($D350="","",IFERROR(INDEX(合同项目,MATCH($D350,合同键,0)),IFERROR(TRIM(MID($D350,FIND("｜",$D350)+1,99)),"")))</f>
        <v/>
      </c>
      <c r="G350" s="39"/>
      <c r="H350" s="25"/>
      <c r="I350" s="35" t="str">
        <f aca="false">IF($H350="","",IFERROR(INDEX(票据归类表,MATCH($H350,票据类型表,0)),"现金无票"))</f>
        <v/>
      </c>
      <c r="J350" s="25"/>
      <c r="K350" s="25"/>
      <c r="L350" s="31"/>
      <c r="M350" s="29" t="str">
        <f aca="false">IF($C350="","",YEAR($C350))</f>
        <v/>
      </c>
      <c r="N350" s="24"/>
      <c r="O350" s="35" t="str">
        <f aca="false">IF($C350="","",IF($D350="","★没选客户项目",IF(COUNTIF(合同键,$D350)=0,"★《维保合同》里没这个项目",IF(N($G350)&lt;=0,"★收款金额要填",IF($H350="","★票据类型要选",IF(AND($L350&lt;&gt;"",COUNTIF(应收单号,$L350)=0),"★关联的应收单号不存在",IF(AND($L350&lt;&gt;"",IFERROR(INDEX(应收键,MATCH($L350,应收单号,0)),"")&lt;&gt;$D350),"★关联单号不是这个客户的",IF(AND($L350&lt;&gt;"",ROUND(SUMIF(收款关联,$L350,收款金额)-IFERROR(INDEX(应收金额,MATCH($L350,应收单号,0)),0),2)&gt;0.001),"★指定冲销超过那张单的应收","OK"))))))))</f>
        <v/>
      </c>
    </row>
    <row r="351" customFormat="false" ht="15" hidden="false" customHeight="false" outlineLevel="0" collapsed="false">
      <c r="A351" s="29" t="str">
        <f aca="false">IF($C351="","",ROW()-4)</f>
        <v/>
      </c>
      <c r="B351" s="35" t="str">
        <f aca="false">IF($C351="","","SK"&amp;TEXT($C351,"yyyymm")&amp;"-"&amp;TEXT(ROW()-4,"0000"))</f>
        <v/>
      </c>
      <c r="C351" s="33"/>
      <c r="D351" s="24"/>
      <c r="E351" s="30" t="str">
        <f aca="false">IF($D351="","",IFERROR(INDEX(合同单位,MATCH($D351,合同键,0)),IFERROR(TRIM(LEFT($D351,FIND("｜",$D351)-1)),$D351)))</f>
        <v/>
      </c>
      <c r="F351" s="30" t="str">
        <f aca="false">IF($D351="","",IFERROR(INDEX(合同项目,MATCH($D351,合同键,0)),IFERROR(TRIM(MID($D351,FIND("｜",$D351)+1,99)),"")))</f>
        <v/>
      </c>
      <c r="G351" s="39"/>
      <c r="H351" s="25"/>
      <c r="I351" s="35" t="str">
        <f aca="false">IF($H351="","",IFERROR(INDEX(票据归类表,MATCH($H351,票据类型表,0)),"现金无票"))</f>
        <v/>
      </c>
      <c r="J351" s="25"/>
      <c r="K351" s="25"/>
      <c r="L351" s="31"/>
      <c r="M351" s="29" t="str">
        <f aca="false">IF($C351="","",YEAR($C351))</f>
        <v/>
      </c>
      <c r="N351" s="24"/>
      <c r="O351" s="35" t="str">
        <f aca="false">IF($C351="","",IF($D351="","★没选客户项目",IF(COUNTIF(合同键,$D351)=0,"★《维保合同》里没这个项目",IF(N($G351)&lt;=0,"★收款金额要填",IF($H351="","★票据类型要选",IF(AND($L351&lt;&gt;"",COUNTIF(应收单号,$L351)=0),"★关联的应收单号不存在",IF(AND($L351&lt;&gt;"",IFERROR(INDEX(应收键,MATCH($L351,应收单号,0)),"")&lt;&gt;$D351),"★关联单号不是这个客户的",IF(AND($L351&lt;&gt;"",ROUND(SUMIF(收款关联,$L351,收款金额)-IFERROR(INDEX(应收金额,MATCH($L351,应收单号,0)),0),2)&gt;0.001),"★指定冲销超过那张单的应收","OK"))))))))</f>
        <v/>
      </c>
    </row>
    <row r="352" customFormat="false" ht="15" hidden="false" customHeight="false" outlineLevel="0" collapsed="false">
      <c r="A352" s="29" t="str">
        <f aca="false">IF($C352="","",ROW()-4)</f>
        <v/>
      </c>
      <c r="B352" s="35" t="str">
        <f aca="false">IF($C352="","","SK"&amp;TEXT($C352,"yyyymm")&amp;"-"&amp;TEXT(ROW()-4,"0000"))</f>
        <v/>
      </c>
      <c r="C352" s="33"/>
      <c r="D352" s="24"/>
      <c r="E352" s="30" t="str">
        <f aca="false">IF($D352="","",IFERROR(INDEX(合同单位,MATCH($D352,合同键,0)),IFERROR(TRIM(LEFT($D352,FIND("｜",$D352)-1)),$D352)))</f>
        <v/>
      </c>
      <c r="F352" s="30" t="str">
        <f aca="false">IF($D352="","",IFERROR(INDEX(合同项目,MATCH($D352,合同键,0)),IFERROR(TRIM(MID($D352,FIND("｜",$D352)+1,99)),"")))</f>
        <v/>
      </c>
      <c r="G352" s="39"/>
      <c r="H352" s="25"/>
      <c r="I352" s="35" t="str">
        <f aca="false">IF($H352="","",IFERROR(INDEX(票据归类表,MATCH($H352,票据类型表,0)),"现金无票"))</f>
        <v/>
      </c>
      <c r="J352" s="25"/>
      <c r="K352" s="25"/>
      <c r="L352" s="31"/>
      <c r="M352" s="29" t="str">
        <f aca="false">IF($C352="","",YEAR($C352))</f>
        <v/>
      </c>
      <c r="N352" s="24"/>
      <c r="O352" s="35" t="str">
        <f aca="false">IF($C352="","",IF($D352="","★没选客户项目",IF(COUNTIF(合同键,$D352)=0,"★《维保合同》里没这个项目",IF(N($G352)&lt;=0,"★收款金额要填",IF($H352="","★票据类型要选",IF(AND($L352&lt;&gt;"",COUNTIF(应收单号,$L352)=0),"★关联的应收单号不存在",IF(AND($L352&lt;&gt;"",IFERROR(INDEX(应收键,MATCH($L352,应收单号,0)),"")&lt;&gt;$D352),"★关联单号不是这个客户的",IF(AND($L352&lt;&gt;"",ROUND(SUMIF(收款关联,$L352,收款金额)-IFERROR(INDEX(应收金额,MATCH($L352,应收单号,0)),0),2)&gt;0.001),"★指定冲销超过那张单的应收","OK"))))))))</f>
        <v/>
      </c>
    </row>
    <row r="353" customFormat="false" ht="15" hidden="false" customHeight="false" outlineLevel="0" collapsed="false">
      <c r="A353" s="29" t="str">
        <f aca="false">IF($C353="","",ROW()-4)</f>
        <v/>
      </c>
      <c r="B353" s="35" t="str">
        <f aca="false">IF($C353="","","SK"&amp;TEXT($C353,"yyyymm")&amp;"-"&amp;TEXT(ROW()-4,"0000"))</f>
        <v/>
      </c>
      <c r="C353" s="33"/>
      <c r="D353" s="24"/>
      <c r="E353" s="30" t="str">
        <f aca="false">IF($D353="","",IFERROR(INDEX(合同单位,MATCH($D353,合同键,0)),IFERROR(TRIM(LEFT($D353,FIND("｜",$D353)-1)),$D353)))</f>
        <v/>
      </c>
      <c r="F353" s="30" t="str">
        <f aca="false">IF($D353="","",IFERROR(INDEX(合同项目,MATCH($D353,合同键,0)),IFERROR(TRIM(MID($D353,FIND("｜",$D353)+1,99)),"")))</f>
        <v/>
      </c>
      <c r="G353" s="39"/>
      <c r="H353" s="25"/>
      <c r="I353" s="35" t="str">
        <f aca="false">IF($H353="","",IFERROR(INDEX(票据归类表,MATCH($H353,票据类型表,0)),"现金无票"))</f>
        <v/>
      </c>
      <c r="J353" s="25"/>
      <c r="K353" s="25"/>
      <c r="L353" s="31"/>
      <c r="M353" s="29" t="str">
        <f aca="false">IF($C353="","",YEAR($C353))</f>
        <v/>
      </c>
      <c r="N353" s="24"/>
      <c r="O353" s="35" t="str">
        <f aca="false">IF($C353="","",IF($D353="","★没选客户项目",IF(COUNTIF(合同键,$D353)=0,"★《维保合同》里没这个项目",IF(N($G353)&lt;=0,"★收款金额要填",IF($H353="","★票据类型要选",IF(AND($L353&lt;&gt;"",COUNTIF(应收单号,$L353)=0),"★关联的应收单号不存在",IF(AND($L353&lt;&gt;"",IFERROR(INDEX(应收键,MATCH($L353,应收单号,0)),"")&lt;&gt;$D353),"★关联单号不是这个客户的",IF(AND($L353&lt;&gt;"",ROUND(SUMIF(收款关联,$L353,收款金额)-IFERROR(INDEX(应收金额,MATCH($L353,应收单号,0)),0),2)&gt;0.001),"★指定冲销超过那张单的应收","OK"))))))))</f>
        <v/>
      </c>
    </row>
    <row r="354" customFormat="false" ht="15" hidden="false" customHeight="false" outlineLevel="0" collapsed="false">
      <c r="A354" s="29" t="str">
        <f aca="false">IF($C354="","",ROW()-4)</f>
        <v/>
      </c>
      <c r="B354" s="35" t="str">
        <f aca="false">IF($C354="","","SK"&amp;TEXT($C354,"yyyymm")&amp;"-"&amp;TEXT(ROW()-4,"0000"))</f>
        <v/>
      </c>
      <c r="C354" s="33"/>
      <c r="D354" s="24"/>
      <c r="E354" s="30" t="str">
        <f aca="false">IF($D354="","",IFERROR(INDEX(合同单位,MATCH($D354,合同键,0)),IFERROR(TRIM(LEFT($D354,FIND("｜",$D354)-1)),$D354)))</f>
        <v/>
      </c>
      <c r="F354" s="30" t="str">
        <f aca="false">IF($D354="","",IFERROR(INDEX(合同项目,MATCH($D354,合同键,0)),IFERROR(TRIM(MID($D354,FIND("｜",$D354)+1,99)),"")))</f>
        <v/>
      </c>
      <c r="G354" s="39"/>
      <c r="H354" s="25"/>
      <c r="I354" s="35" t="str">
        <f aca="false">IF($H354="","",IFERROR(INDEX(票据归类表,MATCH($H354,票据类型表,0)),"现金无票"))</f>
        <v/>
      </c>
      <c r="J354" s="25"/>
      <c r="K354" s="25"/>
      <c r="L354" s="31"/>
      <c r="M354" s="29" t="str">
        <f aca="false">IF($C354="","",YEAR($C354))</f>
        <v/>
      </c>
      <c r="N354" s="24"/>
      <c r="O354" s="35" t="str">
        <f aca="false">IF($C354="","",IF($D354="","★没选客户项目",IF(COUNTIF(合同键,$D354)=0,"★《维保合同》里没这个项目",IF(N($G354)&lt;=0,"★收款金额要填",IF($H354="","★票据类型要选",IF(AND($L354&lt;&gt;"",COUNTIF(应收单号,$L354)=0),"★关联的应收单号不存在",IF(AND($L354&lt;&gt;"",IFERROR(INDEX(应收键,MATCH($L354,应收单号,0)),"")&lt;&gt;$D354),"★关联单号不是这个客户的",IF(AND($L354&lt;&gt;"",ROUND(SUMIF(收款关联,$L354,收款金额)-IFERROR(INDEX(应收金额,MATCH($L354,应收单号,0)),0),2)&gt;0.001),"★指定冲销超过那张单的应收","OK"))))))))</f>
        <v/>
      </c>
    </row>
    <row r="355" customFormat="false" ht="15" hidden="false" customHeight="false" outlineLevel="0" collapsed="false">
      <c r="A355" s="29" t="str">
        <f aca="false">IF($C355="","",ROW()-4)</f>
        <v/>
      </c>
      <c r="B355" s="35" t="str">
        <f aca="false">IF($C355="","","SK"&amp;TEXT($C355,"yyyymm")&amp;"-"&amp;TEXT(ROW()-4,"0000"))</f>
        <v/>
      </c>
      <c r="C355" s="33"/>
      <c r="D355" s="24"/>
      <c r="E355" s="30" t="str">
        <f aca="false">IF($D355="","",IFERROR(INDEX(合同单位,MATCH($D355,合同键,0)),IFERROR(TRIM(LEFT($D355,FIND("｜",$D355)-1)),$D355)))</f>
        <v/>
      </c>
      <c r="F355" s="30" t="str">
        <f aca="false">IF($D355="","",IFERROR(INDEX(合同项目,MATCH($D355,合同键,0)),IFERROR(TRIM(MID($D355,FIND("｜",$D355)+1,99)),"")))</f>
        <v/>
      </c>
      <c r="G355" s="39"/>
      <c r="H355" s="25"/>
      <c r="I355" s="35" t="str">
        <f aca="false">IF($H355="","",IFERROR(INDEX(票据归类表,MATCH($H355,票据类型表,0)),"现金无票"))</f>
        <v/>
      </c>
      <c r="J355" s="25"/>
      <c r="K355" s="25"/>
      <c r="L355" s="31"/>
      <c r="M355" s="29" t="str">
        <f aca="false">IF($C355="","",YEAR($C355))</f>
        <v/>
      </c>
      <c r="N355" s="24"/>
      <c r="O355" s="35" t="str">
        <f aca="false">IF($C355="","",IF($D355="","★没选客户项目",IF(COUNTIF(合同键,$D355)=0,"★《维保合同》里没这个项目",IF(N($G355)&lt;=0,"★收款金额要填",IF($H355="","★票据类型要选",IF(AND($L355&lt;&gt;"",COUNTIF(应收单号,$L355)=0),"★关联的应收单号不存在",IF(AND($L355&lt;&gt;"",IFERROR(INDEX(应收键,MATCH($L355,应收单号,0)),"")&lt;&gt;$D355),"★关联单号不是这个客户的",IF(AND($L355&lt;&gt;"",ROUND(SUMIF(收款关联,$L355,收款金额)-IFERROR(INDEX(应收金额,MATCH($L355,应收单号,0)),0),2)&gt;0.001),"★指定冲销超过那张单的应收","OK"))))))))</f>
        <v/>
      </c>
    </row>
    <row r="356" customFormat="false" ht="15" hidden="false" customHeight="false" outlineLevel="0" collapsed="false">
      <c r="A356" s="29" t="str">
        <f aca="false">IF($C356="","",ROW()-4)</f>
        <v/>
      </c>
      <c r="B356" s="35" t="str">
        <f aca="false">IF($C356="","","SK"&amp;TEXT($C356,"yyyymm")&amp;"-"&amp;TEXT(ROW()-4,"0000"))</f>
        <v/>
      </c>
      <c r="C356" s="33"/>
      <c r="D356" s="24"/>
      <c r="E356" s="30" t="str">
        <f aca="false">IF($D356="","",IFERROR(INDEX(合同单位,MATCH($D356,合同键,0)),IFERROR(TRIM(LEFT($D356,FIND("｜",$D356)-1)),$D356)))</f>
        <v/>
      </c>
      <c r="F356" s="30" t="str">
        <f aca="false">IF($D356="","",IFERROR(INDEX(合同项目,MATCH($D356,合同键,0)),IFERROR(TRIM(MID($D356,FIND("｜",$D356)+1,99)),"")))</f>
        <v/>
      </c>
      <c r="G356" s="39"/>
      <c r="H356" s="25"/>
      <c r="I356" s="35" t="str">
        <f aca="false">IF($H356="","",IFERROR(INDEX(票据归类表,MATCH($H356,票据类型表,0)),"现金无票"))</f>
        <v/>
      </c>
      <c r="J356" s="25"/>
      <c r="K356" s="25"/>
      <c r="L356" s="31"/>
      <c r="M356" s="29" t="str">
        <f aca="false">IF($C356="","",YEAR($C356))</f>
        <v/>
      </c>
      <c r="N356" s="24"/>
      <c r="O356" s="35" t="str">
        <f aca="false">IF($C356="","",IF($D356="","★没选客户项目",IF(COUNTIF(合同键,$D356)=0,"★《维保合同》里没这个项目",IF(N($G356)&lt;=0,"★收款金额要填",IF($H356="","★票据类型要选",IF(AND($L356&lt;&gt;"",COUNTIF(应收单号,$L356)=0),"★关联的应收单号不存在",IF(AND($L356&lt;&gt;"",IFERROR(INDEX(应收键,MATCH($L356,应收单号,0)),"")&lt;&gt;$D356),"★关联单号不是这个客户的",IF(AND($L356&lt;&gt;"",ROUND(SUMIF(收款关联,$L356,收款金额)-IFERROR(INDEX(应收金额,MATCH($L356,应收单号,0)),0),2)&gt;0.001),"★指定冲销超过那张单的应收","OK"))))))))</f>
        <v/>
      </c>
    </row>
    <row r="357" customFormat="false" ht="15" hidden="false" customHeight="false" outlineLevel="0" collapsed="false">
      <c r="A357" s="29" t="str">
        <f aca="false">IF($C357="","",ROW()-4)</f>
        <v/>
      </c>
      <c r="B357" s="35" t="str">
        <f aca="false">IF($C357="","","SK"&amp;TEXT($C357,"yyyymm")&amp;"-"&amp;TEXT(ROW()-4,"0000"))</f>
        <v/>
      </c>
      <c r="C357" s="33"/>
      <c r="D357" s="24"/>
      <c r="E357" s="30" t="str">
        <f aca="false">IF($D357="","",IFERROR(INDEX(合同单位,MATCH($D357,合同键,0)),IFERROR(TRIM(LEFT($D357,FIND("｜",$D357)-1)),$D357)))</f>
        <v/>
      </c>
      <c r="F357" s="30" t="str">
        <f aca="false">IF($D357="","",IFERROR(INDEX(合同项目,MATCH($D357,合同键,0)),IFERROR(TRIM(MID($D357,FIND("｜",$D357)+1,99)),"")))</f>
        <v/>
      </c>
      <c r="G357" s="39"/>
      <c r="H357" s="25"/>
      <c r="I357" s="35" t="str">
        <f aca="false">IF($H357="","",IFERROR(INDEX(票据归类表,MATCH($H357,票据类型表,0)),"现金无票"))</f>
        <v/>
      </c>
      <c r="J357" s="25"/>
      <c r="K357" s="25"/>
      <c r="L357" s="31"/>
      <c r="M357" s="29" t="str">
        <f aca="false">IF($C357="","",YEAR($C357))</f>
        <v/>
      </c>
      <c r="N357" s="24"/>
      <c r="O357" s="35" t="str">
        <f aca="false">IF($C357="","",IF($D357="","★没选客户项目",IF(COUNTIF(合同键,$D357)=0,"★《维保合同》里没这个项目",IF(N($G357)&lt;=0,"★收款金额要填",IF($H357="","★票据类型要选",IF(AND($L357&lt;&gt;"",COUNTIF(应收单号,$L357)=0),"★关联的应收单号不存在",IF(AND($L357&lt;&gt;"",IFERROR(INDEX(应收键,MATCH($L357,应收单号,0)),"")&lt;&gt;$D357),"★关联单号不是这个客户的",IF(AND($L357&lt;&gt;"",ROUND(SUMIF(收款关联,$L357,收款金额)-IFERROR(INDEX(应收金额,MATCH($L357,应收单号,0)),0),2)&gt;0.001),"★指定冲销超过那张单的应收","OK"))))))))</f>
        <v/>
      </c>
    </row>
    <row r="358" customFormat="false" ht="15" hidden="false" customHeight="false" outlineLevel="0" collapsed="false">
      <c r="A358" s="29" t="str">
        <f aca="false">IF($C358="","",ROW()-4)</f>
        <v/>
      </c>
      <c r="B358" s="35" t="str">
        <f aca="false">IF($C358="","","SK"&amp;TEXT($C358,"yyyymm")&amp;"-"&amp;TEXT(ROW()-4,"0000"))</f>
        <v/>
      </c>
      <c r="C358" s="33"/>
      <c r="D358" s="24"/>
      <c r="E358" s="30" t="str">
        <f aca="false">IF($D358="","",IFERROR(INDEX(合同单位,MATCH($D358,合同键,0)),IFERROR(TRIM(LEFT($D358,FIND("｜",$D358)-1)),$D358)))</f>
        <v/>
      </c>
      <c r="F358" s="30" t="str">
        <f aca="false">IF($D358="","",IFERROR(INDEX(合同项目,MATCH($D358,合同键,0)),IFERROR(TRIM(MID($D358,FIND("｜",$D358)+1,99)),"")))</f>
        <v/>
      </c>
      <c r="G358" s="39"/>
      <c r="H358" s="25"/>
      <c r="I358" s="35" t="str">
        <f aca="false">IF($H358="","",IFERROR(INDEX(票据归类表,MATCH($H358,票据类型表,0)),"现金无票"))</f>
        <v/>
      </c>
      <c r="J358" s="25"/>
      <c r="K358" s="25"/>
      <c r="L358" s="31"/>
      <c r="M358" s="29" t="str">
        <f aca="false">IF($C358="","",YEAR($C358))</f>
        <v/>
      </c>
      <c r="N358" s="24"/>
      <c r="O358" s="35" t="str">
        <f aca="false">IF($C358="","",IF($D358="","★没选客户项目",IF(COUNTIF(合同键,$D358)=0,"★《维保合同》里没这个项目",IF(N($G358)&lt;=0,"★收款金额要填",IF($H358="","★票据类型要选",IF(AND($L358&lt;&gt;"",COUNTIF(应收单号,$L358)=0),"★关联的应收单号不存在",IF(AND($L358&lt;&gt;"",IFERROR(INDEX(应收键,MATCH($L358,应收单号,0)),"")&lt;&gt;$D358),"★关联单号不是这个客户的",IF(AND($L358&lt;&gt;"",ROUND(SUMIF(收款关联,$L358,收款金额)-IFERROR(INDEX(应收金额,MATCH($L358,应收单号,0)),0),2)&gt;0.001),"★指定冲销超过那张单的应收","OK"))))))))</f>
        <v/>
      </c>
    </row>
    <row r="359" customFormat="false" ht="15" hidden="false" customHeight="false" outlineLevel="0" collapsed="false">
      <c r="A359" s="29" t="str">
        <f aca="false">IF($C359="","",ROW()-4)</f>
        <v/>
      </c>
      <c r="B359" s="35" t="str">
        <f aca="false">IF($C359="","","SK"&amp;TEXT($C359,"yyyymm")&amp;"-"&amp;TEXT(ROW()-4,"0000"))</f>
        <v/>
      </c>
      <c r="C359" s="33"/>
      <c r="D359" s="24"/>
      <c r="E359" s="30" t="str">
        <f aca="false">IF($D359="","",IFERROR(INDEX(合同单位,MATCH($D359,合同键,0)),IFERROR(TRIM(LEFT($D359,FIND("｜",$D359)-1)),$D359)))</f>
        <v/>
      </c>
      <c r="F359" s="30" t="str">
        <f aca="false">IF($D359="","",IFERROR(INDEX(合同项目,MATCH($D359,合同键,0)),IFERROR(TRIM(MID($D359,FIND("｜",$D359)+1,99)),"")))</f>
        <v/>
      </c>
      <c r="G359" s="39"/>
      <c r="H359" s="25"/>
      <c r="I359" s="35" t="str">
        <f aca="false">IF($H359="","",IFERROR(INDEX(票据归类表,MATCH($H359,票据类型表,0)),"现金无票"))</f>
        <v/>
      </c>
      <c r="J359" s="25"/>
      <c r="K359" s="25"/>
      <c r="L359" s="31"/>
      <c r="M359" s="29" t="str">
        <f aca="false">IF($C359="","",YEAR($C359))</f>
        <v/>
      </c>
      <c r="N359" s="24"/>
      <c r="O359" s="35" t="str">
        <f aca="false">IF($C359="","",IF($D359="","★没选客户项目",IF(COUNTIF(合同键,$D359)=0,"★《维保合同》里没这个项目",IF(N($G359)&lt;=0,"★收款金额要填",IF($H359="","★票据类型要选",IF(AND($L359&lt;&gt;"",COUNTIF(应收单号,$L359)=0),"★关联的应收单号不存在",IF(AND($L359&lt;&gt;"",IFERROR(INDEX(应收键,MATCH($L359,应收单号,0)),"")&lt;&gt;$D359),"★关联单号不是这个客户的",IF(AND($L359&lt;&gt;"",ROUND(SUMIF(收款关联,$L359,收款金额)-IFERROR(INDEX(应收金额,MATCH($L359,应收单号,0)),0),2)&gt;0.001),"★指定冲销超过那张单的应收","OK"))))))))</f>
        <v/>
      </c>
    </row>
    <row r="360" customFormat="false" ht="15" hidden="false" customHeight="false" outlineLevel="0" collapsed="false">
      <c r="A360" s="29" t="str">
        <f aca="false">IF($C360="","",ROW()-4)</f>
        <v/>
      </c>
      <c r="B360" s="35" t="str">
        <f aca="false">IF($C360="","","SK"&amp;TEXT($C360,"yyyymm")&amp;"-"&amp;TEXT(ROW()-4,"0000"))</f>
        <v/>
      </c>
      <c r="C360" s="33"/>
      <c r="D360" s="24"/>
      <c r="E360" s="30" t="str">
        <f aca="false">IF($D360="","",IFERROR(INDEX(合同单位,MATCH($D360,合同键,0)),IFERROR(TRIM(LEFT($D360,FIND("｜",$D360)-1)),$D360)))</f>
        <v/>
      </c>
      <c r="F360" s="30" t="str">
        <f aca="false">IF($D360="","",IFERROR(INDEX(合同项目,MATCH($D360,合同键,0)),IFERROR(TRIM(MID($D360,FIND("｜",$D360)+1,99)),"")))</f>
        <v/>
      </c>
      <c r="G360" s="39"/>
      <c r="H360" s="25"/>
      <c r="I360" s="35" t="str">
        <f aca="false">IF($H360="","",IFERROR(INDEX(票据归类表,MATCH($H360,票据类型表,0)),"现金无票"))</f>
        <v/>
      </c>
      <c r="J360" s="25"/>
      <c r="K360" s="25"/>
      <c r="L360" s="31"/>
      <c r="M360" s="29" t="str">
        <f aca="false">IF($C360="","",YEAR($C360))</f>
        <v/>
      </c>
      <c r="N360" s="24"/>
      <c r="O360" s="35" t="str">
        <f aca="false">IF($C360="","",IF($D360="","★没选客户项目",IF(COUNTIF(合同键,$D360)=0,"★《维保合同》里没这个项目",IF(N($G360)&lt;=0,"★收款金额要填",IF($H360="","★票据类型要选",IF(AND($L360&lt;&gt;"",COUNTIF(应收单号,$L360)=0),"★关联的应收单号不存在",IF(AND($L360&lt;&gt;"",IFERROR(INDEX(应收键,MATCH($L360,应收单号,0)),"")&lt;&gt;$D360),"★关联单号不是这个客户的",IF(AND($L360&lt;&gt;"",ROUND(SUMIF(收款关联,$L360,收款金额)-IFERROR(INDEX(应收金额,MATCH($L360,应收单号,0)),0),2)&gt;0.001),"★指定冲销超过那张单的应收","OK"))))))))</f>
        <v/>
      </c>
    </row>
    <row r="361" customFormat="false" ht="15" hidden="false" customHeight="false" outlineLevel="0" collapsed="false">
      <c r="A361" s="29" t="str">
        <f aca="false">IF($C361="","",ROW()-4)</f>
        <v/>
      </c>
      <c r="B361" s="35" t="str">
        <f aca="false">IF($C361="","","SK"&amp;TEXT($C361,"yyyymm")&amp;"-"&amp;TEXT(ROW()-4,"0000"))</f>
        <v/>
      </c>
      <c r="C361" s="33"/>
      <c r="D361" s="24"/>
      <c r="E361" s="30" t="str">
        <f aca="false">IF($D361="","",IFERROR(INDEX(合同单位,MATCH($D361,合同键,0)),IFERROR(TRIM(LEFT($D361,FIND("｜",$D361)-1)),$D361)))</f>
        <v/>
      </c>
      <c r="F361" s="30" t="str">
        <f aca="false">IF($D361="","",IFERROR(INDEX(合同项目,MATCH($D361,合同键,0)),IFERROR(TRIM(MID($D361,FIND("｜",$D361)+1,99)),"")))</f>
        <v/>
      </c>
      <c r="G361" s="39"/>
      <c r="H361" s="25"/>
      <c r="I361" s="35" t="str">
        <f aca="false">IF($H361="","",IFERROR(INDEX(票据归类表,MATCH($H361,票据类型表,0)),"现金无票"))</f>
        <v/>
      </c>
      <c r="J361" s="25"/>
      <c r="K361" s="25"/>
      <c r="L361" s="31"/>
      <c r="M361" s="29" t="str">
        <f aca="false">IF($C361="","",YEAR($C361))</f>
        <v/>
      </c>
      <c r="N361" s="24"/>
      <c r="O361" s="35" t="str">
        <f aca="false">IF($C361="","",IF($D361="","★没选客户项目",IF(COUNTIF(合同键,$D361)=0,"★《维保合同》里没这个项目",IF(N($G361)&lt;=0,"★收款金额要填",IF($H361="","★票据类型要选",IF(AND($L361&lt;&gt;"",COUNTIF(应收单号,$L361)=0),"★关联的应收单号不存在",IF(AND($L361&lt;&gt;"",IFERROR(INDEX(应收键,MATCH($L361,应收单号,0)),"")&lt;&gt;$D361),"★关联单号不是这个客户的",IF(AND($L361&lt;&gt;"",ROUND(SUMIF(收款关联,$L361,收款金额)-IFERROR(INDEX(应收金额,MATCH($L361,应收单号,0)),0),2)&gt;0.001),"★指定冲销超过那张单的应收","OK"))))))))</f>
        <v/>
      </c>
    </row>
    <row r="362" customFormat="false" ht="15" hidden="false" customHeight="false" outlineLevel="0" collapsed="false">
      <c r="A362" s="29" t="str">
        <f aca="false">IF($C362="","",ROW()-4)</f>
        <v/>
      </c>
      <c r="B362" s="35" t="str">
        <f aca="false">IF($C362="","","SK"&amp;TEXT($C362,"yyyymm")&amp;"-"&amp;TEXT(ROW()-4,"0000"))</f>
        <v/>
      </c>
      <c r="C362" s="33"/>
      <c r="D362" s="24"/>
      <c r="E362" s="30" t="str">
        <f aca="false">IF($D362="","",IFERROR(INDEX(合同单位,MATCH($D362,合同键,0)),IFERROR(TRIM(LEFT($D362,FIND("｜",$D362)-1)),$D362)))</f>
        <v/>
      </c>
      <c r="F362" s="30" t="str">
        <f aca="false">IF($D362="","",IFERROR(INDEX(合同项目,MATCH($D362,合同键,0)),IFERROR(TRIM(MID($D362,FIND("｜",$D362)+1,99)),"")))</f>
        <v/>
      </c>
      <c r="G362" s="39"/>
      <c r="H362" s="25"/>
      <c r="I362" s="35" t="str">
        <f aca="false">IF($H362="","",IFERROR(INDEX(票据归类表,MATCH($H362,票据类型表,0)),"现金无票"))</f>
        <v/>
      </c>
      <c r="J362" s="25"/>
      <c r="K362" s="25"/>
      <c r="L362" s="31"/>
      <c r="M362" s="29" t="str">
        <f aca="false">IF($C362="","",YEAR($C362))</f>
        <v/>
      </c>
      <c r="N362" s="24"/>
      <c r="O362" s="35" t="str">
        <f aca="false">IF($C362="","",IF($D362="","★没选客户项目",IF(COUNTIF(合同键,$D362)=0,"★《维保合同》里没这个项目",IF(N($G362)&lt;=0,"★收款金额要填",IF($H362="","★票据类型要选",IF(AND($L362&lt;&gt;"",COUNTIF(应收单号,$L362)=0),"★关联的应收单号不存在",IF(AND($L362&lt;&gt;"",IFERROR(INDEX(应收键,MATCH($L362,应收单号,0)),"")&lt;&gt;$D362),"★关联单号不是这个客户的",IF(AND($L362&lt;&gt;"",ROUND(SUMIF(收款关联,$L362,收款金额)-IFERROR(INDEX(应收金额,MATCH($L362,应收单号,0)),0),2)&gt;0.001),"★指定冲销超过那张单的应收","OK"))))))))</f>
        <v/>
      </c>
    </row>
    <row r="363" customFormat="false" ht="15" hidden="false" customHeight="false" outlineLevel="0" collapsed="false">
      <c r="A363" s="29" t="str">
        <f aca="false">IF($C363="","",ROW()-4)</f>
        <v/>
      </c>
      <c r="B363" s="35" t="str">
        <f aca="false">IF($C363="","","SK"&amp;TEXT($C363,"yyyymm")&amp;"-"&amp;TEXT(ROW()-4,"0000"))</f>
        <v/>
      </c>
      <c r="C363" s="33"/>
      <c r="D363" s="24"/>
      <c r="E363" s="30" t="str">
        <f aca="false">IF($D363="","",IFERROR(INDEX(合同单位,MATCH($D363,合同键,0)),IFERROR(TRIM(LEFT($D363,FIND("｜",$D363)-1)),$D363)))</f>
        <v/>
      </c>
      <c r="F363" s="30" t="str">
        <f aca="false">IF($D363="","",IFERROR(INDEX(合同项目,MATCH($D363,合同键,0)),IFERROR(TRIM(MID($D363,FIND("｜",$D363)+1,99)),"")))</f>
        <v/>
      </c>
      <c r="G363" s="39"/>
      <c r="H363" s="25"/>
      <c r="I363" s="35" t="str">
        <f aca="false">IF($H363="","",IFERROR(INDEX(票据归类表,MATCH($H363,票据类型表,0)),"现金无票"))</f>
        <v/>
      </c>
      <c r="J363" s="25"/>
      <c r="K363" s="25"/>
      <c r="L363" s="31"/>
      <c r="M363" s="29" t="str">
        <f aca="false">IF($C363="","",YEAR($C363))</f>
        <v/>
      </c>
      <c r="N363" s="24"/>
      <c r="O363" s="35" t="str">
        <f aca="false">IF($C363="","",IF($D363="","★没选客户项目",IF(COUNTIF(合同键,$D363)=0,"★《维保合同》里没这个项目",IF(N($G363)&lt;=0,"★收款金额要填",IF($H363="","★票据类型要选",IF(AND($L363&lt;&gt;"",COUNTIF(应收单号,$L363)=0),"★关联的应收单号不存在",IF(AND($L363&lt;&gt;"",IFERROR(INDEX(应收键,MATCH($L363,应收单号,0)),"")&lt;&gt;$D363),"★关联单号不是这个客户的",IF(AND($L363&lt;&gt;"",ROUND(SUMIF(收款关联,$L363,收款金额)-IFERROR(INDEX(应收金额,MATCH($L363,应收单号,0)),0),2)&gt;0.001),"★指定冲销超过那张单的应收","OK"))))))))</f>
        <v/>
      </c>
    </row>
    <row r="364" customFormat="false" ht="15" hidden="false" customHeight="false" outlineLevel="0" collapsed="false">
      <c r="A364" s="29" t="str">
        <f aca="false">IF($C364="","",ROW()-4)</f>
        <v/>
      </c>
      <c r="B364" s="35" t="str">
        <f aca="false">IF($C364="","","SK"&amp;TEXT($C364,"yyyymm")&amp;"-"&amp;TEXT(ROW()-4,"0000"))</f>
        <v/>
      </c>
      <c r="C364" s="33"/>
      <c r="D364" s="24"/>
      <c r="E364" s="30" t="str">
        <f aca="false">IF($D364="","",IFERROR(INDEX(合同单位,MATCH($D364,合同键,0)),IFERROR(TRIM(LEFT($D364,FIND("｜",$D364)-1)),$D364)))</f>
        <v/>
      </c>
      <c r="F364" s="30" t="str">
        <f aca="false">IF($D364="","",IFERROR(INDEX(合同项目,MATCH($D364,合同键,0)),IFERROR(TRIM(MID($D364,FIND("｜",$D364)+1,99)),"")))</f>
        <v/>
      </c>
      <c r="G364" s="39"/>
      <c r="H364" s="25"/>
      <c r="I364" s="35" t="str">
        <f aca="false">IF($H364="","",IFERROR(INDEX(票据归类表,MATCH($H364,票据类型表,0)),"现金无票"))</f>
        <v/>
      </c>
      <c r="J364" s="25"/>
      <c r="K364" s="25"/>
      <c r="L364" s="31"/>
      <c r="M364" s="29" t="str">
        <f aca="false">IF($C364="","",YEAR($C364))</f>
        <v/>
      </c>
      <c r="N364" s="24"/>
      <c r="O364" s="35" t="str">
        <f aca="false">IF($C364="","",IF($D364="","★没选客户项目",IF(COUNTIF(合同键,$D364)=0,"★《维保合同》里没这个项目",IF(N($G364)&lt;=0,"★收款金额要填",IF($H364="","★票据类型要选",IF(AND($L364&lt;&gt;"",COUNTIF(应收单号,$L364)=0),"★关联的应收单号不存在",IF(AND($L364&lt;&gt;"",IFERROR(INDEX(应收键,MATCH($L364,应收单号,0)),"")&lt;&gt;$D364),"★关联单号不是这个客户的",IF(AND($L364&lt;&gt;"",ROUND(SUMIF(收款关联,$L364,收款金额)-IFERROR(INDEX(应收金额,MATCH($L364,应收单号,0)),0),2)&gt;0.001),"★指定冲销超过那张单的应收","OK"))))))))</f>
        <v/>
      </c>
    </row>
    <row r="365" customFormat="false" ht="15" hidden="false" customHeight="false" outlineLevel="0" collapsed="false">
      <c r="A365" s="29" t="str">
        <f aca="false">IF($C365="","",ROW()-4)</f>
        <v/>
      </c>
      <c r="B365" s="35" t="str">
        <f aca="false">IF($C365="","","SK"&amp;TEXT($C365,"yyyymm")&amp;"-"&amp;TEXT(ROW()-4,"0000"))</f>
        <v/>
      </c>
      <c r="C365" s="33"/>
      <c r="D365" s="24"/>
      <c r="E365" s="30" t="str">
        <f aca="false">IF($D365="","",IFERROR(INDEX(合同单位,MATCH($D365,合同键,0)),IFERROR(TRIM(LEFT($D365,FIND("｜",$D365)-1)),$D365)))</f>
        <v/>
      </c>
      <c r="F365" s="30" t="str">
        <f aca="false">IF($D365="","",IFERROR(INDEX(合同项目,MATCH($D365,合同键,0)),IFERROR(TRIM(MID($D365,FIND("｜",$D365)+1,99)),"")))</f>
        <v/>
      </c>
      <c r="G365" s="39"/>
      <c r="H365" s="25"/>
      <c r="I365" s="35" t="str">
        <f aca="false">IF($H365="","",IFERROR(INDEX(票据归类表,MATCH($H365,票据类型表,0)),"现金无票"))</f>
        <v/>
      </c>
      <c r="J365" s="25"/>
      <c r="K365" s="25"/>
      <c r="L365" s="31"/>
      <c r="M365" s="29" t="str">
        <f aca="false">IF($C365="","",YEAR($C365))</f>
        <v/>
      </c>
      <c r="N365" s="24"/>
      <c r="O365" s="35" t="str">
        <f aca="false">IF($C365="","",IF($D365="","★没选客户项目",IF(COUNTIF(合同键,$D365)=0,"★《维保合同》里没这个项目",IF(N($G365)&lt;=0,"★收款金额要填",IF($H365="","★票据类型要选",IF(AND($L365&lt;&gt;"",COUNTIF(应收单号,$L365)=0),"★关联的应收单号不存在",IF(AND($L365&lt;&gt;"",IFERROR(INDEX(应收键,MATCH($L365,应收单号,0)),"")&lt;&gt;$D365),"★关联单号不是这个客户的",IF(AND($L365&lt;&gt;"",ROUND(SUMIF(收款关联,$L365,收款金额)-IFERROR(INDEX(应收金额,MATCH($L365,应收单号,0)),0),2)&gt;0.001),"★指定冲销超过那张单的应收","OK"))))))))</f>
        <v/>
      </c>
    </row>
    <row r="366" customFormat="false" ht="15" hidden="false" customHeight="false" outlineLevel="0" collapsed="false">
      <c r="A366" s="29" t="str">
        <f aca="false">IF($C366="","",ROW()-4)</f>
        <v/>
      </c>
      <c r="B366" s="35" t="str">
        <f aca="false">IF($C366="","","SK"&amp;TEXT($C366,"yyyymm")&amp;"-"&amp;TEXT(ROW()-4,"0000"))</f>
        <v/>
      </c>
      <c r="C366" s="33"/>
      <c r="D366" s="24"/>
      <c r="E366" s="30" t="str">
        <f aca="false">IF($D366="","",IFERROR(INDEX(合同单位,MATCH($D366,合同键,0)),IFERROR(TRIM(LEFT($D366,FIND("｜",$D366)-1)),$D366)))</f>
        <v/>
      </c>
      <c r="F366" s="30" t="str">
        <f aca="false">IF($D366="","",IFERROR(INDEX(合同项目,MATCH($D366,合同键,0)),IFERROR(TRIM(MID($D366,FIND("｜",$D366)+1,99)),"")))</f>
        <v/>
      </c>
      <c r="G366" s="39"/>
      <c r="H366" s="25"/>
      <c r="I366" s="35" t="str">
        <f aca="false">IF($H366="","",IFERROR(INDEX(票据归类表,MATCH($H366,票据类型表,0)),"现金无票"))</f>
        <v/>
      </c>
      <c r="J366" s="25"/>
      <c r="K366" s="25"/>
      <c r="L366" s="31"/>
      <c r="M366" s="29" t="str">
        <f aca="false">IF($C366="","",YEAR($C366))</f>
        <v/>
      </c>
      <c r="N366" s="24"/>
      <c r="O366" s="35" t="str">
        <f aca="false">IF($C366="","",IF($D366="","★没选客户项目",IF(COUNTIF(合同键,$D366)=0,"★《维保合同》里没这个项目",IF(N($G366)&lt;=0,"★收款金额要填",IF($H366="","★票据类型要选",IF(AND($L366&lt;&gt;"",COUNTIF(应收单号,$L366)=0),"★关联的应收单号不存在",IF(AND($L366&lt;&gt;"",IFERROR(INDEX(应收键,MATCH($L366,应收单号,0)),"")&lt;&gt;$D366),"★关联单号不是这个客户的",IF(AND($L366&lt;&gt;"",ROUND(SUMIF(收款关联,$L366,收款金额)-IFERROR(INDEX(应收金额,MATCH($L366,应收单号,0)),0),2)&gt;0.001),"★指定冲销超过那张单的应收","OK"))))))))</f>
        <v/>
      </c>
    </row>
    <row r="367" customFormat="false" ht="15" hidden="false" customHeight="false" outlineLevel="0" collapsed="false">
      <c r="A367" s="29" t="str">
        <f aca="false">IF($C367="","",ROW()-4)</f>
        <v/>
      </c>
      <c r="B367" s="35" t="str">
        <f aca="false">IF($C367="","","SK"&amp;TEXT($C367,"yyyymm")&amp;"-"&amp;TEXT(ROW()-4,"0000"))</f>
        <v/>
      </c>
      <c r="C367" s="33"/>
      <c r="D367" s="24"/>
      <c r="E367" s="30" t="str">
        <f aca="false">IF($D367="","",IFERROR(INDEX(合同单位,MATCH($D367,合同键,0)),IFERROR(TRIM(LEFT($D367,FIND("｜",$D367)-1)),$D367)))</f>
        <v/>
      </c>
      <c r="F367" s="30" t="str">
        <f aca="false">IF($D367="","",IFERROR(INDEX(合同项目,MATCH($D367,合同键,0)),IFERROR(TRIM(MID($D367,FIND("｜",$D367)+1,99)),"")))</f>
        <v/>
      </c>
      <c r="G367" s="39"/>
      <c r="H367" s="25"/>
      <c r="I367" s="35" t="str">
        <f aca="false">IF($H367="","",IFERROR(INDEX(票据归类表,MATCH($H367,票据类型表,0)),"现金无票"))</f>
        <v/>
      </c>
      <c r="J367" s="25"/>
      <c r="K367" s="25"/>
      <c r="L367" s="31"/>
      <c r="M367" s="29" t="str">
        <f aca="false">IF($C367="","",YEAR($C367))</f>
        <v/>
      </c>
      <c r="N367" s="24"/>
      <c r="O367" s="35" t="str">
        <f aca="false">IF($C367="","",IF($D367="","★没选客户项目",IF(COUNTIF(合同键,$D367)=0,"★《维保合同》里没这个项目",IF(N($G367)&lt;=0,"★收款金额要填",IF($H367="","★票据类型要选",IF(AND($L367&lt;&gt;"",COUNTIF(应收单号,$L367)=0),"★关联的应收单号不存在",IF(AND($L367&lt;&gt;"",IFERROR(INDEX(应收键,MATCH($L367,应收单号,0)),"")&lt;&gt;$D367),"★关联单号不是这个客户的",IF(AND($L367&lt;&gt;"",ROUND(SUMIF(收款关联,$L367,收款金额)-IFERROR(INDEX(应收金额,MATCH($L367,应收单号,0)),0),2)&gt;0.001),"★指定冲销超过那张单的应收","OK"))))))))</f>
        <v/>
      </c>
    </row>
    <row r="368" customFormat="false" ht="15" hidden="false" customHeight="false" outlineLevel="0" collapsed="false">
      <c r="A368" s="29" t="str">
        <f aca="false">IF($C368="","",ROW()-4)</f>
        <v/>
      </c>
      <c r="B368" s="35" t="str">
        <f aca="false">IF($C368="","","SK"&amp;TEXT($C368,"yyyymm")&amp;"-"&amp;TEXT(ROW()-4,"0000"))</f>
        <v/>
      </c>
      <c r="C368" s="33"/>
      <c r="D368" s="24"/>
      <c r="E368" s="30" t="str">
        <f aca="false">IF($D368="","",IFERROR(INDEX(合同单位,MATCH($D368,合同键,0)),IFERROR(TRIM(LEFT($D368,FIND("｜",$D368)-1)),$D368)))</f>
        <v/>
      </c>
      <c r="F368" s="30" t="str">
        <f aca="false">IF($D368="","",IFERROR(INDEX(合同项目,MATCH($D368,合同键,0)),IFERROR(TRIM(MID($D368,FIND("｜",$D368)+1,99)),"")))</f>
        <v/>
      </c>
      <c r="G368" s="39"/>
      <c r="H368" s="25"/>
      <c r="I368" s="35" t="str">
        <f aca="false">IF($H368="","",IFERROR(INDEX(票据归类表,MATCH($H368,票据类型表,0)),"现金无票"))</f>
        <v/>
      </c>
      <c r="J368" s="25"/>
      <c r="K368" s="25"/>
      <c r="L368" s="31"/>
      <c r="M368" s="29" t="str">
        <f aca="false">IF($C368="","",YEAR($C368))</f>
        <v/>
      </c>
      <c r="N368" s="24"/>
      <c r="O368" s="35" t="str">
        <f aca="false">IF($C368="","",IF($D368="","★没选客户项目",IF(COUNTIF(合同键,$D368)=0,"★《维保合同》里没这个项目",IF(N($G368)&lt;=0,"★收款金额要填",IF($H368="","★票据类型要选",IF(AND($L368&lt;&gt;"",COUNTIF(应收单号,$L368)=0),"★关联的应收单号不存在",IF(AND($L368&lt;&gt;"",IFERROR(INDEX(应收键,MATCH($L368,应收单号,0)),"")&lt;&gt;$D368),"★关联单号不是这个客户的",IF(AND($L368&lt;&gt;"",ROUND(SUMIF(收款关联,$L368,收款金额)-IFERROR(INDEX(应收金额,MATCH($L368,应收单号,0)),0),2)&gt;0.001),"★指定冲销超过那张单的应收","OK"))))))))</f>
        <v/>
      </c>
    </row>
    <row r="369" customFormat="false" ht="15" hidden="false" customHeight="false" outlineLevel="0" collapsed="false">
      <c r="A369" s="29" t="str">
        <f aca="false">IF($C369="","",ROW()-4)</f>
        <v/>
      </c>
      <c r="B369" s="35" t="str">
        <f aca="false">IF($C369="","","SK"&amp;TEXT($C369,"yyyymm")&amp;"-"&amp;TEXT(ROW()-4,"0000"))</f>
        <v/>
      </c>
      <c r="C369" s="33"/>
      <c r="D369" s="24"/>
      <c r="E369" s="30" t="str">
        <f aca="false">IF($D369="","",IFERROR(INDEX(合同单位,MATCH($D369,合同键,0)),IFERROR(TRIM(LEFT($D369,FIND("｜",$D369)-1)),$D369)))</f>
        <v/>
      </c>
      <c r="F369" s="30" t="str">
        <f aca="false">IF($D369="","",IFERROR(INDEX(合同项目,MATCH($D369,合同键,0)),IFERROR(TRIM(MID($D369,FIND("｜",$D369)+1,99)),"")))</f>
        <v/>
      </c>
      <c r="G369" s="39"/>
      <c r="H369" s="25"/>
      <c r="I369" s="35" t="str">
        <f aca="false">IF($H369="","",IFERROR(INDEX(票据归类表,MATCH($H369,票据类型表,0)),"现金无票"))</f>
        <v/>
      </c>
      <c r="J369" s="25"/>
      <c r="K369" s="25"/>
      <c r="L369" s="31"/>
      <c r="M369" s="29" t="str">
        <f aca="false">IF($C369="","",YEAR($C369))</f>
        <v/>
      </c>
      <c r="N369" s="24"/>
      <c r="O369" s="35" t="str">
        <f aca="false">IF($C369="","",IF($D369="","★没选客户项目",IF(COUNTIF(合同键,$D369)=0,"★《维保合同》里没这个项目",IF(N($G369)&lt;=0,"★收款金额要填",IF($H369="","★票据类型要选",IF(AND($L369&lt;&gt;"",COUNTIF(应收单号,$L369)=0),"★关联的应收单号不存在",IF(AND($L369&lt;&gt;"",IFERROR(INDEX(应收键,MATCH($L369,应收单号,0)),"")&lt;&gt;$D369),"★关联单号不是这个客户的",IF(AND($L369&lt;&gt;"",ROUND(SUMIF(收款关联,$L369,收款金额)-IFERROR(INDEX(应收金额,MATCH($L369,应收单号,0)),0),2)&gt;0.001),"★指定冲销超过那张单的应收","OK"))))))))</f>
        <v/>
      </c>
    </row>
    <row r="370" customFormat="false" ht="15" hidden="false" customHeight="false" outlineLevel="0" collapsed="false">
      <c r="A370" s="29" t="str">
        <f aca="false">IF($C370="","",ROW()-4)</f>
        <v/>
      </c>
      <c r="B370" s="35" t="str">
        <f aca="false">IF($C370="","","SK"&amp;TEXT($C370,"yyyymm")&amp;"-"&amp;TEXT(ROW()-4,"0000"))</f>
        <v/>
      </c>
      <c r="C370" s="33"/>
      <c r="D370" s="24"/>
      <c r="E370" s="30" t="str">
        <f aca="false">IF($D370="","",IFERROR(INDEX(合同单位,MATCH($D370,合同键,0)),IFERROR(TRIM(LEFT($D370,FIND("｜",$D370)-1)),$D370)))</f>
        <v/>
      </c>
      <c r="F370" s="30" t="str">
        <f aca="false">IF($D370="","",IFERROR(INDEX(合同项目,MATCH($D370,合同键,0)),IFERROR(TRIM(MID($D370,FIND("｜",$D370)+1,99)),"")))</f>
        <v/>
      </c>
      <c r="G370" s="39"/>
      <c r="H370" s="25"/>
      <c r="I370" s="35" t="str">
        <f aca="false">IF($H370="","",IFERROR(INDEX(票据归类表,MATCH($H370,票据类型表,0)),"现金无票"))</f>
        <v/>
      </c>
      <c r="J370" s="25"/>
      <c r="K370" s="25"/>
      <c r="L370" s="31"/>
      <c r="M370" s="29" t="str">
        <f aca="false">IF($C370="","",YEAR($C370))</f>
        <v/>
      </c>
      <c r="N370" s="24"/>
      <c r="O370" s="35" t="str">
        <f aca="false">IF($C370="","",IF($D370="","★没选客户项目",IF(COUNTIF(合同键,$D370)=0,"★《维保合同》里没这个项目",IF(N($G370)&lt;=0,"★收款金额要填",IF($H370="","★票据类型要选",IF(AND($L370&lt;&gt;"",COUNTIF(应收单号,$L370)=0),"★关联的应收单号不存在",IF(AND($L370&lt;&gt;"",IFERROR(INDEX(应收键,MATCH($L370,应收单号,0)),"")&lt;&gt;$D370),"★关联单号不是这个客户的",IF(AND($L370&lt;&gt;"",ROUND(SUMIF(收款关联,$L370,收款金额)-IFERROR(INDEX(应收金额,MATCH($L370,应收单号,0)),0),2)&gt;0.001),"★指定冲销超过那张单的应收","OK"))))))))</f>
        <v/>
      </c>
    </row>
    <row r="371" customFormat="false" ht="15" hidden="false" customHeight="false" outlineLevel="0" collapsed="false">
      <c r="A371" s="29" t="str">
        <f aca="false">IF($C371="","",ROW()-4)</f>
        <v/>
      </c>
      <c r="B371" s="35" t="str">
        <f aca="false">IF($C371="","","SK"&amp;TEXT($C371,"yyyymm")&amp;"-"&amp;TEXT(ROW()-4,"0000"))</f>
        <v/>
      </c>
      <c r="C371" s="33"/>
      <c r="D371" s="24"/>
      <c r="E371" s="30" t="str">
        <f aca="false">IF($D371="","",IFERROR(INDEX(合同单位,MATCH($D371,合同键,0)),IFERROR(TRIM(LEFT($D371,FIND("｜",$D371)-1)),$D371)))</f>
        <v/>
      </c>
      <c r="F371" s="30" t="str">
        <f aca="false">IF($D371="","",IFERROR(INDEX(合同项目,MATCH($D371,合同键,0)),IFERROR(TRIM(MID($D371,FIND("｜",$D371)+1,99)),"")))</f>
        <v/>
      </c>
      <c r="G371" s="39"/>
      <c r="H371" s="25"/>
      <c r="I371" s="35" t="str">
        <f aca="false">IF($H371="","",IFERROR(INDEX(票据归类表,MATCH($H371,票据类型表,0)),"现金无票"))</f>
        <v/>
      </c>
      <c r="J371" s="25"/>
      <c r="K371" s="25"/>
      <c r="L371" s="31"/>
      <c r="M371" s="29" t="str">
        <f aca="false">IF($C371="","",YEAR($C371))</f>
        <v/>
      </c>
      <c r="N371" s="24"/>
      <c r="O371" s="35" t="str">
        <f aca="false">IF($C371="","",IF($D371="","★没选客户项目",IF(COUNTIF(合同键,$D371)=0,"★《维保合同》里没这个项目",IF(N($G371)&lt;=0,"★收款金额要填",IF($H371="","★票据类型要选",IF(AND($L371&lt;&gt;"",COUNTIF(应收单号,$L371)=0),"★关联的应收单号不存在",IF(AND($L371&lt;&gt;"",IFERROR(INDEX(应收键,MATCH($L371,应收单号,0)),"")&lt;&gt;$D371),"★关联单号不是这个客户的",IF(AND($L371&lt;&gt;"",ROUND(SUMIF(收款关联,$L371,收款金额)-IFERROR(INDEX(应收金额,MATCH($L371,应收单号,0)),0),2)&gt;0.001),"★指定冲销超过那张单的应收","OK"))))))))</f>
        <v/>
      </c>
    </row>
    <row r="372" customFormat="false" ht="15" hidden="false" customHeight="false" outlineLevel="0" collapsed="false">
      <c r="A372" s="29" t="str">
        <f aca="false">IF($C372="","",ROW()-4)</f>
        <v/>
      </c>
      <c r="B372" s="35" t="str">
        <f aca="false">IF($C372="","","SK"&amp;TEXT($C372,"yyyymm")&amp;"-"&amp;TEXT(ROW()-4,"0000"))</f>
        <v/>
      </c>
      <c r="C372" s="33"/>
      <c r="D372" s="24"/>
      <c r="E372" s="30" t="str">
        <f aca="false">IF($D372="","",IFERROR(INDEX(合同单位,MATCH($D372,合同键,0)),IFERROR(TRIM(LEFT($D372,FIND("｜",$D372)-1)),$D372)))</f>
        <v/>
      </c>
      <c r="F372" s="30" t="str">
        <f aca="false">IF($D372="","",IFERROR(INDEX(合同项目,MATCH($D372,合同键,0)),IFERROR(TRIM(MID($D372,FIND("｜",$D372)+1,99)),"")))</f>
        <v/>
      </c>
      <c r="G372" s="39"/>
      <c r="H372" s="25"/>
      <c r="I372" s="35" t="str">
        <f aca="false">IF($H372="","",IFERROR(INDEX(票据归类表,MATCH($H372,票据类型表,0)),"现金无票"))</f>
        <v/>
      </c>
      <c r="J372" s="25"/>
      <c r="K372" s="25"/>
      <c r="L372" s="31"/>
      <c r="M372" s="29" t="str">
        <f aca="false">IF($C372="","",YEAR($C372))</f>
        <v/>
      </c>
      <c r="N372" s="24"/>
      <c r="O372" s="35" t="str">
        <f aca="false">IF($C372="","",IF($D372="","★没选客户项目",IF(COUNTIF(合同键,$D372)=0,"★《维保合同》里没这个项目",IF(N($G372)&lt;=0,"★收款金额要填",IF($H372="","★票据类型要选",IF(AND($L372&lt;&gt;"",COUNTIF(应收单号,$L372)=0),"★关联的应收单号不存在",IF(AND($L372&lt;&gt;"",IFERROR(INDEX(应收键,MATCH($L372,应收单号,0)),"")&lt;&gt;$D372),"★关联单号不是这个客户的",IF(AND($L372&lt;&gt;"",ROUND(SUMIF(收款关联,$L372,收款金额)-IFERROR(INDEX(应收金额,MATCH($L372,应收单号,0)),0),2)&gt;0.001),"★指定冲销超过那张单的应收","OK"))))))))</f>
        <v/>
      </c>
    </row>
    <row r="373" customFormat="false" ht="15" hidden="false" customHeight="false" outlineLevel="0" collapsed="false">
      <c r="A373" s="29" t="str">
        <f aca="false">IF($C373="","",ROW()-4)</f>
        <v/>
      </c>
      <c r="B373" s="35" t="str">
        <f aca="false">IF($C373="","","SK"&amp;TEXT($C373,"yyyymm")&amp;"-"&amp;TEXT(ROW()-4,"0000"))</f>
        <v/>
      </c>
      <c r="C373" s="33"/>
      <c r="D373" s="24"/>
      <c r="E373" s="30" t="str">
        <f aca="false">IF($D373="","",IFERROR(INDEX(合同单位,MATCH($D373,合同键,0)),IFERROR(TRIM(LEFT($D373,FIND("｜",$D373)-1)),$D373)))</f>
        <v/>
      </c>
      <c r="F373" s="30" t="str">
        <f aca="false">IF($D373="","",IFERROR(INDEX(合同项目,MATCH($D373,合同键,0)),IFERROR(TRIM(MID($D373,FIND("｜",$D373)+1,99)),"")))</f>
        <v/>
      </c>
      <c r="G373" s="39"/>
      <c r="H373" s="25"/>
      <c r="I373" s="35" t="str">
        <f aca="false">IF($H373="","",IFERROR(INDEX(票据归类表,MATCH($H373,票据类型表,0)),"现金无票"))</f>
        <v/>
      </c>
      <c r="J373" s="25"/>
      <c r="K373" s="25"/>
      <c r="L373" s="31"/>
      <c r="M373" s="29" t="str">
        <f aca="false">IF($C373="","",YEAR($C373))</f>
        <v/>
      </c>
      <c r="N373" s="24"/>
      <c r="O373" s="35" t="str">
        <f aca="false">IF($C373="","",IF($D373="","★没选客户项目",IF(COUNTIF(合同键,$D373)=0,"★《维保合同》里没这个项目",IF(N($G373)&lt;=0,"★收款金额要填",IF($H373="","★票据类型要选",IF(AND($L373&lt;&gt;"",COUNTIF(应收单号,$L373)=0),"★关联的应收单号不存在",IF(AND($L373&lt;&gt;"",IFERROR(INDEX(应收键,MATCH($L373,应收单号,0)),"")&lt;&gt;$D373),"★关联单号不是这个客户的",IF(AND($L373&lt;&gt;"",ROUND(SUMIF(收款关联,$L373,收款金额)-IFERROR(INDEX(应收金额,MATCH($L373,应收单号,0)),0),2)&gt;0.001),"★指定冲销超过那张单的应收","OK"))))))))</f>
        <v/>
      </c>
    </row>
    <row r="374" customFormat="false" ht="15" hidden="false" customHeight="false" outlineLevel="0" collapsed="false">
      <c r="A374" s="29" t="str">
        <f aca="false">IF($C374="","",ROW()-4)</f>
        <v/>
      </c>
      <c r="B374" s="35" t="str">
        <f aca="false">IF($C374="","","SK"&amp;TEXT($C374,"yyyymm")&amp;"-"&amp;TEXT(ROW()-4,"0000"))</f>
        <v/>
      </c>
      <c r="C374" s="33"/>
      <c r="D374" s="24"/>
      <c r="E374" s="30" t="str">
        <f aca="false">IF($D374="","",IFERROR(INDEX(合同单位,MATCH($D374,合同键,0)),IFERROR(TRIM(LEFT($D374,FIND("｜",$D374)-1)),$D374)))</f>
        <v/>
      </c>
      <c r="F374" s="30" t="str">
        <f aca="false">IF($D374="","",IFERROR(INDEX(合同项目,MATCH($D374,合同键,0)),IFERROR(TRIM(MID($D374,FIND("｜",$D374)+1,99)),"")))</f>
        <v/>
      </c>
      <c r="G374" s="39"/>
      <c r="H374" s="25"/>
      <c r="I374" s="35" t="str">
        <f aca="false">IF($H374="","",IFERROR(INDEX(票据归类表,MATCH($H374,票据类型表,0)),"现金无票"))</f>
        <v/>
      </c>
      <c r="J374" s="25"/>
      <c r="K374" s="25"/>
      <c r="L374" s="31"/>
      <c r="M374" s="29" t="str">
        <f aca="false">IF($C374="","",YEAR($C374))</f>
        <v/>
      </c>
      <c r="N374" s="24"/>
      <c r="O374" s="35" t="str">
        <f aca="false">IF($C374="","",IF($D374="","★没选客户项目",IF(COUNTIF(合同键,$D374)=0,"★《维保合同》里没这个项目",IF(N($G374)&lt;=0,"★收款金额要填",IF($H374="","★票据类型要选",IF(AND($L374&lt;&gt;"",COUNTIF(应收单号,$L374)=0),"★关联的应收单号不存在",IF(AND($L374&lt;&gt;"",IFERROR(INDEX(应收键,MATCH($L374,应收单号,0)),"")&lt;&gt;$D374),"★关联单号不是这个客户的",IF(AND($L374&lt;&gt;"",ROUND(SUMIF(收款关联,$L374,收款金额)-IFERROR(INDEX(应收金额,MATCH($L374,应收单号,0)),0),2)&gt;0.001),"★指定冲销超过那张单的应收","OK"))))))))</f>
        <v/>
      </c>
    </row>
    <row r="375" customFormat="false" ht="15" hidden="false" customHeight="false" outlineLevel="0" collapsed="false">
      <c r="A375" s="29" t="str">
        <f aca="false">IF($C375="","",ROW()-4)</f>
        <v/>
      </c>
      <c r="B375" s="35" t="str">
        <f aca="false">IF($C375="","","SK"&amp;TEXT($C375,"yyyymm")&amp;"-"&amp;TEXT(ROW()-4,"0000"))</f>
        <v/>
      </c>
      <c r="C375" s="33"/>
      <c r="D375" s="24"/>
      <c r="E375" s="30" t="str">
        <f aca="false">IF($D375="","",IFERROR(INDEX(合同单位,MATCH($D375,合同键,0)),IFERROR(TRIM(LEFT($D375,FIND("｜",$D375)-1)),$D375)))</f>
        <v/>
      </c>
      <c r="F375" s="30" t="str">
        <f aca="false">IF($D375="","",IFERROR(INDEX(合同项目,MATCH($D375,合同键,0)),IFERROR(TRIM(MID($D375,FIND("｜",$D375)+1,99)),"")))</f>
        <v/>
      </c>
      <c r="G375" s="39"/>
      <c r="H375" s="25"/>
      <c r="I375" s="35" t="str">
        <f aca="false">IF($H375="","",IFERROR(INDEX(票据归类表,MATCH($H375,票据类型表,0)),"现金无票"))</f>
        <v/>
      </c>
      <c r="J375" s="25"/>
      <c r="K375" s="25"/>
      <c r="L375" s="31"/>
      <c r="M375" s="29" t="str">
        <f aca="false">IF($C375="","",YEAR($C375))</f>
        <v/>
      </c>
      <c r="N375" s="24"/>
      <c r="O375" s="35" t="str">
        <f aca="false">IF($C375="","",IF($D375="","★没选客户项目",IF(COUNTIF(合同键,$D375)=0,"★《维保合同》里没这个项目",IF(N($G375)&lt;=0,"★收款金额要填",IF($H375="","★票据类型要选",IF(AND($L375&lt;&gt;"",COUNTIF(应收单号,$L375)=0),"★关联的应收单号不存在",IF(AND($L375&lt;&gt;"",IFERROR(INDEX(应收键,MATCH($L375,应收单号,0)),"")&lt;&gt;$D375),"★关联单号不是这个客户的",IF(AND($L375&lt;&gt;"",ROUND(SUMIF(收款关联,$L375,收款金额)-IFERROR(INDEX(应收金额,MATCH($L375,应收单号,0)),0),2)&gt;0.001),"★指定冲销超过那张单的应收","OK"))))))))</f>
        <v/>
      </c>
    </row>
    <row r="376" customFormat="false" ht="15" hidden="false" customHeight="false" outlineLevel="0" collapsed="false">
      <c r="A376" s="29" t="str">
        <f aca="false">IF($C376="","",ROW()-4)</f>
        <v/>
      </c>
      <c r="B376" s="35" t="str">
        <f aca="false">IF($C376="","","SK"&amp;TEXT($C376,"yyyymm")&amp;"-"&amp;TEXT(ROW()-4,"0000"))</f>
        <v/>
      </c>
      <c r="C376" s="33"/>
      <c r="D376" s="24"/>
      <c r="E376" s="30" t="str">
        <f aca="false">IF($D376="","",IFERROR(INDEX(合同单位,MATCH($D376,合同键,0)),IFERROR(TRIM(LEFT($D376,FIND("｜",$D376)-1)),$D376)))</f>
        <v/>
      </c>
      <c r="F376" s="30" t="str">
        <f aca="false">IF($D376="","",IFERROR(INDEX(合同项目,MATCH($D376,合同键,0)),IFERROR(TRIM(MID($D376,FIND("｜",$D376)+1,99)),"")))</f>
        <v/>
      </c>
      <c r="G376" s="39"/>
      <c r="H376" s="25"/>
      <c r="I376" s="35" t="str">
        <f aca="false">IF($H376="","",IFERROR(INDEX(票据归类表,MATCH($H376,票据类型表,0)),"现金无票"))</f>
        <v/>
      </c>
      <c r="J376" s="25"/>
      <c r="K376" s="25"/>
      <c r="L376" s="31"/>
      <c r="M376" s="29" t="str">
        <f aca="false">IF($C376="","",YEAR($C376))</f>
        <v/>
      </c>
      <c r="N376" s="24"/>
      <c r="O376" s="35" t="str">
        <f aca="false">IF($C376="","",IF($D376="","★没选客户项目",IF(COUNTIF(合同键,$D376)=0,"★《维保合同》里没这个项目",IF(N($G376)&lt;=0,"★收款金额要填",IF($H376="","★票据类型要选",IF(AND($L376&lt;&gt;"",COUNTIF(应收单号,$L376)=0),"★关联的应收单号不存在",IF(AND($L376&lt;&gt;"",IFERROR(INDEX(应收键,MATCH($L376,应收单号,0)),"")&lt;&gt;$D376),"★关联单号不是这个客户的",IF(AND($L376&lt;&gt;"",ROUND(SUMIF(收款关联,$L376,收款金额)-IFERROR(INDEX(应收金额,MATCH($L376,应收单号,0)),0),2)&gt;0.001),"★指定冲销超过那张单的应收","OK"))))))))</f>
        <v/>
      </c>
    </row>
    <row r="377" customFormat="false" ht="15" hidden="false" customHeight="false" outlineLevel="0" collapsed="false">
      <c r="A377" s="29" t="str">
        <f aca="false">IF($C377="","",ROW()-4)</f>
        <v/>
      </c>
      <c r="B377" s="35" t="str">
        <f aca="false">IF($C377="","","SK"&amp;TEXT($C377,"yyyymm")&amp;"-"&amp;TEXT(ROW()-4,"0000"))</f>
        <v/>
      </c>
      <c r="C377" s="33"/>
      <c r="D377" s="24"/>
      <c r="E377" s="30" t="str">
        <f aca="false">IF($D377="","",IFERROR(INDEX(合同单位,MATCH($D377,合同键,0)),IFERROR(TRIM(LEFT($D377,FIND("｜",$D377)-1)),$D377)))</f>
        <v/>
      </c>
      <c r="F377" s="30" t="str">
        <f aca="false">IF($D377="","",IFERROR(INDEX(合同项目,MATCH($D377,合同键,0)),IFERROR(TRIM(MID($D377,FIND("｜",$D377)+1,99)),"")))</f>
        <v/>
      </c>
      <c r="G377" s="39"/>
      <c r="H377" s="25"/>
      <c r="I377" s="35" t="str">
        <f aca="false">IF($H377="","",IFERROR(INDEX(票据归类表,MATCH($H377,票据类型表,0)),"现金无票"))</f>
        <v/>
      </c>
      <c r="J377" s="25"/>
      <c r="K377" s="25"/>
      <c r="L377" s="31"/>
      <c r="M377" s="29" t="str">
        <f aca="false">IF($C377="","",YEAR($C377))</f>
        <v/>
      </c>
      <c r="N377" s="24"/>
      <c r="O377" s="35" t="str">
        <f aca="false">IF($C377="","",IF($D377="","★没选客户项目",IF(COUNTIF(合同键,$D377)=0,"★《维保合同》里没这个项目",IF(N($G377)&lt;=0,"★收款金额要填",IF($H377="","★票据类型要选",IF(AND($L377&lt;&gt;"",COUNTIF(应收单号,$L377)=0),"★关联的应收单号不存在",IF(AND($L377&lt;&gt;"",IFERROR(INDEX(应收键,MATCH($L377,应收单号,0)),"")&lt;&gt;$D377),"★关联单号不是这个客户的",IF(AND($L377&lt;&gt;"",ROUND(SUMIF(收款关联,$L377,收款金额)-IFERROR(INDEX(应收金额,MATCH($L377,应收单号,0)),0),2)&gt;0.001),"★指定冲销超过那张单的应收","OK"))))))))</f>
        <v/>
      </c>
    </row>
    <row r="378" customFormat="false" ht="15" hidden="false" customHeight="false" outlineLevel="0" collapsed="false">
      <c r="A378" s="29" t="str">
        <f aca="false">IF($C378="","",ROW()-4)</f>
        <v/>
      </c>
      <c r="B378" s="35" t="str">
        <f aca="false">IF($C378="","","SK"&amp;TEXT($C378,"yyyymm")&amp;"-"&amp;TEXT(ROW()-4,"0000"))</f>
        <v/>
      </c>
      <c r="C378" s="33"/>
      <c r="D378" s="24"/>
      <c r="E378" s="30" t="str">
        <f aca="false">IF($D378="","",IFERROR(INDEX(合同单位,MATCH($D378,合同键,0)),IFERROR(TRIM(LEFT($D378,FIND("｜",$D378)-1)),$D378)))</f>
        <v/>
      </c>
      <c r="F378" s="30" t="str">
        <f aca="false">IF($D378="","",IFERROR(INDEX(合同项目,MATCH($D378,合同键,0)),IFERROR(TRIM(MID($D378,FIND("｜",$D378)+1,99)),"")))</f>
        <v/>
      </c>
      <c r="G378" s="39"/>
      <c r="H378" s="25"/>
      <c r="I378" s="35" t="str">
        <f aca="false">IF($H378="","",IFERROR(INDEX(票据归类表,MATCH($H378,票据类型表,0)),"现金无票"))</f>
        <v/>
      </c>
      <c r="J378" s="25"/>
      <c r="K378" s="25"/>
      <c r="L378" s="31"/>
      <c r="M378" s="29" t="str">
        <f aca="false">IF($C378="","",YEAR($C378))</f>
        <v/>
      </c>
      <c r="N378" s="24"/>
      <c r="O378" s="35" t="str">
        <f aca="false">IF($C378="","",IF($D378="","★没选客户项目",IF(COUNTIF(合同键,$D378)=0,"★《维保合同》里没这个项目",IF(N($G378)&lt;=0,"★收款金额要填",IF($H378="","★票据类型要选",IF(AND($L378&lt;&gt;"",COUNTIF(应收单号,$L378)=0),"★关联的应收单号不存在",IF(AND($L378&lt;&gt;"",IFERROR(INDEX(应收键,MATCH($L378,应收单号,0)),"")&lt;&gt;$D378),"★关联单号不是这个客户的",IF(AND($L378&lt;&gt;"",ROUND(SUMIF(收款关联,$L378,收款金额)-IFERROR(INDEX(应收金额,MATCH($L378,应收单号,0)),0),2)&gt;0.001),"★指定冲销超过那张单的应收","OK"))))))))</f>
        <v/>
      </c>
    </row>
    <row r="379" customFormat="false" ht="15" hidden="false" customHeight="false" outlineLevel="0" collapsed="false">
      <c r="A379" s="29" t="str">
        <f aca="false">IF($C379="","",ROW()-4)</f>
        <v/>
      </c>
      <c r="B379" s="35" t="str">
        <f aca="false">IF($C379="","","SK"&amp;TEXT($C379,"yyyymm")&amp;"-"&amp;TEXT(ROW()-4,"0000"))</f>
        <v/>
      </c>
      <c r="C379" s="33"/>
      <c r="D379" s="24"/>
      <c r="E379" s="30" t="str">
        <f aca="false">IF($D379="","",IFERROR(INDEX(合同单位,MATCH($D379,合同键,0)),IFERROR(TRIM(LEFT($D379,FIND("｜",$D379)-1)),$D379)))</f>
        <v/>
      </c>
      <c r="F379" s="30" t="str">
        <f aca="false">IF($D379="","",IFERROR(INDEX(合同项目,MATCH($D379,合同键,0)),IFERROR(TRIM(MID($D379,FIND("｜",$D379)+1,99)),"")))</f>
        <v/>
      </c>
      <c r="G379" s="39"/>
      <c r="H379" s="25"/>
      <c r="I379" s="35" t="str">
        <f aca="false">IF($H379="","",IFERROR(INDEX(票据归类表,MATCH($H379,票据类型表,0)),"现金无票"))</f>
        <v/>
      </c>
      <c r="J379" s="25"/>
      <c r="K379" s="25"/>
      <c r="L379" s="31"/>
      <c r="M379" s="29" t="str">
        <f aca="false">IF($C379="","",YEAR($C379))</f>
        <v/>
      </c>
      <c r="N379" s="24"/>
      <c r="O379" s="35" t="str">
        <f aca="false">IF($C379="","",IF($D379="","★没选客户项目",IF(COUNTIF(合同键,$D379)=0,"★《维保合同》里没这个项目",IF(N($G379)&lt;=0,"★收款金额要填",IF($H379="","★票据类型要选",IF(AND($L379&lt;&gt;"",COUNTIF(应收单号,$L379)=0),"★关联的应收单号不存在",IF(AND($L379&lt;&gt;"",IFERROR(INDEX(应收键,MATCH($L379,应收单号,0)),"")&lt;&gt;$D379),"★关联单号不是这个客户的",IF(AND($L379&lt;&gt;"",ROUND(SUMIF(收款关联,$L379,收款金额)-IFERROR(INDEX(应收金额,MATCH($L379,应收单号,0)),0),2)&gt;0.001),"★指定冲销超过那张单的应收","OK"))))))))</f>
        <v/>
      </c>
    </row>
    <row r="380" customFormat="false" ht="15" hidden="false" customHeight="false" outlineLevel="0" collapsed="false">
      <c r="A380" s="29" t="str">
        <f aca="false">IF($C380="","",ROW()-4)</f>
        <v/>
      </c>
      <c r="B380" s="35" t="str">
        <f aca="false">IF($C380="","","SK"&amp;TEXT($C380,"yyyymm")&amp;"-"&amp;TEXT(ROW()-4,"0000"))</f>
        <v/>
      </c>
      <c r="C380" s="33"/>
      <c r="D380" s="24"/>
      <c r="E380" s="30" t="str">
        <f aca="false">IF($D380="","",IFERROR(INDEX(合同单位,MATCH($D380,合同键,0)),IFERROR(TRIM(LEFT($D380,FIND("｜",$D380)-1)),$D380)))</f>
        <v/>
      </c>
      <c r="F380" s="30" t="str">
        <f aca="false">IF($D380="","",IFERROR(INDEX(合同项目,MATCH($D380,合同键,0)),IFERROR(TRIM(MID($D380,FIND("｜",$D380)+1,99)),"")))</f>
        <v/>
      </c>
      <c r="G380" s="39"/>
      <c r="H380" s="25"/>
      <c r="I380" s="35" t="str">
        <f aca="false">IF($H380="","",IFERROR(INDEX(票据归类表,MATCH($H380,票据类型表,0)),"现金无票"))</f>
        <v/>
      </c>
      <c r="J380" s="25"/>
      <c r="K380" s="25"/>
      <c r="L380" s="31"/>
      <c r="M380" s="29" t="str">
        <f aca="false">IF($C380="","",YEAR($C380))</f>
        <v/>
      </c>
      <c r="N380" s="24"/>
      <c r="O380" s="35" t="str">
        <f aca="false">IF($C380="","",IF($D380="","★没选客户项目",IF(COUNTIF(合同键,$D380)=0,"★《维保合同》里没这个项目",IF(N($G380)&lt;=0,"★收款金额要填",IF($H380="","★票据类型要选",IF(AND($L380&lt;&gt;"",COUNTIF(应收单号,$L380)=0),"★关联的应收单号不存在",IF(AND($L380&lt;&gt;"",IFERROR(INDEX(应收键,MATCH($L380,应收单号,0)),"")&lt;&gt;$D380),"★关联单号不是这个客户的",IF(AND($L380&lt;&gt;"",ROUND(SUMIF(收款关联,$L380,收款金额)-IFERROR(INDEX(应收金额,MATCH($L380,应收单号,0)),0),2)&gt;0.001),"★指定冲销超过那张单的应收","OK"))))))))</f>
        <v/>
      </c>
    </row>
    <row r="381" customFormat="false" ht="15" hidden="false" customHeight="false" outlineLevel="0" collapsed="false">
      <c r="A381" s="29" t="str">
        <f aca="false">IF($C381="","",ROW()-4)</f>
        <v/>
      </c>
      <c r="B381" s="35" t="str">
        <f aca="false">IF($C381="","","SK"&amp;TEXT($C381,"yyyymm")&amp;"-"&amp;TEXT(ROW()-4,"0000"))</f>
        <v/>
      </c>
      <c r="C381" s="33"/>
      <c r="D381" s="24"/>
      <c r="E381" s="30" t="str">
        <f aca="false">IF($D381="","",IFERROR(INDEX(合同单位,MATCH($D381,合同键,0)),IFERROR(TRIM(LEFT($D381,FIND("｜",$D381)-1)),$D381)))</f>
        <v/>
      </c>
      <c r="F381" s="30" t="str">
        <f aca="false">IF($D381="","",IFERROR(INDEX(合同项目,MATCH($D381,合同键,0)),IFERROR(TRIM(MID($D381,FIND("｜",$D381)+1,99)),"")))</f>
        <v/>
      </c>
      <c r="G381" s="39"/>
      <c r="H381" s="25"/>
      <c r="I381" s="35" t="str">
        <f aca="false">IF($H381="","",IFERROR(INDEX(票据归类表,MATCH($H381,票据类型表,0)),"现金无票"))</f>
        <v/>
      </c>
      <c r="J381" s="25"/>
      <c r="K381" s="25"/>
      <c r="L381" s="31"/>
      <c r="M381" s="29" t="str">
        <f aca="false">IF($C381="","",YEAR($C381))</f>
        <v/>
      </c>
      <c r="N381" s="24"/>
      <c r="O381" s="35" t="str">
        <f aca="false">IF($C381="","",IF($D381="","★没选客户项目",IF(COUNTIF(合同键,$D381)=0,"★《维保合同》里没这个项目",IF(N($G381)&lt;=0,"★收款金额要填",IF($H381="","★票据类型要选",IF(AND($L381&lt;&gt;"",COUNTIF(应收单号,$L381)=0),"★关联的应收单号不存在",IF(AND($L381&lt;&gt;"",IFERROR(INDEX(应收键,MATCH($L381,应收单号,0)),"")&lt;&gt;$D381),"★关联单号不是这个客户的",IF(AND($L381&lt;&gt;"",ROUND(SUMIF(收款关联,$L381,收款金额)-IFERROR(INDEX(应收金额,MATCH($L381,应收单号,0)),0),2)&gt;0.001),"★指定冲销超过那张单的应收","OK"))))))))</f>
        <v/>
      </c>
    </row>
    <row r="382" customFormat="false" ht="15" hidden="false" customHeight="false" outlineLevel="0" collapsed="false">
      <c r="A382" s="29" t="str">
        <f aca="false">IF($C382="","",ROW()-4)</f>
        <v/>
      </c>
      <c r="B382" s="35" t="str">
        <f aca="false">IF($C382="","","SK"&amp;TEXT($C382,"yyyymm")&amp;"-"&amp;TEXT(ROW()-4,"0000"))</f>
        <v/>
      </c>
      <c r="C382" s="33"/>
      <c r="D382" s="24"/>
      <c r="E382" s="30" t="str">
        <f aca="false">IF($D382="","",IFERROR(INDEX(合同单位,MATCH($D382,合同键,0)),IFERROR(TRIM(LEFT($D382,FIND("｜",$D382)-1)),$D382)))</f>
        <v/>
      </c>
      <c r="F382" s="30" t="str">
        <f aca="false">IF($D382="","",IFERROR(INDEX(合同项目,MATCH($D382,合同键,0)),IFERROR(TRIM(MID($D382,FIND("｜",$D382)+1,99)),"")))</f>
        <v/>
      </c>
      <c r="G382" s="39"/>
      <c r="H382" s="25"/>
      <c r="I382" s="35" t="str">
        <f aca="false">IF($H382="","",IFERROR(INDEX(票据归类表,MATCH($H382,票据类型表,0)),"现金无票"))</f>
        <v/>
      </c>
      <c r="J382" s="25"/>
      <c r="K382" s="25"/>
      <c r="L382" s="31"/>
      <c r="M382" s="29" t="str">
        <f aca="false">IF($C382="","",YEAR($C382))</f>
        <v/>
      </c>
      <c r="N382" s="24"/>
      <c r="O382" s="35" t="str">
        <f aca="false">IF($C382="","",IF($D382="","★没选客户项目",IF(COUNTIF(合同键,$D382)=0,"★《维保合同》里没这个项目",IF(N($G382)&lt;=0,"★收款金额要填",IF($H382="","★票据类型要选",IF(AND($L382&lt;&gt;"",COUNTIF(应收单号,$L382)=0),"★关联的应收单号不存在",IF(AND($L382&lt;&gt;"",IFERROR(INDEX(应收键,MATCH($L382,应收单号,0)),"")&lt;&gt;$D382),"★关联单号不是这个客户的",IF(AND($L382&lt;&gt;"",ROUND(SUMIF(收款关联,$L382,收款金额)-IFERROR(INDEX(应收金额,MATCH($L382,应收单号,0)),0),2)&gt;0.001),"★指定冲销超过那张单的应收","OK"))))))))</f>
        <v/>
      </c>
    </row>
    <row r="383" customFormat="false" ht="15" hidden="false" customHeight="false" outlineLevel="0" collapsed="false">
      <c r="A383" s="29" t="str">
        <f aca="false">IF($C383="","",ROW()-4)</f>
        <v/>
      </c>
      <c r="B383" s="35" t="str">
        <f aca="false">IF($C383="","","SK"&amp;TEXT($C383,"yyyymm")&amp;"-"&amp;TEXT(ROW()-4,"0000"))</f>
        <v/>
      </c>
      <c r="C383" s="33"/>
      <c r="D383" s="24"/>
      <c r="E383" s="30" t="str">
        <f aca="false">IF($D383="","",IFERROR(INDEX(合同单位,MATCH($D383,合同键,0)),IFERROR(TRIM(LEFT($D383,FIND("｜",$D383)-1)),$D383)))</f>
        <v/>
      </c>
      <c r="F383" s="30" t="str">
        <f aca="false">IF($D383="","",IFERROR(INDEX(合同项目,MATCH($D383,合同键,0)),IFERROR(TRIM(MID($D383,FIND("｜",$D383)+1,99)),"")))</f>
        <v/>
      </c>
      <c r="G383" s="39"/>
      <c r="H383" s="25"/>
      <c r="I383" s="35" t="str">
        <f aca="false">IF($H383="","",IFERROR(INDEX(票据归类表,MATCH($H383,票据类型表,0)),"现金无票"))</f>
        <v/>
      </c>
      <c r="J383" s="25"/>
      <c r="K383" s="25"/>
      <c r="L383" s="31"/>
      <c r="M383" s="29" t="str">
        <f aca="false">IF($C383="","",YEAR($C383))</f>
        <v/>
      </c>
      <c r="N383" s="24"/>
      <c r="O383" s="35" t="str">
        <f aca="false">IF($C383="","",IF($D383="","★没选客户项目",IF(COUNTIF(合同键,$D383)=0,"★《维保合同》里没这个项目",IF(N($G383)&lt;=0,"★收款金额要填",IF($H383="","★票据类型要选",IF(AND($L383&lt;&gt;"",COUNTIF(应收单号,$L383)=0),"★关联的应收单号不存在",IF(AND($L383&lt;&gt;"",IFERROR(INDEX(应收键,MATCH($L383,应收单号,0)),"")&lt;&gt;$D383),"★关联单号不是这个客户的",IF(AND($L383&lt;&gt;"",ROUND(SUMIF(收款关联,$L383,收款金额)-IFERROR(INDEX(应收金额,MATCH($L383,应收单号,0)),0),2)&gt;0.001),"★指定冲销超过那张单的应收","OK"))))))))</f>
        <v/>
      </c>
    </row>
    <row r="384" customFormat="false" ht="15" hidden="false" customHeight="false" outlineLevel="0" collapsed="false">
      <c r="A384" s="29" t="str">
        <f aca="false">IF($C384="","",ROW()-4)</f>
        <v/>
      </c>
      <c r="B384" s="35" t="str">
        <f aca="false">IF($C384="","","SK"&amp;TEXT($C384,"yyyymm")&amp;"-"&amp;TEXT(ROW()-4,"0000"))</f>
        <v/>
      </c>
      <c r="C384" s="33"/>
      <c r="D384" s="24"/>
      <c r="E384" s="30" t="str">
        <f aca="false">IF($D384="","",IFERROR(INDEX(合同单位,MATCH($D384,合同键,0)),IFERROR(TRIM(LEFT($D384,FIND("｜",$D384)-1)),$D384)))</f>
        <v/>
      </c>
      <c r="F384" s="30" t="str">
        <f aca="false">IF($D384="","",IFERROR(INDEX(合同项目,MATCH($D384,合同键,0)),IFERROR(TRIM(MID($D384,FIND("｜",$D384)+1,99)),"")))</f>
        <v/>
      </c>
      <c r="G384" s="39"/>
      <c r="H384" s="25"/>
      <c r="I384" s="35" t="str">
        <f aca="false">IF($H384="","",IFERROR(INDEX(票据归类表,MATCH($H384,票据类型表,0)),"现金无票"))</f>
        <v/>
      </c>
      <c r="J384" s="25"/>
      <c r="K384" s="25"/>
      <c r="L384" s="31"/>
      <c r="M384" s="29" t="str">
        <f aca="false">IF($C384="","",YEAR($C384))</f>
        <v/>
      </c>
      <c r="N384" s="24"/>
      <c r="O384" s="35" t="str">
        <f aca="false">IF($C384="","",IF($D384="","★没选客户项目",IF(COUNTIF(合同键,$D384)=0,"★《维保合同》里没这个项目",IF(N($G384)&lt;=0,"★收款金额要填",IF($H384="","★票据类型要选",IF(AND($L384&lt;&gt;"",COUNTIF(应收单号,$L384)=0),"★关联的应收单号不存在",IF(AND($L384&lt;&gt;"",IFERROR(INDEX(应收键,MATCH($L384,应收单号,0)),"")&lt;&gt;$D384),"★关联单号不是这个客户的",IF(AND($L384&lt;&gt;"",ROUND(SUMIF(收款关联,$L384,收款金额)-IFERROR(INDEX(应收金额,MATCH($L384,应收单号,0)),0),2)&gt;0.001),"★指定冲销超过那张单的应收","OK"))))))))</f>
        <v/>
      </c>
    </row>
    <row r="385" customFormat="false" ht="15" hidden="false" customHeight="false" outlineLevel="0" collapsed="false">
      <c r="A385" s="29" t="str">
        <f aca="false">IF($C385="","",ROW()-4)</f>
        <v/>
      </c>
      <c r="B385" s="35" t="str">
        <f aca="false">IF($C385="","","SK"&amp;TEXT($C385,"yyyymm")&amp;"-"&amp;TEXT(ROW()-4,"0000"))</f>
        <v/>
      </c>
      <c r="C385" s="33"/>
      <c r="D385" s="24"/>
      <c r="E385" s="30" t="str">
        <f aca="false">IF($D385="","",IFERROR(INDEX(合同单位,MATCH($D385,合同键,0)),IFERROR(TRIM(LEFT($D385,FIND("｜",$D385)-1)),$D385)))</f>
        <v/>
      </c>
      <c r="F385" s="30" t="str">
        <f aca="false">IF($D385="","",IFERROR(INDEX(合同项目,MATCH($D385,合同键,0)),IFERROR(TRIM(MID($D385,FIND("｜",$D385)+1,99)),"")))</f>
        <v/>
      </c>
      <c r="G385" s="39"/>
      <c r="H385" s="25"/>
      <c r="I385" s="35" t="str">
        <f aca="false">IF($H385="","",IFERROR(INDEX(票据归类表,MATCH($H385,票据类型表,0)),"现金无票"))</f>
        <v/>
      </c>
      <c r="J385" s="25"/>
      <c r="K385" s="25"/>
      <c r="L385" s="31"/>
      <c r="M385" s="29" t="str">
        <f aca="false">IF($C385="","",YEAR($C385))</f>
        <v/>
      </c>
      <c r="N385" s="24"/>
      <c r="O385" s="35" t="str">
        <f aca="false">IF($C385="","",IF($D385="","★没选客户项目",IF(COUNTIF(合同键,$D385)=0,"★《维保合同》里没这个项目",IF(N($G385)&lt;=0,"★收款金额要填",IF($H385="","★票据类型要选",IF(AND($L385&lt;&gt;"",COUNTIF(应收单号,$L385)=0),"★关联的应收单号不存在",IF(AND($L385&lt;&gt;"",IFERROR(INDEX(应收键,MATCH($L385,应收单号,0)),"")&lt;&gt;$D385),"★关联单号不是这个客户的",IF(AND($L385&lt;&gt;"",ROUND(SUMIF(收款关联,$L385,收款金额)-IFERROR(INDEX(应收金额,MATCH($L385,应收单号,0)),0),2)&gt;0.001),"★指定冲销超过那张单的应收","OK"))))))))</f>
        <v/>
      </c>
    </row>
    <row r="386" customFormat="false" ht="15" hidden="false" customHeight="false" outlineLevel="0" collapsed="false">
      <c r="A386" s="29" t="str">
        <f aca="false">IF($C386="","",ROW()-4)</f>
        <v/>
      </c>
      <c r="B386" s="35" t="str">
        <f aca="false">IF($C386="","","SK"&amp;TEXT($C386,"yyyymm")&amp;"-"&amp;TEXT(ROW()-4,"0000"))</f>
        <v/>
      </c>
      <c r="C386" s="33"/>
      <c r="D386" s="24"/>
      <c r="E386" s="30" t="str">
        <f aca="false">IF($D386="","",IFERROR(INDEX(合同单位,MATCH($D386,合同键,0)),IFERROR(TRIM(LEFT($D386,FIND("｜",$D386)-1)),$D386)))</f>
        <v/>
      </c>
      <c r="F386" s="30" t="str">
        <f aca="false">IF($D386="","",IFERROR(INDEX(合同项目,MATCH($D386,合同键,0)),IFERROR(TRIM(MID($D386,FIND("｜",$D386)+1,99)),"")))</f>
        <v/>
      </c>
      <c r="G386" s="39"/>
      <c r="H386" s="25"/>
      <c r="I386" s="35" t="str">
        <f aca="false">IF($H386="","",IFERROR(INDEX(票据归类表,MATCH($H386,票据类型表,0)),"现金无票"))</f>
        <v/>
      </c>
      <c r="J386" s="25"/>
      <c r="K386" s="25"/>
      <c r="L386" s="31"/>
      <c r="M386" s="29" t="str">
        <f aca="false">IF($C386="","",YEAR($C386))</f>
        <v/>
      </c>
      <c r="N386" s="24"/>
      <c r="O386" s="35" t="str">
        <f aca="false">IF($C386="","",IF($D386="","★没选客户项目",IF(COUNTIF(合同键,$D386)=0,"★《维保合同》里没这个项目",IF(N($G386)&lt;=0,"★收款金额要填",IF($H386="","★票据类型要选",IF(AND($L386&lt;&gt;"",COUNTIF(应收单号,$L386)=0),"★关联的应收单号不存在",IF(AND($L386&lt;&gt;"",IFERROR(INDEX(应收键,MATCH($L386,应收单号,0)),"")&lt;&gt;$D386),"★关联单号不是这个客户的",IF(AND($L386&lt;&gt;"",ROUND(SUMIF(收款关联,$L386,收款金额)-IFERROR(INDEX(应收金额,MATCH($L386,应收单号,0)),0),2)&gt;0.001),"★指定冲销超过那张单的应收","OK"))))))))</f>
        <v/>
      </c>
    </row>
    <row r="387" customFormat="false" ht="15" hidden="false" customHeight="false" outlineLevel="0" collapsed="false">
      <c r="A387" s="29" t="str">
        <f aca="false">IF($C387="","",ROW()-4)</f>
        <v/>
      </c>
      <c r="B387" s="35" t="str">
        <f aca="false">IF($C387="","","SK"&amp;TEXT($C387,"yyyymm")&amp;"-"&amp;TEXT(ROW()-4,"0000"))</f>
        <v/>
      </c>
      <c r="C387" s="33"/>
      <c r="D387" s="24"/>
      <c r="E387" s="30" t="str">
        <f aca="false">IF($D387="","",IFERROR(INDEX(合同单位,MATCH($D387,合同键,0)),IFERROR(TRIM(LEFT($D387,FIND("｜",$D387)-1)),$D387)))</f>
        <v/>
      </c>
      <c r="F387" s="30" t="str">
        <f aca="false">IF($D387="","",IFERROR(INDEX(合同项目,MATCH($D387,合同键,0)),IFERROR(TRIM(MID($D387,FIND("｜",$D387)+1,99)),"")))</f>
        <v/>
      </c>
      <c r="G387" s="39"/>
      <c r="H387" s="25"/>
      <c r="I387" s="35" t="str">
        <f aca="false">IF($H387="","",IFERROR(INDEX(票据归类表,MATCH($H387,票据类型表,0)),"现金无票"))</f>
        <v/>
      </c>
      <c r="J387" s="25"/>
      <c r="K387" s="25"/>
      <c r="L387" s="31"/>
      <c r="M387" s="29" t="str">
        <f aca="false">IF($C387="","",YEAR($C387))</f>
        <v/>
      </c>
      <c r="N387" s="24"/>
      <c r="O387" s="35" t="str">
        <f aca="false">IF($C387="","",IF($D387="","★没选客户项目",IF(COUNTIF(合同键,$D387)=0,"★《维保合同》里没这个项目",IF(N($G387)&lt;=0,"★收款金额要填",IF($H387="","★票据类型要选",IF(AND($L387&lt;&gt;"",COUNTIF(应收单号,$L387)=0),"★关联的应收单号不存在",IF(AND($L387&lt;&gt;"",IFERROR(INDEX(应收键,MATCH($L387,应收单号,0)),"")&lt;&gt;$D387),"★关联单号不是这个客户的",IF(AND($L387&lt;&gt;"",ROUND(SUMIF(收款关联,$L387,收款金额)-IFERROR(INDEX(应收金额,MATCH($L387,应收单号,0)),0),2)&gt;0.001),"★指定冲销超过那张单的应收","OK"))))))))</f>
        <v/>
      </c>
    </row>
    <row r="388" customFormat="false" ht="15" hidden="false" customHeight="false" outlineLevel="0" collapsed="false">
      <c r="A388" s="29" t="str">
        <f aca="false">IF($C388="","",ROW()-4)</f>
        <v/>
      </c>
      <c r="B388" s="35" t="str">
        <f aca="false">IF($C388="","","SK"&amp;TEXT($C388,"yyyymm")&amp;"-"&amp;TEXT(ROW()-4,"0000"))</f>
        <v/>
      </c>
      <c r="C388" s="33"/>
      <c r="D388" s="24"/>
      <c r="E388" s="30" t="str">
        <f aca="false">IF($D388="","",IFERROR(INDEX(合同单位,MATCH($D388,合同键,0)),IFERROR(TRIM(LEFT($D388,FIND("｜",$D388)-1)),$D388)))</f>
        <v/>
      </c>
      <c r="F388" s="30" t="str">
        <f aca="false">IF($D388="","",IFERROR(INDEX(合同项目,MATCH($D388,合同键,0)),IFERROR(TRIM(MID($D388,FIND("｜",$D388)+1,99)),"")))</f>
        <v/>
      </c>
      <c r="G388" s="39"/>
      <c r="H388" s="25"/>
      <c r="I388" s="35" t="str">
        <f aca="false">IF($H388="","",IFERROR(INDEX(票据归类表,MATCH($H388,票据类型表,0)),"现金无票"))</f>
        <v/>
      </c>
      <c r="J388" s="25"/>
      <c r="K388" s="25"/>
      <c r="L388" s="31"/>
      <c r="M388" s="29" t="str">
        <f aca="false">IF($C388="","",YEAR($C388))</f>
        <v/>
      </c>
      <c r="N388" s="24"/>
      <c r="O388" s="35" t="str">
        <f aca="false">IF($C388="","",IF($D388="","★没选客户项目",IF(COUNTIF(合同键,$D388)=0,"★《维保合同》里没这个项目",IF(N($G388)&lt;=0,"★收款金额要填",IF($H388="","★票据类型要选",IF(AND($L388&lt;&gt;"",COUNTIF(应收单号,$L388)=0),"★关联的应收单号不存在",IF(AND($L388&lt;&gt;"",IFERROR(INDEX(应收键,MATCH($L388,应收单号,0)),"")&lt;&gt;$D388),"★关联单号不是这个客户的",IF(AND($L388&lt;&gt;"",ROUND(SUMIF(收款关联,$L388,收款金额)-IFERROR(INDEX(应收金额,MATCH($L388,应收单号,0)),0),2)&gt;0.001),"★指定冲销超过那张单的应收","OK"))))))))</f>
        <v/>
      </c>
    </row>
    <row r="389" customFormat="false" ht="15" hidden="false" customHeight="false" outlineLevel="0" collapsed="false">
      <c r="A389" s="29" t="str">
        <f aca="false">IF($C389="","",ROW()-4)</f>
        <v/>
      </c>
      <c r="B389" s="35" t="str">
        <f aca="false">IF($C389="","","SK"&amp;TEXT($C389,"yyyymm")&amp;"-"&amp;TEXT(ROW()-4,"0000"))</f>
        <v/>
      </c>
      <c r="C389" s="33"/>
      <c r="D389" s="24"/>
      <c r="E389" s="30" t="str">
        <f aca="false">IF($D389="","",IFERROR(INDEX(合同单位,MATCH($D389,合同键,0)),IFERROR(TRIM(LEFT($D389,FIND("｜",$D389)-1)),$D389)))</f>
        <v/>
      </c>
      <c r="F389" s="30" t="str">
        <f aca="false">IF($D389="","",IFERROR(INDEX(合同项目,MATCH($D389,合同键,0)),IFERROR(TRIM(MID($D389,FIND("｜",$D389)+1,99)),"")))</f>
        <v/>
      </c>
      <c r="G389" s="39"/>
      <c r="H389" s="25"/>
      <c r="I389" s="35" t="str">
        <f aca="false">IF($H389="","",IFERROR(INDEX(票据归类表,MATCH($H389,票据类型表,0)),"现金无票"))</f>
        <v/>
      </c>
      <c r="J389" s="25"/>
      <c r="K389" s="25"/>
      <c r="L389" s="31"/>
      <c r="M389" s="29" t="str">
        <f aca="false">IF($C389="","",YEAR($C389))</f>
        <v/>
      </c>
      <c r="N389" s="24"/>
      <c r="O389" s="35" t="str">
        <f aca="false">IF($C389="","",IF($D389="","★没选客户项目",IF(COUNTIF(合同键,$D389)=0,"★《维保合同》里没这个项目",IF(N($G389)&lt;=0,"★收款金额要填",IF($H389="","★票据类型要选",IF(AND($L389&lt;&gt;"",COUNTIF(应收单号,$L389)=0),"★关联的应收单号不存在",IF(AND($L389&lt;&gt;"",IFERROR(INDEX(应收键,MATCH($L389,应收单号,0)),"")&lt;&gt;$D389),"★关联单号不是这个客户的",IF(AND($L389&lt;&gt;"",ROUND(SUMIF(收款关联,$L389,收款金额)-IFERROR(INDEX(应收金额,MATCH($L389,应收单号,0)),0),2)&gt;0.001),"★指定冲销超过那张单的应收","OK"))))))))</f>
        <v/>
      </c>
    </row>
    <row r="390" customFormat="false" ht="15" hidden="false" customHeight="false" outlineLevel="0" collapsed="false">
      <c r="A390" s="29" t="str">
        <f aca="false">IF($C390="","",ROW()-4)</f>
        <v/>
      </c>
      <c r="B390" s="35" t="str">
        <f aca="false">IF($C390="","","SK"&amp;TEXT($C390,"yyyymm")&amp;"-"&amp;TEXT(ROW()-4,"0000"))</f>
        <v/>
      </c>
      <c r="C390" s="33"/>
      <c r="D390" s="24"/>
      <c r="E390" s="30" t="str">
        <f aca="false">IF($D390="","",IFERROR(INDEX(合同单位,MATCH($D390,合同键,0)),IFERROR(TRIM(LEFT($D390,FIND("｜",$D390)-1)),$D390)))</f>
        <v/>
      </c>
      <c r="F390" s="30" t="str">
        <f aca="false">IF($D390="","",IFERROR(INDEX(合同项目,MATCH($D390,合同键,0)),IFERROR(TRIM(MID($D390,FIND("｜",$D390)+1,99)),"")))</f>
        <v/>
      </c>
      <c r="G390" s="39"/>
      <c r="H390" s="25"/>
      <c r="I390" s="35" t="str">
        <f aca="false">IF($H390="","",IFERROR(INDEX(票据归类表,MATCH($H390,票据类型表,0)),"现金无票"))</f>
        <v/>
      </c>
      <c r="J390" s="25"/>
      <c r="K390" s="25"/>
      <c r="L390" s="31"/>
      <c r="M390" s="29" t="str">
        <f aca="false">IF($C390="","",YEAR($C390))</f>
        <v/>
      </c>
      <c r="N390" s="24"/>
      <c r="O390" s="35" t="str">
        <f aca="false">IF($C390="","",IF($D390="","★没选客户项目",IF(COUNTIF(合同键,$D390)=0,"★《维保合同》里没这个项目",IF(N($G390)&lt;=0,"★收款金额要填",IF($H390="","★票据类型要选",IF(AND($L390&lt;&gt;"",COUNTIF(应收单号,$L390)=0),"★关联的应收单号不存在",IF(AND($L390&lt;&gt;"",IFERROR(INDEX(应收键,MATCH($L390,应收单号,0)),"")&lt;&gt;$D390),"★关联单号不是这个客户的",IF(AND($L390&lt;&gt;"",ROUND(SUMIF(收款关联,$L390,收款金额)-IFERROR(INDEX(应收金额,MATCH($L390,应收单号,0)),0),2)&gt;0.001),"★指定冲销超过那张单的应收","OK"))))))))</f>
        <v/>
      </c>
    </row>
    <row r="391" customFormat="false" ht="15" hidden="false" customHeight="false" outlineLevel="0" collapsed="false">
      <c r="A391" s="29" t="str">
        <f aca="false">IF($C391="","",ROW()-4)</f>
        <v/>
      </c>
      <c r="B391" s="35" t="str">
        <f aca="false">IF($C391="","","SK"&amp;TEXT($C391,"yyyymm")&amp;"-"&amp;TEXT(ROW()-4,"0000"))</f>
        <v/>
      </c>
      <c r="C391" s="33"/>
      <c r="D391" s="24"/>
      <c r="E391" s="30" t="str">
        <f aca="false">IF($D391="","",IFERROR(INDEX(合同单位,MATCH($D391,合同键,0)),IFERROR(TRIM(LEFT($D391,FIND("｜",$D391)-1)),$D391)))</f>
        <v/>
      </c>
      <c r="F391" s="30" t="str">
        <f aca="false">IF($D391="","",IFERROR(INDEX(合同项目,MATCH($D391,合同键,0)),IFERROR(TRIM(MID($D391,FIND("｜",$D391)+1,99)),"")))</f>
        <v/>
      </c>
      <c r="G391" s="39"/>
      <c r="H391" s="25"/>
      <c r="I391" s="35" t="str">
        <f aca="false">IF($H391="","",IFERROR(INDEX(票据归类表,MATCH($H391,票据类型表,0)),"现金无票"))</f>
        <v/>
      </c>
      <c r="J391" s="25"/>
      <c r="K391" s="25"/>
      <c r="L391" s="31"/>
      <c r="M391" s="29" t="str">
        <f aca="false">IF($C391="","",YEAR($C391))</f>
        <v/>
      </c>
      <c r="N391" s="24"/>
      <c r="O391" s="35" t="str">
        <f aca="false">IF($C391="","",IF($D391="","★没选客户项目",IF(COUNTIF(合同键,$D391)=0,"★《维保合同》里没这个项目",IF(N($G391)&lt;=0,"★收款金额要填",IF($H391="","★票据类型要选",IF(AND($L391&lt;&gt;"",COUNTIF(应收单号,$L391)=0),"★关联的应收单号不存在",IF(AND($L391&lt;&gt;"",IFERROR(INDEX(应收键,MATCH($L391,应收单号,0)),"")&lt;&gt;$D391),"★关联单号不是这个客户的",IF(AND($L391&lt;&gt;"",ROUND(SUMIF(收款关联,$L391,收款金额)-IFERROR(INDEX(应收金额,MATCH($L391,应收单号,0)),0),2)&gt;0.001),"★指定冲销超过那张单的应收","OK"))))))))</f>
        <v/>
      </c>
    </row>
    <row r="392" customFormat="false" ht="15" hidden="false" customHeight="false" outlineLevel="0" collapsed="false">
      <c r="A392" s="29" t="str">
        <f aca="false">IF($C392="","",ROW()-4)</f>
        <v/>
      </c>
      <c r="B392" s="35" t="str">
        <f aca="false">IF($C392="","","SK"&amp;TEXT($C392,"yyyymm")&amp;"-"&amp;TEXT(ROW()-4,"0000"))</f>
        <v/>
      </c>
      <c r="C392" s="33"/>
      <c r="D392" s="24"/>
      <c r="E392" s="30" t="str">
        <f aca="false">IF($D392="","",IFERROR(INDEX(合同单位,MATCH($D392,合同键,0)),IFERROR(TRIM(LEFT($D392,FIND("｜",$D392)-1)),$D392)))</f>
        <v/>
      </c>
      <c r="F392" s="30" t="str">
        <f aca="false">IF($D392="","",IFERROR(INDEX(合同项目,MATCH($D392,合同键,0)),IFERROR(TRIM(MID($D392,FIND("｜",$D392)+1,99)),"")))</f>
        <v/>
      </c>
      <c r="G392" s="39"/>
      <c r="H392" s="25"/>
      <c r="I392" s="35" t="str">
        <f aca="false">IF($H392="","",IFERROR(INDEX(票据归类表,MATCH($H392,票据类型表,0)),"现金无票"))</f>
        <v/>
      </c>
      <c r="J392" s="25"/>
      <c r="K392" s="25"/>
      <c r="L392" s="31"/>
      <c r="M392" s="29" t="str">
        <f aca="false">IF($C392="","",YEAR($C392))</f>
        <v/>
      </c>
      <c r="N392" s="24"/>
      <c r="O392" s="35" t="str">
        <f aca="false">IF($C392="","",IF($D392="","★没选客户项目",IF(COUNTIF(合同键,$D392)=0,"★《维保合同》里没这个项目",IF(N($G392)&lt;=0,"★收款金额要填",IF($H392="","★票据类型要选",IF(AND($L392&lt;&gt;"",COUNTIF(应收单号,$L392)=0),"★关联的应收单号不存在",IF(AND($L392&lt;&gt;"",IFERROR(INDEX(应收键,MATCH($L392,应收单号,0)),"")&lt;&gt;$D392),"★关联单号不是这个客户的",IF(AND($L392&lt;&gt;"",ROUND(SUMIF(收款关联,$L392,收款金额)-IFERROR(INDEX(应收金额,MATCH($L392,应收单号,0)),0),2)&gt;0.001),"★指定冲销超过那张单的应收","OK"))))))))</f>
        <v/>
      </c>
    </row>
    <row r="393" customFormat="false" ht="15" hidden="false" customHeight="false" outlineLevel="0" collapsed="false">
      <c r="A393" s="29" t="str">
        <f aca="false">IF($C393="","",ROW()-4)</f>
        <v/>
      </c>
      <c r="B393" s="35" t="str">
        <f aca="false">IF($C393="","","SK"&amp;TEXT($C393,"yyyymm")&amp;"-"&amp;TEXT(ROW()-4,"0000"))</f>
        <v/>
      </c>
      <c r="C393" s="33"/>
      <c r="D393" s="24"/>
      <c r="E393" s="30" t="str">
        <f aca="false">IF($D393="","",IFERROR(INDEX(合同单位,MATCH($D393,合同键,0)),IFERROR(TRIM(LEFT($D393,FIND("｜",$D393)-1)),$D393)))</f>
        <v/>
      </c>
      <c r="F393" s="30" t="str">
        <f aca="false">IF($D393="","",IFERROR(INDEX(合同项目,MATCH($D393,合同键,0)),IFERROR(TRIM(MID($D393,FIND("｜",$D393)+1,99)),"")))</f>
        <v/>
      </c>
      <c r="G393" s="39"/>
      <c r="H393" s="25"/>
      <c r="I393" s="35" t="str">
        <f aca="false">IF($H393="","",IFERROR(INDEX(票据归类表,MATCH($H393,票据类型表,0)),"现金无票"))</f>
        <v/>
      </c>
      <c r="J393" s="25"/>
      <c r="K393" s="25"/>
      <c r="L393" s="31"/>
      <c r="M393" s="29" t="str">
        <f aca="false">IF($C393="","",YEAR($C393))</f>
        <v/>
      </c>
      <c r="N393" s="24"/>
      <c r="O393" s="35" t="str">
        <f aca="false">IF($C393="","",IF($D393="","★没选客户项目",IF(COUNTIF(合同键,$D393)=0,"★《维保合同》里没这个项目",IF(N($G393)&lt;=0,"★收款金额要填",IF($H393="","★票据类型要选",IF(AND($L393&lt;&gt;"",COUNTIF(应收单号,$L393)=0),"★关联的应收单号不存在",IF(AND($L393&lt;&gt;"",IFERROR(INDEX(应收键,MATCH($L393,应收单号,0)),"")&lt;&gt;$D393),"★关联单号不是这个客户的",IF(AND($L393&lt;&gt;"",ROUND(SUMIF(收款关联,$L393,收款金额)-IFERROR(INDEX(应收金额,MATCH($L393,应收单号,0)),0),2)&gt;0.001),"★指定冲销超过那张单的应收","OK"))))))))</f>
        <v/>
      </c>
    </row>
    <row r="394" customFormat="false" ht="15" hidden="false" customHeight="false" outlineLevel="0" collapsed="false">
      <c r="A394" s="29" t="str">
        <f aca="false">IF($C394="","",ROW()-4)</f>
        <v/>
      </c>
      <c r="B394" s="35" t="str">
        <f aca="false">IF($C394="","","SK"&amp;TEXT($C394,"yyyymm")&amp;"-"&amp;TEXT(ROW()-4,"0000"))</f>
        <v/>
      </c>
      <c r="C394" s="33"/>
      <c r="D394" s="24"/>
      <c r="E394" s="30" t="str">
        <f aca="false">IF($D394="","",IFERROR(INDEX(合同单位,MATCH($D394,合同键,0)),IFERROR(TRIM(LEFT($D394,FIND("｜",$D394)-1)),$D394)))</f>
        <v/>
      </c>
      <c r="F394" s="30" t="str">
        <f aca="false">IF($D394="","",IFERROR(INDEX(合同项目,MATCH($D394,合同键,0)),IFERROR(TRIM(MID($D394,FIND("｜",$D394)+1,99)),"")))</f>
        <v/>
      </c>
      <c r="G394" s="39"/>
      <c r="H394" s="25"/>
      <c r="I394" s="35" t="str">
        <f aca="false">IF($H394="","",IFERROR(INDEX(票据归类表,MATCH($H394,票据类型表,0)),"现金无票"))</f>
        <v/>
      </c>
      <c r="J394" s="25"/>
      <c r="K394" s="25"/>
      <c r="L394" s="31"/>
      <c r="M394" s="29" t="str">
        <f aca="false">IF($C394="","",YEAR($C394))</f>
        <v/>
      </c>
      <c r="N394" s="24"/>
      <c r="O394" s="35" t="str">
        <f aca="false">IF($C394="","",IF($D394="","★没选客户项目",IF(COUNTIF(合同键,$D394)=0,"★《维保合同》里没这个项目",IF(N($G394)&lt;=0,"★收款金额要填",IF($H394="","★票据类型要选",IF(AND($L394&lt;&gt;"",COUNTIF(应收单号,$L394)=0),"★关联的应收单号不存在",IF(AND($L394&lt;&gt;"",IFERROR(INDEX(应收键,MATCH($L394,应收单号,0)),"")&lt;&gt;$D394),"★关联单号不是这个客户的",IF(AND($L394&lt;&gt;"",ROUND(SUMIF(收款关联,$L394,收款金额)-IFERROR(INDEX(应收金额,MATCH($L394,应收单号,0)),0),2)&gt;0.001),"★指定冲销超过那张单的应收","OK"))))))))</f>
        <v/>
      </c>
    </row>
    <row r="395" customFormat="false" ht="15" hidden="false" customHeight="false" outlineLevel="0" collapsed="false">
      <c r="A395" s="29" t="str">
        <f aca="false">IF($C395="","",ROW()-4)</f>
        <v/>
      </c>
      <c r="B395" s="35" t="str">
        <f aca="false">IF($C395="","","SK"&amp;TEXT($C395,"yyyymm")&amp;"-"&amp;TEXT(ROW()-4,"0000"))</f>
        <v/>
      </c>
      <c r="C395" s="33"/>
      <c r="D395" s="24"/>
      <c r="E395" s="30" t="str">
        <f aca="false">IF($D395="","",IFERROR(INDEX(合同单位,MATCH($D395,合同键,0)),IFERROR(TRIM(LEFT($D395,FIND("｜",$D395)-1)),$D395)))</f>
        <v/>
      </c>
      <c r="F395" s="30" t="str">
        <f aca="false">IF($D395="","",IFERROR(INDEX(合同项目,MATCH($D395,合同键,0)),IFERROR(TRIM(MID($D395,FIND("｜",$D395)+1,99)),"")))</f>
        <v/>
      </c>
      <c r="G395" s="39"/>
      <c r="H395" s="25"/>
      <c r="I395" s="35" t="str">
        <f aca="false">IF($H395="","",IFERROR(INDEX(票据归类表,MATCH($H395,票据类型表,0)),"现金无票"))</f>
        <v/>
      </c>
      <c r="J395" s="25"/>
      <c r="K395" s="25"/>
      <c r="L395" s="31"/>
      <c r="M395" s="29" t="str">
        <f aca="false">IF($C395="","",YEAR($C395))</f>
        <v/>
      </c>
      <c r="N395" s="24"/>
      <c r="O395" s="35" t="str">
        <f aca="false">IF($C395="","",IF($D395="","★没选客户项目",IF(COUNTIF(合同键,$D395)=0,"★《维保合同》里没这个项目",IF(N($G395)&lt;=0,"★收款金额要填",IF($H395="","★票据类型要选",IF(AND($L395&lt;&gt;"",COUNTIF(应收单号,$L395)=0),"★关联的应收单号不存在",IF(AND($L395&lt;&gt;"",IFERROR(INDEX(应收键,MATCH($L395,应收单号,0)),"")&lt;&gt;$D395),"★关联单号不是这个客户的",IF(AND($L395&lt;&gt;"",ROUND(SUMIF(收款关联,$L395,收款金额)-IFERROR(INDEX(应收金额,MATCH($L395,应收单号,0)),0),2)&gt;0.001),"★指定冲销超过那张单的应收","OK"))))))))</f>
        <v/>
      </c>
    </row>
    <row r="396" customFormat="false" ht="15" hidden="false" customHeight="false" outlineLevel="0" collapsed="false">
      <c r="A396" s="29" t="str">
        <f aca="false">IF($C396="","",ROW()-4)</f>
        <v/>
      </c>
      <c r="B396" s="35" t="str">
        <f aca="false">IF($C396="","","SK"&amp;TEXT($C396,"yyyymm")&amp;"-"&amp;TEXT(ROW()-4,"0000"))</f>
        <v/>
      </c>
      <c r="C396" s="33"/>
      <c r="D396" s="24"/>
      <c r="E396" s="30" t="str">
        <f aca="false">IF($D396="","",IFERROR(INDEX(合同单位,MATCH($D396,合同键,0)),IFERROR(TRIM(LEFT($D396,FIND("｜",$D396)-1)),$D396)))</f>
        <v/>
      </c>
      <c r="F396" s="30" t="str">
        <f aca="false">IF($D396="","",IFERROR(INDEX(合同项目,MATCH($D396,合同键,0)),IFERROR(TRIM(MID($D396,FIND("｜",$D396)+1,99)),"")))</f>
        <v/>
      </c>
      <c r="G396" s="39"/>
      <c r="H396" s="25"/>
      <c r="I396" s="35" t="str">
        <f aca="false">IF($H396="","",IFERROR(INDEX(票据归类表,MATCH($H396,票据类型表,0)),"现金无票"))</f>
        <v/>
      </c>
      <c r="J396" s="25"/>
      <c r="K396" s="25"/>
      <c r="L396" s="31"/>
      <c r="M396" s="29" t="str">
        <f aca="false">IF($C396="","",YEAR($C396))</f>
        <v/>
      </c>
      <c r="N396" s="24"/>
      <c r="O396" s="35" t="str">
        <f aca="false">IF($C396="","",IF($D396="","★没选客户项目",IF(COUNTIF(合同键,$D396)=0,"★《维保合同》里没这个项目",IF(N($G396)&lt;=0,"★收款金额要填",IF($H396="","★票据类型要选",IF(AND($L396&lt;&gt;"",COUNTIF(应收单号,$L396)=0),"★关联的应收单号不存在",IF(AND($L396&lt;&gt;"",IFERROR(INDEX(应收键,MATCH($L396,应收单号,0)),"")&lt;&gt;$D396),"★关联单号不是这个客户的",IF(AND($L396&lt;&gt;"",ROUND(SUMIF(收款关联,$L396,收款金额)-IFERROR(INDEX(应收金额,MATCH($L396,应收单号,0)),0),2)&gt;0.001),"★指定冲销超过那张单的应收","OK"))))))))</f>
        <v/>
      </c>
    </row>
    <row r="397" customFormat="false" ht="15" hidden="false" customHeight="false" outlineLevel="0" collapsed="false">
      <c r="A397" s="29" t="str">
        <f aca="false">IF($C397="","",ROW()-4)</f>
        <v/>
      </c>
      <c r="B397" s="35" t="str">
        <f aca="false">IF($C397="","","SK"&amp;TEXT($C397,"yyyymm")&amp;"-"&amp;TEXT(ROW()-4,"0000"))</f>
        <v/>
      </c>
      <c r="C397" s="33"/>
      <c r="D397" s="24"/>
      <c r="E397" s="30" t="str">
        <f aca="false">IF($D397="","",IFERROR(INDEX(合同单位,MATCH($D397,合同键,0)),IFERROR(TRIM(LEFT($D397,FIND("｜",$D397)-1)),$D397)))</f>
        <v/>
      </c>
      <c r="F397" s="30" t="str">
        <f aca="false">IF($D397="","",IFERROR(INDEX(合同项目,MATCH($D397,合同键,0)),IFERROR(TRIM(MID($D397,FIND("｜",$D397)+1,99)),"")))</f>
        <v/>
      </c>
      <c r="G397" s="39"/>
      <c r="H397" s="25"/>
      <c r="I397" s="35" t="str">
        <f aca="false">IF($H397="","",IFERROR(INDEX(票据归类表,MATCH($H397,票据类型表,0)),"现金无票"))</f>
        <v/>
      </c>
      <c r="J397" s="25"/>
      <c r="K397" s="25"/>
      <c r="L397" s="31"/>
      <c r="M397" s="29" t="str">
        <f aca="false">IF($C397="","",YEAR($C397))</f>
        <v/>
      </c>
      <c r="N397" s="24"/>
      <c r="O397" s="35" t="str">
        <f aca="false">IF($C397="","",IF($D397="","★没选客户项目",IF(COUNTIF(合同键,$D397)=0,"★《维保合同》里没这个项目",IF(N($G397)&lt;=0,"★收款金额要填",IF($H397="","★票据类型要选",IF(AND($L397&lt;&gt;"",COUNTIF(应收单号,$L397)=0),"★关联的应收单号不存在",IF(AND($L397&lt;&gt;"",IFERROR(INDEX(应收键,MATCH($L397,应收单号,0)),"")&lt;&gt;$D397),"★关联单号不是这个客户的",IF(AND($L397&lt;&gt;"",ROUND(SUMIF(收款关联,$L397,收款金额)-IFERROR(INDEX(应收金额,MATCH($L397,应收单号,0)),0),2)&gt;0.001),"★指定冲销超过那张单的应收","OK"))))))))</f>
        <v/>
      </c>
    </row>
    <row r="398" customFormat="false" ht="15" hidden="false" customHeight="false" outlineLevel="0" collapsed="false">
      <c r="A398" s="29" t="str">
        <f aca="false">IF($C398="","",ROW()-4)</f>
        <v/>
      </c>
      <c r="B398" s="35" t="str">
        <f aca="false">IF($C398="","","SK"&amp;TEXT($C398,"yyyymm")&amp;"-"&amp;TEXT(ROW()-4,"0000"))</f>
        <v/>
      </c>
      <c r="C398" s="33"/>
      <c r="D398" s="24"/>
      <c r="E398" s="30" t="str">
        <f aca="false">IF($D398="","",IFERROR(INDEX(合同单位,MATCH($D398,合同键,0)),IFERROR(TRIM(LEFT($D398,FIND("｜",$D398)-1)),$D398)))</f>
        <v/>
      </c>
      <c r="F398" s="30" t="str">
        <f aca="false">IF($D398="","",IFERROR(INDEX(合同项目,MATCH($D398,合同键,0)),IFERROR(TRIM(MID($D398,FIND("｜",$D398)+1,99)),"")))</f>
        <v/>
      </c>
      <c r="G398" s="39"/>
      <c r="H398" s="25"/>
      <c r="I398" s="35" t="str">
        <f aca="false">IF($H398="","",IFERROR(INDEX(票据归类表,MATCH($H398,票据类型表,0)),"现金无票"))</f>
        <v/>
      </c>
      <c r="J398" s="25"/>
      <c r="K398" s="25"/>
      <c r="L398" s="31"/>
      <c r="M398" s="29" t="str">
        <f aca="false">IF($C398="","",YEAR($C398))</f>
        <v/>
      </c>
      <c r="N398" s="24"/>
      <c r="O398" s="35" t="str">
        <f aca="false">IF($C398="","",IF($D398="","★没选客户项目",IF(COUNTIF(合同键,$D398)=0,"★《维保合同》里没这个项目",IF(N($G398)&lt;=0,"★收款金额要填",IF($H398="","★票据类型要选",IF(AND($L398&lt;&gt;"",COUNTIF(应收单号,$L398)=0),"★关联的应收单号不存在",IF(AND($L398&lt;&gt;"",IFERROR(INDEX(应收键,MATCH($L398,应收单号,0)),"")&lt;&gt;$D398),"★关联单号不是这个客户的",IF(AND($L398&lt;&gt;"",ROUND(SUMIF(收款关联,$L398,收款金额)-IFERROR(INDEX(应收金额,MATCH($L398,应收单号,0)),0),2)&gt;0.001),"★指定冲销超过那张单的应收","OK"))))))))</f>
        <v/>
      </c>
    </row>
    <row r="399" customFormat="false" ht="15" hidden="false" customHeight="false" outlineLevel="0" collapsed="false">
      <c r="A399" s="29" t="str">
        <f aca="false">IF($C399="","",ROW()-4)</f>
        <v/>
      </c>
      <c r="B399" s="35" t="str">
        <f aca="false">IF($C399="","","SK"&amp;TEXT($C399,"yyyymm")&amp;"-"&amp;TEXT(ROW()-4,"0000"))</f>
        <v/>
      </c>
      <c r="C399" s="33"/>
      <c r="D399" s="24"/>
      <c r="E399" s="30" t="str">
        <f aca="false">IF($D399="","",IFERROR(INDEX(合同单位,MATCH($D399,合同键,0)),IFERROR(TRIM(LEFT($D399,FIND("｜",$D399)-1)),$D399)))</f>
        <v/>
      </c>
      <c r="F399" s="30" t="str">
        <f aca="false">IF($D399="","",IFERROR(INDEX(合同项目,MATCH($D399,合同键,0)),IFERROR(TRIM(MID($D399,FIND("｜",$D399)+1,99)),"")))</f>
        <v/>
      </c>
      <c r="G399" s="39"/>
      <c r="H399" s="25"/>
      <c r="I399" s="35" t="str">
        <f aca="false">IF($H399="","",IFERROR(INDEX(票据归类表,MATCH($H399,票据类型表,0)),"现金无票"))</f>
        <v/>
      </c>
      <c r="J399" s="25"/>
      <c r="K399" s="25"/>
      <c r="L399" s="31"/>
      <c r="M399" s="29" t="str">
        <f aca="false">IF($C399="","",YEAR($C399))</f>
        <v/>
      </c>
      <c r="N399" s="24"/>
      <c r="O399" s="35" t="str">
        <f aca="false">IF($C399="","",IF($D399="","★没选客户项目",IF(COUNTIF(合同键,$D399)=0,"★《维保合同》里没这个项目",IF(N($G399)&lt;=0,"★收款金额要填",IF($H399="","★票据类型要选",IF(AND($L399&lt;&gt;"",COUNTIF(应收单号,$L399)=0),"★关联的应收单号不存在",IF(AND($L399&lt;&gt;"",IFERROR(INDEX(应收键,MATCH($L399,应收单号,0)),"")&lt;&gt;$D399),"★关联单号不是这个客户的",IF(AND($L399&lt;&gt;"",ROUND(SUMIF(收款关联,$L399,收款金额)-IFERROR(INDEX(应收金额,MATCH($L399,应收单号,0)),0),2)&gt;0.001),"★指定冲销超过那张单的应收","OK"))))))))</f>
        <v/>
      </c>
    </row>
    <row r="400" customFormat="false" ht="15" hidden="false" customHeight="false" outlineLevel="0" collapsed="false">
      <c r="A400" s="29" t="str">
        <f aca="false">IF($C400="","",ROW()-4)</f>
        <v/>
      </c>
      <c r="B400" s="35" t="str">
        <f aca="false">IF($C400="","","SK"&amp;TEXT($C400,"yyyymm")&amp;"-"&amp;TEXT(ROW()-4,"0000"))</f>
        <v/>
      </c>
      <c r="C400" s="33"/>
      <c r="D400" s="24"/>
      <c r="E400" s="30" t="str">
        <f aca="false">IF($D400="","",IFERROR(INDEX(合同单位,MATCH($D400,合同键,0)),IFERROR(TRIM(LEFT($D400,FIND("｜",$D400)-1)),$D400)))</f>
        <v/>
      </c>
      <c r="F400" s="30" t="str">
        <f aca="false">IF($D400="","",IFERROR(INDEX(合同项目,MATCH($D400,合同键,0)),IFERROR(TRIM(MID($D400,FIND("｜",$D400)+1,99)),"")))</f>
        <v/>
      </c>
      <c r="G400" s="39"/>
      <c r="H400" s="25"/>
      <c r="I400" s="35" t="str">
        <f aca="false">IF($H400="","",IFERROR(INDEX(票据归类表,MATCH($H400,票据类型表,0)),"现金无票"))</f>
        <v/>
      </c>
      <c r="J400" s="25"/>
      <c r="K400" s="25"/>
      <c r="L400" s="31"/>
      <c r="M400" s="29" t="str">
        <f aca="false">IF($C400="","",YEAR($C400))</f>
        <v/>
      </c>
      <c r="N400" s="24"/>
      <c r="O400" s="35" t="str">
        <f aca="false">IF($C400="","",IF($D400="","★没选客户项目",IF(COUNTIF(合同键,$D400)=0,"★《维保合同》里没这个项目",IF(N($G400)&lt;=0,"★收款金额要填",IF($H400="","★票据类型要选",IF(AND($L400&lt;&gt;"",COUNTIF(应收单号,$L400)=0),"★关联的应收单号不存在",IF(AND($L400&lt;&gt;"",IFERROR(INDEX(应收键,MATCH($L400,应收单号,0)),"")&lt;&gt;$D400),"★关联单号不是这个客户的",IF(AND($L400&lt;&gt;"",ROUND(SUMIF(收款关联,$L400,收款金额)-IFERROR(INDEX(应收金额,MATCH($L400,应收单号,0)),0),2)&gt;0.001),"★指定冲销超过那张单的应收","OK"))))))))</f>
        <v/>
      </c>
    </row>
    <row r="401" customFormat="false" ht="15" hidden="false" customHeight="false" outlineLevel="0" collapsed="false">
      <c r="A401" s="29" t="str">
        <f aca="false">IF($C401="","",ROW()-4)</f>
        <v/>
      </c>
      <c r="B401" s="35" t="str">
        <f aca="false">IF($C401="","","SK"&amp;TEXT($C401,"yyyymm")&amp;"-"&amp;TEXT(ROW()-4,"0000"))</f>
        <v/>
      </c>
      <c r="C401" s="33"/>
      <c r="D401" s="24"/>
      <c r="E401" s="30" t="str">
        <f aca="false">IF($D401="","",IFERROR(INDEX(合同单位,MATCH($D401,合同键,0)),IFERROR(TRIM(LEFT($D401,FIND("｜",$D401)-1)),$D401)))</f>
        <v/>
      </c>
      <c r="F401" s="30" t="str">
        <f aca="false">IF($D401="","",IFERROR(INDEX(合同项目,MATCH($D401,合同键,0)),IFERROR(TRIM(MID($D401,FIND("｜",$D401)+1,99)),"")))</f>
        <v/>
      </c>
      <c r="G401" s="39"/>
      <c r="H401" s="25"/>
      <c r="I401" s="35" t="str">
        <f aca="false">IF($H401="","",IFERROR(INDEX(票据归类表,MATCH($H401,票据类型表,0)),"现金无票"))</f>
        <v/>
      </c>
      <c r="J401" s="25"/>
      <c r="K401" s="25"/>
      <c r="L401" s="31"/>
      <c r="M401" s="29" t="str">
        <f aca="false">IF($C401="","",YEAR($C401))</f>
        <v/>
      </c>
      <c r="N401" s="24"/>
      <c r="O401" s="35" t="str">
        <f aca="false">IF($C401="","",IF($D401="","★没选客户项目",IF(COUNTIF(合同键,$D401)=0,"★《维保合同》里没这个项目",IF(N($G401)&lt;=0,"★收款金额要填",IF($H401="","★票据类型要选",IF(AND($L401&lt;&gt;"",COUNTIF(应收单号,$L401)=0),"★关联的应收单号不存在",IF(AND($L401&lt;&gt;"",IFERROR(INDEX(应收键,MATCH($L401,应收单号,0)),"")&lt;&gt;$D401),"★关联单号不是这个客户的",IF(AND($L401&lt;&gt;"",ROUND(SUMIF(收款关联,$L401,收款金额)-IFERROR(INDEX(应收金额,MATCH($L401,应收单号,0)),0),2)&gt;0.001),"★指定冲销超过那张单的应收","OK"))))))))</f>
        <v/>
      </c>
    </row>
    <row r="402" customFormat="false" ht="15" hidden="false" customHeight="false" outlineLevel="0" collapsed="false">
      <c r="A402" s="29" t="str">
        <f aca="false">IF($C402="","",ROW()-4)</f>
        <v/>
      </c>
      <c r="B402" s="35" t="str">
        <f aca="false">IF($C402="","","SK"&amp;TEXT($C402,"yyyymm")&amp;"-"&amp;TEXT(ROW()-4,"0000"))</f>
        <v/>
      </c>
      <c r="C402" s="33"/>
      <c r="D402" s="24"/>
      <c r="E402" s="30" t="str">
        <f aca="false">IF($D402="","",IFERROR(INDEX(合同单位,MATCH($D402,合同键,0)),IFERROR(TRIM(LEFT($D402,FIND("｜",$D402)-1)),$D402)))</f>
        <v/>
      </c>
      <c r="F402" s="30" t="str">
        <f aca="false">IF($D402="","",IFERROR(INDEX(合同项目,MATCH($D402,合同键,0)),IFERROR(TRIM(MID($D402,FIND("｜",$D402)+1,99)),"")))</f>
        <v/>
      </c>
      <c r="G402" s="39"/>
      <c r="H402" s="25"/>
      <c r="I402" s="35" t="str">
        <f aca="false">IF($H402="","",IFERROR(INDEX(票据归类表,MATCH($H402,票据类型表,0)),"现金无票"))</f>
        <v/>
      </c>
      <c r="J402" s="25"/>
      <c r="K402" s="25"/>
      <c r="L402" s="31"/>
      <c r="M402" s="29" t="str">
        <f aca="false">IF($C402="","",YEAR($C402))</f>
        <v/>
      </c>
      <c r="N402" s="24"/>
      <c r="O402" s="35" t="str">
        <f aca="false">IF($C402="","",IF($D402="","★没选客户项目",IF(COUNTIF(合同键,$D402)=0,"★《维保合同》里没这个项目",IF(N($G402)&lt;=0,"★收款金额要填",IF($H402="","★票据类型要选",IF(AND($L402&lt;&gt;"",COUNTIF(应收单号,$L402)=0),"★关联的应收单号不存在",IF(AND($L402&lt;&gt;"",IFERROR(INDEX(应收键,MATCH($L402,应收单号,0)),"")&lt;&gt;$D402),"★关联单号不是这个客户的",IF(AND($L402&lt;&gt;"",ROUND(SUMIF(收款关联,$L402,收款金额)-IFERROR(INDEX(应收金额,MATCH($L402,应收单号,0)),0),2)&gt;0.001),"★指定冲销超过那张单的应收","OK"))))))))</f>
        <v/>
      </c>
    </row>
    <row r="403" customFormat="false" ht="15" hidden="false" customHeight="false" outlineLevel="0" collapsed="false">
      <c r="A403" s="29" t="str">
        <f aca="false">IF($C403="","",ROW()-4)</f>
        <v/>
      </c>
      <c r="B403" s="35" t="str">
        <f aca="false">IF($C403="","","SK"&amp;TEXT($C403,"yyyymm")&amp;"-"&amp;TEXT(ROW()-4,"0000"))</f>
        <v/>
      </c>
      <c r="C403" s="33"/>
      <c r="D403" s="24"/>
      <c r="E403" s="30" t="str">
        <f aca="false">IF($D403="","",IFERROR(INDEX(合同单位,MATCH($D403,合同键,0)),IFERROR(TRIM(LEFT($D403,FIND("｜",$D403)-1)),$D403)))</f>
        <v/>
      </c>
      <c r="F403" s="30" t="str">
        <f aca="false">IF($D403="","",IFERROR(INDEX(合同项目,MATCH($D403,合同键,0)),IFERROR(TRIM(MID($D403,FIND("｜",$D403)+1,99)),"")))</f>
        <v/>
      </c>
      <c r="G403" s="39"/>
      <c r="H403" s="25"/>
      <c r="I403" s="35" t="str">
        <f aca="false">IF($H403="","",IFERROR(INDEX(票据归类表,MATCH($H403,票据类型表,0)),"现金无票"))</f>
        <v/>
      </c>
      <c r="J403" s="25"/>
      <c r="K403" s="25"/>
      <c r="L403" s="31"/>
      <c r="M403" s="29" t="str">
        <f aca="false">IF($C403="","",YEAR($C403))</f>
        <v/>
      </c>
      <c r="N403" s="24"/>
      <c r="O403" s="35" t="str">
        <f aca="false">IF($C403="","",IF($D403="","★没选客户项目",IF(COUNTIF(合同键,$D403)=0,"★《维保合同》里没这个项目",IF(N($G403)&lt;=0,"★收款金额要填",IF($H403="","★票据类型要选",IF(AND($L403&lt;&gt;"",COUNTIF(应收单号,$L403)=0),"★关联的应收单号不存在",IF(AND($L403&lt;&gt;"",IFERROR(INDEX(应收键,MATCH($L403,应收单号,0)),"")&lt;&gt;$D403),"★关联单号不是这个客户的",IF(AND($L403&lt;&gt;"",ROUND(SUMIF(收款关联,$L403,收款金额)-IFERROR(INDEX(应收金额,MATCH($L403,应收单号,0)),0),2)&gt;0.001),"★指定冲销超过那张单的应收","OK"))))))))</f>
        <v/>
      </c>
    </row>
    <row r="404" customFormat="false" ht="15" hidden="false" customHeight="false" outlineLevel="0" collapsed="false">
      <c r="A404" s="29" t="str">
        <f aca="false">IF($C404="","",ROW()-4)</f>
        <v/>
      </c>
      <c r="B404" s="35" t="str">
        <f aca="false">IF($C404="","","SK"&amp;TEXT($C404,"yyyymm")&amp;"-"&amp;TEXT(ROW()-4,"0000"))</f>
        <v/>
      </c>
      <c r="C404" s="33"/>
      <c r="D404" s="24"/>
      <c r="E404" s="30" t="str">
        <f aca="false">IF($D404="","",IFERROR(INDEX(合同单位,MATCH($D404,合同键,0)),IFERROR(TRIM(LEFT($D404,FIND("｜",$D404)-1)),$D404)))</f>
        <v/>
      </c>
      <c r="F404" s="30" t="str">
        <f aca="false">IF($D404="","",IFERROR(INDEX(合同项目,MATCH($D404,合同键,0)),IFERROR(TRIM(MID($D404,FIND("｜",$D404)+1,99)),"")))</f>
        <v/>
      </c>
      <c r="G404" s="39"/>
      <c r="H404" s="25"/>
      <c r="I404" s="35" t="str">
        <f aca="false">IF($H404="","",IFERROR(INDEX(票据归类表,MATCH($H404,票据类型表,0)),"现金无票"))</f>
        <v/>
      </c>
      <c r="J404" s="25"/>
      <c r="K404" s="25"/>
      <c r="L404" s="31"/>
      <c r="M404" s="29" t="str">
        <f aca="false">IF($C404="","",YEAR($C404))</f>
        <v/>
      </c>
      <c r="N404" s="24"/>
      <c r="O404" s="35" t="str">
        <f aca="false">IF($C404="","",IF($D404="","★没选客户项目",IF(COUNTIF(合同键,$D404)=0,"★《维保合同》里没这个项目",IF(N($G404)&lt;=0,"★收款金额要填",IF($H404="","★票据类型要选",IF(AND($L404&lt;&gt;"",COUNTIF(应收单号,$L404)=0),"★关联的应收单号不存在",IF(AND($L404&lt;&gt;"",IFERROR(INDEX(应收键,MATCH($L404,应收单号,0)),"")&lt;&gt;$D404),"★关联单号不是这个客户的",IF(AND($L404&lt;&gt;"",ROUND(SUMIF(收款关联,$L404,收款金额)-IFERROR(INDEX(应收金额,MATCH($L404,应收单号,0)),0),2)&gt;0.001),"★指定冲销超过那张单的应收","OK"))))))))</f>
        <v/>
      </c>
    </row>
    <row r="405" customFormat="false" ht="15" hidden="false" customHeight="false" outlineLevel="0" collapsed="false">
      <c r="A405" s="29" t="str">
        <f aca="false">IF($C405="","",ROW()-4)</f>
        <v/>
      </c>
      <c r="B405" s="35" t="str">
        <f aca="false">IF($C405="","","SK"&amp;TEXT($C405,"yyyymm")&amp;"-"&amp;TEXT(ROW()-4,"0000"))</f>
        <v/>
      </c>
      <c r="C405" s="33"/>
      <c r="D405" s="24"/>
      <c r="E405" s="30" t="str">
        <f aca="false">IF($D405="","",IFERROR(INDEX(合同单位,MATCH($D405,合同键,0)),IFERROR(TRIM(LEFT($D405,FIND("｜",$D405)-1)),$D405)))</f>
        <v/>
      </c>
      <c r="F405" s="30" t="str">
        <f aca="false">IF($D405="","",IFERROR(INDEX(合同项目,MATCH($D405,合同键,0)),IFERROR(TRIM(MID($D405,FIND("｜",$D405)+1,99)),"")))</f>
        <v/>
      </c>
      <c r="G405" s="39"/>
      <c r="H405" s="25"/>
      <c r="I405" s="35" t="str">
        <f aca="false">IF($H405="","",IFERROR(INDEX(票据归类表,MATCH($H405,票据类型表,0)),"现金无票"))</f>
        <v/>
      </c>
      <c r="J405" s="25"/>
      <c r="K405" s="25"/>
      <c r="L405" s="31"/>
      <c r="M405" s="29" t="str">
        <f aca="false">IF($C405="","",YEAR($C405))</f>
        <v/>
      </c>
      <c r="N405" s="24"/>
      <c r="O405" s="35" t="str">
        <f aca="false">IF($C405="","",IF($D405="","★没选客户项目",IF(COUNTIF(合同键,$D405)=0,"★《维保合同》里没这个项目",IF(N($G405)&lt;=0,"★收款金额要填",IF($H405="","★票据类型要选",IF(AND($L405&lt;&gt;"",COUNTIF(应收单号,$L405)=0),"★关联的应收单号不存在",IF(AND($L405&lt;&gt;"",IFERROR(INDEX(应收键,MATCH($L405,应收单号,0)),"")&lt;&gt;$D405),"★关联单号不是这个客户的",IF(AND($L405&lt;&gt;"",ROUND(SUMIF(收款关联,$L405,收款金额)-IFERROR(INDEX(应收金额,MATCH($L405,应收单号,0)),0),2)&gt;0.001),"★指定冲销超过那张单的应收","OK"))))))))</f>
        <v/>
      </c>
    </row>
    <row r="406" customFormat="false" ht="15" hidden="false" customHeight="false" outlineLevel="0" collapsed="false">
      <c r="A406" s="29" t="str">
        <f aca="false">IF($C406="","",ROW()-4)</f>
        <v/>
      </c>
      <c r="B406" s="35" t="str">
        <f aca="false">IF($C406="","","SK"&amp;TEXT($C406,"yyyymm")&amp;"-"&amp;TEXT(ROW()-4,"0000"))</f>
        <v/>
      </c>
      <c r="C406" s="33"/>
      <c r="D406" s="24"/>
      <c r="E406" s="30" t="str">
        <f aca="false">IF($D406="","",IFERROR(INDEX(合同单位,MATCH($D406,合同键,0)),IFERROR(TRIM(LEFT($D406,FIND("｜",$D406)-1)),$D406)))</f>
        <v/>
      </c>
      <c r="F406" s="30" t="str">
        <f aca="false">IF($D406="","",IFERROR(INDEX(合同项目,MATCH($D406,合同键,0)),IFERROR(TRIM(MID($D406,FIND("｜",$D406)+1,99)),"")))</f>
        <v/>
      </c>
      <c r="G406" s="39"/>
      <c r="H406" s="25"/>
      <c r="I406" s="35" t="str">
        <f aca="false">IF($H406="","",IFERROR(INDEX(票据归类表,MATCH($H406,票据类型表,0)),"现金无票"))</f>
        <v/>
      </c>
      <c r="J406" s="25"/>
      <c r="K406" s="25"/>
      <c r="L406" s="31"/>
      <c r="M406" s="29" t="str">
        <f aca="false">IF($C406="","",YEAR($C406))</f>
        <v/>
      </c>
      <c r="N406" s="24"/>
      <c r="O406" s="35" t="str">
        <f aca="false">IF($C406="","",IF($D406="","★没选客户项目",IF(COUNTIF(合同键,$D406)=0,"★《维保合同》里没这个项目",IF(N($G406)&lt;=0,"★收款金额要填",IF($H406="","★票据类型要选",IF(AND($L406&lt;&gt;"",COUNTIF(应收单号,$L406)=0),"★关联的应收单号不存在",IF(AND($L406&lt;&gt;"",IFERROR(INDEX(应收键,MATCH($L406,应收单号,0)),"")&lt;&gt;$D406),"★关联单号不是这个客户的",IF(AND($L406&lt;&gt;"",ROUND(SUMIF(收款关联,$L406,收款金额)-IFERROR(INDEX(应收金额,MATCH($L406,应收单号,0)),0),2)&gt;0.001),"★指定冲销超过那张单的应收","OK"))))))))</f>
        <v/>
      </c>
    </row>
    <row r="407" customFormat="false" ht="15" hidden="false" customHeight="false" outlineLevel="0" collapsed="false">
      <c r="A407" s="29" t="str">
        <f aca="false">IF($C407="","",ROW()-4)</f>
        <v/>
      </c>
      <c r="B407" s="35" t="str">
        <f aca="false">IF($C407="","","SK"&amp;TEXT($C407,"yyyymm")&amp;"-"&amp;TEXT(ROW()-4,"0000"))</f>
        <v/>
      </c>
      <c r="C407" s="33"/>
      <c r="D407" s="24"/>
      <c r="E407" s="30" t="str">
        <f aca="false">IF($D407="","",IFERROR(INDEX(合同单位,MATCH($D407,合同键,0)),IFERROR(TRIM(LEFT($D407,FIND("｜",$D407)-1)),$D407)))</f>
        <v/>
      </c>
      <c r="F407" s="30" t="str">
        <f aca="false">IF($D407="","",IFERROR(INDEX(合同项目,MATCH($D407,合同键,0)),IFERROR(TRIM(MID($D407,FIND("｜",$D407)+1,99)),"")))</f>
        <v/>
      </c>
      <c r="G407" s="39"/>
      <c r="H407" s="25"/>
      <c r="I407" s="35" t="str">
        <f aca="false">IF($H407="","",IFERROR(INDEX(票据归类表,MATCH($H407,票据类型表,0)),"现金无票"))</f>
        <v/>
      </c>
      <c r="J407" s="25"/>
      <c r="K407" s="25"/>
      <c r="L407" s="31"/>
      <c r="M407" s="29" t="str">
        <f aca="false">IF($C407="","",YEAR($C407))</f>
        <v/>
      </c>
      <c r="N407" s="24"/>
      <c r="O407" s="35" t="str">
        <f aca="false">IF($C407="","",IF($D407="","★没选客户项目",IF(COUNTIF(合同键,$D407)=0,"★《维保合同》里没这个项目",IF(N($G407)&lt;=0,"★收款金额要填",IF($H407="","★票据类型要选",IF(AND($L407&lt;&gt;"",COUNTIF(应收单号,$L407)=0),"★关联的应收单号不存在",IF(AND($L407&lt;&gt;"",IFERROR(INDEX(应收键,MATCH($L407,应收单号,0)),"")&lt;&gt;$D407),"★关联单号不是这个客户的",IF(AND($L407&lt;&gt;"",ROUND(SUMIF(收款关联,$L407,收款金额)-IFERROR(INDEX(应收金额,MATCH($L407,应收单号,0)),0),2)&gt;0.001),"★指定冲销超过那张单的应收","OK"))))))))</f>
        <v/>
      </c>
    </row>
    <row r="408" customFormat="false" ht="15" hidden="false" customHeight="false" outlineLevel="0" collapsed="false">
      <c r="A408" s="29" t="str">
        <f aca="false">IF($C408="","",ROW()-4)</f>
        <v/>
      </c>
      <c r="B408" s="35" t="str">
        <f aca="false">IF($C408="","","SK"&amp;TEXT($C408,"yyyymm")&amp;"-"&amp;TEXT(ROW()-4,"0000"))</f>
        <v/>
      </c>
      <c r="C408" s="33"/>
      <c r="D408" s="24"/>
      <c r="E408" s="30" t="str">
        <f aca="false">IF($D408="","",IFERROR(INDEX(合同单位,MATCH($D408,合同键,0)),IFERROR(TRIM(LEFT($D408,FIND("｜",$D408)-1)),$D408)))</f>
        <v/>
      </c>
      <c r="F408" s="30" t="str">
        <f aca="false">IF($D408="","",IFERROR(INDEX(合同项目,MATCH($D408,合同键,0)),IFERROR(TRIM(MID($D408,FIND("｜",$D408)+1,99)),"")))</f>
        <v/>
      </c>
      <c r="G408" s="39"/>
      <c r="H408" s="25"/>
      <c r="I408" s="35" t="str">
        <f aca="false">IF($H408="","",IFERROR(INDEX(票据归类表,MATCH($H408,票据类型表,0)),"现金无票"))</f>
        <v/>
      </c>
      <c r="J408" s="25"/>
      <c r="K408" s="25"/>
      <c r="L408" s="31"/>
      <c r="M408" s="29" t="str">
        <f aca="false">IF($C408="","",YEAR($C408))</f>
        <v/>
      </c>
      <c r="N408" s="24"/>
      <c r="O408" s="35" t="str">
        <f aca="false">IF($C408="","",IF($D408="","★没选客户项目",IF(COUNTIF(合同键,$D408)=0,"★《维保合同》里没这个项目",IF(N($G408)&lt;=0,"★收款金额要填",IF($H408="","★票据类型要选",IF(AND($L408&lt;&gt;"",COUNTIF(应收单号,$L408)=0),"★关联的应收单号不存在",IF(AND($L408&lt;&gt;"",IFERROR(INDEX(应收键,MATCH($L408,应收单号,0)),"")&lt;&gt;$D408),"★关联单号不是这个客户的",IF(AND($L408&lt;&gt;"",ROUND(SUMIF(收款关联,$L408,收款金额)-IFERROR(INDEX(应收金额,MATCH($L408,应收单号,0)),0),2)&gt;0.001),"★指定冲销超过那张单的应收","OK"))))))))</f>
        <v/>
      </c>
    </row>
    <row r="409" customFormat="false" ht="15" hidden="false" customHeight="false" outlineLevel="0" collapsed="false">
      <c r="A409" s="29" t="str">
        <f aca="false">IF($C409="","",ROW()-4)</f>
        <v/>
      </c>
      <c r="B409" s="35" t="str">
        <f aca="false">IF($C409="","","SK"&amp;TEXT($C409,"yyyymm")&amp;"-"&amp;TEXT(ROW()-4,"0000"))</f>
        <v/>
      </c>
      <c r="C409" s="33"/>
      <c r="D409" s="24"/>
      <c r="E409" s="30" t="str">
        <f aca="false">IF($D409="","",IFERROR(INDEX(合同单位,MATCH($D409,合同键,0)),IFERROR(TRIM(LEFT($D409,FIND("｜",$D409)-1)),$D409)))</f>
        <v/>
      </c>
      <c r="F409" s="30" t="str">
        <f aca="false">IF($D409="","",IFERROR(INDEX(合同项目,MATCH($D409,合同键,0)),IFERROR(TRIM(MID($D409,FIND("｜",$D409)+1,99)),"")))</f>
        <v/>
      </c>
      <c r="G409" s="39"/>
      <c r="H409" s="25"/>
      <c r="I409" s="35" t="str">
        <f aca="false">IF($H409="","",IFERROR(INDEX(票据归类表,MATCH($H409,票据类型表,0)),"现金无票"))</f>
        <v/>
      </c>
      <c r="J409" s="25"/>
      <c r="K409" s="25"/>
      <c r="L409" s="31"/>
      <c r="M409" s="29" t="str">
        <f aca="false">IF($C409="","",YEAR($C409))</f>
        <v/>
      </c>
      <c r="N409" s="24"/>
      <c r="O409" s="35" t="str">
        <f aca="false">IF($C409="","",IF($D409="","★没选客户项目",IF(COUNTIF(合同键,$D409)=0,"★《维保合同》里没这个项目",IF(N($G409)&lt;=0,"★收款金额要填",IF($H409="","★票据类型要选",IF(AND($L409&lt;&gt;"",COUNTIF(应收单号,$L409)=0),"★关联的应收单号不存在",IF(AND($L409&lt;&gt;"",IFERROR(INDEX(应收键,MATCH($L409,应收单号,0)),"")&lt;&gt;$D409),"★关联单号不是这个客户的",IF(AND($L409&lt;&gt;"",ROUND(SUMIF(收款关联,$L409,收款金额)-IFERROR(INDEX(应收金额,MATCH($L409,应收单号,0)),0),2)&gt;0.001),"★指定冲销超过那张单的应收","OK"))))))))</f>
        <v/>
      </c>
    </row>
    <row r="410" customFormat="false" ht="15" hidden="false" customHeight="false" outlineLevel="0" collapsed="false">
      <c r="A410" s="29" t="str">
        <f aca="false">IF($C410="","",ROW()-4)</f>
        <v/>
      </c>
      <c r="B410" s="35" t="str">
        <f aca="false">IF($C410="","","SK"&amp;TEXT($C410,"yyyymm")&amp;"-"&amp;TEXT(ROW()-4,"0000"))</f>
        <v/>
      </c>
      <c r="C410" s="33"/>
      <c r="D410" s="24"/>
      <c r="E410" s="30" t="str">
        <f aca="false">IF($D410="","",IFERROR(INDEX(合同单位,MATCH($D410,合同键,0)),IFERROR(TRIM(LEFT($D410,FIND("｜",$D410)-1)),$D410)))</f>
        <v/>
      </c>
      <c r="F410" s="30" t="str">
        <f aca="false">IF($D410="","",IFERROR(INDEX(合同项目,MATCH($D410,合同键,0)),IFERROR(TRIM(MID($D410,FIND("｜",$D410)+1,99)),"")))</f>
        <v/>
      </c>
      <c r="G410" s="39"/>
      <c r="H410" s="25"/>
      <c r="I410" s="35" t="str">
        <f aca="false">IF($H410="","",IFERROR(INDEX(票据归类表,MATCH($H410,票据类型表,0)),"现金无票"))</f>
        <v/>
      </c>
      <c r="J410" s="25"/>
      <c r="K410" s="25"/>
      <c r="L410" s="31"/>
      <c r="M410" s="29" t="str">
        <f aca="false">IF($C410="","",YEAR($C410))</f>
        <v/>
      </c>
      <c r="N410" s="24"/>
      <c r="O410" s="35" t="str">
        <f aca="false">IF($C410="","",IF($D410="","★没选客户项目",IF(COUNTIF(合同键,$D410)=0,"★《维保合同》里没这个项目",IF(N($G410)&lt;=0,"★收款金额要填",IF($H410="","★票据类型要选",IF(AND($L410&lt;&gt;"",COUNTIF(应收单号,$L410)=0),"★关联的应收单号不存在",IF(AND($L410&lt;&gt;"",IFERROR(INDEX(应收键,MATCH($L410,应收单号,0)),"")&lt;&gt;$D410),"★关联单号不是这个客户的",IF(AND($L410&lt;&gt;"",ROUND(SUMIF(收款关联,$L410,收款金额)-IFERROR(INDEX(应收金额,MATCH($L410,应收单号,0)),0),2)&gt;0.001),"★指定冲销超过那张单的应收","OK"))))))))</f>
        <v/>
      </c>
    </row>
    <row r="411" customFormat="false" ht="15" hidden="false" customHeight="false" outlineLevel="0" collapsed="false">
      <c r="A411" s="29" t="str">
        <f aca="false">IF($C411="","",ROW()-4)</f>
        <v/>
      </c>
      <c r="B411" s="35" t="str">
        <f aca="false">IF($C411="","","SK"&amp;TEXT($C411,"yyyymm")&amp;"-"&amp;TEXT(ROW()-4,"0000"))</f>
        <v/>
      </c>
      <c r="C411" s="33"/>
      <c r="D411" s="24"/>
      <c r="E411" s="30" t="str">
        <f aca="false">IF($D411="","",IFERROR(INDEX(合同单位,MATCH($D411,合同键,0)),IFERROR(TRIM(LEFT($D411,FIND("｜",$D411)-1)),$D411)))</f>
        <v/>
      </c>
      <c r="F411" s="30" t="str">
        <f aca="false">IF($D411="","",IFERROR(INDEX(合同项目,MATCH($D411,合同键,0)),IFERROR(TRIM(MID($D411,FIND("｜",$D411)+1,99)),"")))</f>
        <v/>
      </c>
      <c r="G411" s="39"/>
      <c r="H411" s="25"/>
      <c r="I411" s="35" t="str">
        <f aca="false">IF($H411="","",IFERROR(INDEX(票据归类表,MATCH($H411,票据类型表,0)),"现金无票"))</f>
        <v/>
      </c>
      <c r="J411" s="25"/>
      <c r="K411" s="25"/>
      <c r="L411" s="31"/>
      <c r="M411" s="29" t="str">
        <f aca="false">IF($C411="","",YEAR($C411))</f>
        <v/>
      </c>
      <c r="N411" s="24"/>
      <c r="O411" s="35" t="str">
        <f aca="false">IF($C411="","",IF($D411="","★没选客户项目",IF(COUNTIF(合同键,$D411)=0,"★《维保合同》里没这个项目",IF(N($G411)&lt;=0,"★收款金额要填",IF($H411="","★票据类型要选",IF(AND($L411&lt;&gt;"",COUNTIF(应收单号,$L411)=0),"★关联的应收单号不存在",IF(AND($L411&lt;&gt;"",IFERROR(INDEX(应收键,MATCH($L411,应收单号,0)),"")&lt;&gt;$D411),"★关联单号不是这个客户的",IF(AND($L411&lt;&gt;"",ROUND(SUMIF(收款关联,$L411,收款金额)-IFERROR(INDEX(应收金额,MATCH($L411,应收单号,0)),0),2)&gt;0.001),"★指定冲销超过那张单的应收","OK"))))))))</f>
        <v/>
      </c>
    </row>
    <row r="412" customFormat="false" ht="15" hidden="false" customHeight="false" outlineLevel="0" collapsed="false">
      <c r="A412" s="29" t="str">
        <f aca="false">IF($C412="","",ROW()-4)</f>
        <v/>
      </c>
      <c r="B412" s="35" t="str">
        <f aca="false">IF($C412="","","SK"&amp;TEXT($C412,"yyyymm")&amp;"-"&amp;TEXT(ROW()-4,"0000"))</f>
        <v/>
      </c>
      <c r="C412" s="33"/>
      <c r="D412" s="24"/>
      <c r="E412" s="30" t="str">
        <f aca="false">IF($D412="","",IFERROR(INDEX(合同单位,MATCH($D412,合同键,0)),IFERROR(TRIM(LEFT($D412,FIND("｜",$D412)-1)),$D412)))</f>
        <v/>
      </c>
      <c r="F412" s="30" t="str">
        <f aca="false">IF($D412="","",IFERROR(INDEX(合同项目,MATCH($D412,合同键,0)),IFERROR(TRIM(MID($D412,FIND("｜",$D412)+1,99)),"")))</f>
        <v/>
      </c>
      <c r="G412" s="39"/>
      <c r="H412" s="25"/>
      <c r="I412" s="35" t="str">
        <f aca="false">IF($H412="","",IFERROR(INDEX(票据归类表,MATCH($H412,票据类型表,0)),"现金无票"))</f>
        <v/>
      </c>
      <c r="J412" s="25"/>
      <c r="K412" s="25"/>
      <c r="L412" s="31"/>
      <c r="M412" s="29" t="str">
        <f aca="false">IF($C412="","",YEAR($C412))</f>
        <v/>
      </c>
      <c r="N412" s="24"/>
      <c r="O412" s="35" t="str">
        <f aca="false">IF($C412="","",IF($D412="","★没选客户项目",IF(COUNTIF(合同键,$D412)=0,"★《维保合同》里没这个项目",IF(N($G412)&lt;=0,"★收款金额要填",IF($H412="","★票据类型要选",IF(AND($L412&lt;&gt;"",COUNTIF(应收单号,$L412)=0),"★关联的应收单号不存在",IF(AND($L412&lt;&gt;"",IFERROR(INDEX(应收键,MATCH($L412,应收单号,0)),"")&lt;&gt;$D412),"★关联单号不是这个客户的",IF(AND($L412&lt;&gt;"",ROUND(SUMIF(收款关联,$L412,收款金额)-IFERROR(INDEX(应收金额,MATCH($L412,应收单号,0)),0),2)&gt;0.001),"★指定冲销超过那张单的应收","OK"))))))))</f>
        <v/>
      </c>
    </row>
    <row r="413" customFormat="false" ht="15" hidden="false" customHeight="false" outlineLevel="0" collapsed="false">
      <c r="A413" s="29" t="str">
        <f aca="false">IF($C413="","",ROW()-4)</f>
        <v/>
      </c>
      <c r="B413" s="35" t="str">
        <f aca="false">IF($C413="","","SK"&amp;TEXT($C413,"yyyymm")&amp;"-"&amp;TEXT(ROW()-4,"0000"))</f>
        <v/>
      </c>
      <c r="C413" s="33"/>
      <c r="D413" s="24"/>
      <c r="E413" s="30" t="str">
        <f aca="false">IF($D413="","",IFERROR(INDEX(合同单位,MATCH($D413,合同键,0)),IFERROR(TRIM(LEFT($D413,FIND("｜",$D413)-1)),$D413)))</f>
        <v/>
      </c>
      <c r="F413" s="30" t="str">
        <f aca="false">IF($D413="","",IFERROR(INDEX(合同项目,MATCH($D413,合同键,0)),IFERROR(TRIM(MID($D413,FIND("｜",$D413)+1,99)),"")))</f>
        <v/>
      </c>
      <c r="G413" s="39"/>
      <c r="H413" s="25"/>
      <c r="I413" s="35" t="str">
        <f aca="false">IF($H413="","",IFERROR(INDEX(票据归类表,MATCH($H413,票据类型表,0)),"现金无票"))</f>
        <v/>
      </c>
      <c r="J413" s="25"/>
      <c r="K413" s="25"/>
      <c r="L413" s="31"/>
      <c r="M413" s="29" t="str">
        <f aca="false">IF($C413="","",YEAR($C413))</f>
        <v/>
      </c>
      <c r="N413" s="24"/>
      <c r="O413" s="35" t="str">
        <f aca="false">IF($C413="","",IF($D413="","★没选客户项目",IF(COUNTIF(合同键,$D413)=0,"★《维保合同》里没这个项目",IF(N($G413)&lt;=0,"★收款金额要填",IF($H413="","★票据类型要选",IF(AND($L413&lt;&gt;"",COUNTIF(应收单号,$L413)=0),"★关联的应收单号不存在",IF(AND($L413&lt;&gt;"",IFERROR(INDEX(应收键,MATCH($L413,应收单号,0)),"")&lt;&gt;$D413),"★关联单号不是这个客户的",IF(AND($L413&lt;&gt;"",ROUND(SUMIF(收款关联,$L413,收款金额)-IFERROR(INDEX(应收金额,MATCH($L413,应收单号,0)),0),2)&gt;0.001),"★指定冲销超过那张单的应收","OK"))))))))</f>
        <v/>
      </c>
    </row>
    <row r="414" customFormat="false" ht="15" hidden="false" customHeight="false" outlineLevel="0" collapsed="false">
      <c r="A414" s="29" t="str">
        <f aca="false">IF($C414="","",ROW()-4)</f>
        <v/>
      </c>
      <c r="B414" s="35" t="str">
        <f aca="false">IF($C414="","","SK"&amp;TEXT($C414,"yyyymm")&amp;"-"&amp;TEXT(ROW()-4,"0000"))</f>
        <v/>
      </c>
      <c r="C414" s="33"/>
      <c r="D414" s="24"/>
      <c r="E414" s="30" t="str">
        <f aca="false">IF($D414="","",IFERROR(INDEX(合同单位,MATCH($D414,合同键,0)),IFERROR(TRIM(LEFT($D414,FIND("｜",$D414)-1)),$D414)))</f>
        <v/>
      </c>
      <c r="F414" s="30" t="str">
        <f aca="false">IF($D414="","",IFERROR(INDEX(合同项目,MATCH($D414,合同键,0)),IFERROR(TRIM(MID($D414,FIND("｜",$D414)+1,99)),"")))</f>
        <v/>
      </c>
      <c r="G414" s="39"/>
      <c r="H414" s="25"/>
      <c r="I414" s="35" t="str">
        <f aca="false">IF($H414="","",IFERROR(INDEX(票据归类表,MATCH($H414,票据类型表,0)),"现金无票"))</f>
        <v/>
      </c>
      <c r="J414" s="25"/>
      <c r="K414" s="25"/>
      <c r="L414" s="31"/>
      <c r="M414" s="29" t="str">
        <f aca="false">IF($C414="","",YEAR($C414))</f>
        <v/>
      </c>
      <c r="N414" s="24"/>
      <c r="O414" s="35" t="str">
        <f aca="false">IF($C414="","",IF($D414="","★没选客户项目",IF(COUNTIF(合同键,$D414)=0,"★《维保合同》里没这个项目",IF(N($G414)&lt;=0,"★收款金额要填",IF($H414="","★票据类型要选",IF(AND($L414&lt;&gt;"",COUNTIF(应收单号,$L414)=0),"★关联的应收单号不存在",IF(AND($L414&lt;&gt;"",IFERROR(INDEX(应收键,MATCH($L414,应收单号,0)),"")&lt;&gt;$D414),"★关联单号不是这个客户的",IF(AND($L414&lt;&gt;"",ROUND(SUMIF(收款关联,$L414,收款金额)-IFERROR(INDEX(应收金额,MATCH($L414,应收单号,0)),0),2)&gt;0.001),"★指定冲销超过那张单的应收","OK"))))))))</f>
        <v/>
      </c>
    </row>
    <row r="415" customFormat="false" ht="15" hidden="false" customHeight="false" outlineLevel="0" collapsed="false">
      <c r="A415" s="29" t="str">
        <f aca="false">IF($C415="","",ROW()-4)</f>
        <v/>
      </c>
      <c r="B415" s="35" t="str">
        <f aca="false">IF($C415="","","SK"&amp;TEXT($C415,"yyyymm")&amp;"-"&amp;TEXT(ROW()-4,"0000"))</f>
        <v/>
      </c>
      <c r="C415" s="33"/>
      <c r="D415" s="24"/>
      <c r="E415" s="30" t="str">
        <f aca="false">IF($D415="","",IFERROR(INDEX(合同单位,MATCH($D415,合同键,0)),IFERROR(TRIM(LEFT($D415,FIND("｜",$D415)-1)),$D415)))</f>
        <v/>
      </c>
      <c r="F415" s="30" t="str">
        <f aca="false">IF($D415="","",IFERROR(INDEX(合同项目,MATCH($D415,合同键,0)),IFERROR(TRIM(MID($D415,FIND("｜",$D415)+1,99)),"")))</f>
        <v/>
      </c>
      <c r="G415" s="39"/>
      <c r="H415" s="25"/>
      <c r="I415" s="35" t="str">
        <f aca="false">IF($H415="","",IFERROR(INDEX(票据归类表,MATCH($H415,票据类型表,0)),"现金无票"))</f>
        <v/>
      </c>
      <c r="J415" s="25"/>
      <c r="K415" s="25"/>
      <c r="L415" s="31"/>
      <c r="M415" s="29" t="str">
        <f aca="false">IF($C415="","",YEAR($C415))</f>
        <v/>
      </c>
      <c r="N415" s="24"/>
      <c r="O415" s="35" t="str">
        <f aca="false">IF($C415="","",IF($D415="","★没选客户项目",IF(COUNTIF(合同键,$D415)=0,"★《维保合同》里没这个项目",IF(N($G415)&lt;=0,"★收款金额要填",IF($H415="","★票据类型要选",IF(AND($L415&lt;&gt;"",COUNTIF(应收单号,$L415)=0),"★关联的应收单号不存在",IF(AND($L415&lt;&gt;"",IFERROR(INDEX(应收键,MATCH($L415,应收单号,0)),"")&lt;&gt;$D415),"★关联单号不是这个客户的",IF(AND($L415&lt;&gt;"",ROUND(SUMIF(收款关联,$L415,收款金额)-IFERROR(INDEX(应收金额,MATCH($L415,应收单号,0)),0),2)&gt;0.001),"★指定冲销超过那张单的应收","OK"))))))))</f>
        <v/>
      </c>
    </row>
    <row r="416" customFormat="false" ht="15" hidden="false" customHeight="false" outlineLevel="0" collapsed="false">
      <c r="A416" s="29" t="str">
        <f aca="false">IF($C416="","",ROW()-4)</f>
        <v/>
      </c>
      <c r="B416" s="35" t="str">
        <f aca="false">IF($C416="","","SK"&amp;TEXT($C416,"yyyymm")&amp;"-"&amp;TEXT(ROW()-4,"0000"))</f>
        <v/>
      </c>
      <c r="C416" s="33"/>
      <c r="D416" s="24"/>
      <c r="E416" s="30" t="str">
        <f aca="false">IF($D416="","",IFERROR(INDEX(合同单位,MATCH($D416,合同键,0)),IFERROR(TRIM(LEFT($D416,FIND("｜",$D416)-1)),$D416)))</f>
        <v/>
      </c>
      <c r="F416" s="30" t="str">
        <f aca="false">IF($D416="","",IFERROR(INDEX(合同项目,MATCH($D416,合同键,0)),IFERROR(TRIM(MID($D416,FIND("｜",$D416)+1,99)),"")))</f>
        <v/>
      </c>
      <c r="G416" s="39"/>
      <c r="H416" s="25"/>
      <c r="I416" s="35" t="str">
        <f aca="false">IF($H416="","",IFERROR(INDEX(票据归类表,MATCH($H416,票据类型表,0)),"现金无票"))</f>
        <v/>
      </c>
      <c r="J416" s="25"/>
      <c r="K416" s="25"/>
      <c r="L416" s="31"/>
      <c r="M416" s="29" t="str">
        <f aca="false">IF($C416="","",YEAR($C416))</f>
        <v/>
      </c>
      <c r="N416" s="24"/>
      <c r="O416" s="35" t="str">
        <f aca="false">IF($C416="","",IF($D416="","★没选客户项目",IF(COUNTIF(合同键,$D416)=0,"★《维保合同》里没这个项目",IF(N($G416)&lt;=0,"★收款金额要填",IF($H416="","★票据类型要选",IF(AND($L416&lt;&gt;"",COUNTIF(应收单号,$L416)=0),"★关联的应收单号不存在",IF(AND($L416&lt;&gt;"",IFERROR(INDEX(应收键,MATCH($L416,应收单号,0)),"")&lt;&gt;$D416),"★关联单号不是这个客户的",IF(AND($L416&lt;&gt;"",ROUND(SUMIF(收款关联,$L416,收款金额)-IFERROR(INDEX(应收金额,MATCH($L416,应收单号,0)),0),2)&gt;0.001),"★指定冲销超过那张单的应收","OK"))))))))</f>
        <v/>
      </c>
    </row>
    <row r="417" customFormat="false" ht="15" hidden="false" customHeight="false" outlineLevel="0" collapsed="false">
      <c r="A417" s="29" t="str">
        <f aca="false">IF($C417="","",ROW()-4)</f>
        <v/>
      </c>
      <c r="B417" s="35" t="str">
        <f aca="false">IF($C417="","","SK"&amp;TEXT($C417,"yyyymm")&amp;"-"&amp;TEXT(ROW()-4,"0000"))</f>
        <v/>
      </c>
      <c r="C417" s="33"/>
      <c r="D417" s="24"/>
      <c r="E417" s="30" t="str">
        <f aca="false">IF($D417="","",IFERROR(INDEX(合同单位,MATCH($D417,合同键,0)),IFERROR(TRIM(LEFT($D417,FIND("｜",$D417)-1)),$D417)))</f>
        <v/>
      </c>
      <c r="F417" s="30" t="str">
        <f aca="false">IF($D417="","",IFERROR(INDEX(合同项目,MATCH($D417,合同键,0)),IFERROR(TRIM(MID($D417,FIND("｜",$D417)+1,99)),"")))</f>
        <v/>
      </c>
      <c r="G417" s="39"/>
      <c r="H417" s="25"/>
      <c r="I417" s="35" t="str">
        <f aca="false">IF($H417="","",IFERROR(INDEX(票据归类表,MATCH($H417,票据类型表,0)),"现金无票"))</f>
        <v/>
      </c>
      <c r="J417" s="25"/>
      <c r="K417" s="25"/>
      <c r="L417" s="31"/>
      <c r="M417" s="29" t="str">
        <f aca="false">IF($C417="","",YEAR($C417))</f>
        <v/>
      </c>
      <c r="N417" s="24"/>
      <c r="O417" s="35" t="str">
        <f aca="false">IF($C417="","",IF($D417="","★没选客户项目",IF(COUNTIF(合同键,$D417)=0,"★《维保合同》里没这个项目",IF(N($G417)&lt;=0,"★收款金额要填",IF($H417="","★票据类型要选",IF(AND($L417&lt;&gt;"",COUNTIF(应收单号,$L417)=0),"★关联的应收单号不存在",IF(AND($L417&lt;&gt;"",IFERROR(INDEX(应收键,MATCH($L417,应收单号,0)),"")&lt;&gt;$D417),"★关联单号不是这个客户的",IF(AND($L417&lt;&gt;"",ROUND(SUMIF(收款关联,$L417,收款金额)-IFERROR(INDEX(应收金额,MATCH($L417,应收单号,0)),0),2)&gt;0.001),"★指定冲销超过那张单的应收","OK"))))))))</f>
        <v/>
      </c>
    </row>
    <row r="418" customFormat="false" ht="15" hidden="false" customHeight="false" outlineLevel="0" collapsed="false">
      <c r="A418" s="29" t="str">
        <f aca="false">IF($C418="","",ROW()-4)</f>
        <v/>
      </c>
      <c r="B418" s="35" t="str">
        <f aca="false">IF($C418="","","SK"&amp;TEXT($C418,"yyyymm")&amp;"-"&amp;TEXT(ROW()-4,"0000"))</f>
        <v/>
      </c>
      <c r="C418" s="33"/>
      <c r="D418" s="24"/>
      <c r="E418" s="30" t="str">
        <f aca="false">IF($D418="","",IFERROR(INDEX(合同单位,MATCH($D418,合同键,0)),IFERROR(TRIM(LEFT($D418,FIND("｜",$D418)-1)),$D418)))</f>
        <v/>
      </c>
      <c r="F418" s="30" t="str">
        <f aca="false">IF($D418="","",IFERROR(INDEX(合同项目,MATCH($D418,合同键,0)),IFERROR(TRIM(MID($D418,FIND("｜",$D418)+1,99)),"")))</f>
        <v/>
      </c>
      <c r="G418" s="39"/>
      <c r="H418" s="25"/>
      <c r="I418" s="35" t="str">
        <f aca="false">IF($H418="","",IFERROR(INDEX(票据归类表,MATCH($H418,票据类型表,0)),"现金无票"))</f>
        <v/>
      </c>
      <c r="J418" s="25"/>
      <c r="K418" s="25"/>
      <c r="L418" s="31"/>
      <c r="M418" s="29" t="str">
        <f aca="false">IF($C418="","",YEAR($C418))</f>
        <v/>
      </c>
      <c r="N418" s="24"/>
      <c r="O418" s="35" t="str">
        <f aca="false">IF($C418="","",IF($D418="","★没选客户项目",IF(COUNTIF(合同键,$D418)=0,"★《维保合同》里没这个项目",IF(N($G418)&lt;=0,"★收款金额要填",IF($H418="","★票据类型要选",IF(AND($L418&lt;&gt;"",COUNTIF(应收单号,$L418)=0),"★关联的应收单号不存在",IF(AND($L418&lt;&gt;"",IFERROR(INDEX(应收键,MATCH($L418,应收单号,0)),"")&lt;&gt;$D418),"★关联单号不是这个客户的",IF(AND($L418&lt;&gt;"",ROUND(SUMIF(收款关联,$L418,收款金额)-IFERROR(INDEX(应收金额,MATCH($L418,应收单号,0)),0),2)&gt;0.001),"★指定冲销超过那张单的应收","OK"))))))))</f>
        <v/>
      </c>
    </row>
    <row r="419" customFormat="false" ht="15" hidden="false" customHeight="false" outlineLevel="0" collapsed="false">
      <c r="A419" s="29" t="str">
        <f aca="false">IF($C419="","",ROW()-4)</f>
        <v/>
      </c>
      <c r="B419" s="35" t="str">
        <f aca="false">IF($C419="","","SK"&amp;TEXT($C419,"yyyymm")&amp;"-"&amp;TEXT(ROW()-4,"0000"))</f>
        <v/>
      </c>
      <c r="C419" s="33"/>
      <c r="D419" s="24"/>
      <c r="E419" s="30" t="str">
        <f aca="false">IF($D419="","",IFERROR(INDEX(合同单位,MATCH($D419,合同键,0)),IFERROR(TRIM(LEFT($D419,FIND("｜",$D419)-1)),$D419)))</f>
        <v/>
      </c>
      <c r="F419" s="30" t="str">
        <f aca="false">IF($D419="","",IFERROR(INDEX(合同项目,MATCH($D419,合同键,0)),IFERROR(TRIM(MID($D419,FIND("｜",$D419)+1,99)),"")))</f>
        <v/>
      </c>
      <c r="G419" s="39"/>
      <c r="H419" s="25"/>
      <c r="I419" s="35" t="str">
        <f aca="false">IF($H419="","",IFERROR(INDEX(票据归类表,MATCH($H419,票据类型表,0)),"现金无票"))</f>
        <v/>
      </c>
      <c r="J419" s="25"/>
      <c r="K419" s="25"/>
      <c r="L419" s="31"/>
      <c r="M419" s="29" t="str">
        <f aca="false">IF($C419="","",YEAR($C419))</f>
        <v/>
      </c>
      <c r="N419" s="24"/>
      <c r="O419" s="35" t="str">
        <f aca="false">IF($C419="","",IF($D419="","★没选客户项目",IF(COUNTIF(合同键,$D419)=0,"★《维保合同》里没这个项目",IF(N($G419)&lt;=0,"★收款金额要填",IF($H419="","★票据类型要选",IF(AND($L419&lt;&gt;"",COUNTIF(应收单号,$L419)=0),"★关联的应收单号不存在",IF(AND($L419&lt;&gt;"",IFERROR(INDEX(应收键,MATCH($L419,应收单号,0)),"")&lt;&gt;$D419),"★关联单号不是这个客户的",IF(AND($L419&lt;&gt;"",ROUND(SUMIF(收款关联,$L419,收款金额)-IFERROR(INDEX(应收金额,MATCH($L419,应收单号,0)),0),2)&gt;0.001),"★指定冲销超过那张单的应收","OK"))))))))</f>
        <v/>
      </c>
    </row>
    <row r="420" customFormat="false" ht="15" hidden="false" customHeight="false" outlineLevel="0" collapsed="false">
      <c r="A420" s="29" t="str">
        <f aca="false">IF($C420="","",ROW()-4)</f>
        <v/>
      </c>
      <c r="B420" s="35" t="str">
        <f aca="false">IF($C420="","","SK"&amp;TEXT($C420,"yyyymm")&amp;"-"&amp;TEXT(ROW()-4,"0000"))</f>
        <v/>
      </c>
      <c r="C420" s="33"/>
      <c r="D420" s="24"/>
      <c r="E420" s="30" t="str">
        <f aca="false">IF($D420="","",IFERROR(INDEX(合同单位,MATCH($D420,合同键,0)),IFERROR(TRIM(LEFT($D420,FIND("｜",$D420)-1)),$D420)))</f>
        <v/>
      </c>
      <c r="F420" s="30" t="str">
        <f aca="false">IF($D420="","",IFERROR(INDEX(合同项目,MATCH($D420,合同键,0)),IFERROR(TRIM(MID($D420,FIND("｜",$D420)+1,99)),"")))</f>
        <v/>
      </c>
      <c r="G420" s="39"/>
      <c r="H420" s="25"/>
      <c r="I420" s="35" t="str">
        <f aca="false">IF($H420="","",IFERROR(INDEX(票据归类表,MATCH($H420,票据类型表,0)),"现金无票"))</f>
        <v/>
      </c>
      <c r="J420" s="25"/>
      <c r="K420" s="25"/>
      <c r="L420" s="31"/>
      <c r="M420" s="29" t="str">
        <f aca="false">IF($C420="","",YEAR($C420))</f>
        <v/>
      </c>
      <c r="N420" s="24"/>
      <c r="O420" s="35" t="str">
        <f aca="false">IF($C420="","",IF($D420="","★没选客户项目",IF(COUNTIF(合同键,$D420)=0,"★《维保合同》里没这个项目",IF(N($G420)&lt;=0,"★收款金额要填",IF($H420="","★票据类型要选",IF(AND($L420&lt;&gt;"",COUNTIF(应收单号,$L420)=0),"★关联的应收单号不存在",IF(AND($L420&lt;&gt;"",IFERROR(INDEX(应收键,MATCH($L420,应收单号,0)),"")&lt;&gt;$D420),"★关联单号不是这个客户的",IF(AND($L420&lt;&gt;"",ROUND(SUMIF(收款关联,$L420,收款金额)-IFERROR(INDEX(应收金额,MATCH($L420,应收单号,0)),0),2)&gt;0.001),"★指定冲销超过那张单的应收","OK"))))))))</f>
        <v/>
      </c>
    </row>
    <row r="421" customFormat="false" ht="15" hidden="false" customHeight="false" outlineLevel="0" collapsed="false">
      <c r="A421" s="29" t="str">
        <f aca="false">IF($C421="","",ROW()-4)</f>
        <v/>
      </c>
      <c r="B421" s="35" t="str">
        <f aca="false">IF($C421="","","SK"&amp;TEXT($C421,"yyyymm")&amp;"-"&amp;TEXT(ROW()-4,"0000"))</f>
        <v/>
      </c>
      <c r="C421" s="33"/>
      <c r="D421" s="24"/>
      <c r="E421" s="30" t="str">
        <f aca="false">IF($D421="","",IFERROR(INDEX(合同单位,MATCH($D421,合同键,0)),IFERROR(TRIM(LEFT($D421,FIND("｜",$D421)-1)),$D421)))</f>
        <v/>
      </c>
      <c r="F421" s="30" t="str">
        <f aca="false">IF($D421="","",IFERROR(INDEX(合同项目,MATCH($D421,合同键,0)),IFERROR(TRIM(MID($D421,FIND("｜",$D421)+1,99)),"")))</f>
        <v/>
      </c>
      <c r="G421" s="39"/>
      <c r="H421" s="25"/>
      <c r="I421" s="35" t="str">
        <f aca="false">IF($H421="","",IFERROR(INDEX(票据归类表,MATCH($H421,票据类型表,0)),"现金无票"))</f>
        <v/>
      </c>
      <c r="J421" s="25"/>
      <c r="K421" s="25"/>
      <c r="L421" s="31"/>
      <c r="M421" s="29" t="str">
        <f aca="false">IF($C421="","",YEAR($C421))</f>
        <v/>
      </c>
      <c r="N421" s="24"/>
      <c r="O421" s="35" t="str">
        <f aca="false">IF($C421="","",IF($D421="","★没选客户项目",IF(COUNTIF(合同键,$D421)=0,"★《维保合同》里没这个项目",IF(N($G421)&lt;=0,"★收款金额要填",IF($H421="","★票据类型要选",IF(AND($L421&lt;&gt;"",COUNTIF(应收单号,$L421)=0),"★关联的应收单号不存在",IF(AND($L421&lt;&gt;"",IFERROR(INDEX(应收键,MATCH($L421,应收单号,0)),"")&lt;&gt;$D421),"★关联单号不是这个客户的",IF(AND($L421&lt;&gt;"",ROUND(SUMIF(收款关联,$L421,收款金额)-IFERROR(INDEX(应收金额,MATCH($L421,应收单号,0)),0),2)&gt;0.001),"★指定冲销超过那张单的应收","OK"))))))))</f>
        <v/>
      </c>
    </row>
    <row r="422" customFormat="false" ht="15" hidden="false" customHeight="false" outlineLevel="0" collapsed="false">
      <c r="A422" s="29" t="str">
        <f aca="false">IF($C422="","",ROW()-4)</f>
        <v/>
      </c>
      <c r="B422" s="35" t="str">
        <f aca="false">IF($C422="","","SK"&amp;TEXT($C422,"yyyymm")&amp;"-"&amp;TEXT(ROW()-4,"0000"))</f>
        <v/>
      </c>
      <c r="C422" s="33"/>
      <c r="D422" s="24"/>
      <c r="E422" s="30" t="str">
        <f aca="false">IF($D422="","",IFERROR(INDEX(合同单位,MATCH($D422,合同键,0)),IFERROR(TRIM(LEFT($D422,FIND("｜",$D422)-1)),$D422)))</f>
        <v/>
      </c>
      <c r="F422" s="30" t="str">
        <f aca="false">IF($D422="","",IFERROR(INDEX(合同项目,MATCH($D422,合同键,0)),IFERROR(TRIM(MID($D422,FIND("｜",$D422)+1,99)),"")))</f>
        <v/>
      </c>
      <c r="G422" s="39"/>
      <c r="H422" s="25"/>
      <c r="I422" s="35" t="str">
        <f aca="false">IF($H422="","",IFERROR(INDEX(票据归类表,MATCH($H422,票据类型表,0)),"现金无票"))</f>
        <v/>
      </c>
      <c r="J422" s="25"/>
      <c r="K422" s="25"/>
      <c r="L422" s="31"/>
      <c r="M422" s="29" t="str">
        <f aca="false">IF($C422="","",YEAR($C422))</f>
        <v/>
      </c>
      <c r="N422" s="24"/>
      <c r="O422" s="35" t="str">
        <f aca="false">IF($C422="","",IF($D422="","★没选客户项目",IF(COUNTIF(合同键,$D422)=0,"★《维保合同》里没这个项目",IF(N($G422)&lt;=0,"★收款金额要填",IF($H422="","★票据类型要选",IF(AND($L422&lt;&gt;"",COUNTIF(应收单号,$L422)=0),"★关联的应收单号不存在",IF(AND($L422&lt;&gt;"",IFERROR(INDEX(应收键,MATCH($L422,应收单号,0)),"")&lt;&gt;$D422),"★关联单号不是这个客户的",IF(AND($L422&lt;&gt;"",ROUND(SUMIF(收款关联,$L422,收款金额)-IFERROR(INDEX(应收金额,MATCH($L422,应收单号,0)),0),2)&gt;0.001),"★指定冲销超过那张单的应收","OK"))))))))</f>
        <v/>
      </c>
    </row>
    <row r="423" customFormat="false" ht="15" hidden="false" customHeight="false" outlineLevel="0" collapsed="false">
      <c r="A423" s="29" t="str">
        <f aca="false">IF($C423="","",ROW()-4)</f>
        <v/>
      </c>
      <c r="B423" s="35" t="str">
        <f aca="false">IF($C423="","","SK"&amp;TEXT($C423,"yyyymm")&amp;"-"&amp;TEXT(ROW()-4,"0000"))</f>
        <v/>
      </c>
      <c r="C423" s="33"/>
      <c r="D423" s="24"/>
      <c r="E423" s="30" t="str">
        <f aca="false">IF($D423="","",IFERROR(INDEX(合同单位,MATCH($D423,合同键,0)),IFERROR(TRIM(LEFT($D423,FIND("｜",$D423)-1)),$D423)))</f>
        <v/>
      </c>
      <c r="F423" s="30" t="str">
        <f aca="false">IF($D423="","",IFERROR(INDEX(合同项目,MATCH($D423,合同键,0)),IFERROR(TRIM(MID($D423,FIND("｜",$D423)+1,99)),"")))</f>
        <v/>
      </c>
      <c r="G423" s="39"/>
      <c r="H423" s="25"/>
      <c r="I423" s="35" t="str">
        <f aca="false">IF($H423="","",IFERROR(INDEX(票据归类表,MATCH($H423,票据类型表,0)),"现金无票"))</f>
        <v/>
      </c>
      <c r="J423" s="25"/>
      <c r="K423" s="25"/>
      <c r="L423" s="31"/>
      <c r="M423" s="29" t="str">
        <f aca="false">IF($C423="","",YEAR($C423))</f>
        <v/>
      </c>
      <c r="N423" s="24"/>
      <c r="O423" s="35" t="str">
        <f aca="false">IF($C423="","",IF($D423="","★没选客户项目",IF(COUNTIF(合同键,$D423)=0,"★《维保合同》里没这个项目",IF(N($G423)&lt;=0,"★收款金额要填",IF($H423="","★票据类型要选",IF(AND($L423&lt;&gt;"",COUNTIF(应收单号,$L423)=0),"★关联的应收单号不存在",IF(AND($L423&lt;&gt;"",IFERROR(INDEX(应收键,MATCH($L423,应收单号,0)),"")&lt;&gt;$D423),"★关联单号不是这个客户的",IF(AND($L423&lt;&gt;"",ROUND(SUMIF(收款关联,$L423,收款金额)-IFERROR(INDEX(应收金额,MATCH($L423,应收单号,0)),0),2)&gt;0.001),"★指定冲销超过那张单的应收","OK"))))))))</f>
        <v/>
      </c>
    </row>
    <row r="424" customFormat="false" ht="15" hidden="false" customHeight="false" outlineLevel="0" collapsed="false">
      <c r="A424" s="29" t="str">
        <f aca="false">IF($C424="","",ROW()-4)</f>
        <v/>
      </c>
      <c r="B424" s="35" t="str">
        <f aca="false">IF($C424="","","SK"&amp;TEXT($C424,"yyyymm")&amp;"-"&amp;TEXT(ROW()-4,"0000"))</f>
        <v/>
      </c>
      <c r="C424" s="33"/>
      <c r="D424" s="24"/>
      <c r="E424" s="30" t="str">
        <f aca="false">IF($D424="","",IFERROR(INDEX(合同单位,MATCH($D424,合同键,0)),IFERROR(TRIM(LEFT($D424,FIND("｜",$D424)-1)),$D424)))</f>
        <v/>
      </c>
      <c r="F424" s="30" t="str">
        <f aca="false">IF($D424="","",IFERROR(INDEX(合同项目,MATCH($D424,合同键,0)),IFERROR(TRIM(MID($D424,FIND("｜",$D424)+1,99)),"")))</f>
        <v/>
      </c>
      <c r="G424" s="39"/>
      <c r="H424" s="25"/>
      <c r="I424" s="35" t="str">
        <f aca="false">IF($H424="","",IFERROR(INDEX(票据归类表,MATCH($H424,票据类型表,0)),"现金无票"))</f>
        <v/>
      </c>
      <c r="J424" s="25"/>
      <c r="K424" s="25"/>
      <c r="L424" s="31"/>
      <c r="M424" s="29" t="str">
        <f aca="false">IF($C424="","",YEAR($C424))</f>
        <v/>
      </c>
      <c r="N424" s="24"/>
      <c r="O424" s="35" t="str">
        <f aca="false">IF($C424="","",IF($D424="","★没选客户项目",IF(COUNTIF(合同键,$D424)=0,"★《维保合同》里没这个项目",IF(N($G424)&lt;=0,"★收款金额要填",IF($H424="","★票据类型要选",IF(AND($L424&lt;&gt;"",COUNTIF(应收单号,$L424)=0),"★关联的应收单号不存在",IF(AND($L424&lt;&gt;"",IFERROR(INDEX(应收键,MATCH($L424,应收单号,0)),"")&lt;&gt;$D424),"★关联单号不是这个客户的",IF(AND($L424&lt;&gt;"",ROUND(SUMIF(收款关联,$L424,收款金额)-IFERROR(INDEX(应收金额,MATCH($L424,应收单号,0)),0),2)&gt;0.001),"★指定冲销超过那张单的应收","OK"))))))))</f>
        <v/>
      </c>
    </row>
    <row r="425" customFormat="false" ht="15" hidden="false" customHeight="false" outlineLevel="0" collapsed="false">
      <c r="A425" s="29" t="str">
        <f aca="false">IF($C425="","",ROW()-4)</f>
        <v/>
      </c>
      <c r="B425" s="35" t="str">
        <f aca="false">IF($C425="","","SK"&amp;TEXT($C425,"yyyymm")&amp;"-"&amp;TEXT(ROW()-4,"0000"))</f>
        <v/>
      </c>
      <c r="C425" s="33"/>
      <c r="D425" s="24"/>
      <c r="E425" s="30" t="str">
        <f aca="false">IF($D425="","",IFERROR(INDEX(合同单位,MATCH($D425,合同键,0)),IFERROR(TRIM(LEFT($D425,FIND("｜",$D425)-1)),$D425)))</f>
        <v/>
      </c>
      <c r="F425" s="30" t="str">
        <f aca="false">IF($D425="","",IFERROR(INDEX(合同项目,MATCH($D425,合同键,0)),IFERROR(TRIM(MID($D425,FIND("｜",$D425)+1,99)),"")))</f>
        <v/>
      </c>
      <c r="G425" s="39"/>
      <c r="H425" s="25"/>
      <c r="I425" s="35" t="str">
        <f aca="false">IF($H425="","",IFERROR(INDEX(票据归类表,MATCH($H425,票据类型表,0)),"现金无票"))</f>
        <v/>
      </c>
      <c r="J425" s="25"/>
      <c r="K425" s="25"/>
      <c r="L425" s="31"/>
      <c r="M425" s="29" t="str">
        <f aca="false">IF($C425="","",YEAR($C425))</f>
        <v/>
      </c>
      <c r="N425" s="24"/>
      <c r="O425" s="35" t="str">
        <f aca="false">IF($C425="","",IF($D425="","★没选客户项目",IF(COUNTIF(合同键,$D425)=0,"★《维保合同》里没这个项目",IF(N($G425)&lt;=0,"★收款金额要填",IF($H425="","★票据类型要选",IF(AND($L425&lt;&gt;"",COUNTIF(应收单号,$L425)=0),"★关联的应收单号不存在",IF(AND($L425&lt;&gt;"",IFERROR(INDEX(应收键,MATCH($L425,应收单号,0)),"")&lt;&gt;$D425),"★关联单号不是这个客户的",IF(AND($L425&lt;&gt;"",ROUND(SUMIF(收款关联,$L425,收款金额)-IFERROR(INDEX(应收金额,MATCH($L425,应收单号,0)),0),2)&gt;0.001),"★指定冲销超过那张单的应收","OK"))))))))</f>
        <v/>
      </c>
    </row>
    <row r="426" customFormat="false" ht="15" hidden="false" customHeight="false" outlineLevel="0" collapsed="false">
      <c r="A426" s="29" t="str">
        <f aca="false">IF($C426="","",ROW()-4)</f>
        <v/>
      </c>
      <c r="B426" s="35" t="str">
        <f aca="false">IF($C426="","","SK"&amp;TEXT($C426,"yyyymm")&amp;"-"&amp;TEXT(ROW()-4,"0000"))</f>
        <v/>
      </c>
      <c r="C426" s="33"/>
      <c r="D426" s="24"/>
      <c r="E426" s="30" t="str">
        <f aca="false">IF($D426="","",IFERROR(INDEX(合同单位,MATCH($D426,合同键,0)),IFERROR(TRIM(LEFT($D426,FIND("｜",$D426)-1)),$D426)))</f>
        <v/>
      </c>
      <c r="F426" s="30" t="str">
        <f aca="false">IF($D426="","",IFERROR(INDEX(合同项目,MATCH($D426,合同键,0)),IFERROR(TRIM(MID($D426,FIND("｜",$D426)+1,99)),"")))</f>
        <v/>
      </c>
      <c r="G426" s="39"/>
      <c r="H426" s="25"/>
      <c r="I426" s="35" t="str">
        <f aca="false">IF($H426="","",IFERROR(INDEX(票据归类表,MATCH($H426,票据类型表,0)),"现金无票"))</f>
        <v/>
      </c>
      <c r="J426" s="25"/>
      <c r="K426" s="25"/>
      <c r="L426" s="31"/>
      <c r="M426" s="29" t="str">
        <f aca="false">IF($C426="","",YEAR($C426))</f>
        <v/>
      </c>
      <c r="N426" s="24"/>
      <c r="O426" s="35" t="str">
        <f aca="false">IF($C426="","",IF($D426="","★没选客户项目",IF(COUNTIF(合同键,$D426)=0,"★《维保合同》里没这个项目",IF(N($G426)&lt;=0,"★收款金额要填",IF($H426="","★票据类型要选",IF(AND($L426&lt;&gt;"",COUNTIF(应收单号,$L426)=0),"★关联的应收单号不存在",IF(AND($L426&lt;&gt;"",IFERROR(INDEX(应收键,MATCH($L426,应收单号,0)),"")&lt;&gt;$D426),"★关联单号不是这个客户的",IF(AND($L426&lt;&gt;"",ROUND(SUMIF(收款关联,$L426,收款金额)-IFERROR(INDEX(应收金额,MATCH($L426,应收单号,0)),0),2)&gt;0.001),"★指定冲销超过那张单的应收","OK"))))))))</f>
        <v/>
      </c>
    </row>
    <row r="427" customFormat="false" ht="15" hidden="false" customHeight="false" outlineLevel="0" collapsed="false">
      <c r="A427" s="29" t="str">
        <f aca="false">IF($C427="","",ROW()-4)</f>
        <v/>
      </c>
      <c r="B427" s="35" t="str">
        <f aca="false">IF($C427="","","SK"&amp;TEXT($C427,"yyyymm")&amp;"-"&amp;TEXT(ROW()-4,"0000"))</f>
        <v/>
      </c>
      <c r="C427" s="33"/>
      <c r="D427" s="24"/>
      <c r="E427" s="30" t="str">
        <f aca="false">IF($D427="","",IFERROR(INDEX(合同单位,MATCH($D427,合同键,0)),IFERROR(TRIM(LEFT($D427,FIND("｜",$D427)-1)),$D427)))</f>
        <v/>
      </c>
      <c r="F427" s="30" t="str">
        <f aca="false">IF($D427="","",IFERROR(INDEX(合同项目,MATCH($D427,合同键,0)),IFERROR(TRIM(MID($D427,FIND("｜",$D427)+1,99)),"")))</f>
        <v/>
      </c>
      <c r="G427" s="39"/>
      <c r="H427" s="25"/>
      <c r="I427" s="35" t="str">
        <f aca="false">IF($H427="","",IFERROR(INDEX(票据归类表,MATCH($H427,票据类型表,0)),"现金无票"))</f>
        <v/>
      </c>
      <c r="J427" s="25"/>
      <c r="K427" s="25"/>
      <c r="L427" s="31"/>
      <c r="M427" s="29" t="str">
        <f aca="false">IF($C427="","",YEAR($C427))</f>
        <v/>
      </c>
      <c r="N427" s="24"/>
      <c r="O427" s="35" t="str">
        <f aca="false">IF($C427="","",IF($D427="","★没选客户项目",IF(COUNTIF(合同键,$D427)=0,"★《维保合同》里没这个项目",IF(N($G427)&lt;=0,"★收款金额要填",IF($H427="","★票据类型要选",IF(AND($L427&lt;&gt;"",COUNTIF(应收单号,$L427)=0),"★关联的应收单号不存在",IF(AND($L427&lt;&gt;"",IFERROR(INDEX(应收键,MATCH($L427,应收单号,0)),"")&lt;&gt;$D427),"★关联单号不是这个客户的",IF(AND($L427&lt;&gt;"",ROUND(SUMIF(收款关联,$L427,收款金额)-IFERROR(INDEX(应收金额,MATCH($L427,应收单号,0)),0),2)&gt;0.001),"★指定冲销超过那张单的应收","OK"))))))))</f>
        <v/>
      </c>
    </row>
    <row r="428" customFormat="false" ht="15" hidden="false" customHeight="false" outlineLevel="0" collapsed="false">
      <c r="A428" s="29" t="str">
        <f aca="false">IF($C428="","",ROW()-4)</f>
        <v/>
      </c>
      <c r="B428" s="35" t="str">
        <f aca="false">IF($C428="","","SK"&amp;TEXT($C428,"yyyymm")&amp;"-"&amp;TEXT(ROW()-4,"0000"))</f>
        <v/>
      </c>
      <c r="C428" s="33"/>
      <c r="D428" s="24"/>
      <c r="E428" s="30" t="str">
        <f aca="false">IF($D428="","",IFERROR(INDEX(合同单位,MATCH($D428,合同键,0)),IFERROR(TRIM(LEFT($D428,FIND("｜",$D428)-1)),$D428)))</f>
        <v/>
      </c>
      <c r="F428" s="30" t="str">
        <f aca="false">IF($D428="","",IFERROR(INDEX(合同项目,MATCH($D428,合同键,0)),IFERROR(TRIM(MID($D428,FIND("｜",$D428)+1,99)),"")))</f>
        <v/>
      </c>
      <c r="G428" s="39"/>
      <c r="H428" s="25"/>
      <c r="I428" s="35" t="str">
        <f aca="false">IF($H428="","",IFERROR(INDEX(票据归类表,MATCH($H428,票据类型表,0)),"现金无票"))</f>
        <v/>
      </c>
      <c r="J428" s="25"/>
      <c r="K428" s="25"/>
      <c r="L428" s="31"/>
      <c r="M428" s="29" t="str">
        <f aca="false">IF($C428="","",YEAR($C428))</f>
        <v/>
      </c>
      <c r="N428" s="24"/>
      <c r="O428" s="35" t="str">
        <f aca="false">IF($C428="","",IF($D428="","★没选客户项目",IF(COUNTIF(合同键,$D428)=0,"★《维保合同》里没这个项目",IF(N($G428)&lt;=0,"★收款金额要填",IF($H428="","★票据类型要选",IF(AND($L428&lt;&gt;"",COUNTIF(应收单号,$L428)=0),"★关联的应收单号不存在",IF(AND($L428&lt;&gt;"",IFERROR(INDEX(应收键,MATCH($L428,应收单号,0)),"")&lt;&gt;$D428),"★关联单号不是这个客户的",IF(AND($L428&lt;&gt;"",ROUND(SUMIF(收款关联,$L428,收款金额)-IFERROR(INDEX(应收金额,MATCH($L428,应收单号,0)),0),2)&gt;0.001),"★指定冲销超过那张单的应收","OK"))))))))</f>
        <v/>
      </c>
    </row>
    <row r="429" customFormat="false" ht="15" hidden="false" customHeight="false" outlineLevel="0" collapsed="false">
      <c r="A429" s="29" t="str">
        <f aca="false">IF($C429="","",ROW()-4)</f>
        <v/>
      </c>
      <c r="B429" s="35" t="str">
        <f aca="false">IF($C429="","","SK"&amp;TEXT($C429,"yyyymm")&amp;"-"&amp;TEXT(ROW()-4,"0000"))</f>
        <v/>
      </c>
      <c r="C429" s="33"/>
      <c r="D429" s="24"/>
      <c r="E429" s="30" t="str">
        <f aca="false">IF($D429="","",IFERROR(INDEX(合同单位,MATCH($D429,合同键,0)),IFERROR(TRIM(LEFT($D429,FIND("｜",$D429)-1)),$D429)))</f>
        <v/>
      </c>
      <c r="F429" s="30" t="str">
        <f aca="false">IF($D429="","",IFERROR(INDEX(合同项目,MATCH($D429,合同键,0)),IFERROR(TRIM(MID($D429,FIND("｜",$D429)+1,99)),"")))</f>
        <v/>
      </c>
      <c r="G429" s="39"/>
      <c r="H429" s="25"/>
      <c r="I429" s="35" t="str">
        <f aca="false">IF($H429="","",IFERROR(INDEX(票据归类表,MATCH($H429,票据类型表,0)),"现金无票"))</f>
        <v/>
      </c>
      <c r="J429" s="25"/>
      <c r="K429" s="25"/>
      <c r="L429" s="31"/>
      <c r="M429" s="29" t="str">
        <f aca="false">IF($C429="","",YEAR($C429))</f>
        <v/>
      </c>
      <c r="N429" s="24"/>
      <c r="O429" s="35" t="str">
        <f aca="false">IF($C429="","",IF($D429="","★没选客户项目",IF(COUNTIF(合同键,$D429)=0,"★《维保合同》里没这个项目",IF(N($G429)&lt;=0,"★收款金额要填",IF($H429="","★票据类型要选",IF(AND($L429&lt;&gt;"",COUNTIF(应收单号,$L429)=0),"★关联的应收单号不存在",IF(AND($L429&lt;&gt;"",IFERROR(INDEX(应收键,MATCH($L429,应收单号,0)),"")&lt;&gt;$D429),"★关联单号不是这个客户的",IF(AND($L429&lt;&gt;"",ROUND(SUMIF(收款关联,$L429,收款金额)-IFERROR(INDEX(应收金额,MATCH($L429,应收单号,0)),0),2)&gt;0.001),"★指定冲销超过那张单的应收","OK"))))))))</f>
        <v/>
      </c>
    </row>
    <row r="430" customFormat="false" ht="15" hidden="false" customHeight="false" outlineLevel="0" collapsed="false">
      <c r="A430" s="29" t="str">
        <f aca="false">IF($C430="","",ROW()-4)</f>
        <v/>
      </c>
      <c r="B430" s="35" t="str">
        <f aca="false">IF($C430="","","SK"&amp;TEXT($C430,"yyyymm")&amp;"-"&amp;TEXT(ROW()-4,"0000"))</f>
        <v/>
      </c>
      <c r="C430" s="33"/>
      <c r="D430" s="24"/>
      <c r="E430" s="30" t="str">
        <f aca="false">IF($D430="","",IFERROR(INDEX(合同单位,MATCH($D430,合同键,0)),IFERROR(TRIM(LEFT($D430,FIND("｜",$D430)-1)),$D430)))</f>
        <v/>
      </c>
      <c r="F430" s="30" t="str">
        <f aca="false">IF($D430="","",IFERROR(INDEX(合同项目,MATCH($D430,合同键,0)),IFERROR(TRIM(MID($D430,FIND("｜",$D430)+1,99)),"")))</f>
        <v/>
      </c>
      <c r="G430" s="39"/>
      <c r="H430" s="25"/>
      <c r="I430" s="35" t="str">
        <f aca="false">IF($H430="","",IFERROR(INDEX(票据归类表,MATCH($H430,票据类型表,0)),"现金无票"))</f>
        <v/>
      </c>
      <c r="J430" s="25"/>
      <c r="K430" s="25"/>
      <c r="L430" s="31"/>
      <c r="M430" s="29" t="str">
        <f aca="false">IF($C430="","",YEAR($C430))</f>
        <v/>
      </c>
      <c r="N430" s="24"/>
      <c r="O430" s="35" t="str">
        <f aca="false">IF($C430="","",IF($D430="","★没选客户项目",IF(COUNTIF(合同键,$D430)=0,"★《维保合同》里没这个项目",IF(N($G430)&lt;=0,"★收款金额要填",IF($H430="","★票据类型要选",IF(AND($L430&lt;&gt;"",COUNTIF(应收单号,$L430)=0),"★关联的应收单号不存在",IF(AND($L430&lt;&gt;"",IFERROR(INDEX(应收键,MATCH($L430,应收单号,0)),"")&lt;&gt;$D430),"★关联单号不是这个客户的",IF(AND($L430&lt;&gt;"",ROUND(SUMIF(收款关联,$L430,收款金额)-IFERROR(INDEX(应收金额,MATCH($L430,应收单号,0)),0),2)&gt;0.001),"★指定冲销超过那张单的应收","OK"))))))))</f>
        <v/>
      </c>
    </row>
    <row r="431" customFormat="false" ht="15" hidden="false" customHeight="false" outlineLevel="0" collapsed="false">
      <c r="A431" s="29" t="str">
        <f aca="false">IF($C431="","",ROW()-4)</f>
        <v/>
      </c>
      <c r="B431" s="35" t="str">
        <f aca="false">IF($C431="","","SK"&amp;TEXT($C431,"yyyymm")&amp;"-"&amp;TEXT(ROW()-4,"0000"))</f>
        <v/>
      </c>
      <c r="C431" s="33"/>
      <c r="D431" s="24"/>
      <c r="E431" s="30" t="str">
        <f aca="false">IF($D431="","",IFERROR(INDEX(合同单位,MATCH($D431,合同键,0)),IFERROR(TRIM(LEFT($D431,FIND("｜",$D431)-1)),$D431)))</f>
        <v/>
      </c>
      <c r="F431" s="30" t="str">
        <f aca="false">IF($D431="","",IFERROR(INDEX(合同项目,MATCH($D431,合同键,0)),IFERROR(TRIM(MID($D431,FIND("｜",$D431)+1,99)),"")))</f>
        <v/>
      </c>
      <c r="G431" s="39"/>
      <c r="H431" s="25"/>
      <c r="I431" s="35" t="str">
        <f aca="false">IF($H431="","",IFERROR(INDEX(票据归类表,MATCH($H431,票据类型表,0)),"现金无票"))</f>
        <v/>
      </c>
      <c r="J431" s="25"/>
      <c r="K431" s="25"/>
      <c r="L431" s="31"/>
      <c r="M431" s="29" t="str">
        <f aca="false">IF($C431="","",YEAR($C431))</f>
        <v/>
      </c>
      <c r="N431" s="24"/>
      <c r="O431" s="35" t="str">
        <f aca="false">IF($C431="","",IF($D431="","★没选客户项目",IF(COUNTIF(合同键,$D431)=0,"★《维保合同》里没这个项目",IF(N($G431)&lt;=0,"★收款金额要填",IF($H431="","★票据类型要选",IF(AND($L431&lt;&gt;"",COUNTIF(应收单号,$L431)=0),"★关联的应收单号不存在",IF(AND($L431&lt;&gt;"",IFERROR(INDEX(应收键,MATCH($L431,应收单号,0)),"")&lt;&gt;$D431),"★关联单号不是这个客户的",IF(AND($L431&lt;&gt;"",ROUND(SUMIF(收款关联,$L431,收款金额)-IFERROR(INDEX(应收金额,MATCH($L431,应收单号,0)),0),2)&gt;0.001),"★指定冲销超过那张单的应收","OK"))))))))</f>
        <v/>
      </c>
    </row>
    <row r="432" customFormat="false" ht="15" hidden="false" customHeight="false" outlineLevel="0" collapsed="false">
      <c r="A432" s="29" t="str">
        <f aca="false">IF($C432="","",ROW()-4)</f>
        <v/>
      </c>
      <c r="B432" s="35" t="str">
        <f aca="false">IF($C432="","","SK"&amp;TEXT($C432,"yyyymm")&amp;"-"&amp;TEXT(ROW()-4,"0000"))</f>
        <v/>
      </c>
      <c r="C432" s="33"/>
      <c r="D432" s="24"/>
      <c r="E432" s="30" t="str">
        <f aca="false">IF($D432="","",IFERROR(INDEX(合同单位,MATCH($D432,合同键,0)),IFERROR(TRIM(LEFT($D432,FIND("｜",$D432)-1)),$D432)))</f>
        <v/>
      </c>
      <c r="F432" s="30" t="str">
        <f aca="false">IF($D432="","",IFERROR(INDEX(合同项目,MATCH($D432,合同键,0)),IFERROR(TRIM(MID($D432,FIND("｜",$D432)+1,99)),"")))</f>
        <v/>
      </c>
      <c r="G432" s="39"/>
      <c r="H432" s="25"/>
      <c r="I432" s="35" t="str">
        <f aca="false">IF($H432="","",IFERROR(INDEX(票据归类表,MATCH($H432,票据类型表,0)),"现金无票"))</f>
        <v/>
      </c>
      <c r="J432" s="25"/>
      <c r="K432" s="25"/>
      <c r="L432" s="31"/>
      <c r="M432" s="29" t="str">
        <f aca="false">IF($C432="","",YEAR($C432))</f>
        <v/>
      </c>
      <c r="N432" s="24"/>
      <c r="O432" s="35" t="str">
        <f aca="false">IF($C432="","",IF($D432="","★没选客户项目",IF(COUNTIF(合同键,$D432)=0,"★《维保合同》里没这个项目",IF(N($G432)&lt;=0,"★收款金额要填",IF($H432="","★票据类型要选",IF(AND($L432&lt;&gt;"",COUNTIF(应收单号,$L432)=0),"★关联的应收单号不存在",IF(AND($L432&lt;&gt;"",IFERROR(INDEX(应收键,MATCH($L432,应收单号,0)),"")&lt;&gt;$D432),"★关联单号不是这个客户的",IF(AND($L432&lt;&gt;"",ROUND(SUMIF(收款关联,$L432,收款金额)-IFERROR(INDEX(应收金额,MATCH($L432,应收单号,0)),0),2)&gt;0.001),"★指定冲销超过那张单的应收","OK"))))))))</f>
        <v/>
      </c>
    </row>
    <row r="433" customFormat="false" ht="15" hidden="false" customHeight="false" outlineLevel="0" collapsed="false">
      <c r="A433" s="29" t="str">
        <f aca="false">IF($C433="","",ROW()-4)</f>
        <v/>
      </c>
      <c r="B433" s="35" t="str">
        <f aca="false">IF($C433="","","SK"&amp;TEXT($C433,"yyyymm")&amp;"-"&amp;TEXT(ROW()-4,"0000"))</f>
        <v/>
      </c>
      <c r="C433" s="33"/>
      <c r="D433" s="24"/>
      <c r="E433" s="30" t="str">
        <f aca="false">IF($D433="","",IFERROR(INDEX(合同单位,MATCH($D433,合同键,0)),IFERROR(TRIM(LEFT($D433,FIND("｜",$D433)-1)),$D433)))</f>
        <v/>
      </c>
      <c r="F433" s="30" t="str">
        <f aca="false">IF($D433="","",IFERROR(INDEX(合同项目,MATCH($D433,合同键,0)),IFERROR(TRIM(MID($D433,FIND("｜",$D433)+1,99)),"")))</f>
        <v/>
      </c>
      <c r="G433" s="39"/>
      <c r="H433" s="25"/>
      <c r="I433" s="35" t="str">
        <f aca="false">IF($H433="","",IFERROR(INDEX(票据归类表,MATCH($H433,票据类型表,0)),"现金无票"))</f>
        <v/>
      </c>
      <c r="J433" s="25"/>
      <c r="K433" s="25"/>
      <c r="L433" s="31"/>
      <c r="M433" s="29" t="str">
        <f aca="false">IF($C433="","",YEAR($C433))</f>
        <v/>
      </c>
      <c r="N433" s="24"/>
      <c r="O433" s="35" t="str">
        <f aca="false">IF($C433="","",IF($D433="","★没选客户项目",IF(COUNTIF(合同键,$D433)=0,"★《维保合同》里没这个项目",IF(N($G433)&lt;=0,"★收款金额要填",IF($H433="","★票据类型要选",IF(AND($L433&lt;&gt;"",COUNTIF(应收单号,$L433)=0),"★关联的应收单号不存在",IF(AND($L433&lt;&gt;"",IFERROR(INDEX(应收键,MATCH($L433,应收单号,0)),"")&lt;&gt;$D433),"★关联单号不是这个客户的",IF(AND($L433&lt;&gt;"",ROUND(SUMIF(收款关联,$L433,收款金额)-IFERROR(INDEX(应收金额,MATCH($L433,应收单号,0)),0),2)&gt;0.001),"★指定冲销超过那张单的应收","OK"))))))))</f>
        <v/>
      </c>
    </row>
    <row r="434" customFormat="false" ht="15" hidden="false" customHeight="false" outlineLevel="0" collapsed="false">
      <c r="A434" s="29" t="str">
        <f aca="false">IF($C434="","",ROW()-4)</f>
        <v/>
      </c>
      <c r="B434" s="35" t="str">
        <f aca="false">IF($C434="","","SK"&amp;TEXT($C434,"yyyymm")&amp;"-"&amp;TEXT(ROW()-4,"0000"))</f>
        <v/>
      </c>
      <c r="C434" s="33"/>
      <c r="D434" s="24"/>
      <c r="E434" s="30" t="str">
        <f aca="false">IF($D434="","",IFERROR(INDEX(合同单位,MATCH($D434,合同键,0)),IFERROR(TRIM(LEFT($D434,FIND("｜",$D434)-1)),$D434)))</f>
        <v/>
      </c>
      <c r="F434" s="30" t="str">
        <f aca="false">IF($D434="","",IFERROR(INDEX(合同项目,MATCH($D434,合同键,0)),IFERROR(TRIM(MID($D434,FIND("｜",$D434)+1,99)),"")))</f>
        <v/>
      </c>
      <c r="G434" s="39"/>
      <c r="H434" s="25"/>
      <c r="I434" s="35" t="str">
        <f aca="false">IF($H434="","",IFERROR(INDEX(票据归类表,MATCH($H434,票据类型表,0)),"现金无票"))</f>
        <v/>
      </c>
      <c r="J434" s="25"/>
      <c r="K434" s="25"/>
      <c r="L434" s="31"/>
      <c r="M434" s="29" t="str">
        <f aca="false">IF($C434="","",YEAR($C434))</f>
        <v/>
      </c>
      <c r="N434" s="24"/>
      <c r="O434" s="35" t="str">
        <f aca="false">IF($C434="","",IF($D434="","★没选客户项目",IF(COUNTIF(合同键,$D434)=0,"★《维保合同》里没这个项目",IF(N($G434)&lt;=0,"★收款金额要填",IF($H434="","★票据类型要选",IF(AND($L434&lt;&gt;"",COUNTIF(应收单号,$L434)=0),"★关联的应收单号不存在",IF(AND($L434&lt;&gt;"",IFERROR(INDEX(应收键,MATCH($L434,应收单号,0)),"")&lt;&gt;$D434),"★关联单号不是这个客户的",IF(AND($L434&lt;&gt;"",ROUND(SUMIF(收款关联,$L434,收款金额)-IFERROR(INDEX(应收金额,MATCH($L434,应收单号,0)),0),2)&gt;0.001),"★指定冲销超过那张单的应收","OK"))))))))</f>
        <v/>
      </c>
    </row>
    <row r="435" customFormat="false" ht="15" hidden="false" customHeight="false" outlineLevel="0" collapsed="false">
      <c r="A435" s="29" t="str">
        <f aca="false">IF($C435="","",ROW()-4)</f>
        <v/>
      </c>
      <c r="B435" s="35" t="str">
        <f aca="false">IF($C435="","","SK"&amp;TEXT($C435,"yyyymm")&amp;"-"&amp;TEXT(ROW()-4,"0000"))</f>
        <v/>
      </c>
      <c r="C435" s="33"/>
      <c r="D435" s="24"/>
      <c r="E435" s="30" t="str">
        <f aca="false">IF($D435="","",IFERROR(INDEX(合同单位,MATCH($D435,合同键,0)),IFERROR(TRIM(LEFT($D435,FIND("｜",$D435)-1)),$D435)))</f>
        <v/>
      </c>
      <c r="F435" s="30" t="str">
        <f aca="false">IF($D435="","",IFERROR(INDEX(合同项目,MATCH($D435,合同键,0)),IFERROR(TRIM(MID($D435,FIND("｜",$D435)+1,99)),"")))</f>
        <v/>
      </c>
      <c r="G435" s="39"/>
      <c r="H435" s="25"/>
      <c r="I435" s="35" t="str">
        <f aca="false">IF($H435="","",IFERROR(INDEX(票据归类表,MATCH($H435,票据类型表,0)),"现金无票"))</f>
        <v/>
      </c>
      <c r="J435" s="25"/>
      <c r="K435" s="25"/>
      <c r="L435" s="31"/>
      <c r="M435" s="29" t="str">
        <f aca="false">IF($C435="","",YEAR($C435))</f>
        <v/>
      </c>
      <c r="N435" s="24"/>
      <c r="O435" s="35" t="str">
        <f aca="false">IF($C435="","",IF($D435="","★没选客户项目",IF(COUNTIF(合同键,$D435)=0,"★《维保合同》里没这个项目",IF(N($G435)&lt;=0,"★收款金额要填",IF($H435="","★票据类型要选",IF(AND($L435&lt;&gt;"",COUNTIF(应收单号,$L435)=0),"★关联的应收单号不存在",IF(AND($L435&lt;&gt;"",IFERROR(INDEX(应收键,MATCH($L435,应收单号,0)),"")&lt;&gt;$D435),"★关联单号不是这个客户的",IF(AND($L435&lt;&gt;"",ROUND(SUMIF(收款关联,$L435,收款金额)-IFERROR(INDEX(应收金额,MATCH($L435,应收单号,0)),0),2)&gt;0.001),"★指定冲销超过那张单的应收","OK"))))))))</f>
        <v/>
      </c>
    </row>
    <row r="436" customFormat="false" ht="15" hidden="false" customHeight="false" outlineLevel="0" collapsed="false">
      <c r="A436" s="29" t="str">
        <f aca="false">IF($C436="","",ROW()-4)</f>
        <v/>
      </c>
      <c r="B436" s="35" t="str">
        <f aca="false">IF($C436="","","SK"&amp;TEXT($C436,"yyyymm")&amp;"-"&amp;TEXT(ROW()-4,"0000"))</f>
        <v/>
      </c>
      <c r="C436" s="33"/>
      <c r="D436" s="24"/>
      <c r="E436" s="30" t="str">
        <f aca="false">IF($D436="","",IFERROR(INDEX(合同单位,MATCH($D436,合同键,0)),IFERROR(TRIM(LEFT($D436,FIND("｜",$D436)-1)),$D436)))</f>
        <v/>
      </c>
      <c r="F436" s="30" t="str">
        <f aca="false">IF($D436="","",IFERROR(INDEX(合同项目,MATCH($D436,合同键,0)),IFERROR(TRIM(MID($D436,FIND("｜",$D436)+1,99)),"")))</f>
        <v/>
      </c>
      <c r="G436" s="39"/>
      <c r="H436" s="25"/>
      <c r="I436" s="35" t="str">
        <f aca="false">IF($H436="","",IFERROR(INDEX(票据归类表,MATCH($H436,票据类型表,0)),"现金无票"))</f>
        <v/>
      </c>
      <c r="J436" s="25"/>
      <c r="K436" s="25"/>
      <c r="L436" s="31"/>
      <c r="M436" s="29" t="str">
        <f aca="false">IF($C436="","",YEAR($C436))</f>
        <v/>
      </c>
      <c r="N436" s="24"/>
      <c r="O436" s="35" t="str">
        <f aca="false">IF($C436="","",IF($D436="","★没选客户项目",IF(COUNTIF(合同键,$D436)=0,"★《维保合同》里没这个项目",IF(N($G436)&lt;=0,"★收款金额要填",IF($H436="","★票据类型要选",IF(AND($L436&lt;&gt;"",COUNTIF(应收单号,$L436)=0),"★关联的应收单号不存在",IF(AND($L436&lt;&gt;"",IFERROR(INDEX(应收键,MATCH($L436,应收单号,0)),"")&lt;&gt;$D436),"★关联单号不是这个客户的",IF(AND($L436&lt;&gt;"",ROUND(SUMIF(收款关联,$L436,收款金额)-IFERROR(INDEX(应收金额,MATCH($L436,应收单号,0)),0),2)&gt;0.001),"★指定冲销超过那张单的应收","OK"))))))))</f>
        <v/>
      </c>
    </row>
    <row r="437" customFormat="false" ht="15" hidden="false" customHeight="false" outlineLevel="0" collapsed="false">
      <c r="A437" s="29" t="str">
        <f aca="false">IF($C437="","",ROW()-4)</f>
        <v/>
      </c>
      <c r="B437" s="35" t="str">
        <f aca="false">IF($C437="","","SK"&amp;TEXT($C437,"yyyymm")&amp;"-"&amp;TEXT(ROW()-4,"0000"))</f>
        <v/>
      </c>
      <c r="C437" s="33"/>
      <c r="D437" s="24"/>
      <c r="E437" s="30" t="str">
        <f aca="false">IF($D437="","",IFERROR(INDEX(合同单位,MATCH($D437,合同键,0)),IFERROR(TRIM(LEFT($D437,FIND("｜",$D437)-1)),$D437)))</f>
        <v/>
      </c>
      <c r="F437" s="30" t="str">
        <f aca="false">IF($D437="","",IFERROR(INDEX(合同项目,MATCH($D437,合同键,0)),IFERROR(TRIM(MID($D437,FIND("｜",$D437)+1,99)),"")))</f>
        <v/>
      </c>
      <c r="G437" s="39"/>
      <c r="H437" s="25"/>
      <c r="I437" s="35" t="str">
        <f aca="false">IF($H437="","",IFERROR(INDEX(票据归类表,MATCH($H437,票据类型表,0)),"现金无票"))</f>
        <v/>
      </c>
      <c r="J437" s="25"/>
      <c r="K437" s="25"/>
      <c r="L437" s="31"/>
      <c r="M437" s="29" t="str">
        <f aca="false">IF($C437="","",YEAR($C437))</f>
        <v/>
      </c>
      <c r="N437" s="24"/>
      <c r="O437" s="35" t="str">
        <f aca="false">IF($C437="","",IF($D437="","★没选客户项目",IF(COUNTIF(合同键,$D437)=0,"★《维保合同》里没这个项目",IF(N($G437)&lt;=0,"★收款金额要填",IF($H437="","★票据类型要选",IF(AND($L437&lt;&gt;"",COUNTIF(应收单号,$L437)=0),"★关联的应收单号不存在",IF(AND($L437&lt;&gt;"",IFERROR(INDEX(应收键,MATCH($L437,应收单号,0)),"")&lt;&gt;$D437),"★关联单号不是这个客户的",IF(AND($L437&lt;&gt;"",ROUND(SUMIF(收款关联,$L437,收款金额)-IFERROR(INDEX(应收金额,MATCH($L437,应收单号,0)),0),2)&gt;0.001),"★指定冲销超过那张单的应收","OK"))))))))</f>
        <v/>
      </c>
    </row>
    <row r="438" customFormat="false" ht="15" hidden="false" customHeight="false" outlineLevel="0" collapsed="false">
      <c r="A438" s="29" t="str">
        <f aca="false">IF($C438="","",ROW()-4)</f>
        <v/>
      </c>
      <c r="B438" s="35" t="str">
        <f aca="false">IF($C438="","","SK"&amp;TEXT($C438,"yyyymm")&amp;"-"&amp;TEXT(ROW()-4,"0000"))</f>
        <v/>
      </c>
      <c r="C438" s="33"/>
      <c r="D438" s="24"/>
      <c r="E438" s="30" t="str">
        <f aca="false">IF($D438="","",IFERROR(INDEX(合同单位,MATCH($D438,合同键,0)),IFERROR(TRIM(LEFT($D438,FIND("｜",$D438)-1)),$D438)))</f>
        <v/>
      </c>
      <c r="F438" s="30" t="str">
        <f aca="false">IF($D438="","",IFERROR(INDEX(合同项目,MATCH($D438,合同键,0)),IFERROR(TRIM(MID($D438,FIND("｜",$D438)+1,99)),"")))</f>
        <v/>
      </c>
      <c r="G438" s="39"/>
      <c r="H438" s="25"/>
      <c r="I438" s="35" t="str">
        <f aca="false">IF($H438="","",IFERROR(INDEX(票据归类表,MATCH($H438,票据类型表,0)),"现金无票"))</f>
        <v/>
      </c>
      <c r="J438" s="25"/>
      <c r="K438" s="25"/>
      <c r="L438" s="31"/>
      <c r="M438" s="29" t="str">
        <f aca="false">IF($C438="","",YEAR($C438))</f>
        <v/>
      </c>
      <c r="N438" s="24"/>
      <c r="O438" s="35" t="str">
        <f aca="false">IF($C438="","",IF($D438="","★没选客户项目",IF(COUNTIF(合同键,$D438)=0,"★《维保合同》里没这个项目",IF(N($G438)&lt;=0,"★收款金额要填",IF($H438="","★票据类型要选",IF(AND($L438&lt;&gt;"",COUNTIF(应收单号,$L438)=0),"★关联的应收单号不存在",IF(AND($L438&lt;&gt;"",IFERROR(INDEX(应收键,MATCH($L438,应收单号,0)),"")&lt;&gt;$D438),"★关联单号不是这个客户的",IF(AND($L438&lt;&gt;"",ROUND(SUMIF(收款关联,$L438,收款金额)-IFERROR(INDEX(应收金额,MATCH($L438,应收单号,0)),0),2)&gt;0.001),"★指定冲销超过那张单的应收","OK"))))))))</f>
        <v/>
      </c>
    </row>
    <row r="439" customFormat="false" ht="15" hidden="false" customHeight="false" outlineLevel="0" collapsed="false">
      <c r="A439" s="29" t="str">
        <f aca="false">IF($C439="","",ROW()-4)</f>
        <v/>
      </c>
      <c r="B439" s="35" t="str">
        <f aca="false">IF($C439="","","SK"&amp;TEXT($C439,"yyyymm")&amp;"-"&amp;TEXT(ROW()-4,"0000"))</f>
        <v/>
      </c>
      <c r="C439" s="33"/>
      <c r="D439" s="24"/>
      <c r="E439" s="30" t="str">
        <f aca="false">IF($D439="","",IFERROR(INDEX(合同单位,MATCH($D439,合同键,0)),IFERROR(TRIM(LEFT($D439,FIND("｜",$D439)-1)),$D439)))</f>
        <v/>
      </c>
      <c r="F439" s="30" t="str">
        <f aca="false">IF($D439="","",IFERROR(INDEX(合同项目,MATCH($D439,合同键,0)),IFERROR(TRIM(MID($D439,FIND("｜",$D439)+1,99)),"")))</f>
        <v/>
      </c>
      <c r="G439" s="39"/>
      <c r="H439" s="25"/>
      <c r="I439" s="35" t="str">
        <f aca="false">IF($H439="","",IFERROR(INDEX(票据归类表,MATCH($H439,票据类型表,0)),"现金无票"))</f>
        <v/>
      </c>
      <c r="J439" s="25"/>
      <c r="K439" s="25"/>
      <c r="L439" s="31"/>
      <c r="M439" s="29" t="str">
        <f aca="false">IF($C439="","",YEAR($C439))</f>
        <v/>
      </c>
      <c r="N439" s="24"/>
      <c r="O439" s="35" t="str">
        <f aca="false">IF($C439="","",IF($D439="","★没选客户项目",IF(COUNTIF(合同键,$D439)=0,"★《维保合同》里没这个项目",IF(N($G439)&lt;=0,"★收款金额要填",IF($H439="","★票据类型要选",IF(AND($L439&lt;&gt;"",COUNTIF(应收单号,$L439)=0),"★关联的应收单号不存在",IF(AND($L439&lt;&gt;"",IFERROR(INDEX(应收键,MATCH($L439,应收单号,0)),"")&lt;&gt;$D439),"★关联单号不是这个客户的",IF(AND($L439&lt;&gt;"",ROUND(SUMIF(收款关联,$L439,收款金额)-IFERROR(INDEX(应收金额,MATCH($L439,应收单号,0)),0),2)&gt;0.001),"★指定冲销超过那张单的应收","OK"))))))))</f>
        <v/>
      </c>
    </row>
    <row r="440" customFormat="false" ht="15" hidden="false" customHeight="false" outlineLevel="0" collapsed="false">
      <c r="A440" s="29" t="str">
        <f aca="false">IF($C440="","",ROW()-4)</f>
        <v/>
      </c>
      <c r="B440" s="35" t="str">
        <f aca="false">IF($C440="","","SK"&amp;TEXT($C440,"yyyymm")&amp;"-"&amp;TEXT(ROW()-4,"0000"))</f>
        <v/>
      </c>
      <c r="C440" s="33"/>
      <c r="D440" s="24"/>
      <c r="E440" s="30" t="str">
        <f aca="false">IF($D440="","",IFERROR(INDEX(合同单位,MATCH($D440,合同键,0)),IFERROR(TRIM(LEFT($D440,FIND("｜",$D440)-1)),$D440)))</f>
        <v/>
      </c>
      <c r="F440" s="30" t="str">
        <f aca="false">IF($D440="","",IFERROR(INDEX(合同项目,MATCH($D440,合同键,0)),IFERROR(TRIM(MID($D440,FIND("｜",$D440)+1,99)),"")))</f>
        <v/>
      </c>
      <c r="G440" s="39"/>
      <c r="H440" s="25"/>
      <c r="I440" s="35" t="str">
        <f aca="false">IF($H440="","",IFERROR(INDEX(票据归类表,MATCH($H440,票据类型表,0)),"现金无票"))</f>
        <v/>
      </c>
      <c r="J440" s="25"/>
      <c r="K440" s="25"/>
      <c r="L440" s="31"/>
      <c r="M440" s="29" t="str">
        <f aca="false">IF($C440="","",YEAR($C440))</f>
        <v/>
      </c>
      <c r="N440" s="24"/>
      <c r="O440" s="35" t="str">
        <f aca="false">IF($C440="","",IF($D440="","★没选客户项目",IF(COUNTIF(合同键,$D440)=0,"★《维保合同》里没这个项目",IF(N($G440)&lt;=0,"★收款金额要填",IF($H440="","★票据类型要选",IF(AND($L440&lt;&gt;"",COUNTIF(应收单号,$L440)=0),"★关联的应收单号不存在",IF(AND($L440&lt;&gt;"",IFERROR(INDEX(应收键,MATCH($L440,应收单号,0)),"")&lt;&gt;$D440),"★关联单号不是这个客户的",IF(AND($L440&lt;&gt;"",ROUND(SUMIF(收款关联,$L440,收款金额)-IFERROR(INDEX(应收金额,MATCH($L440,应收单号,0)),0),2)&gt;0.001),"★指定冲销超过那张单的应收","OK"))))))))</f>
        <v/>
      </c>
    </row>
    <row r="441" customFormat="false" ht="15" hidden="false" customHeight="false" outlineLevel="0" collapsed="false">
      <c r="A441" s="29" t="str">
        <f aca="false">IF($C441="","",ROW()-4)</f>
        <v/>
      </c>
      <c r="B441" s="35" t="str">
        <f aca="false">IF($C441="","","SK"&amp;TEXT($C441,"yyyymm")&amp;"-"&amp;TEXT(ROW()-4,"0000"))</f>
        <v/>
      </c>
      <c r="C441" s="33"/>
      <c r="D441" s="24"/>
      <c r="E441" s="30" t="str">
        <f aca="false">IF($D441="","",IFERROR(INDEX(合同单位,MATCH($D441,合同键,0)),IFERROR(TRIM(LEFT($D441,FIND("｜",$D441)-1)),$D441)))</f>
        <v/>
      </c>
      <c r="F441" s="30" t="str">
        <f aca="false">IF($D441="","",IFERROR(INDEX(合同项目,MATCH($D441,合同键,0)),IFERROR(TRIM(MID($D441,FIND("｜",$D441)+1,99)),"")))</f>
        <v/>
      </c>
      <c r="G441" s="39"/>
      <c r="H441" s="25"/>
      <c r="I441" s="35" t="str">
        <f aca="false">IF($H441="","",IFERROR(INDEX(票据归类表,MATCH($H441,票据类型表,0)),"现金无票"))</f>
        <v/>
      </c>
      <c r="J441" s="25"/>
      <c r="K441" s="25"/>
      <c r="L441" s="31"/>
      <c r="M441" s="29" t="str">
        <f aca="false">IF($C441="","",YEAR($C441))</f>
        <v/>
      </c>
      <c r="N441" s="24"/>
      <c r="O441" s="35" t="str">
        <f aca="false">IF($C441="","",IF($D441="","★没选客户项目",IF(COUNTIF(合同键,$D441)=0,"★《维保合同》里没这个项目",IF(N($G441)&lt;=0,"★收款金额要填",IF($H441="","★票据类型要选",IF(AND($L441&lt;&gt;"",COUNTIF(应收单号,$L441)=0),"★关联的应收单号不存在",IF(AND($L441&lt;&gt;"",IFERROR(INDEX(应收键,MATCH($L441,应收单号,0)),"")&lt;&gt;$D441),"★关联单号不是这个客户的",IF(AND($L441&lt;&gt;"",ROUND(SUMIF(收款关联,$L441,收款金额)-IFERROR(INDEX(应收金额,MATCH($L441,应收单号,0)),0),2)&gt;0.001),"★指定冲销超过那张单的应收","OK"))))))))</f>
        <v/>
      </c>
    </row>
    <row r="442" customFormat="false" ht="15" hidden="false" customHeight="false" outlineLevel="0" collapsed="false">
      <c r="A442" s="29" t="str">
        <f aca="false">IF($C442="","",ROW()-4)</f>
        <v/>
      </c>
      <c r="B442" s="35" t="str">
        <f aca="false">IF($C442="","","SK"&amp;TEXT($C442,"yyyymm")&amp;"-"&amp;TEXT(ROW()-4,"0000"))</f>
        <v/>
      </c>
      <c r="C442" s="33"/>
      <c r="D442" s="24"/>
      <c r="E442" s="30" t="str">
        <f aca="false">IF($D442="","",IFERROR(INDEX(合同单位,MATCH($D442,合同键,0)),IFERROR(TRIM(LEFT($D442,FIND("｜",$D442)-1)),$D442)))</f>
        <v/>
      </c>
      <c r="F442" s="30" t="str">
        <f aca="false">IF($D442="","",IFERROR(INDEX(合同项目,MATCH($D442,合同键,0)),IFERROR(TRIM(MID($D442,FIND("｜",$D442)+1,99)),"")))</f>
        <v/>
      </c>
      <c r="G442" s="39"/>
      <c r="H442" s="25"/>
      <c r="I442" s="35" t="str">
        <f aca="false">IF($H442="","",IFERROR(INDEX(票据归类表,MATCH($H442,票据类型表,0)),"现金无票"))</f>
        <v/>
      </c>
      <c r="J442" s="25"/>
      <c r="K442" s="25"/>
      <c r="L442" s="31"/>
      <c r="M442" s="29" t="str">
        <f aca="false">IF($C442="","",YEAR($C442))</f>
        <v/>
      </c>
      <c r="N442" s="24"/>
      <c r="O442" s="35" t="str">
        <f aca="false">IF($C442="","",IF($D442="","★没选客户项目",IF(COUNTIF(合同键,$D442)=0,"★《维保合同》里没这个项目",IF(N($G442)&lt;=0,"★收款金额要填",IF($H442="","★票据类型要选",IF(AND($L442&lt;&gt;"",COUNTIF(应收单号,$L442)=0),"★关联的应收单号不存在",IF(AND($L442&lt;&gt;"",IFERROR(INDEX(应收键,MATCH($L442,应收单号,0)),"")&lt;&gt;$D442),"★关联单号不是这个客户的",IF(AND($L442&lt;&gt;"",ROUND(SUMIF(收款关联,$L442,收款金额)-IFERROR(INDEX(应收金额,MATCH($L442,应收单号,0)),0),2)&gt;0.001),"★指定冲销超过那张单的应收","OK"))))))))</f>
        <v/>
      </c>
    </row>
    <row r="443" customFormat="false" ht="15" hidden="false" customHeight="false" outlineLevel="0" collapsed="false">
      <c r="A443" s="29" t="str">
        <f aca="false">IF($C443="","",ROW()-4)</f>
        <v/>
      </c>
      <c r="B443" s="35" t="str">
        <f aca="false">IF($C443="","","SK"&amp;TEXT($C443,"yyyymm")&amp;"-"&amp;TEXT(ROW()-4,"0000"))</f>
        <v/>
      </c>
      <c r="C443" s="33"/>
      <c r="D443" s="24"/>
      <c r="E443" s="30" t="str">
        <f aca="false">IF($D443="","",IFERROR(INDEX(合同单位,MATCH($D443,合同键,0)),IFERROR(TRIM(LEFT($D443,FIND("｜",$D443)-1)),$D443)))</f>
        <v/>
      </c>
      <c r="F443" s="30" t="str">
        <f aca="false">IF($D443="","",IFERROR(INDEX(合同项目,MATCH($D443,合同键,0)),IFERROR(TRIM(MID($D443,FIND("｜",$D443)+1,99)),"")))</f>
        <v/>
      </c>
      <c r="G443" s="39"/>
      <c r="H443" s="25"/>
      <c r="I443" s="35" t="str">
        <f aca="false">IF($H443="","",IFERROR(INDEX(票据归类表,MATCH($H443,票据类型表,0)),"现金无票"))</f>
        <v/>
      </c>
      <c r="J443" s="25"/>
      <c r="K443" s="25"/>
      <c r="L443" s="31"/>
      <c r="M443" s="29" t="str">
        <f aca="false">IF($C443="","",YEAR($C443))</f>
        <v/>
      </c>
      <c r="N443" s="24"/>
      <c r="O443" s="35" t="str">
        <f aca="false">IF($C443="","",IF($D443="","★没选客户项目",IF(COUNTIF(合同键,$D443)=0,"★《维保合同》里没这个项目",IF(N($G443)&lt;=0,"★收款金额要填",IF($H443="","★票据类型要选",IF(AND($L443&lt;&gt;"",COUNTIF(应收单号,$L443)=0),"★关联的应收单号不存在",IF(AND($L443&lt;&gt;"",IFERROR(INDEX(应收键,MATCH($L443,应收单号,0)),"")&lt;&gt;$D443),"★关联单号不是这个客户的",IF(AND($L443&lt;&gt;"",ROUND(SUMIF(收款关联,$L443,收款金额)-IFERROR(INDEX(应收金额,MATCH($L443,应收单号,0)),0),2)&gt;0.001),"★指定冲销超过那张单的应收","OK"))))))))</f>
        <v/>
      </c>
    </row>
    <row r="444" customFormat="false" ht="15" hidden="false" customHeight="false" outlineLevel="0" collapsed="false">
      <c r="A444" s="29" t="str">
        <f aca="false">IF($C444="","",ROW()-4)</f>
        <v/>
      </c>
      <c r="B444" s="35" t="str">
        <f aca="false">IF($C444="","","SK"&amp;TEXT($C444,"yyyymm")&amp;"-"&amp;TEXT(ROW()-4,"0000"))</f>
        <v/>
      </c>
      <c r="C444" s="33"/>
      <c r="D444" s="24"/>
      <c r="E444" s="30" t="str">
        <f aca="false">IF($D444="","",IFERROR(INDEX(合同单位,MATCH($D444,合同键,0)),IFERROR(TRIM(LEFT($D444,FIND("｜",$D444)-1)),$D444)))</f>
        <v/>
      </c>
      <c r="F444" s="30" t="str">
        <f aca="false">IF($D444="","",IFERROR(INDEX(合同项目,MATCH($D444,合同键,0)),IFERROR(TRIM(MID($D444,FIND("｜",$D444)+1,99)),"")))</f>
        <v/>
      </c>
      <c r="G444" s="39"/>
      <c r="H444" s="25"/>
      <c r="I444" s="35" t="str">
        <f aca="false">IF($H444="","",IFERROR(INDEX(票据归类表,MATCH($H444,票据类型表,0)),"现金无票"))</f>
        <v/>
      </c>
      <c r="J444" s="25"/>
      <c r="K444" s="25"/>
      <c r="L444" s="31"/>
      <c r="M444" s="29" t="str">
        <f aca="false">IF($C444="","",YEAR($C444))</f>
        <v/>
      </c>
      <c r="N444" s="24"/>
      <c r="O444" s="35" t="str">
        <f aca="false">IF($C444="","",IF($D444="","★没选客户项目",IF(COUNTIF(合同键,$D444)=0,"★《维保合同》里没这个项目",IF(N($G444)&lt;=0,"★收款金额要填",IF($H444="","★票据类型要选",IF(AND($L444&lt;&gt;"",COUNTIF(应收单号,$L444)=0),"★关联的应收单号不存在",IF(AND($L444&lt;&gt;"",IFERROR(INDEX(应收键,MATCH($L444,应收单号,0)),"")&lt;&gt;$D444),"★关联单号不是这个客户的",IF(AND($L444&lt;&gt;"",ROUND(SUMIF(收款关联,$L444,收款金额)-IFERROR(INDEX(应收金额,MATCH($L444,应收单号,0)),0),2)&gt;0.001),"★指定冲销超过那张单的应收","OK"))))))))</f>
        <v/>
      </c>
    </row>
    <row r="445" customFormat="false" ht="15" hidden="false" customHeight="false" outlineLevel="0" collapsed="false">
      <c r="A445" s="29" t="str">
        <f aca="false">IF($C445="","",ROW()-4)</f>
        <v/>
      </c>
      <c r="B445" s="35" t="str">
        <f aca="false">IF($C445="","","SK"&amp;TEXT($C445,"yyyymm")&amp;"-"&amp;TEXT(ROW()-4,"0000"))</f>
        <v/>
      </c>
      <c r="C445" s="33"/>
      <c r="D445" s="24"/>
      <c r="E445" s="30" t="str">
        <f aca="false">IF($D445="","",IFERROR(INDEX(合同单位,MATCH($D445,合同键,0)),IFERROR(TRIM(LEFT($D445,FIND("｜",$D445)-1)),$D445)))</f>
        <v/>
      </c>
      <c r="F445" s="30" t="str">
        <f aca="false">IF($D445="","",IFERROR(INDEX(合同项目,MATCH($D445,合同键,0)),IFERROR(TRIM(MID($D445,FIND("｜",$D445)+1,99)),"")))</f>
        <v/>
      </c>
      <c r="G445" s="39"/>
      <c r="H445" s="25"/>
      <c r="I445" s="35" t="str">
        <f aca="false">IF($H445="","",IFERROR(INDEX(票据归类表,MATCH($H445,票据类型表,0)),"现金无票"))</f>
        <v/>
      </c>
      <c r="J445" s="25"/>
      <c r="K445" s="25"/>
      <c r="L445" s="31"/>
      <c r="M445" s="29" t="str">
        <f aca="false">IF($C445="","",YEAR($C445))</f>
        <v/>
      </c>
      <c r="N445" s="24"/>
      <c r="O445" s="35" t="str">
        <f aca="false">IF($C445="","",IF($D445="","★没选客户项目",IF(COUNTIF(合同键,$D445)=0,"★《维保合同》里没这个项目",IF(N($G445)&lt;=0,"★收款金额要填",IF($H445="","★票据类型要选",IF(AND($L445&lt;&gt;"",COUNTIF(应收单号,$L445)=0),"★关联的应收单号不存在",IF(AND($L445&lt;&gt;"",IFERROR(INDEX(应收键,MATCH($L445,应收单号,0)),"")&lt;&gt;$D445),"★关联单号不是这个客户的",IF(AND($L445&lt;&gt;"",ROUND(SUMIF(收款关联,$L445,收款金额)-IFERROR(INDEX(应收金额,MATCH($L445,应收单号,0)),0),2)&gt;0.001),"★指定冲销超过那张单的应收","OK"))))))))</f>
        <v/>
      </c>
    </row>
    <row r="446" customFormat="false" ht="15" hidden="false" customHeight="false" outlineLevel="0" collapsed="false">
      <c r="A446" s="29" t="str">
        <f aca="false">IF($C446="","",ROW()-4)</f>
        <v/>
      </c>
      <c r="B446" s="35" t="str">
        <f aca="false">IF($C446="","","SK"&amp;TEXT($C446,"yyyymm")&amp;"-"&amp;TEXT(ROW()-4,"0000"))</f>
        <v/>
      </c>
      <c r="C446" s="33"/>
      <c r="D446" s="24"/>
      <c r="E446" s="30" t="str">
        <f aca="false">IF($D446="","",IFERROR(INDEX(合同单位,MATCH($D446,合同键,0)),IFERROR(TRIM(LEFT($D446,FIND("｜",$D446)-1)),$D446)))</f>
        <v/>
      </c>
      <c r="F446" s="30" t="str">
        <f aca="false">IF($D446="","",IFERROR(INDEX(合同项目,MATCH($D446,合同键,0)),IFERROR(TRIM(MID($D446,FIND("｜",$D446)+1,99)),"")))</f>
        <v/>
      </c>
      <c r="G446" s="39"/>
      <c r="H446" s="25"/>
      <c r="I446" s="35" t="str">
        <f aca="false">IF($H446="","",IFERROR(INDEX(票据归类表,MATCH($H446,票据类型表,0)),"现金无票"))</f>
        <v/>
      </c>
      <c r="J446" s="25"/>
      <c r="K446" s="25"/>
      <c r="L446" s="31"/>
      <c r="M446" s="29" t="str">
        <f aca="false">IF($C446="","",YEAR($C446))</f>
        <v/>
      </c>
      <c r="N446" s="24"/>
      <c r="O446" s="35" t="str">
        <f aca="false">IF($C446="","",IF($D446="","★没选客户项目",IF(COUNTIF(合同键,$D446)=0,"★《维保合同》里没这个项目",IF(N($G446)&lt;=0,"★收款金额要填",IF($H446="","★票据类型要选",IF(AND($L446&lt;&gt;"",COUNTIF(应收单号,$L446)=0),"★关联的应收单号不存在",IF(AND($L446&lt;&gt;"",IFERROR(INDEX(应收键,MATCH($L446,应收单号,0)),"")&lt;&gt;$D446),"★关联单号不是这个客户的",IF(AND($L446&lt;&gt;"",ROUND(SUMIF(收款关联,$L446,收款金额)-IFERROR(INDEX(应收金额,MATCH($L446,应收单号,0)),0),2)&gt;0.001),"★指定冲销超过那张单的应收","OK"))))))))</f>
        <v/>
      </c>
    </row>
    <row r="447" customFormat="false" ht="15" hidden="false" customHeight="false" outlineLevel="0" collapsed="false">
      <c r="A447" s="29" t="str">
        <f aca="false">IF($C447="","",ROW()-4)</f>
        <v/>
      </c>
      <c r="B447" s="35" t="str">
        <f aca="false">IF($C447="","","SK"&amp;TEXT($C447,"yyyymm")&amp;"-"&amp;TEXT(ROW()-4,"0000"))</f>
        <v/>
      </c>
      <c r="C447" s="33"/>
      <c r="D447" s="24"/>
      <c r="E447" s="30" t="str">
        <f aca="false">IF($D447="","",IFERROR(INDEX(合同单位,MATCH($D447,合同键,0)),IFERROR(TRIM(LEFT($D447,FIND("｜",$D447)-1)),$D447)))</f>
        <v/>
      </c>
      <c r="F447" s="30" t="str">
        <f aca="false">IF($D447="","",IFERROR(INDEX(合同项目,MATCH($D447,合同键,0)),IFERROR(TRIM(MID($D447,FIND("｜",$D447)+1,99)),"")))</f>
        <v/>
      </c>
      <c r="G447" s="39"/>
      <c r="H447" s="25"/>
      <c r="I447" s="35" t="str">
        <f aca="false">IF($H447="","",IFERROR(INDEX(票据归类表,MATCH($H447,票据类型表,0)),"现金无票"))</f>
        <v/>
      </c>
      <c r="J447" s="25"/>
      <c r="K447" s="25"/>
      <c r="L447" s="31"/>
      <c r="M447" s="29" t="str">
        <f aca="false">IF($C447="","",YEAR($C447))</f>
        <v/>
      </c>
      <c r="N447" s="24"/>
      <c r="O447" s="35" t="str">
        <f aca="false">IF($C447="","",IF($D447="","★没选客户项目",IF(COUNTIF(合同键,$D447)=0,"★《维保合同》里没这个项目",IF(N($G447)&lt;=0,"★收款金额要填",IF($H447="","★票据类型要选",IF(AND($L447&lt;&gt;"",COUNTIF(应收单号,$L447)=0),"★关联的应收单号不存在",IF(AND($L447&lt;&gt;"",IFERROR(INDEX(应收键,MATCH($L447,应收单号,0)),"")&lt;&gt;$D447),"★关联单号不是这个客户的",IF(AND($L447&lt;&gt;"",ROUND(SUMIF(收款关联,$L447,收款金额)-IFERROR(INDEX(应收金额,MATCH($L447,应收单号,0)),0),2)&gt;0.001),"★指定冲销超过那张单的应收","OK"))))))))</f>
        <v/>
      </c>
    </row>
    <row r="448" customFormat="false" ht="15" hidden="false" customHeight="false" outlineLevel="0" collapsed="false">
      <c r="A448" s="29" t="str">
        <f aca="false">IF($C448="","",ROW()-4)</f>
        <v/>
      </c>
      <c r="B448" s="35" t="str">
        <f aca="false">IF($C448="","","SK"&amp;TEXT($C448,"yyyymm")&amp;"-"&amp;TEXT(ROW()-4,"0000"))</f>
        <v/>
      </c>
      <c r="C448" s="33"/>
      <c r="D448" s="24"/>
      <c r="E448" s="30" t="str">
        <f aca="false">IF($D448="","",IFERROR(INDEX(合同单位,MATCH($D448,合同键,0)),IFERROR(TRIM(LEFT($D448,FIND("｜",$D448)-1)),$D448)))</f>
        <v/>
      </c>
      <c r="F448" s="30" t="str">
        <f aca="false">IF($D448="","",IFERROR(INDEX(合同项目,MATCH($D448,合同键,0)),IFERROR(TRIM(MID($D448,FIND("｜",$D448)+1,99)),"")))</f>
        <v/>
      </c>
      <c r="G448" s="39"/>
      <c r="H448" s="25"/>
      <c r="I448" s="35" t="str">
        <f aca="false">IF($H448="","",IFERROR(INDEX(票据归类表,MATCH($H448,票据类型表,0)),"现金无票"))</f>
        <v/>
      </c>
      <c r="J448" s="25"/>
      <c r="K448" s="25"/>
      <c r="L448" s="31"/>
      <c r="M448" s="29" t="str">
        <f aca="false">IF($C448="","",YEAR($C448))</f>
        <v/>
      </c>
      <c r="N448" s="24"/>
      <c r="O448" s="35" t="str">
        <f aca="false">IF($C448="","",IF($D448="","★没选客户项目",IF(COUNTIF(合同键,$D448)=0,"★《维保合同》里没这个项目",IF(N($G448)&lt;=0,"★收款金额要填",IF($H448="","★票据类型要选",IF(AND($L448&lt;&gt;"",COUNTIF(应收单号,$L448)=0),"★关联的应收单号不存在",IF(AND($L448&lt;&gt;"",IFERROR(INDEX(应收键,MATCH($L448,应收单号,0)),"")&lt;&gt;$D448),"★关联单号不是这个客户的",IF(AND($L448&lt;&gt;"",ROUND(SUMIF(收款关联,$L448,收款金额)-IFERROR(INDEX(应收金额,MATCH($L448,应收单号,0)),0),2)&gt;0.001),"★指定冲销超过那张单的应收","OK"))))))))</f>
        <v/>
      </c>
    </row>
    <row r="449" customFormat="false" ht="15" hidden="false" customHeight="false" outlineLevel="0" collapsed="false">
      <c r="A449" s="29" t="str">
        <f aca="false">IF($C449="","",ROW()-4)</f>
        <v/>
      </c>
      <c r="B449" s="35" t="str">
        <f aca="false">IF($C449="","","SK"&amp;TEXT($C449,"yyyymm")&amp;"-"&amp;TEXT(ROW()-4,"0000"))</f>
        <v/>
      </c>
      <c r="C449" s="33"/>
      <c r="D449" s="24"/>
      <c r="E449" s="30" t="str">
        <f aca="false">IF($D449="","",IFERROR(INDEX(合同单位,MATCH($D449,合同键,0)),IFERROR(TRIM(LEFT($D449,FIND("｜",$D449)-1)),$D449)))</f>
        <v/>
      </c>
      <c r="F449" s="30" t="str">
        <f aca="false">IF($D449="","",IFERROR(INDEX(合同项目,MATCH($D449,合同键,0)),IFERROR(TRIM(MID($D449,FIND("｜",$D449)+1,99)),"")))</f>
        <v/>
      </c>
      <c r="G449" s="39"/>
      <c r="H449" s="25"/>
      <c r="I449" s="35" t="str">
        <f aca="false">IF($H449="","",IFERROR(INDEX(票据归类表,MATCH($H449,票据类型表,0)),"现金无票"))</f>
        <v/>
      </c>
      <c r="J449" s="25"/>
      <c r="K449" s="25"/>
      <c r="L449" s="31"/>
      <c r="M449" s="29" t="str">
        <f aca="false">IF($C449="","",YEAR($C449))</f>
        <v/>
      </c>
      <c r="N449" s="24"/>
      <c r="O449" s="35" t="str">
        <f aca="false">IF($C449="","",IF($D449="","★没选客户项目",IF(COUNTIF(合同键,$D449)=0,"★《维保合同》里没这个项目",IF(N($G449)&lt;=0,"★收款金额要填",IF($H449="","★票据类型要选",IF(AND($L449&lt;&gt;"",COUNTIF(应收单号,$L449)=0),"★关联的应收单号不存在",IF(AND($L449&lt;&gt;"",IFERROR(INDEX(应收键,MATCH($L449,应收单号,0)),"")&lt;&gt;$D449),"★关联单号不是这个客户的",IF(AND($L449&lt;&gt;"",ROUND(SUMIF(收款关联,$L449,收款金额)-IFERROR(INDEX(应收金额,MATCH($L449,应收单号,0)),0),2)&gt;0.001),"★指定冲销超过那张单的应收","OK"))))))))</f>
        <v/>
      </c>
    </row>
    <row r="450" customFormat="false" ht="15" hidden="false" customHeight="false" outlineLevel="0" collapsed="false">
      <c r="A450" s="29" t="str">
        <f aca="false">IF($C450="","",ROW()-4)</f>
        <v/>
      </c>
      <c r="B450" s="35" t="str">
        <f aca="false">IF($C450="","","SK"&amp;TEXT($C450,"yyyymm")&amp;"-"&amp;TEXT(ROW()-4,"0000"))</f>
        <v/>
      </c>
      <c r="C450" s="33"/>
      <c r="D450" s="24"/>
      <c r="E450" s="30" t="str">
        <f aca="false">IF($D450="","",IFERROR(INDEX(合同单位,MATCH($D450,合同键,0)),IFERROR(TRIM(LEFT($D450,FIND("｜",$D450)-1)),$D450)))</f>
        <v/>
      </c>
      <c r="F450" s="30" t="str">
        <f aca="false">IF($D450="","",IFERROR(INDEX(合同项目,MATCH($D450,合同键,0)),IFERROR(TRIM(MID($D450,FIND("｜",$D450)+1,99)),"")))</f>
        <v/>
      </c>
      <c r="G450" s="39"/>
      <c r="H450" s="25"/>
      <c r="I450" s="35" t="str">
        <f aca="false">IF($H450="","",IFERROR(INDEX(票据归类表,MATCH($H450,票据类型表,0)),"现金无票"))</f>
        <v/>
      </c>
      <c r="J450" s="25"/>
      <c r="K450" s="25"/>
      <c r="L450" s="31"/>
      <c r="M450" s="29" t="str">
        <f aca="false">IF($C450="","",YEAR($C450))</f>
        <v/>
      </c>
      <c r="N450" s="24"/>
      <c r="O450" s="35" t="str">
        <f aca="false">IF($C450="","",IF($D450="","★没选客户项目",IF(COUNTIF(合同键,$D450)=0,"★《维保合同》里没这个项目",IF(N($G450)&lt;=0,"★收款金额要填",IF($H450="","★票据类型要选",IF(AND($L450&lt;&gt;"",COUNTIF(应收单号,$L450)=0),"★关联的应收单号不存在",IF(AND($L450&lt;&gt;"",IFERROR(INDEX(应收键,MATCH($L450,应收单号,0)),"")&lt;&gt;$D450),"★关联单号不是这个客户的",IF(AND($L450&lt;&gt;"",ROUND(SUMIF(收款关联,$L450,收款金额)-IFERROR(INDEX(应收金额,MATCH($L450,应收单号,0)),0),2)&gt;0.001),"★指定冲销超过那张单的应收","OK"))))))))</f>
        <v/>
      </c>
    </row>
    <row r="451" customFormat="false" ht="15" hidden="false" customHeight="false" outlineLevel="0" collapsed="false">
      <c r="A451" s="29" t="str">
        <f aca="false">IF($C451="","",ROW()-4)</f>
        <v/>
      </c>
      <c r="B451" s="35" t="str">
        <f aca="false">IF($C451="","","SK"&amp;TEXT($C451,"yyyymm")&amp;"-"&amp;TEXT(ROW()-4,"0000"))</f>
        <v/>
      </c>
      <c r="C451" s="33"/>
      <c r="D451" s="24"/>
      <c r="E451" s="30" t="str">
        <f aca="false">IF($D451="","",IFERROR(INDEX(合同单位,MATCH($D451,合同键,0)),IFERROR(TRIM(LEFT($D451,FIND("｜",$D451)-1)),$D451)))</f>
        <v/>
      </c>
      <c r="F451" s="30" t="str">
        <f aca="false">IF($D451="","",IFERROR(INDEX(合同项目,MATCH($D451,合同键,0)),IFERROR(TRIM(MID($D451,FIND("｜",$D451)+1,99)),"")))</f>
        <v/>
      </c>
      <c r="G451" s="39"/>
      <c r="H451" s="25"/>
      <c r="I451" s="35" t="str">
        <f aca="false">IF($H451="","",IFERROR(INDEX(票据归类表,MATCH($H451,票据类型表,0)),"现金无票"))</f>
        <v/>
      </c>
      <c r="J451" s="25"/>
      <c r="K451" s="25"/>
      <c r="L451" s="31"/>
      <c r="M451" s="29" t="str">
        <f aca="false">IF($C451="","",YEAR($C451))</f>
        <v/>
      </c>
      <c r="N451" s="24"/>
      <c r="O451" s="35" t="str">
        <f aca="false">IF($C451="","",IF($D451="","★没选客户项目",IF(COUNTIF(合同键,$D451)=0,"★《维保合同》里没这个项目",IF(N($G451)&lt;=0,"★收款金额要填",IF($H451="","★票据类型要选",IF(AND($L451&lt;&gt;"",COUNTIF(应收单号,$L451)=0),"★关联的应收单号不存在",IF(AND($L451&lt;&gt;"",IFERROR(INDEX(应收键,MATCH($L451,应收单号,0)),"")&lt;&gt;$D451),"★关联单号不是这个客户的",IF(AND($L451&lt;&gt;"",ROUND(SUMIF(收款关联,$L451,收款金额)-IFERROR(INDEX(应收金额,MATCH($L451,应收单号,0)),0),2)&gt;0.001),"★指定冲销超过那张单的应收","OK"))))))))</f>
        <v/>
      </c>
    </row>
    <row r="452" customFormat="false" ht="15" hidden="false" customHeight="false" outlineLevel="0" collapsed="false">
      <c r="A452" s="29" t="str">
        <f aca="false">IF($C452="","",ROW()-4)</f>
        <v/>
      </c>
      <c r="B452" s="35" t="str">
        <f aca="false">IF($C452="","","SK"&amp;TEXT($C452,"yyyymm")&amp;"-"&amp;TEXT(ROW()-4,"0000"))</f>
        <v/>
      </c>
      <c r="C452" s="33"/>
      <c r="D452" s="24"/>
      <c r="E452" s="30" t="str">
        <f aca="false">IF($D452="","",IFERROR(INDEX(合同单位,MATCH($D452,合同键,0)),IFERROR(TRIM(LEFT($D452,FIND("｜",$D452)-1)),$D452)))</f>
        <v/>
      </c>
      <c r="F452" s="30" t="str">
        <f aca="false">IF($D452="","",IFERROR(INDEX(合同项目,MATCH($D452,合同键,0)),IFERROR(TRIM(MID($D452,FIND("｜",$D452)+1,99)),"")))</f>
        <v/>
      </c>
      <c r="G452" s="39"/>
      <c r="H452" s="25"/>
      <c r="I452" s="35" t="str">
        <f aca="false">IF($H452="","",IFERROR(INDEX(票据归类表,MATCH($H452,票据类型表,0)),"现金无票"))</f>
        <v/>
      </c>
      <c r="J452" s="25"/>
      <c r="K452" s="25"/>
      <c r="L452" s="31"/>
      <c r="M452" s="29" t="str">
        <f aca="false">IF($C452="","",YEAR($C452))</f>
        <v/>
      </c>
      <c r="N452" s="24"/>
      <c r="O452" s="35" t="str">
        <f aca="false">IF($C452="","",IF($D452="","★没选客户项目",IF(COUNTIF(合同键,$D452)=0,"★《维保合同》里没这个项目",IF(N($G452)&lt;=0,"★收款金额要填",IF($H452="","★票据类型要选",IF(AND($L452&lt;&gt;"",COUNTIF(应收单号,$L452)=0),"★关联的应收单号不存在",IF(AND($L452&lt;&gt;"",IFERROR(INDEX(应收键,MATCH($L452,应收单号,0)),"")&lt;&gt;$D452),"★关联单号不是这个客户的",IF(AND($L452&lt;&gt;"",ROUND(SUMIF(收款关联,$L452,收款金额)-IFERROR(INDEX(应收金额,MATCH($L452,应收单号,0)),0),2)&gt;0.001),"★指定冲销超过那张单的应收","OK"))))))))</f>
        <v/>
      </c>
    </row>
    <row r="453" customFormat="false" ht="15" hidden="false" customHeight="false" outlineLevel="0" collapsed="false">
      <c r="A453" s="29" t="str">
        <f aca="false">IF($C453="","",ROW()-4)</f>
        <v/>
      </c>
      <c r="B453" s="35" t="str">
        <f aca="false">IF($C453="","","SK"&amp;TEXT($C453,"yyyymm")&amp;"-"&amp;TEXT(ROW()-4,"0000"))</f>
        <v/>
      </c>
      <c r="C453" s="33"/>
      <c r="D453" s="24"/>
      <c r="E453" s="30" t="str">
        <f aca="false">IF($D453="","",IFERROR(INDEX(合同单位,MATCH($D453,合同键,0)),IFERROR(TRIM(LEFT($D453,FIND("｜",$D453)-1)),$D453)))</f>
        <v/>
      </c>
      <c r="F453" s="30" t="str">
        <f aca="false">IF($D453="","",IFERROR(INDEX(合同项目,MATCH($D453,合同键,0)),IFERROR(TRIM(MID($D453,FIND("｜",$D453)+1,99)),"")))</f>
        <v/>
      </c>
      <c r="G453" s="39"/>
      <c r="H453" s="25"/>
      <c r="I453" s="35" t="str">
        <f aca="false">IF($H453="","",IFERROR(INDEX(票据归类表,MATCH($H453,票据类型表,0)),"现金无票"))</f>
        <v/>
      </c>
      <c r="J453" s="25"/>
      <c r="K453" s="25"/>
      <c r="L453" s="31"/>
      <c r="M453" s="29" t="str">
        <f aca="false">IF($C453="","",YEAR($C453))</f>
        <v/>
      </c>
      <c r="N453" s="24"/>
      <c r="O453" s="35" t="str">
        <f aca="false">IF($C453="","",IF($D453="","★没选客户项目",IF(COUNTIF(合同键,$D453)=0,"★《维保合同》里没这个项目",IF(N($G453)&lt;=0,"★收款金额要填",IF($H453="","★票据类型要选",IF(AND($L453&lt;&gt;"",COUNTIF(应收单号,$L453)=0),"★关联的应收单号不存在",IF(AND($L453&lt;&gt;"",IFERROR(INDEX(应收键,MATCH($L453,应收单号,0)),"")&lt;&gt;$D453),"★关联单号不是这个客户的",IF(AND($L453&lt;&gt;"",ROUND(SUMIF(收款关联,$L453,收款金额)-IFERROR(INDEX(应收金额,MATCH($L453,应收单号,0)),0),2)&gt;0.001),"★指定冲销超过那张单的应收","OK"))))))))</f>
        <v/>
      </c>
    </row>
    <row r="454" customFormat="false" ht="15" hidden="false" customHeight="false" outlineLevel="0" collapsed="false">
      <c r="A454" s="29" t="str">
        <f aca="false">IF($C454="","",ROW()-4)</f>
        <v/>
      </c>
      <c r="B454" s="35" t="str">
        <f aca="false">IF($C454="","","SK"&amp;TEXT($C454,"yyyymm")&amp;"-"&amp;TEXT(ROW()-4,"0000"))</f>
        <v/>
      </c>
      <c r="C454" s="33"/>
      <c r="D454" s="24"/>
      <c r="E454" s="30" t="str">
        <f aca="false">IF($D454="","",IFERROR(INDEX(合同单位,MATCH($D454,合同键,0)),IFERROR(TRIM(LEFT($D454,FIND("｜",$D454)-1)),$D454)))</f>
        <v/>
      </c>
      <c r="F454" s="30" t="str">
        <f aca="false">IF($D454="","",IFERROR(INDEX(合同项目,MATCH($D454,合同键,0)),IFERROR(TRIM(MID($D454,FIND("｜",$D454)+1,99)),"")))</f>
        <v/>
      </c>
      <c r="G454" s="39"/>
      <c r="H454" s="25"/>
      <c r="I454" s="35" t="str">
        <f aca="false">IF($H454="","",IFERROR(INDEX(票据归类表,MATCH($H454,票据类型表,0)),"现金无票"))</f>
        <v/>
      </c>
      <c r="J454" s="25"/>
      <c r="K454" s="25"/>
      <c r="L454" s="31"/>
      <c r="M454" s="29" t="str">
        <f aca="false">IF($C454="","",YEAR($C454))</f>
        <v/>
      </c>
      <c r="N454" s="24"/>
      <c r="O454" s="35" t="str">
        <f aca="false">IF($C454="","",IF($D454="","★没选客户项目",IF(COUNTIF(合同键,$D454)=0,"★《维保合同》里没这个项目",IF(N($G454)&lt;=0,"★收款金额要填",IF($H454="","★票据类型要选",IF(AND($L454&lt;&gt;"",COUNTIF(应收单号,$L454)=0),"★关联的应收单号不存在",IF(AND($L454&lt;&gt;"",IFERROR(INDEX(应收键,MATCH($L454,应收单号,0)),"")&lt;&gt;$D454),"★关联单号不是这个客户的",IF(AND($L454&lt;&gt;"",ROUND(SUMIF(收款关联,$L454,收款金额)-IFERROR(INDEX(应收金额,MATCH($L454,应收单号,0)),0),2)&gt;0.001),"★指定冲销超过那张单的应收","OK"))))))))</f>
        <v/>
      </c>
    </row>
    <row r="455" customFormat="false" ht="15" hidden="false" customHeight="false" outlineLevel="0" collapsed="false">
      <c r="A455" s="29" t="str">
        <f aca="false">IF($C455="","",ROW()-4)</f>
        <v/>
      </c>
      <c r="B455" s="35" t="str">
        <f aca="false">IF($C455="","","SK"&amp;TEXT($C455,"yyyymm")&amp;"-"&amp;TEXT(ROW()-4,"0000"))</f>
        <v/>
      </c>
      <c r="C455" s="33"/>
      <c r="D455" s="24"/>
      <c r="E455" s="30" t="str">
        <f aca="false">IF($D455="","",IFERROR(INDEX(合同单位,MATCH($D455,合同键,0)),IFERROR(TRIM(LEFT($D455,FIND("｜",$D455)-1)),$D455)))</f>
        <v/>
      </c>
      <c r="F455" s="30" t="str">
        <f aca="false">IF($D455="","",IFERROR(INDEX(合同项目,MATCH($D455,合同键,0)),IFERROR(TRIM(MID($D455,FIND("｜",$D455)+1,99)),"")))</f>
        <v/>
      </c>
      <c r="G455" s="39"/>
      <c r="H455" s="25"/>
      <c r="I455" s="35" t="str">
        <f aca="false">IF($H455="","",IFERROR(INDEX(票据归类表,MATCH($H455,票据类型表,0)),"现金无票"))</f>
        <v/>
      </c>
      <c r="J455" s="25"/>
      <c r="K455" s="25"/>
      <c r="L455" s="31"/>
      <c r="M455" s="29" t="str">
        <f aca="false">IF($C455="","",YEAR($C455))</f>
        <v/>
      </c>
      <c r="N455" s="24"/>
      <c r="O455" s="35" t="str">
        <f aca="false">IF($C455="","",IF($D455="","★没选客户项目",IF(COUNTIF(合同键,$D455)=0,"★《维保合同》里没这个项目",IF(N($G455)&lt;=0,"★收款金额要填",IF($H455="","★票据类型要选",IF(AND($L455&lt;&gt;"",COUNTIF(应收单号,$L455)=0),"★关联的应收单号不存在",IF(AND($L455&lt;&gt;"",IFERROR(INDEX(应收键,MATCH($L455,应收单号,0)),"")&lt;&gt;$D455),"★关联单号不是这个客户的",IF(AND($L455&lt;&gt;"",ROUND(SUMIF(收款关联,$L455,收款金额)-IFERROR(INDEX(应收金额,MATCH($L455,应收单号,0)),0),2)&gt;0.001),"★指定冲销超过那张单的应收","OK"))))))))</f>
        <v/>
      </c>
    </row>
    <row r="456" customFormat="false" ht="15" hidden="false" customHeight="false" outlineLevel="0" collapsed="false">
      <c r="A456" s="29" t="str">
        <f aca="false">IF($C456="","",ROW()-4)</f>
        <v/>
      </c>
      <c r="B456" s="35" t="str">
        <f aca="false">IF($C456="","","SK"&amp;TEXT($C456,"yyyymm")&amp;"-"&amp;TEXT(ROW()-4,"0000"))</f>
        <v/>
      </c>
      <c r="C456" s="33"/>
      <c r="D456" s="24"/>
      <c r="E456" s="30" t="str">
        <f aca="false">IF($D456="","",IFERROR(INDEX(合同单位,MATCH($D456,合同键,0)),IFERROR(TRIM(LEFT($D456,FIND("｜",$D456)-1)),$D456)))</f>
        <v/>
      </c>
      <c r="F456" s="30" t="str">
        <f aca="false">IF($D456="","",IFERROR(INDEX(合同项目,MATCH($D456,合同键,0)),IFERROR(TRIM(MID($D456,FIND("｜",$D456)+1,99)),"")))</f>
        <v/>
      </c>
      <c r="G456" s="39"/>
      <c r="H456" s="25"/>
      <c r="I456" s="35" t="str">
        <f aca="false">IF($H456="","",IFERROR(INDEX(票据归类表,MATCH($H456,票据类型表,0)),"现金无票"))</f>
        <v/>
      </c>
      <c r="J456" s="25"/>
      <c r="K456" s="25"/>
      <c r="L456" s="31"/>
      <c r="M456" s="29" t="str">
        <f aca="false">IF($C456="","",YEAR($C456))</f>
        <v/>
      </c>
      <c r="N456" s="24"/>
      <c r="O456" s="35" t="str">
        <f aca="false">IF($C456="","",IF($D456="","★没选客户项目",IF(COUNTIF(合同键,$D456)=0,"★《维保合同》里没这个项目",IF(N($G456)&lt;=0,"★收款金额要填",IF($H456="","★票据类型要选",IF(AND($L456&lt;&gt;"",COUNTIF(应收单号,$L456)=0),"★关联的应收单号不存在",IF(AND($L456&lt;&gt;"",IFERROR(INDEX(应收键,MATCH($L456,应收单号,0)),"")&lt;&gt;$D456),"★关联单号不是这个客户的",IF(AND($L456&lt;&gt;"",ROUND(SUMIF(收款关联,$L456,收款金额)-IFERROR(INDEX(应收金额,MATCH($L456,应收单号,0)),0),2)&gt;0.001),"★指定冲销超过那张单的应收","OK"))))))))</f>
        <v/>
      </c>
    </row>
    <row r="457" customFormat="false" ht="15" hidden="false" customHeight="false" outlineLevel="0" collapsed="false">
      <c r="A457" s="29" t="str">
        <f aca="false">IF($C457="","",ROW()-4)</f>
        <v/>
      </c>
      <c r="B457" s="35" t="str">
        <f aca="false">IF($C457="","","SK"&amp;TEXT($C457,"yyyymm")&amp;"-"&amp;TEXT(ROW()-4,"0000"))</f>
        <v/>
      </c>
      <c r="C457" s="33"/>
      <c r="D457" s="24"/>
      <c r="E457" s="30" t="str">
        <f aca="false">IF($D457="","",IFERROR(INDEX(合同单位,MATCH($D457,合同键,0)),IFERROR(TRIM(LEFT($D457,FIND("｜",$D457)-1)),$D457)))</f>
        <v/>
      </c>
      <c r="F457" s="30" t="str">
        <f aca="false">IF($D457="","",IFERROR(INDEX(合同项目,MATCH($D457,合同键,0)),IFERROR(TRIM(MID($D457,FIND("｜",$D457)+1,99)),"")))</f>
        <v/>
      </c>
      <c r="G457" s="39"/>
      <c r="H457" s="25"/>
      <c r="I457" s="35" t="str">
        <f aca="false">IF($H457="","",IFERROR(INDEX(票据归类表,MATCH($H457,票据类型表,0)),"现金无票"))</f>
        <v/>
      </c>
      <c r="J457" s="25"/>
      <c r="K457" s="25"/>
      <c r="L457" s="31"/>
      <c r="M457" s="29" t="str">
        <f aca="false">IF($C457="","",YEAR($C457))</f>
        <v/>
      </c>
      <c r="N457" s="24"/>
      <c r="O457" s="35" t="str">
        <f aca="false">IF($C457="","",IF($D457="","★没选客户项目",IF(COUNTIF(合同键,$D457)=0,"★《维保合同》里没这个项目",IF(N($G457)&lt;=0,"★收款金额要填",IF($H457="","★票据类型要选",IF(AND($L457&lt;&gt;"",COUNTIF(应收单号,$L457)=0),"★关联的应收单号不存在",IF(AND($L457&lt;&gt;"",IFERROR(INDEX(应收键,MATCH($L457,应收单号,0)),"")&lt;&gt;$D457),"★关联单号不是这个客户的",IF(AND($L457&lt;&gt;"",ROUND(SUMIF(收款关联,$L457,收款金额)-IFERROR(INDEX(应收金额,MATCH($L457,应收单号,0)),0),2)&gt;0.001),"★指定冲销超过那张单的应收","OK"))))))))</f>
        <v/>
      </c>
    </row>
    <row r="458" customFormat="false" ht="15" hidden="false" customHeight="false" outlineLevel="0" collapsed="false">
      <c r="A458" s="29" t="str">
        <f aca="false">IF($C458="","",ROW()-4)</f>
        <v/>
      </c>
      <c r="B458" s="35" t="str">
        <f aca="false">IF($C458="","","SK"&amp;TEXT($C458,"yyyymm")&amp;"-"&amp;TEXT(ROW()-4,"0000"))</f>
        <v/>
      </c>
      <c r="C458" s="33"/>
      <c r="D458" s="24"/>
      <c r="E458" s="30" t="str">
        <f aca="false">IF($D458="","",IFERROR(INDEX(合同单位,MATCH($D458,合同键,0)),IFERROR(TRIM(LEFT($D458,FIND("｜",$D458)-1)),$D458)))</f>
        <v/>
      </c>
      <c r="F458" s="30" t="str">
        <f aca="false">IF($D458="","",IFERROR(INDEX(合同项目,MATCH($D458,合同键,0)),IFERROR(TRIM(MID($D458,FIND("｜",$D458)+1,99)),"")))</f>
        <v/>
      </c>
      <c r="G458" s="39"/>
      <c r="H458" s="25"/>
      <c r="I458" s="35" t="str">
        <f aca="false">IF($H458="","",IFERROR(INDEX(票据归类表,MATCH($H458,票据类型表,0)),"现金无票"))</f>
        <v/>
      </c>
      <c r="J458" s="25"/>
      <c r="K458" s="25"/>
      <c r="L458" s="31"/>
      <c r="M458" s="29" t="str">
        <f aca="false">IF($C458="","",YEAR($C458))</f>
        <v/>
      </c>
      <c r="N458" s="24"/>
      <c r="O458" s="35" t="str">
        <f aca="false">IF($C458="","",IF($D458="","★没选客户项目",IF(COUNTIF(合同键,$D458)=0,"★《维保合同》里没这个项目",IF(N($G458)&lt;=0,"★收款金额要填",IF($H458="","★票据类型要选",IF(AND($L458&lt;&gt;"",COUNTIF(应收单号,$L458)=0),"★关联的应收单号不存在",IF(AND($L458&lt;&gt;"",IFERROR(INDEX(应收键,MATCH($L458,应收单号,0)),"")&lt;&gt;$D458),"★关联单号不是这个客户的",IF(AND($L458&lt;&gt;"",ROUND(SUMIF(收款关联,$L458,收款金额)-IFERROR(INDEX(应收金额,MATCH($L458,应收单号,0)),0),2)&gt;0.001),"★指定冲销超过那张单的应收","OK"))))))))</f>
        <v/>
      </c>
    </row>
    <row r="459" customFormat="false" ht="15" hidden="false" customHeight="false" outlineLevel="0" collapsed="false">
      <c r="A459" s="29" t="str">
        <f aca="false">IF($C459="","",ROW()-4)</f>
        <v/>
      </c>
      <c r="B459" s="35" t="str">
        <f aca="false">IF($C459="","","SK"&amp;TEXT($C459,"yyyymm")&amp;"-"&amp;TEXT(ROW()-4,"0000"))</f>
        <v/>
      </c>
      <c r="C459" s="33"/>
      <c r="D459" s="24"/>
      <c r="E459" s="30" t="str">
        <f aca="false">IF($D459="","",IFERROR(INDEX(合同单位,MATCH($D459,合同键,0)),IFERROR(TRIM(LEFT($D459,FIND("｜",$D459)-1)),$D459)))</f>
        <v/>
      </c>
      <c r="F459" s="30" t="str">
        <f aca="false">IF($D459="","",IFERROR(INDEX(合同项目,MATCH($D459,合同键,0)),IFERROR(TRIM(MID($D459,FIND("｜",$D459)+1,99)),"")))</f>
        <v/>
      </c>
      <c r="G459" s="39"/>
      <c r="H459" s="25"/>
      <c r="I459" s="35" t="str">
        <f aca="false">IF($H459="","",IFERROR(INDEX(票据归类表,MATCH($H459,票据类型表,0)),"现金无票"))</f>
        <v/>
      </c>
      <c r="J459" s="25"/>
      <c r="K459" s="25"/>
      <c r="L459" s="31"/>
      <c r="M459" s="29" t="str">
        <f aca="false">IF($C459="","",YEAR($C459))</f>
        <v/>
      </c>
      <c r="N459" s="24"/>
      <c r="O459" s="35" t="str">
        <f aca="false">IF($C459="","",IF($D459="","★没选客户项目",IF(COUNTIF(合同键,$D459)=0,"★《维保合同》里没这个项目",IF(N($G459)&lt;=0,"★收款金额要填",IF($H459="","★票据类型要选",IF(AND($L459&lt;&gt;"",COUNTIF(应收单号,$L459)=0),"★关联的应收单号不存在",IF(AND($L459&lt;&gt;"",IFERROR(INDEX(应收键,MATCH($L459,应收单号,0)),"")&lt;&gt;$D459),"★关联单号不是这个客户的",IF(AND($L459&lt;&gt;"",ROUND(SUMIF(收款关联,$L459,收款金额)-IFERROR(INDEX(应收金额,MATCH($L459,应收单号,0)),0),2)&gt;0.001),"★指定冲销超过那张单的应收","OK"))))))))</f>
        <v/>
      </c>
    </row>
    <row r="460" customFormat="false" ht="15" hidden="false" customHeight="false" outlineLevel="0" collapsed="false">
      <c r="A460" s="29" t="str">
        <f aca="false">IF($C460="","",ROW()-4)</f>
        <v/>
      </c>
      <c r="B460" s="35" t="str">
        <f aca="false">IF($C460="","","SK"&amp;TEXT($C460,"yyyymm")&amp;"-"&amp;TEXT(ROW()-4,"0000"))</f>
        <v/>
      </c>
      <c r="C460" s="33"/>
      <c r="D460" s="24"/>
      <c r="E460" s="30" t="str">
        <f aca="false">IF($D460="","",IFERROR(INDEX(合同单位,MATCH($D460,合同键,0)),IFERROR(TRIM(LEFT($D460,FIND("｜",$D460)-1)),$D460)))</f>
        <v/>
      </c>
      <c r="F460" s="30" t="str">
        <f aca="false">IF($D460="","",IFERROR(INDEX(合同项目,MATCH($D460,合同键,0)),IFERROR(TRIM(MID($D460,FIND("｜",$D460)+1,99)),"")))</f>
        <v/>
      </c>
      <c r="G460" s="39"/>
      <c r="H460" s="25"/>
      <c r="I460" s="35" t="str">
        <f aca="false">IF($H460="","",IFERROR(INDEX(票据归类表,MATCH($H460,票据类型表,0)),"现金无票"))</f>
        <v/>
      </c>
      <c r="J460" s="25"/>
      <c r="K460" s="25"/>
      <c r="L460" s="31"/>
      <c r="M460" s="29" t="str">
        <f aca="false">IF($C460="","",YEAR($C460))</f>
        <v/>
      </c>
      <c r="N460" s="24"/>
      <c r="O460" s="35" t="str">
        <f aca="false">IF($C460="","",IF($D460="","★没选客户项目",IF(COUNTIF(合同键,$D460)=0,"★《维保合同》里没这个项目",IF(N($G460)&lt;=0,"★收款金额要填",IF($H460="","★票据类型要选",IF(AND($L460&lt;&gt;"",COUNTIF(应收单号,$L460)=0),"★关联的应收单号不存在",IF(AND($L460&lt;&gt;"",IFERROR(INDEX(应收键,MATCH($L460,应收单号,0)),"")&lt;&gt;$D460),"★关联单号不是这个客户的",IF(AND($L460&lt;&gt;"",ROUND(SUMIF(收款关联,$L460,收款金额)-IFERROR(INDEX(应收金额,MATCH($L460,应收单号,0)),0),2)&gt;0.001),"★指定冲销超过那张单的应收","OK"))))))))</f>
        <v/>
      </c>
    </row>
    <row r="461" customFormat="false" ht="15" hidden="false" customHeight="false" outlineLevel="0" collapsed="false">
      <c r="A461" s="29" t="str">
        <f aca="false">IF($C461="","",ROW()-4)</f>
        <v/>
      </c>
      <c r="B461" s="35" t="str">
        <f aca="false">IF($C461="","","SK"&amp;TEXT($C461,"yyyymm")&amp;"-"&amp;TEXT(ROW()-4,"0000"))</f>
        <v/>
      </c>
      <c r="C461" s="33"/>
      <c r="D461" s="24"/>
      <c r="E461" s="30" t="str">
        <f aca="false">IF($D461="","",IFERROR(INDEX(合同单位,MATCH($D461,合同键,0)),IFERROR(TRIM(LEFT($D461,FIND("｜",$D461)-1)),$D461)))</f>
        <v/>
      </c>
      <c r="F461" s="30" t="str">
        <f aca="false">IF($D461="","",IFERROR(INDEX(合同项目,MATCH($D461,合同键,0)),IFERROR(TRIM(MID($D461,FIND("｜",$D461)+1,99)),"")))</f>
        <v/>
      </c>
      <c r="G461" s="39"/>
      <c r="H461" s="25"/>
      <c r="I461" s="35" t="str">
        <f aca="false">IF($H461="","",IFERROR(INDEX(票据归类表,MATCH($H461,票据类型表,0)),"现金无票"))</f>
        <v/>
      </c>
      <c r="J461" s="25"/>
      <c r="K461" s="25"/>
      <c r="L461" s="31"/>
      <c r="M461" s="29" t="str">
        <f aca="false">IF($C461="","",YEAR($C461))</f>
        <v/>
      </c>
      <c r="N461" s="24"/>
      <c r="O461" s="35" t="str">
        <f aca="false">IF($C461="","",IF($D461="","★没选客户项目",IF(COUNTIF(合同键,$D461)=0,"★《维保合同》里没这个项目",IF(N($G461)&lt;=0,"★收款金额要填",IF($H461="","★票据类型要选",IF(AND($L461&lt;&gt;"",COUNTIF(应收单号,$L461)=0),"★关联的应收单号不存在",IF(AND($L461&lt;&gt;"",IFERROR(INDEX(应收键,MATCH($L461,应收单号,0)),"")&lt;&gt;$D461),"★关联单号不是这个客户的",IF(AND($L461&lt;&gt;"",ROUND(SUMIF(收款关联,$L461,收款金额)-IFERROR(INDEX(应收金额,MATCH($L461,应收单号,0)),0),2)&gt;0.001),"★指定冲销超过那张单的应收","OK"))))))))</f>
        <v/>
      </c>
    </row>
    <row r="462" customFormat="false" ht="15" hidden="false" customHeight="false" outlineLevel="0" collapsed="false">
      <c r="A462" s="29" t="str">
        <f aca="false">IF($C462="","",ROW()-4)</f>
        <v/>
      </c>
      <c r="B462" s="35" t="str">
        <f aca="false">IF($C462="","","SK"&amp;TEXT($C462,"yyyymm")&amp;"-"&amp;TEXT(ROW()-4,"0000"))</f>
        <v/>
      </c>
      <c r="C462" s="33"/>
      <c r="D462" s="24"/>
      <c r="E462" s="30" t="str">
        <f aca="false">IF($D462="","",IFERROR(INDEX(合同单位,MATCH($D462,合同键,0)),IFERROR(TRIM(LEFT($D462,FIND("｜",$D462)-1)),$D462)))</f>
        <v/>
      </c>
      <c r="F462" s="30" t="str">
        <f aca="false">IF($D462="","",IFERROR(INDEX(合同项目,MATCH($D462,合同键,0)),IFERROR(TRIM(MID($D462,FIND("｜",$D462)+1,99)),"")))</f>
        <v/>
      </c>
      <c r="G462" s="39"/>
      <c r="H462" s="25"/>
      <c r="I462" s="35" t="str">
        <f aca="false">IF($H462="","",IFERROR(INDEX(票据归类表,MATCH($H462,票据类型表,0)),"现金无票"))</f>
        <v/>
      </c>
      <c r="J462" s="25"/>
      <c r="K462" s="25"/>
      <c r="L462" s="31"/>
      <c r="M462" s="29" t="str">
        <f aca="false">IF($C462="","",YEAR($C462))</f>
        <v/>
      </c>
      <c r="N462" s="24"/>
      <c r="O462" s="35" t="str">
        <f aca="false">IF($C462="","",IF($D462="","★没选客户项目",IF(COUNTIF(合同键,$D462)=0,"★《维保合同》里没这个项目",IF(N($G462)&lt;=0,"★收款金额要填",IF($H462="","★票据类型要选",IF(AND($L462&lt;&gt;"",COUNTIF(应收单号,$L462)=0),"★关联的应收单号不存在",IF(AND($L462&lt;&gt;"",IFERROR(INDEX(应收键,MATCH($L462,应收单号,0)),"")&lt;&gt;$D462),"★关联单号不是这个客户的",IF(AND($L462&lt;&gt;"",ROUND(SUMIF(收款关联,$L462,收款金额)-IFERROR(INDEX(应收金额,MATCH($L462,应收单号,0)),0),2)&gt;0.001),"★指定冲销超过那张单的应收","OK"))))))))</f>
        <v/>
      </c>
    </row>
    <row r="463" customFormat="false" ht="15" hidden="false" customHeight="false" outlineLevel="0" collapsed="false">
      <c r="A463" s="29" t="str">
        <f aca="false">IF($C463="","",ROW()-4)</f>
        <v/>
      </c>
      <c r="B463" s="35" t="str">
        <f aca="false">IF($C463="","","SK"&amp;TEXT($C463,"yyyymm")&amp;"-"&amp;TEXT(ROW()-4,"0000"))</f>
        <v/>
      </c>
      <c r="C463" s="33"/>
      <c r="D463" s="24"/>
      <c r="E463" s="30" t="str">
        <f aca="false">IF($D463="","",IFERROR(INDEX(合同单位,MATCH($D463,合同键,0)),IFERROR(TRIM(LEFT($D463,FIND("｜",$D463)-1)),$D463)))</f>
        <v/>
      </c>
      <c r="F463" s="30" t="str">
        <f aca="false">IF($D463="","",IFERROR(INDEX(合同项目,MATCH($D463,合同键,0)),IFERROR(TRIM(MID($D463,FIND("｜",$D463)+1,99)),"")))</f>
        <v/>
      </c>
      <c r="G463" s="39"/>
      <c r="H463" s="25"/>
      <c r="I463" s="35" t="str">
        <f aca="false">IF($H463="","",IFERROR(INDEX(票据归类表,MATCH($H463,票据类型表,0)),"现金无票"))</f>
        <v/>
      </c>
      <c r="J463" s="25"/>
      <c r="K463" s="25"/>
      <c r="L463" s="31"/>
      <c r="M463" s="29" t="str">
        <f aca="false">IF($C463="","",YEAR($C463))</f>
        <v/>
      </c>
      <c r="N463" s="24"/>
      <c r="O463" s="35" t="str">
        <f aca="false">IF($C463="","",IF($D463="","★没选客户项目",IF(COUNTIF(合同键,$D463)=0,"★《维保合同》里没这个项目",IF(N($G463)&lt;=0,"★收款金额要填",IF($H463="","★票据类型要选",IF(AND($L463&lt;&gt;"",COUNTIF(应收单号,$L463)=0),"★关联的应收单号不存在",IF(AND($L463&lt;&gt;"",IFERROR(INDEX(应收键,MATCH($L463,应收单号,0)),"")&lt;&gt;$D463),"★关联单号不是这个客户的",IF(AND($L463&lt;&gt;"",ROUND(SUMIF(收款关联,$L463,收款金额)-IFERROR(INDEX(应收金额,MATCH($L463,应收单号,0)),0),2)&gt;0.001),"★指定冲销超过那张单的应收","OK"))))))))</f>
        <v/>
      </c>
    </row>
    <row r="464" customFormat="false" ht="15" hidden="false" customHeight="false" outlineLevel="0" collapsed="false">
      <c r="A464" s="29" t="str">
        <f aca="false">IF($C464="","",ROW()-4)</f>
        <v/>
      </c>
      <c r="B464" s="35" t="str">
        <f aca="false">IF($C464="","","SK"&amp;TEXT($C464,"yyyymm")&amp;"-"&amp;TEXT(ROW()-4,"0000"))</f>
        <v/>
      </c>
      <c r="C464" s="33"/>
      <c r="D464" s="24"/>
      <c r="E464" s="30" t="str">
        <f aca="false">IF($D464="","",IFERROR(INDEX(合同单位,MATCH($D464,合同键,0)),IFERROR(TRIM(LEFT($D464,FIND("｜",$D464)-1)),$D464)))</f>
        <v/>
      </c>
      <c r="F464" s="30" t="str">
        <f aca="false">IF($D464="","",IFERROR(INDEX(合同项目,MATCH($D464,合同键,0)),IFERROR(TRIM(MID($D464,FIND("｜",$D464)+1,99)),"")))</f>
        <v/>
      </c>
      <c r="G464" s="39"/>
      <c r="H464" s="25"/>
      <c r="I464" s="35" t="str">
        <f aca="false">IF($H464="","",IFERROR(INDEX(票据归类表,MATCH($H464,票据类型表,0)),"现金无票"))</f>
        <v/>
      </c>
      <c r="J464" s="25"/>
      <c r="K464" s="25"/>
      <c r="L464" s="31"/>
      <c r="M464" s="29" t="str">
        <f aca="false">IF($C464="","",YEAR($C464))</f>
        <v/>
      </c>
      <c r="N464" s="24"/>
      <c r="O464" s="35" t="str">
        <f aca="false">IF($C464="","",IF($D464="","★没选客户项目",IF(COUNTIF(合同键,$D464)=0,"★《维保合同》里没这个项目",IF(N($G464)&lt;=0,"★收款金额要填",IF($H464="","★票据类型要选",IF(AND($L464&lt;&gt;"",COUNTIF(应收单号,$L464)=0),"★关联的应收单号不存在",IF(AND($L464&lt;&gt;"",IFERROR(INDEX(应收键,MATCH($L464,应收单号,0)),"")&lt;&gt;$D464),"★关联单号不是这个客户的",IF(AND($L464&lt;&gt;"",ROUND(SUMIF(收款关联,$L464,收款金额)-IFERROR(INDEX(应收金额,MATCH($L464,应收单号,0)),0),2)&gt;0.001),"★指定冲销超过那张单的应收","OK"))))))))</f>
        <v/>
      </c>
    </row>
    <row r="465" customFormat="false" ht="15" hidden="false" customHeight="false" outlineLevel="0" collapsed="false">
      <c r="A465" s="29" t="str">
        <f aca="false">IF($C465="","",ROW()-4)</f>
        <v/>
      </c>
      <c r="B465" s="35" t="str">
        <f aca="false">IF($C465="","","SK"&amp;TEXT($C465,"yyyymm")&amp;"-"&amp;TEXT(ROW()-4,"0000"))</f>
        <v/>
      </c>
      <c r="C465" s="33"/>
      <c r="D465" s="24"/>
      <c r="E465" s="30" t="str">
        <f aca="false">IF($D465="","",IFERROR(INDEX(合同单位,MATCH($D465,合同键,0)),IFERROR(TRIM(LEFT($D465,FIND("｜",$D465)-1)),$D465)))</f>
        <v/>
      </c>
      <c r="F465" s="30" t="str">
        <f aca="false">IF($D465="","",IFERROR(INDEX(合同项目,MATCH($D465,合同键,0)),IFERROR(TRIM(MID($D465,FIND("｜",$D465)+1,99)),"")))</f>
        <v/>
      </c>
      <c r="G465" s="39"/>
      <c r="H465" s="25"/>
      <c r="I465" s="35" t="str">
        <f aca="false">IF($H465="","",IFERROR(INDEX(票据归类表,MATCH($H465,票据类型表,0)),"现金无票"))</f>
        <v/>
      </c>
      <c r="J465" s="25"/>
      <c r="K465" s="25"/>
      <c r="L465" s="31"/>
      <c r="M465" s="29" t="str">
        <f aca="false">IF($C465="","",YEAR($C465))</f>
        <v/>
      </c>
      <c r="N465" s="24"/>
      <c r="O465" s="35" t="str">
        <f aca="false">IF($C465="","",IF($D465="","★没选客户项目",IF(COUNTIF(合同键,$D465)=0,"★《维保合同》里没这个项目",IF(N($G465)&lt;=0,"★收款金额要填",IF($H465="","★票据类型要选",IF(AND($L465&lt;&gt;"",COUNTIF(应收单号,$L465)=0),"★关联的应收单号不存在",IF(AND($L465&lt;&gt;"",IFERROR(INDEX(应收键,MATCH($L465,应收单号,0)),"")&lt;&gt;$D465),"★关联单号不是这个客户的",IF(AND($L465&lt;&gt;"",ROUND(SUMIF(收款关联,$L465,收款金额)-IFERROR(INDEX(应收金额,MATCH($L465,应收单号,0)),0),2)&gt;0.001),"★指定冲销超过那张单的应收","OK"))))))))</f>
        <v/>
      </c>
    </row>
    <row r="466" customFormat="false" ht="15" hidden="false" customHeight="false" outlineLevel="0" collapsed="false">
      <c r="A466" s="29" t="str">
        <f aca="false">IF($C466="","",ROW()-4)</f>
        <v/>
      </c>
      <c r="B466" s="35" t="str">
        <f aca="false">IF($C466="","","SK"&amp;TEXT($C466,"yyyymm")&amp;"-"&amp;TEXT(ROW()-4,"0000"))</f>
        <v/>
      </c>
      <c r="C466" s="33"/>
      <c r="D466" s="24"/>
      <c r="E466" s="30" t="str">
        <f aca="false">IF($D466="","",IFERROR(INDEX(合同单位,MATCH($D466,合同键,0)),IFERROR(TRIM(LEFT($D466,FIND("｜",$D466)-1)),$D466)))</f>
        <v/>
      </c>
      <c r="F466" s="30" t="str">
        <f aca="false">IF($D466="","",IFERROR(INDEX(合同项目,MATCH($D466,合同键,0)),IFERROR(TRIM(MID($D466,FIND("｜",$D466)+1,99)),"")))</f>
        <v/>
      </c>
      <c r="G466" s="39"/>
      <c r="H466" s="25"/>
      <c r="I466" s="35" t="str">
        <f aca="false">IF($H466="","",IFERROR(INDEX(票据归类表,MATCH($H466,票据类型表,0)),"现金无票"))</f>
        <v/>
      </c>
      <c r="J466" s="25"/>
      <c r="K466" s="25"/>
      <c r="L466" s="31"/>
      <c r="M466" s="29" t="str">
        <f aca="false">IF($C466="","",YEAR($C466))</f>
        <v/>
      </c>
      <c r="N466" s="24"/>
      <c r="O466" s="35" t="str">
        <f aca="false">IF($C466="","",IF($D466="","★没选客户项目",IF(COUNTIF(合同键,$D466)=0,"★《维保合同》里没这个项目",IF(N($G466)&lt;=0,"★收款金额要填",IF($H466="","★票据类型要选",IF(AND($L466&lt;&gt;"",COUNTIF(应收单号,$L466)=0),"★关联的应收单号不存在",IF(AND($L466&lt;&gt;"",IFERROR(INDEX(应收键,MATCH($L466,应收单号,0)),"")&lt;&gt;$D466),"★关联单号不是这个客户的",IF(AND($L466&lt;&gt;"",ROUND(SUMIF(收款关联,$L466,收款金额)-IFERROR(INDEX(应收金额,MATCH($L466,应收单号,0)),0),2)&gt;0.001),"★指定冲销超过那张单的应收","OK"))))))))</f>
        <v/>
      </c>
    </row>
    <row r="467" customFormat="false" ht="15" hidden="false" customHeight="false" outlineLevel="0" collapsed="false">
      <c r="A467" s="29" t="str">
        <f aca="false">IF($C467="","",ROW()-4)</f>
        <v/>
      </c>
      <c r="B467" s="35" t="str">
        <f aca="false">IF($C467="","","SK"&amp;TEXT($C467,"yyyymm")&amp;"-"&amp;TEXT(ROW()-4,"0000"))</f>
        <v/>
      </c>
      <c r="C467" s="33"/>
      <c r="D467" s="24"/>
      <c r="E467" s="30" t="str">
        <f aca="false">IF($D467="","",IFERROR(INDEX(合同单位,MATCH($D467,合同键,0)),IFERROR(TRIM(LEFT($D467,FIND("｜",$D467)-1)),$D467)))</f>
        <v/>
      </c>
      <c r="F467" s="30" t="str">
        <f aca="false">IF($D467="","",IFERROR(INDEX(合同项目,MATCH($D467,合同键,0)),IFERROR(TRIM(MID($D467,FIND("｜",$D467)+1,99)),"")))</f>
        <v/>
      </c>
      <c r="G467" s="39"/>
      <c r="H467" s="25"/>
      <c r="I467" s="35" t="str">
        <f aca="false">IF($H467="","",IFERROR(INDEX(票据归类表,MATCH($H467,票据类型表,0)),"现金无票"))</f>
        <v/>
      </c>
      <c r="J467" s="25"/>
      <c r="K467" s="25"/>
      <c r="L467" s="31"/>
      <c r="M467" s="29" t="str">
        <f aca="false">IF($C467="","",YEAR($C467))</f>
        <v/>
      </c>
      <c r="N467" s="24"/>
      <c r="O467" s="35" t="str">
        <f aca="false">IF($C467="","",IF($D467="","★没选客户项目",IF(COUNTIF(合同键,$D467)=0,"★《维保合同》里没这个项目",IF(N($G467)&lt;=0,"★收款金额要填",IF($H467="","★票据类型要选",IF(AND($L467&lt;&gt;"",COUNTIF(应收单号,$L467)=0),"★关联的应收单号不存在",IF(AND($L467&lt;&gt;"",IFERROR(INDEX(应收键,MATCH($L467,应收单号,0)),"")&lt;&gt;$D467),"★关联单号不是这个客户的",IF(AND($L467&lt;&gt;"",ROUND(SUMIF(收款关联,$L467,收款金额)-IFERROR(INDEX(应收金额,MATCH($L467,应收单号,0)),0),2)&gt;0.001),"★指定冲销超过那张单的应收","OK"))))))))</f>
        <v/>
      </c>
    </row>
    <row r="468" customFormat="false" ht="15" hidden="false" customHeight="false" outlineLevel="0" collapsed="false">
      <c r="A468" s="29" t="str">
        <f aca="false">IF($C468="","",ROW()-4)</f>
        <v/>
      </c>
      <c r="B468" s="35" t="str">
        <f aca="false">IF($C468="","","SK"&amp;TEXT($C468,"yyyymm")&amp;"-"&amp;TEXT(ROW()-4,"0000"))</f>
        <v/>
      </c>
      <c r="C468" s="33"/>
      <c r="D468" s="24"/>
      <c r="E468" s="30" t="str">
        <f aca="false">IF($D468="","",IFERROR(INDEX(合同单位,MATCH($D468,合同键,0)),IFERROR(TRIM(LEFT($D468,FIND("｜",$D468)-1)),$D468)))</f>
        <v/>
      </c>
      <c r="F468" s="30" t="str">
        <f aca="false">IF($D468="","",IFERROR(INDEX(合同项目,MATCH($D468,合同键,0)),IFERROR(TRIM(MID($D468,FIND("｜",$D468)+1,99)),"")))</f>
        <v/>
      </c>
      <c r="G468" s="39"/>
      <c r="H468" s="25"/>
      <c r="I468" s="35" t="str">
        <f aca="false">IF($H468="","",IFERROR(INDEX(票据归类表,MATCH($H468,票据类型表,0)),"现金无票"))</f>
        <v/>
      </c>
      <c r="J468" s="25"/>
      <c r="K468" s="25"/>
      <c r="L468" s="31"/>
      <c r="M468" s="29" t="str">
        <f aca="false">IF($C468="","",YEAR($C468))</f>
        <v/>
      </c>
      <c r="N468" s="24"/>
      <c r="O468" s="35" t="str">
        <f aca="false">IF($C468="","",IF($D468="","★没选客户项目",IF(COUNTIF(合同键,$D468)=0,"★《维保合同》里没这个项目",IF(N($G468)&lt;=0,"★收款金额要填",IF($H468="","★票据类型要选",IF(AND($L468&lt;&gt;"",COUNTIF(应收单号,$L468)=0),"★关联的应收单号不存在",IF(AND($L468&lt;&gt;"",IFERROR(INDEX(应收键,MATCH($L468,应收单号,0)),"")&lt;&gt;$D468),"★关联单号不是这个客户的",IF(AND($L468&lt;&gt;"",ROUND(SUMIF(收款关联,$L468,收款金额)-IFERROR(INDEX(应收金额,MATCH($L468,应收单号,0)),0),2)&gt;0.001),"★指定冲销超过那张单的应收","OK"))))))))</f>
        <v/>
      </c>
    </row>
    <row r="469" customFormat="false" ht="15" hidden="false" customHeight="false" outlineLevel="0" collapsed="false">
      <c r="A469" s="29" t="str">
        <f aca="false">IF($C469="","",ROW()-4)</f>
        <v/>
      </c>
      <c r="B469" s="35" t="str">
        <f aca="false">IF($C469="","","SK"&amp;TEXT($C469,"yyyymm")&amp;"-"&amp;TEXT(ROW()-4,"0000"))</f>
        <v/>
      </c>
      <c r="C469" s="33"/>
      <c r="D469" s="24"/>
      <c r="E469" s="30" t="str">
        <f aca="false">IF($D469="","",IFERROR(INDEX(合同单位,MATCH($D469,合同键,0)),IFERROR(TRIM(LEFT($D469,FIND("｜",$D469)-1)),$D469)))</f>
        <v/>
      </c>
      <c r="F469" s="30" t="str">
        <f aca="false">IF($D469="","",IFERROR(INDEX(合同项目,MATCH($D469,合同键,0)),IFERROR(TRIM(MID($D469,FIND("｜",$D469)+1,99)),"")))</f>
        <v/>
      </c>
      <c r="G469" s="39"/>
      <c r="H469" s="25"/>
      <c r="I469" s="35" t="str">
        <f aca="false">IF($H469="","",IFERROR(INDEX(票据归类表,MATCH($H469,票据类型表,0)),"现金无票"))</f>
        <v/>
      </c>
      <c r="J469" s="25"/>
      <c r="K469" s="25"/>
      <c r="L469" s="31"/>
      <c r="M469" s="29" t="str">
        <f aca="false">IF($C469="","",YEAR($C469))</f>
        <v/>
      </c>
      <c r="N469" s="24"/>
      <c r="O469" s="35" t="str">
        <f aca="false">IF($C469="","",IF($D469="","★没选客户项目",IF(COUNTIF(合同键,$D469)=0,"★《维保合同》里没这个项目",IF(N($G469)&lt;=0,"★收款金额要填",IF($H469="","★票据类型要选",IF(AND($L469&lt;&gt;"",COUNTIF(应收单号,$L469)=0),"★关联的应收单号不存在",IF(AND($L469&lt;&gt;"",IFERROR(INDEX(应收键,MATCH($L469,应收单号,0)),"")&lt;&gt;$D469),"★关联单号不是这个客户的",IF(AND($L469&lt;&gt;"",ROUND(SUMIF(收款关联,$L469,收款金额)-IFERROR(INDEX(应收金额,MATCH($L469,应收单号,0)),0),2)&gt;0.001),"★指定冲销超过那张单的应收","OK"))))))))</f>
        <v/>
      </c>
    </row>
    <row r="470" customFormat="false" ht="15" hidden="false" customHeight="false" outlineLevel="0" collapsed="false">
      <c r="A470" s="29" t="str">
        <f aca="false">IF($C470="","",ROW()-4)</f>
        <v/>
      </c>
      <c r="B470" s="35" t="str">
        <f aca="false">IF($C470="","","SK"&amp;TEXT($C470,"yyyymm")&amp;"-"&amp;TEXT(ROW()-4,"0000"))</f>
        <v/>
      </c>
      <c r="C470" s="33"/>
      <c r="D470" s="24"/>
      <c r="E470" s="30" t="str">
        <f aca="false">IF($D470="","",IFERROR(INDEX(合同单位,MATCH($D470,合同键,0)),IFERROR(TRIM(LEFT($D470,FIND("｜",$D470)-1)),$D470)))</f>
        <v/>
      </c>
      <c r="F470" s="30" t="str">
        <f aca="false">IF($D470="","",IFERROR(INDEX(合同项目,MATCH($D470,合同键,0)),IFERROR(TRIM(MID($D470,FIND("｜",$D470)+1,99)),"")))</f>
        <v/>
      </c>
      <c r="G470" s="39"/>
      <c r="H470" s="25"/>
      <c r="I470" s="35" t="str">
        <f aca="false">IF($H470="","",IFERROR(INDEX(票据归类表,MATCH($H470,票据类型表,0)),"现金无票"))</f>
        <v/>
      </c>
      <c r="J470" s="25"/>
      <c r="K470" s="25"/>
      <c r="L470" s="31"/>
      <c r="M470" s="29" t="str">
        <f aca="false">IF($C470="","",YEAR($C470))</f>
        <v/>
      </c>
      <c r="N470" s="24"/>
      <c r="O470" s="35" t="str">
        <f aca="false">IF($C470="","",IF($D470="","★没选客户项目",IF(COUNTIF(合同键,$D470)=0,"★《维保合同》里没这个项目",IF(N($G470)&lt;=0,"★收款金额要填",IF($H470="","★票据类型要选",IF(AND($L470&lt;&gt;"",COUNTIF(应收单号,$L470)=0),"★关联的应收单号不存在",IF(AND($L470&lt;&gt;"",IFERROR(INDEX(应收键,MATCH($L470,应收单号,0)),"")&lt;&gt;$D470),"★关联单号不是这个客户的",IF(AND($L470&lt;&gt;"",ROUND(SUMIF(收款关联,$L470,收款金额)-IFERROR(INDEX(应收金额,MATCH($L470,应收单号,0)),0),2)&gt;0.001),"★指定冲销超过那张单的应收","OK"))))))))</f>
        <v/>
      </c>
    </row>
    <row r="471" customFormat="false" ht="15" hidden="false" customHeight="false" outlineLevel="0" collapsed="false">
      <c r="A471" s="29" t="str">
        <f aca="false">IF($C471="","",ROW()-4)</f>
        <v/>
      </c>
      <c r="B471" s="35" t="str">
        <f aca="false">IF($C471="","","SK"&amp;TEXT($C471,"yyyymm")&amp;"-"&amp;TEXT(ROW()-4,"0000"))</f>
        <v/>
      </c>
      <c r="C471" s="33"/>
      <c r="D471" s="24"/>
      <c r="E471" s="30" t="str">
        <f aca="false">IF($D471="","",IFERROR(INDEX(合同单位,MATCH($D471,合同键,0)),IFERROR(TRIM(LEFT($D471,FIND("｜",$D471)-1)),$D471)))</f>
        <v/>
      </c>
      <c r="F471" s="30" t="str">
        <f aca="false">IF($D471="","",IFERROR(INDEX(合同项目,MATCH($D471,合同键,0)),IFERROR(TRIM(MID($D471,FIND("｜",$D471)+1,99)),"")))</f>
        <v/>
      </c>
      <c r="G471" s="39"/>
      <c r="H471" s="25"/>
      <c r="I471" s="35" t="str">
        <f aca="false">IF($H471="","",IFERROR(INDEX(票据归类表,MATCH($H471,票据类型表,0)),"现金无票"))</f>
        <v/>
      </c>
      <c r="J471" s="25"/>
      <c r="K471" s="25"/>
      <c r="L471" s="31"/>
      <c r="M471" s="29" t="str">
        <f aca="false">IF($C471="","",YEAR($C471))</f>
        <v/>
      </c>
      <c r="N471" s="24"/>
      <c r="O471" s="35" t="str">
        <f aca="false">IF($C471="","",IF($D471="","★没选客户项目",IF(COUNTIF(合同键,$D471)=0,"★《维保合同》里没这个项目",IF(N($G471)&lt;=0,"★收款金额要填",IF($H471="","★票据类型要选",IF(AND($L471&lt;&gt;"",COUNTIF(应收单号,$L471)=0),"★关联的应收单号不存在",IF(AND($L471&lt;&gt;"",IFERROR(INDEX(应收键,MATCH($L471,应收单号,0)),"")&lt;&gt;$D471),"★关联单号不是这个客户的",IF(AND($L471&lt;&gt;"",ROUND(SUMIF(收款关联,$L471,收款金额)-IFERROR(INDEX(应收金额,MATCH($L471,应收单号,0)),0),2)&gt;0.001),"★指定冲销超过那张单的应收","OK"))))))))</f>
        <v/>
      </c>
    </row>
    <row r="472" customFormat="false" ht="15" hidden="false" customHeight="false" outlineLevel="0" collapsed="false">
      <c r="A472" s="29" t="str">
        <f aca="false">IF($C472="","",ROW()-4)</f>
        <v/>
      </c>
      <c r="B472" s="35" t="str">
        <f aca="false">IF($C472="","","SK"&amp;TEXT($C472,"yyyymm")&amp;"-"&amp;TEXT(ROW()-4,"0000"))</f>
        <v/>
      </c>
      <c r="C472" s="33"/>
      <c r="D472" s="24"/>
      <c r="E472" s="30" t="str">
        <f aca="false">IF($D472="","",IFERROR(INDEX(合同单位,MATCH($D472,合同键,0)),IFERROR(TRIM(LEFT($D472,FIND("｜",$D472)-1)),$D472)))</f>
        <v/>
      </c>
      <c r="F472" s="30" t="str">
        <f aca="false">IF($D472="","",IFERROR(INDEX(合同项目,MATCH($D472,合同键,0)),IFERROR(TRIM(MID($D472,FIND("｜",$D472)+1,99)),"")))</f>
        <v/>
      </c>
      <c r="G472" s="39"/>
      <c r="H472" s="25"/>
      <c r="I472" s="35" t="str">
        <f aca="false">IF($H472="","",IFERROR(INDEX(票据归类表,MATCH($H472,票据类型表,0)),"现金无票"))</f>
        <v/>
      </c>
      <c r="J472" s="25"/>
      <c r="K472" s="25"/>
      <c r="L472" s="31"/>
      <c r="M472" s="29" t="str">
        <f aca="false">IF($C472="","",YEAR($C472))</f>
        <v/>
      </c>
      <c r="N472" s="24"/>
      <c r="O472" s="35" t="str">
        <f aca="false">IF($C472="","",IF($D472="","★没选客户项目",IF(COUNTIF(合同键,$D472)=0,"★《维保合同》里没这个项目",IF(N($G472)&lt;=0,"★收款金额要填",IF($H472="","★票据类型要选",IF(AND($L472&lt;&gt;"",COUNTIF(应收单号,$L472)=0),"★关联的应收单号不存在",IF(AND($L472&lt;&gt;"",IFERROR(INDEX(应收键,MATCH($L472,应收单号,0)),"")&lt;&gt;$D472),"★关联单号不是这个客户的",IF(AND($L472&lt;&gt;"",ROUND(SUMIF(收款关联,$L472,收款金额)-IFERROR(INDEX(应收金额,MATCH($L472,应收单号,0)),0),2)&gt;0.001),"★指定冲销超过那张单的应收","OK"))))))))</f>
        <v/>
      </c>
    </row>
    <row r="473" customFormat="false" ht="15" hidden="false" customHeight="false" outlineLevel="0" collapsed="false">
      <c r="A473" s="29" t="str">
        <f aca="false">IF($C473="","",ROW()-4)</f>
        <v/>
      </c>
      <c r="B473" s="35" t="str">
        <f aca="false">IF($C473="","","SK"&amp;TEXT($C473,"yyyymm")&amp;"-"&amp;TEXT(ROW()-4,"0000"))</f>
        <v/>
      </c>
      <c r="C473" s="33"/>
      <c r="D473" s="24"/>
      <c r="E473" s="30" t="str">
        <f aca="false">IF($D473="","",IFERROR(INDEX(合同单位,MATCH($D473,合同键,0)),IFERROR(TRIM(LEFT($D473,FIND("｜",$D473)-1)),$D473)))</f>
        <v/>
      </c>
      <c r="F473" s="30" t="str">
        <f aca="false">IF($D473="","",IFERROR(INDEX(合同项目,MATCH($D473,合同键,0)),IFERROR(TRIM(MID($D473,FIND("｜",$D473)+1,99)),"")))</f>
        <v/>
      </c>
      <c r="G473" s="39"/>
      <c r="H473" s="25"/>
      <c r="I473" s="35" t="str">
        <f aca="false">IF($H473="","",IFERROR(INDEX(票据归类表,MATCH($H473,票据类型表,0)),"现金无票"))</f>
        <v/>
      </c>
      <c r="J473" s="25"/>
      <c r="K473" s="25"/>
      <c r="L473" s="31"/>
      <c r="M473" s="29" t="str">
        <f aca="false">IF($C473="","",YEAR($C473))</f>
        <v/>
      </c>
      <c r="N473" s="24"/>
      <c r="O473" s="35" t="str">
        <f aca="false">IF($C473="","",IF($D473="","★没选客户项目",IF(COUNTIF(合同键,$D473)=0,"★《维保合同》里没这个项目",IF(N($G473)&lt;=0,"★收款金额要填",IF($H473="","★票据类型要选",IF(AND($L473&lt;&gt;"",COUNTIF(应收单号,$L473)=0),"★关联的应收单号不存在",IF(AND($L473&lt;&gt;"",IFERROR(INDEX(应收键,MATCH($L473,应收单号,0)),"")&lt;&gt;$D473),"★关联单号不是这个客户的",IF(AND($L473&lt;&gt;"",ROUND(SUMIF(收款关联,$L473,收款金额)-IFERROR(INDEX(应收金额,MATCH($L473,应收单号,0)),0),2)&gt;0.001),"★指定冲销超过那张单的应收","OK"))))))))</f>
        <v/>
      </c>
    </row>
    <row r="474" customFormat="false" ht="15" hidden="false" customHeight="false" outlineLevel="0" collapsed="false">
      <c r="A474" s="29" t="str">
        <f aca="false">IF($C474="","",ROW()-4)</f>
        <v/>
      </c>
      <c r="B474" s="35" t="str">
        <f aca="false">IF($C474="","","SK"&amp;TEXT($C474,"yyyymm")&amp;"-"&amp;TEXT(ROW()-4,"0000"))</f>
        <v/>
      </c>
      <c r="C474" s="33"/>
      <c r="D474" s="24"/>
      <c r="E474" s="30" t="str">
        <f aca="false">IF($D474="","",IFERROR(INDEX(合同单位,MATCH($D474,合同键,0)),IFERROR(TRIM(LEFT($D474,FIND("｜",$D474)-1)),$D474)))</f>
        <v/>
      </c>
      <c r="F474" s="30" t="str">
        <f aca="false">IF($D474="","",IFERROR(INDEX(合同项目,MATCH($D474,合同键,0)),IFERROR(TRIM(MID($D474,FIND("｜",$D474)+1,99)),"")))</f>
        <v/>
      </c>
      <c r="G474" s="39"/>
      <c r="H474" s="25"/>
      <c r="I474" s="35" t="str">
        <f aca="false">IF($H474="","",IFERROR(INDEX(票据归类表,MATCH($H474,票据类型表,0)),"现金无票"))</f>
        <v/>
      </c>
      <c r="J474" s="25"/>
      <c r="K474" s="25"/>
      <c r="L474" s="31"/>
      <c r="M474" s="29" t="str">
        <f aca="false">IF($C474="","",YEAR($C474))</f>
        <v/>
      </c>
      <c r="N474" s="24"/>
      <c r="O474" s="35" t="str">
        <f aca="false">IF($C474="","",IF($D474="","★没选客户项目",IF(COUNTIF(合同键,$D474)=0,"★《维保合同》里没这个项目",IF(N($G474)&lt;=0,"★收款金额要填",IF($H474="","★票据类型要选",IF(AND($L474&lt;&gt;"",COUNTIF(应收单号,$L474)=0),"★关联的应收单号不存在",IF(AND($L474&lt;&gt;"",IFERROR(INDEX(应收键,MATCH($L474,应收单号,0)),"")&lt;&gt;$D474),"★关联单号不是这个客户的",IF(AND($L474&lt;&gt;"",ROUND(SUMIF(收款关联,$L474,收款金额)-IFERROR(INDEX(应收金额,MATCH($L474,应收单号,0)),0),2)&gt;0.001),"★指定冲销超过那张单的应收","OK"))))))))</f>
        <v/>
      </c>
    </row>
    <row r="475" customFormat="false" ht="15" hidden="false" customHeight="false" outlineLevel="0" collapsed="false">
      <c r="A475" s="29" t="str">
        <f aca="false">IF($C475="","",ROW()-4)</f>
        <v/>
      </c>
      <c r="B475" s="35" t="str">
        <f aca="false">IF($C475="","","SK"&amp;TEXT($C475,"yyyymm")&amp;"-"&amp;TEXT(ROW()-4,"0000"))</f>
        <v/>
      </c>
      <c r="C475" s="33"/>
      <c r="D475" s="24"/>
      <c r="E475" s="30" t="str">
        <f aca="false">IF($D475="","",IFERROR(INDEX(合同单位,MATCH($D475,合同键,0)),IFERROR(TRIM(LEFT($D475,FIND("｜",$D475)-1)),$D475)))</f>
        <v/>
      </c>
      <c r="F475" s="30" t="str">
        <f aca="false">IF($D475="","",IFERROR(INDEX(合同项目,MATCH($D475,合同键,0)),IFERROR(TRIM(MID($D475,FIND("｜",$D475)+1,99)),"")))</f>
        <v/>
      </c>
      <c r="G475" s="39"/>
      <c r="H475" s="25"/>
      <c r="I475" s="35" t="str">
        <f aca="false">IF($H475="","",IFERROR(INDEX(票据归类表,MATCH($H475,票据类型表,0)),"现金无票"))</f>
        <v/>
      </c>
      <c r="J475" s="25"/>
      <c r="K475" s="25"/>
      <c r="L475" s="31"/>
      <c r="M475" s="29" t="str">
        <f aca="false">IF($C475="","",YEAR($C475))</f>
        <v/>
      </c>
      <c r="N475" s="24"/>
      <c r="O475" s="35" t="str">
        <f aca="false">IF($C475="","",IF($D475="","★没选客户项目",IF(COUNTIF(合同键,$D475)=0,"★《维保合同》里没这个项目",IF(N($G475)&lt;=0,"★收款金额要填",IF($H475="","★票据类型要选",IF(AND($L475&lt;&gt;"",COUNTIF(应收单号,$L475)=0),"★关联的应收单号不存在",IF(AND($L475&lt;&gt;"",IFERROR(INDEX(应收键,MATCH($L475,应收单号,0)),"")&lt;&gt;$D475),"★关联单号不是这个客户的",IF(AND($L475&lt;&gt;"",ROUND(SUMIF(收款关联,$L475,收款金额)-IFERROR(INDEX(应收金额,MATCH($L475,应收单号,0)),0),2)&gt;0.001),"★指定冲销超过那张单的应收","OK"))))))))</f>
        <v/>
      </c>
    </row>
    <row r="476" customFormat="false" ht="15" hidden="false" customHeight="false" outlineLevel="0" collapsed="false">
      <c r="A476" s="29" t="str">
        <f aca="false">IF($C476="","",ROW()-4)</f>
        <v/>
      </c>
      <c r="B476" s="35" t="str">
        <f aca="false">IF($C476="","","SK"&amp;TEXT($C476,"yyyymm")&amp;"-"&amp;TEXT(ROW()-4,"0000"))</f>
        <v/>
      </c>
      <c r="C476" s="33"/>
      <c r="D476" s="24"/>
      <c r="E476" s="30" t="str">
        <f aca="false">IF($D476="","",IFERROR(INDEX(合同单位,MATCH($D476,合同键,0)),IFERROR(TRIM(LEFT($D476,FIND("｜",$D476)-1)),$D476)))</f>
        <v/>
      </c>
      <c r="F476" s="30" t="str">
        <f aca="false">IF($D476="","",IFERROR(INDEX(合同项目,MATCH($D476,合同键,0)),IFERROR(TRIM(MID($D476,FIND("｜",$D476)+1,99)),"")))</f>
        <v/>
      </c>
      <c r="G476" s="39"/>
      <c r="H476" s="25"/>
      <c r="I476" s="35" t="str">
        <f aca="false">IF($H476="","",IFERROR(INDEX(票据归类表,MATCH($H476,票据类型表,0)),"现金无票"))</f>
        <v/>
      </c>
      <c r="J476" s="25"/>
      <c r="K476" s="25"/>
      <c r="L476" s="31"/>
      <c r="M476" s="29" t="str">
        <f aca="false">IF($C476="","",YEAR($C476))</f>
        <v/>
      </c>
      <c r="N476" s="24"/>
      <c r="O476" s="35" t="str">
        <f aca="false">IF($C476="","",IF($D476="","★没选客户项目",IF(COUNTIF(合同键,$D476)=0,"★《维保合同》里没这个项目",IF(N($G476)&lt;=0,"★收款金额要填",IF($H476="","★票据类型要选",IF(AND($L476&lt;&gt;"",COUNTIF(应收单号,$L476)=0),"★关联的应收单号不存在",IF(AND($L476&lt;&gt;"",IFERROR(INDEX(应收键,MATCH($L476,应收单号,0)),"")&lt;&gt;$D476),"★关联单号不是这个客户的",IF(AND($L476&lt;&gt;"",ROUND(SUMIF(收款关联,$L476,收款金额)-IFERROR(INDEX(应收金额,MATCH($L476,应收单号,0)),0),2)&gt;0.001),"★指定冲销超过那张单的应收","OK"))))))))</f>
        <v/>
      </c>
    </row>
    <row r="477" customFormat="false" ht="15" hidden="false" customHeight="false" outlineLevel="0" collapsed="false">
      <c r="A477" s="29" t="str">
        <f aca="false">IF($C477="","",ROW()-4)</f>
        <v/>
      </c>
      <c r="B477" s="35" t="str">
        <f aca="false">IF($C477="","","SK"&amp;TEXT($C477,"yyyymm")&amp;"-"&amp;TEXT(ROW()-4,"0000"))</f>
        <v/>
      </c>
      <c r="C477" s="33"/>
      <c r="D477" s="24"/>
      <c r="E477" s="30" t="str">
        <f aca="false">IF($D477="","",IFERROR(INDEX(合同单位,MATCH($D477,合同键,0)),IFERROR(TRIM(LEFT($D477,FIND("｜",$D477)-1)),$D477)))</f>
        <v/>
      </c>
      <c r="F477" s="30" t="str">
        <f aca="false">IF($D477="","",IFERROR(INDEX(合同项目,MATCH($D477,合同键,0)),IFERROR(TRIM(MID($D477,FIND("｜",$D477)+1,99)),"")))</f>
        <v/>
      </c>
      <c r="G477" s="39"/>
      <c r="H477" s="25"/>
      <c r="I477" s="35" t="str">
        <f aca="false">IF($H477="","",IFERROR(INDEX(票据归类表,MATCH($H477,票据类型表,0)),"现金无票"))</f>
        <v/>
      </c>
      <c r="J477" s="25"/>
      <c r="K477" s="25"/>
      <c r="L477" s="31"/>
      <c r="M477" s="29" t="str">
        <f aca="false">IF($C477="","",YEAR($C477))</f>
        <v/>
      </c>
      <c r="N477" s="24"/>
      <c r="O477" s="35" t="str">
        <f aca="false">IF($C477="","",IF($D477="","★没选客户项目",IF(COUNTIF(合同键,$D477)=0,"★《维保合同》里没这个项目",IF(N($G477)&lt;=0,"★收款金额要填",IF($H477="","★票据类型要选",IF(AND($L477&lt;&gt;"",COUNTIF(应收单号,$L477)=0),"★关联的应收单号不存在",IF(AND($L477&lt;&gt;"",IFERROR(INDEX(应收键,MATCH($L477,应收单号,0)),"")&lt;&gt;$D477),"★关联单号不是这个客户的",IF(AND($L477&lt;&gt;"",ROUND(SUMIF(收款关联,$L477,收款金额)-IFERROR(INDEX(应收金额,MATCH($L477,应收单号,0)),0),2)&gt;0.001),"★指定冲销超过那张单的应收","OK"))))))))</f>
        <v/>
      </c>
    </row>
    <row r="478" customFormat="false" ht="15" hidden="false" customHeight="false" outlineLevel="0" collapsed="false">
      <c r="A478" s="29" t="str">
        <f aca="false">IF($C478="","",ROW()-4)</f>
        <v/>
      </c>
      <c r="B478" s="35" t="str">
        <f aca="false">IF($C478="","","SK"&amp;TEXT($C478,"yyyymm")&amp;"-"&amp;TEXT(ROW()-4,"0000"))</f>
        <v/>
      </c>
      <c r="C478" s="33"/>
      <c r="D478" s="24"/>
      <c r="E478" s="30" t="str">
        <f aca="false">IF($D478="","",IFERROR(INDEX(合同单位,MATCH($D478,合同键,0)),IFERROR(TRIM(LEFT($D478,FIND("｜",$D478)-1)),$D478)))</f>
        <v/>
      </c>
      <c r="F478" s="30" t="str">
        <f aca="false">IF($D478="","",IFERROR(INDEX(合同项目,MATCH($D478,合同键,0)),IFERROR(TRIM(MID($D478,FIND("｜",$D478)+1,99)),"")))</f>
        <v/>
      </c>
      <c r="G478" s="39"/>
      <c r="H478" s="25"/>
      <c r="I478" s="35" t="str">
        <f aca="false">IF($H478="","",IFERROR(INDEX(票据归类表,MATCH($H478,票据类型表,0)),"现金无票"))</f>
        <v/>
      </c>
      <c r="J478" s="25"/>
      <c r="K478" s="25"/>
      <c r="L478" s="31"/>
      <c r="M478" s="29" t="str">
        <f aca="false">IF($C478="","",YEAR($C478))</f>
        <v/>
      </c>
      <c r="N478" s="24"/>
      <c r="O478" s="35" t="str">
        <f aca="false">IF($C478="","",IF($D478="","★没选客户项目",IF(COUNTIF(合同键,$D478)=0,"★《维保合同》里没这个项目",IF(N($G478)&lt;=0,"★收款金额要填",IF($H478="","★票据类型要选",IF(AND($L478&lt;&gt;"",COUNTIF(应收单号,$L478)=0),"★关联的应收单号不存在",IF(AND($L478&lt;&gt;"",IFERROR(INDEX(应收键,MATCH($L478,应收单号,0)),"")&lt;&gt;$D478),"★关联单号不是这个客户的",IF(AND($L478&lt;&gt;"",ROUND(SUMIF(收款关联,$L478,收款金额)-IFERROR(INDEX(应收金额,MATCH($L478,应收单号,0)),0),2)&gt;0.001),"★指定冲销超过那张单的应收","OK"))))))))</f>
        <v/>
      </c>
    </row>
    <row r="479" customFormat="false" ht="15" hidden="false" customHeight="false" outlineLevel="0" collapsed="false">
      <c r="A479" s="29" t="str">
        <f aca="false">IF($C479="","",ROW()-4)</f>
        <v/>
      </c>
      <c r="B479" s="35" t="str">
        <f aca="false">IF($C479="","","SK"&amp;TEXT($C479,"yyyymm")&amp;"-"&amp;TEXT(ROW()-4,"0000"))</f>
        <v/>
      </c>
      <c r="C479" s="33"/>
      <c r="D479" s="24"/>
      <c r="E479" s="30" t="str">
        <f aca="false">IF($D479="","",IFERROR(INDEX(合同单位,MATCH($D479,合同键,0)),IFERROR(TRIM(LEFT($D479,FIND("｜",$D479)-1)),$D479)))</f>
        <v/>
      </c>
      <c r="F479" s="30" t="str">
        <f aca="false">IF($D479="","",IFERROR(INDEX(合同项目,MATCH($D479,合同键,0)),IFERROR(TRIM(MID($D479,FIND("｜",$D479)+1,99)),"")))</f>
        <v/>
      </c>
      <c r="G479" s="39"/>
      <c r="H479" s="25"/>
      <c r="I479" s="35" t="str">
        <f aca="false">IF($H479="","",IFERROR(INDEX(票据归类表,MATCH($H479,票据类型表,0)),"现金无票"))</f>
        <v/>
      </c>
      <c r="J479" s="25"/>
      <c r="K479" s="25"/>
      <c r="L479" s="31"/>
      <c r="M479" s="29" t="str">
        <f aca="false">IF($C479="","",YEAR($C479))</f>
        <v/>
      </c>
      <c r="N479" s="24"/>
      <c r="O479" s="35" t="str">
        <f aca="false">IF($C479="","",IF($D479="","★没选客户项目",IF(COUNTIF(合同键,$D479)=0,"★《维保合同》里没这个项目",IF(N($G479)&lt;=0,"★收款金额要填",IF($H479="","★票据类型要选",IF(AND($L479&lt;&gt;"",COUNTIF(应收单号,$L479)=0),"★关联的应收单号不存在",IF(AND($L479&lt;&gt;"",IFERROR(INDEX(应收键,MATCH($L479,应收单号,0)),"")&lt;&gt;$D479),"★关联单号不是这个客户的",IF(AND($L479&lt;&gt;"",ROUND(SUMIF(收款关联,$L479,收款金额)-IFERROR(INDEX(应收金额,MATCH($L479,应收单号,0)),0),2)&gt;0.001),"★指定冲销超过那张单的应收","OK"))))))))</f>
        <v/>
      </c>
    </row>
    <row r="480" customFormat="false" ht="15" hidden="false" customHeight="false" outlineLevel="0" collapsed="false">
      <c r="A480" s="29" t="str">
        <f aca="false">IF($C480="","",ROW()-4)</f>
        <v/>
      </c>
      <c r="B480" s="35" t="str">
        <f aca="false">IF($C480="","","SK"&amp;TEXT($C480,"yyyymm")&amp;"-"&amp;TEXT(ROW()-4,"0000"))</f>
        <v/>
      </c>
      <c r="C480" s="33"/>
      <c r="D480" s="24"/>
      <c r="E480" s="30" t="str">
        <f aca="false">IF($D480="","",IFERROR(INDEX(合同单位,MATCH($D480,合同键,0)),IFERROR(TRIM(LEFT($D480,FIND("｜",$D480)-1)),$D480)))</f>
        <v/>
      </c>
      <c r="F480" s="30" t="str">
        <f aca="false">IF($D480="","",IFERROR(INDEX(合同项目,MATCH($D480,合同键,0)),IFERROR(TRIM(MID($D480,FIND("｜",$D480)+1,99)),"")))</f>
        <v/>
      </c>
      <c r="G480" s="39"/>
      <c r="H480" s="25"/>
      <c r="I480" s="35" t="str">
        <f aca="false">IF($H480="","",IFERROR(INDEX(票据归类表,MATCH($H480,票据类型表,0)),"现金无票"))</f>
        <v/>
      </c>
      <c r="J480" s="25"/>
      <c r="K480" s="25"/>
      <c r="L480" s="31"/>
      <c r="M480" s="29" t="str">
        <f aca="false">IF($C480="","",YEAR($C480))</f>
        <v/>
      </c>
      <c r="N480" s="24"/>
      <c r="O480" s="35" t="str">
        <f aca="false">IF($C480="","",IF($D480="","★没选客户项目",IF(COUNTIF(合同键,$D480)=0,"★《维保合同》里没这个项目",IF(N($G480)&lt;=0,"★收款金额要填",IF($H480="","★票据类型要选",IF(AND($L480&lt;&gt;"",COUNTIF(应收单号,$L480)=0),"★关联的应收单号不存在",IF(AND($L480&lt;&gt;"",IFERROR(INDEX(应收键,MATCH($L480,应收单号,0)),"")&lt;&gt;$D480),"★关联单号不是这个客户的",IF(AND($L480&lt;&gt;"",ROUND(SUMIF(收款关联,$L480,收款金额)-IFERROR(INDEX(应收金额,MATCH($L480,应收单号,0)),0),2)&gt;0.001),"★指定冲销超过那张单的应收","OK"))))))))</f>
        <v/>
      </c>
    </row>
    <row r="481" customFormat="false" ht="15" hidden="false" customHeight="false" outlineLevel="0" collapsed="false">
      <c r="A481" s="29" t="str">
        <f aca="false">IF($C481="","",ROW()-4)</f>
        <v/>
      </c>
      <c r="B481" s="35" t="str">
        <f aca="false">IF($C481="","","SK"&amp;TEXT($C481,"yyyymm")&amp;"-"&amp;TEXT(ROW()-4,"0000"))</f>
        <v/>
      </c>
      <c r="C481" s="33"/>
      <c r="D481" s="24"/>
      <c r="E481" s="30" t="str">
        <f aca="false">IF($D481="","",IFERROR(INDEX(合同单位,MATCH($D481,合同键,0)),IFERROR(TRIM(LEFT($D481,FIND("｜",$D481)-1)),$D481)))</f>
        <v/>
      </c>
      <c r="F481" s="30" t="str">
        <f aca="false">IF($D481="","",IFERROR(INDEX(合同项目,MATCH($D481,合同键,0)),IFERROR(TRIM(MID($D481,FIND("｜",$D481)+1,99)),"")))</f>
        <v/>
      </c>
      <c r="G481" s="39"/>
      <c r="H481" s="25"/>
      <c r="I481" s="35" t="str">
        <f aca="false">IF($H481="","",IFERROR(INDEX(票据归类表,MATCH($H481,票据类型表,0)),"现金无票"))</f>
        <v/>
      </c>
      <c r="J481" s="25"/>
      <c r="K481" s="25"/>
      <c r="L481" s="31"/>
      <c r="M481" s="29" t="str">
        <f aca="false">IF($C481="","",YEAR($C481))</f>
        <v/>
      </c>
      <c r="N481" s="24"/>
      <c r="O481" s="35" t="str">
        <f aca="false">IF($C481="","",IF($D481="","★没选客户项目",IF(COUNTIF(合同键,$D481)=0,"★《维保合同》里没这个项目",IF(N($G481)&lt;=0,"★收款金额要填",IF($H481="","★票据类型要选",IF(AND($L481&lt;&gt;"",COUNTIF(应收单号,$L481)=0),"★关联的应收单号不存在",IF(AND($L481&lt;&gt;"",IFERROR(INDEX(应收键,MATCH($L481,应收单号,0)),"")&lt;&gt;$D481),"★关联单号不是这个客户的",IF(AND($L481&lt;&gt;"",ROUND(SUMIF(收款关联,$L481,收款金额)-IFERROR(INDEX(应收金额,MATCH($L481,应收单号,0)),0),2)&gt;0.001),"★指定冲销超过那张单的应收","OK"))))))))</f>
        <v/>
      </c>
    </row>
    <row r="482" customFormat="false" ht="15" hidden="false" customHeight="false" outlineLevel="0" collapsed="false">
      <c r="A482" s="29" t="str">
        <f aca="false">IF($C482="","",ROW()-4)</f>
        <v/>
      </c>
      <c r="B482" s="35" t="str">
        <f aca="false">IF($C482="","","SK"&amp;TEXT($C482,"yyyymm")&amp;"-"&amp;TEXT(ROW()-4,"0000"))</f>
        <v/>
      </c>
      <c r="C482" s="33"/>
      <c r="D482" s="24"/>
      <c r="E482" s="30" t="str">
        <f aca="false">IF($D482="","",IFERROR(INDEX(合同单位,MATCH($D482,合同键,0)),IFERROR(TRIM(LEFT($D482,FIND("｜",$D482)-1)),$D482)))</f>
        <v/>
      </c>
      <c r="F482" s="30" t="str">
        <f aca="false">IF($D482="","",IFERROR(INDEX(合同项目,MATCH($D482,合同键,0)),IFERROR(TRIM(MID($D482,FIND("｜",$D482)+1,99)),"")))</f>
        <v/>
      </c>
      <c r="G482" s="39"/>
      <c r="H482" s="25"/>
      <c r="I482" s="35" t="str">
        <f aca="false">IF($H482="","",IFERROR(INDEX(票据归类表,MATCH($H482,票据类型表,0)),"现金无票"))</f>
        <v/>
      </c>
      <c r="J482" s="25"/>
      <c r="K482" s="25"/>
      <c r="L482" s="31"/>
      <c r="M482" s="29" t="str">
        <f aca="false">IF($C482="","",YEAR($C482))</f>
        <v/>
      </c>
      <c r="N482" s="24"/>
      <c r="O482" s="35" t="str">
        <f aca="false">IF($C482="","",IF($D482="","★没选客户项目",IF(COUNTIF(合同键,$D482)=0,"★《维保合同》里没这个项目",IF(N($G482)&lt;=0,"★收款金额要填",IF($H482="","★票据类型要选",IF(AND($L482&lt;&gt;"",COUNTIF(应收单号,$L482)=0),"★关联的应收单号不存在",IF(AND($L482&lt;&gt;"",IFERROR(INDEX(应收键,MATCH($L482,应收单号,0)),"")&lt;&gt;$D482),"★关联单号不是这个客户的",IF(AND($L482&lt;&gt;"",ROUND(SUMIF(收款关联,$L482,收款金额)-IFERROR(INDEX(应收金额,MATCH($L482,应收单号,0)),0),2)&gt;0.001),"★指定冲销超过那张单的应收","OK"))))))))</f>
        <v/>
      </c>
    </row>
    <row r="483" customFormat="false" ht="15" hidden="false" customHeight="false" outlineLevel="0" collapsed="false">
      <c r="A483" s="29" t="str">
        <f aca="false">IF($C483="","",ROW()-4)</f>
        <v/>
      </c>
      <c r="B483" s="35" t="str">
        <f aca="false">IF($C483="","","SK"&amp;TEXT($C483,"yyyymm")&amp;"-"&amp;TEXT(ROW()-4,"0000"))</f>
        <v/>
      </c>
      <c r="C483" s="33"/>
      <c r="D483" s="24"/>
      <c r="E483" s="30" t="str">
        <f aca="false">IF($D483="","",IFERROR(INDEX(合同单位,MATCH($D483,合同键,0)),IFERROR(TRIM(LEFT($D483,FIND("｜",$D483)-1)),$D483)))</f>
        <v/>
      </c>
      <c r="F483" s="30" t="str">
        <f aca="false">IF($D483="","",IFERROR(INDEX(合同项目,MATCH($D483,合同键,0)),IFERROR(TRIM(MID($D483,FIND("｜",$D483)+1,99)),"")))</f>
        <v/>
      </c>
      <c r="G483" s="39"/>
      <c r="H483" s="25"/>
      <c r="I483" s="35" t="str">
        <f aca="false">IF($H483="","",IFERROR(INDEX(票据归类表,MATCH($H483,票据类型表,0)),"现金无票"))</f>
        <v/>
      </c>
      <c r="J483" s="25"/>
      <c r="K483" s="25"/>
      <c r="L483" s="31"/>
      <c r="M483" s="29" t="str">
        <f aca="false">IF($C483="","",YEAR($C483))</f>
        <v/>
      </c>
      <c r="N483" s="24"/>
      <c r="O483" s="35" t="str">
        <f aca="false">IF($C483="","",IF($D483="","★没选客户项目",IF(COUNTIF(合同键,$D483)=0,"★《维保合同》里没这个项目",IF(N($G483)&lt;=0,"★收款金额要填",IF($H483="","★票据类型要选",IF(AND($L483&lt;&gt;"",COUNTIF(应收单号,$L483)=0),"★关联的应收单号不存在",IF(AND($L483&lt;&gt;"",IFERROR(INDEX(应收键,MATCH($L483,应收单号,0)),"")&lt;&gt;$D483),"★关联单号不是这个客户的",IF(AND($L483&lt;&gt;"",ROUND(SUMIF(收款关联,$L483,收款金额)-IFERROR(INDEX(应收金额,MATCH($L483,应收单号,0)),0),2)&gt;0.001),"★指定冲销超过那张单的应收","OK"))))))))</f>
        <v/>
      </c>
    </row>
    <row r="484" customFormat="false" ht="15" hidden="false" customHeight="false" outlineLevel="0" collapsed="false">
      <c r="A484" s="29" t="str">
        <f aca="false">IF($C484="","",ROW()-4)</f>
        <v/>
      </c>
      <c r="B484" s="35" t="str">
        <f aca="false">IF($C484="","","SK"&amp;TEXT($C484,"yyyymm")&amp;"-"&amp;TEXT(ROW()-4,"0000"))</f>
        <v/>
      </c>
      <c r="C484" s="33"/>
      <c r="D484" s="24"/>
      <c r="E484" s="30" t="str">
        <f aca="false">IF($D484="","",IFERROR(INDEX(合同单位,MATCH($D484,合同键,0)),IFERROR(TRIM(LEFT($D484,FIND("｜",$D484)-1)),$D484)))</f>
        <v/>
      </c>
      <c r="F484" s="30" t="str">
        <f aca="false">IF($D484="","",IFERROR(INDEX(合同项目,MATCH($D484,合同键,0)),IFERROR(TRIM(MID($D484,FIND("｜",$D484)+1,99)),"")))</f>
        <v/>
      </c>
      <c r="G484" s="39"/>
      <c r="H484" s="25"/>
      <c r="I484" s="35" t="str">
        <f aca="false">IF($H484="","",IFERROR(INDEX(票据归类表,MATCH($H484,票据类型表,0)),"现金无票"))</f>
        <v/>
      </c>
      <c r="J484" s="25"/>
      <c r="K484" s="25"/>
      <c r="L484" s="31"/>
      <c r="M484" s="29" t="str">
        <f aca="false">IF($C484="","",YEAR($C484))</f>
        <v/>
      </c>
      <c r="N484" s="24"/>
      <c r="O484" s="35" t="str">
        <f aca="false">IF($C484="","",IF($D484="","★没选客户项目",IF(COUNTIF(合同键,$D484)=0,"★《维保合同》里没这个项目",IF(N($G484)&lt;=0,"★收款金额要填",IF($H484="","★票据类型要选",IF(AND($L484&lt;&gt;"",COUNTIF(应收单号,$L484)=0),"★关联的应收单号不存在",IF(AND($L484&lt;&gt;"",IFERROR(INDEX(应收键,MATCH($L484,应收单号,0)),"")&lt;&gt;$D484),"★关联单号不是这个客户的",IF(AND($L484&lt;&gt;"",ROUND(SUMIF(收款关联,$L484,收款金额)-IFERROR(INDEX(应收金额,MATCH($L484,应收单号,0)),0),2)&gt;0.001),"★指定冲销超过那张单的应收","OK"))))))))</f>
        <v/>
      </c>
    </row>
    <row r="485" customFormat="false" ht="15" hidden="false" customHeight="false" outlineLevel="0" collapsed="false">
      <c r="A485" s="29" t="str">
        <f aca="false">IF($C485="","",ROW()-4)</f>
        <v/>
      </c>
      <c r="B485" s="35" t="str">
        <f aca="false">IF($C485="","","SK"&amp;TEXT($C485,"yyyymm")&amp;"-"&amp;TEXT(ROW()-4,"0000"))</f>
        <v/>
      </c>
      <c r="C485" s="33"/>
      <c r="D485" s="24"/>
      <c r="E485" s="30" t="str">
        <f aca="false">IF($D485="","",IFERROR(INDEX(合同单位,MATCH($D485,合同键,0)),IFERROR(TRIM(LEFT($D485,FIND("｜",$D485)-1)),$D485)))</f>
        <v/>
      </c>
      <c r="F485" s="30" t="str">
        <f aca="false">IF($D485="","",IFERROR(INDEX(合同项目,MATCH($D485,合同键,0)),IFERROR(TRIM(MID($D485,FIND("｜",$D485)+1,99)),"")))</f>
        <v/>
      </c>
      <c r="G485" s="39"/>
      <c r="H485" s="25"/>
      <c r="I485" s="35" t="str">
        <f aca="false">IF($H485="","",IFERROR(INDEX(票据归类表,MATCH($H485,票据类型表,0)),"现金无票"))</f>
        <v/>
      </c>
      <c r="J485" s="25"/>
      <c r="K485" s="25"/>
      <c r="L485" s="31"/>
      <c r="M485" s="29" t="str">
        <f aca="false">IF($C485="","",YEAR($C485))</f>
        <v/>
      </c>
      <c r="N485" s="24"/>
      <c r="O485" s="35" t="str">
        <f aca="false">IF($C485="","",IF($D485="","★没选客户项目",IF(COUNTIF(合同键,$D485)=0,"★《维保合同》里没这个项目",IF(N($G485)&lt;=0,"★收款金额要填",IF($H485="","★票据类型要选",IF(AND($L485&lt;&gt;"",COUNTIF(应收单号,$L485)=0),"★关联的应收单号不存在",IF(AND($L485&lt;&gt;"",IFERROR(INDEX(应收键,MATCH($L485,应收单号,0)),"")&lt;&gt;$D485),"★关联单号不是这个客户的",IF(AND($L485&lt;&gt;"",ROUND(SUMIF(收款关联,$L485,收款金额)-IFERROR(INDEX(应收金额,MATCH($L485,应收单号,0)),0),2)&gt;0.001),"★指定冲销超过那张单的应收","OK"))))))))</f>
        <v/>
      </c>
    </row>
    <row r="486" customFormat="false" ht="15" hidden="false" customHeight="false" outlineLevel="0" collapsed="false">
      <c r="A486" s="29" t="str">
        <f aca="false">IF($C486="","",ROW()-4)</f>
        <v/>
      </c>
      <c r="B486" s="35" t="str">
        <f aca="false">IF($C486="","","SK"&amp;TEXT($C486,"yyyymm")&amp;"-"&amp;TEXT(ROW()-4,"0000"))</f>
        <v/>
      </c>
      <c r="C486" s="33"/>
      <c r="D486" s="24"/>
      <c r="E486" s="30" t="str">
        <f aca="false">IF($D486="","",IFERROR(INDEX(合同单位,MATCH($D486,合同键,0)),IFERROR(TRIM(LEFT($D486,FIND("｜",$D486)-1)),$D486)))</f>
        <v/>
      </c>
      <c r="F486" s="30" t="str">
        <f aca="false">IF($D486="","",IFERROR(INDEX(合同项目,MATCH($D486,合同键,0)),IFERROR(TRIM(MID($D486,FIND("｜",$D486)+1,99)),"")))</f>
        <v/>
      </c>
      <c r="G486" s="39"/>
      <c r="H486" s="25"/>
      <c r="I486" s="35" t="str">
        <f aca="false">IF($H486="","",IFERROR(INDEX(票据归类表,MATCH($H486,票据类型表,0)),"现金无票"))</f>
        <v/>
      </c>
      <c r="J486" s="25"/>
      <c r="K486" s="25"/>
      <c r="L486" s="31"/>
      <c r="M486" s="29" t="str">
        <f aca="false">IF($C486="","",YEAR($C486))</f>
        <v/>
      </c>
      <c r="N486" s="24"/>
      <c r="O486" s="35" t="str">
        <f aca="false">IF($C486="","",IF($D486="","★没选客户项目",IF(COUNTIF(合同键,$D486)=0,"★《维保合同》里没这个项目",IF(N($G486)&lt;=0,"★收款金额要填",IF($H486="","★票据类型要选",IF(AND($L486&lt;&gt;"",COUNTIF(应收单号,$L486)=0),"★关联的应收单号不存在",IF(AND($L486&lt;&gt;"",IFERROR(INDEX(应收键,MATCH($L486,应收单号,0)),"")&lt;&gt;$D486),"★关联单号不是这个客户的",IF(AND($L486&lt;&gt;"",ROUND(SUMIF(收款关联,$L486,收款金额)-IFERROR(INDEX(应收金额,MATCH($L486,应收单号,0)),0),2)&gt;0.001),"★指定冲销超过那张单的应收","OK"))))))))</f>
        <v/>
      </c>
    </row>
    <row r="487" customFormat="false" ht="15" hidden="false" customHeight="false" outlineLevel="0" collapsed="false">
      <c r="A487" s="29" t="str">
        <f aca="false">IF($C487="","",ROW()-4)</f>
        <v/>
      </c>
      <c r="B487" s="35" t="str">
        <f aca="false">IF($C487="","","SK"&amp;TEXT($C487,"yyyymm")&amp;"-"&amp;TEXT(ROW()-4,"0000"))</f>
        <v/>
      </c>
      <c r="C487" s="33"/>
      <c r="D487" s="24"/>
      <c r="E487" s="30" t="str">
        <f aca="false">IF($D487="","",IFERROR(INDEX(合同单位,MATCH($D487,合同键,0)),IFERROR(TRIM(LEFT($D487,FIND("｜",$D487)-1)),$D487)))</f>
        <v/>
      </c>
      <c r="F487" s="30" t="str">
        <f aca="false">IF($D487="","",IFERROR(INDEX(合同项目,MATCH($D487,合同键,0)),IFERROR(TRIM(MID($D487,FIND("｜",$D487)+1,99)),"")))</f>
        <v/>
      </c>
      <c r="G487" s="39"/>
      <c r="H487" s="25"/>
      <c r="I487" s="35" t="str">
        <f aca="false">IF($H487="","",IFERROR(INDEX(票据归类表,MATCH($H487,票据类型表,0)),"现金无票"))</f>
        <v/>
      </c>
      <c r="J487" s="25"/>
      <c r="K487" s="25"/>
      <c r="L487" s="31"/>
      <c r="M487" s="29" t="str">
        <f aca="false">IF($C487="","",YEAR($C487))</f>
        <v/>
      </c>
      <c r="N487" s="24"/>
      <c r="O487" s="35" t="str">
        <f aca="false">IF($C487="","",IF($D487="","★没选客户项目",IF(COUNTIF(合同键,$D487)=0,"★《维保合同》里没这个项目",IF(N($G487)&lt;=0,"★收款金额要填",IF($H487="","★票据类型要选",IF(AND($L487&lt;&gt;"",COUNTIF(应收单号,$L487)=0),"★关联的应收单号不存在",IF(AND($L487&lt;&gt;"",IFERROR(INDEX(应收键,MATCH($L487,应收单号,0)),"")&lt;&gt;$D487),"★关联单号不是这个客户的",IF(AND($L487&lt;&gt;"",ROUND(SUMIF(收款关联,$L487,收款金额)-IFERROR(INDEX(应收金额,MATCH($L487,应收单号,0)),0),2)&gt;0.001),"★指定冲销超过那张单的应收","OK"))))))))</f>
        <v/>
      </c>
    </row>
    <row r="488" customFormat="false" ht="15" hidden="false" customHeight="false" outlineLevel="0" collapsed="false">
      <c r="A488" s="29" t="str">
        <f aca="false">IF($C488="","",ROW()-4)</f>
        <v/>
      </c>
      <c r="B488" s="35" t="str">
        <f aca="false">IF($C488="","","SK"&amp;TEXT($C488,"yyyymm")&amp;"-"&amp;TEXT(ROW()-4,"0000"))</f>
        <v/>
      </c>
      <c r="C488" s="33"/>
      <c r="D488" s="24"/>
      <c r="E488" s="30" t="str">
        <f aca="false">IF($D488="","",IFERROR(INDEX(合同单位,MATCH($D488,合同键,0)),IFERROR(TRIM(LEFT($D488,FIND("｜",$D488)-1)),$D488)))</f>
        <v/>
      </c>
      <c r="F488" s="30" t="str">
        <f aca="false">IF($D488="","",IFERROR(INDEX(合同项目,MATCH($D488,合同键,0)),IFERROR(TRIM(MID($D488,FIND("｜",$D488)+1,99)),"")))</f>
        <v/>
      </c>
      <c r="G488" s="39"/>
      <c r="H488" s="25"/>
      <c r="I488" s="35" t="str">
        <f aca="false">IF($H488="","",IFERROR(INDEX(票据归类表,MATCH($H488,票据类型表,0)),"现金无票"))</f>
        <v/>
      </c>
      <c r="J488" s="25"/>
      <c r="K488" s="25"/>
      <c r="L488" s="31"/>
      <c r="M488" s="29" t="str">
        <f aca="false">IF($C488="","",YEAR($C488))</f>
        <v/>
      </c>
      <c r="N488" s="24"/>
      <c r="O488" s="35" t="str">
        <f aca="false">IF($C488="","",IF($D488="","★没选客户项目",IF(COUNTIF(合同键,$D488)=0,"★《维保合同》里没这个项目",IF(N($G488)&lt;=0,"★收款金额要填",IF($H488="","★票据类型要选",IF(AND($L488&lt;&gt;"",COUNTIF(应收单号,$L488)=0),"★关联的应收单号不存在",IF(AND($L488&lt;&gt;"",IFERROR(INDEX(应收键,MATCH($L488,应收单号,0)),"")&lt;&gt;$D488),"★关联单号不是这个客户的",IF(AND($L488&lt;&gt;"",ROUND(SUMIF(收款关联,$L488,收款金额)-IFERROR(INDEX(应收金额,MATCH($L488,应收单号,0)),0),2)&gt;0.001),"★指定冲销超过那张单的应收","OK"))))))))</f>
        <v/>
      </c>
    </row>
    <row r="489" customFormat="false" ht="15" hidden="false" customHeight="false" outlineLevel="0" collapsed="false">
      <c r="A489" s="29" t="str">
        <f aca="false">IF($C489="","",ROW()-4)</f>
        <v/>
      </c>
      <c r="B489" s="35" t="str">
        <f aca="false">IF($C489="","","SK"&amp;TEXT($C489,"yyyymm")&amp;"-"&amp;TEXT(ROW()-4,"0000"))</f>
        <v/>
      </c>
      <c r="C489" s="33"/>
      <c r="D489" s="24"/>
      <c r="E489" s="30" t="str">
        <f aca="false">IF($D489="","",IFERROR(INDEX(合同单位,MATCH($D489,合同键,0)),IFERROR(TRIM(LEFT($D489,FIND("｜",$D489)-1)),$D489)))</f>
        <v/>
      </c>
      <c r="F489" s="30" t="str">
        <f aca="false">IF($D489="","",IFERROR(INDEX(合同项目,MATCH($D489,合同键,0)),IFERROR(TRIM(MID($D489,FIND("｜",$D489)+1,99)),"")))</f>
        <v/>
      </c>
      <c r="G489" s="39"/>
      <c r="H489" s="25"/>
      <c r="I489" s="35" t="str">
        <f aca="false">IF($H489="","",IFERROR(INDEX(票据归类表,MATCH($H489,票据类型表,0)),"现金无票"))</f>
        <v/>
      </c>
      <c r="J489" s="25"/>
      <c r="K489" s="25"/>
      <c r="L489" s="31"/>
      <c r="M489" s="29" t="str">
        <f aca="false">IF($C489="","",YEAR($C489))</f>
        <v/>
      </c>
      <c r="N489" s="24"/>
      <c r="O489" s="35" t="str">
        <f aca="false">IF($C489="","",IF($D489="","★没选客户项目",IF(COUNTIF(合同键,$D489)=0,"★《维保合同》里没这个项目",IF(N($G489)&lt;=0,"★收款金额要填",IF($H489="","★票据类型要选",IF(AND($L489&lt;&gt;"",COUNTIF(应收单号,$L489)=0),"★关联的应收单号不存在",IF(AND($L489&lt;&gt;"",IFERROR(INDEX(应收键,MATCH($L489,应收单号,0)),"")&lt;&gt;$D489),"★关联单号不是这个客户的",IF(AND($L489&lt;&gt;"",ROUND(SUMIF(收款关联,$L489,收款金额)-IFERROR(INDEX(应收金额,MATCH($L489,应收单号,0)),0),2)&gt;0.001),"★指定冲销超过那张单的应收","OK"))))))))</f>
        <v/>
      </c>
    </row>
    <row r="490" customFormat="false" ht="15" hidden="false" customHeight="false" outlineLevel="0" collapsed="false">
      <c r="A490" s="29" t="str">
        <f aca="false">IF($C490="","",ROW()-4)</f>
        <v/>
      </c>
      <c r="B490" s="35" t="str">
        <f aca="false">IF($C490="","","SK"&amp;TEXT($C490,"yyyymm")&amp;"-"&amp;TEXT(ROW()-4,"0000"))</f>
        <v/>
      </c>
      <c r="C490" s="33"/>
      <c r="D490" s="24"/>
      <c r="E490" s="30" t="str">
        <f aca="false">IF($D490="","",IFERROR(INDEX(合同单位,MATCH($D490,合同键,0)),IFERROR(TRIM(LEFT($D490,FIND("｜",$D490)-1)),$D490)))</f>
        <v/>
      </c>
      <c r="F490" s="30" t="str">
        <f aca="false">IF($D490="","",IFERROR(INDEX(合同项目,MATCH($D490,合同键,0)),IFERROR(TRIM(MID($D490,FIND("｜",$D490)+1,99)),"")))</f>
        <v/>
      </c>
      <c r="G490" s="39"/>
      <c r="H490" s="25"/>
      <c r="I490" s="35" t="str">
        <f aca="false">IF($H490="","",IFERROR(INDEX(票据归类表,MATCH($H490,票据类型表,0)),"现金无票"))</f>
        <v/>
      </c>
      <c r="J490" s="25"/>
      <c r="K490" s="25"/>
      <c r="L490" s="31"/>
      <c r="M490" s="29" t="str">
        <f aca="false">IF($C490="","",YEAR($C490))</f>
        <v/>
      </c>
      <c r="N490" s="24"/>
      <c r="O490" s="35" t="str">
        <f aca="false">IF($C490="","",IF($D490="","★没选客户项目",IF(COUNTIF(合同键,$D490)=0,"★《维保合同》里没这个项目",IF(N($G490)&lt;=0,"★收款金额要填",IF($H490="","★票据类型要选",IF(AND($L490&lt;&gt;"",COUNTIF(应收单号,$L490)=0),"★关联的应收单号不存在",IF(AND($L490&lt;&gt;"",IFERROR(INDEX(应收键,MATCH($L490,应收单号,0)),"")&lt;&gt;$D490),"★关联单号不是这个客户的",IF(AND($L490&lt;&gt;"",ROUND(SUMIF(收款关联,$L490,收款金额)-IFERROR(INDEX(应收金额,MATCH($L490,应收单号,0)),0),2)&gt;0.001),"★指定冲销超过那张单的应收","OK"))))))))</f>
        <v/>
      </c>
    </row>
    <row r="491" customFormat="false" ht="15" hidden="false" customHeight="false" outlineLevel="0" collapsed="false">
      <c r="A491" s="29" t="str">
        <f aca="false">IF($C491="","",ROW()-4)</f>
        <v/>
      </c>
      <c r="B491" s="35" t="str">
        <f aca="false">IF($C491="","","SK"&amp;TEXT($C491,"yyyymm")&amp;"-"&amp;TEXT(ROW()-4,"0000"))</f>
        <v/>
      </c>
      <c r="C491" s="33"/>
      <c r="D491" s="24"/>
      <c r="E491" s="30" t="str">
        <f aca="false">IF($D491="","",IFERROR(INDEX(合同单位,MATCH($D491,合同键,0)),IFERROR(TRIM(LEFT($D491,FIND("｜",$D491)-1)),$D491)))</f>
        <v/>
      </c>
      <c r="F491" s="30" t="str">
        <f aca="false">IF($D491="","",IFERROR(INDEX(合同项目,MATCH($D491,合同键,0)),IFERROR(TRIM(MID($D491,FIND("｜",$D491)+1,99)),"")))</f>
        <v/>
      </c>
      <c r="G491" s="39"/>
      <c r="H491" s="25"/>
      <c r="I491" s="35" t="str">
        <f aca="false">IF($H491="","",IFERROR(INDEX(票据归类表,MATCH($H491,票据类型表,0)),"现金无票"))</f>
        <v/>
      </c>
      <c r="J491" s="25"/>
      <c r="K491" s="25"/>
      <c r="L491" s="31"/>
      <c r="M491" s="29" t="str">
        <f aca="false">IF($C491="","",YEAR($C491))</f>
        <v/>
      </c>
      <c r="N491" s="24"/>
      <c r="O491" s="35" t="str">
        <f aca="false">IF($C491="","",IF($D491="","★没选客户项目",IF(COUNTIF(合同键,$D491)=0,"★《维保合同》里没这个项目",IF(N($G491)&lt;=0,"★收款金额要填",IF($H491="","★票据类型要选",IF(AND($L491&lt;&gt;"",COUNTIF(应收单号,$L491)=0),"★关联的应收单号不存在",IF(AND($L491&lt;&gt;"",IFERROR(INDEX(应收键,MATCH($L491,应收单号,0)),"")&lt;&gt;$D491),"★关联单号不是这个客户的",IF(AND($L491&lt;&gt;"",ROUND(SUMIF(收款关联,$L491,收款金额)-IFERROR(INDEX(应收金额,MATCH($L491,应收单号,0)),0),2)&gt;0.001),"★指定冲销超过那张单的应收","OK"))))))))</f>
        <v/>
      </c>
    </row>
    <row r="492" customFormat="false" ht="15" hidden="false" customHeight="false" outlineLevel="0" collapsed="false">
      <c r="A492" s="29" t="str">
        <f aca="false">IF($C492="","",ROW()-4)</f>
        <v/>
      </c>
      <c r="B492" s="35" t="str">
        <f aca="false">IF($C492="","","SK"&amp;TEXT($C492,"yyyymm")&amp;"-"&amp;TEXT(ROW()-4,"0000"))</f>
        <v/>
      </c>
      <c r="C492" s="33"/>
      <c r="D492" s="24"/>
      <c r="E492" s="30" t="str">
        <f aca="false">IF($D492="","",IFERROR(INDEX(合同单位,MATCH($D492,合同键,0)),IFERROR(TRIM(LEFT($D492,FIND("｜",$D492)-1)),$D492)))</f>
        <v/>
      </c>
      <c r="F492" s="30" t="str">
        <f aca="false">IF($D492="","",IFERROR(INDEX(合同项目,MATCH($D492,合同键,0)),IFERROR(TRIM(MID($D492,FIND("｜",$D492)+1,99)),"")))</f>
        <v/>
      </c>
      <c r="G492" s="39"/>
      <c r="H492" s="25"/>
      <c r="I492" s="35" t="str">
        <f aca="false">IF($H492="","",IFERROR(INDEX(票据归类表,MATCH($H492,票据类型表,0)),"现金无票"))</f>
        <v/>
      </c>
      <c r="J492" s="25"/>
      <c r="K492" s="25"/>
      <c r="L492" s="31"/>
      <c r="M492" s="29" t="str">
        <f aca="false">IF($C492="","",YEAR($C492))</f>
        <v/>
      </c>
      <c r="N492" s="24"/>
      <c r="O492" s="35" t="str">
        <f aca="false">IF($C492="","",IF($D492="","★没选客户项目",IF(COUNTIF(合同键,$D492)=0,"★《维保合同》里没这个项目",IF(N($G492)&lt;=0,"★收款金额要填",IF($H492="","★票据类型要选",IF(AND($L492&lt;&gt;"",COUNTIF(应收单号,$L492)=0),"★关联的应收单号不存在",IF(AND($L492&lt;&gt;"",IFERROR(INDEX(应收键,MATCH($L492,应收单号,0)),"")&lt;&gt;$D492),"★关联单号不是这个客户的",IF(AND($L492&lt;&gt;"",ROUND(SUMIF(收款关联,$L492,收款金额)-IFERROR(INDEX(应收金额,MATCH($L492,应收单号,0)),0),2)&gt;0.001),"★指定冲销超过那张单的应收","OK"))))))))</f>
        <v/>
      </c>
    </row>
    <row r="493" customFormat="false" ht="15" hidden="false" customHeight="false" outlineLevel="0" collapsed="false">
      <c r="A493" s="29" t="str">
        <f aca="false">IF($C493="","",ROW()-4)</f>
        <v/>
      </c>
      <c r="B493" s="35" t="str">
        <f aca="false">IF($C493="","","SK"&amp;TEXT($C493,"yyyymm")&amp;"-"&amp;TEXT(ROW()-4,"0000"))</f>
        <v/>
      </c>
      <c r="C493" s="33"/>
      <c r="D493" s="24"/>
      <c r="E493" s="30" t="str">
        <f aca="false">IF($D493="","",IFERROR(INDEX(合同单位,MATCH($D493,合同键,0)),IFERROR(TRIM(LEFT($D493,FIND("｜",$D493)-1)),$D493)))</f>
        <v/>
      </c>
      <c r="F493" s="30" t="str">
        <f aca="false">IF($D493="","",IFERROR(INDEX(合同项目,MATCH($D493,合同键,0)),IFERROR(TRIM(MID($D493,FIND("｜",$D493)+1,99)),"")))</f>
        <v/>
      </c>
      <c r="G493" s="39"/>
      <c r="H493" s="25"/>
      <c r="I493" s="35" t="str">
        <f aca="false">IF($H493="","",IFERROR(INDEX(票据归类表,MATCH($H493,票据类型表,0)),"现金无票"))</f>
        <v/>
      </c>
      <c r="J493" s="25"/>
      <c r="K493" s="25"/>
      <c r="L493" s="31"/>
      <c r="M493" s="29" t="str">
        <f aca="false">IF($C493="","",YEAR($C493))</f>
        <v/>
      </c>
      <c r="N493" s="24"/>
      <c r="O493" s="35" t="str">
        <f aca="false">IF($C493="","",IF($D493="","★没选客户项目",IF(COUNTIF(合同键,$D493)=0,"★《维保合同》里没这个项目",IF(N($G493)&lt;=0,"★收款金额要填",IF($H493="","★票据类型要选",IF(AND($L493&lt;&gt;"",COUNTIF(应收单号,$L493)=0),"★关联的应收单号不存在",IF(AND($L493&lt;&gt;"",IFERROR(INDEX(应收键,MATCH($L493,应收单号,0)),"")&lt;&gt;$D493),"★关联单号不是这个客户的",IF(AND($L493&lt;&gt;"",ROUND(SUMIF(收款关联,$L493,收款金额)-IFERROR(INDEX(应收金额,MATCH($L493,应收单号,0)),0),2)&gt;0.001),"★指定冲销超过那张单的应收","OK"))))))))</f>
        <v/>
      </c>
    </row>
    <row r="494" customFormat="false" ht="15" hidden="false" customHeight="false" outlineLevel="0" collapsed="false">
      <c r="A494" s="29" t="str">
        <f aca="false">IF($C494="","",ROW()-4)</f>
        <v/>
      </c>
      <c r="B494" s="35" t="str">
        <f aca="false">IF($C494="","","SK"&amp;TEXT($C494,"yyyymm")&amp;"-"&amp;TEXT(ROW()-4,"0000"))</f>
        <v/>
      </c>
      <c r="C494" s="33"/>
      <c r="D494" s="24"/>
      <c r="E494" s="30" t="str">
        <f aca="false">IF($D494="","",IFERROR(INDEX(合同单位,MATCH($D494,合同键,0)),IFERROR(TRIM(LEFT($D494,FIND("｜",$D494)-1)),$D494)))</f>
        <v/>
      </c>
      <c r="F494" s="30" t="str">
        <f aca="false">IF($D494="","",IFERROR(INDEX(合同项目,MATCH($D494,合同键,0)),IFERROR(TRIM(MID($D494,FIND("｜",$D494)+1,99)),"")))</f>
        <v/>
      </c>
      <c r="G494" s="39"/>
      <c r="H494" s="25"/>
      <c r="I494" s="35" t="str">
        <f aca="false">IF($H494="","",IFERROR(INDEX(票据归类表,MATCH($H494,票据类型表,0)),"现金无票"))</f>
        <v/>
      </c>
      <c r="J494" s="25"/>
      <c r="K494" s="25"/>
      <c r="L494" s="31"/>
      <c r="M494" s="29" t="str">
        <f aca="false">IF($C494="","",YEAR($C494))</f>
        <v/>
      </c>
      <c r="N494" s="24"/>
      <c r="O494" s="35" t="str">
        <f aca="false">IF($C494="","",IF($D494="","★没选客户项目",IF(COUNTIF(合同键,$D494)=0,"★《维保合同》里没这个项目",IF(N($G494)&lt;=0,"★收款金额要填",IF($H494="","★票据类型要选",IF(AND($L494&lt;&gt;"",COUNTIF(应收单号,$L494)=0),"★关联的应收单号不存在",IF(AND($L494&lt;&gt;"",IFERROR(INDEX(应收键,MATCH($L494,应收单号,0)),"")&lt;&gt;$D494),"★关联单号不是这个客户的",IF(AND($L494&lt;&gt;"",ROUND(SUMIF(收款关联,$L494,收款金额)-IFERROR(INDEX(应收金额,MATCH($L494,应收单号,0)),0),2)&gt;0.001),"★指定冲销超过那张单的应收","OK"))))))))</f>
        <v/>
      </c>
    </row>
    <row r="495" customFormat="false" ht="15" hidden="false" customHeight="false" outlineLevel="0" collapsed="false">
      <c r="A495" s="29" t="str">
        <f aca="false">IF($C495="","",ROW()-4)</f>
        <v/>
      </c>
      <c r="B495" s="35" t="str">
        <f aca="false">IF($C495="","","SK"&amp;TEXT($C495,"yyyymm")&amp;"-"&amp;TEXT(ROW()-4,"0000"))</f>
        <v/>
      </c>
      <c r="C495" s="33"/>
      <c r="D495" s="24"/>
      <c r="E495" s="30" t="str">
        <f aca="false">IF($D495="","",IFERROR(INDEX(合同单位,MATCH($D495,合同键,0)),IFERROR(TRIM(LEFT($D495,FIND("｜",$D495)-1)),$D495)))</f>
        <v/>
      </c>
      <c r="F495" s="30" t="str">
        <f aca="false">IF($D495="","",IFERROR(INDEX(合同项目,MATCH($D495,合同键,0)),IFERROR(TRIM(MID($D495,FIND("｜",$D495)+1,99)),"")))</f>
        <v/>
      </c>
      <c r="G495" s="39"/>
      <c r="H495" s="25"/>
      <c r="I495" s="35" t="str">
        <f aca="false">IF($H495="","",IFERROR(INDEX(票据归类表,MATCH($H495,票据类型表,0)),"现金无票"))</f>
        <v/>
      </c>
      <c r="J495" s="25"/>
      <c r="K495" s="25"/>
      <c r="L495" s="31"/>
      <c r="M495" s="29" t="str">
        <f aca="false">IF($C495="","",YEAR($C495))</f>
        <v/>
      </c>
      <c r="N495" s="24"/>
      <c r="O495" s="35" t="str">
        <f aca="false">IF($C495="","",IF($D495="","★没选客户项目",IF(COUNTIF(合同键,$D495)=0,"★《维保合同》里没这个项目",IF(N($G495)&lt;=0,"★收款金额要填",IF($H495="","★票据类型要选",IF(AND($L495&lt;&gt;"",COUNTIF(应收单号,$L495)=0),"★关联的应收单号不存在",IF(AND($L495&lt;&gt;"",IFERROR(INDEX(应收键,MATCH($L495,应收单号,0)),"")&lt;&gt;$D495),"★关联单号不是这个客户的",IF(AND($L495&lt;&gt;"",ROUND(SUMIF(收款关联,$L495,收款金额)-IFERROR(INDEX(应收金额,MATCH($L495,应收单号,0)),0),2)&gt;0.001),"★指定冲销超过那张单的应收","OK"))))))))</f>
        <v/>
      </c>
    </row>
    <row r="496" customFormat="false" ht="15" hidden="false" customHeight="false" outlineLevel="0" collapsed="false">
      <c r="A496" s="29" t="str">
        <f aca="false">IF($C496="","",ROW()-4)</f>
        <v/>
      </c>
      <c r="B496" s="35" t="str">
        <f aca="false">IF($C496="","","SK"&amp;TEXT($C496,"yyyymm")&amp;"-"&amp;TEXT(ROW()-4,"0000"))</f>
        <v/>
      </c>
      <c r="C496" s="33"/>
      <c r="D496" s="24"/>
      <c r="E496" s="30" t="str">
        <f aca="false">IF($D496="","",IFERROR(INDEX(合同单位,MATCH($D496,合同键,0)),IFERROR(TRIM(LEFT($D496,FIND("｜",$D496)-1)),$D496)))</f>
        <v/>
      </c>
      <c r="F496" s="30" t="str">
        <f aca="false">IF($D496="","",IFERROR(INDEX(合同项目,MATCH($D496,合同键,0)),IFERROR(TRIM(MID($D496,FIND("｜",$D496)+1,99)),"")))</f>
        <v/>
      </c>
      <c r="G496" s="39"/>
      <c r="H496" s="25"/>
      <c r="I496" s="35" t="str">
        <f aca="false">IF($H496="","",IFERROR(INDEX(票据归类表,MATCH($H496,票据类型表,0)),"现金无票"))</f>
        <v/>
      </c>
      <c r="J496" s="25"/>
      <c r="K496" s="25"/>
      <c r="L496" s="31"/>
      <c r="M496" s="29" t="str">
        <f aca="false">IF($C496="","",YEAR($C496))</f>
        <v/>
      </c>
      <c r="N496" s="24"/>
      <c r="O496" s="35" t="str">
        <f aca="false">IF($C496="","",IF($D496="","★没选客户项目",IF(COUNTIF(合同键,$D496)=0,"★《维保合同》里没这个项目",IF(N($G496)&lt;=0,"★收款金额要填",IF($H496="","★票据类型要选",IF(AND($L496&lt;&gt;"",COUNTIF(应收单号,$L496)=0),"★关联的应收单号不存在",IF(AND($L496&lt;&gt;"",IFERROR(INDEX(应收键,MATCH($L496,应收单号,0)),"")&lt;&gt;$D496),"★关联单号不是这个客户的",IF(AND($L496&lt;&gt;"",ROUND(SUMIF(收款关联,$L496,收款金额)-IFERROR(INDEX(应收金额,MATCH($L496,应收单号,0)),0),2)&gt;0.001),"★指定冲销超过那张单的应收","OK"))))))))</f>
        <v/>
      </c>
    </row>
    <row r="497" customFormat="false" ht="15" hidden="false" customHeight="false" outlineLevel="0" collapsed="false">
      <c r="A497" s="29" t="str">
        <f aca="false">IF($C497="","",ROW()-4)</f>
        <v/>
      </c>
      <c r="B497" s="35" t="str">
        <f aca="false">IF($C497="","","SK"&amp;TEXT($C497,"yyyymm")&amp;"-"&amp;TEXT(ROW()-4,"0000"))</f>
        <v/>
      </c>
      <c r="C497" s="33"/>
      <c r="D497" s="24"/>
      <c r="E497" s="30" t="str">
        <f aca="false">IF($D497="","",IFERROR(INDEX(合同单位,MATCH($D497,合同键,0)),IFERROR(TRIM(LEFT($D497,FIND("｜",$D497)-1)),$D497)))</f>
        <v/>
      </c>
      <c r="F497" s="30" t="str">
        <f aca="false">IF($D497="","",IFERROR(INDEX(合同项目,MATCH($D497,合同键,0)),IFERROR(TRIM(MID($D497,FIND("｜",$D497)+1,99)),"")))</f>
        <v/>
      </c>
      <c r="G497" s="39"/>
      <c r="H497" s="25"/>
      <c r="I497" s="35" t="str">
        <f aca="false">IF($H497="","",IFERROR(INDEX(票据归类表,MATCH($H497,票据类型表,0)),"现金无票"))</f>
        <v/>
      </c>
      <c r="J497" s="25"/>
      <c r="K497" s="25"/>
      <c r="L497" s="31"/>
      <c r="M497" s="29" t="str">
        <f aca="false">IF($C497="","",YEAR($C497))</f>
        <v/>
      </c>
      <c r="N497" s="24"/>
      <c r="O497" s="35" t="str">
        <f aca="false">IF($C497="","",IF($D497="","★没选客户项目",IF(COUNTIF(合同键,$D497)=0,"★《维保合同》里没这个项目",IF(N($G497)&lt;=0,"★收款金额要填",IF($H497="","★票据类型要选",IF(AND($L497&lt;&gt;"",COUNTIF(应收单号,$L497)=0),"★关联的应收单号不存在",IF(AND($L497&lt;&gt;"",IFERROR(INDEX(应收键,MATCH($L497,应收单号,0)),"")&lt;&gt;$D497),"★关联单号不是这个客户的",IF(AND($L497&lt;&gt;"",ROUND(SUMIF(收款关联,$L497,收款金额)-IFERROR(INDEX(应收金额,MATCH($L497,应收单号,0)),0),2)&gt;0.001),"★指定冲销超过那张单的应收","OK"))))))))</f>
        <v/>
      </c>
    </row>
    <row r="498" customFormat="false" ht="15" hidden="false" customHeight="false" outlineLevel="0" collapsed="false">
      <c r="A498" s="29" t="str">
        <f aca="false">IF($C498="","",ROW()-4)</f>
        <v/>
      </c>
      <c r="B498" s="35" t="str">
        <f aca="false">IF($C498="","","SK"&amp;TEXT($C498,"yyyymm")&amp;"-"&amp;TEXT(ROW()-4,"0000"))</f>
        <v/>
      </c>
      <c r="C498" s="33"/>
      <c r="D498" s="24"/>
      <c r="E498" s="30" t="str">
        <f aca="false">IF($D498="","",IFERROR(INDEX(合同单位,MATCH($D498,合同键,0)),IFERROR(TRIM(LEFT($D498,FIND("｜",$D498)-1)),$D498)))</f>
        <v/>
      </c>
      <c r="F498" s="30" t="str">
        <f aca="false">IF($D498="","",IFERROR(INDEX(合同项目,MATCH($D498,合同键,0)),IFERROR(TRIM(MID($D498,FIND("｜",$D498)+1,99)),"")))</f>
        <v/>
      </c>
      <c r="G498" s="39"/>
      <c r="H498" s="25"/>
      <c r="I498" s="35" t="str">
        <f aca="false">IF($H498="","",IFERROR(INDEX(票据归类表,MATCH($H498,票据类型表,0)),"现金无票"))</f>
        <v/>
      </c>
      <c r="J498" s="25"/>
      <c r="K498" s="25"/>
      <c r="L498" s="31"/>
      <c r="M498" s="29" t="str">
        <f aca="false">IF($C498="","",YEAR($C498))</f>
        <v/>
      </c>
      <c r="N498" s="24"/>
      <c r="O498" s="35" t="str">
        <f aca="false">IF($C498="","",IF($D498="","★没选客户项目",IF(COUNTIF(合同键,$D498)=0,"★《维保合同》里没这个项目",IF(N($G498)&lt;=0,"★收款金额要填",IF($H498="","★票据类型要选",IF(AND($L498&lt;&gt;"",COUNTIF(应收单号,$L498)=0),"★关联的应收单号不存在",IF(AND($L498&lt;&gt;"",IFERROR(INDEX(应收键,MATCH($L498,应收单号,0)),"")&lt;&gt;$D498),"★关联单号不是这个客户的",IF(AND($L498&lt;&gt;"",ROUND(SUMIF(收款关联,$L498,收款金额)-IFERROR(INDEX(应收金额,MATCH($L498,应收单号,0)),0),2)&gt;0.001),"★指定冲销超过那张单的应收","OK"))))))))</f>
        <v/>
      </c>
    </row>
    <row r="499" customFormat="false" ht="15" hidden="false" customHeight="false" outlineLevel="0" collapsed="false">
      <c r="A499" s="29" t="str">
        <f aca="false">IF($C499="","",ROW()-4)</f>
        <v/>
      </c>
      <c r="B499" s="35" t="str">
        <f aca="false">IF($C499="","","SK"&amp;TEXT($C499,"yyyymm")&amp;"-"&amp;TEXT(ROW()-4,"0000"))</f>
        <v/>
      </c>
      <c r="C499" s="33"/>
      <c r="D499" s="24"/>
      <c r="E499" s="30" t="str">
        <f aca="false">IF($D499="","",IFERROR(INDEX(合同单位,MATCH($D499,合同键,0)),IFERROR(TRIM(LEFT($D499,FIND("｜",$D499)-1)),$D499)))</f>
        <v/>
      </c>
      <c r="F499" s="30" t="str">
        <f aca="false">IF($D499="","",IFERROR(INDEX(合同项目,MATCH($D499,合同键,0)),IFERROR(TRIM(MID($D499,FIND("｜",$D499)+1,99)),"")))</f>
        <v/>
      </c>
      <c r="G499" s="39"/>
      <c r="H499" s="25"/>
      <c r="I499" s="35" t="str">
        <f aca="false">IF($H499="","",IFERROR(INDEX(票据归类表,MATCH($H499,票据类型表,0)),"现金无票"))</f>
        <v/>
      </c>
      <c r="J499" s="25"/>
      <c r="K499" s="25"/>
      <c r="L499" s="31"/>
      <c r="M499" s="29" t="str">
        <f aca="false">IF($C499="","",YEAR($C499))</f>
        <v/>
      </c>
      <c r="N499" s="24"/>
      <c r="O499" s="35" t="str">
        <f aca="false">IF($C499="","",IF($D499="","★没选客户项目",IF(COUNTIF(合同键,$D499)=0,"★《维保合同》里没这个项目",IF(N($G499)&lt;=0,"★收款金额要填",IF($H499="","★票据类型要选",IF(AND($L499&lt;&gt;"",COUNTIF(应收单号,$L499)=0),"★关联的应收单号不存在",IF(AND($L499&lt;&gt;"",IFERROR(INDEX(应收键,MATCH($L499,应收单号,0)),"")&lt;&gt;$D499),"★关联单号不是这个客户的",IF(AND($L499&lt;&gt;"",ROUND(SUMIF(收款关联,$L499,收款金额)-IFERROR(INDEX(应收金额,MATCH($L499,应收单号,0)),0),2)&gt;0.001),"★指定冲销超过那张单的应收","OK"))))))))</f>
        <v/>
      </c>
    </row>
    <row r="500" customFormat="false" ht="15" hidden="false" customHeight="false" outlineLevel="0" collapsed="false">
      <c r="A500" s="29" t="str">
        <f aca="false">IF($C500="","",ROW()-4)</f>
        <v/>
      </c>
      <c r="B500" s="35" t="str">
        <f aca="false">IF($C500="","","SK"&amp;TEXT($C500,"yyyymm")&amp;"-"&amp;TEXT(ROW()-4,"0000"))</f>
        <v/>
      </c>
      <c r="C500" s="33"/>
      <c r="D500" s="24"/>
      <c r="E500" s="30" t="str">
        <f aca="false">IF($D500="","",IFERROR(INDEX(合同单位,MATCH($D500,合同键,0)),IFERROR(TRIM(LEFT($D500,FIND("｜",$D500)-1)),$D500)))</f>
        <v/>
      </c>
      <c r="F500" s="30" t="str">
        <f aca="false">IF($D500="","",IFERROR(INDEX(合同项目,MATCH($D500,合同键,0)),IFERROR(TRIM(MID($D500,FIND("｜",$D500)+1,99)),"")))</f>
        <v/>
      </c>
      <c r="G500" s="39"/>
      <c r="H500" s="25"/>
      <c r="I500" s="35" t="str">
        <f aca="false">IF($H500="","",IFERROR(INDEX(票据归类表,MATCH($H500,票据类型表,0)),"现金无票"))</f>
        <v/>
      </c>
      <c r="J500" s="25"/>
      <c r="K500" s="25"/>
      <c r="L500" s="31"/>
      <c r="M500" s="29" t="str">
        <f aca="false">IF($C500="","",YEAR($C500))</f>
        <v/>
      </c>
      <c r="N500" s="24"/>
      <c r="O500" s="35" t="str">
        <f aca="false">IF($C500="","",IF($D500="","★没选客户项目",IF(COUNTIF(合同键,$D500)=0,"★《维保合同》里没这个项目",IF(N($G500)&lt;=0,"★收款金额要填",IF($H500="","★票据类型要选",IF(AND($L500&lt;&gt;"",COUNTIF(应收单号,$L500)=0),"★关联的应收单号不存在",IF(AND($L500&lt;&gt;"",IFERROR(INDEX(应收键,MATCH($L500,应收单号,0)),"")&lt;&gt;$D500),"★关联单号不是这个客户的",IF(AND($L500&lt;&gt;"",ROUND(SUMIF(收款关联,$L500,收款金额)-IFERROR(INDEX(应收金额,MATCH($L500,应收单号,0)),0),2)&gt;0.001),"★指定冲销超过那张单的应收","OK"))))))))</f>
        <v/>
      </c>
    </row>
    <row r="501" customFormat="false" ht="15" hidden="false" customHeight="false" outlineLevel="0" collapsed="false">
      <c r="A501" s="29" t="str">
        <f aca="false">IF($C501="","",ROW()-4)</f>
        <v/>
      </c>
      <c r="B501" s="35" t="str">
        <f aca="false">IF($C501="","","SK"&amp;TEXT($C501,"yyyymm")&amp;"-"&amp;TEXT(ROW()-4,"0000"))</f>
        <v/>
      </c>
      <c r="C501" s="33"/>
      <c r="D501" s="24"/>
      <c r="E501" s="30" t="str">
        <f aca="false">IF($D501="","",IFERROR(INDEX(合同单位,MATCH($D501,合同键,0)),IFERROR(TRIM(LEFT($D501,FIND("｜",$D501)-1)),$D501)))</f>
        <v/>
      </c>
      <c r="F501" s="30" t="str">
        <f aca="false">IF($D501="","",IFERROR(INDEX(合同项目,MATCH($D501,合同键,0)),IFERROR(TRIM(MID($D501,FIND("｜",$D501)+1,99)),"")))</f>
        <v/>
      </c>
      <c r="G501" s="39"/>
      <c r="H501" s="25"/>
      <c r="I501" s="35" t="str">
        <f aca="false">IF($H501="","",IFERROR(INDEX(票据归类表,MATCH($H501,票据类型表,0)),"现金无票"))</f>
        <v/>
      </c>
      <c r="J501" s="25"/>
      <c r="K501" s="25"/>
      <c r="L501" s="31"/>
      <c r="M501" s="29" t="str">
        <f aca="false">IF($C501="","",YEAR($C501))</f>
        <v/>
      </c>
      <c r="N501" s="24"/>
      <c r="O501" s="35" t="str">
        <f aca="false">IF($C501="","",IF($D501="","★没选客户项目",IF(COUNTIF(合同键,$D501)=0,"★《维保合同》里没这个项目",IF(N($G501)&lt;=0,"★收款金额要填",IF($H501="","★票据类型要选",IF(AND($L501&lt;&gt;"",COUNTIF(应收单号,$L501)=0),"★关联的应收单号不存在",IF(AND($L501&lt;&gt;"",IFERROR(INDEX(应收键,MATCH($L501,应收单号,0)),"")&lt;&gt;$D501),"★关联单号不是这个客户的",IF(AND($L501&lt;&gt;"",ROUND(SUMIF(收款关联,$L501,收款金额)-IFERROR(INDEX(应收金额,MATCH($L501,应收单号,0)),0),2)&gt;0.001),"★指定冲销超过那张单的应收","OK"))))))))</f>
        <v/>
      </c>
    </row>
    <row r="502" customFormat="false" ht="15" hidden="false" customHeight="false" outlineLevel="0" collapsed="false">
      <c r="A502" s="29" t="str">
        <f aca="false">IF($C502="","",ROW()-4)</f>
        <v/>
      </c>
      <c r="B502" s="35" t="str">
        <f aca="false">IF($C502="","","SK"&amp;TEXT($C502,"yyyymm")&amp;"-"&amp;TEXT(ROW()-4,"0000"))</f>
        <v/>
      </c>
      <c r="C502" s="33"/>
      <c r="D502" s="24"/>
      <c r="E502" s="30" t="str">
        <f aca="false">IF($D502="","",IFERROR(INDEX(合同单位,MATCH($D502,合同键,0)),IFERROR(TRIM(LEFT($D502,FIND("｜",$D502)-1)),$D502)))</f>
        <v/>
      </c>
      <c r="F502" s="30" t="str">
        <f aca="false">IF($D502="","",IFERROR(INDEX(合同项目,MATCH($D502,合同键,0)),IFERROR(TRIM(MID($D502,FIND("｜",$D502)+1,99)),"")))</f>
        <v/>
      </c>
      <c r="G502" s="39"/>
      <c r="H502" s="25"/>
      <c r="I502" s="35" t="str">
        <f aca="false">IF($H502="","",IFERROR(INDEX(票据归类表,MATCH($H502,票据类型表,0)),"现金无票"))</f>
        <v/>
      </c>
      <c r="J502" s="25"/>
      <c r="K502" s="25"/>
      <c r="L502" s="31"/>
      <c r="M502" s="29" t="str">
        <f aca="false">IF($C502="","",YEAR($C502))</f>
        <v/>
      </c>
      <c r="N502" s="24"/>
      <c r="O502" s="35" t="str">
        <f aca="false">IF($C502="","",IF($D502="","★没选客户项目",IF(COUNTIF(合同键,$D502)=0,"★《维保合同》里没这个项目",IF(N($G502)&lt;=0,"★收款金额要填",IF($H502="","★票据类型要选",IF(AND($L502&lt;&gt;"",COUNTIF(应收单号,$L502)=0),"★关联的应收单号不存在",IF(AND($L502&lt;&gt;"",IFERROR(INDEX(应收键,MATCH($L502,应收单号,0)),"")&lt;&gt;$D502),"★关联单号不是这个客户的",IF(AND($L502&lt;&gt;"",ROUND(SUMIF(收款关联,$L502,收款金额)-IFERROR(INDEX(应收金额,MATCH($L502,应收单号,0)),0),2)&gt;0.001),"★指定冲销超过那张单的应收","OK"))))))))</f>
        <v/>
      </c>
    </row>
    <row r="503" customFormat="false" ht="15" hidden="false" customHeight="false" outlineLevel="0" collapsed="false">
      <c r="A503" s="29" t="str">
        <f aca="false">IF($C503="","",ROW()-4)</f>
        <v/>
      </c>
      <c r="B503" s="35" t="str">
        <f aca="false">IF($C503="","","SK"&amp;TEXT($C503,"yyyymm")&amp;"-"&amp;TEXT(ROW()-4,"0000"))</f>
        <v/>
      </c>
      <c r="C503" s="33"/>
      <c r="D503" s="24"/>
      <c r="E503" s="30" t="str">
        <f aca="false">IF($D503="","",IFERROR(INDEX(合同单位,MATCH($D503,合同键,0)),IFERROR(TRIM(LEFT($D503,FIND("｜",$D503)-1)),$D503)))</f>
        <v/>
      </c>
      <c r="F503" s="30" t="str">
        <f aca="false">IF($D503="","",IFERROR(INDEX(合同项目,MATCH($D503,合同键,0)),IFERROR(TRIM(MID($D503,FIND("｜",$D503)+1,99)),"")))</f>
        <v/>
      </c>
      <c r="G503" s="39"/>
      <c r="H503" s="25"/>
      <c r="I503" s="35" t="str">
        <f aca="false">IF($H503="","",IFERROR(INDEX(票据归类表,MATCH($H503,票据类型表,0)),"现金无票"))</f>
        <v/>
      </c>
      <c r="J503" s="25"/>
      <c r="K503" s="25"/>
      <c r="L503" s="31"/>
      <c r="M503" s="29" t="str">
        <f aca="false">IF($C503="","",YEAR($C503))</f>
        <v/>
      </c>
      <c r="N503" s="24"/>
      <c r="O503" s="35" t="str">
        <f aca="false">IF($C503="","",IF($D503="","★没选客户项目",IF(COUNTIF(合同键,$D503)=0,"★《维保合同》里没这个项目",IF(N($G503)&lt;=0,"★收款金额要填",IF($H503="","★票据类型要选",IF(AND($L503&lt;&gt;"",COUNTIF(应收单号,$L503)=0),"★关联的应收单号不存在",IF(AND($L503&lt;&gt;"",IFERROR(INDEX(应收键,MATCH($L503,应收单号,0)),"")&lt;&gt;$D503),"★关联单号不是这个客户的",IF(AND($L503&lt;&gt;"",ROUND(SUMIF(收款关联,$L503,收款金额)-IFERROR(INDEX(应收金额,MATCH($L503,应收单号,0)),0),2)&gt;0.001),"★指定冲销超过那张单的应收","OK"))))))))</f>
        <v/>
      </c>
    </row>
    <row r="504" customFormat="false" ht="15" hidden="false" customHeight="false" outlineLevel="0" collapsed="false">
      <c r="A504" s="29" t="str">
        <f aca="false">IF($C504="","",ROW()-4)</f>
        <v/>
      </c>
      <c r="B504" s="35" t="str">
        <f aca="false">IF($C504="","","SK"&amp;TEXT($C504,"yyyymm")&amp;"-"&amp;TEXT(ROW()-4,"0000"))</f>
        <v/>
      </c>
      <c r="C504" s="33"/>
      <c r="D504" s="24"/>
      <c r="E504" s="30" t="str">
        <f aca="false">IF($D504="","",IFERROR(INDEX(合同单位,MATCH($D504,合同键,0)),IFERROR(TRIM(LEFT($D504,FIND("｜",$D504)-1)),$D504)))</f>
        <v/>
      </c>
      <c r="F504" s="30" t="str">
        <f aca="false">IF($D504="","",IFERROR(INDEX(合同项目,MATCH($D504,合同键,0)),IFERROR(TRIM(MID($D504,FIND("｜",$D504)+1,99)),"")))</f>
        <v/>
      </c>
      <c r="G504" s="39"/>
      <c r="H504" s="25"/>
      <c r="I504" s="35" t="str">
        <f aca="false">IF($H504="","",IFERROR(INDEX(票据归类表,MATCH($H504,票据类型表,0)),"现金无票"))</f>
        <v/>
      </c>
      <c r="J504" s="25"/>
      <c r="K504" s="25"/>
      <c r="L504" s="31"/>
      <c r="M504" s="29" t="str">
        <f aca="false">IF($C504="","",YEAR($C504))</f>
        <v/>
      </c>
      <c r="N504" s="24"/>
      <c r="O504" s="35" t="str">
        <f aca="false">IF($C504="","",IF($D504="","★没选客户项目",IF(COUNTIF(合同键,$D504)=0,"★《维保合同》里没这个项目",IF(N($G504)&lt;=0,"★收款金额要填",IF($H504="","★票据类型要选",IF(AND($L504&lt;&gt;"",COUNTIF(应收单号,$L504)=0),"★关联的应收单号不存在",IF(AND($L504&lt;&gt;"",IFERROR(INDEX(应收键,MATCH($L504,应收单号,0)),"")&lt;&gt;$D504),"★关联单号不是这个客户的",IF(AND($L504&lt;&gt;"",ROUND(SUMIF(收款关联,$L504,收款金额)-IFERROR(INDEX(应收金额,MATCH($L504,应收单号,0)),0),2)&gt;0.001),"★指定冲销超过那张单的应收","OK"))))))))</f>
        <v/>
      </c>
    </row>
    <row r="505" customFormat="false" ht="15" hidden="false" customHeight="false" outlineLevel="0" collapsed="false">
      <c r="A505" s="29" t="str">
        <f aca="false">IF($C505="","",ROW()-4)</f>
        <v/>
      </c>
      <c r="B505" s="35" t="str">
        <f aca="false">IF($C505="","","SK"&amp;TEXT($C505,"yyyymm")&amp;"-"&amp;TEXT(ROW()-4,"0000"))</f>
        <v/>
      </c>
      <c r="C505" s="33"/>
      <c r="D505" s="24"/>
      <c r="E505" s="30" t="str">
        <f aca="false">IF($D505="","",IFERROR(INDEX(合同单位,MATCH($D505,合同键,0)),IFERROR(TRIM(LEFT($D505,FIND("｜",$D505)-1)),$D505)))</f>
        <v/>
      </c>
      <c r="F505" s="30" t="str">
        <f aca="false">IF($D505="","",IFERROR(INDEX(合同项目,MATCH($D505,合同键,0)),IFERROR(TRIM(MID($D505,FIND("｜",$D505)+1,99)),"")))</f>
        <v/>
      </c>
      <c r="G505" s="39"/>
      <c r="H505" s="25"/>
      <c r="I505" s="35" t="str">
        <f aca="false">IF($H505="","",IFERROR(INDEX(票据归类表,MATCH($H505,票据类型表,0)),"现金无票"))</f>
        <v/>
      </c>
      <c r="J505" s="25"/>
      <c r="K505" s="25"/>
      <c r="L505" s="31"/>
      <c r="M505" s="29" t="str">
        <f aca="false">IF($C505="","",YEAR($C505))</f>
        <v/>
      </c>
      <c r="N505" s="24"/>
      <c r="O505" s="35" t="str">
        <f aca="false">IF($C505="","",IF($D505="","★没选客户项目",IF(COUNTIF(合同键,$D505)=0,"★《维保合同》里没这个项目",IF(N($G505)&lt;=0,"★收款金额要填",IF($H505="","★票据类型要选",IF(AND($L505&lt;&gt;"",COUNTIF(应收单号,$L505)=0),"★关联的应收单号不存在",IF(AND($L505&lt;&gt;"",IFERROR(INDEX(应收键,MATCH($L505,应收单号,0)),"")&lt;&gt;$D505),"★关联单号不是这个客户的",IF(AND($L505&lt;&gt;"",ROUND(SUMIF(收款关联,$L505,收款金额)-IFERROR(INDEX(应收金额,MATCH($L505,应收单号,0)),0),2)&gt;0.001),"★指定冲销超过那张单的应收","OK"))))))))</f>
        <v/>
      </c>
    </row>
    <row r="506" customFormat="false" ht="15" hidden="false" customHeight="false" outlineLevel="0" collapsed="false">
      <c r="A506" s="29" t="str">
        <f aca="false">IF($C506="","",ROW()-4)</f>
        <v/>
      </c>
      <c r="B506" s="35" t="str">
        <f aca="false">IF($C506="","","SK"&amp;TEXT($C506,"yyyymm")&amp;"-"&amp;TEXT(ROW()-4,"0000"))</f>
        <v/>
      </c>
      <c r="C506" s="33"/>
      <c r="D506" s="24"/>
      <c r="E506" s="30" t="str">
        <f aca="false">IF($D506="","",IFERROR(INDEX(合同单位,MATCH($D506,合同键,0)),IFERROR(TRIM(LEFT($D506,FIND("｜",$D506)-1)),$D506)))</f>
        <v/>
      </c>
      <c r="F506" s="30" t="str">
        <f aca="false">IF($D506="","",IFERROR(INDEX(合同项目,MATCH($D506,合同键,0)),IFERROR(TRIM(MID($D506,FIND("｜",$D506)+1,99)),"")))</f>
        <v/>
      </c>
      <c r="G506" s="39"/>
      <c r="H506" s="25"/>
      <c r="I506" s="35" t="str">
        <f aca="false">IF($H506="","",IFERROR(INDEX(票据归类表,MATCH($H506,票据类型表,0)),"现金无票"))</f>
        <v/>
      </c>
      <c r="J506" s="25"/>
      <c r="K506" s="25"/>
      <c r="L506" s="31"/>
      <c r="M506" s="29" t="str">
        <f aca="false">IF($C506="","",YEAR($C506))</f>
        <v/>
      </c>
      <c r="N506" s="24"/>
      <c r="O506" s="35" t="str">
        <f aca="false">IF($C506="","",IF($D506="","★没选客户项目",IF(COUNTIF(合同键,$D506)=0,"★《维保合同》里没这个项目",IF(N($G506)&lt;=0,"★收款金额要填",IF($H506="","★票据类型要选",IF(AND($L506&lt;&gt;"",COUNTIF(应收单号,$L506)=0),"★关联的应收单号不存在",IF(AND($L506&lt;&gt;"",IFERROR(INDEX(应收键,MATCH($L506,应收单号,0)),"")&lt;&gt;$D506),"★关联单号不是这个客户的",IF(AND($L506&lt;&gt;"",ROUND(SUMIF(收款关联,$L506,收款金额)-IFERROR(INDEX(应收金额,MATCH($L506,应收单号,0)),0),2)&gt;0.001),"★指定冲销超过那张单的应收","OK"))))))))</f>
        <v/>
      </c>
    </row>
    <row r="507" customFormat="false" ht="15" hidden="false" customHeight="false" outlineLevel="0" collapsed="false">
      <c r="A507" s="29" t="str">
        <f aca="false">IF($C507="","",ROW()-4)</f>
        <v/>
      </c>
      <c r="B507" s="35" t="str">
        <f aca="false">IF($C507="","","SK"&amp;TEXT($C507,"yyyymm")&amp;"-"&amp;TEXT(ROW()-4,"0000"))</f>
        <v/>
      </c>
      <c r="C507" s="33"/>
      <c r="D507" s="24"/>
      <c r="E507" s="30" t="str">
        <f aca="false">IF($D507="","",IFERROR(INDEX(合同单位,MATCH($D507,合同键,0)),IFERROR(TRIM(LEFT($D507,FIND("｜",$D507)-1)),$D507)))</f>
        <v/>
      </c>
      <c r="F507" s="30" t="str">
        <f aca="false">IF($D507="","",IFERROR(INDEX(合同项目,MATCH($D507,合同键,0)),IFERROR(TRIM(MID($D507,FIND("｜",$D507)+1,99)),"")))</f>
        <v/>
      </c>
      <c r="G507" s="39"/>
      <c r="H507" s="25"/>
      <c r="I507" s="35" t="str">
        <f aca="false">IF($H507="","",IFERROR(INDEX(票据归类表,MATCH($H507,票据类型表,0)),"现金无票"))</f>
        <v/>
      </c>
      <c r="J507" s="25"/>
      <c r="K507" s="25"/>
      <c r="L507" s="31"/>
      <c r="M507" s="29" t="str">
        <f aca="false">IF($C507="","",YEAR($C507))</f>
        <v/>
      </c>
      <c r="N507" s="24"/>
      <c r="O507" s="35" t="str">
        <f aca="false">IF($C507="","",IF($D507="","★没选客户项目",IF(COUNTIF(合同键,$D507)=0,"★《维保合同》里没这个项目",IF(N($G507)&lt;=0,"★收款金额要填",IF($H507="","★票据类型要选",IF(AND($L507&lt;&gt;"",COUNTIF(应收单号,$L507)=0),"★关联的应收单号不存在",IF(AND($L507&lt;&gt;"",IFERROR(INDEX(应收键,MATCH($L507,应收单号,0)),"")&lt;&gt;$D507),"★关联单号不是这个客户的",IF(AND($L507&lt;&gt;"",ROUND(SUMIF(收款关联,$L507,收款金额)-IFERROR(INDEX(应收金额,MATCH($L507,应收单号,0)),0),2)&gt;0.001),"★指定冲销超过那张单的应收","OK"))))))))</f>
        <v/>
      </c>
    </row>
    <row r="508" customFormat="false" ht="15" hidden="false" customHeight="false" outlineLevel="0" collapsed="false">
      <c r="A508" s="29" t="str">
        <f aca="false">IF($C508="","",ROW()-4)</f>
        <v/>
      </c>
      <c r="B508" s="35" t="str">
        <f aca="false">IF($C508="","","SK"&amp;TEXT($C508,"yyyymm")&amp;"-"&amp;TEXT(ROW()-4,"0000"))</f>
        <v/>
      </c>
      <c r="C508" s="33"/>
      <c r="D508" s="24"/>
      <c r="E508" s="30" t="str">
        <f aca="false">IF($D508="","",IFERROR(INDEX(合同单位,MATCH($D508,合同键,0)),IFERROR(TRIM(LEFT($D508,FIND("｜",$D508)-1)),$D508)))</f>
        <v/>
      </c>
      <c r="F508" s="30" t="str">
        <f aca="false">IF($D508="","",IFERROR(INDEX(合同项目,MATCH($D508,合同键,0)),IFERROR(TRIM(MID($D508,FIND("｜",$D508)+1,99)),"")))</f>
        <v/>
      </c>
      <c r="G508" s="39"/>
      <c r="H508" s="25"/>
      <c r="I508" s="35" t="str">
        <f aca="false">IF($H508="","",IFERROR(INDEX(票据归类表,MATCH($H508,票据类型表,0)),"现金无票"))</f>
        <v/>
      </c>
      <c r="J508" s="25"/>
      <c r="K508" s="25"/>
      <c r="L508" s="31"/>
      <c r="M508" s="29" t="str">
        <f aca="false">IF($C508="","",YEAR($C508))</f>
        <v/>
      </c>
      <c r="N508" s="24"/>
      <c r="O508" s="35" t="str">
        <f aca="false">IF($C508="","",IF($D508="","★没选客户项目",IF(COUNTIF(合同键,$D508)=0,"★《维保合同》里没这个项目",IF(N($G508)&lt;=0,"★收款金额要填",IF($H508="","★票据类型要选",IF(AND($L508&lt;&gt;"",COUNTIF(应收单号,$L508)=0),"★关联的应收单号不存在",IF(AND($L508&lt;&gt;"",IFERROR(INDEX(应收键,MATCH($L508,应收单号,0)),"")&lt;&gt;$D508),"★关联单号不是这个客户的",IF(AND($L508&lt;&gt;"",ROUND(SUMIF(收款关联,$L508,收款金额)-IFERROR(INDEX(应收金额,MATCH($L508,应收单号,0)),0),2)&gt;0.001),"★指定冲销超过那张单的应收","OK"))))))))</f>
        <v/>
      </c>
    </row>
    <row r="509" customFormat="false" ht="15" hidden="false" customHeight="false" outlineLevel="0" collapsed="false">
      <c r="A509" s="29" t="str">
        <f aca="false">IF($C509="","",ROW()-4)</f>
        <v/>
      </c>
      <c r="B509" s="35" t="str">
        <f aca="false">IF($C509="","","SK"&amp;TEXT($C509,"yyyymm")&amp;"-"&amp;TEXT(ROW()-4,"0000"))</f>
        <v/>
      </c>
      <c r="C509" s="33"/>
      <c r="D509" s="24"/>
      <c r="E509" s="30" t="str">
        <f aca="false">IF($D509="","",IFERROR(INDEX(合同单位,MATCH($D509,合同键,0)),IFERROR(TRIM(LEFT($D509,FIND("｜",$D509)-1)),$D509)))</f>
        <v/>
      </c>
      <c r="F509" s="30" t="str">
        <f aca="false">IF($D509="","",IFERROR(INDEX(合同项目,MATCH($D509,合同键,0)),IFERROR(TRIM(MID($D509,FIND("｜",$D509)+1,99)),"")))</f>
        <v/>
      </c>
      <c r="G509" s="39"/>
      <c r="H509" s="25"/>
      <c r="I509" s="35" t="str">
        <f aca="false">IF($H509="","",IFERROR(INDEX(票据归类表,MATCH($H509,票据类型表,0)),"现金无票"))</f>
        <v/>
      </c>
      <c r="J509" s="25"/>
      <c r="K509" s="25"/>
      <c r="L509" s="31"/>
      <c r="M509" s="29" t="str">
        <f aca="false">IF($C509="","",YEAR($C509))</f>
        <v/>
      </c>
      <c r="N509" s="24"/>
      <c r="O509" s="35" t="str">
        <f aca="false">IF($C509="","",IF($D509="","★没选客户项目",IF(COUNTIF(合同键,$D509)=0,"★《维保合同》里没这个项目",IF(N($G509)&lt;=0,"★收款金额要填",IF($H509="","★票据类型要选",IF(AND($L509&lt;&gt;"",COUNTIF(应收单号,$L509)=0),"★关联的应收单号不存在",IF(AND($L509&lt;&gt;"",IFERROR(INDEX(应收键,MATCH($L509,应收单号,0)),"")&lt;&gt;$D509),"★关联单号不是这个客户的",IF(AND($L509&lt;&gt;"",ROUND(SUMIF(收款关联,$L509,收款金额)-IFERROR(INDEX(应收金额,MATCH($L509,应收单号,0)),0),2)&gt;0.001),"★指定冲销超过那张单的应收","OK"))))))))</f>
        <v/>
      </c>
    </row>
    <row r="510" customFormat="false" ht="15" hidden="false" customHeight="false" outlineLevel="0" collapsed="false">
      <c r="A510" s="29" t="str">
        <f aca="false">IF($C510="","",ROW()-4)</f>
        <v/>
      </c>
      <c r="B510" s="35" t="str">
        <f aca="false">IF($C510="","","SK"&amp;TEXT($C510,"yyyymm")&amp;"-"&amp;TEXT(ROW()-4,"0000"))</f>
        <v/>
      </c>
      <c r="C510" s="33"/>
      <c r="D510" s="24"/>
      <c r="E510" s="30" t="str">
        <f aca="false">IF($D510="","",IFERROR(INDEX(合同单位,MATCH($D510,合同键,0)),IFERROR(TRIM(LEFT($D510,FIND("｜",$D510)-1)),$D510)))</f>
        <v/>
      </c>
      <c r="F510" s="30" t="str">
        <f aca="false">IF($D510="","",IFERROR(INDEX(合同项目,MATCH($D510,合同键,0)),IFERROR(TRIM(MID($D510,FIND("｜",$D510)+1,99)),"")))</f>
        <v/>
      </c>
      <c r="G510" s="39"/>
      <c r="H510" s="25"/>
      <c r="I510" s="35" t="str">
        <f aca="false">IF($H510="","",IFERROR(INDEX(票据归类表,MATCH($H510,票据类型表,0)),"现金无票"))</f>
        <v/>
      </c>
      <c r="J510" s="25"/>
      <c r="K510" s="25"/>
      <c r="L510" s="31"/>
      <c r="M510" s="29" t="str">
        <f aca="false">IF($C510="","",YEAR($C510))</f>
        <v/>
      </c>
      <c r="N510" s="24"/>
      <c r="O510" s="35" t="str">
        <f aca="false">IF($C510="","",IF($D510="","★没选客户项目",IF(COUNTIF(合同键,$D510)=0,"★《维保合同》里没这个项目",IF(N($G510)&lt;=0,"★收款金额要填",IF($H510="","★票据类型要选",IF(AND($L510&lt;&gt;"",COUNTIF(应收单号,$L510)=0),"★关联的应收单号不存在",IF(AND($L510&lt;&gt;"",IFERROR(INDEX(应收键,MATCH($L510,应收单号,0)),"")&lt;&gt;$D510),"★关联单号不是这个客户的",IF(AND($L510&lt;&gt;"",ROUND(SUMIF(收款关联,$L510,收款金额)-IFERROR(INDEX(应收金额,MATCH($L510,应收单号,0)),0),2)&gt;0.001),"★指定冲销超过那张单的应收","OK"))))))))</f>
        <v/>
      </c>
    </row>
    <row r="511" customFormat="false" ht="15" hidden="false" customHeight="false" outlineLevel="0" collapsed="false">
      <c r="A511" s="29" t="str">
        <f aca="false">IF($C511="","",ROW()-4)</f>
        <v/>
      </c>
      <c r="B511" s="35" t="str">
        <f aca="false">IF($C511="","","SK"&amp;TEXT($C511,"yyyymm")&amp;"-"&amp;TEXT(ROW()-4,"0000"))</f>
        <v/>
      </c>
      <c r="C511" s="33"/>
      <c r="D511" s="24"/>
      <c r="E511" s="30" t="str">
        <f aca="false">IF($D511="","",IFERROR(INDEX(合同单位,MATCH($D511,合同键,0)),IFERROR(TRIM(LEFT($D511,FIND("｜",$D511)-1)),$D511)))</f>
        <v/>
      </c>
      <c r="F511" s="30" t="str">
        <f aca="false">IF($D511="","",IFERROR(INDEX(合同项目,MATCH($D511,合同键,0)),IFERROR(TRIM(MID($D511,FIND("｜",$D511)+1,99)),"")))</f>
        <v/>
      </c>
      <c r="G511" s="39"/>
      <c r="H511" s="25"/>
      <c r="I511" s="35" t="str">
        <f aca="false">IF($H511="","",IFERROR(INDEX(票据归类表,MATCH($H511,票据类型表,0)),"现金无票"))</f>
        <v/>
      </c>
      <c r="J511" s="25"/>
      <c r="K511" s="25"/>
      <c r="L511" s="31"/>
      <c r="M511" s="29" t="str">
        <f aca="false">IF($C511="","",YEAR($C511))</f>
        <v/>
      </c>
      <c r="N511" s="24"/>
      <c r="O511" s="35" t="str">
        <f aca="false">IF($C511="","",IF($D511="","★没选客户项目",IF(COUNTIF(合同键,$D511)=0,"★《维保合同》里没这个项目",IF(N($G511)&lt;=0,"★收款金额要填",IF($H511="","★票据类型要选",IF(AND($L511&lt;&gt;"",COUNTIF(应收单号,$L511)=0),"★关联的应收单号不存在",IF(AND($L511&lt;&gt;"",IFERROR(INDEX(应收键,MATCH($L511,应收单号,0)),"")&lt;&gt;$D511),"★关联单号不是这个客户的",IF(AND($L511&lt;&gt;"",ROUND(SUMIF(收款关联,$L511,收款金额)-IFERROR(INDEX(应收金额,MATCH($L511,应收单号,0)),0),2)&gt;0.001),"★指定冲销超过那张单的应收","OK"))))))))</f>
        <v/>
      </c>
    </row>
    <row r="512" customFormat="false" ht="15" hidden="false" customHeight="false" outlineLevel="0" collapsed="false">
      <c r="A512" s="29" t="str">
        <f aca="false">IF($C512="","",ROW()-4)</f>
        <v/>
      </c>
      <c r="B512" s="35" t="str">
        <f aca="false">IF($C512="","","SK"&amp;TEXT($C512,"yyyymm")&amp;"-"&amp;TEXT(ROW()-4,"0000"))</f>
        <v/>
      </c>
      <c r="C512" s="33"/>
      <c r="D512" s="24"/>
      <c r="E512" s="30" t="str">
        <f aca="false">IF($D512="","",IFERROR(INDEX(合同单位,MATCH($D512,合同键,0)),IFERROR(TRIM(LEFT($D512,FIND("｜",$D512)-1)),$D512)))</f>
        <v/>
      </c>
      <c r="F512" s="30" t="str">
        <f aca="false">IF($D512="","",IFERROR(INDEX(合同项目,MATCH($D512,合同键,0)),IFERROR(TRIM(MID($D512,FIND("｜",$D512)+1,99)),"")))</f>
        <v/>
      </c>
      <c r="G512" s="39"/>
      <c r="H512" s="25"/>
      <c r="I512" s="35" t="str">
        <f aca="false">IF($H512="","",IFERROR(INDEX(票据归类表,MATCH($H512,票据类型表,0)),"现金无票"))</f>
        <v/>
      </c>
      <c r="J512" s="25"/>
      <c r="K512" s="25"/>
      <c r="L512" s="31"/>
      <c r="M512" s="29" t="str">
        <f aca="false">IF($C512="","",YEAR($C512))</f>
        <v/>
      </c>
      <c r="N512" s="24"/>
      <c r="O512" s="35" t="str">
        <f aca="false">IF($C512="","",IF($D512="","★没选客户项目",IF(COUNTIF(合同键,$D512)=0,"★《维保合同》里没这个项目",IF(N($G512)&lt;=0,"★收款金额要填",IF($H512="","★票据类型要选",IF(AND($L512&lt;&gt;"",COUNTIF(应收单号,$L512)=0),"★关联的应收单号不存在",IF(AND($L512&lt;&gt;"",IFERROR(INDEX(应收键,MATCH($L512,应收单号,0)),"")&lt;&gt;$D512),"★关联单号不是这个客户的",IF(AND($L512&lt;&gt;"",ROUND(SUMIF(收款关联,$L512,收款金额)-IFERROR(INDEX(应收金额,MATCH($L512,应收单号,0)),0),2)&gt;0.001),"★指定冲销超过那张单的应收","OK"))))))))</f>
        <v/>
      </c>
    </row>
    <row r="513" customFormat="false" ht="15" hidden="false" customHeight="false" outlineLevel="0" collapsed="false">
      <c r="A513" s="29" t="str">
        <f aca="false">IF($C513="","",ROW()-4)</f>
        <v/>
      </c>
      <c r="B513" s="35" t="str">
        <f aca="false">IF($C513="","","SK"&amp;TEXT($C513,"yyyymm")&amp;"-"&amp;TEXT(ROW()-4,"0000"))</f>
        <v/>
      </c>
      <c r="C513" s="33"/>
      <c r="D513" s="24"/>
      <c r="E513" s="30" t="str">
        <f aca="false">IF($D513="","",IFERROR(INDEX(合同单位,MATCH($D513,合同键,0)),IFERROR(TRIM(LEFT($D513,FIND("｜",$D513)-1)),$D513)))</f>
        <v/>
      </c>
      <c r="F513" s="30" t="str">
        <f aca="false">IF($D513="","",IFERROR(INDEX(合同项目,MATCH($D513,合同键,0)),IFERROR(TRIM(MID($D513,FIND("｜",$D513)+1,99)),"")))</f>
        <v/>
      </c>
      <c r="G513" s="39"/>
      <c r="H513" s="25"/>
      <c r="I513" s="35" t="str">
        <f aca="false">IF($H513="","",IFERROR(INDEX(票据归类表,MATCH($H513,票据类型表,0)),"现金无票"))</f>
        <v/>
      </c>
      <c r="J513" s="25"/>
      <c r="K513" s="25"/>
      <c r="L513" s="31"/>
      <c r="M513" s="29" t="str">
        <f aca="false">IF($C513="","",YEAR($C513))</f>
        <v/>
      </c>
      <c r="N513" s="24"/>
      <c r="O513" s="35" t="str">
        <f aca="false">IF($C513="","",IF($D513="","★没选客户项目",IF(COUNTIF(合同键,$D513)=0,"★《维保合同》里没这个项目",IF(N($G513)&lt;=0,"★收款金额要填",IF($H513="","★票据类型要选",IF(AND($L513&lt;&gt;"",COUNTIF(应收单号,$L513)=0),"★关联的应收单号不存在",IF(AND($L513&lt;&gt;"",IFERROR(INDEX(应收键,MATCH($L513,应收单号,0)),"")&lt;&gt;$D513),"★关联单号不是这个客户的",IF(AND($L513&lt;&gt;"",ROUND(SUMIF(收款关联,$L513,收款金额)-IFERROR(INDEX(应收金额,MATCH($L513,应收单号,0)),0),2)&gt;0.001),"★指定冲销超过那张单的应收","OK"))))))))</f>
        <v/>
      </c>
    </row>
    <row r="514" customFormat="false" ht="15" hidden="false" customHeight="false" outlineLevel="0" collapsed="false">
      <c r="A514" s="29" t="str">
        <f aca="false">IF($C514="","",ROW()-4)</f>
        <v/>
      </c>
      <c r="B514" s="35" t="str">
        <f aca="false">IF($C514="","","SK"&amp;TEXT($C514,"yyyymm")&amp;"-"&amp;TEXT(ROW()-4,"0000"))</f>
        <v/>
      </c>
      <c r="C514" s="33"/>
      <c r="D514" s="24"/>
      <c r="E514" s="30" t="str">
        <f aca="false">IF($D514="","",IFERROR(INDEX(合同单位,MATCH($D514,合同键,0)),IFERROR(TRIM(LEFT($D514,FIND("｜",$D514)-1)),$D514)))</f>
        <v/>
      </c>
      <c r="F514" s="30" t="str">
        <f aca="false">IF($D514="","",IFERROR(INDEX(合同项目,MATCH($D514,合同键,0)),IFERROR(TRIM(MID($D514,FIND("｜",$D514)+1,99)),"")))</f>
        <v/>
      </c>
      <c r="G514" s="39"/>
      <c r="H514" s="25"/>
      <c r="I514" s="35" t="str">
        <f aca="false">IF($H514="","",IFERROR(INDEX(票据归类表,MATCH($H514,票据类型表,0)),"现金无票"))</f>
        <v/>
      </c>
      <c r="J514" s="25"/>
      <c r="K514" s="25"/>
      <c r="L514" s="31"/>
      <c r="M514" s="29" t="str">
        <f aca="false">IF($C514="","",YEAR($C514))</f>
        <v/>
      </c>
      <c r="N514" s="24"/>
      <c r="O514" s="35" t="str">
        <f aca="false">IF($C514="","",IF($D514="","★没选客户项目",IF(COUNTIF(合同键,$D514)=0,"★《维保合同》里没这个项目",IF(N($G514)&lt;=0,"★收款金额要填",IF($H514="","★票据类型要选",IF(AND($L514&lt;&gt;"",COUNTIF(应收单号,$L514)=0),"★关联的应收单号不存在",IF(AND($L514&lt;&gt;"",IFERROR(INDEX(应收键,MATCH($L514,应收单号,0)),"")&lt;&gt;$D514),"★关联单号不是这个客户的",IF(AND($L514&lt;&gt;"",ROUND(SUMIF(收款关联,$L514,收款金额)-IFERROR(INDEX(应收金额,MATCH($L514,应收单号,0)),0),2)&gt;0.001),"★指定冲销超过那张单的应收","OK"))))))))</f>
        <v/>
      </c>
    </row>
    <row r="515" customFormat="false" ht="15" hidden="false" customHeight="false" outlineLevel="0" collapsed="false">
      <c r="A515" s="29" t="str">
        <f aca="false">IF($C515="","",ROW()-4)</f>
        <v/>
      </c>
      <c r="B515" s="35" t="str">
        <f aca="false">IF($C515="","","SK"&amp;TEXT($C515,"yyyymm")&amp;"-"&amp;TEXT(ROW()-4,"0000"))</f>
        <v/>
      </c>
      <c r="C515" s="33"/>
      <c r="D515" s="24"/>
      <c r="E515" s="30" t="str">
        <f aca="false">IF($D515="","",IFERROR(INDEX(合同单位,MATCH($D515,合同键,0)),IFERROR(TRIM(LEFT($D515,FIND("｜",$D515)-1)),$D515)))</f>
        <v/>
      </c>
      <c r="F515" s="30" t="str">
        <f aca="false">IF($D515="","",IFERROR(INDEX(合同项目,MATCH($D515,合同键,0)),IFERROR(TRIM(MID($D515,FIND("｜",$D515)+1,99)),"")))</f>
        <v/>
      </c>
      <c r="G515" s="39"/>
      <c r="H515" s="25"/>
      <c r="I515" s="35" t="str">
        <f aca="false">IF($H515="","",IFERROR(INDEX(票据归类表,MATCH($H515,票据类型表,0)),"现金无票"))</f>
        <v/>
      </c>
      <c r="J515" s="25"/>
      <c r="K515" s="25"/>
      <c r="L515" s="31"/>
      <c r="M515" s="29" t="str">
        <f aca="false">IF($C515="","",YEAR($C515))</f>
        <v/>
      </c>
      <c r="N515" s="24"/>
      <c r="O515" s="35" t="str">
        <f aca="false">IF($C515="","",IF($D515="","★没选客户项目",IF(COUNTIF(合同键,$D515)=0,"★《维保合同》里没这个项目",IF(N($G515)&lt;=0,"★收款金额要填",IF($H515="","★票据类型要选",IF(AND($L515&lt;&gt;"",COUNTIF(应收单号,$L515)=0),"★关联的应收单号不存在",IF(AND($L515&lt;&gt;"",IFERROR(INDEX(应收键,MATCH($L515,应收单号,0)),"")&lt;&gt;$D515),"★关联单号不是这个客户的",IF(AND($L515&lt;&gt;"",ROUND(SUMIF(收款关联,$L515,收款金额)-IFERROR(INDEX(应收金额,MATCH($L515,应收单号,0)),0),2)&gt;0.001),"★指定冲销超过那张单的应收","OK"))))))))</f>
        <v/>
      </c>
    </row>
    <row r="516" customFormat="false" ht="15" hidden="false" customHeight="false" outlineLevel="0" collapsed="false">
      <c r="A516" s="29" t="str">
        <f aca="false">IF($C516="","",ROW()-4)</f>
        <v/>
      </c>
      <c r="B516" s="35" t="str">
        <f aca="false">IF($C516="","","SK"&amp;TEXT($C516,"yyyymm")&amp;"-"&amp;TEXT(ROW()-4,"0000"))</f>
        <v/>
      </c>
      <c r="C516" s="33"/>
      <c r="D516" s="24"/>
      <c r="E516" s="30" t="str">
        <f aca="false">IF($D516="","",IFERROR(INDEX(合同单位,MATCH($D516,合同键,0)),IFERROR(TRIM(LEFT($D516,FIND("｜",$D516)-1)),$D516)))</f>
        <v/>
      </c>
      <c r="F516" s="30" t="str">
        <f aca="false">IF($D516="","",IFERROR(INDEX(合同项目,MATCH($D516,合同键,0)),IFERROR(TRIM(MID($D516,FIND("｜",$D516)+1,99)),"")))</f>
        <v/>
      </c>
      <c r="G516" s="39"/>
      <c r="H516" s="25"/>
      <c r="I516" s="35" t="str">
        <f aca="false">IF($H516="","",IFERROR(INDEX(票据归类表,MATCH($H516,票据类型表,0)),"现金无票"))</f>
        <v/>
      </c>
      <c r="J516" s="25"/>
      <c r="K516" s="25"/>
      <c r="L516" s="31"/>
      <c r="M516" s="29" t="str">
        <f aca="false">IF($C516="","",YEAR($C516))</f>
        <v/>
      </c>
      <c r="N516" s="24"/>
      <c r="O516" s="35" t="str">
        <f aca="false">IF($C516="","",IF($D516="","★没选客户项目",IF(COUNTIF(合同键,$D516)=0,"★《维保合同》里没这个项目",IF(N($G516)&lt;=0,"★收款金额要填",IF($H516="","★票据类型要选",IF(AND($L516&lt;&gt;"",COUNTIF(应收单号,$L516)=0),"★关联的应收单号不存在",IF(AND($L516&lt;&gt;"",IFERROR(INDEX(应收键,MATCH($L516,应收单号,0)),"")&lt;&gt;$D516),"★关联单号不是这个客户的",IF(AND($L516&lt;&gt;"",ROUND(SUMIF(收款关联,$L516,收款金额)-IFERROR(INDEX(应收金额,MATCH($L516,应收单号,0)),0),2)&gt;0.001),"★指定冲销超过那张单的应收","OK"))))))))</f>
        <v/>
      </c>
    </row>
    <row r="517" customFormat="false" ht="15" hidden="false" customHeight="false" outlineLevel="0" collapsed="false">
      <c r="A517" s="29" t="str">
        <f aca="false">IF($C517="","",ROW()-4)</f>
        <v/>
      </c>
      <c r="B517" s="35" t="str">
        <f aca="false">IF($C517="","","SK"&amp;TEXT($C517,"yyyymm")&amp;"-"&amp;TEXT(ROW()-4,"0000"))</f>
        <v/>
      </c>
      <c r="C517" s="33"/>
      <c r="D517" s="24"/>
      <c r="E517" s="30" t="str">
        <f aca="false">IF($D517="","",IFERROR(INDEX(合同单位,MATCH($D517,合同键,0)),IFERROR(TRIM(LEFT($D517,FIND("｜",$D517)-1)),$D517)))</f>
        <v/>
      </c>
      <c r="F517" s="30" t="str">
        <f aca="false">IF($D517="","",IFERROR(INDEX(合同项目,MATCH($D517,合同键,0)),IFERROR(TRIM(MID($D517,FIND("｜",$D517)+1,99)),"")))</f>
        <v/>
      </c>
      <c r="G517" s="39"/>
      <c r="H517" s="25"/>
      <c r="I517" s="35" t="str">
        <f aca="false">IF($H517="","",IFERROR(INDEX(票据归类表,MATCH($H517,票据类型表,0)),"现金无票"))</f>
        <v/>
      </c>
      <c r="J517" s="25"/>
      <c r="K517" s="25"/>
      <c r="L517" s="31"/>
      <c r="M517" s="29" t="str">
        <f aca="false">IF($C517="","",YEAR($C517))</f>
        <v/>
      </c>
      <c r="N517" s="24"/>
      <c r="O517" s="35" t="str">
        <f aca="false">IF($C517="","",IF($D517="","★没选客户项目",IF(COUNTIF(合同键,$D517)=0,"★《维保合同》里没这个项目",IF(N($G517)&lt;=0,"★收款金额要填",IF($H517="","★票据类型要选",IF(AND($L517&lt;&gt;"",COUNTIF(应收单号,$L517)=0),"★关联的应收单号不存在",IF(AND($L517&lt;&gt;"",IFERROR(INDEX(应收键,MATCH($L517,应收单号,0)),"")&lt;&gt;$D517),"★关联单号不是这个客户的",IF(AND($L517&lt;&gt;"",ROUND(SUMIF(收款关联,$L517,收款金额)-IFERROR(INDEX(应收金额,MATCH($L517,应收单号,0)),0),2)&gt;0.001),"★指定冲销超过那张单的应收","OK"))))))))</f>
        <v/>
      </c>
    </row>
    <row r="518" customFormat="false" ht="15" hidden="false" customHeight="false" outlineLevel="0" collapsed="false">
      <c r="A518" s="29" t="str">
        <f aca="false">IF($C518="","",ROW()-4)</f>
        <v/>
      </c>
      <c r="B518" s="35" t="str">
        <f aca="false">IF($C518="","","SK"&amp;TEXT($C518,"yyyymm")&amp;"-"&amp;TEXT(ROW()-4,"0000"))</f>
        <v/>
      </c>
      <c r="C518" s="33"/>
      <c r="D518" s="24"/>
      <c r="E518" s="30" t="str">
        <f aca="false">IF($D518="","",IFERROR(INDEX(合同单位,MATCH($D518,合同键,0)),IFERROR(TRIM(LEFT($D518,FIND("｜",$D518)-1)),$D518)))</f>
        <v/>
      </c>
      <c r="F518" s="30" t="str">
        <f aca="false">IF($D518="","",IFERROR(INDEX(合同项目,MATCH($D518,合同键,0)),IFERROR(TRIM(MID($D518,FIND("｜",$D518)+1,99)),"")))</f>
        <v/>
      </c>
      <c r="G518" s="39"/>
      <c r="H518" s="25"/>
      <c r="I518" s="35" t="str">
        <f aca="false">IF($H518="","",IFERROR(INDEX(票据归类表,MATCH($H518,票据类型表,0)),"现金无票"))</f>
        <v/>
      </c>
      <c r="J518" s="25"/>
      <c r="K518" s="25"/>
      <c r="L518" s="31"/>
      <c r="M518" s="29" t="str">
        <f aca="false">IF($C518="","",YEAR($C518))</f>
        <v/>
      </c>
      <c r="N518" s="24"/>
      <c r="O518" s="35" t="str">
        <f aca="false">IF($C518="","",IF($D518="","★没选客户项目",IF(COUNTIF(合同键,$D518)=0,"★《维保合同》里没这个项目",IF(N($G518)&lt;=0,"★收款金额要填",IF($H518="","★票据类型要选",IF(AND($L518&lt;&gt;"",COUNTIF(应收单号,$L518)=0),"★关联的应收单号不存在",IF(AND($L518&lt;&gt;"",IFERROR(INDEX(应收键,MATCH($L518,应收单号,0)),"")&lt;&gt;$D518),"★关联单号不是这个客户的",IF(AND($L518&lt;&gt;"",ROUND(SUMIF(收款关联,$L518,收款金额)-IFERROR(INDEX(应收金额,MATCH($L518,应收单号,0)),0),2)&gt;0.001),"★指定冲销超过那张单的应收","OK"))))))))</f>
        <v/>
      </c>
    </row>
    <row r="519" customFormat="false" ht="15" hidden="false" customHeight="false" outlineLevel="0" collapsed="false">
      <c r="A519" s="29" t="str">
        <f aca="false">IF($C519="","",ROW()-4)</f>
        <v/>
      </c>
      <c r="B519" s="35" t="str">
        <f aca="false">IF($C519="","","SK"&amp;TEXT($C519,"yyyymm")&amp;"-"&amp;TEXT(ROW()-4,"0000"))</f>
        <v/>
      </c>
      <c r="C519" s="33"/>
      <c r="D519" s="24"/>
      <c r="E519" s="30" t="str">
        <f aca="false">IF($D519="","",IFERROR(INDEX(合同单位,MATCH($D519,合同键,0)),IFERROR(TRIM(LEFT($D519,FIND("｜",$D519)-1)),$D519)))</f>
        <v/>
      </c>
      <c r="F519" s="30" t="str">
        <f aca="false">IF($D519="","",IFERROR(INDEX(合同项目,MATCH($D519,合同键,0)),IFERROR(TRIM(MID($D519,FIND("｜",$D519)+1,99)),"")))</f>
        <v/>
      </c>
      <c r="G519" s="39"/>
      <c r="H519" s="25"/>
      <c r="I519" s="35" t="str">
        <f aca="false">IF($H519="","",IFERROR(INDEX(票据归类表,MATCH($H519,票据类型表,0)),"现金无票"))</f>
        <v/>
      </c>
      <c r="J519" s="25"/>
      <c r="K519" s="25"/>
      <c r="L519" s="31"/>
      <c r="M519" s="29" t="str">
        <f aca="false">IF($C519="","",YEAR($C519))</f>
        <v/>
      </c>
      <c r="N519" s="24"/>
      <c r="O519" s="35" t="str">
        <f aca="false">IF($C519="","",IF($D519="","★没选客户项目",IF(COUNTIF(合同键,$D519)=0,"★《维保合同》里没这个项目",IF(N($G519)&lt;=0,"★收款金额要填",IF($H519="","★票据类型要选",IF(AND($L519&lt;&gt;"",COUNTIF(应收单号,$L519)=0),"★关联的应收单号不存在",IF(AND($L519&lt;&gt;"",IFERROR(INDEX(应收键,MATCH($L519,应收单号,0)),"")&lt;&gt;$D519),"★关联单号不是这个客户的",IF(AND($L519&lt;&gt;"",ROUND(SUMIF(收款关联,$L519,收款金额)-IFERROR(INDEX(应收金额,MATCH($L519,应收单号,0)),0),2)&gt;0.001),"★指定冲销超过那张单的应收","OK"))))))))</f>
        <v/>
      </c>
    </row>
    <row r="520" customFormat="false" ht="15" hidden="false" customHeight="false" outlineLevel="0" collapsed="false">
      <c r="A520" s="29" t="str">
        <f aca="false">IF($C520="","",ROW()-4)</f>
        <v/>
      </c>
      <c r="B520" s="35" t="str">
        <f aca="false">IF($C520="","","SK"&amp;TEXT($C520,"yyyymm")&amp;"-"&amp;TEXT(ROW()-4,"0000"))</f>
        <v/>
      </c>
      <c r="C520" s="33"/>
      <c r="D520" s="24"/>
      <c r="E520" s="30" t="str">
        <f aca="false">IF($D520="","",IFERROR(INDEX(合同单位,MATCH($D520,合同键,0)),IFERROR(TRIM(LEFT($D520,FIND("｜",$D520)-1)),$D520)))</f>
        <v/>
      </c>
      <c r="F520" s="30" t="str">
        <f aca="false">IF($D520="","",IFERROR(INDEX(合同项目,MATCH($D520,合同键,0)),IFERROR(TRIM(MID($D520,FIND("｜",$D520)+1,99)),"")))</f>
        <v/>
      </c>
      <c r="G520" s="39"/>
      <c r="H520" s="25"/>
      <c r="I520" s="35" t="str">
        <f aca="false">IF($H520="","",IFERROR(INDEX(票据归类表,MATCH($H520,票据类型表,0)),"现金无票"))</f>
        <v/>
      </c>
      <c r="J520" s="25"/>
      <c r="K520" s="25"/>
      <c r="L520" s="31"/>
      <c r="M520" s="29" t="str">
        <f aca="false">IF($C520="","",YEAR($C520))</f>
        <v/>
      </c>
      <c r="N520" s="24"/>
      <c r="O520" s="35" t="str">
        <f aca="false">IF($C520="","",IF($D520="","★没选客户项目",IF(COUNTIF(合同键,$D520)=0,"★《维保合同》里没这个项目",IF(N($G520)&lt;=0,"★收款金额要填",IF($H520="","★票据类型要选",IF(AND($L520&lt;&gt;"",COUNTIF(应收单号,$L520)=0),"★关联的应收单号不存在",IF(AND($L520&lt;&gt;"",IFERROR(INDEX(应收键,MATCH($L520,应收单号,0)),"")&lt;&gt;$D520),"★关联单号不是这个客户的",IF(AND($L520&lt;&gt;"",ROUND(SUMIF(收款关联,$L520,收款金额)-IFERROR(INDEX(应收金额,MATCH($L520,应收单号,0)),0),2)&gt;0.001),"★指定冲销超过那张单的应收","OK"))))))))</f>
        <v/>
      </c>
    </row>
    <row r="521" customFormat="false" ht="15" hidden="false" customHeight="false" outlineLevel="0" collapsed="false">
      <c r="A521" s="29" t="str">
        <f aca="false">IF($C521="","",ROW()-4)</f>
        <v/>
      </c>
      <c r="B521" s="35" t="str">
        <f aca="false">IF($C521="","","SK"&amp;TEXT($C521,"yyyymm")&amp;"-"&amp;TEXT(ROW()-4,"0000"))</f>
        <v/>
      </c>
      <c r="C521" s="33"/>
      <c r="D521" s="24"/>
      <c r="E521" s="30" t="str">
        <f aca="false">IF($D521="","",IFERROR(INDEX(合同单位,MATCH($D521,合同键,0)),IFERROR(TRIM(LEFT($D521,FIND("｜",$D521)-1)),$D521)))</f>
        <v/>
      </c>
      <c r="F521" s="30" t="str">
        <f aca="false">IF($D521="","",IFERROR(INDEX(合同项目,MATCH($D521,合同键,0)),IFERROR(TRIM(MID($D521,FIND("｜",$D521)+1,99)),"")))</f>
        <v/>
      </c>
      <c r="G521" s="39"/>
      <c r="H521" s="25"/>
      <c r="I521" s="35" t="str">
        <f aca="false">IF($H521="","",IFERROR(INDEX(票据归类表,MATCH($H521,票据类型表,0)),"现金无票"))</f>
        <v/>
      </c>
      <c r="J521" s="25"/>
      <c r="K521" s="25"/>
      <c r="L521" s="31"/>
      <c r="M521" s="29" t="str">
        <f aca="false">IF($C521="","",YEAR($C521))</f>
        <v/>
      </c>
      <c r="N521" s="24"/>
      <c r="O521" s="35" t="str">
        <f aca="false">IF($C521="","",IF($D521="","★没选客户项目",IF(COUNTIF(合同键,$D521)=0,"★《维保合同》里没这个项目",IF(N($G521)&lt;=0,"★收款金额要填",IF($H521="","★票据类型要选",IF(AND($L521&lt;&gt;"",COUNTIF(应收单号,$L521)=0),"★关联的应收单号不存在",IF(AND($L521&lt;&gt;"",IFERROR(INDEX(应收键,MATCH($L521,应收单号,0)),"")&lt;&gt;$D521),"★关联单号不是这个客户的",IF(AND($L521&lt;&gt;"",ROUND(SUMIF(收款关联,$L521,收款金额)-IFERROR(INDEX(应收金额,MATCH($L521,应收单号,0)),0),2)&gt;0.001),"★指定冲销超过那张单的应收","OK"))))))))</f>
        <v/>
      </c>
    </row>
    <row r="522" customFormat="false" ht="15" hidden="false" customHeight="false" outlineLevel="0" collapsed="false">
      <c r="A522" s="29" t="str">
        <f aca="false">IF($C522="","",ROW()-4)</f>
        <v/>
      </c>
      <c r="B522" s="35" t="str">
        <f aca="false">IF($C522="","","SK"&amp;TEXT($C522,"yyyymm")&amp;"-"&amp;TEXT(ROW()-4,"0000"))</f>
        <v/>
      </c>
      <c r="C522" s="33"/>
      <c r="D522" s="24"/>
      <c r="E522" s="30" t="str">
        <f aca="false">IF($D522="","",IFERROR(INDEX(合同单位,MATCH($D522,合同键,0)),IFERROR(TRIM(LEFT($D522,FIND("｜",$D522)-1)),$D522)))</f>
        <v/>
      </c>
      <c r="F522" s="30" t="str">
        <f aca="false">IF($D522="","",IFERROR(INDEX(合同项目,MATCH($D522,合同键,0)),IFERROR(TRIM(MID($D522,FIND("｜",$D522)+1,99)),"")))</f>
        <v/>
      </c>
      <c r="G522" s="39"/>
      <c r="H522" s="25"/>
      <c r="I522" s="35" t="str">
        <f aca="false">IF($H522="","",IFERROR(INDEX(票据归类表,MATCH($H522,票据类型表,0)),"现金无票"))</f>
        <v/>
      </c>
      <c r="J522" s="25"/>
      <c r="K522" s="25"/>
      <c r="L522" s="31"/>
      <c r="M522" s="29" t="str">
        <f aca="false">IF($C522="","",YEAR($C522))</f>
        <v/>
      </c>
      <c r="N522" s="24"/>
      <c r="O522" s="35" t="str">
        <f aca="false">IF($C522="","",IF($D522="","★没选客户项目",IF(COUNTIF(合同键,$D522)=0,"★《维保合同》里没这个项目",IF(N($G522)&lt;=0,"★收款金额要填",IF($H522="","★票据类型要选",IF(AND($L522&lt;&gt;"",COUNTIF(应收单号,$L522)=0),"★关联的应收单号不存在",IF(AND($L522&lt;&gt;"",IFERROR(INDEX(应收键,MATCH($L522,应收单号,0)),"")&lt;&gt;$D522),"★关联单号不是这个客户的",IF(AND($L522&lt;&gt;"",ROUND(SUMIF(收款关联,$L522,收款金额)-IFERROR(INDEX(应收金额,MATCH($L522,应收单号,0)),0),2)&gt;0.001),"★指定冲销超过那张单的应收","OK"))))))))</f>
        <v/>
      </c>
    </row>
    <row r="523" customFormat="false" ht="15" hidden="false" customHeight="false" outlineLevel="0" collapsed="false">
      <c r="A523" s="29" t="str">
        <f aca="false">IF($C523="","",ROW()-4)</f>
        <v/>
      </c>
      <c r="B523" s="35" t="str">
        <f aca="false">IF($C523="","","SK"&amp;TEXT($C523,"yyyymm")&amp;"-"&amp;TEXT(ROW()-4,"0000"))</f>
        <v/>
      </c>
      <c r="C523" s="33"/>
      <c r="D523" s="24"/>
      <c r="E523" s="30" t="str">
        <f aca="false">IF($D523="","",IFERROR(INDEX(合同单位,MATCH($D523,合同键,0)),IFERROR(TRIM(LEFT($D523,FIND("｜",$D523)-1)),$D523)))</f>
        <v/>
      </c>
      <c r="F523" s="30" t="str">
        <f aca="false">IF($D523="","",IFERROR(INDEX(合同项目,MATCH($D523,合同键,0)),IFERROR(TRIM(MID($D523,FIND("｜",$D523)+1,99)),"")))</f>
        <v/>
      </c>
      <c r="G523" s="39"/>
      <c r="H523" s="25"/>
      <c r="I523" s="35" t="str">
        <f aca="false">IF($H523="","",IFERROR(INDEX(票据归类表,MATCH($H523,票据类型表,0)),"现金无票"))</f>
        <v/>
      </c>
      <c r="J523" s="25"/>
      <c r="K523" s="25"/>
      <c r="L523" s="31"/>
      <c r="M523" s="29" t="str">
        <f aca="false">IF($C523="","",YEAR($C523))</f>
        <v/>
      </c>
      <c r="N523" s="24"/>
      <c r="O523" s="35" t="str">
        <f aca="false">IF($C523="","",IF($D523="","★没选客户项目",IF(COUNTIF(合同键,$D523)=0,"★《维保合同》里没这个项目",IF(N($G523)&lt;=0,"★收款金额要填",IF($H523="","★票据类型要选",IF(AND($L523&lt;&gt;"",COUNTIF(应收单号,$L523)=0),"★关联的应收单号不存在",IF(AND($L523&lt;&gt;"",IFERROR(INDEX(应收键,MATCH($L523,应收单号,0)),"")&lt;&gt;$D523),"★关联单号不是这个客户的",IF(AND($L523&lt;&gt;"",ROUND(SUMIF(收款关联,$L523,收款金额)-IFERROR(INDEX(应收金额,MATCH($L523,应收单号,0)),0),2)&gt;0.001),"★指定冲销超过那张单的应收","OK"))))))))</f>
        <v/>
      </c>
    </row>
    <row r="524" customFormat="false" ht="15" hidden="false" customHeight="false" outlineLevel="0" collapsed="false">
      <c r="A524" s="29" t="str">
        <f aca="false">IF($C524="","",ROW()-4)</f>
        <v/>
      </c>
      <c r="B524" s="35" t="str">
        <f aca="false">IF($C524="","","SK"&amp;TEXT($C524,"yyyymm")&amp;"-"&amp;TEXT(ROW()-4,"0000"))</f>
        <v/>
      </c>
      <c r="C524" s="33"/>
      <c r="D524" s="24"/>
      <c r="E524" s="30" t="str">
        <f aca="false">IF($D524="","",IFERROR(INDEX(合同单位,MATCH($D524,合同键,0)),IFERROR(TRIM(LEFT($D524,FIND("｜",$D524)-1)),$D524)))</f>
        <v/>
      </c>
      <c r="F524" s="30" t="str">
        <f aca="false">IF($D524="","",IFERROR(INDEX(合同项目,MATCH($D524,合同键,0)),IFERROR(TRIM(MID($D524,FIND("｜",$D524)+1,99)),"")))</f>
        <v/>
      </c>
      <c r="G524" s="39"/>
      <c r="H524" s="25"/>
      <c r="I524" s="35" t="str">
        <f aca="false">IF($H524="","",IFERROR(INDEX(票据归类表,MATCH($H524,票据类型表,0)),"现金无票"))</f>
        <v/>
      </c>
      <c r="J524" s="25"/>
      <c r="K524" s="25"/>
      <c r="L524" s="31"/>
      <c r="M524" s="29" t="str">
        <f aca="false">IF($C524="","",YEAR($C524))</f>
        <v/>
      </c>
      <c r="N524" s="24"/>
      <c r="O524" s="35" t="str">
        <f aca="false">IF($C524="","",IF($D524="","★没选客户项目",IF(COUNTIF(合同键,$D524)=0,"★《维保合同》里没这个项目",IF(N($G524)&lt;=0,"★收款金额要填",IF($H524="","★票据类型要选",IF(AND($L524&lt;&gt;"",COUNTIF(应收单号,$L524)=0),"★关联的应收单号不存在",IF(AND($L524&lt;&gt;"",IFERROR(INDEX(应收键,MATCH($L524,应收单号,0)),"")&lt;&gt;$D524),"★关联单号不是这个客户的",IF(AND($L524&lt;&gt;"",ROUND(SUMIF(收款关联,$L524,收款金额)-IFERROR(INDEX(应收金额,MATCH($L524,应收单号,0)),0),2)&gt;0.001),"★指定冲销超过那张单的应收","OK"))))))))</f>
        <v/>
      </c>
    </row>
    <row r="525" customFormat="false" ht="15" hidden="false" customHeight="false" outlineLevel="0" collapsed="false">
      <c r="A525" s="29" t="str">
        <f aca="false">IF($C525="","",ROW()-4)</f>
        <v/>
      </c>
      <c r="B525" s="35" t="str">
        <f aca="false">IF($C525="","","SK"&amp;TEXT($C525,"yyyymm")&amp;"-"&amp;TEXT(ROW()-4,"0000"))</f>
        <v/>
      </c>
      <c r="C525" s="33"/>
      <c r="D525" s="24"/>
      <c r="E525" s="30" t="str">
        <f aca="false">IF($D525="","",IFERROR(INDEX(合同单位,MATCH($D525,合同键,0)),IFERROR(TRIM(LEFT($D525,FIND("｜",$D525)-1)),$D525)))</f>
        <v/>
      </c>
      <c r="F525" s="30" t="str">
        <f aca="false">IF($D525="","",IFERROR(INDEX(合同项目,MATCH($D525,合同键,0)),IFERROR(TRIM(MID($D525,FIND("｜",$D525)+1,99)),"")))</f>
        <v/>
      </c>
      <c r="G525" s="39"/>
      <c r="H525" s="25"/>
      <c r="I525" s="35" t="str">
        <f aca="false">IF($H525="","",IFERROR(INDEX(票据归类表,MATCH($H525,票据类型表,0)),"现金无票"))</f>
        <v/>
      </c>
      <c r="J525" s="25"/>
      <c r="K525" s="25"/>
      <c r="L525" s="31"/>
      <c r="M525" s="29" t="str">
        <f aca="false">IF($C525="","",YEAR($C525))</f>
        <v/>
      </c>
      <c r="N525" s="24"/>
      <c r="O525" s="35" t="str">
        <f aca="false">IF($C525="","",IF($D525="","★没选客户项目",IF(COUNTIF(合同键,$D525)=0,"★《维保合同》里没这个项目",IF(N($G525)&lt;=0,"★收款金额要填",IF($H525="","★票据类型要选",IF(AND($L525&lt;&gt;"",COUNTIF(应收单号,$L525)=0),"★关联的应收单号不存在",IF(AND($L525&lt;&gt;"",IFERROR(INDEX(应收键,MATCH($L525,应收单号,0)),"")&lt;&gt;$D525),"★关联单号不是这个客户的",IF(AND($L525&lt;&gt;"",ROUND(SUMIF(收款关联,$L525,收款金额)-IFERROR(INDEX(应收金额,MATCH($L525,应收单号,0)),0),2)&gt;0.001),"★指定冲销超过那张单的应收","OK"))))))))</f>
        <v/>
      </c>
    </row>
    <row r="526" customFormat="false" ht="15" hidden="false" customHeight="false" outlineLevel="0" collapsed="false">
      <c r="A526" s="29" t="str">
        <f aca="false">IF($C526="","",ROW()-4)</f>
        <v/>
      </c>
      <c r="B526" s="35" t="str">
        <f aca="false">IF($C526="","","SK"&amp;TEXT($C526,"yyyymm")&amp;"-"&amp;TEXT(ROW()-4,"0000"))</f>
        <v/>
      </c>
      <c r="C526" s="33"/>
      <c r="D526" s="24"/>
      <c r="E526" s="30" t="str">
        <f aca="false">IF($D526="","",IFERROR(INDEX(合同单位,MATCH($D526,合同键,0)),IFERROR(TRIM(LEFT($D526,FIND("｜",$D526)-1)),$D526)))</f>
        <v/>
      </c>
      <c r="F526" s="30" t="str">
        <f aca="false">IF($D526="","",IFERROR(INDEX(合同项目,MATCH($D526,合同键,0)),IFERROR(TRIM(MID($D526,FIND("｜",$D526)+1,99)),"")))</f>
        <v/>
      </c>
      <c r="G526" s="39"/>
      <c r="H526" s="25"/>
      <c r="I526" s="35" t="str">
        <f aca="false">IF($H526="","",IFERROR(INDEX(票据归类表,MATCH($H526,票据类型表,0)),"现金无票"))</f>
        <v/>
      </c>
      <c r="J526" s="25"/>
      <c r="K526" s="25"/>
      <c r="L526" s="31"/>
      <c r="M526" s="29" t="str">
        <f aca="false">IF($C526="","",YEAR($C526))</f>
        <v/>
      </c>
      <c r="N526" s="24"/>
      <c r="O526" s="35" t="str">
        <f aca="false">IF($C526="","",IF($D526="","★没选客户项目",IF(COUNTIF(合同键,$D526)=0,"★《维保合同》里没这个项目",IF(N($G526)&lt;=0,"★收款金额要填",IF($H526="","★票据类型要选",IF(AND($L526&lt;&gt;"",COUNTIF(应收单号,$L526)=0),"★关联的应收单号不存在",IF(AND($L526&lt;&gt;"",IFERROR(INDEX(应收键,MATCH($L526,应收单号,0)),"")&lt;&gt;$D526),"★关联单号不是这个客户的",IF(AND($L526&lt;&gt;"",ROUND(SUMIF(收款关联,$L526,收款金额)-IFERROR(INDEX(应收金额,MATCH($L526,应收单号,0)),0),2)&gt;0.001),"★指定冲销超过那张单的应收","OK"))))))))</f>
        <v/>
      </c>
    </row>
    <row r="527" customFormat="false" ht="15" hidden="false" customHeight="false" outlineLevel="0" collapsed="false">
      <c r="A527" s="29" t="str">
        <f aca="false">IF($C527="","",ROW()-4)</f>
        <v/>
      </c>
      <c r="B527" s="35" t="str">
        <f aca="false">IF($C527="","","SK"&amp;TEXT($C527,"yyyymm")&amp;"-"&amp;TEXT(ROW()-4,"0000"))</f>
        <v/>
      </c>
      <c r="C527" s="33"/>
      <c r="D527" s="24"/>
      <c r="E527" s="30" t="str">
        <f aca="false">IF($D527="","",IFERROR(INDEX(合同单位,MATCH($D527,合同键,0)),IFERROR(TRIM(LEFT($D527,FIND("｜",$D527)-1)),$D527)))</f>
        <v/>
      </c>
      <c r="F527" s="30" t="str">
        <f aca="false">IF($D527="","",IFERROR(INDEX(合同项目,MATCH($D527,合同键,0)),IFERROR(TRIM(MID($D527,FIND("｜",$D527)+1,99)),"")))</f>
        <v/>
      </c>
      <c r="G527" s="39"/>
      <c r="H527" s="25"/>
      <c r="I527" s="35" t="str">
        <f aca="false">IF($H527="","",IFERROR(INDEX(票据归类表,MATCH($H527,票据类型表,0)),"现金无票"))</f>
        <v/>
      </c>
      <c r="J527" s="25"/>
      <c r="K527" s="25"/>
      <c r="L527" s="31"/>
      <c r="M527" s="29" t="str">
        <f aca="false">IF($C527="","",YEAR($C527))</f>
        <v/>
      </c>
      <c r="N527" s="24"/>
      <c r="O527" s="35" t="str">
        <f aca="false">IF($C527="","",IF($D527="","★没选客户项目",IF(COUNTIF(合同键,$D527)=0,"★《维保合同》里没这个项目",IF(N($G527)&lt;=0,"★收款金额要填",IF($H527="","★票据类型要选",IF(AND($L527&lt;&gt;"",COUNTIF(应收单号,$L527)=0),"★关联的应收单号不存在",IF(AND($L527&lt;&gt;"",IFERROR(INDEX(应收键,MATCH($L527,应收单号,0)),"")&lt;&gt;$D527),"★关联单号不是这个客户的",IF(AND($L527&lt;&gt;"",ROUND(SUMIF(收款关联,$L527,收款金额)-IFERROR(INDEX(应收金额,MATCH($L527,应收单号,0)),0),2)&gt;0.001),"★指定冲销超过那张单的应收","OK"))))))))</f>
        <v/>
      </c>
    </row>
    <row r="528" customFormat="false" ht="15" hidden="false" customHeight="false" outlineLevel="0" collapsed="false">
      <c r="A528" s="29" t="str">
        <f aca="false">IF($C528="","",ROW()-4)</f>
        <v/>
      </c>
      <c r="B528" s="35" t="str">
        <f aca="false">IF($C528="","","SK"&amp;TEXT($C528,"yyyymm")&amp;"-"&amp;TEXT(ROW()-4,"0000"))</f>
        <v/>
      </c>
      <c r="C528" s="33"/>
      <c r="D528" s="24"/>
      <c r="E528" s="30" t="str">
        <f aca="false">IF($D528="","",IFERROR(INDEX(合同单位,MATCH($D528,合同键,0)),IFERROR(TRIM(LEFT($D528,FIND("｜",$D528)-1)),$D528)))</f>
        <v/>
      </c>
      <c r="F528" s="30" t="str">
        <f aca="false">IF($D528="","",IFERROR(INDEX(合同项目,MATCH($D528,合同键,0)),IFERROR(TRIM(MID($D528,FIND("｜",$D528)+1,99)),"")))</f>
        <v/>
      </c>
      <c r="G528" s="39"/>
      <c r="H528" s="25"/>
      <c r="I528" s="35" t="str">
        <f aca="false">IF($H528="","",IFERROR(INDEX(票据归类表,MATCH($H528,票据类型表,0)),"现金无票"))</f>
        <v/>
      </c>
      <c r="J528" s="25"/>
      <c r="K528" s="25"/>
      <c r="L528" s="31"/>
      <c r="M528" s="29" t="str">
        <f aca="false">IF($C528="","",YEAR($C528))</f>
        <v/>
      </c>
      <c r="N528" s="24"/>
      <c r="O528" s="35" t="str">
        <f aca="false">IF($C528="","",IF($D528="","★没选客户项目",IF(COUNTIF(合同键,$D528)=0,"★《维保合同》里没这个项目",IF(N($G528)&lt;=0,"★收款金额要填",IF($H528="","★票据类型要选",IF(AND($L528&lt;&gt;"",COUNTIF(应收单号,$L528)=0),"★关联的应收单号不存在",IF(AND($L528&lt;&gt;"",IFERROR(INDEX(应收键,MATCH($L528,应收单号,0)),"")&lt;&gt;$D528),"★关联单号不是这个客户的",IF(AND($L528&lt;&gt;"",ROUND(SUMIF(收款关联,$L528,收款金额)-IFERROR(INDEX(应收金额,MATCH($L528,应收单号,0)),0),2)&gt;0.001),"★指定冲销超过那张单的应收","OK"))))))))</f>
        <v/>
      </c>
    </row>
    <row r="529" customFormat="false" ht="15" hidden="false" customHeight="false" outlineLevel="0" collapsed="false">
      <c r="A529" s="29" t="str">
        <f aca="false">IF($C529="","",ROW()-4)</f>
        <v/>
      </c>
      <c r="B529" s="35" t="str">
        <f aca="false">IF($C529="","","SK"&amp;TEXT($C529,"yyyymm")&amp;"-"&amp;TEXT(ROW()-4,"0000"))</f>
        <v/>
      </c>
      <c r="C529" s="33"/>
      <c r="D529" s="24"/>
      <c r="E529" s="30" t="str">
        <f aca="false">IF($D529="","",IFERROR(INDEX(合同单位,MATCH($D529,合同键,0)),IFERROR(TRIM(LEFT($D529,FIND("｜",$D529)-1)),$D529)))</f>
        <v/>
      </c>
      <c r="F529" s="30" t="str">
        <f aca="false">IF($D529="","",IFERROR(INDEX(合同项目,MATCH($D529,合同键,0)),IFERROR(TRIM(MID($D529,FIND("｜",$D529)+1,99)),"")))</f>
        <v/>
      </c>
      <c r="G529" s="39"/>
      <c r="H529" s="25"/>
      <c r="I529" s="35" t="str">
        <f aca="false">IF($H529="","",IFERROR(INDEX(票据归类表,MATCH($H529,票据类型表,0)),"现金无票"))</f>
        <v/>
      </c>
      <c r="J529" s="25"/>
      <c r="K529" s="25"/>
      <c r="L529" s="31"/>
      <c r="M529" s="29" t="str">
        <f aca="false">IF($C529="","",YEAR($C529))</f>
        <v/>
      </c>
      <c r="N529" s="24"/>
      <c r="O529" s="35" t="str">
        <f aca="false">IF($C529="","",IF($D529="","★没选客户项目",IF(COUNTIF(合同键,$D529)=0,"★《维保合同》里没这个项目",IF(N($G529)&lt;=0,"★收款金额要填",IF($H529="","★票据类型要选",IF(AND($L529&lt;&gt;"",COUNTIF(应收单号,$L529)=0),"★关联的应收单号不存在",IF(AND($L529&lt;&gt;"",IFERROR(INDEX(应收键,MATCH($L529,应收单号,0)),"")&lt;&gt;$D529),"★关联单号不是这个客户的",IF(AND($L529&lt;&gt;"",ROUND(SUMIF(收款关联,$L529,收款金额)-IFERROR(INDEX(应收金额,MATCH($L529,应收单号,0)),0),2)&gt;0.001),"★指定冲销超过那张单的应收","OK"))))))))</f>
        <v/>
      </c>
    </row>
    <row r="530" customFormat="false" ht="15" hidden="false" customHeight="false" outlineLevel="0" collapsed="false">
      <c r="A530" s="29" t="str">
        <f aca="false">IF($C530="","",ROW()-4)</f>
        <v/>
      </c>
      <c r="B530" s="35" t="str">
        <f aca="false">IF($C530="","","SK"&amp;TEXT($C530,"yyyymm")&amp;"-"&amp;TEXT(ROW()-4,"0000"))</f>
        <v/>
      </c>
      <c r="C530" s="33"/>
      <c r="D530" s="24"/>
      <c r="E530" s="30" t="str">
        <f aca="false">IF($D530="","",IFERROR(INDEX(合同单位,MATCH($D530,合同键,0)),IFERROR(TRIM(LEFT($D530,FIND("｜",$D530)-1)),$D530)))</f>
        <v/>
      </c>
      <c r="F530" s="30" t="str">
        <f aca="false">IF($D530="","",IFERROR(INDEX(合同项目,MATCH($D530,合同键,0)),IFERROR(TRIM(MID($D530,FIND("｜",$D530)+1,99)),"")))</f>
        <v/>
      </c>
      <c r="G530" s="39"/>
      <c r="H530" s="25"/>
      <c r="I530" s="35" t="str">
        <f aca="false">IF($H530="","",IFERROR(INDEX(票据归类表,MATCH($H530,票据类型表,0)),"现金无票"))</f>
        <v/>
      </c>
      <c r="J530" s="25"/>
      <c r="K530" s="25"/>
      <c r="L530" s="31"/>
      <c r="M530" s="29" t="str">
        <f aca="false">IF($C530="","",YEAR($C530))</f>
        <v/>
      </c>
      <c r="N530" s="24"/>
      <c r="O530" s="35" t="str">
        <f aca="false">IF($C530="","",IF($D530="","★没选客户项目",IF(COUNTIF(合同键,$D530)=0,"★《维保合同》里没这个项目",IF(N($G530)&lt;=0,"★收款金额要填",IF($H530="","★票据类型要选",IF(AND($L530&lt;&gt;"",COUNTIF(应收单号,$L530)=0),"★关联的应收单号不存在",IF(AND($L530&lt;&gt;"",IFERROR(INDEX(应收键,MATCH($L530,应收单号,0)),"")&lt;&gt;$D530),"★关联单号不是这个客户的",IF(AND($L530&lt;&gt;"",ROUND(SUMIF(收款关联,$L530,收款金额)-IFERROR(INDEX(应收金额,MATCH($L530,应收单号,0)),0),2)&gt;0.001),"★指定冲销超过那张单的应收","OK"))))))))</f>
        <v/>
      </c>
    </row>
    <row r="531" customFormat="false" ht="15" hidden="false" customHeight="false" outlineLevel="0" collapsed="false">
      <c r="A531" s="29" t="str">
        <f aca="false">IF($C531="","",ROW()-4)</f>
        <v/>
      </c>
      <c r="B531" s="35" t="str">
        <f aca="false">IF($C531="","","SK"&amp;TEXT($C531,"yyyymm")&amp;"-"&amp;TEXT(ROW()-4,"0000"))</f>
        <v/>
      </c>
      <c r="C531" s="33"/>
      <c r="D531" s="24"/>
      <c r="E531" s="30" t="str">
        <f aca="false">IF($D531="","",IFERROR(INDEX(合同单位,MATCH($D531,合同键,0)),IFERROR(TRIM(LEFT($D531,FIND("｜",$D531)-1)),$D531)))</f>
        <v/>
      </c>
      <c r="F531" s="30" t="str">
        <f aca="false">IF($D531="","",IFERROR(INDEX(合同项目,MATCH($D531,合同键,0)),IFERROR(TRIM(MID($D531,FIND("｜",$D531)+1,99)),"")))</f>
        <v/>
      </c>
      <c r="G531" s="39"/>
      <c r="H531" s="25"/>
      <c r="I531" s="35" t="str">
        <f aca="false">IF($H531="","",IFERROR(INDEX(票据归类表,MATCH($H531,票据类型表,0)),"现金无票"))</f>
        <v/>
      </c>
      <c r="J531" s="25"/>
      <c r="K531" s="25"/>
      <c r="L531" s="31"/>
      <c r="M531" s="29" t="str">
        <f aca="false">IF($C531="","",YEAR($C531))</f>
        <v/>
      </c>
      <c r="N531" s="24"/>
      <c r="O531" s="35" t="str">
        <f aca="false">IF($C531="","",IF($D531="","★没选客户项目",IF(COUNTIF(合同键,$D531)=0,"★《维保合同》里没这个项目",IF(N($G531)&lt;=0,"★收款金额要填",IF($H531="","★票据类型要选",IF(AND($L531&lt;&gt;"",COUNTIF(应收单号,$L531)=0),"★关联的应收单号不存在",IF(AND($L531&lt;&gt;"",IFERROR(INDEX(应收键,MATCH($L531,应收单号,0)),"")&lt;&gt;$D531),"★关联单号不是这个客户的",IF(AND($L531&lt;&gt;"",ROUND(SUMIF(收款关联,$L531,收款金额)-IFERROR(INDEX(应收金额,MATCH($L531,应收单号,0)),0),2)&gt;0.001),"★指定冲销超过那张单的应收","OK"))))))))</f>
        <v/>
      </c>
    </row>
    <row r="532" customFormat="false" ht="15" hidden="false" customHeight="false" outlineLevel="0" collapsed="false">
      <c r="A532" s="29" t="str">
        <f aca="false">IF($C532="","",ROW()-4)</f>
        <v/>
      </c>
      <c r="B532" s="35" t="str">
        <f aca="false">IF($C532="","","SK"&amp;TEXT($C532,"yyyymm")&amp;"-"&amp;TEXT(ROW()-4,"0000"))</f>
        <v/>
      </c>
      <c r="C532" s="33"/>
      <c r="D532" s="24"/>
      <c r="E532" s="30" t="str">
        <f aca="false">IF($D532="","",IFERROR(INDEX(合同单位,MATCH($D532,合同键,0)),IFERROR(TRIM(LEFT($D532,FIND("｜",$D532)-1)),$D532)))</f>
        <v/>
      </c>
      <c r="F532" s="30" t="str">
        <f aca="false">IF($D532="","",IFERROR(INDEX(合同项目,MATCH($D532,合同键,0)),IFERROR(TRIM(MID($D532,FIND("｜",$D532)+1,99)),"")))</f>
        <v/>
      </c>
      <c r="G532" s="39"/>
      <c r="H532" s="25"/>
      <c r="I532" s="35" t="str">
        <f aca="false">IF($H532="","",IFERROR(INDEX(票据归类表,MATCH($H532,票据类型表,0)),"现金无票"))</f>
        <v/>
      </c>
      <c r="J532" s="25"/>
      <c r="K532" s="25"/>
      <c r="L532" s="31"/>
      <c r="M532" s="29" t="str">
        <f aca="false">IF($C532="","",YEAR($C532))</f>
        <v/>
      </c>
      <c r="N532" s="24"/>
      <c r="O532" s="35" t="str">
        <f aca="false">IF($C532="","",IF($D532="","★没选客户项目",IF(COUNTIF(合同键,$D532)=0,"★《维保合同》里没这个项目",IF(N($G532)&lt;=0,"★收款金额要填",IF($H532="","★票据类型要选",IF(AND($L532&lt;&gt;"",COUNTIF(应收单号,$L532)=0),"★关联的应收单号不存在",IF(AND($L532&lt;&gt;"",IFERROR(INDEX(应收键,MATCH($L532,应收单号,0)),"")&lt;&gt;$D532),"★关联单号不是这个客户的",IF(AND($L532&lt;&gt;"",ROUND(SUMIF(收款关联,$L532,收款金额)-IFERROR(INDEX(应收金额,MATCH($L532,应收单号,0)),0),2)&gt;0.001),"★指定冲销超过那张单的应收","OK"))))))))</f>
        <v/>
      </c>
    </row>
    <row r="533" customFormat="false" ht="15" hidden="false" customHeight="false" outlineLevel="0" collapsed="false">
      <c r="A533" s="29" t="str">
        <f aca="false">IF($C533="","",ROW()-4)</f>
        <v/>
      </c>
      <c r="B533" s="35" t="str">
        <f aca="false">IF($C533="","","SK"&amp;TEXT($C533,"yyyymm")&amp;"-"&amp;TEXT(ROW()-4,"0000"))</f>
        <v/>
      </c>
      <c r="C533" s="33"/>
      <c r="D533" s="24"/>
      <c r="E533" s="30" t="str">
        <f aca="false">IF($D533="","",IFERROR(INDEX(合同单位,MATCH($D533,合同键,0)),IFERROR(TRIM(LEFT($D533,FIND("｜",$D533)-1)),$D533)))</f>
        <v/>
      </c>
      <c r="F533" s="30" t="str">
        <f aca="false">IF($D533="","",IFERROR(INDEX(合同项目,MATCH($D533,合同键,0)),IFERROR(TRIM(MID($D533,FIND("｜",$D533)+1,99)),"")))</f>
        <v/>
      </c>
      <c r="G533" s="39"/>
      <c r="H533" s="25"/>
      <c r="I533" s="35" t="str">
        <f aca="false">IF($H533="","",IFERROR(INDEX(票据归类表,MATCH($H533,票据类型表,0)),"现金无票"))</f>
        <v/>
      </c>
      <c r="J533" s="25"/>
      <c r="K533" s="25"/>
      <c r="L533" s="31"/>
      <c r="M533" s="29" t="str">
        <f aca="false">IF($C533="","",YEAR($C533))</f>
        <v/>
      </c>
      <c r="N533" s="24"/>
      <c r="O533" s="35" t="str">
        <f aca="false">IF($C533="","",IF($D533="","★没选客户项目",IF(COUNTIF(合同键,$D533)=0,"★《维保合同》里没这个项目",IF(N($G533)&lt;=0,"★收款金额要填",IF($H533="","★票据类型要选",IF(AND($L533&lt;&gt;"",COUNTIF(应收单号,$L533)=0),"★关联的应收单号不存在",IF(AND($L533&lt;&gt;"",IFERROR(INDEX(应收键,MATCH($L533,应收单号,0)),"")&lt;&gt;$D533),"★关联单号不是这个客户的",IF(AND($L533&lt;&gt;"",ROUND(SUMIF(收款关联,$L533,收款金额)-IFERROR(INDEX(应收金额,MATCH($L533,应收单号,0)),0),2)&gt;0.001),"★指定冲销超过那张单的应收","OK"))))))))</f>
        <v/>
      </c>
    </row>
    <row r="534" customFormat="false" ht="15" hidden="false" customHeight="false" outlineLevel="0" collapsed="false">
      <c r="A534" s="29" t="str">
        <f aca="false">IF($C534="","",ROW()-4)</f>
        <v/>
      </c>
      <c r="B534" s="35" t="str">
        <f aca="false">IF($C534="","","SK"&amp;TEXT($C534,"yyyymm")&amp;"-"&amp;TEXT(ROW()-4,"0000"))</f>
        <v/>
      </c>
      <c r="C534" s="33"/>
      <c r="D534" s="24"/>
      <c r="E534" s="30" t="str">
        <f aca="false">IF($D534="","",IFERROR(INDEX(合同单位,MATCH($D534,合同键,0)),IFERROR(TRIM(LEFT($D534,FIND("｜",$D534)-1)),$D534)))</f>
        <v/>
      </c>
      <c r="F534" s="30" t="str">
        <f aca="false">IF($D534="","",IFERROR(INDEX(合同项目,MATCH($D534,合同键,0)),IFERROR(TRIM(MID($D534,FIND("｜",$D534)+1,99)),"")))</f>
        <v/>
      </c>
      <c r="G534" s="39"/>
      <c r="H534" s="25"/>
      <c r="I534" s="35" t="str">
        <f aca="false">IF($H534="","",IFERROR(INDEX(票据归类表,MATCH($H534,票据类型表,0)),"现金无票"))</f>
        <v/>
      </c>
      <c r="J534" s="25"/>
      <c r="K534" s="25"/>
      <c r="L534" s="31"/>
      <c r="M534" s="29" t="str">
        <f aca="false">IF($C534="","",YEAR($C534))</f>
        <v/>
      </c>
      <c r="N534" s="24"/>
      <c r="O534" s="35" t="str">
        <f aca="false">IF($C534="","",IF($D534="","★没选客户项目",IF(COUNTIF(合同键,$D534)=0,"★《维保合同》里没这个项目",IF(N($G534)&lt;=0,"★收款金额要填",IF($H534="","★票据类型要选",IF(AND($L534&lt;&gt;"",COUNTIF(应收单号,$L534)=0),"★关联的应收单号不存在",IF(AND($L534&lt;&gt;"",IFERROR(INDEX(应收键,MATCH($L534,应收单号,0)),"")&lt;&gt;$D534),"★关联单号不是这个客户的",IF(AND($L534&lt;&gt;"",ROUND(SUMIF(收款关联,$L534,收款金额)-IFERROR(INDEX(应收金额,MATCH($L534,应收单号,0)),0),2)&gt;0.001),"★指定冲销超过那张单的应收","OK"))))))))</f>
        <v/>
      </c>
    </row>
    <row r="535" customFormat="false" ht="15" hidden="false" customHeight="false" outlineLevel="0" collapsed="false">
      <c r="A535" s="29" t="str">
        <f aca="false">IF($C535="","",ROW()-4)</f>
        <v/>
      </c>
      <c r="B535" s="35" t="str">
        <f aca="false">IF($C535="","","SK"&amp;TEXT($C535,"yyyymm")&amp;"-"&amp;TEXT(ROW()-4,"0000"))</f>
        <v/>
      </c>
      <c r="C535" s="33"/>
      <c r="D535" s="24"/>
      <c r="E535" s="30" t="str">
        <f aca="false">IF($D535="","",IFERROR(INDEX(合同单位,MATCH($D535,合同键,0)),IFERROR(TRIM(LEFT($D535,FIND("｜",$D535)-1)),$D535)))</f>
        <v/>
      </c>
      <c r="F535" s="30" t="str">
        <f aca="false">IF($D535="","",IFERROR(INDEX(合同项目,MATCH($D535,合同键,0)),IFERROR(TRIM(MID($D535,FIND("｜",$D535)+1,99)),"")))</f>
        <v/>
      </c>
      <c r="G535" s="39"/>
      <c r="H535" s="25"/>
      <c r="I535" s="35" t="str">
        <f aca="false">IF($H535="","",IFERROR(INDEX(票据归类表,MATCH($H535,票据类型表,0)),"现金无票"))</f>
        <v/>
      </c>
      <c r="J535" s="25"/>
      <c r="K535" s="25"/>
      <c r="L535" s="31"/>
      <c r="M535" s="29" t="str">
        <f aca="false">IF($C535="","",YEAR($C535))</f>
        <v/>
      </c>
      <c r="N535" s="24"/>
      <c r="O535" s="35" t="str">
        <f aca="false">IF($C535="","",IF($D535="","★没选客户项目",IF(COUNTIF(合同键,$D535)=0,"★《维保合同》里没这个项目",IF(N($G535)&lt;=0,"★收款金额要填",IF($H535="","★票据类型要选",IF(AND($L535&lt;&gt;"",COUNTIF(应收单号,$L535)=0),"★关联的应收单号不存在",IF(AND($L535&lt;&gt;"",IFERROR(INDEX(应收键,MATCH($L535,应收单号,0)),"")&lt;&gt;$D535),"★关联单号不是这个客户的",IF(AND($L535&lt;&gt;"",ROUND(SUMIF(收款关联,$L535,收款金额)-IFERROR(INDEX(应收金额,MATCH($L535,应收单号,0)),0),2)&gt;0.001),"★指定冲销超过那张单的应收","OK"))))))))</f>
        <v/>
      </c>
    </row>
    <row r="536" customFormat="false" ht="15" hidden="false" customHeight="false" outlineLevel="0" collapsed="false">
      <c r="A536" s="29" t="str">
        <f aca="false">IF($C536="","",ROW()-4)</f>
        <v/>
      </c>
      <c r="B536" s="35" t="str">
        <f aca="false">IF($C536="","","SK"&amp;TEXT($C536,"yyyymm")&amp;"-"&amp;TEXT(ROW()-4,"0000"))</f>
        <v/>
      </c>
      <c r="C536" s="33"/>
      <c r="D536" s="24"/>
      <c r="E536" s="30" t="str">
        <f aca="false">IF($D536="","",IFERROR(INDEX(合同单位,MATCH($D536,合同键,0)),IFERROR(TRIM(LEFT($D536,FIND("｜",$D536)-1)),$D536)))</f>
        <v/>
      </c>
      <c r="F536" s="30" t="str">
        <f aca="false">IF($D536="","",IFERROR(INDEX(合同项目,MATCH($D536,合同键,0)),IFERROR(TRIM(MID($D536,FIND("｜",$D536)+1,99)),"")))</f>
        <v/>
      </c>
      <c r="G536" s="39"/>
      <c r="H536" s="25"/>
      <c r="I536" s="35" t="str">
        <f aca="false">IF($H536="","",IFERROR(INDEX(票据归类表,MATCH($H536,票据类型表,0)),"现金无票"))</f>
        <v/>
      </c>
      <c r="J536" s="25"/>
      <c r="K536" s="25"/>
      <c r="L536" s="31"/>
      <c r="M536" s="29" t="str">
        <f aca="false">IF($C536="","",YEAR($C536))</f>
        <v/>
      </c>
      <c r="N536" s="24"/>
      <c r="O536" s="35" t="str">
        <f aca="false">IF($C536="","",IF($D536="","★没选客户项目",IF(COUNTIF(合同键,$D536)=0,"★《维保合同》里没这个项目",IF(N($G536)&lt;=0,"★收款金额要填",IF($H536="","★票据类型要选",IF(AND($L536&lt;&gt;"",COUNTIF(应收单号,$L536)=0),"★关联的应收单号不存在",IF(AND($L536&lt;&gt;"",IFERROR(INDEX(应收键,MATCH($L536,应收单号,0)),"")&lt;&gt;$D536),"★关联单号不是这个客户的",IF(AND($L536&lt;&gt;"",ROUND(SUMIF(收款关联,$L536,收款金额)-IFERROR(INDEX(应收金额,MATCH($L536,应收单号,0)),0),2)&gt;0.001),"★指定冲销超过那张单的应收","OK"))))))))</f>
        <v/>
      </c>
    </row>
    <row r="537" customFormat="false" ht="15" hidden="false" customHeight="false" outlineLevel="0" collapsed="false">
      <c r="A537" s="29" t="str">
        <f aca="false">IF($C537="","",ROW()-4)</f>
        <v/>
      </c>
      <c r="B537" s="35" t="str">
        <f aca="false">IF($C537="","","SK"&amp;TEXT($C537,"yyyymm")&amp;"-"&amp;TEXT(ROW()-4,"0000"))</f>
        <v/>
      </c>
      <c r="C537" s="33"/>
      <c r="D537" s="24"/>
      <c r="E537" s="30" t="str">
        <f aca="false">IF($D537="","",IFERROR(INDEX(合同单位,MATCH($D537,合同键,0)),IFERROR(TRIM(LEFT($D537,FIND("｜",$D537)-1)),$D537)))</f>
        <v/>
      </c>
      <c r="F537" s="30" t="str">
        <f aca="false">IF($D537="","",IFERROR(INDEX(合同项目,MATCH($D537,合同键,0)),IFERROR(TRIM(MID($D537,FIND("｜",$D537)+1,99)),"")))</f>
        <v/>
      </c>
      <c r="G537" s="39"/>
      <c r="H537" s="25"/>
      <c r="I537" s="35" t="str">
        <f aca="false">IF($H537="","",IFERROR(INDEX(票据归类表,MATCH($H537,票据类型表,0)),"现金无票"))</f>
        <v/>
      </c>
      <c r="J537" s="25"/>
      <c r="K537" s="25"/>
      <c r="L537" s="31"/>
      <c r="M537" s="29" t="str">
        <f aca="false">IF($C537="","",YEAR($C537))</f>
        <v/>
      </c>
      <c r="N537" s="24"/>
      <c r="O537" s="35" t="str">
        <f aca="false">IF($C537="","",IF($D537="","★没选客户项目",IF(COUNTIF(合同键,$D537)=0,"★《维保合同》里没这个项目",IF(N($G537)&lt;=0,"★收款金额要填",IF($H537="","★票据类型要选",IF(AND($L537&lt;&gt;"",COUNTIF(应收单号,$L537)=0),"★关联的应收单号不存在",IF(AND($L537&lt;&gt;"",IFERROR(INDEX(应收键,MATCH($L537,应收单号,0)),"")&lt;&gt;$D537),"★关联单号不是这个客户的",IF(AND($L537&lt;&gt;"",ROUND(SUMIF(收款关联,$L537,收款金额)-IFERROR(INDEX(应收金额,MATCH($L537,应收单号,0)),0),2)&gt;0.001),"★指定冲销超过那张单的应收","OK"))))))))</f>
        <v/>
      </c>
    </row>
    <row r="538" customFormat="false" ht="15" hidden="false" customHeight="false" outlineLevel="0" collapsed="false">
      <c r="A538" s="29" t="str">
        <f aca="false">IF($C538="","",ROW()-4)</f>
        <v/>
      </c>
      <c r="B538" s="35" t="str">
        <f aca="false">IF($C538="","","SK"&amp;TEXT($C538,"yyyymm")&amp;"-"&amp;TEXT(ROW()-4,"0000"))</f>
        <v/>
      </c>
      <c r="C538" s="33"/>
      <c r="D538" s="24"/>
      <c r="E538" s="30" t="str">
        <f aca="false">IF($D538="","",IFERROR(INDEX(合同单位,MATCH($D538,合同键,0)),IFERROR(TRIM(LEFT($D538,FIND("｜",$D538)-1)),$D538)))</f>
        <v/>
      </c>
      <c r="F538" s="30" t="str">
        <f aca="false">IF($D538="","",IFERROR(INDEX(合同项目,MATCH($D538,合同键,0)),IFERROR(TRIM(MID($D538,FIND("｜",$D538)+1,99)),"")))</f>
        <v/>
      </c>
      <c r="G538" s="39"/>
      <c r="H538" s="25"/>
      <c r="I538" s="35" t="str">
        <f aca="false">IF($H538="","",IFERROR(INDEX(票据归类表,MATCH($H538,票据类型表,0)),"现金无票"))</f>
        <v/>
      </c>
      <c r="J538" s="25"/>
      <c r="K538" s="25"/>
      <c r="L538" s="31"/>
      <c r="M538" s="29" t="str">
        <f aca="false">IF($C538="","",YEAR($C538))</f>
        <v/>
      </c>
      <c r="N538" s="24"/>
      <c r="O538" s="35" t="str">
        <f aca="false">IF($C538="","",IF($D538="","★没选客户项目",IF(COUNTIF(合同键,$D538)=0,"★《维保合同》里没这个项目",IF(N($G538)&lt;=0,"★收款金额要填",IF($H538="","★票据类型要选",IF(AND($L538&lt;&gt;"",COUNTIF(应收单号,$L538)=0),"★关联的应收单号不存在",IF(AND($L538&lt;&gt;"",IFERROR(INDEX(应收键,MATCH($L538,应收单号,0)),"")&lt;&gt;$D538),"★关联单号不是这个客户的",IF(AND($L538&lt;&gt;"",ROUND(SUMIF(收款关联,$L538,收款金额)-IFERROR(INDEX(应收金额,MATCH($L538,应收单号,0)),0),2)&gt;0.001),"★指定冲销超过那张单的应收","OK"))))))))</f>
        <v/>
      </c>
    </row>
    <row r="539" customFormat="false" ht="15" hidden="false" customHeight="false" outlineLevel="0" collapsed="false">
      <c r="A539" s="29" t="str">
        <f aca="false">IF($C539="","",ROW()-4)</f>
        <v/>
      </c>
      <c r="B539" s="35" t="str">
        <f aca="false">IF($C539="","","SK"&amp;TEXT($C539,"yyyymm")&amp;"-"&amp;TEXT(ROW()-4,"0000"))</f>
        <v/>
      </c>
      <c r="C539" s="33"/>
      <c r="D539" s="24"/>
      <c r="E539" s="30" t="str">
        <f aca="false">IF($D539="","",IFERROR(INDEX(合同单位,MATCH($D539,合同键,0)),IFERROR(TRIM(LEFT($D539,FIND("｜",$D539)-1)),$D539)))</f>
        <v/>
      </c>
      <c r="F539" s="30" t="str">
        <f aca="false">IF($D539="","",IFERROR(INDEX(合同项目,MATCH($D539,合同键,0)),IFERROR(TRIM(MID($D539,FIND("｜",$D539)+1,99)),"")))</f>
        <v/>
      </c>
      <c r="G539" s="39"/>
      <c r="H539" s="25"/>
      <c r="I539" s="35" t="str">
        <f aca="false">IF($H539="","",IFERROR(INDEX(票据归类表,MATCH($H539,票据类型表,0)),"现金无票"))</f>
        <v/>
      </c>
      <c r="J539" s="25"/>
      <c r="K539" s="25"/>
      <c r="L539" s="31"/>
      <c r="M539" s="29" t="str">
        <f aca="false">IF($C539="","",YEAR($C539))</f>
        <v/>
      </c>
      <c r="N539" s="24"/>
      <c r="O539" s="35" t="str">
        <f aca="false">IF($C539="","",IF($D539="","★没选客户项目",IF(COUNTIF(合同键,$D539)=0,"★《维保合同》里没这个项目",IF(N($G539)&lt;=0,"★收款金额要填",IF($H539="","★票据类型要选",IF(AND($L539&lt;&gt;"",COUNTIF(应收单号,$L539)=0),"★关联的应收单号不存在",IF(AND($L539&lt;&gt;"",IFERROR(INDEX(应收键,MATCH($L539,应收单号,0)),"")&lt;&gt;$D539),"★关联单号不是这个客户的",IF(AND($L539&lt;&gt;"",ROUND(SUMIF(收款关联,$L539,收款金额)-IFERROR(INDEX(应收金额,MATCH($L539,应收单号,0)),0),2)&gt;0.001),"★指定冲销超过那张单的应收","OK"))))))))</f>
        <v/>
      </c>
    </row>
    <row r="540" customFormat="false" ht="15" hidden="false" customHeight="false" outlineLevel="0" collapsed="false">
      <c r="A540" s="29" t="str">
        <f aca="false">IF($C540="","",ROW()-4)</f>
        <v/>
      </c>
      <c r="B540" s="35" t="str">
        <f aca="false">IF($C540="","","SK"&amp;TEXT($C540,"yyyymm")&amp;"-"&amp;TEXT(ROW()-4,"0000"))</f>
        <v/>
      </c>
      <c r="C540" s="33"/>
      <c r="D540" s="24"/>
      <c r="E540" s="30" t="str">
        <f aca="false">IF($D540="","",IFERROR(INDEX(合同单位,MATCH($D540,合同键,0)),IFERROR(TRIM(LEFT($D540,FIND("｜",$D540)-1)),$D540)))</f>
        <v/>
      </c>
      <c r="F540" s="30" t="str">
        <f aca="false">IF($D540="","",IFERROR(INDEX(合同项目,MATCH($D540,合同键,0)),IFERROR(TRIM(MID($D540,FIND("｜",$D540)+1,99)),"")))</f>
        <v/>
      </c>
      <c r="G540" s="39"/>
      <c r="H540" s="25"/>
      <c r="I540" s="35" t="str">
        <f aca="false">IF($H540="","",IFERROR(INDEX(票据归类表,MATCH($H540,票据类型表,0)),"现金无票"))</f>
        <v/>
      </c>
      <c r="J540" s="25"/>
      <c r="K540" s="25"/>
      <c r="L540" s="31"/>
      <c r="M540" s="29" t="str">
        <f aca="false">IF($C540="","",YEAR($C540))</f>
        <v/>
      </c>
      <c r="N540" s="24"/>
      <c r="O540" s="35" t="str">
        <f aca="false">IF($C540="","",IF($D540="","★没选客户项目",IF(COUNTIF(合同键,$D540)=0,"★《维保合同》里没这个项目",IF(N($G540)&lt;=0,"★收款金额要填",IF($H540="","★票据类型要选",IF(AND($L540&lt;&gt;"",COUNTIF(应收单号,$L540)=0),"★关联的应收单号不存在",IF(AND($L540&lt;&gt;"",IFERROR(INDEX(应收键,MATCH($L540,应收单号,0)),"")&lt;&gt;$D540),"★关联单号不是这个客户的",IF(AND($L540&lt;&gt;"",ROUND(SUMIF(收款关联,$L540,收款金额)-IFERROR(INDEX(应收金额,MATCH($L540,应收单号,0)),0),2)&gt;0.001),"★指定冲销超过那张单的应收","OK"))))))))</f>
        <v/>
      </c>
    </row>
    <row r="541" customFormat="false" ht="15" hidden="false" customHeight="false" outlineLevel="0" collapsed="false">
      <c r="A541" s="29" t="str">
        <f aca="false">IF($C541="","",ROW()-4)</f>
        <v/>
      </c>
      <c r="B541" s="35" t="str">
        <f aca="false">IF($C541="","","SK"&amp;TEXT($C541,"yyyymm")&amp;"-"&amp;TEXT(ROW()-4,"0000"))</f>
        <v/>
      </c>
      <c r="C541" s="33"/>
      <c r="D541" s="24"/>
      <c r="E541" s="30" t="str">
        <f aca="false">IF($D541="","",IFERROR(INDEX(合同单位,MATCH($D541,合同键,0)),IFERROR(TRIM(LEFT($D541,FIND("｜",$D541)-1)),$D541)))</f>
        <v/>
      </c>
      <c r="F541" s="30" t="str">
        <f aca="false">IF($D541="","",IFERROR(INDEX(合同项目,MATCH($D541,合同键,0)),IFERROR(TRIM(MID($D541,FIND("｜",$D541)+1,99)),"")))</f>
        <v/>
      </c>
      <c r="G541" s="39"/>
      <c r="H541" s="25"/>
      <c r="I541" s="35" t="str">
        <f aca="false">IF($H541="","",IFERROR(INDEX(票据归类表,MATCH($H541,票据类型表,0)),"现金无票"))</f>
        <v/>
      </c>
      <c r="J541" s="25"/>
      <c r="K541" s="25"/>
      <c r="L541" s="31"/>
      <c r="M541" s="29" t="str">
        <f aca="false">IF($C541="","",YEAR($C541))</f>
        <v/>
      </c>
      <c r="N541" s="24"/>
      <c r="O541" s="35" t="str">
        <f aca="false">IF($C541="","",IF($D541="","★没选客户项目",IF(COUNTIF(合同键,$D541)=0,"★《维保合同》里没这个项目",IF(N($G541)&lt;=0,"★收款金额要填",IF($H541="","★票据类型要选",IF(AND($L541&lt;&gt;"",COUNTIF(应收单号,$L541)=0),"★关联的应收单号不存在",IF(AND($L541&lt;&gt;"",IFERROR(INDEX(应收键,MATCH($L541,应收单号,0)),"")&lt;&gt;$D541),"★关联单号不是这个客户的",IF(AND($L541&lt;&gt;"",ROUND(SUMIF(收款关联,$L541,收款金额)-IFERROR(INDEX(应收金额,MATCH($L541,应收单号,0)),0),2)&gt;0.001),"★指定冲销超过那张单的应收","OK"))))))))</f>
        <v/>
      </c>
    </row>
    <row r="542" customFormat="false" ht="15" hidden="false" customHeight="false" outlineLevel="0" collapsed="false">
      <c r="A542" s="29" t="str">
        <f aca="false">IF($C542="","",ROW()-4)</f>
        <v/>
      </c>
      <c r="B542" s="35" t="str">
        <f aca="false">IF($C542="","","SK"&amp;TEXT($C542,"yyyymm")&amp;"-"&amp;TEXT(ROW()-4,"0000"))</f>
        <v/>
      </c>
      <c r="C542" s="33"/>
      <c r="D542" s="24"/>
      <c r="E542" s="30" t="str">
        <f aca="false">IF($D542="","",IFERROR(INDEX(合同单位,MATCH($D542,合同键,0)),IFERROR(TRIM(LEFT($D542,FIND("｜",$D542)-1)),$D542)))</f>
        <v/>
      </c>
      <c r="F542" s="30" t="str">
        <f aca="false">IF($D542="","",IFERROR(INDEX(合同项目,MATCH($D542,合同键,0)),IFERROR(TRIM(MID($D542,FIND("｜",$D542)+1,99)),"")))</f>
        <v/>
      </c>
      <c r="G542" s="39"/>
      <c r="H542" s="25"/>
      <c r="I542" s="35" t="str">
        <f aca="false">IF($H542="","",IFERROR(INDEX(票据归类表,MATCH($H542,票据类型表,0)),"现金无票"))</f>
        <v/>
      </c>
      <c r="J542" s="25"/>
      <c r="K542" s="25"/>
      <c r="L542" s="31"/>
      <c r="M542" s="29" t="str">
        <f aca="false">IF($C542="","",YEAR($C542))</f>
        <v/>
      </c>
      <c r="N542" s="24"/>
      <c r="O542" s="35" t="str">
        <f aca="false">IF($C542="","",IF($D542="","★没选客户项目",IF(COUNTIF(合同键,$D542)=0,"★《维保合同》里没这个项目",IF(N($G542)&lt;=0,"★收款金额要填",IF($H542="","★票据类型要选",IF(AND($L542&lt;&gt;"",COUNTIF(应收单号,$L542)=0),"★关联的应收单号不存在",IF(AND($L542&lt;&gt;"",IFERROR(INDEX(应收键,MATCH($L542,应收单号,0)),"")&lt;&gt;$D542),"★关联单号不是这个客户的",IF(AND($L542&lt;&gt;"",ROUND(SUMIF(收款关联,$L542,收款金额)-IFERROR(INDEX(应收金额,MATCH($L542,应收单号,0)),0),2)&gt;0.001),"★指定冲销超过那张单的应收","OK"))))))))</f>
        <v/>
      </c>
    </row>
    <row r="543" customFormat="false" ht="15" hidden="false" customHeight="false" outlineLevel="0" collapsed="false">
      <c r="A543" s="29" t="str">
        <f aca="false">IF($C543="","",ROW()-4)</f>
        <v/>
      </c>
      <c r="B543" s="35" t="str">
        <f aca="false">IF($C543="","","SK"&amp;TEXT($C543,"yyyymm")&amp;"-"&amp;TEXT(ROW()-4,"0000"))</f>
        <v/>
      </c>
      <c r="C543" s="33"/>
      <c r="D543" s="24"/>
      <c r="E543" s="30" t="str">
        <f aca="false">IF($D543="","",IFERROR(INDEX(合同单位,MATCH($D543,合同键,0)),IFERROR(TRIM(LEFT($D543,FIND("｜",$D543)-1)),$D543)))</f>
        <v/>
      </c>
      <c r="F543" s="30" t="str">
        <f aca="false">IF($D543="","",IFERROR(INDEX(合同项目,MATCH($D543,合同键,0)),IFERROR(TRIM(MID($D543,FIND("｜",$D543)+1,99)),"")))</f>
        <v/>
      </c>
      <c r="G543" s="39"/>
      <c r="H543" s="25"/>
      <c r="I543" s="35" t="str">
        <f aca="false">IF($H543="","",IFERROR(INDEX(票据归类表,MATCH($H543,票据类型表,0)),"现金无票"))</f>
        <v/>
      </c>
      <c r="J543" s="25"/>
      <c r="K543" s="25"/>
      <c r="L543" s="31"/>
      <c r="M543" s="29" t="str">
        <f aca="false">IF($C543="","",YEAR($C543))</f>
        <v/>
      </c>
      <c r="N543" s="24"/>
      <c r="O543" s="35" t="str">
        <f aca="false">IF($C543="","",IF($D543="","★没选客户项目",IF(COUNTIF(合同键,$D543)=0,"★《维保合同》里没这个项目",IF(N($G543)&lt;=0,"★收款金额要填",IF($H543="","★票据类型要选",IF(AND($L543&lt;&gt;"",COUNTIF(应收单号,$L543)=0),"★关联的应收单号不存在",IF(AND($L543&lt;&gt;"",IFERROR(INDEX(应收键,MATCH($L543,应收单号,0)),"")&lt;&gt;$D543),"★关联单号不是这个客户的",IF(AND($L543&lt;&gt;"",ROUND(SUMIF(收款关联,$L543,收款金额)-IFERROR(INDEX(应收金额,MATCH($L543,应收单号,0)),0),2)&gt;0.001),"★指定冲销超过那张单的应收","OK"))))))))</f>
        <v/>
      </c>
    </row>
    <row r="544" customFormat="false" ht="15" hidden="false" customHeight="false" outlineLevel="0" collapsed="false">
      <c r="A544" s="29" t="str">
        <f aca="false">IF($C544="","",ROW()-4)</f>
        <v/>
      </c>
      <c r="B544" s="35" t="str">
        <f aca="false">IF($C544="","","SK"&amp;TEXT($C544,"yyyymm")&amp;"-"&amp;TEXT(ROW()-4,"0000"))</f>
        <v/>
      </c>
      <c r="C544" s="33"/>
      <c r="D544" s="24"/>
      <c r="E544" s="30" t="str">
        <f aca="false">IF($D544="","",IFERROR(INDEX(合同单位,MATCH($D544,合同键,0)),IFERROR(TRIM(LEFT($D544,FIND("｜",$D544)-1)),$D544)))</f>
        <v/>
      </c>
      <c r="F544" s="30" t="str">
        <f aca="false">IF($D544="","",IFERROR(INDEX(合同项目,MATCH($D544,合同键,0)),IFERROR(TRIM(MID($D544,FIND("｜",$D544)+1,99)),"")))</f>
        <v/>
      </c>
      <c r="G544" s="39"/>
      <c r="H544" s="25"/>
      <c r="I544" s="35" t="str">
        <f aca="false">IF($H544="","",IFERROR(INDEX(票据归类表,MATCH($H544,票据类型表,0)),"现金无票"))</f>
        <v/>
      </c>
      <c r="J544" s="25"/>
      <c r="K544" s="25"/>
      <c r="L544" s="31"/>
      <c r="M544" s="29" t="str">
        <f aca="false">IF($C544="","",YEAR($C544))</f>
        <v/>
      </c>
      <c r="N544" s="24"/>
      <c r="O544" s="35" t="str">
        <f aca="false">IF($C544="","",IF($D544="","★没选客户项目",IF(COUNTIF(合同键,$D544)=0,"★《维保合同》里没这个项目",IF(N($G544)&lt;=0,"★收款金额要填",IF($H544="","★票据类型要选",IF(AND($L544&lt;&gt;"",COUNTIF(应收单号,$L544)=0),"★关联的应收单号不存在",IF(AND($L544&lt;&gt;"",IFERROR(INDEX(应收键,MATCH($L544,应收单号,0)),"")&lt;&gt;$D544),"★关联单号不是这个客户的",IF(AND($L544&lt;&gt;"",ROUND(SUMIF(收款关联,$L544,收款金额)-IFERROR(INDEX(应收金额,MATCH($L544,应收单号,0)),0),2)&gt;0.001),"★指定冲销超过那张单的应收","OK"))))))))</f>
        <v/>
      </c>
    </row>
    <row r="545" customFormat="false" ht="15" hidden="false" customHeight="false" outlineLevel="0" collapsed="false">
      <c r="A545" s="29" t="str">
        <f aca="false">IF($C545="","",ROW()-4)</f>
        <v/>
      </c>
      <c r="B545" s="35" t="str">
        <f aca="false">IF($C545="","","SK"&amp;TEXT($C545,"yyyymm")&amp;"-"&amp;TEXT(ROW()-4,"0000"))</f>
        <v/>
      </c>
      <c r="C545" s="33"/>
      <c r="D545" s="24"/>
      <c r="E545" s="30" t="str">
        <f aca="false">IF($D545="","",IFERROR(INDEX(合同单位,MATCH($D545,合同键,0)),IFERROR(TRIM(LEFT($D545,FIND("｜",$D545)-1)),$D545)))</f>
        <v/>
      </c>
      <c r="F545" s="30" t="str">
        <f aca="false">IF($D545="","",IFERROR(INDEX(合同项目,MATCH($D545,合同键,0)),IFERROR(TRIM(MID($D545,FIND("｜",$D545)+1,99)),"")))</f>
        <v/>
      </c>
      <c r="G545" s="39"/>
      <c r="H545" s="25"/>
      <c r="I545" s="35" t="str">
        <f aca="false">IF($H545="","",IFERROR(INDEX(票据归类表,MATCH($H545,票据类型表,0)),"现金无票"))</f>
        <v/>
      </c>
      <c r="J545" s="25"/>
      <c r="K545" s="25"/>
      <c r="L545" s="31"/>
      <c r="M545" s="29" t="str">
        <f aca="false">IF($C545="","",YEAR($C545))</f>
        <v/>
      </c>
      <c r="N545" s="24"/>
      <c r="O545" s="35" t="str">
        <f aca="false">IF($C545="","",IF($D545="","★没选客户项目",IF(COUNTIF(合同键,$D545)=0,"★《维保合同》里没这个项目",IF(N($G545)&lt;=0,"★收款金额要填",IF($H545="","★票据类型要选",IF(AND($L545&lt;&gt;"",COUNTIF(应收单号,$L545)=0),"★关联的应收单号不存在",IF(AND($L545&lt;&gt;"",IFERROR(INDEX(应收键,MATCH($L545,应收单号,0)),"")&lt;&gt;$D545),"★关联单号不是这个客户的",IF(AND($L545&lt;&gt;"",ROUND(SUMIF(收款关联,$L545,收款金额)-IFERROR(INDEX(应收金额,MATCH($L545,应收单号,0)),0),2)&gt;0.001),"★指定冲销超过那张单的应收","OK"))))))))</f>
        <v/>
      </c>
    </row>
    <row r="546" customFormat="false" ht="15" hidden="false" customHeight="false" outlineLevel="0" collapsed="false">
      <c r="A546" s="29" t="str">
        <f aca="false">IF($C546="","",ROW()-4)</f>
        <v/>
      </c>
      <c r="B546" s="35" t="str">
        <f aca="false">IF($C546="","","SK"&amp;TEXT($C546,"yyyymm")&amp;"-"&amp;TEXT(ROW()-4,"0000"))</f>
        <v/>
      </c>
      <c r="C546" s="33"/>
      <c r="D546" s="24"/>
      <c r="E546" s="30" t="str">
        <f aca="false">IF($D546="","",IFERROR(INDEX(合同单位,MATCH($D546,合同键,0)),IFERROR(TRIM(LEFT($D546,FIND("｜",$D546)-1)),$D546)))</f>
        <v/>
      </c>
      <c r="F546" s="30" t="str">
        <f aca="false">IF($D546="","",IFERROR(INDEX(合同项目,MATCH($D546,合同键,0)),IFERROR(TRIM(MID($D546,FIND("｜",$D546)+1,99)),"")))</f>
        <v/>
      </c>
      <c r="G546" s="39"/>
      <c r="H546" s="25"/>
      <c r="I546" s="35" t="str">
        <f aca="false">IF($H546="","",IFERROR(INDEX(票据归类表,MATCH($H546,票据类型表,0)),"现金无票"))</f>
        <v/>
      </c>
      <c r="J546" s="25"/>
      <c r="K546" s="25"/>
      <c r="L546" s="31"/>
      <c r="M546" s="29" t="str">
        <f aca="false">IF($C546="","",YEAR($C546))</f>
        <v/>
      </c>
      <c r="N546" s="24"/>
      <c r="O546" s="35" t="str">
        <f aca="false">IF($C546="","",IF($D546="","★没选客户项目",IF(COUNTIF(合同键,$D546)=0,"★《维保合同》里没这个项目",IF(N($G546)&lt;=0,"★收款金额要填",IF($H546="","★票据类型要选",IF(AND($L546&lt;&gt;"",COUNTIF(应收单号,$L546)=0),"★关联的应收单号不存在",IF(AND($L546&lt;&gt;"",IFERROR(INDEX(应收键,MATCH($L546,应收单号,0)),"")&lt;&gt;$D546),"★关联单号不是这个客户的",IF(AND($L546&lt;&gt;"",ROUND(SUMIF(收款关联,$L546,收款金额)-IFERROR(INDEX(应收金额,MATCH($L546,应收单号,0)),0),2)&gt;0.001),"★指定冲销超过那张单的应收","OK"))))))))</f>
        <v/>
      </c>
    </row>
    <row r="547" customFormat="false" ht="15" hidden="false" customHeight="false" outlineLevel="0" collapsed="false">
      <c r="A547" s="29" t="str">
        <f aca="false">IF($C547="","",ROW()-4)</f>
        <v/>
      </c>
      <c r="B547" s="35" t="str">
        <f aca="false">IF($C547="","","SK"&amp;TEXT($C547,"yyyymm")&amp;"-"&amp;TEXT(ROW()-4,"0000"))</f>
        <v/>
      </c>
      <c r="C547" s="33"/>
      <c r="D547" s="24"/>
      <c r="E547" s="30" t="str">
        <f aca="false">IF($D547="","",IFERROR(INDEX(合同单位,MATCH($D547,合同键,0)),IFERROR(TRIM(LEFT($D547,FIND("｜",$D547)-1)),$D547)))</f>
        <v/>
      </c>
      <c r="F547" s="30" t="str">
        <f aca="false">IF($D547="","",IFERROR(INDEX(合同项目,MATCH($D547,合同键,0)),IFERROR(TRIM(MID($D547,FIND("｜",$D547)+1,99)),"")))</f>
        <v/>
      </c>
      <c r="G547" s="39"/>
      <c r="H547" s="25"/>
      <c r="I547" s="35" t="str">
        <f aca="false">IF($H547="","",IFERROR(INDEX(票据归类表,MATCH($H547,票据类型表,0)),"现金无票"))</f>
        <v/>
      </c>
      <c r="J547" s="25"/>
      <c r="K547" s="25"/>
      <c r="L547" s="31"/>
      <c r="M547" s="29" t="str">
        <f aca="false">IF($C547="","",YEAR($C547))</f>
        <v/>
      </c>
      <c r="N547" s="24"/>
      <c r="O547" s="35" t="str">
        <f aca="false">IF($C547="","",IF($D547="","★没选客户项目",IF(COUNTIF(合同键,$D547)=0,"★《维保合同》里没这个项目",IF(N($G547)&lt;=0,"★收款金额要填",IF($H547="","★票据类型要选",IF(AND($L547&lt;&gt;"",COUNTIF(应收单号,$L547)=0),"★关联的应收单号不存在",IF(AND($L547&lt;&gt;"",IFERROR(INDEX(应收键,MATCH($L547,应收单号,0)),"")&lt;&gt;$D547),"★关联单号不是这个客户的",IF(AND($L547&lt;&gt;"",ROUND(SUMIF(收款关联,$L547,收款金额)-IFERROR(INDEX(应收金额,MATCH($L547,应收单号,0)),0),2)&gt;0.001),"★指定冲销超过那张单的应收","OK"))))))))</f>
        <v/>
      </c>
    </row>
    <row r="548" customFormat="false" ht="15" hidden="false" customHeight="false" outlineLevel="0" collapsed="false">
      <c r="A548" s="29" t="str">
        <f aca="false">IF($C548="","",ROW()-4)</f>
        <v/>
      </c>
      <c r="B548" s="35" t="str">
        <f aca="false">IF($C548="","","SK"&amp;TEXT($C548,"yyyymm")&amp;"-"&amp;TEXT(ROW()-4,"0000"))</f>
        <v/>
      </c>
      <c r="C548" s="33"/>
      <c r="D548" s="24"/>
      <c r="E548" s="30" t="str">
        <f aca="false">IF($D548="","",IFERROR(INDEX(合同单位,MATCH($D548,合同键,0)),IFERROR(TRIM(LEFT($D548,FIND("｜",$D548)-1)),$D548)))</f>
        <v/>
      </c>
      <c r="F548" s="30" t="str">
        <f aca="false">IF($D548="","",IFERROR(INDEX(合同项目,MATCH($D548,合同键,0)),IFERROR(TRIM(MID($D548,FIND("｜",$D548)+1,99)),"")))</f>
        <v/>
      </c>
      <c r="G548" s="39"/>
      <c r="H548" s="25"/>
      <c r="I548" s="35" t="str">
        <f aca="false">IF($H548="","",IFERROR(INDEX(票据归类表,MATCH($H548,票据类型表,0)),"现金无票"))</f>
        <v/>
      </c>
      <c r="J548" s="25"/>
      <c r="K548" s="25"/>
      <c r="L548" s="31"/>
      <c r="M548" s="29" t="str">
        <f aca="false">IF($C548="","",YEAR($C548))</f>
        <v/>
      </c>
      <c r="N548" s="24"/>
      <c r="O548" s="35" t="str">
        <f aca="false">IF($C548="","",IF($D548="","★没选客户项目",IF(COUNTIF(合同键,$D548)=0,"★《维保合同》里没这个项目",IF(N($G548)&lt;=0,"★收款金额要填",IF($H548="","★票据类型要选",IF(AND($L548&lt;&gt;"",COUNTIF(应收单号,$L548)=0),"★关联的应收单号不存在",IF(AND($L548&lt;&gt;"",IFERROR(INDEX(应收键,MATCH($L548,应收单号,0)),"")&lt;&gt;$D548),"★关联单号不是这个客户的",IF(AND($L548&lt;&gt;"",ROUND(SUMIF(收款关联,$L548,收款金额)-IFERROR(INDEX(应收金额,MATCH($L548,应收单号,0)),0),2)&gt;0.001),"★指定冲销超过那张单的应收","OK"))))))))</f>
        <v/>
      </c>
    </row>
    <row r="549" customFormat="false" ht="15" hidden="false" customHeight="false" outlineLevel="0" collapsed="false">
      <c r="A549" s="29" t="str">
        <f aca="false">IF($C549="","",ROW()-4)</f>
        <v/>
      </c>
      <c r="B549" s="35" t="str">
        <f aca="false">IF($C549="","","SK"&amp;TEXT($C549,"yyyymm")&amp;"-"&amp;TEXT(ROW()-4,"0000"))</f>
        <v/>
      </c>
      <c r="C549" s="33"/>
      <c r="D549" s="24"/>
      <c r="E549" s="30" t="str">
        <f aca="false">IF($D549="","",IFERROR(INDEX(合同单位,MATCH($D549,合同键,0)),IFERROR(TRIM(LEFT($D549,FIND("｜",$D549)-1)),$D549)))</f>
        <v/>
      </c>
      <c r="F549" s="30" t="str">
        <f aca="false">IF($D549="","",IFERROR(INDEX(合同项目,MATCH($D549,合同键,0)),IFERROR(TRIM(MID($D549,FIND("｜",$D549)+1,99)),"")))</f>
        <v/>
      </c>
      <c r="G549" s="39"/>
      <c r="H549" s="25"/>
      <c r="I549" s="35" t="str">
        <f aca="false">IF($H549="","",IFERROR(INDEX(票据归类表,MATCH($H549,票据类型表,0)),"现金无票"))</f>
        <v/>
      </c>
      <c r="J549" s="25"/>
      <c r="K549" s="25"/>
      <c r="L549" s="31"/>
      <c r="M549" s="29" t="str">
        <f aca="false">IF($C549="","",YEAR($C549))</f>
        <v/>
      </c>
      <c r="N549" s="24"/>
      <c r="O549" s="35" t="str">
        <f aca="false">IF($C549="","",IF($D549="","★没选客户项目",IF(COUNTIF(合同键,$D549)=0,"★《维保合同》里没这个项目",IF(N($G549)&lt;=0,"★收款金额要填",IF($H549="","★票据类型要选",IF(AND($L549&lt;&gt;"",COUNTIF(应收单号,$L549)=0),"★关联的应收单号不存在",IF(AND($L549&lt;&gt;"",IFERROR(INDEX(应收键,MATCH($L549,应收单号,0)),"")&lt;&gt;$D549),"★关联单号不是这个客户的",IF(AND($L549&lt;&gt;"",ROUND(SUMIF(收款关联,$L549,收款金额)-IFERROR(INDEX(应收金额,MATCH($L549,应收单号,0)),0),2)&gt;0.001),"★指定冲销超过那张单的应收","OK"))))))))</f>
        <v/>
      </c>
    </row>
    <row r="550" customFormat="false" ht="15" hidden="false" customHeight="false" outlineLevel="0" collapsed="false">
      <c r="A550" s="29" t="str">
        <f aca="false">IF($C550="","",ROW()-4)</f>
        <v/>
      </c>
      <c r="B550" s="35" t="str">
        <f aca="false">IF($C550="","","SK"&amp;TEXT($C550,"yyyymm")&amp;"-"&amp;TEXT(ROW()-4,"0000"))</f>
        <v/>
      </c>
      <c r="C550" s="33"/>
      <c r="D550" s="24"/>
      <c r="E550" s="30" t="str">
        <f aca="false">IF($D550="","",IFERROR(INDEX(合同单位,MATCH($D550,合同键,0)),IFERROR(TRIM(LEFT($D550,FIND("｜",$D550)-1)),$D550)))</f>
        <v/>
      </c>
      <c r="F550" s="30" t="str">
        <f aca="false">IF($D550="","",IFERROR(INDEX(合同项目,MATCH($D550,合同键,0)),IFERROR(TRIM(MID($D550,FIND("｜",$D550)+1,99)),"")))</f>
        <v/>
      </c>
      <c r="G550" s="39"/>
      <c r="H550" s="25"/>
      <c r="I550" s="35" t="str">
        <f aca="false">IF($H550="","",IFERROR(INDEX(票据归类表,MATCH($H550,票据类型表,0)),"现金无票"))</f>
        <v/>
      </c>
      <c r="J550" s="25"/>
      <c r="K550" s="25"/>
      <c r="L550" s="31"/>
      <c r="M550" s="29" t="str">
        <f aca="false">IF($C550="","",YEAR($C550))</f>
        <v/>
      </c>
      <c r="N550" s="24"/>
      <c r="O550" s="35" t="str">
        <f aca="false">IF($C550="","",IF($D550="","★没选客户项目",IF(COUNTIF(合同键,$D550)=0,"★《维保合同》里没这个项目",IF(N($G550)&lt;=0,"★收款金额要填",IF($H550="","★票据类型要选",IF(AND($L550&lt;&gt;"",COUNTIF(应收单号,$L550)=0),"★关联的应收单号不存在",IF(AND($L550&lt;&gt;"",IFERROR(INDEX(应收键,MATCH($L550,应收单号,0)),"")&lt;&gt;$D550),"★关联单号不是这个客户的",IF(AND($L550&lt;&gt;"",ROUND(SUMIF(收款关联,$L550,收款金额)-IFERROR(INDEX(应收金额,MATCH($L550,应收单号,0)),0),2)&gt;0.001),"★指定冲销超过那张单的应收","OK"))))))))</f>
        <v/>
      </c>
    </row>
    <row r="551" customFormat="false" ht="15" hidden="false" customHeight="false" outlineLevel="0" collapsed="false">
      <c r="A551" s="29" t="str">
        <f aca="false">IF($C551="","",ROW()-4)</f>
        <v/>
      </c>
      <c r="B551" s="35" t="str">
        <f aca="false">IF($C551="","","SK"&amp;TEXT($C551,"yyyymm")&amp;"-"&amp;TEXT(ROW()-4,"0000"))</f>
        <v/>
      </c>
      <c r="C551" s="33"/>
      <c r="D551" s="24"/>
      <c r="E551" s="30" t="str">
        <f aca="false">IF($D551="","",IFERROR(INDEX(合同单位,MATCH($D551,合同键,0)),IFERROR(TRIM(LEFT($D551,FIND("｜",$D551)-1)),$D551)))</f>
        <v/>
      </c>
      <c r="F551" s="30" t="str">
        <f aca="false">IF($D551="","",IFERROR(INDEX(合同项目,MATCH($D551,合同键,0)),IFERROR(TRIM(MID($D551,FIND("｜",$D551)+1,99)),"")))</f>
        <v/>
      </c>
      <c r="G551" s="39"/>
      <c r="H551" s="25"/>
      <c r="I551" s="35" t="str">
        <f aca="false">IF($H551="","",IFERROR(INDEX(票据归类表,MATCH($H551,票据类型表,0)),"现金无票"))</f>
        <v/>
      </c>
      <c r="J551" s="25"/>
      <c r="K551" s="25"/>
      <c r="L551" s="31"/>
      <c r="M551" s="29" t="str">
        <f aca="false">IF($C551="","",YEAR($C551))</f>
        <v/>
      </c>
      <c r="N551" s="24"/>
      <c r="O551" s="35" t="str">
        <f aca="false">IF($C551="","",IF($D551="","★没选客户项目",IF(COUNTIF(合同键,$D551)=0,"★《维保合同》里没这个项目",IF(N($G551)&lt;=0,"★收款金额要填",IF($H551="","★票据类型要选",IF(AND($L551&lt;&gt;"",COUNTIF(应收单号,$L551)=0),"★关联的应收单号不存在",IF(AND($L551&lt;&gt;"",IFERROR(INDEX(应收键,MATCH($L551,应收单号,0)),"")&lt;&gt;$D551),"★关联单号不是这个客户的",IF(AND($L551&lt;&gt;"",ROUND(SUMIF(收款关联,$L551,收款金额)-IFERROR(INDEX(应收金额,MATCH($L551,应收单号,0)),0),2)&gt;0.001),"★指定冲销超过那张单的应收","OK"))))))))</f>
        <v/>
      </c>
    </row>
    <row r="552" customFormat="false" ht="15" hidden="false" customHeight="false" outlineLevel="0" collapsed="false">
      <c r="A552" s="29" t="str">
        <f aca="false">IF($C552="","",ROW()-4)</f>
        <v/>
      </c>
      <c r="B552" s="35" t="str">
        <f aca="false">IF($C552="","","SK"&amp;TEXT($C552,"yyyymm")&amp;"-"&amp;TEXT(ROW()-4,"0000"))</f>
        <v/>
      </c>
      <c r="C552" s="33"/>
      <c r="D552" s="24"/>
      <c r="E552" s="30" t="str">
        <f aca="false">IF($D552="","",IFERROR(INDEX(合同单位,MATCH($D552,合同键,0)),IFERROR(TRIM(LEFT($D552,FIND("｜",$D552)-1)),$D552)))</f>
        <v/>
      </c>
      <c r="F552" s="30" t="str">
        <f aca="false">IF($D552="","",IFERROR(INDEX(合同项目,MATCH($D552,合同键,0)),IFERROR(TRIM(MID($D552,FIND("｜",$D552)+1,99)),"")))</f>
        <v/>
      </c>
      <c r="G552" s="39"/>
      <c r="H552" s="25"/>
      <c r="I552" s="35" t="str">
        <f aca="false">IF($H552="","",IFERROR(INDEX(票据归类表,MATCH($H552,票据类型表,0)),"现金无票"))</f>
        <v/>
      </c>
      <c r="J552" s="25"/>
      <c r="K552" s="25"/>
      <c r="L552" s="31"/>
      <c r="M552" s="29" t="str">
        <f aca="false">IF($C552="","",YEAR($C552))</f>
        <v/>
      </c>
      <c r="N552" s="24"/>
      <c r="O552" s="35" t="str">
        <f aca="false">IF($C552="","",IF($D552="","★没选客户项目",IF(COUNTIF(合同键,$D552)=0,"★《维保合同》里没这个项目",IF(N($G552)&lt;=0,"★收款金额要填",IF($H552="","★票据类型要选",IF(AND($L552&lt;&gt;"",COUNTIF(应收单号,$L552)=0),"★关联的应收单号不存在",IF(AND($L552&lt;&gt;"",IFERROR(INDEX(应收键,MATCH($L552,应收单号,0)),"")&lt;&gt;$D552),"★关联单号不是这个客户的",IF(AND($L552&lt;&gt;"",ROUND(SUMIF(收款关联,$L552,收款金额)-IFERROR(INDEX(应收金额,MATCH($L552,应收单号,0)),0),2)&gt;0.001),"★指定冲销超过那张单的应收","OK"))))))))</f>
        <v/>
      </c>
    </row>
    <row r="553" customFormat="false" ht="15" hidden="false" customHeight="false" outlineLevel="0" collapsed="false">
      <c r="A553" s="29" t="str">
        <f aca="false">IF($C553="","",ROW()-4)</f>
        <v/>
      </c>
      <c r="B553" s="35" t="str">
        <f aca="false">IF($C553="","","SK"&amp;TEXT($C553,"yyyymm")&amp;"-"&amp;TEXT(ROW()-4,"0000"))</f>
        <v/>
      </c>
      <c r="C553" s="33"/>
      <c r="D553" s="24"/>
      <c r="E553" s="30" t="str">
        <f aca="false">IF($D553="","",IFERROR(INDEX(合同单位,MATCH($D553,合同键,0)),IFERROR(TRIM(LEFT($D553,FIND("｜",$D553)-1)),$D553)))</f>
        <v/>
      </c>
      <c r="F553" s="30" t="str">
        <f aca="false">IF($D553="","",IFERROR(INDEX(合同项目,MATCH($D553,合同键,0)),IFERROR(TRIM(MID($D553,FIND("｜",$D553)+1,99)),"")))</f>
        <v/>
      </c>
      <c r="G553" s="39"/>
      <c r="H553" s="25"/>
      <c r="I553" s="35" t="str">
        <f aca="false">IF($H553="","",IFERROR(INDEX(票据归类表,MATCH($H553,票据类型表,0)),"现金无票"))</f>
        <v/>
      </c>
      <c r="J553" s="25"/>
      <c r="K553" s="25"/>
      <c r="L553" s="31"/>
      <c r="M553" s="29" t="str">
        <f aca="false">IF($C553="","",YEAR($C553))</f>
        <v/>
      </c>
      <c r="N553" s="24"/>
      <c r="O553" s="35" t="str">
        <f aca="false">IF($C553="","",IF($D553="","★没选客户项目",IF(COUNTIF(合同键,$D553)=0,"★《维保合同》里没这个项目",IF(N($G553)&lt;=0,"★收款金额要填",IF($H553="","★票据类型要选",IF(AND($L553&lt;&gt;"",COUNTIF(应收单号,$L553)=0),"★关联的应收单号不存在",IF(AND($L553&lt;&gt;"",IFERROR(INDEX(应收键,MATCH($L553,应收单号,0)),"")&lt;&gt;$D553),"★关联单号不是这个客户的",IF(AND($L553&lt;&gt;"",ROUND(SUMIF(收款关联,$L553,收款金额)-IFERROR(INDEX(应收金额,MATCH($L553,应收单号,0)),0),2)&gt;0.001),"★指定冲销超过那张单的应收","OK"))))))))</f>
        <v/>
      </c>
    </row>
    <row r="554" customFormat="false" ht="15" hidden="false" customHeight="false" outlineLevel="0" collapsed="false">
      <c r="A554" s="29" t="str">
        <f aca="false">IF($C554="","",ROW()-4)</f>
        <v/>
      </c>
      <c r="B554" s="35" t="str">
        <f aca="false">IF($C554="","","SK"&amp;TEXT($C554,"yyyymm")&amp;"-"&amp;TEXT(ROW()-4,"0000"))</f>
        <v/>
      </c>
      <c r="C554" s="33"/>
      <c r="D554" s="24"/>
      <c r="E554" s="30" t="str">
        <f aca="false">IF($D554="","",IFERROR(INDEX(合同单位,MATCH($D554,合同键,0)),IFERROR(TRIM(LEFT($D554,FIND("｜",$D554)-1)),$D554)))</f>
        <v/>
      </c>
      <c r="F554" s="30" t="str">
        <f aca="false">IF($D554="","",IFERROR(INDEX(合同项目,MATCH($D554,合同键,0)),IFERROR(TRIM(MID($D554,FIND("｜",$D554)+1,99)),"")))</f>
        <v/>
      </c>
      <c r="G554" s="39"/>
      <c r="H554" s="25"/>
      <c r="I554" s="35" t="str">
        <f aca="false">IF($H554="","",IFERROR(INDEX(票据归类表,MATCH($H554,票据类型表,0)),"现金无票"))</f>
        <v/>
      </c>
      <c r="J554" s="25"/>
      <c r="K554" s="25"/>
      <c r="L554" s="31"/>
      <c r="M554" s="29" t="str">
        <f aca="false">IF($C554="","",YEAR($C554))</f>
        <v/>
      </c>
      <c r="N554" s="24"/>
      <c r="O554" s="35" t="str">
        <f aca="false">IF($C554="","",IF($D554="","★没选客户项目",IF(COUNTIF(合同键,$D554)=0,"★《维保合同》里没这个项目",IF(N($G554)&lt;=0,"★收款金额要填",IF($H554="","★票据类型要选",IF(AND($L554&lt;&gt;"",COUNTIF(应收单号,$L554)=0),"★关联的应收单号不存在",IF(AND($L554&lt;&gt;"",IFERROR(INDEX(应收键,MATCH($L554,应收单号,0)),"")&lt;&gt;$D554),"★关联单号不是这个客户的",IF(AND($L554&lt;&gt;"",ROUND(SUMIF(收款关联,$L554,收款金额)-IFERROR(INDEX(应收金额,MATCH($L554,应收单号,0)),0),2)&gt;0.001),"★指定冲销超过那张单的应收","OK"))))))))</f>
        <v/>
      </c>
    </row>
    <row r="555" customFormat="false" ht="15" hidden="false" customHeight="false" outlineLevel="0" collapsed="false">
      <c r="A555" s="29" t="str">
        <f aca="false">IF($C555="","",ROW()-4)</f>
        <v/>
      </c>
      <c r="B555" s="35" t="str">
        <f aca="false">IF($C555="","","SK"&amp;TEXT($C555,"yyyymm")&amp;"-"&amp;TEXT(ROW()-4,"0000"))</f>
        <v/>
      </c>
      <c r="C555" s="33"/>
      <c r="D555" s="24"/>
      <c r="E555" s="30" t="str">
        <f aca="false">IF($D555="","",IFERROR(INDEX(合同单位,MATCH($D555,合同键,0)),IFERROR(TRIM(LEFT($D555,FIND("｜",$D555)-1)),$D555)))</f>
        <v/>
      </c>
      <c r="F555" s="30" t="str">
        <f aca="false">IF($D555="","",IFERROR(INDEX(合同项目,MATCH($D555,合同键,0)),IFERROR(TRIM(MID($D555,FIND("｜",$D555)+1,99)),"")))</f>
        <v/>
      </c>
      <c r="G555" s="39"/>
      <c r="H555" s="25"/>
      <c r="I555" s="35" t="str">
        <f aca="false">IF($H555="","",IFERROR(INDEX(票据归类表,MATCH($H555,票据类型表,0)),"现金无票"))</f>
        <v/>
      </c>
      <c r="J555" s="25"/>
      <c r="K555" s="25"/>
      <c r="L555" s="31"/>
      <c r="M555" s="29" t="str">
        <f aca="false">IF($C555="","",YEAR($C555))</f>
        <v/>
      </c>
      <c r="N555" s="24"/>
      <c r="O555" s="35" t="str">
        <f aca="false">IF($C555="","",IF($D555="","★没选客户项目",IF(COUNTIF(合同键,$D555)=0,"★《维保合同》里没这个项目",IF(N($G555)&lt;=0,"★收款金额要填",IF($H555="","★票据类型要选",IF(AND($L555&lt;&gt;"",COUNTIF(应收单号,$L555)=0),"★关联的应收单号不存在",IF(AND($L555&lt;&gt;"",IFERROR(INDEX(应收键,MATCH($L555,应收单号,0)),"")&lt;&gt;$D555),"★关联单号不是这个客户的",IF(AND($L555&lt;&gt;"",ROUND(SUMIF(收款关联,$L555,收款金额)-IFERROR(INDEX(应收金额,MATCH($L555,应收单号,0)),0),2)&gt;0.001),"★指定冲销超过那张单的应收","OK"))))))))</f>
        <v/>
      </c>
    </row>
    <row r="556" customFormat="false" ht="15" hidden="false" customHeight="false" outlineLevel="0" collapsed="false">
      <c r="A556" s="29" t="str">
        <f aca="false">IF($C556="","",ROW()-4)</f>
        <v/>
      </c>
      <c r="B556" s="35" t="str">
        <f aca="false">IF($C556="","","SK"&amp;TEXT($C556,"yyyymm")&amp;"-"&amp;TEXT(ROW()-4,"0000"))</f>
        <v/>
      </c>
      <c r="C556" s="33"/>
      <c r="D556" s="24"/>
      <c r="E556" s="30" t="str">
        <f aca="false">IF($D556="","",IFERROR(INDEX(合同单位,MATCH($D556,合同键,0)),IFERROR(TRIM(LEFT($D556,FIND("｜",$D556)-1)),$D556)))</f>
        <v/>
      </c>
      <c r="F556" s="30" t="str">
        <f aca="false">IF($D556="","",IFERROR(INDEX(合同项目,MATCH($D556,合同键,0)),IFERROR(TRIM(MID($D556,FIND("｜",$D556)+1,99)),"")))</f>
        <v/>
      </c>
      <c r="G556" s="39"/>
      <c r="H556" s="25"/>
      <c r="I556" s="35" t="str">
        <f aca="false">IF($H556="","",IFERROR(INDEX(票据归类表,MATCH($H556,票据类型表,0)),"现金无票"))</f>
        <v/>
      </c>
      <c r="J556" s="25"/>
      <c r="K556" s="25"/>
      <c r="L556" s="31"/>
      <c r="M556" s="29" t="str">
        <f aca="false">IF($C556="","",YEAR($C556))</f>
        <v/>
      </c>
      <c r="N556" s="24"/>
      <c r="O556" s="35" t="str">
        <f aca="false">IF($C556="","",IF($D556="","★没选客户项目",IF(COUNTIF(合同键,$D556)=0,"★《维保合同》里没这个项目",IF(N($G556)&lt;=0,"★收款金额要填",IF($H556="","★票据类型要选",IF(AND($L556&lt;&gt;"",COUNTIF(应收单号,$L556)=0),"★关联的应收单号不存在",IF(AND($L556&lt;&gt;"",IFERROR(INDEX(应收键,MATCH($L556,应收单号,0)),"")&lt;&gt;$D556),"★关联单号不是这个客户的",IF(AND($L556&lt;&gt;"",ROUND(SUMIF(收款关联,$L556,收款金额)-IFERROR(INDEX(应收金额,MATCH($L556,应收单号,0)),0),2)&gt;0.001),"★指定冲销超过那张单的应收","OK"))))))))</f>
        <v/>
      </c>
    </row>
    <row r="557" customFormat="false" ht="15" hidden="false" customHeight="false" outlineLevel="0" collapsed="false">
      <c r="A557" s="29" t="str">
        <f aca="false">IF($C557="","",ROW()-4)</f>
        <v/>
      </c>
      <c r="B557" s="35" t="str">
        <f aca="false">IF($C557="","","SK"&amp;TEXT($C557,"yyyymm")&amp;"-"&amp;TEXT(ROW()-4,"0000"))</f>
        <v/>
      </c>
      <c r="C557" s="33"/>
      <c r="D557" s="24"/>
      <c r="E557" s="30" t="str">
        <f aca="false">IF($D557="","",IFERROR(INDEX(合同单位,MATCH($D557,合同键,0)),IFERROR(TRIM(LEFT($D557,FIND("｜",$D557)-1)),$D557)))</f>
        <v/>
      </c>
      <c r="F557" s="30" t="str">
        <f aca="false">IF($D557="","",IFERROR(INDEX(合同项目,MATCH($D557,合同键,0)),IFERROR(TRIM(MID($D557,FIND("｜",$D557)+1,99)),"")))</f>
        <v/>
      </c>
      <c r="G557" s="39"/>
      <c r="H557" s="25"/>
      <c r="I557" s="35" t="str">
        <f aca="false">IF($H557="","",IFERROR(INDEX(票据归类表,MATCH($H557,票据类型表,0)),"现金无票"))</f>
        <v/>
      </c>
      <c r="J557" s="25"/>
      <c r="K557" s="25"/>
      <c r="L557" s="31"/>
      <c r="M557" s="29" t="str">
        <f aca="false">IF($C557="","",YEAR($C557))</f>
        <v/>
      </c>
      <c r="N557" s="24"/>
      <c r="O557" s="35" t="str">
        <f aca="false">IF($C557="","",IF($D557="","★没选客户项目",IF(COUNTIF(合同键,$D557)=0,"★《维保合同》里没这个项目",IF(N($G557)&lt;=0,"★收款金额要填",IF($H557="","★票据类型要选",IF(AND($L557&lt;&gt;"",COUNTIF(应收单号,$L557)=0),"★关联的应收单号不存在",IF(AND($L557&lt;&gt;"",IFERROR(INDEX(应收键,MATCH($L557,应收单号,0)),"")&lt;&gt;$D557),"★关联单号不是这个客户的",IF(AND($L557&lt;&gt;"",ROUND(SUMIF(收款关联,$L557,收款金额)-IFERROR(INDEX(应收金额,MATCH($L557,应收单号,0)),0),2)&gt;0.001),"★指定冲销超过那张单的应收","OK"))))))))</f>
        <v/>
      </c>
    </row>
    <row r="558" customFormat="false" ht="15" hidden="false" customHeight="false" outlineLevel="0" collapsed="false">
      <c r="A558" s="29" t="str">
        <f aca="false">IF($C558="","",ROW()-4)</f>
        <v/>
      </c>
      <c r="B558" s="35" t="str">
        <f aca="false">IF($C558="","","SK"&amp;TEXT($C558,"yyyymm")&amp;"-"&amp;TEXT(ROW()-4,"0000"))</f>
        <v/>
      </c>
      <c r="C558" s="33"/>
      <c r="D558" s="24"/>
      <c r="E558" s="30" t="str">
        <f aca="false">IF($D558="","",IFERROR(INDEX(合同单位,MATCH($D558,合同键,0)),IFERROR(TRIM(LEFT($D558,FIND("｜",$D558)-1)),$D558)))</f>
        <v/>
      </c>
      <c r="F558" s="30" t="str">
        <f aca="false">IF($D558="","",IFERROR(INDEX(合同项目,MATCH($D558,合同键,0)),IFERROR(TRIM(MID($D558,FIND("｜",$D558)+1,99)),"")))</f>
        <v/>
      </c>
      <c r="G558" s="39"/>
      <c r="H558" s="25"/>
      <c r="I558" s="35" t="str">
        <f aca="false">IF($H558="","",IFERROR(INDEX(票据归类表,MATCH($H558,票据类型表,0)),"现金无票"))</f>
        <v/>
      </c>
      <c r="J558" s="25"/>
      <c r="K558" s="25"/>
      <c r="L558" s="31"/>
      <c r="M558" s="29" t="str">
        <f aca="false">IF($C558="","",YEAR($C558))</f>
        <v/>
      </c>
      <c r="N558" s="24"/>
      <c r="O558" s="35" t="str">
        <f aca="false">IF($C558="","",IF($D558="","★没选客户项目",IF(COUNTIF(合同键,$D558)=0,"★《维保合同》里没这个项目",IF(N($G558)&lt;=0,"★收款金额要填",IF($H558="","★票据类型要选",IF(AND($L558&lt;&gt;"",COUNTIF(应收单号,$L558)=0),"★关联的应收单号不存在",IF(AND($L558&lt;&gt;"",IFERROR(INDEX(应收键,MATCH($L558,应收单号,0)),"")&lt;&gt;$D558),"★关联单号不是这个客户的",IF(AND($L558&lt;&gt;"",ROUND(SUMIF(收款关联,$L558,收款金额)-IFERROR(INDEX(应收金额,MATCH($L558,应收单号,0)),0),2)&gt;0.001),"★指定冲销超过那张单的应收","OK"))))))))</f>
        <v/>
      </c>
    </row>
    <row r="559" customFormat="false" ht="15" hidden="false" customHeight="false" outlineLevel="0" collapsed="false">
      <c r="A559" s="29" t="str">
        <f aca="false">IF($C559="","",ROW()-4)</f>
        <v/>
      </c>
      <c r="B559" s="35" t="str">
        <f aca="false">IF($C559="","","SK"&amp;TEXT($C559,"yyyymm")&amp;"-"&amp;TEXT(ROW()-4,"0000"))</f>
        <v/>
      </c>
      <c r="C559" s="33"/>
      <c r="D559" s="24"/>
      <c r="E559" s="30" t="str">
        <f aca="false">IF($D559="","",IFERROR(INDEX(合同单位,MATCH($D559,合同键,0)),IFERROR(TRIM(LEFT($D559,FIND("｜",$D559)-1)),$D559)))</f>
        <v/>
      </c>
      <c r="F559" s="30" t="str">
        <f aca="false">IF($D559="","",IFERROR(INDEX(合同项目,MATCH($D559,合同键,0)),IFERROR(TRIM(MID($D559,FIND("｜",$D559)+1,99)),"")))</f>
        <v/>
      </c>
      <c r="G559" s="39"/>
      <c r="H559" s="25"/>
      <c r="I559" s="35" t="str">
        <f aca="false">IF($H559="","",IFERROR(INDEX(票据归类表,MATCH($H559,票据类型表,0)),"现金无票"))</f>
        <v/>
      </c>
      <c r="J559" s="25"/>
      <c r="K559" s="25"/>
      <c r="L559" s="31"/>
      <c r="M559" s="29" t="str">
        <f aca="false">IF($C559="","",YEAR($C559))</f>
        <v/>
      </c>
      <c r="N559" s="24"/>
      <c r="O559" s="35" t="str">
        <f aca="false">IF($C559="","",IF($D559="","★没选客户项目",IF(COUNTIF(合同键,$D559)=0,"★《维保合同》里没这个项目",IF(N($G559)&lt;=0,"★收款金额要填",IF($H559="","★票据类型要选",IF(AND($L559&lt;&gt;"",COUNTIF(应收单号,$L559)=0),"★关联的应收单号不存在",IF(AND($L559&lt;&gt;"",IFERROR(INDEX(应收键,MATCH($L559,应收单号,0)),"")&lt;&gt;$D559),"★关联单号不是这个客户的",IF(AND($L559&lt;&gt;"",ROUND(SUMIF(收款关联,$L559,收款金额)-IFERROR(INDEX(应收金额,MATCH($L559,应收单号,0)),0),2)&gt;0.001),"★指定冲销超过那张单的应收","OK"))))))))</f>
        <v/>
      </c>
    </row>
    <row r="560" customFormat="false" ht="15" hidden="false" customHeight="false" outlineLevel="0" collapsed="false">
      <c r="A560" s="29" t="str">
        <f aca="false">IF($C560="","",ROW()-4)</f>
        <v/>
      </c>
      <c r="B560" s="35" t="str">
        <f aca="false">IF($C560="","","SK"&amp;TEXT($C560,"yyyymm")&amp;"-"&amp;TEXT(ROW()-4,"0000"))</f>
        <v/>
      </c>
      <c r="C560" s="33"/>
      <c r="D560" s="24"/>
      <c r="E560" s="30" t="str">
        <f aca="false">IF($D560="","",IFERROR(INDEX(合同单位,MATCH($D560,合同键,0)),IFERROR(TRIM(LEFT($D560,FIND("｜",$D560)-1)),$D560)))</f>
        <v/>
      </c>
      <c r="F560" s="30" t="str">
        <f aca="false">IF($D560="","",IFERROR(INDEX(合同项目,MATCH($D560,合同键,0)),IFERROR(TRIM(MID($D560,FIND("｜",$D560)+1,99)),"")))</f>
        <v/>
      </c>
      <c r="G560" s="39"/>
      <c r="H560" s="25"/>
      <c r="I560" s="35" t="str">
        <f aca="false">IF($H560="","",IFERROR(INDEX(票据归类表,MATCH($H560,票据类型表,0)),"现金无票"))</f>
        <v/>
      </c>
      <c r="J560" s="25"/>
      <c r="K560" s="25"/>
      <c r="L560" s="31"/>
      <c r="M560" s="29" t="str">
        <f aca="false">IF($C560="","",YEAR($C560))</f>
        <v/>
      </c>
      <c r="N560" s="24"/>
      <c r="O560" s="35" t="str">
        <f aca="false">IF($C560="","",IF($D560="","★没选客户项目",IF(COUNTIF(合同键,$D560)=0,"★《维保合同》里没这个项目",IF(N($G560)&lt;=0,"★收款金额要填",IF($H560="","★票据类型要选",IF(AND($L560&lt;&gt;"",COUNTIF(应收单号,$L560)=0),"★关联的应收单号不存在",IF(AND($L560&lt;&gt;"",IFERROR(INDEX(应收键,MATCH($L560,应收单号,0)),"")&lt;&gt;$D560),"★关联单号不是这个客户的",IF(AND($L560&lt;&gt;"",ROUND(SUMIF(收款关联,$L560,收款金额)-IFERROR(INDEX(应收金额,MATCH($L560,应收单号,0)),0),2)&gt;0.001),"★指定冲销超过那张单的应收","OK"))))))))</f>
        <v/>
      </c>
    </row>
    <row r="561" customFormat="false" ht="15" hidden="false" customHeight="false" outlineLevel="0" collapsed="false">
      <c r="A561" s="29" t="str">
        <f aca="false">IF($C561="","",ROW()-4)</f>
        <v/>
      </c>
      <c r="B561" s="35" t="str">
        <f aca="false">IF($C561="","","SK"&amp;TEXT($C561,"yyyymm")&amp;"-"&amp;TEXT(ROW()-4,"0000"))</f>
        <v/>
      </c>
      <c r="C561" s="33"/>
      <c r="D561" s="24"/>
      <c r="E561" s="30" t="str">
        <f aca="false">IF($D561="","",IFERROR(INDEX(合同单位,MATCH($D561,合同键,0)),IFERROR(TRIM(LEFT($D561,FIND("｜",$D561)-1)),$D561)))</f>
        <v/>
      </c>
      <c r="F561" s="30" t="str">
        <f aca="false">IF($D561="","",IFERROR(INDEX(合同项目,MATCH($D561,合同键,0)),IFERROR(TRIM(MID($D561,FIND("｜",$D561)+1,99)),"")))</f>
        <v/>
      </c>
      <c r="G561" s="39"/>
      <c r="H561" s="25"/>
      <c r="I561" s="35" t="str">
        <f aca="false">IF($H561="","",IFERROR(INDEX(票据归类表,MATCH($H561,票据类型表,0)),"现金无票"))</f>
        <v/>
      </c>
      <c r="J561" s="25"/>
      <c r="K561" s="25"/>
      <c r="L561" s="31"/>
      <c r="M561" s="29" t="str">
        <f aca="false">IF($C561="","",YEAR($C561))</f>
        <v/>
      </c>
      <c r="N561" s="24"/>
      <c r="O561" s="35" t="str">
        <f aca="false">IF($C561="","",IF($D561="","★没选客户项目",IF(COUNTIF(合同键,$D561)=0,"★《维保合同》里没这个项目",IF(N($G561)&lt;=0,"★收款金额要填",IF($H561="","★票据类型要选",IF(AND($L561&lt;&gt;"",COUNTIF(应收单号,$L561)=0),"★关联的应收单号不存在",IF(AND($L561&lt;&gt;"",IFERROR(INDEX(应收键,MATCH($L561,应收单号,0)),"")&lt;&gt;$D561),"★关联单号不是这个客户的",IF(AND($L561&lt;&gt;"",ROUND(SUMIF(收款关联,$L561,收款金额)-IFERROR(INDEX(应收金额,MATCH($L561,应收单号,0)),0),2)&gt;0.001),"★指定冲销超过那张单的应收","OK"))))))))</f>
        <v/>
      </c>
    </row>
    <row r="562" customFormat="false" ht="15" hidden="false" customHeight="false" outlineLevel="0" collapsed="false">
      <c r="A562" s="29" t="str">
        <f aca="false">IF($C562="","",ROW()-4)</f>
        <v/>
      </c>
      <c r="B562" s="35" t="str">
        <f aca="false">IF($C562="","","SK"&amp;TEXT($C562,"yyyymm")&amp;"-"&amp;TEXT(ROW()-4,"0000"))</f>
        <v/>
      </c>
      <c r="C562" s="33"/>
      <c r="D562" s="24"/>
      <c r="E562" s="30" t="str">
        <f aca="false">IF($D562="","",IFERROR(INDEX(合同单位,MATCH($D562,合同键,0)),IFERROR(TRIM(LEFT($D562,FIND("｜",$D562)-1)),$D562)))</f>
        <v/>
      </c>
      <c r="F562" s="30" t="str">
        <f aca="false">IF($D562="","",IFERROR(INDEX(合同项目,MATCH($D562,合同键,0)),IFERROR(TRIM(MID($D562,FIND("｜",$D562)+1,99)),"")))</f>
        <v/>
      </c>
      <c r="G562" s="39"/>
      <c r="H562" s="25"/>
      <c r="I562" s="35" t="str">
        <f aca="false">IF($H562="","",IFERROR(INDEX(票据归类表,MATCH($H562,票据类型表,0)),"现金无票"))</f>
        <v/>
      </c>
      <c r="J562" s="25"/>
      <c r="K562" s="25"/>
      <c r="L562" s="31"/>
      <c r="M562" s="29" t="str">
        <f aca="false">IF($C562="","",YEAR($C562))</f>
        <v/>
      </c>
      <c r="N562" s="24"/>
      <c r="O562" s="35" t="str">
        <f aca="false">IF($C562="","",IF($D562="","★没选客户项目",IF(COUNTIF(合同键,$D562)=0,"★《维保合同》里没这个项目",IF(N($G562)&lt;=0,"★收款金额要填",IF($H562="","★票据类型要选",IF(AND($L562&lt;&gt;"",COUNTIF(应收单号,$L562)=0),"★关联的应收单号不存在",IF(AND($L562&lt;&gt;"",IFERROR(INDEX(应收键,MATCH($L562,应收单号,0)),"")&lt;&gt;$D562),"★关联单号不是这个客户的",IF(AND($L562&lt;&gt;"",ROUND(SUMIF(收款关联,$L562,收款金额)-IFERROR(INDEX(应收金额,MATCH($L562,应收单号,0)),0),2)&gt;0.001),"★指定冲销超过那张单的应收","OK"))))))))</f>
        <v/>
      </c>
    </row>
    <row r="563" customFormat="false" ht="15" hidden="false" customHeight="false" outlineLevel="0" collapsed="false">
      <c r="A563" s="29" t="str">
        <f aca="false">IF($C563="","",ROW()-4)</f>
        <v/>
      </c>
      <c r="B563" s="35" t="str">
        <f aca="false">IF($C563="","","SK"&amp;TEXT($C563,"yyyymm")&amp;"-"&amp;TEXT(ROW()-4,"0000"))</f>
        <v/>
      </c>
      <c r="C563" s="33"/>
      <c r="D563" s="24"/>
      <c r="E563" s="30" t="str">
        <f aca="false">IF($D563="","",IFERROR(INDEX(合同单位,MATCH($D563,合同键,0)),IFERROR(TRIM(LEFT($D563,FIND("｜",$D563)-1)),$D563)))</f>
        <v/>
      </c>
      <c r="F563" s="30" t="str">
        <f aca="false">IF($D563="","",IFERROR(INDEX(合同项目,MATCH($D563,合同键,0)),IFERROR(TRIM(MID($D563,FIND("｜",$D563)+1,99)),"")))</f>
        <v/>
      </c>
      <c r="G563" s="39"/>
      <c r="H563" s="25"/>
      <c r="I563" s="35" t="str">
        <f aca="false">IF($H563="","",IFERROR(INDEX(票据归类表,MATCH($H563,票据类型表,0)),"现金无票"))</f>
        <v/>
      </c>
      <c r="J563" s="25"/>
      <c r="K563" s="25"/>
      <c r="L563" s="31"/>
      <c r="M563" s="29" t="str">
        <f aca="false">IF($C563="","",YEAR($C563))</f>
        <v/>
      </c>
      <c r="N563" s="24"/>
      <c r="O563" s="35" t="str">
        <f aca="false">IF($C563="","",IF($D563="","★没选客户项目",IF(COUNTIF(合同键,$D563)=0,"★《维保合同》里没这个项目",IF(N($G563)&lt;=0,"★收款金额要填",IF($H563="","★票据类型要选",IF(AND($L563&lt;&gt;"",COUNTIF(应收单号,$L563)=0),"★关联的应收单号不存在",IF(AND($L563&lt;&gt;"",IFERROR(INDEX(应收键,MATCH($L563,应收单号,0)),"")&lt;&gt;$D563),"★关联单号不是这个客户的",IF(AND($L563&lt;&gt;"",ROUND(SUMIF(收款关联,$L563,收款金额)-IFERROR(INDEX(应收金额,MATCH($L563,应收单号,0)),0),2)&gt;0.001),"★指定冲销超过那张单的应收","OK"))))))))</f>
        <v/>
      </c>
    </row>
    <row r="564" customFormat="false" ht="15" hidden="false" customHeight="false" outlineLevel="0" collapsed="false">
      <c r="A564" s="29" t="str">
        <f aca="false">IF($C564="","",ROW()-4)</f>
        <v/>
      </c>
      <c r="B564" s="35" t="str">
        <f aca="false">IF($C564="","","SK"&amp;TEXT($C564,"yyyymm")&amp;"-"&amp;TEXT(ROW()-4,"0000"))</f>
        <v/>
      </c>
      <c r="C564" s="33"/>
      <c r="D564" s="24"/>
      <c r="E564" s="30" t="str">
        <f aca="false">IF($D564="","",IFERROR(INDEX(合同单位,MATCH($D564,合同键,0)),IFERROR(TRIM(LEFT($D564,FIND("｜",$D564)-1)),$D564)))</f>
        <v/>
      </c>
      <c r="F564" s="30" t="str">
        <f aca="false">IF($D564="","",IFERROR(INDEX(合同项目,MATCH($D564,合同键,0)),IFERROR(TRIM(MID($D564,FIND("｜",$D564)+1,99)),"")))</f>
        <v/>
      </c>
      <c r="G564" s="39"/>
      <c r="H564" s="25"/>
      <c r="I564" s="35" t="str">
        <f aca="false">IF($H564="","",IFERROR(INDEX(票据归类表,MATCH($H564,票据类型表,0)),"现金无票"))</f>
        <v/>
      </c>
      <c r="J564" s="25"/>
      <c r="K564" s="25"/>
      <c r="L564" s="31"/>
      <c r="M564" s="29" t="str">
        <f aca="false">IF($C564="","",YEAR($C564))</f>
        <v/>
      </c>
      <c r="N564" s="24"/>
      <c r="O564" s="35" t="str">
        <f aca="false">IF($C564="","",IF($D564="","★没选客户项目",IF(COUNTIF(合同键,$D564)=0,"★《维保合同》里没这个项目",IF(N($G564)&lt;=0,"★收款金额要填",IF($H564="","★票据类型要选",IF(AND($L564&lt;&gt;"",COUNTIF(应收单号,$L564)=0),"★关联的应收单号不存在",IF(AND($L564&lt;&gt;"",IFERROR(INDEX(应收键,MATCH($L564,应收单号,0)),"")&lt;&gt;$D564),"★关联单号不是这个客户的",IF(AND($L564&lt;&gt;"",ROUND(SUMIF(收款关联,$L564,收款金额)-IFERROR(INDEX(应收金额,MATCH($L564,应收单号,0)),0),2)&gt;0.001),"★指定冲销超过那张单的应收","OK"))))))))</f>
        <v/>
      </c>
    </row>
    <row r="565" customFormat="false" ht="15" hidden="false" customHeight="false" outlineLevel="0" collapsed="false">
      <c r="A565" s="29" t="str">
        <f aca="false">IF($C565="","",ROW()-4)</f>
        <v/>
      </c>
      <c r="B565" s="35" t="str">
        <f aca="false">IF($C565="","","SK"&amp;TEXT($C565,"yyyymm")&amp;"-"&amp;TEXT(ROW()-4,"0000"))</f>
        <v/>
      </c>
      <c r="C565" s="33"/>
      <c r="D565" s="24"/>
      <c r="E565" s="30" t="str">
        <f aca="false">IF($D565="","",IFERROR(INDEX(合同单位,MATCH($D565,合同键,0)),IFERROR(TRIM(LEFT($D565,FIND("｜",$D565)-1)),$D565)))</f>
        <v/>
      </c>
      <c r="F565" s="30" t="str">
        <f aca="false">IF($D565="","",IFERROR(INDEX(合同项目,MATCH($D565,合同键,0)),IFERROR(TRIM(MID($D565,FIND("｜",$D565)+1,99)),"")))</f>
        <v/>
      </c>
      <c r="G565" s="39"/>
      <c r="H565" s="25"/>
      <c r="I565" s="35" t="str">
        <f aca="false">IF($H565="","",IFERROR(INDEX(票据归类表,MATCH($H565,票据类型表,0)),"现金无票"))</f>
        <v/>
      </c>
      <c r="J565" s="25"/>
      <c r="K565" s="25"/>
      <c r="L565" s="31"/>
      <c r="M565" s="29" t="str">
        <f aca="false">IF($C565="","",YEAR($C565))</f>
        <v/>
      </c>
      <c r="N565" s="24"/>
      <c r="O565" s="35" t="str">
        <f aca="false">IF($C565="","",IF($D565="","★没选客户项目",IF(COUNTIF(合同键,$D565)=0,"★《维保合同》里没这个项目",IF(N($G565)&lt;=0,"★收款金额要填",IF($H565="","★票据类型要选",IF(AND($L565&lt;&gt;"",COUNTIF(应收单号,$L565)=0),"★关联的应收单号不存在",IF(AND($L565&lt;&gt;"",IFERROR(INDEX(应收键,MATCH($L565,应收单号,0)),"")&lt;&gt;$D565),"★关联单号不是这个客户的",IF(AND($L565&lt;&gt;"",ROUND(SUMIF(收款关联,$L565,收款金额)-IFERROR(INDEX(应收金额,MATCH($L565,应收单号,0)),0),2)&gt;0.001),"★指定冲销超过那张单的应收","OK"))))))))</f>
        <v/>
      </c>
    </row>
    <row r="566" customFormat="false" ht="15" hidden="false" customHeight="false" outlineLevel="0" collapsed="false">
      <c r="A566" s="29" t="str">
        <f aca="false">IF($C566="","",ROW()-4)</f>
        <v/>
      </c>
      <c r="B566" s="35" t="str">
        <f aca="false">IF($C566="","","SK"&amp;TEXT($C566,"yyyymm")&amp;"-"&amp;TEXT(ROW()-4,"0000"))</f>
        <v/>
      </c>
      <c r="C566" s="33"/>
      <c r="D566" s="24"/>
      <c r="E566" s="30" t="str">
        <f aca="false">IF($D566="","",IFERROR(INDEX(合同单位,MATCH($D566,合同键,0)),IFERROR(TRIM(LEFT($D566,FIND("｜",$D566)-1)),$D566)))</f>
        <v/>
      </c>
      <c r="F566" s="30" t="str">
        <f aca="false">IF($D566="","",IFERROR(INDEX(合同项目,MATCH($D566,合同键,0)),IFERROR(TRIM(MID($D566,FIND("｜",$D566)+1,99)),"")))</f>
        <v/>
      </c>
      <c r="G566" s="39"/>
      <c r="H566" s="25"/>
      <c r="I566" s="35" t="str">
        <f aca="false">IF($H566="","",IFERROR(INDEX(票据归类表,MATCH($H566,票据类型表,0)),"现金无票"))</f>
        <v/>
      </c>
      <c r="J566" s="25"/>
      <c r="K566" s="25"/>
      <c r="L566" s="31"/>
      <c r="M566" s="29" t="str">
        <f aca="false">IF($C566="","",YEAR($C566))</f>
        <v/>
      </c>
      <c r="N566" s="24"/>
      <c r="O566" s="35" t="str">
        <f aca="false">IF($C566="","",IF($D566="","★没选客户项目",IF(COUNTIF(合同键,$D566)=0,"★《维保合同》里没这个项目",IF(N($G566)&lt;=0,"★收款金额要填",IF($H566="","★票据类型要选",IF(AND($L566&lt;&gt;"",COUNTIF(应收单号,$L566)=0),"★关联的应收单号不存在",IF(AND($L566&lt;&gt;"",IFERROR(INDEX(应收键,MATCH($L566,应收单号,0)),"")&lt;&gt;$D566),"★关联单号不是这个客户的",IF(AND($L566&lt;&gt;"",ROUND(SUMIF(收款关联,$L566,收款金额)-IFERROR(INDEX(应收金额,MATCH($L566,应收单号,0)),0),2)&gt;0.001),"★指定冲销超过那张单的应收","OK"))))))))</f>
        <v/>
      </c>
    </row>
    <row r="567" customFormat="false" ht="15" hidden="false" customHeight="false" outlineLevel="0" collapsed="false">
      <c r="A567" s="29" t="str">
        <f aca="false">IF($C567="","",ROW()-4)</f>
        <v/>
      </c>
      <c r="B567" s="35" t="str">
        <f aca="false">IF($C567="","","SK"&amp;TEXT($C567,"yyyymm")&amp;"-"&amp;TEXT(ROW()-4,"0000"))</f>
        <v/>
      </c>
      <c r="C567" s="33"/>
      <c r="D567" s="24"/>
      <c r="E567" s="30" t="str">
        <f aca="false">IF($D567="","",IFERROR(INDEX(合同单位,MATCH($D567,合同键,0)),IFERROR(TRIM(LEFT($D567,FIND("｜",$D567)-1)),$D567)))</f>
        <v/>
      </c>
      <c r="F567" s="30" t="str">
        <f aca="false">IF($D567="","",IFERROR(INDEX(合同项目,MATCH($D567,合同键,0)),IFERROR(TRIM(MID($D567,FIND("｜",$D567)+1,99)),"")))</f>
        <v/>
      </c>
      <c r="G567" s="39"/>
      <c r="H567" s="25"/>
      <c r="I567" s="35" t="str">
        <f aca="false">IF($H567="","",IFERROR(INDEX(票据归类表,MATCH($H567,票据类型表,0)),"现金无票"))</f>
        <v/>
      </c>
      <c r="J567" s="25"/>
      <c r="K567" s="25"/>
      <c r="L567" s="31"/>
      <c r="M567" s="29" t="str">
        <f aca="false">IF($C567="","",YEAR($C567))</f>
        <v/>
      </c>
      <c r="N567" s="24"/>
      <c r="O567" s="35" t="str">
        <f aca="false">IF($C567="","",IF($D567="","★没选客户项目",IF(COUNTIF(合同键,$D567)=0,"★《维保合同》里没这个项目",IF(N($G567)&lt;=0,"★收款金额要填",IF($H567="","★票据类型要选",IF(AND($L567&lt;&gt;"",COUNTIF(应收单号,$L567)=0),"★关联的应收单号不存在",IF(AND($L567&lt;&gt;"",IFERROR(INDEX(应收键,MATCH($L567,应收单号,0)),"")&lt;&gt;$D567),"★关联单号不是这个客户的",IF(AND($L567&lt;&gt;"",ROUND(SUMIF(收款关联,$L567,收款金额)-IFERROR(INDEX(应收金额,MATCH($L567,应收单号,0)),0),2)&gt;0.001),"★指定冲销超过那张单的应收","OK"))))))))</f>
        <v/>
      </c>
    </row>
    <row r="568" customFormat="false" ht="15" hidden="false" customHeight="false" outlineLevel="0" collapsed="false">
      <c r="A568" s="29" t="str">
        <f aca="false">IF($C568="","",ROW()-4)</f>
        <v/>
      </c>
      <c r="B568" s="35" t="str">
        <f aca="false">IF($C568="","","SK"&amp;TEXT($C568,"yyyymm")&amp;"-"&amp;TEXT(ROW()-4,"0000"))</f>
        <v/>
      </c>
      <c r="C568" s="33"/>
      <c r="D568" s="24"/>
      <c r="E568" s="30" t="str">
        <f aca="false">IF($D568="","",IFERROR(INDEX(合同单位,MATCH($D568,合同键,0)),IFERROR(TRIM(LEFT($D568,FIND("｜",$D568)-1)),$D568)))</f>
        <v/>
      </c>
      <c r="F568" s="30" t="str">
        <f aca="false">IF($D568="","",IFERROR(INDEX(合同项目,MATCH($D568,合同键,0)),IFERROR(TRIM(MID($D568,FIND("｜",$D568)+1,99)),"")))</f>
        <v/>
      </c>
      <c r="G568" s="39"/>
      <c r="H568" s="25"/>
      <c r="I568" s="35" t="str">
        <f aca="false">IF($H568="","",IFERROR(INDEX(票据归类表,MATCH($H568,票据类型表,0)),"现金无票"))</f>
        <v/>
      </c>
      <c r="J568" s="25"/>
      <c r="K568" s="25"/>
      <c r="L568" s="31"/>
      <c r="M568" s="29" t="str">
        <f aca="false">IF($C568="","",YEAR($C568))</f>
        <v/>
      </c>
      <c r="N568" s="24"/>
      <c r="O568" s="35" t="str">
        <f aca="false">IF($C568="","",IF($D568="","★没选客户项目",IF(COUNTIF(合同键,$D568)=0,"★《维保合同》里没这个项目",IF(N($G568)&lt;=0,"★收款金额要填",IF($H568="","★票据类型要选",IF(AND($L568&lt;&gt;"",COUNTIF(应收单号,$L568)=0),"★关联的应收单号不存在",IF(AND($L568&lt;&gt;"",IFERROR(INDEX(应收键,MATCH($L568,应收单号,0)),"")&lt;&gt;$D568),"★关联单号不是这个客户的",IF(AND($L568&lt;&gt;"",ROUND(SUMIF(收款关联,$L568,收款金额)-IFERROR(INDEX(应收金额,MATCH($L568,应收单号,0)),0),2)&gt;0.001),"★指定冲销超过那张单的应收","OK"))))))))</f>
        <v/>
      </c>
    </row>
    <row r="569" customFormat="false" ht="15" hidden="false" customHeight="false" outlineLevel="0" collapsed="false">
      <c r="A569" s="29" t="str">
        <f aca="false">IF($C569="","",ROW()-4)</f>
        <v/>
      </c>
      <c r="B569" s="35" t="str">
        <f aca="false">IF($C569="","","SK"&amp;TEXT($C569,"yyyymm")&amp;"-"&amp;TEXT(ROW()-4,"0000"))</f>
        <v/>
      </c>
      <c r="C569" s="33"/>
      <c r="D569" s="24"/>
      <c r="E569" s="30" t="str">
        <f aca="false">IF($D569="","",IFERROR(INDEX(合同单位,MATCH($D569,合同键,0)),IFERROR(TRIM(LEFT($D569,FIND("｜",$D569)-1)),$D569)))</f>
        <v/>
      </c>
      <c r="F569" s="30" t="str">
        <f aca="false">IF($D569="","",IFERROR(INDEX(合同项目,MATCH($D569,合同键,0)),IFERROR(TRIM(MID($D569,FIND("｜",$D569)+1,99)),"")))</f>
        <v/>
      </c>
      <c r="G569" s="39"/>
      <c r="H569" s="25"/>
      <c r="I569" s="35" t="str">
        <f aca="false">IF($H569="","",IFERROR(INDEX(票据归类表,MATCH($H569,票据类型表,0)),"现金无票"))</f>
        <v/>
      </c>
      <c r="J569" s="25"/>
      <c r="K569" s="25"/>
      <c r="L569" s="31"/>
      <c r="M569" s="29" t="str">
        <f aca="false">IF($C569="","",YEAR($C569))</f>
        <v/>
      </c>
      <c r="N569" s="24"/>
      <c r="O569" s="35" t="str">
        <f aca="false">IF($C569="","",IF($D569="","★没选客户项目",IF(COUNTIF(合同键,$D569)=0,"★《维保合同》里没这个项目",IF(N($G569)&lt;=0,"★收款金额要填",IF($H569="","★票据类型要选",IF(AND($L569&lt;&gt;"",COUNTIF(应收单号,$L569)=0),"★关联的应收单号不存在",IF(AND($L569&lt;&gt;"",IFERROR(INDEX(应收键,MATCH($L569,应收单号,0)),"")&lt;&gt;$D569),"★关联单号不是这个客户的",IF(AND($L569&lt;&gt;"",ROUND(SUMIF(收款关联,$L569,收款金额)-IFERROR(INDEX(应收金额,MATCH($L569,应收单号,0)),0),2)&gt;0.001),"★指定冲销超过那张单的应收","OK"))))))))</f>
        <v/>
      </c>
    </row>
    <row r="570" customFormat="false" ht="15" hidden="false" customHeight="false" outlineLevel="0" collapsed="false">
      <c r="A570" s="29" t="str">
        <f aca="false">IF($C570="","",ROW()-4)</f>
        <v/>
      </c>
      <c r="B570" s="35" t="str">
        <f aca="false">IF($C570="","","SK"&amp;TEXT($C570,"yyyymm")&amp;"-"&amp;TEXT(ROW()-4,"0000"))</f>
        <v/>
      </c>
      <c r="C570" s="33"/>
      <c r="D570" s="24"/>
      <c r="E570" s="30" t="str">
        <f aca="false">IF($D570="","",IFERROR(INDEX(合同单位,MATCH($D570,合同键,0)),IFERROR(TRIM(LEFT($D570,FIND("｜",$D570)-1)),$D570)))</f>
        <v/>
      </c>
      <c r="F570" s="30" t="str">
        <f aca="false">IF($D570="","",IFERROR(INDEX(合同项目,MATCH($D570,合同键,0)),IFERROR(TRIM(MID($D570,FIND("｜",$D570)+1,99)),"")))</f>
        <v/>
      </c>
      <c r="G570" s="39"/>
      <c r="H570" s="25"/>
      <c r="I570" s="35" t="str">
        <f aca="false">IF($H570="","",IFERROR(INDEX(票据归类表,MATCH($H570,票据类型表,0)),"现金无票"))</f>
        <v/>
      </c>
      <c r="J570" s="25"/>
      <c r="K570" s="25"/>
      <c r="L570" s="31"/>
      <c r="M570" s="29" t="str">
        <f aca="false">IF($C570="","",YEAR($C570))</f>
        <v/>
      </c>
      <c r="N570" s="24"/>
      <c r="O570" s="35" t="str">
        <f aca="false">IF($C570="","",IF($D570="","★没选客户项目",IF(COUNTIF(合同键,$D570)=0,"★《维保合同》里没这个项目",IF(N($G570)&lt;=0,"★收款金额要填",IF($H570="","★票据类型要选",IF(AND($L570&lt;&gt;"",COUNTIF(应收单号,$L570)=0),"★关联的应收单号不存在",IF(AND($L570&lt;&gt;"",IFERROR(INDEX(应收键,MATCH($L570,应收单号,0)),"")&lt;&gt;$D570),"★关联单号不是这个客户的",IF(AND($L570&lt;&gt;"",ROUND(SUMIF(收款关联,$L570,收款金额)-IFERROR(INDEX(应收金额,MATCH($L570,应收单号,0)),0),2)&gt;0.001),"★指定冲销超过那张单的应收","OK"))))))))</f>
        <v/>
      </c>
    </row>
    <row r="571" customFormat="false" ht="15" hidden="false" customHeight="false" outlineLevel="0" collapsed="false">
      <c r="A571" s="29" t="str">
        <f aca="false">IF($C571="","",ROW()-4)</f>
        <v/>
      </c>
      <c r="B571" s="35" t="str">
        <f aca="false">IF($C571="","","SK"&amp;TEXT($C571,"yyyymm")&amp;"-"&amp;TEXT(ROW()-4,"0000"))</f>
        <v/>
      </c>
      <c r="C571" s="33"/>
      <c r="D571" s="24"/>
      <c r="E571" s="30" t="str">
        <f aca="false">IF($D571="","",IFERROR(INDEX(合同单位,MATCH($D571,合同键,0)),IFERROR(TRIM(LEFT($D571,FIND("｜",$D571)-1)),$D571)))</f>
        <v/>
      </c>
      <c r="F571" s="30" t="str">
        <f aca="false">IF($D571="","",IFERROR(INDEX(合同项目,MATCH($D571,合同键,0)),IFERROR(TRIM(MID($D571,FIND("｜",$D571)+1,99)),"")))</f>
        <v/>
      </c>
      <c r="G571" s="39"/>
      <c r="H571" s="25"/>
      <c r="I571" s="35" t="str">
        <f aca="false">IF($H571="","",IFERROR(INDEX(票据归类表,MATCH($H571,票据类型表,0)),"现金无票"))</f>
        <v/>
      </c>
      <c r="J571" s="25"/>
      <c r="K571" s="25"/>
      <c r="L571" s="31"/>
      <c r="M571" s="29" t="str">
        <f aca="false">IF($C571="","",YEAR($C571))</f>
        <v/>
      </c>
      <c r="N571" s="24"/>
      <c r="O571" s="35" t="str">
        <f aca="false">IF($C571="","",IF($D571="","★没选客户项目",IF(COUNTIF(合同键,$D571)=0,"★《维保合同》里没这个项目",IF(N($G571)&lt;=0,"★收款金额要填",IF($H571="","★票据类型要选",IF(AND($L571&lt;&gt;"",COUNTIF(应收单号,$L571)=0),"★关联的应收单号不存在",IF(AND($L571&lt;&gt;"",IFERROR(INDEX(应收键,MATCH($L571,应收单号,0)),"")&lt;&gt;$D571),"★关联单号不是这个客户的",IF(AND($L571&lt;&gt;"",ROUND(SUMIF(收款关联,$L571,收款金额)-IFERROR(INDEX(应收金额,MATCH($L571,应收单号,0)),0),2)&gt;0.001),"★指定冲销超过那张单的应收","OK"))))))))</f>
        <v/>
      </c>
    </row>
    <row r="572" customFormat="false" ht="15" hidden="false" customHeight="false" outlineLevel="0" collapsed="false">
      <c r="A572" s="29" t="str">
        <f aca="false">IF($C572="","",ROW()-4)</f>
        <v/>
      </c>
      <c r="B572" s="35" t="str">
        <f aca="false">IF($C572="","","SK"&amp;TEXT($C572,"yyyymm")&amp;"-"&amp;TEXT(ROW()-4,"0000"))</f>
        <v/>
      </c>
      <c r="C572" s="33"/>
      <c r="D572" s="24"/>
      <c r="E572" s="30" t="str">
        <f aca="false">IF($D572="","",IFERROR(INDEX(合同单位,MATCH($D572,合同键,0)),IFERROR(TRIM(LEFT($D572,FIND("｜",$D572)-1)),$D572)))</f>
        <v/>
      </c>
      <c r="F572" s="30" t="str">
        <f aca="false">IF($D572="","",IFERROR(INDEX(合同项目,MATCH($D572,合同键,0)),IFERROR(TRIM(MID($D572,FIND("｜",$D572)+1,99)),"")))</f>
        <v/>
      </c>
      <c r="G572" s="39"/>
      <c r="H572" s="25"/>
      <c r="I572" s="35" t="str">
        <f aca="false">IF($H572="","",IFERROR(INDEX(票据归类表,MATCH($H572,票据类型表,0)),"现金无票"))</f>
        <v/>
      </c>
      <c r="J572" s="25"/>
      <c r="K572" s="25"/>
      <c r="L572" s="31"/>
      <c r="M572" s="29" t="str">
        <f aca="false">IF($C572="","",YEAR($C572))</f>
        <v/>
      </c>
      <c r="N572" s="24"/>
      <c r="O572" s="35" t="str">
        <f aca="false">IF($C572="","",IF($D572="","★没选客户项目",IF(COUNTIF(合同键,$D572)=0,"★《维保合同》里没这个项目",IF(N($G572)&lt;=0,"★收款金额要填",IF($H572="","★票据类型要选",IF(AND($L572&lt;&gt;"",COUNTIF(应收单号,$L572)=0),"★关联的应收单号不存在",IF(AND($L572&lt;&gt;"",IFERROR(INDEX(应收键,MATCH($L572,应收单号,0)),"")&lt;&gt;$D572),"★关联单号不是这个客户的",IF(AND($L572&lt;&gt;"",ROUND(SUMIF(收款关联,$L572,收款金额)-IFERROR(INDEX(应收金额,MATCH($L572,应收单号,0)),0),2)&gt;0.001),"★指定冲销超过那张单的应收","OK"))))))))</f>
        <v/>
      </c>
    </row>
    <row r="573" customFormat="false" ht="15" hidden="false" customHeight="false" outlineLevel="0" collapsed="false">
      <c r="A573" s="29" t="str">
        <f aca="false">IF($C573="","",ROW()-4)</f>
        <v/>
      </c>
      <c r="B573" s="35" t="str">
        <f aca="false">IF($C573="","","SK"&amp;TEXT($C573,"yyyymm")&amp;"-"&amp;TEXT(ROW()-4,"0000"))</f>
        <v/>
      </c>
      <c r="C573" s="33"/>
      <c r="D573" s="24"/>
      <c r="E573" s="30" t="str">
        <f aca="false">IF($D573="","",IFERROR(INDEX(合同单位,MATCH($D573,合同键,0)),IFERROR(TRIM(LEFT($D573,FIND("｜",$D573)-1)),$D573)))</f>
        <v/>
      </c>
      <c r="F573" s="30" t="str">
        <f aca="false">IF($D573="","",IFERROR(INDEX(合同项目,MATCH($D573,合同键,0)),IFERROR(TRIM(MID($D573,FIND("｜",$D573)+1,99)),"")))</f>
        <v/>
      </c>
      <c r="G573" s="39"/>
      <c r="H573" s="25"/>
      <c r="I573" s="35" t="str">
        <f aca="false">IF($H573="","",IFERROR(INDEX(票据归类表,MATCH($H573,票据类型表,0)),"现金无票"))</f>
        <v/>
      </c>
      <c r="J573" s="25"/>
      <c r="K573" s="25"/>
      <c r="L573" s="31"/>
      <c r="M573" s="29" t="str">
        <f aca="false">IF($C573="","",YEAR($C573))</f>
        <v/>
      </c>
      <c r="N573" s="24"/>
      <c r="O573" s="35" t="str">
        <f aca="false">IF($C573="","",IF($D573="","★没选客户项目",IF(COUNTIF(合同键,$D573)=0,"★《维保合同》里没这个项目",IF(N($G573)&lt;=0,"★收款金额要填",IF($H573="","★票据类型要选",IF(AND($L573&lt;&gt;"",COUNTIF(应收单号,$L573)=0),"★关联的应收单号不存在",IF(AND($L573&lt;&gt;"",IFERROR(INDEX(应收键,MATCH($L573,应收单号,0)),"")&lt;&gt;$D573),"★关联单号不是这个客户的",IF(AND($L573&lt;&gt;"",ROUND(SUMIF(收款关联,$L573,收款金额)-IFERROR(INDEX(应收金额,MATCH($L573,应收单号,0)),0),2)&gt;0.001),"★指定冲销超过那张单的应收","OK"))))))))</f>
        <v/>
      </c>
    </row>
    <row r="574" customFormat="false" ht="15" hidden="false" customHeight="false" outlineLevel="0" collapsed="false">
      <c r="A574" s="29" t="str">
        <f aca="false">IF($C574="","",ROW()-4)</f>
        <v/>
      </c>
      <c r="B574" s="35" t="str">
        <f aca="false">IF($C574="","","SK"&amp;TEXT($C574,"yyyymm")&amp;"-"&amp;TEXT(ROW()-4,"0000"))</f>
        <v/>
      </c>
      <c r="C574" s="33"/>
      <c r="D574" s="24"/>
      <c r="E574" s="30" t="str">
        <f aca="false">IF($D574="","",IFERROR(INDEX(合同单位,MATCH($D574,合同键,0)),IFERROR(TRIM(LEFT($D574,FIND("｜",$D574)-1)),$D574)))</f>
        <v/>
      </c>
      <c r="F574" s="30" t="str">
        <f aca="false">IF($D574="","",IFERROR(INDEX(合同项目,MATCH($D574,合同键,0)),IFERROR(TRIM(MID($D574,FIND("｜",$D574)+1,99)),"")))</f>
        <v/>
      </c>
      <c r="G574" s="39"/>
      <c r="H574" s="25"/>
      <c r="I574" s="35" t="str">
        <f aca="false">IF($H574="","",IFERROR(INDEX(票据归类表,MATCH($H574,票据类型表,0)),"现金无票"))</f>
        <v/>
      </c>
      <c r="J574" s="25"/>
      <c r="K574" s="25"/>
      <c r="L574" s="31"/>
      <c r="M574" s="29" t="str">
        <f aca="false">IF($C574="","",YEAR($C574))</f>
        <v/>
      </c>
      <c r="N574" s="24"/>
      <c r="O574" s="35" t="str">
        <f aca="false">IF($C574="","",IF($D574="","★没选客户项目",IF(COUNTIF(合同键,$D574)=0,"★《维保合同》里没这个项目",IF(N($G574)&lt;=0,"★收款金额要填",IF($H574="","★票据类型要选",IF(AND($L574&lt;&gt;"",COUNTIF(应收单号,$L574)=0),"★关联的应收单号不存在",IF(AND($L574&lt;&gt;"",IFERROR(INDEX(应收键,MATCH($L574,应收单号,0)),"")&lt;&gt;$D574),"★关联单号不是这个客户的",IF(AND($L574&lt;&gt;"",ROUND(SUMIF(收款关联,$L574,收款金额)-IFERROR(INDEX(应收金额,MATCH($L574,应收单号,0)),0),2)&gt;0.001),"★指定冲销超过那张单的应收","OK"))))))))</f>
        <v/>
      </c>
    </row>
    <row r="575" customFormat="false" ht="15" hidden="false" customHeight="false" outlineLevel="0" collapsed="false">
      <c r="A575" s="29" t="str">
        <f aca="false">IF($C575="","",ROW()-4)</f>
        <v/>
      </c>
      <c r="B575" s="35" t="str">
        <f aca="false">IF($C575="","","SK"&amp;TEXT($C575,"yyyymm")&amp;"-"&amp;TEXT(ROW()-4,"0000"))</f>
        <v/>
      </c>
      <c r="C575" s="33"/>
      <c r="D575" s="24"/>
      <c r="E575" s="30" t="str">
        <f aca="false">IF($D575="","",IFERROR(INDEX(合同单位,MATCH($D575,合同键,0)),IFERROR(TRIM(LEFT($D575,FIND("｜",$D575)-1)),$D575)))</f>
        <v/>
      </c>
      <c r="F575" s="30" t="str">
        <f aca="false">IF($D575="","",IFERROR(INDEX(合同项目,MATCH($D575,合同键,0)),IFERROR(TRIM(MID($D575,FIND("｜",$D575)+1,99)),"")))</f>
        <v/>
      </c>
      <c r="G575" s="39"/>
      <c r="H575" s="25"/>
      <c r="I575" s="35" t="str">
        <f aca="false">IF($H575="","",IFERROR(INDEX(票据归类表,MATCH($H575,票据类型表,0)),"现金无票"))</f>
        <v/>
      </c>
      <c r="J575" s="25"/>
      <c r="K575" s="25"/>
      <c r="L575" s="31"/>
      <c r="M575" s="29" t="str">
        <f aca="false">IF($C575="","",YEAR($C575))</f>
        <v/>
      </c>
      <c r="N575" s="24"/>
      <c r="O575" s="35" t="str">
        <f aca="false">IF($C575="","",IF($D575="","★没选客户项目",IF(COUNTIF(合同键,$D575)=0,"★《维保合同》里没这个项目",IF(N($G575)&lt;=0,"★收款金额要填",IF($H575="","★票据类型要选",IF(AND($L575&lt;&gt;"",COUNTIF(应收单号,$L575)=0),"★关联的应收单号不存在",IF(AND($L575&lt;&gt;"",IFERROR(INDEX(应收键,MATCH($L575,应收单号,0)),"")&lt;&gt;$D575),"★关联单号不是这个客户的",IF(AND($L575&lt;&gt;"",ROUND(SUMIF(收款关联,$L575,收款金额)-IFERROR(INDEX(应收金额,MATCH($L575,应收单号,0)),0),2)&gt;0.001),"★指定冲销超过那张单的应收","OK"))))))))</f>
        <v/>
      </c>
    </row>
    <row r="576" customFormat="false" ht="15" hidden="false" customHeight="false" outlineLevel="0" collapsed="false">
      <c r="A576" s="29" t="str">
        <f aca="false">IF($C576="","",ROW()-4)</f>
        <v/>
      </c>
      <c r="B576" s="35" t="str">
        <f aca="false">IF($C576="","","SK"&amp;TEXT($C576,"yyyymm")&amp;"-"&amp;TEXT(ROW()-4,"0000"))</f>
        <v/>
      </c>
      <c r="C576" s="33"/>
      <c r="D576" s="24"/>
      <c r="E576" s="30" t="str">
        <f aca="false">IF($D576="","",IFERROR(INDEX(合同单位,MATCH($D576,合同键,0)),IFERROR(TRIM(LEFT($D576,FIND("｜",$D576)-1)),$D576)))</f>
        <v/>
      </c>
      <c r="F576" s="30" t="str">
        <f aca="false">IF($D576="","",IFERROR(INDEX(合同项目,MATCH($D576,合同键,0)),IFERROR(TRIM(MID($D576,FIND("｜",$D576)+1,99)),"")))</f>
        <v/>
      </c>
      <c r="G576" s="39"/>
      <c r="H576" s="25"/>
      <c r="I576" s="35" t="str">
        <f aca="false">IF($H576="","",IFERROR(INDEX(票据归类表,MATCH($H576,票据类型表,0)),"现金无票"))</f>
        <v/>
      </c>
      <c r="J576" s="25"/>
      <c r="K576" s="25"/>
      <c r="L576" s="31"/>
      <c r="M576" s="29" t="str">
        <f aca="false">IF($C576="","",YEAR($C576))</f>
        <v/>
      </c>
      <c r="N576" s="24"/>
      <c r="O576" s="35" t="str">
        <f aca="false">IF($C576="","",IF($D576="","★没选客户项目",IF(COUNTIF(合同键,$D576)=0,"★《维保合同》里没这个项目",IF(N($G576)&lt;=0,"★收款金额要填",IF($H576="","★票据类型要选",IF(AND($L576&lt;&gt;"",COUNTIF(应收单号,$L576)=0),"★关联的应收单号不存在",IF(AND($L576&lt;&gt;"",IFERROR(INDEX(应收键,MATCH($L576,应收单号,0)),"")&lt;&gt;$D576),"★关联单号不是这个客户的",IF(AND($L576&lt;&gt;"",ROUND(SUMIF(收款关联,$L576,收款金额)-IFERROR(INDEX(应收金额,MATCH($L576,应收单号,0)),0),2)&gt;0.001),"★指定冲销超过那张单的应收","OK"))))))))</f>
        <v/>
      </c>
    </row>
    <row r="577" customFormat="false" ht="15" hidden="false" customHeight="false" outlineLevel="0" collapsed="false">
      <c r="A577" s="29" t="str">
        <f aca="false">IF($C577="","",ROW()-4)</f>
        <v/>
      </c>
      <c r="B577" s="35" t="str">
        <f aca="false">IF($C577="","","SK"&amp;TEXT($C577,"yyyymm")&amp;"-"&amp;TEXT(ROW()-4,"0000"))</f>
        <v/>
      </c>
      <c r="C577" s="33"/>
      <c r="D577" s="24"/>
      <c r="E577" s="30" t="str">
        <f aca="false">IF($D577="","",IFERROR(INDEX(合同单位,MATCH($D577,合同键,0)),IFERROR(TRIM(LEFT($D577,FIND("｜",$D577)-1)),$D577)))</f>
        <v/>
      </c>
      <c r="F577" s="30" t="str">
        <f aca="false">IF($D577="","",IFERROR(INDEX(合同项目,MATCH($D577,合同键,0)),IFERROR(TRIM(MID($D577,FIND("｜",$D577)+1,99)),"")))</f>
        <v/>
      </c>
      <c r="G577" s="39"/>
      <c r="H577" s="25"/>
      <c r="I577" s="35" t="str">
        <f aca="false">IF($H577="","",IFERROR(INDEX(票据归类表,MATCH($H577,票据类型表,0)),"现金无票"))</f>
        <v/>
      </c>
      <c r="J577" s="25"/>
      <c r="K577" s="25"/>
      <c r="L577" s="31"/>
      <c r="M577" s="29" t="str">
        <f aca="false">IF($C577="","",YEAR($C577))</f>
        <v/>
      </c>
      <c r="N577" s="24"/>
      <c r="O577" s="35" t="str">
        <f aca="false">IF($C577="","",IF($D577="","★没选客户项目",IF(COUNTIF(合同键,$D577)=0,"★《维保合同》里没这个项目",IF(N($G577)&lt;=0,"★收款金额要填",IF($H577="","★票据类型要选",IF(AND($L577&lt;&gt;"",COUNTIF(应收单号,$L577)=0),"★关联的应收单号不存在",IF(AND($L577&lt;&gt;"",IFERROR(INDEX(应收键,MATCH($L577,应收单号,0)),"")&lt;&gt;$D577),"★关联单号不是这个客户的",IF(AND($L577&lt;&gt;"",ROUND(SUMIF(收款关联,$L577,收款金额)-IFERROR(INDEX(应收金额,MATCH($L577,应收单号,0)),0),2)&gt;0.001),"★指定冲销超过那张单的应收","OK"))))))))</f>
        <v/>
      </c>
    </row>
    <row r="578" customFormat="false" ht="15" hidden="false" customHeight="false" outlineLevel="0" collapsed="false">
      <c r="A578" s="29" t="str">
        <f aca="false">IF($C578="","",ROW()-4)</f>
        <v/>
      </c>
      <c r="B578" s="35" t="str">
        <f aca="false">IF($C578="","","SK"&amp;TEXT($C578,"yyyymm")&amp;"-"&amp;TEXT(ROW()-4,"0000"))</f>
        <v/>
      </c>
      <c r="C578" s="33"/>
      <c r="D578" s="24"/>
      <c r="E578" s="30" t="str">
        <f aca="false">IF($D578="","",IFERROR(INDEX(合同单位,MATCH($D578,合同键,0)),IFERROR(TRIM(LEFT($D578,FIND("｜",$D578)-1)),$D578)))</f>
        <v/>
      </c>
      <c r="F578" s="30" t="str">
        <f aca="false">IF($D578="","",IFERROR(INDEX(合同项目,MATCH($D578,合同键,0)),IFERROR(TRIM(MID($D578,FIND("｜",$D578)+1,99)),"")))</f>
        <v/>
      </c>
      <c r="G578" s="39"/>
      <c r="H578" s="25"/>
      <c r="I578" s="35" t="str">
        <f aca="false">IF($H578="","",IFERROR(INDEX(票据归类表,MATCH($H578,票据类型表,0)),"现金无票"))</f>
        <v/>
      </c>
      <c r="J578" s="25"/>
      <c r="K578" s="25"/>
      <c r="L578" s="31"/>
      <c r="M578" s="29" t="str">
        <f aca="false">IF($C578="","",YEAR($C578))</f>
        <v/>
      </c>
      <c r="N578" s="24"/>
      <c r="O578" s="35" t="str">
        <f aca="false">IF($C578="","",IF($D578="","★没选客户项目",IF(COUNTIF(合同键,$D578)=0,"★《维保合同》里没这个项目",IF(N($G578)&lt;=0,"★收款金额要填",IF($H578="","★票据类型要选",IF(AND($L578&lt;&gt;"",COUNTIF(应收单号,$L578)=0),"★关联的应收单号不存在",IF(AND($L578&lt;&gt;"",IFERROR(INDEX(应收键,MATCH($L578,应收单号,0)),"")&lt;&gt;$D578),"★关联单号不是这个客户的",IF(AND($L578&lt;&gt;"",ROUND(SUMIF(收款关联,$L578,收款金额)-IFERROR(INDEX(应收金额,MATCH($L578,应收单号,0)),0),2)&gt;0.001),"★指定冲销超过那张单的应收","OK"))))))))</f>
        <v/>
      </c>
    </row>
    <row r="579" customFormat="false" ht="15" hidden="false" customHeight="false" outlineLevel="0" collapsed="false">
      <c r="A579" s="29" t="str">
        <f aca="false">IF($C579="","",ROW()-4)</f>
        <v/>
      </c>
      <c r="B579" s="35" t="str">
        <f aca="false">IF($C579="","","SK"&amp;TEXT($C579,"yyyymm")&amp;"-"&amp;TEXT(ROW()-4,"0000"))</f>
        <v/>
      </c>
      <c r="C579" s="33"/>
      <c r="D579" s="24"/>
      <c r="E579" s="30" t="str">
        <f aca="false">IF($D579="","",IFERROR(INDEX(合同单位,MATCH($D579,合同键,0)),IFERROR(TRIM(LEFT($D579,FIND("｜",$D579)-1)),$D579)))</f>
        <v/>
      </c>
      <c r="F579" s="30" t="str">
        <f aca="false">IF($D579="","",IFERROR(INDEX(合同项目,MATCH($D579,合同键,0)),IFERROR(TRIM(MID($D579,FIND("｜",$D579)+1,99)),"")))</f>
        <v/>
      </c>
      <c r="G579" s="39"/>
      <c r="H579" s="25"/>
      <c r="I579" s="35" t="str">
        <f aca="false">IF($H579="","",IFERROR(INDEX(票据归类表,MATCH($H579,票据类型表,0)),"现金无票"))</f>
        <v/>
      </c>
      <c r="J579" s="25"/>
      <c r="K579" s="25"/>
      <c r="L579" s="31"/>
      <c r="M579" s="29" t="str">
        <f aca="false">IF($C579="","",YEAR($C579))</f>
        <v/>
      </c>
      <c r="N579" s="24"/>
      <c r="O579" s="35" t="str">
        <f aca="false">IF($C579="","",IF($D579="","★没选客户项目",IF(COUNTIF(合同键,$D579)=0,"★《维保合同》里没这个项目",IF(N($G579)&lt;=0,"★收款金额要填",IF($H579="","★票据类型要选",IF(AND($L579&lt;&gt;"",COUNTIF(应收单号,$L579)=0),"★关联的应收单号不存在",IF(AND($L579&lt;&gt;"",IFERROR(INDEX(应收键,MATCH($L579,应收单号,0)),"")&lt;&gt;$D579),"★关联单号不是这个客户的",IF(AND($L579&lt;&gt;"",ROUND(SUMIF(收款关联,$L579,收款金额)-IFERROR(INDEX(应收金额,MATCH($L579,应收单号,0)),0),2)&gt;0.001),"★指定冲销超过那张单的应收","OK"))))))))</f>
        <v/>
      </c>
    </row>
    <row r="580" customFormat="false" ht="15" hidden="false" customHeight="false" outlineLevel="0" collapsed="false">
      <c r="A580" s="29" t="str">
        <f aca="false">IF($C580="","",ROW()-4)</f>
        <v/>
      </c>
      <c r="B580" s="35" t="str">
        <f aca="false">IF($C580="","","SK"&amp;TEXT($C580,"yyyymm")&amp;"-"&amp;TEXT(ROW()-4,"0000"))</f>
        <v/>
      </c>
      <c r="C580" s="33"/>
      <c r="D580" s="24"/>
      <c r="E580" s="30" t="str">
        <f aca="false">IF($D580="","",IFERROR(INDEX(合同单位,MATCH($D580,合同键,0)),IFERROR(TRIM(LEFT($D580,FIND("｜",$D580)-1)),$D580)))</f>
        <v/>
      </c>
      <c r="F580" s="30" t="str">
        <f aca="false">IF($D580="","",IFERROR(INDEX(合同项目,MATCH($D580,合同键,0)),IFERROR(TRIM(MID($D580,FIND("｜",$D580)+1,99)),"")))</f>
        <v/>
      </c>
      <c r="G580" s="39"/>
      <c r="H580" s="25"/>
      <c r="I580" s="35" t="str">
        <f aca="false">IF($H580="","",IFERROR(INDEX(票据归类表,MATCH($H580,票据类型表,0)),"现金无票"))</f>
        <v/>
      </c>
      <c r="J580" s="25"/>
      <c r="K580" s="25"/>
      <c r="L580" s="31"/>
      <c r="M580" s="29" t="str">
        <f aca="false">IF($C580="","",YEAR($C580))</f>
        <v/>
      </c>
      <c r="N580" s="24"/>
      <c r="O580" s="35" t="str">
        <f aca="false">IF($C580="","",IF($D580="","★没选客户项目",IF(COUNTIF(合同键,$D580)=0,"★《维保合同》里没这个项目",IF(N($G580)&lt;=0,"★收款金额要填",IF($H580="","★票据类型要选",IF(AND($L580&lt;&gt;"",COUNTIF(应收单号,$L580)=0),"★关联的应收单号不存在",IF(AND($L580&lt;&gt;"",IFERROR(INDEX(应收键,MATCH($L580,应收单号,0)),"")&lt;&gt;$D580),"★关联单号不是这个客户的",IF(AND($L580&lt;&gt;"",ROUND(SUMIF(收款关联,$L580,收款金额)-IFERROR(INDEX(应收金额,MATCH($L580,应收单号,0)),0),2)&gt;0.001),"★指定冲销超过那张单的应收","OK"))))))))</f>
        <v/>
      </c>
    </row>
    <row r="581" customFormat="false" ht="15" hidden="false" customHeight="false" outlineLevel="0" collapsed="false">
      <c r="A581" s="29" t="str">
        <f aca="false">IF($C581="","",ROW()-4)</f>
        <v/>
      </c>
      <c r="B581" s="35" t="str">
        <f aca="false">IF($C581="","","SK"&amp;TEXT($C581,"yyyymm")&amp;"-"&amp;TEXT(ROW()-4,"0000"))</f>
        <v/>
      </c>
      <c r="C581" s="33"/>
      <c r="D581" s="24"/>
      <c r="E581" s="30" t="str">
        <f aca="false">IF($D581="","",IFERROR(INDEX(合同单位,MATCH($D581,合同键,0)),IFERROR(TRIM(LEFT($D581,FIND("｜",$D581)-1)),$D581)))</f>
        <v/>
      </c>
      <c r="F581" s="30" t="str">
        <f aca="false">IF($D581="","",IFERROR(INDEX(合同项目,MATCH($D581,合同键,0)),IFERROR(TRIM(MID($D581,FIND("｜",$D581)+1,99)),"")))</f>
        <v/>
      </c>
      <c r="G581" s="39"/>
      <c r="H581" s="25"/>
      <c r="I581" s="35" t="str">
        <f aca="false">IF($H581="","",IFERROR(INDEX(票据归类表,MATCH($H581,票据类型表,0)),"现金无票"))</f>
        <v/>
      </c>
      <c r="J581" s="25"/>
      <c r="K581" s="25"/>
      <c r="L581" s="31"/>
      <c r="M581" s="29" t="str">
        <f aca="false">IF($C581="","",YEAR($C581))</f>
        <v/>
      </c>
      <c r="N581" s="24"/>
      <c r="O581" s="35" t="str">
        <f aca="false">IF($C581="","",IF($D581="","★没选客户项目",IF(COUNTIF(合同键,$D581)=0,"★《维保合同》里没这个项目",IF(N($G581)&lt;=0,"★收款金额要填",IF($H581="","★票据类型要选",IF(AND($L581&lt;&gt;"",COUNTIF(应收单号,$L581)=0),"★关联的应收单号不存在",IF(AND($L581&lt;&gt;"",IFERROR(INDEX(应收键,MATCH($L581,应收单号,0)),"")&lt;&gt;$D581),"★关联单号不是这个客户的",IF(AND($L581&lt;&gt;"",ROUND(SUMIF(收款关联,$L581,收款金额)-IFERROR(INDEX(应收金额,MATCH($L581,应收单号,0)),0),2)&gt;0.001),"★指定冲销超过那张单的应收","OK"))))))))</f>
        <v/>
      </c>
    </row>
    <row r="582" customFormat="false" ht="15" hidden="false" customHeight="false" outlineLevel="0" collapsed="false">
      <c r="A582" s="29" t="str">
        <f aca="false">IF($C582="","",ROW()-4)</f>
        <v/>
      </c>
      <c r="B582" s="35" t="str">
        <f aca="false">IF($C582="","","SK"&amp;TEXT($C582,"yyyymm")&amp;"-"&amp;TEXT(ROW()-4,"0000"))</f>
        <v/>
      </c>
      <c r="C582" s="33"/>
      <c r="D582" s="24"/>
      <c r="E582" s="30" t="str">
        <f aca="false">IF($D582="","",IFERROR(INDEX(合同单位,MATCH($D582,合同键,0)),IFERROR(TRIM(LEFT($D582,FIND("｜",$D582)-1)),$D582)))</f>
        <v/>
      </c>
      <c r="F582" s="30" t="str">
        <f aca="false">IF($D582="","",IFERROR(INDEX(合同项目,MATCH($D582,合同键,0)),IFERROR(TRIM(MID($D582,FIND("｜",$D582)+1,99)),"")))</f>
        <v/>
      </c>
      <c r="G582" s="39"/>
      <c r="H582" s="25"/>
      <c r="I582" s="35" t="str">
        <f aca="false">IF($H582="","",IFERROR(INDEX(票据归类表,MATCH($H582,票据类型表,0)),"现金无票"))</f>
        <v/>
      </c>
      <c r="J582" s="25"/>
      <c r="K582" s="25"/>
      <c r="L582" s="31"/>
      <c r="M582" s="29" t="str">
        <f aca="false">IF($C582="","",YEAR($C582))</f>
        <v/>
      </c>
      <c r="N582" s="24"/>
      <c r="O582" s="35" t="str">
        <f aca="false">IF($C582="","",IF($D582="","★没选客户项目",IF(COUNTIF(合同键,$D582)=0,"★《维保合同》里没这个项目",IF(N($G582)&lt;=0,"★收款金额要填",IF($H582="","★票据类型要选",IF(AND($L582&lt;&gt;"",COUNTIF(应收单号,$L582)=0),"★关联的应收单号不存在",IF(AND($L582&lt;&gt;"",IFERROR(INDEX(应收键,MATCH($L582,应收单号,0)),"")&lt;&gt;$D582),"★关联单号不是这个客户的",IF(AND($L582&lt;&gt;"",ROUND(SUMIF(收款关联,$L582,收款金额)-IFERROR(INDEX(应收金额,MATCH($L582,应收单号,0)),0),2)&gt;0.001),"★指定冲销超过那张单的应收","OK"))))))))</f>
        <v/>
      </c>
    </row>
    <row r="583" customFormat="false" ht="15" hidden="false" customHeight="false" outlineLevel="0" collapsed="false">
      <c r="A583" s="29" t="str">
        <f aca="false">IF($C583="","",ROW()-4)</f>
        <v/>
      </c>
      <c r="B583" s="35" t="str">
        <f aca="false">IF($C583="","","SK"&amp;TEXT($C583,"yyyymm")&amp;"-"&amp;TEXT(ROW()-4,"0000"))</f>
        <v/>
      </c>
      <c r="C583" s="33"/>
      <c r="D583" s="24"/>
      <c r="E583" s="30" t="str">
        <f aca="false">IF($D583="","",IFERROR(INDEX(合同单位,MATCH($D583,合同键,0)),IFERROR(TRIM(LEFT($D583,FIND("｜",$D583)-1)),$D583)))</f>
        <v/>
      </c>
      <c r="F583" s="30" t="str">
        <f aca="false">IF($D583="","",IFERROR(INDEX(合同项目,MATCH($D583,合同键,0)),IFERROR(TRIM(MID($D583,FIND("｜",$D583)+1,99)),"")))</f>
        <v/>
      </c>
      <c r="G583" s="39"/>
      <c r="H583" s="25"/>
      <c r="I583" s="35" t="str">
        <f aca="false">IF($H583="","",IFERROR(INDEX(票据归类表,MATCH($H583,票据类型表,0)),"现金无票"))</f>
        <v/>
      </c>
      <c r="J583" s="25"/>
      <c r="K583" s="25"/>
      <c r="L583" s="31"/>
      <c r="M583" s="29" t="str">
        <f aca="false">IF($C583="","",YEAR($C583))</f>
        <v/>
      </c>
      <c r="N583" s="24"/>
      <c r="O583" s="35" t="str">
        <f aca="false">IF($C583="","",IF($D583="","★没选客户项目",IF(COUNTIF(合同键,$D583)=0,"★《维保合同》里没这个项目",IF(N($G583)&lt;=0,"★收款金额要填",IF($H583="","★票据类型要选",IF(AND($L583&lt;&gt;"",COUNTIF(应收单号,$L583)=0),"★关联的应收单号不存在",IF(AND($L583&lt;&gt;"",IFERROR(INDEX(应收键,MATCH($L583,应收单号,0)),"")&lt;&gt;$D583),"★关联单号不是这个客户的",IF(AND($L583&lt;&gt;"",ROUND(SUMIF(收款关联,$L583,收款金额)-IFERROR(INDEX(应收金额,MATCH($L583,应收单号,0)),0),2)&gt;0.001),"★指定冲销超过那张单的应收","OK"))))))))</f>
        <v/>
      </c>
    </row>
    <row r="584" customFormat="false" ht="15" hidden="false" customHeight="false" outlineLevel="0" collapsed="false">
      <c r="A584" s="29" t="str">
        <f aca="false">IF($C584="","",ROW()-4)</f>
        <v/>
      </c>
      <c r="B584" s="35" t="str">
        <f aca="false">IF($C584="","","SK"&amp;TEXT($C584,"yyyymm")&amp;"-"&amp;TEXT(ROW()-4,"0000"))</f>
        <v/>
      </c>
      <c r="C584" s="33"/>
      <c r="D584" s="24"/>
      <c r="E584" s="30" t="str">
        <f aca="false">IF($D584="","",IFERROR(INDEX(合同单位,MATCH($D584,合同键,0)),IFERROR(TRIM(LEFT($D584,FIND("｜",$D584)-1)),$D584)))</f>
        <v/>
      </c>
      <c r="F584" s="30" t="str">
        <f aca="false">IF($D584="","",IFERROR(INDEX(合同项目,MATCH($D584,合同键,0)),IFERROR(TRIM(MID($D584,FIND("｜",$D584)+1,99)),"")))</f>
        <v/>
      </c>
      <c r="G584" s="39"/>
      <c r="H584" s="25"/>
      <c r="I584" s="35" t="str">
        <f aca="false">IF($H584="","",IFERROR(INDEX(票据归类表,MATCH($H584,票据类型表,0)),"现金无票"))</f>
        <v/>
      </c>
      <c r="J584" s="25"/>
      <c r="K584" s="25"/>
      <c r="L584" s="31"/>
      <c r="M584" s="29" t="str">
        <f aca="false">IF($C584="","",YEAR($C584))</f>
        <v/>
      </c>
      <c r="N584" s="24"/>
      <c r="O584" s="35" t="str">
        <f aca="false">IF($C584="","",IF($D584="","★没选客户项目",IF(COUNTIF(合同键,$D584)=0,"★《维保合同》里没这个项目",IF(N($G584)&lt;=0,"★收款金额要填",IF($H584="","★票据类型要选",IF(AND($L584&lt;&gt;"",COUNTIF(应收单号,$L584)=0),"★关联的应收单号不存在",IF(AND($L584&lt;&gt;"",IFERROR(INDEX(应收键,MATCH($L584,应收单号,0)),"")&lt;&gt;$D584),"★关联单号不是这个客户的",IF(AND($L584&lt;&gt;"",ROUND(SUMIF(收款关联,$L584,收款金额)-IFERROR(INDEX(应收金额,MATCH($L584,应收单号,0)),0),2)&gt;0.001),"★指定冲销超过那张单的应收","OK"))))))))</f>
        <v/>
      </c>
    </row>
    <row r="585" customFormat="false" ht="15" hidden="false" customHeight="false" outlineLevel="0" collapsed="false">
      <c r="A585" s="29" t="str">
        <f aca="false">IF($C585="","",ROW()-4)</f>
        <v/>
      </c>
      <c r="B585" s="35" t="str">
        <f aca="false">IF($C585="","","SK"&amp;TEXT($C585,"yyyymm")&amp;"-"&amp;TEXT(ROW()-4,"0000"))</f>
        <v/>
      </c>
      <c r="C585" s="33"/>
      <c r="D585" s="24"/>
      <c r="E585" s="30" t="str">
        <f aca="false">IF($D585="","",IFERROR(INDEX(合同单位,MATCH($D585,合同键,0)),IFERROR(TRIM(LEFT($D585,FIND("｜",$D585)-1)),$D585)))</f>
        <v/>
      </c>
      <c r="F585" s="30" t="str">
        <f aca="false">IF($D585="","",IFERROR(INDEX(合同项目,MATCH($D585,合同键,0)),IFERROR(TRIM(MID($D585,FIND("｜",$D585)+1,99)),"")))</f>
        <v/>
      </c>
      <c r="G585" s="39"/>
      <c r="H585" s="25"/>
      <c r="I585" s="35" t="str">
        <f aca="false">IF($H585="","",IFERROR(INDEX(票据归类表,MATCH($H585,票据类型表,0)),"现金无票"))</f>
        <v/>
      </c>
      <c r="J585" s="25"/>
      <c r="K585" s="25"/>
      <c r="L585" s="31"/>
      <c r="M585" s="29" t="str">
        <f aca="false">IF($C585="","",YEAR($C585))</f>
        <v/>
      </c>
      <c r="N585" s="24"/>
      <c r="O585" s="35" t="str">
        <f aca="false">IF($C585="","",IF($D585="","★没选客户项目",IF(COUNTIF(合同键,$D585)=0,"★《维保合同》里没这个项目",IF(N($G585)&lt;=0,"★收款金额要填",IF($H585="","★票据类型要选",IF(AND($L585&lt;&gt;"",COUNTIF(应收单号,$L585)=0),"★关联的应收单号不存在",IF(AND($L585&lt;&gt;"",IFERROR(INDEX(应收键,MATCH($L585,应收单号,0)),"")&lt;&gt;$D585),"★关联单号不是这个客户的",IF(AND($L585&lt;&gt;"",ROUND(SUMIF(收款关联,$L585,收款金额)-IFERROR(INDEX(应收金额,MATCH($L585,应收单号,0)),0),2)&gt;0.001),"★指定冲销超过那张单的应收","OK"))))))))</f>
        <v/>
      </c>
    </row>
    <row r="586" customFormat="false" ht="15" hidden="false" customHeight="false" outlineLevel="0" collapsed="false">
      <c r="A586" s="29" t="str">
        <f aca="false">IF($C586="","",ROW()-4)</f>
        <v/>
      </c>
      <c r="B586" s="35" t="str">
        <f aca="false">IF($C586="","","SK"&amp;TEXT($C586,"yyyymm")&amp;"-"&amp;TEXT(ROW()-4,"0000"))</f>
        <v/>
      </c>
      <c r="C586" s="33"/>
      <c r="D586" s="24"/>
      <c r="E586" s="30" t="str">
        <f aca="false">IF($D586="","",IFERROR(INDEX(合同单位,MATCH($D586,合同键,0)),IFERROR(TRIM(LEFT($D586,FIND("｜",$D586)-1)),$D586)))</f>
        <v/>
      </c>
      <c r="F586" s="30" t="str">
        <f aca="false">IF($D586="","",IFERROR(INDEX(合同项目,MATCH($D586,合同键,0)),IFERROR(TRIM(MID($D586,FIND("｜",$D586)+1,99)),"")))</f>
        <v/>
      </c>
      <c r="G586" s="39"/>
      <c r="H586" s="25"/>
      <c r="I586" s="35" t="str">
        <f aca="false">IF($H586="","",IFERROR(INDEX(票据归类表,MATCH($H586,票据类型表,0)),"现金无票"))</f>
        <v/>
      </c>
      <c r="J586" s="25"/>
      <c r="K586" s="25"/>
      <c r="L586" s="31"/>
      <c r="M586" s="29" t="str">
        <f aca="false">IF($C586="","",YEAR($C586))</f>
        <v/>
      </c>
      <c r="N586" s="24"/>
      <c r="O586" s="35" t="str">
        <f aca="false">IF($C586="","",IF($D586="","★没选客户项目",IF(COUNTIF(合同键,$D586)=0,"★《维保合同》里没这个项目",IF(N($G586)&lt;=0,"★收款金额要填",IF($H586="","★票据类型要选",IF(AND($L586&lt;&gt;"",COUNTIF(应收单号,$L586)=0),"★关联的应收单号不存在",IF(AND($L586&lt;&gt;"",IFERROR(INDEX(应收键,MATCH($L586,应收单号,0)),"")&lt;&gt;$D586),"★关联单号不是这个客户的",IF(AND($L586&lt;&gt;"",ROUND(SUMIF(收款关联,$L586,收款金额)-IFERROR(INDEX(应收金额,MATCH($L586,应收单号,0)),0),2)&gt;0.001),"★指定冲销超过那张单的应收","OK"))))))))</f>
        <v/>
      </c>
    </row>
    <row r="587" customFormat="false" ht="15" hidden="false" customHeight="false" outlineLevel="0" collapsed="false">
      <c r="A587" s="29" t="str">
        <f aca="false">IF($C587="","",ROW()-4)</f>
        <v/>
      </c>
      <c r="B587" s="35" t="str">
        <f aca="false">IF($C587="","","SK"&amp;TEXT($C587,"yyyymm")&amp;"-"&amp;TEXT(ROW()-4,"0000"))</f>
        <v/>
      </c>
      <c r="C587" s="33"/>
      <c r="D587" s="24"/>
      <c r="E587" s="30" t="str">
        <f aca="false">IF($D587="","",IFERROR(INDEX(合同单位,MATCH($D587,合同键,0)),IFERROR(TRIM(LEFT($D587,FIND("｜",$D587)-1)),$D587)))</f>
        <v/>
      </c>
      <c r="F587" s="30" t="str">
        <f aca="false">IF($D587="","",IFERROR(INDEX(合同项目,MATCH($D587,合同键,0)),IFERROR(TRIM(MID($D587,FIND("｜",$D587)+1,99)),"")))</f>
        <v/>
      </c>
      <c r="G587" s="39"/>
      <c r="H587" s="25"/>
      <c r="I587" s="35" t="str">
        <f aca="false">IF($H587="","",IFERROR(INDEX(票据归类表,MATCH($H587,票据类型表,0)),"现金无票"))</f>
        <v/>
      </c>
      <c r="J587" s="25"/>
      <c r="K587" s="25"/>
      <c r="L587" s="31"/>
      <c r="M587" s="29" t="str">
        <f aca="false">IF($C587="","",YEAR($C587))</f>
        <v/>
      </c>
      <c r="N587" s="24"/>
      <c r="O587" s="35" t="str">
        <f aca="false">IF($C587="","",IF($D587="","★没选客户项目",IF(COUNTIF(合同键,$D587)=0,"★《维保合同》里没这个项目",IF(N($G587)&lt;=0,"★收款金额要填",IF($H587="","★票据类型要选",IF(AND($L587&lt;&gt;"",COUNTIF(应收单号,$L587)=0),"★关联的应收单号不存在",IF(AND($L587&lt;&gt;"",IFERROR(INDEX(应收键,MATCH($L587,应收单号,0)),"")&lt;&gt;$D587),"★关联单号不是这个客户的",IF(AND($L587&lt;&gt;"",ROUND(SUMIF(收款关联,$L587,收款金额)-IFERROR(INDEX(应收金额,MATCH($L587,应收单号,0)),0),2)&gt;0.001),"★指定冲销超过那张单的应收","OK"))))))))</f>
        <v/>
      </c>
    </row>
    <row r="588" customFormat="false" ht="15" hidden="false" customHeight="false" outlineLevel="0" collapsed="false">
      <c r="A588" s="29" t="str">
        <f aca="false">IF($C588="","",ROW()-4)</f>
        <v/>
      </c>
      <c r="B588" s="35" t="str">
        <f aca="false">IF($C588="","","SK"&amp;TEXT($C588,"yyyymm")&amp;"-"&amp;TEXT(ROW()-4,"0000"))</f>
        <v/>
      </c>
      <c r="C588" s="33"/>
      <c r="D588" s="24"/>
      <c r="E588" s="30" t="str">
        <f aca="false">IF($D588="","",IFERROR(INDEX(合同单位,MATCH($D588,合同键,0)),IFERROR(TRIM(LEFT($D588,FIND("｜",$D588)-1)),$D588)))</f>
        <v/>
      </c>
      <c r="F588" s="30" t="str">
        <f aca="false">IF($D588="","",IFERROR(INDEX(合同项目,MATCH($D588,合同键,0)),IFERROR(TRIM(MID($D588,FIND("｜",$D588)+1,99)),"")))</f>
        <v/>
      </c>
      <c r="G588" s="39"/>
      <c r="H588" s="25"/>
      <c r="I588" s="35" t="str">
        <f aca="false">IF($H588="","",IFERROR(INDEX(票据归类表,MATCH($H588,票据类型表,0)),"现金无票"))</f>
        <v/>
      </c>
      <c r="J588" s="25"/>
      <c r="K588" s="25"/>
      <c r="L588" s="31"/>
      <c r="M588" s="29" t="str">
        <f aca="false">IF($C588="","",YEAR($C588))</f>
        <v/>
      </c>
      <c r="N588" s="24"/>
      <c r="O588" s="35" t="str">
        <f aca="false">IF($C588="","",IF($D588="","★没选客户项目",IF(COUNTIF(合同键,$D588)=0,"★《维保合同》里没这个项目",IF(N($G588)&lt;=0,"★收款金额要填",IF($H588="","★票据类型要选",IF(AND($L588&lt;&gt;"",COUNTIF(应收单号,$L588)=0),"★关联的应收单号不存在",IF(AND($L588&lt;&gt;"",IFERROR(INDEX(应收键,MATCH($L588,应收单号,0)),"")&lt;&gt;$D588),"★关联单号不是这个客户的",IF(AND($L588&lt;&gt;"",ROUND(SUMIF(收款关联,$L588,收款金额)-IFERROR(INDEX(应收金额,MATCH($L588,应收单号,0)),0),2)&gt;0.001),"★指定冲销超过那张单的应收","OK"))))))))</f>
        <v/>
      </c>
    </row>
    <row r="589" customFormat="false" ht="15" hidden="false" customHeight="false" outlineLevel="0" collapsed="false">
      <c r="A589" s="29" t="str">
        <f aca="false">IF($C589="","",ROW()-4)</f>
        <v/>
      </c>
      <c r="B589" s="35" t="str">
        <f aca="false">IF($C589="","","SK"&amp;TEXT($C589,"yyyymm")&amp;"-"&amp;TEXT(ROW()-4,"0000"))</f>
        <v/>
      </c>
      <c r="C589" s="33"/>
      <c r="D589" s="24"/>
      <c r="E589" s="30" t="str">
        <f aca="false">IF($D589="","",IFERROR(INDEX(合同单位,MATCH($D589,合同键,0)),IFERROR(TRIM(LEFT($D589,FIND("｜",$D589)-1)),$D589)))</f>
        <v/>
      </c>
      <c r="F589" s="30" t="str">
        <f aca="false">IF($D589="","",IFERROR(INDEX(合同项目,MATCH($D589,合同键,0)),IFERROR(TRIM(MID($D589,FIND("｜",$D589)+1,99)),"")))</f>
        <v/>
      </c>
      <c r="G589" s="39"/>
      <c r="H589" s="25"/>
      <c r="I589" s="35" t="str">
        <f aca="false">IF($H589="","",IFERROR(INDEX(票据归类表,MATCH($H589,票据类型表,0)),"现金无票"))</f>
        <v/>
      </c>
      <c r="J589" s="25"/>
      <c r="K589" s="25"/>
      <c r="L589" s="31"/>
      <c r="M589" s="29" t="str">
        <f aca="false">IF($C589="","",YEAR($C589))</f>
        <v/>
      </c>
      <c r="N589" s="24"/>
      <c r="O589" s="35" t="str">
        <f aca="false">IF($C589="","",IF($D589="","★没选客户项目",IF(COUNTIF(合同键,$D589)=0,"★《维保合同》里没这个项目",IF(N($G589)&lt;=0,"★收款金额要填",IF($H589="","★票据类型要选",IF(AND($L589&lt;&gt;"",COUNTIF(应收单号,$L589)=0),"★关联的应收单号不存在",IF(AND($L589&lt;&gt;"",IFERROR(INDEX(应收键,MATCH($L589,应收单号,0)),"")&lt;&gt;$D589),"★关联单号不是这个客户的",IF(AND($L589&lt;&gt;"",ROUND(SUMIF(收款关联,$L589,收款金额)-IFERROR(INDEX(应收金额,MATCH($L589,应收单号,0)),0),2)&gt;0.001),"★指定冲销超过那张单的应收","OK"))))))))</f>
        <v/>
      </c>
    </row>
    <row r="590" customFormat="false" ht="15" hidden="false" customHeight="false" outlineLevel="0" collapsed="false">
      <c r="A590" s="29" t="str">
        <f aca="false">IF($C590="","",ROW()-4)</f>
        <v/>
      </c>
      <c r="B590" s="35" t="str">
        <f aca="false">IF($C590="","","SK"&amp;TEXT($C590,"yyyymm")&amp;"-"&amp;TEXT(ROW()-4,"0000"))</f>
        <v/>
      </c>
      <c r="C590" s="33"/>
      <c r="D590" s="24"/>
      <c r="E590" s="30" t="str">
        <f aca="false">IF($D590="","",IFERROR(INDEX(合同单位,MATCH($D590,合同键,0)),IFERROR(TRIM(LEFT($D590,FIND("｜",$D590)-1)),$D590)))</f>
        <v/>
      </c>
      <c r="F590" s="30" t="str">
        <f aca="false">IF($D590="","",IFERROR(INDEX(合同项目,MATCH($D590,合同键,0)),IFERROR(TRIM(MID($D590,FIND("｜",$D590)+1,99)),"")))</f>
        <v/>
      </c>
      <c r="G590" s="39"/>
      <c r="H590" s="25"/>
      <c r="I590" s="35" t="str">
        <f aca="false">IF($H590="","",IFERROR(INDEX(票据归类表,MATCH($H590,票据类型表,0)),"现金无票"))</f>
        <v/>
      </c>
      <c r="J590" s="25"/>
      <c r="K590" s="25"/>
      <c r="L590" s="31"/>
      <c r="M590" s="29" t="str">
        <f aca="false">IF($C590="","",YEAR($C590))</f>
        <v/>
      </c>
      <c r="N590" s="24"/>
      <c r="O590" s="35" t="str">
        <f aca="false">IF($C590="","",IF($D590="","★没选客户项目",IF(COUNTIF(合同键,$D590)=0,"★《维保合同》里没这个项目",IF(N($G590)&lt;=0,"★收款金额要填",IF($H590="","★票据类型要选",IF(AND($L590&lt;&gt;"",COUNTIF(应收单号,$L590)=0),"★关联的应收单号不存在",IF(AND($L590&lt;&gt;"",IFERROR(INDEX(应收键,MATCH($L590,应收单号,0)),"")&lt;&gt;$D590),"★关联单号不是这个客户的",IF(AND($L590&lt;&gt;"",ROUND(SUMIF(收款关联,$L590,收款金额)-IFERROR(INDEX(应收金额,MATCH($L590,应收单号,0)),0),2)&gt;0.001),"★指定冲销超过那张单的应收","OK"))))))))</f>
        <v/>
      </c>
    </row>
    <row r="591" customFormat="false" ht="15" hidden="false" customHeight="false" outlineLevel="0" collapsed="false">
      <c r="A591" s="29" t="str">
        <f aca="false">IF($C591="","",ROW()-4)</f>
        <v/>
      </c>
      <c r="B591" s="35" t="str">
        <f aca="false">IF($C591="","","SK"&amp;TEXT($C591,"yyyymm")&amp;"-"&amp;TEXT(ROW()-4,"0000"))</f>
        <v/>
      </c>
      <c r="C591" s="33"/>
      <c r="D591" s="24"/>
      <c r="E591" s="30" t="str">
        <f aca="false">IF($D591="","",IFERROR(INDEX(合同单位,MATCH($D591,合同键,0)),IFERROR(TRIM(LEFT($D591,FIND("｜",$D591)-1)),$D591)))</f>
        <v/>
      </c>
      <c r="F591" s="30" t="str">
        <f aca="false">IF($D591="","",IFERROR(INDEX(合同项目,MATCH($D591,合同键,0)),IFERROR(TRIM(MID($D591,FIND("｜",$D591)+1,99)),"")))</f>
        <v/>
      </c>
      <c r="G591" s="39"/>
      <c r="H591" s="25"/>
      <c r="I591" s="35" t="str">
        <f aca="false">IF($H591="","",IFERROR(INDEX(票据归类表,MATCH($H591,票据类型表,0)),"现金无票"))</f>
        <v/>
      </c>
      <c r="J591" s="25"/>
      <c r="K591" s="25"/>
      <c r="L591" s="31"/>
      <c r="M591" s="29" t="str">
        <f aca="false">IF($C591="","",YEAR($C591))</f>
        <v/>
      </c>
      <c r="N591" s="24"/>
      <c r="O591" s="35" t="str">
        <f aca="false">IF($C591="","",IF($D591="","★没选客户项目",IF(COUNTIF(合同键,$D591)=0,"★《维保合同》里没这个项目",IF(N($G591)&lt;=0,"★收款金额要填",IF($H591="","★票据类型要选",IF(AND($L591&lt;&gt;"",COUNTIF(应收单号,$L591)=0),"★关联的应收单号不存在",IF(AND($L591&lt;&gt;"",IFERROR(INDEX(应收键,MATCH($L591,应收单号,0)),"")&lt;&gt;$D591),"★关联单号不是这个客户的",IF(AND($L591&lt;&gt;"",ROUND(SUMIF(收款关联,$L591,收款金额)-IFERROR(INDEX(应收金额,MATCH($L591,应收单号,0)),0),2)&gt;0.001),"★指定冲销超过那张单的应收","OK"))))))))</f>
        <v/>
      </c>
    </row>
    <row r="592" customFormat="false" ht="15" hidden="false" customHeight="false" outlineLevel="0" collapsed="false">
      <c r="A592" s="29" t="str">
        <f aca="false">IF($C592="","",ROW()-4)</f>
        <v/>
      </c>
      <c r="B592" s="35" t="str">
        <f aca="false">IF($C592="","","SK"&amp;TEXT($C592,"yyyymm")&amp;"-"&amp;TEXT(ROW()-4,"0000"))</f>
        <v/>
      </c>
      <c r="C592" s="33"/>
      <c r="D592" s="24"/>
      <c r="E592" s="30" t="str">
        <f aca="false">IF($D592="","",IFERROR(INDEX(合同单位,MATCH($D592,合同键,0)),IFERROR(TRIM(LEFT($D592,FIND("｜",$D592)-1)),$D592)))</f>
        <v/>
      </c>
      <c r="F592" s="30" t="str">
        <f aca="false">IF($D592="","",IFERROR(INDEX(合同项目,MATCH($D592,合同键,0)),IFERROR(TRIM(MID($D592,FIND("｜",$D592)+1,99)),"")))</f>
        <v/>
      </c>
      <c r="G592" s="39"/>
      <c r="H592" s="25"/>
      <c r="I592" s="35" t="str">
        <f aca="false">IF($H592="","",IFERROR(INDEX(票据归类表,MATCH($H592,票据类型表,0)),"现金无票"))</f>
        <v/>
      </c>
      <c r="J592" s="25"/>
      <c r="K592" s="25"/>
      <c r="L592" s="31"/>
      <c r="M592" s="29" t="str">
        <f aca="false">IF($C592="","",YEAR($C592))</f>
        <v/>
      </c>
      <c r="N592" s="24"/>
      <c r="O592" s="35" t="str">
        <f aca="false">IF($C592="","",IF($D592="","★没选客户项目",IF(COUNTIF(合同键,$D592)=0,"★《维保合同》里没这个项目",IF(N($G592)&lt;=0,"★收款金额要填",IF($H592="","★票据类型要选",IF(AND($L592&lt;&gt;"",COUNTIF(应收单号,$L592)=0),"★关联的应收单号不存在",IF(AND($L592&lt;&gt;"",IFERROR(INDEX(应收键,MATCH($L592,应收单号,0)),"")&lt;&gt;$D592),"★关联单号不是这个客户的",IF(AND($L592&lt;&gt;"",ROUND(SUMIF(收款关联,$L592,收款金额)-IFERROR(INDEX(应收金额,MATCH($L592,应收单号,0)),0),2)&gt;0.001),"★指定冲销超过那张单的应收","OK"))))))))</f>
        <v/>
      </c>
    </row>
    <row r="593" customFormat="false" ht="15" hidden="false" customHeight="false" outlineLevel="0" collapsed="false">
      <c r="A593" s="29" t="str">
        <f aca="false">IF($C593="","",ROW()-4)</f>
        <v/>
      </c>
      <c r="B593" s="35" t="str">
        <f aca="false">IF($C593="","","SK"&amp;TEXT($C593,"yyyymm")&amp;"-"&amp;TEXT(ROW()-4,"0000"))</f>
        <v/>
      </c>
      <c r="C593" s="33"/>
      <c r="D593" s="24"/>
      <c r="E593" s="30" t="str">
        <f aca="false">IF($D593="","",IFERROR(INDEX(合同单位,MATCH($D593,合同键,0)),IFERROR(TRIM(LEFT($D593,FIND("｜",$D593)-1)),$D593)))</f>
        <v/>
      </c>
      <c r="F593" s="30" t="str">
        <f aca="false">IF($D593="","",IFERROR(INDEX(合同项目,MATCH($D593,合同键,0)),IFERROR(TRIM(MID($D593,FIND("｜",$D593)+1,99)),"")))</f>
        <v/>
      </c>
      <c r="G593" s="39"/>
      <c r="H593" s="25"/>
      <c r="I593" s="35" t="str">
        <f aca="false">IF($H593="","",IFERROR(INDEX(票据归类表,MATCH($H593,票据类型表,0)),"现金无票"))</f>
        <v/>
      </c>
      <c r="J593" s="25"/>
      <c r="K593" s="25"/>
      <c r="L593" s="31"/>
      <c r="M593" s="29" t="str">
        <f aca="false">IF($C593="","",YEAR($C593))</f>
        <v/>
      </c>
      <c r="N593" s="24"/>
      <c r="O593" s="35" t="str">
        <f aca="false">IF($C593="","",IF($D593="","★没选客户项目",IF(COUNTIF(合同键,$D593)=0,"★《维保合同》里没这个项目",IF(N($G593)&lt;=0,"★收款金额要填",IF($H593="","★票据类型要选",IF(AND($L593&lt;&gt;"",COUNTIF(应收单号,$L593)=0),"★关联的应收单号不存在",IF(AND($L593&lt;&gt;"",IFERROR(INDEX(应收键,MATCH($L593,应收单号,0)),"")&lt;&gt;$D593),"★关联单号不是这个客户的",IF(AND($L593&lt;&gt;"",ROUND(SUMIF(收款关联,$L593,收款金额)-IFERROR(INDEX(应收金额,MATCH($L593,应收单号,0)),0),2)&gt;0.001),"★指定冲销超过那张单的应收","OK"))))))))</f>
        <v/>
      </c>
    </row>
    <row r="594" customFormat="false" ht="15" hidden="false" customHeight="false" outlineLevel="0" collapsed="false">
      <c r="A594" s="29" t="str">
        <f aca="false">IF($C594="","",ROW()-4)</f>
        <v/>
      </c>
      <c r="B594" s="35" t="str">
        <f aca="false">IF($C594="","","SK"&amp;TEXT($C594,"yyyymm")&amp;"-"&amp;TEXT(ROW()-4,"0000"))</f>
        <v/>
      </c>
      <c r="C594" s="33"/>
      <c r="D594" s="24"/>
      <c r="E594" s="30" t="str">
        <f aca="false">IF($D594="","",IFERROR(INDEX(合同单位,MATCH($D594,合同键,0)),IFERROR(TRIM(LEFT($D594,FIND("｜",$D594)-1)),$D594)))</f>
        <v/>
      </c>
      <c r="F594" s="30" t="str">
        <f aca="false">IF($D594="","",IFERROR(INDEX(合同项目,MATCH($D594,合同键,0)),IFERROR(TRIM(MID($D594,FIND("｜",$D594)+1,99)),"")))</f>
        <v/>
      </c>
      <c r="G594" s="39"/>
      <c r="H594" s="25"/>
      <c r="I594" s="35" t="str">
        <f aca="false">IF($H594="","",IFERROR(INDEX(票据归类表,MATCH($H594,票据类型表,0)),"现金无票"))</f>
        <v/>
      </c>
      <c r="J594" s="25"/>
      <c r="K594" s="25"/>
      <c r="L594" s="31"/>
      <c r="M594" s="29" t="str">
        <f aca="false">IF($C594="","",YEAR($C594))</f>
        <v/>
      </c>
      <c r="N594" s="24"/>
      <c r="O594" s="35" t="str">
        <f aca="false">IF($C594="","",IF($D594="","★没选客户项目",IF(COUNTIF(合同键,$D594)=0,"★《维保合同》里没这个项目",IF(N($G594)&lt;=0,"★收款金额要填",IF($H594="","★票据类型要选",IF(AND($L594&lt;&gt;"",COUNTIF(应收单号,$L594)=0),"★关联的应收单号不存在",IF(AND($L594&lt;&gt;"",IFERROR(INDEX(应收键,MATCH($L594,应收单号,0)),"")&lt;&gt;$D594),"★关联单号不是这个客户的",IF(AND($L594&lt;&gt;"",ROUND(SUMIF(收款关联,$L594,收款金额)-IFERROR(INDEX(应收金额,MATCH($L594,应收单号,0)),0),2)&gt;0.001),"★指定冲销超过那张单的应收","OK"))))))))</f>
        <v/>
      </c>
    </row>
    <row r="595" customFormat="false" ht="15" hidden="false" customHeight="false" outlineLevel="0" collapsed="false">
      <c r="A595" s="29" t="str">
        <f aca="false">IF($C595="","",ROW()-4)</f>
        <v/>
      </c>
      <c r="B595" s="35" t="str">
        <f aca="false">IF($C595="","","SK"&amp;TEXT($C595,"yyyymm")&amp;"-"&amp;TEXT(ROW()-4,"0000"))</f>
        <v/>
      </c>
      <c r="C595" s="33"/>
      <c r="D595" s="24"/>
      <c r="E595" s="30" t="str">
        <f aca="false">IF($D595="","",IFERROR(INDEX(合同单位,MATCH($D595,合同键,0)),IFERROR(TRIM(LEFT($D595,FIND("｜",$D595)-1)),$D595)))</f>
        <v/>
      </c>
      <c r="F595" s="30" t="str">
        <f aca="false">IF($D595="","",IFERROR(INDEX(合同项目,MATCH($D595,合同键,0)),IFERROR(TRIM(MID($D595,FIND("｜",$D595)+1,99)),"")))</f>
        <v/>
      </c>
      <c r="G595" s="39"/>
      <c r="H595" s="25"/>
      <c r="I595" s="35" t="str">
        <f aca="false">IF($H595="","",IFERROR(INDEX(票据归类表,MATCH($H595,票据类型表,0)),"现金无票"))</f>
        <v/>
      </c>
      <c r="J595" s="25"/>
      <c r="K595" s="25"/>
      <c r="L595" s="31"/>
      <c r="M595" s="29" t="str">
        <f aca="false">IF($C595="","",YEAR($C595))</f>
        <v/>
      </c>
      <c r="N595" s="24"/>
      <c r="O595" s="35" t="str">
        <f aca="false">IF($C595="","",IF($D595="","★没选客户项目",IF(COUNTIF(合同键,$D595)=0,"★《维保合同》里没这个项目",IF(N($G595)&lt;=0,"★收款金额要填",IF($H595="","★票据类型要选",IF(AND($L595&lt;&gt;"",COUNTIF(应收单号,$L595)=0),"★关联的应收单号不存在",IF(AND($L595&lt;&gt;"",IFERROR(INDEX(应收键,MATCH($L595,应收单号,0)),"")&lt;&gt;$D595),"★关联单号不是这个客户的",IF(AND($L595&lt;&gt;"",ROUND(SUMIF(收款关联,$L595,收款金额)-IFERROR(INDEX(应收金额,MATCH($L595,应收单号,0)),0),2)&gt;0.001),"★指定冲销超过那张单的应收","OK"))))))))</f>
        <v/>
      </c>
    </row>
    <row r="596" customFormat="false" ht="15" hidden="false" customHeight="false" outlineLevel="0" collapsed="false">
      <c r="A596" s="29" t="str">
        <f aca="false">IF($C596="","",ROW()-4)</f>
        <v/>
      </c>
      <c r="B596" s="35" t="str">
        <f aca="false">IF($C596="","","SK"&amp;TEXT($C596,"yyyymm")&amp;"-"&amp;TEXT(ROW()-4,"0000"))</f>
        <v/>
      </c>
      <c r="C596" s="33"/>
      <c r="D596" s="24"/>
      <c r="E596" s="30" t="str">
        <f aca="false">IF($D596="","",IFERROR(INDEX(合同单位,MATCH($D596,合同键,0)),IFERROR(TRIM(LEFT($D596,FIND("｜",$D596)-1)),$D596)))</f>
        <v/>
      </c>
      <c r="F596" s="30" t="str">
        <f aca="false">IF($D596="","",IFERROR(INDEX(合同项目,MATCH($D596,合同键,0)),IFERROR(TRIM(MID($D596,FIND("｜",$D596)+1,99)),"")))</f>
        <v/>
      </c>
      <c r="G596" s="39"/>
      <c r="H596" s="25"/>
      <c r="I596" s="35" t="str">
        <f aca="false">IF($H596="","",IFERROR(INDEX(票据归类表,MATCH($H596,票据类型表,0)),"现金无票"))</f>
        <v/>
      </c>
      <c r="J596" s="25"/>
      <c r="K596" s="25"/>
      <c r="L596" s="31"/>
      <c r="M596" s="29" t="str">
        <f aca="false">IF($C596="","",YEAR($C596))</f>
        <v/>
      </c>
      <c r="N596" s="24"/>
      <c r="O596" s="35" t="str">
        <f aca="false">IF($C596="","",IF($D596="","★没选客户项目",IF(COUNTIF(合同键,$D596)=0,"★《维保合同》里没这个项目",IF(N($G596)&lt;=0,"★收款金额要填",IF($H596="","★票据类型要选",IF(AND($L596&lt;&gt;"",COUNTIF(应收单号,$L596)=0),"★关联的应收单号不存在",IF(AND($L596&lt;&gt;"",IFERROR(INDEX(应收键,MATCH($L596,应收单号,0)),"")&lt;&gt;$D596),"★关联单号不是这个客户的",IF(AND($L596&lt;&gt;"",ROUND(SUMIF(收款关联,$L596,收款金额)-IFERROR(INDEX(应收金额,MATCH($L596,应收单号,0)),0),2)&gt;0.001),"★指定冲销超过那张单的应收","OK"))))))))</f>
        <v/>
      </c>
    </row>
    <row r="597" customFormat="false" ht="15" hidden="false" customHeight="false" outlineLevel="0" collapsed="false">
      <c r="A597" s="29" t="str">
        <f aca="false">IF($C597="","",ROW()-4)</f>
        <v/>
      </c>
      <c r="B597" s="35" t="str">
        <f aca="false">IF($C597="","","SK"&amp;TEXT($C597,"yyyymm")&amp;"-"&amp;TEXT(ROW()-4,"0000"))</f>
        <v/>
      </c>
      <c r="C597" s="33"/>
      <c r="D597" s="24"/>
      <c r="E597" s="30" t="str">
        <f aca="false">IF($D597="","",IFERROR(INDEX(合同单位,MATCH($D597,合同键,0)),IFERROR(TRIM(LEFT($D597,FIND("｜",$D597)-1)),$D597)))</f>
        <v/>
      </c>
      <c r="F597" s="30" t="str">
        <f aca="false">IF($D597="","",IFERROR(INDEX(合同项目,MATCH($D597,合同键,0)),IFERROR(TRIM(MID($D597,FIND("｜",$D597)+1,99)),"")))</f>
        <v/>
      </c>
      <c r="G597" s="39"/>
      <c r="H597" s="25"/>
      <c r="I597" s="35" t="str">
        <f aca="false">IF($H597="","",IFERROR(INDEX(票据归类表,MATCH($H597,票据类型表,0)),"现金无票"))</f>
        <v/>
      </c>
      <c r="J597" s="25"/>
      <c r="K597" s="25"/>
      <c r="L597" s="31"/>
      <c r="M597" s="29" t="str">
        <f aca="false">IF($C597="","",YEAR($C597))</f>
        <v/>
      </c>
      <c r="N597" s="24"/>
      <c r="O597" s="35" t="str">
        <f aca="false">IF($C597="","",IF($D597="","★没选客户项目",IF(COUNTIF(合同键,$D597)=0,"★《维保合同》里没这个项目",IF(N($G597)&lt;=0,"★收款金额要填",IF($H597="","★票据类型要选",IF(AND($L597&lt;&gt;"",COUNTIF(应收单号,$L597)=0),"★关联的应收单号不存在",IF(AND($L597&lt;&gt;"",IFERROR(INDEX(应收键,MATCH($L597,应收单号,0)),"")&lt;&gt;$D597),"★关联单号不是这个客户的",IF(AND($L597&lt;&gt;"",ROUND(SUMIF(收款关联,$L597,收款金额)-IFERROR(INDEX(应收金额,MATCH($L597,应收单号,0)),0),2)&gt;0.001),"★指定冲销超过那张单的应收","OK"))))))))</f>
        <v/>
      </c>
    </row>
    <row r="598" customFormat="false" ht="15" hidden="false" customHeight="false" outlineLevel="0" collapsed="false">
      <c r="A598" s="29" t="str">
        <f aca="false">IF($C598="","",ROW()-4)</f>
        <v/>
      </c>
      <c r="B598" s="35" t="str">
        <f aca="false">IF($C598="","","SK"&amp;TEXT($C598,"yyyymm")&amp;"-"&amp;TEXT(ROW()-4,"0000"))</f>
        <v/>
      </c>
      <c r="C598" s="33"/>
      <c r="D598" s="24"/>
      <c r="E598" s="30" t="str">
        <f aca="false">IF($D598="","",IFERROR(INDEX(合同单位,MATCH($D598,合同键,0)),IFERROR(TRIM(LEFT($D598,FIND("｜",$D598)-1)),$D598)))</f>
        <v/>
      </c>
      <c r="F598" s="30" t="str">
        <f aca="false">IF($D598="","",IFERROR(INDEX(合同项目,MATCH($D598,合同键,0)),IFERROR(TRIM(MID($D598,FIND("｜",$D598)+1,99)),"")))</f>
        <v/>
      </c>
      <c r="G598" s="39"/>
      <c r="H598" s="25"/>
      <c r="I598" s="35" t="str">
        <f aca="false">IF($H598="","",IFERROR(INDEX(票据归类表,MATCH($H598,票据类型表,0)),"现金无票"))</f>
        <v/>
      </c>
      <c r="J598" s="25"/>
      <c r="K598" s="25"/>
      <c r="L598" s="31"/>
      <c r="M598" s="29" t="str">
        <f aca="false">IF($C598="","",YEAR($C598))</f>
        <v/>
      </c>
      <c r="N598" s="24"/>
      <c r="O598" s="35" t="str">
        <f aca="false">IF($C598="","",IF($D598="","★没选客户项目",IF(COUNTIF(合同键,$D598)=0,"★《维保合同》里没这个项目",IF(N($G598)&lt;=0,"★收款金额要填",IF($H598="","★票据类型要选",IF(AND($L598&lt;&gt;"",COUNTIF(应收单号,$L598)=0),"★关联的应收单号不存在",IF(AND($L598&lt;&gt;"",IFERROR(INDEX(应收键,MATCH($L598,应收单号,0)),"")&lt;&gt;$D598),"★关联单号不是这个客户的",IF(AND($L598&lt;&gt;"",ROUND(SUMIF(收款关联,$L598,收款金额)-IFERROR(INDEX(应收金额,MATCH($L598,应收单号,0)),0),2)&gt;0.001),"★指定冲销超过那张单的应收","OK"))))))))</f>
        <v/>
      </c>
    </row>
    <row r="599" customFormat="false" ht="15" hidden="false" customHeight="false" outlineLevel="0" collapsed="false">
      <c r="A599" s="29" t="str">
        <f aca="false">IF($C599="","",ROW()-4)</f>
        <v/>
      </c>
      <c r="B599" s="35" t="str">
        <f aca="false">IF($C599="","","SK"&amp;TEXT($C599,"yyyymm")&amp;"-"&amp;TEXT(ROW()-4,"0000"))</f>
        <v/>
      </c>
      <c r="C599" s="33"/>
      <c r="D599" s="24"/>
      <c r="E599" s="30" t="str">
        <f aca="false">IF($D599="","",IFERROR(INDEX(合同单位,MATCH($D599,合同键,0)),IFERROR(TRIM(LEFT($D599,FIND("｜",$D599)-1)),$D599)))</f>
        <v/>
      </c>
      <c r="F599" s="30" t="str">
        <f aca="false">IF($D599="","",IFERROR(INDEX(合同项目,MATCH($D599,合同键,0)),IFERROR(TRIM(MID($D599,FIND("｜",$D599)+1,99)),"")))</f>
        <v/>
      </c>
      <c r="G599" s="39"/>
      <c r="H599" s="25"/>
      <c r="I599" s="35" t="str">
        <f aca="false">IF($H599="","",IFERROR(INDEX(票据归类表,MATCH($H599,票据类型表,0)),"现金无票"))</f>
        <v/>
      </c>
      <c r="J599" s="25"/>
      <c r="K599" s="25"/>
      <c r="L599" s="31"/>
      <c r="M599" s="29" t="str">
        <f aca="false">IF($C599="","",YEAR($C599))</f>
        <v/>
      </c>
      <c r="N599" s="24"/>
      <c r="O599" s="35" t="str">
        <f aca="false">IF($C599="","",IF($D599="","★没选客户项目",IF(COUNTIF(合同键,$D599)=0,"★《维保合同》里没这个项目",IF(N($G599)&lt;=0,"★收款金额要填",IF($H599="","★票据类型要选",IF(AND($L599&lt;&gt;"",COUNTIF(应收单号,$L599)=0),"★关联的应收单号不存在",IF(AND($L599&lt;&gt;"",IFERROR(INDEX(应收键,MATCH($L599,应收单号,0)),"")&lt;&gt;$D599),"★关联单号不是这个客户的",IF(AND($L599&lt;&gt;"",ROUND(SUMIF(收款关联,$L599,收款金额)-IFERROR(INDEX(应收金额,MATCH($L599,应收单号,0)),0),2)&gt;0.001),"★指定冲销超过那张单的应收","OK"))))))))</f>
        <v/>
      </c>
    </row>
    <row r="600" customFormat="false" ht="15" hidden="false" customHeight="false" outlineLevel="0" collapsed="false">
      <c r="A600" s="29" t="str">
        <f aca="false">IF($C600="","",ROW()-4)</f>
        <v/>
      </c>
      <c r="B600" s="35" t="str">
        <f aca="false">IF($C600="","","SK"&amp;TEXT($C600,"yyyymm")&amp;"-"&amp;TEXT(ROW()-4,"0000"))</f>
        <v/>
      </c>
      <c r="C600" s="33"/>
      <c r="D600" s="24"/>
      <c r="E600" s="30" t="str">
        <f aca="false">IF($D600="","",IFERROR(INDEX(合同单位,MATCH($D600,合同键,0)),IFERROR(TRIM(LEFT($D600,FIND("｜",$D600)-1)),$D600)))</f>
        <v/>
      </c>
      <c r="F600" s="30" t="str">
        <f aca="false">IF($D600="","",IFERROR(INDEX(合同项目,MATCH($D600,合同键,0)),IFERROR(TRIM(MID($D600,FIND("｜",$D600)+1,99)),"")))</f>
        <v/>
      </c>
      <c r="G600" s="39"/>
      <c r="H600" s="25"/>
      <c r="I600" s="35" t="str">
        <f aca="false">IF($H600="","",IFERROR(INDEX(票据归类表,MATCH($H600,票据类型表,0)),"现金无票"))</f>
        <v/>
      </c>
      <c r="J600" s="25"/>
      <c r="K600" s="25"/>
      <c r="L600" s="31"/>
      <c r="M600" s="29" t="str">
        <f aca="false">IF($C600="","",YEAR($C600))</f>
        <v/>
      </c>
      <c r="N600" s="24"/>
      <c r="O600" s="35" t="str">
        <f aca="false">IF($C600="","",IF($D600="","★没选客户项目",IF(COUNTIF(合同键,$D600)=0,"★《维保合同》里没这个项目",IF(N($G600)&lt;=0,"★收款金额要填",IF($H600="","★票据类型要选",IF(AND($L600&lt;&gt;"",COUNTIF(应收单号,$L600)=0),"★关联的应收单号不存在",IF(AND($L600&lt;&gt;"",IFERROR(INDEX(应收键,MATCH($L600,应收单号,0)),"")&lt;&gt;$D600),"★关联单号不是这个客户的",IF(AND($L600&lt;&gt;"",ROUND(SUMIF(收款关联,$L600,收款金额)-IFERROR(INDEX(应收金额,MATCH($L600,应收单号,0)),0),2)&gt;0.001),"★指定冲销超过那张单的应收","OK"))))))))</f>
        <v/>
      </c>
    </row>
    <row r="601" customFormat="false" ht="15" hidden="false" customHeight="false" outlineLevel="0" collapsed="false">
      <c r="A601" s="29" t="str">
        <f aca="false">IF($C601="","",ROW()-4)</f>
        <v/>
      </c>
      <c r="B601" s="35" t="str">
        <f aca="false">IF($C601="","","SK"&amp;TEXT($C601,"yyyymm")&amp;"-"&amp;TEXT(ROW()-4,"0000"))</f>
        <v/>
      </c>
      <c r="C601" s="33"/>
      <c r="D601" s="24"/>
      <c r="E601" s="30" t="str">
        <f aca="false">IF($D601="","",IFERROR(INDEX(合同单位,MATCH($D601,合同键,0)),IFERROR(TRIM(LEFT($D601,FIND("｜",$D601)-1)),$D601)))</f>
        <v/>
      </c>
      <c r="F601" s="30" t="str">
        <f aca="false">IF($D601="","",IFERROR(INDEX(合同项目,MATCH($D601,合同键,0)),IFERROR(TRIM(MID($D601,FIND("｜",$D601)+1,99)),"")))</f>
        <v/>
      </c>
      <c r="G601" s="39"/>
      <c r="H601" s="25"/>
      <c r="I601" s="35" t="str">
        <f aca="false">IF($H601="","",IFERROR(INDEX(票据归类表,MATCH($H601,票据类型表,0)),"现金无票"))</f>
        <v/>
      </c>
      <c r="J601" s="25"/>
      <c r="K601" s="25"/>
      <c r="L601" s="31"/>
      <c r="M601" s="29" t="str">
        <f aca="false">IF($C601="","",YEAR($C601))</f>
        <v/>
      </c>
      <c r="N601" s="24"/>
      <c r="O601" s="35" t="str">
        <f aca="false">IF($C601="","",IF($D601="","★没选客户项目",IF(COUNTIF(合同键,$D601)=0,"★《维保合同》里没这个项目",IF(N($G601)&lt;=0,"★收款金额要填",IF($H601="","★票据类型要选",IF(AND($L601&lt;&gt;"",COUNTIF(应收单号,$L601)=0),"★关联的应收单号不存在",IF(AND($L601&lt;&gt;"",IFERROR(INDEX(应收键,MATCH($L601,应收单号,0)),"")&lt;&gt;$D601),"★关联单号不是这个客户的",IF(AND($L601&lt;&gt;"",ROUND(SUMIF(收款关联,$L601,收款金额)-IFERROR(INDEX(应收金额,MATCH($L601,应收单号,0)),0),2)&gt;0.001),"★指定冲销超过那张单的应收","OK"))))))))</f>
        <v/>
      </c>
    </row>
    <row r="602" customFormat="false" ht="15" hidden="false" customHeight="false" outlineLevel="0" collapsed="false">
      <c r="A602" s="29" t="str">
        <f aca="false">IF($C602="","",ROW()-4)</f>
        <v/>
      </c>
      <c r="B602" s="35" t="str">
        <f aca="false">IF($C602="","","SK"&amp;TEXT($C602,"yyyymm")&amp;"-"&amp;TEXT(ROW()-4,"0000"))</f>
        <v/>
      </c>
      <c r="C602" s="33"/>
      <c r="D602" s="24"/>
      <c r="E602" s="30" t="str">
        <f aca="false">IF($D602="","",IFERROR(INDEX(合同单位,MATCH($D602,合同键,0)),IFERROR(TRIM(LEFT($D602,FIND("｜",$D602)-1)),$D602)))</f>
        <v/>
      </c>
      <c r="F602" s="30" t="str">
        <f aca="false">IF($D602="","",IFERROR(INDEX(合同项目,MATCH($D602,合同键,0)),IFERROR(TRIM(MID($D602,FIND("｜",$D602)+1,99)),"")))</f>
        <v/>
      </c>
      <c r="G602" s="39"/>
      <c r="H602" s="25"/>
      <c r="I602" s="35" t="str">
        <f aca="false">IF($H602="","",IFERROR(INDEX(票据归类表,MATCH($H602,票据类型表,0)),"现金无票"))</f>
        <v/>
      </c>
      <c r="J602" s="25"/>
      <c r="K602" s="25"/>
      <c r="L602" s="31"/>
      <c r="M602" s="29" t="str">
        <f aca="false">IF($C602="","",YEAR($C602))</f>
        <v/>
      </c>
      <c r="N602" s="24"/>
      <c r="O602" s="35" t="str">
        <f aca="false">IF($C602="","",IF($D602="","★没选客户项目",IF(COUNTIF(合同键,$D602)=0,"★《维保合同》里没这个项目",IF(N($G602)&lt;=0,"★收款金额要填",IF($H602="","★票据类型要选",IF(AND($L602&lt;&gt;"",COUNTIF(应收单号,$L602)=0),"★关联的应收单号不存在",IF(AND($L602&lt;&gt;"",IFERROR(INDEX(应收键,MATCH($L602,应收单号,0)),"")&lt;&gt;$D602),"★关联单号不是这个客户的",IF(AND($L602&lt;&gt;"",ROUND(SUMIF(收款关联,$L602,收款金额)-IFERROR(INDEX(应收金额,MATCH($L602,应收单号,0)),0),2)&gt;0.001),"★指定冲销超过那张单的应收","OK"))))))))</f>
        <v/>
      </c>
    </row>
    <row r="603" customFormat="false" ht="15" hidden="false" customHeight="false" outlineLevel="0" collapsed="false">
      <c r="A603" s="29" t="str">
        <f aca="false">IF($C603="","",ROW()-4)</f>
        <v/>
      </c>
      <c r="B603" s="35" t="str">
        <f aca="false">IF($C603="","","SK"&amp;TEXT($C603,"yyyymm")&amp;"-"&amp;TEXT(ROW()-4,"0000"))</f>
        <v/>
      </c>
      <c r="C603" s="33"/>
      <c r="D603" s="24"/>
      <c r="E603" s="30" t="str">
        <f aca="false">IF($D603="","",IFERROR(INDEX(合同单位,MATCH($D603,合同键,0)),IFERROR(TRIM(LEFT($D603,FIND("｜",$D603)-1)),$D603)))</f>
        <v/>
      </c>
      <c r="F603" s="30" t="str">
        <f aca="false">IF($D603="","",IFERROR(INDEX(合同项目,MATCH($D603,合同键,0)),IFERROR(TRIM(MID($D603,FIND("｜",$D603)+1,99)),"")))</f>
        <v/>
      </c>
      <c r="G603" s="39"/>
      <c r="H603" s="25"/>
      <c r="I603" s="35" t="str">
        <f aca="false">IF($H603="","",IFERROR(INDEX(票据归类表,MATCH($H603,票据类型表,0)),"现金无票"))</f>
        <v/>
      </c>
      <c r="J603" s="25"/>
      <c r="K603" s="25"/>
      <c r="L603" s="31"/>
      <c r="M603" s="29" t="str">
        <f aca="false">IF($C603="","",YEAR($C603))</f>
        <v/>
      </c>
      <c r="N603" s="24"/>
      <c r="O603" s="35" t="str">
        <f aca="false">IF($C603="","",IF($D603="","★没选客户项目",IF(COUNTIF(合同键,$D603)=0,"★《维保合同》里没这个项目",IF(N($G603)&lt;=0,"★收款金额要填",IF($H603="","★票据类型要选",IF(AND($L603&lt;&gt;"",COUNTIF(应收单号,$L603)=0),"★关联的应收单号不存在",IF(AND($L603&lt;&gt;"",IFERROR(INDEX(应收键,MATCH($L603,应收单号,0)),"")&lt;&gt;$D603),"★关联单号不是这个客户的",IF(AND($L603&lt;&gt;"",ROUND(SUMIF(收款关联,$L603,收款金额)-IFERROR(INDEX(应收金额,MATCH($L603,应收单号,0)),0),2)&gt;0.001),"★指定冲销超过那张单的应收","OK"))))))))</f>
        <v/>
      </c>
    </row>
    <row r="604" customFormat="false" ht="15" hidden="false" customHeight="false" outlineLevel="0" collapsed="false">
      <c r="A604" s="29" t="str">
        <f aca="false">IF($C604="","",ROW()-4)</f>
        <v/>
      </c>
      <c r="B604" s="35" t="str">
        <f aca="false">IF($C604="","","SK"&amp;TEXT($C604,"yyyymm")&amp;"-"&amp;TEXT(ROW()-4,"0000"))</f>
        <v/>
      </c>
      <c r="C604" s="33"/>
      <c r="D604" s="24"/>
      <c r="E604" s="30" t="str">
        <f aca="false">IF($D604="","",IFERROR(INDEX(合同单位,MATCH($D604,合同键,0)),IFERROR(TRIM(LEFT($D604,FIND("｜",$D604)-1)),$D604)))</f>
        <v/>
      </c>
      <c r="F604" s="30" t="str">
        <f aca="false">IF($D604="","",IFERROR(INDEX(合同项目,MATCH($D604,合同键,0)),IFERROR(TRIM(MID($D604,FIND("｜",$D604)+1,99)),"")))</f>
        <v/>
      </c>
      <c r="G604" s="39"/>
      <c r="H604" s="25"/>
      <c r="I604" s="35" t="str">
        <f aca="false">IF($H604="","",IFERROR(INDEX(票据归类表,MATCH($H604,票据类型表,0)),"现金无票"))</f>
        <v/>
      </c>
      <c r="J604" s="25"/>
      <c r="K604" s="25"/>
      <c r="L604" s="31"/>
      <c r="M604" s="29" t="str">
        <f aca="false">IF($C604="","",YEAR($C604))</f>
        <v/>
      </c>
      <c r="N604" s="24"/>
      <c r="O604" s="35" t="str">
        <f aca="false">IF($C604="","",IF($D604="","★没选客户项目",IF(COUNTIF(合同键,$D604)=0,"★《维保合同》里没这个项目",IF(N($G604)&lt;=0,"★收款金额要填",IF($H604="","★票据类型要选",IF(AND($L604&lt;&gt;"",COUNTIF(应收单号,$L604)=0),"★关联的应收单号不存在",IF(AND($L604&lt;&gt;"",IFERROR(INDEX(应收键,MATCH($L604,应收单号,0)),"")&lt;&gt;$D604),"★关联单号不是这个客户的",IF(AND($L604&lt;&gt;"",ROUND(SUMIF(收款关联,$L604,收款金额)-IFERROR(INDEX(应收金额,MATCH($L604,应收单号,0)),0),2)&gt;0.001),"★指定冲销超过那张单的应收","OK"))))))))</f>
        <v/>
      </c>
    </row>
    <row r="605" customFormat="false" ht="15" hidden="false" customHeight="false" outlineLevel="0" collapsed="false">
      <c r="A605" s="29" t="str">
        <f aca="false">IF($C605="","",ROW()-4)</f>
        <v/>
      </c>
      <c r="B605" s="35" t="str">
        <f aca="false">IF($C605="","","SK"&amp;TEXT($C605,"yyyymm")&amp;"-"&amp;TEXT(ROW()-4,"0000"))</f>
        <v/>
      </c>
      <c r="C605" s="33"/>
      <c r="D605" s="24"/>
      <c r="E605" s="30" t="str">
        <f aca="false">IF($D605="","",IFERROR(INDEX(合同单位,MATCH($D605,合同键,0)),IFERROR(TRIM(LEFT($D605,FIND("｜",$D605)-1)),$D605)))</f>
        <v/>
      </c>
      <c r="F605" s="30" t="str">
        <f aca="false">IF($D605="","",IFERROR(INDEX(合同项目,MATCH($D605,合同键,0)),IFERROR(TRIM(MID($D605,FIND("｜",$D605)+1,99)),"")))</f>
        <v/>
      </c>
      <c r="G605" s="39"/>
      <c r="H605" s="25"/>
      <c r="I605" s="35" t="str">
        <f aca="false">IF($H605="","",IFERROR(INDEX(票据归类表,MATCH($H605,票据类型表,0)),"现金无票"))</f>
        <v/>
      </c>
      <c r="J605" s="25"/>
      <c r="K605" s="25"/>
      <c r="L605" s="31"/>
      <c r="M605" s="29" t="str">
        <f aca="false">IF($C605="","",YEAR($C605))</f>
        <v/>
      </c>
      <c r="N605" s="24"/>
      <c r="O605" s="35" t="str">
        <f aca="false">IF($C605="","",IF($D605="","★没选客户项目",IF(COUNTIF(合同键,$D605)=0,"★《维保合同》里没这个项目",IF(N($G605)&lt;=0,"★收款金额要填",IF($H605="","★票据类型要选",IF(AND($L605&lt;&gt;"",COUNTIF(应收单号,$L605)=0),"★关联的应收单号不存在",IF(AND($L605&lt;&gt;"",IFERROR(INDEX(应收键,MATCH($L605,应收单号,0)),"")&lt;&gt;$D605),"★关联单号不是这个客户的",IF(AND($L605&lt;&gt;"",ROUND(SUMIF(收款关联,$L605,收款金额)-IFERROR(INDEX(应收金额,MATCH($L605,应收单号,0)),0),2)&gt;0.001),"★指定冲销超过那张单的应收","OK"))))))))</f>
        <v/>
      </c>
    </row>
    <row r="606" customFormat="false" ht="15" hidden="false" customHeight="false" outlineLevel="0" collapsed="false">
      <c r="A606" s="29" t="str">
        <f aca="false">IF($C606="","",ROW()-4)</f>
        <v/>
      </c>
      <c r="B606" s="35" t="str">
        <f aca="false">IF($C606="","","SK"&amp;TEXT($C606,"yyyymm")&amp;"-"&amp;TEXT(ROW()-4,"0000"))</f>
        <v/>
      </c>
      <c r="C606" s="33"/>
      <c r="D606" s="24"/>
      <c r="E606" s="30" t="str">
        <f aca="false">IF($D606="","",IFERROR(INDEX(合同单位,MATCH($D606,合同键,0)),IFERROR(TRIM(LEFT($D606,FIND("｜",$D606)-1)),$D606)))</f>
        <v/>
      </c>
      <c r="F606" s="30" t="str">
        <f aca="false">IF($D606="","",IFERROR(INDEX(合同项目,MATCH($D606,合同键,0)),IFERROR(TRIM(MID($D606,FIND("｜",$D606)+1,99)),"")))</f>
        <v/>
      </c>
      <c r="G606" s="39"/>
      <c r="H606" s="25"/>
      <c r="I606" s="35" t="str">
        <f aca="false">IF($H606="","",IFERROR(INDEX(票据归类表,MATCH($H606,票据类型表,0)),"现金无票"))</f>
        <v/>
      </c>
      <c r="J606" s="25"/>
      <c r="K606" s="25"/>
      <c r="L606" s="31"/>
      <c r="M606" s="29" t="str">
        <f aca="false">IF($C606="","",YEAR($C606))</f>
        <v/>
      </c>
      <c r="N606" s="24"/>
      <c r="O606" s="35" t="str">
        <f aca="false">IF($C606="","",IF($D606="","★没选客户项目",IF(COUNTIF(合同键,$D606)=0,"★《维保合同》里没这个项目",IF(N($G606)&lt;=0,"★收款金额要填",IF($H606="","★票据类型要选",IF(AND($L606&lt;&gt;"",COUNTIF(应收单号,$L606)=0),"★关联的应收单号不存在",IF(AND($L606&lt;&gt;"",IFERROR(INDEX(应收键,MATCH($L606,应收单号,0)),"")&lt;&gt;$D606),"★关联单号不是这个客户的",IF(AND($L606&lt;&gt;"",ROUND(SUMIF(收款关联,$L606,收款金额)-IFERROR(INDEX(应收金额,MATCH($L606,应收单号,0)),0),2)&gt;0.001),"★指定冲销超过那张单的应收","OK"))))))))</f>
        <v/>
      </c>
    </row>
    <row r="607" customFormat="false" ht="15" hidden="false" customHeight="false" outlineLevel="0" collapsed="false">
      <c r="A607" s="29" t="str">
        <f aca="false">IF($C607="","",ROW()-4)</f>
        <v/>
      </c>
      <c r="B607" s="35" t="str">
        <f aca="false">IF($C607="","","SK"&amp;TEXT($C607,"yyyymm")&amp;"-"&amp;TEXT(ROW()-4,"0000"))</f>
        <v/>
      </c>
      <c r="C607" s="33"/>
      <c r="D607" s="24"/>
      <c r="E607" s="30" t="str">
        <f aca="false">IF($D607="","",IFERROR(INDEX(合同单位,MATCH($D607,合同键,0)),IFERROR(TRIM(LEFT($D607,FIND("｜",$D607)-1)),$D607)))</f>
        <v/>
      </c>
      <c r="F607" s="30" t="str">
        <f aca="false">IF($D607="","",IFERROR(INDEX(合同项目,MATCH($D607,合同键,0)),IFERROR(TRIM(MID($D607,FIND("｜",$D607)+1,99)),"")))</f>
        <v/>
      </c>
      <c r="G607" s="39"/>
      <c r="H607" s="25"/>
      <c r="I607" s="35" t="str">
        <f aca="false">IF($H607="","",IFERROR(INDEX(票据归类表,MATCH($H607,票据类型表,0)),"现金无票"))</f>
        <v/>
      </c>
      <c r="J607" s="25"/>
      <c r="K607" s="25"/>
      <c r="L607" s="31"/>
      <c r="M607" s="29" t="str">
        <f aca="false">IF($C607="","",YEAR($C607))</f>
        <v/>
      </c>
      <c r="N607" s="24"/>
      <c r="O607" s="35" t="str">
        <f aca="false">IF($C607="","",IF($D607="","★没选客户项目",IF(COUNTIF(合同键,$D607)=0,"★《维保合同》里没这个项目",IF(N($G607)&lt;=0,"★收款金额要填",IF($H607="","★票据类型要选",IF(AND($L607&lt;&gt;"",COUNTIF(应收单号,$L607)=0),"★关联的应收单号不存在",IF(AND($L607&lt;&gt;"",IFERROR(INDEX(应收键,MATCH($L607,应收单号,0)),"")&lt;&gt;$D607),"★关联单号不是这个客户的",IF(AND($L607&lt;&gt;"",ROUND(SUMIF(收款关联,$L607,收款金额)-IFERROR(INDEX(应收金额,MATCH($L607,应收单号,0)),0),2)&gt;0.001),"★指定冲销超过那张单的应收","OK"))))))))</f>
        <v/>
      </c>
    </row>
    <row r="608" customFormat="false" ht="15" hidden="false" customHeight="false" outlineLevel="0" collapsed="false">
      <c r="A608" s="29" t="str">
        <f aca="false">IF($C608="","",ROW()-4)</f>
        <v/>
      </c>
      <c r="B608" s="35" t="str">
        <f aca="false">IF($C608="","","SK"&amp;TEXT($C608,"yyyymm")&amp;"-"&amp;TEXT(ROW()-4,"0000"))</f>
        <v/>
      </c>
      <c r="C608" s="33"/>
      <c r="D608" s="24"/>
      <c r="E608" s="30" t="str">
        <f aca="false">IF($D608="","",IFERROR(INDEX(合同单位,MATCH($D608,合同键,0)),IFERROR(TRIM(LEFT($D608,FIND("｜",$D608)-1)),$D608)))</f>
        <v/>
      </c>
      <c r="F608" s="30" t="str">
        <f aca="false">IF($D608="","",IFERROR(INDEX(合同项目,MATCH($D608,合同键,0)),IFERROR(TRIM(MID($D608,FIND("｜",$D608)+1,99)),"")))</f>
        <v/>
      </c>
      <c r="G608" s="39"/>
      <c r="H608" s="25"/>
      <c r="I608" s="35" t="str">
        <f aca="false">IF($H608="","",IFERROR(INDEX(票据归类表,MATCH($H608,票据类型表,0)),"现金无票"))</f>
        <v/>
      </c>
      <c r="J608" s="25"/>
      <c r="K608" s="25"/>
      <c r="L608" s="31"/>
      <c r="M608" s="29" t="str">
        <f aca="false">IF($C608="","",YEAR($C608))</f>
        <v/>
      </c>
      <c r="N608" s="24"/>
      <c r="O608" s="35" t="str">
        <f aca="false">IF($C608="","",IF($D608="","★没选客户项目",IF(COUNTIF(合同键,$D608)=0,"★《维保合同》里没这个项目",IF(N($G608)&lt;=0,"★收款金额要填",IF($H608="","★票据类型要选",IF(AND($L608&lt;&gt;"",COUNTIF(应收单号,$L608)=0),"★关联的应收单号不存在",IF(AND($L608&lt;&gt;"",IFERROR(INDEX(应收键,MATCH($L608,应收单号,0)),"")&lt;&gt;$D608),"★关联单号不是这个客户的",IF(AND($L608&lt;&gt;"",ROUND(SUMIF(收款关联,$L608,收款金额)-IFERROR(INDEX(应收金额,MATCH($L608,应收单号,0)),0),2)&gt;0.001),"★指定冲销超过那张单的应收","OK"))))))))</f>
        <v/>
      </c>
    </row>
    <row r="609" customFormat="false" ht="15" hidden="false" customHeight="false" outlineLevel="0" collapsed="false">
      <c r="A609" s="29" t="str">
        <f aca="false">IF($C609="","",ROW()-4)</f>
        <v/>
      </c>
      <c r="B609" s="35" t="str">
        <f aca="false">IF($C609="","","SK"&amp;TEXT($C609,"yyyymm")&amp;"-"&amp;TEXT(ROW()-4,"0000"))</f>
        <v/>
      </c>
      <c r="C609" s="33"/>
      <c r="D609" s="24"/>
      <c r="E609" s="30" t="str">
        <f aca="false">IF($D609="","",IFERROR(INDEX(合同单位,MATCH($D609,合同键,0)),IFERROR(TRIM(LEFT($D609,FIND("｜",$D609)-1)),$D609)))</f>
        <v/>
      </c>
      <c r="F609" s="30" t="str">
        <f aca="false">IF($D609="","",IFERROR(INDEX(合同项目,MATCH($D609,合同键,0)),IFERROR(TRIM(MID($D609,FIND("｜",$D609)+1,99)),"")))</f>
        <v/>
      </c>
      <c r="G609" s="39"/>
      <c r="H609" s="25"/>
      <c r="I609" s="35" t="str">
        <f aca="false">IF($H609="","",IFERROR(INDEX(票据归类表,MATCH($H609,票据类型表,0)),"现金无票"))</f>
        <v/>
      </c>
      <c r="J609" s="25"/>
      <c r="K609" s="25"/>
      <c r="L609" s="31"/>
      <c r="M609" s="29" t="str">
        <f aca="false">IF($C609="","",YEAR($C609))</f>
        <v/>
      </c>
      <c r="N609" s="24"/>
      <c r="O609" s="35" t="str">
        <f aca="false">IF($C609="","",IF($D609="","★没选客户项目",IF(COUNTIF(合同键,$D609)=0,"★《维保合同》里没这个项目",IF(N($G609)&lt;=0,"★收款金额要填",IF($H609="","★票据类型要选",IF(AND($L609&lt;&gt;"",COUNTIF(应收单号,$L609)=0),"★关联的应收单号不存在",IF(AND($L609&lt;&gt;"",IFERROR(INDEX(应收键,MATCH($L609,应收单号,0)),"")&lt;&gt;$D609),"★关联单号不是这个客户的",IF(AND($L609&lt;&gt;"",ROUND(SUMIF(收款关联,$L609,收款金额)-IFERROR(INDEX(应收金额,MATCH($L609,应收单号,0)),0),2)&gt;0.001),"★指定冲销超过那张单的应收","OK"))))))))</f>
        <v/>
      </c>
    </row>
    <row r="610" customFormat="false" ht="15" hidden="false" customHeight="false" outlineLevel="0" collapsed="false">
      <c r="A610" s="29" t="str">
        <f aca="false">IF($C610="","",ROW()-4)</f>
        <v/>
      </c>
      <c r="B610" s="35" t="str">
        <f aca="false">IF($C610="","","SK"&amp;TEXT($C610,"yyyymm")&amp;"-"&amp;TEXT(ROW()-4,"0000"))</f>
        <v/>
      </c>
      <c r="C610" s="33"/>
      <c r="D610" s="24"/>
      <c r="E610" s="30" t="str">
        <f aca="false">IF($D610="","",IFERROR(INDEX(合同单位,MATCH($D610,合同键,0)),IFERROR(TRIM(LEFT($D610,FIND("｜",$D610)-1)),$D610)))</f>
        <v/>
      </c>
      <c r="F610" s="30" t="str">
        <f aca="false">IF($D610="","",IFERROR(INDEX(合同项目,MATCH($D610,合同键,0)),IFERROR(TRIM(MID($D610,FIND("｜",$D610)+1,99)),"")))</f>
        <v/>
      </c>
      <c r="G610" s="39"/>
      <c r="H610" s="25"/>
      <c r="I610" s="35" t="str">
        <f aca="false">IF($H610="","",IFERROR(INDEX(票据归类表,MATCH($H610,票据类型表,0)),"现金无票"))</f>
        <v/>
      </c>
      <c r="J610" s="25"/>
      <c r="K610" s="25"/>
      <c r="L610" s="31"/>
      <c r="M610" s="29" t="str">
        <f aca="false">IF($C610="","",YEAR($C610))</f>
        <v/>
      </c>
      <c r="N610" s="24"/>
      <c r="O610" s="35" t="str">
        <f aca="false">IF($C610="","",IF($D610="","★没选客户项目",IF(COUNTIF(合同键,$D610)=0,"★《维保合同》里没这个项目",IF(N($G610)&lt;=0,"★收款金额要填",IF($H610="","★票据类型要选",IF(AND($L610&lt;&gt;"",COUNTIF(应收单号,$L610)=0),"★关联的应收单号不存在",IF(AND($L610&lt;&gt;"",IFERROR(INDEX(应收键,MATCH($L610,应收单号,0)),"")&lt;&gt;$D610),"★关联单号不是这个客户的",IF(AND($L610&lt;&gt;"",ROUND(SUMIF(收款关联,$L610,收款金额)-IFERROR(INDEX(应收金额,MATCH($L610,应收单号,0)),0),2)&gt;0.001),"★指定冲销超过那张单的应收","OK"))))))))</f>
        <v/>
      </c>
    </row>
    <row r="611" customFormat="false" ht="15" hidden="false" customHeight="false" outlineLevel="0" collapsed="false">
      <c r="A611" s="29" t="str">
        <f aca="false">IF($C611="","",ROW()-4)</f>
        <v/>
      </c>
      <c r="B611" s="35" t="str">
        <f aca="false">IF($C611="","","SK"&amp;TEXT($C611,"yyyymm")&amp;"-"&amp;TEXT(ROW()-4,"0000"))</f>
        <v/>
      </c>
      <c r="C611" s="33"/>
      <c r="D611" s="24"/>
      <c r="E611" s="30" t="str">
        <f aca="false">IF($D611="","",IFERROR(INDEX(合同单位,MATCH($D611,合同键,0)),IFERROR(TRIM(LEFT($D611,FIND("｜",$D611)-1)),$D611)))</f>
        <v/>
      </c>
      <c r="F611" s="30" t="str">
        <f aca="false">IF($D611="","",IFERROR(INDEX(合同项目,MATCH($D611,合同键,0)),IFERROR(TRIM(MID($D611,FIND("｜",$D611)+1,99)),"")))</f>
        <v/>
      </c>
      <c r="G611" s="39"/>
      <c r="H611" s="25"/>
      <c r="I611" s="35" t="str">
        <f aca="false">IF($H611="","",IFERROR(INDEX(票据归类表,MATCH($H611,票据类型表,0)),"现金无票"))</f>
        <v/>
      </c>
      <c r="J611" s="25"/>
      <c r="K611" s="25"/>
      <c r="L611" s="31"/>
      <c r="M611" s="29" t="str">
        <f aca="false">IF($C611="","",YEAR($C611))</f>
        <v/>
      </c>
      <c r="N611" s="24"/>
      <c r="O611" s="35" t="str">
        <f aca="false">IF($C611="","",IF($D611="","★没选客户项目",IF(COUNTIF(合同键,$D611)=0,"★《维保合同》里没这个项目",IF(N($G611)&lt;=0,"★收款金额要填",IF($H611="","★票据类型要选",IF(AND($L611&lt;&gt;"",COUNTIF(应收单号,$L611)=0),"★关联的应收单号不存在",IF(AND($L611&lt;&gt;"",IFERROR(INDEX(应收键,MATCH($L611,应收单号,0)),"")&lt;&gt;$D611),"★关联单号不是这个客户的",IF(AND($L611&lt;&gt;"",ROUND(SUMIF(收款关联,$L611,收款金额)-IFERROR(INDEX(应收金额,MATCH($L611,应收单号,0)),0),2)&gt;0.001),"★指定冲销超过那张单的应收","OK"))))))))</f>
        <v/>
      </c>
    </row>
    <row r="612" customFormat="false" ht="15" hidden="false" customHeight="false" outlineLevel="0" collapsed="false">
      <c r="A612" s="29" t="str">
        <f aca="false">IF($C612="","",ROW()-4)</f>
        <v/>
      </c>
      <c r="B612" s="35" t="str">
        <f aca="false">IF($C612="","","SK"&amp;TEXT($C612,"yyyymm")&amp;"-"&amp;TEXT(ROW()-4,"0000"))</f>
        <v/>
      </c>
      <c r="C612" s="33"/>
      <c r="D612" s="24"/>
      <c r="E612" s="30" t="str">
        <f aca="false">IF($D612="","",IFERROR(INDEX(合同单位,MATCH($D612,合同键,0)),IFERROR(TRIM(LEFT($D612,FIND("｜",$D612)-1)),$D612)))</f>
        <v/>
      </c>
      <c r="F612" s="30" t="str">
        <f aca="false">IF($D612="","",IFERROR(INDEX(合同项目,MATCH($D612,合同键,0)),IFERROR(TRIM(MID($D612,FIND("｜",$D612)+1,99)),"")))</f>
        <v/>
      </c>
      <c r="G612" s="39"/>
      <c r="H612" s="25"/>
      <c r="I612" s="35" t="str">
        <f aca="false">IF($H612="","",IFERROR(INDEX(票据归类表,MATCH($H612,票据类型表,0)),"现金无票"))</f>
        <v/>
      </c>
      <c r="J612" s="25"/>
      <c r="K612" s="25"/>
      <c r="L612" s="31"/>
      <c r="M612" s="29" t="str">
        <f aca="false">IF($C612="","",YEAR($C612))</f>
        <v/>
      </c>
      <c r="N612" s="24"/>
      <c r="O612" s="35" t="str">
        <f aca="false">IF($C612="","",IF($D612="","★没选客户项目",IF(COUNTIF(合同键,$D612)=0,"★《维保合同》里没这个项目",IF(N($G612)&lt;=0,"★收款金额要填",IF($H612="","★票据类型要选",IF(AND($L612&lt;&gt;"",COUNTIF(应收单号,$L612)=0),"★关联的应收单号不存在",IF(AND($L612&lt;&gt;"",IFERROR(INDEX(应收键,MATCH($L612,应收单号,0)),"")&lt;&gt;$D612),"★关联单号不是这个客户的",IF(AND($L612&lt;&gt;"",ROUND(SUMIF(收款关联,$L612,收款金额)-IFERROR(INDEX(应收金额,MATCH($L612,应收单号,0)),0),2)&gt;0.001),"★指定冲销超过那张单的应收","OK"))))))))</f>
        <v/>
      </c>
    </row>
    <row r="613" customFormat="false" ht="15" hidden="false" customHeight="false" outlineLevel="0" collapsed="false">
      <c r="A613" s="29" t="str">
        <f aca="false">IF($C613="","",ROW()-4)</f>
        <v/>
      </c>
      <c r="B613" s="35" t="str">
        <f aca="false">IF($C613="","","SK"&amp;TEXT($C613,"yyyymm")&amp;"-"&amp;TEXT(ROW()-4,"0000"))</f>
        <v/>
      </c>
      <c r="C613" s="33"/>
      <c r="D613" s="24"/>
      <c r="E613" s="30" t="str">
        <f aca="false">IF($D613="","",IFERROR(INDEX(合同单位,MATCH($D613,合同键,0)),IFERROR(TRIM(LEFT($D613,FIND("｜",$D613)-1)),$D613)))</f>
        <v/>
      </c>
      <c r="F613" s="30" t="str">
        <f aca="false">IF($D613="","",IFERROR(INDEX(合同项目,MATCH($D613,合同键,0)),IFERROR(TRIM(MID($D613,FIND("｜",$D613)+1,99)),"")))</f>
        <v/>
      </c>
      <c r="G613" s="39"/>
      <c r="H613" s="25"/>
      <c r="I613" s="35" t="str">
        <f aca="false">IF($H613="","",IFERROR(INDEX(票据归类表,MATCH($H613,票据类型表,0)),"现金无票"))</f>
        <v/>
      </c>
      <c r="J613" s="25"/>
      <c r="K613" s="25"/>
      <c r="L613" s="31"/>
      <c r="M613" s="29" t="str">
        <f aca="false">IF($C613="","",YEAR($C613))</f>
        <v/>
      </c>
      <c r="N613" s="24"/>
      <c r="O613" s="35" t="str">
        <f aca="false">IF($C613="","",IF($D613="","★没选客户项目",IF(COUNTIF(合同键,$D613)=0,"★《维保合同》里没这个项目",IF(N($G613)&lt;=0,"★收款金额要填",IF($H613="","★票据类型要选",IF(AND($L613&lt;&gt;"",COUNTIF(应收单号,$L613)=0),"★关联的应收单号不存在",IF(AND($L613&lt;&gt;"",IFERROR(INDEX(应收键,MATCH($L613,应收单号,0)),"")&lt;&gt;$D613),"★关联单号不是这个客户的",IF(AND($L613&lt;&gt;"",ROUND(SUMIF(收款关联,$L613,收款金额)-IFERROR(INDEX(应收金额,MATCH($L613,应收单号,0)),0),2)&gt;0.001),"★指定冲销超过那张单的应收","OK"))))))))</f>
        <v/>
      </c>
    </row>
    <row r="614" customFormat="false" ht="15" hidden="false" customHeight="false" outlineLevel="0" collapsed="false">
      <c r="A614" s="29" t="str">
        <f aca="false">IF($C614="","",ROW()-4)</f>
        <v/>
      </c>
      <c r="B614" s="35" t="str">
        <f aca="false">IF($C614="","","SK"&amp;TEXT($C614,"yyyymm")&amp;"-"&amp;TEXT(ROW()-4,"0000"))</f>
        <v/>
      </c>
      <c r="C614" s="33"/>
      <c r="D614" s="24"/>
      <c r="E614" s="30" t="str">
        <f aca="false">IF($D614="","",IFERROR(INDEX(合同单位,MATCH($D614,合同键,0)),IFERROR(TRIM(LEFT($D614,FIND("｜",$D614)-1)),$D614)))</f>
        <v/>
      </c>
      <c r="F614" s="30" t="str">
        <f aca="false">IF($D614="","",IFERROR(INDEX(合同项目,MATCH($D614,合同键,0)),IFERROR(TRIM(MID($D614,FIND("｜",$D614)+1,99)),"")))</f>
        <v/>
      </c>
      <c r="G614" s="39"/>
      <c r="H614" s="25"/>
      <c r="I614" s="35" t="str">
        <f aca="false">IF($H614="","",IFERROR(INDEX(票据归类表,MATCH($H614,票据类型表,0)),"现金无票"))</f>
        <v/>
      </c>
      <c r="J614" s="25"/>
      <c r="K614" s="25"/>
      <c r="L614" s="31"/>
      <c r="M614" s="29" t="str">
        <f aca="false">IF($C614="","",YEAR($C614))</f>
        <v/>
      </c>
      <c r="N614" s="24"/>
      <c r="O614" s="35" t="str">
        <f aca="false">IF($C614="","",IF($D614="","★没选客户项目",IF(COUNTIF(合同键,$D614)=0,"★《维保合同》里没这个项目",IF(N($G614)&lt;=0,"★收款金额要填",IF($H614="","★票据类型要选",IF(AND($L614&lt;&gt;"",COUNTIF(应收单号,$L614)=0),"★关联的应收单号不存在",IF(AND($L614&lt;&gt;"",IFERROR(INDEX(应收键,MATCH($L614,应收单号,0)),"")&lt;&gt;$D614),"★关联单号不是这个客户的",IF(AND($L614&lt;&gt;"",ROUND(SUMIF(收款关联,$L614,收款金额)-IFERROR(INDEX(应收金额,MATCH($L614,应收单号,0)),0),2)&gt;0.001),"★指定冲销超过那张单的应收","OK"))))))))</f>
        <v/>
      </c>
    </row>
    <row r="615" customFormat="false" ht="15" hidden="false" customHeight="false" outlineLevel="0" collapsed="false">
      <c r="A615" s="29" t="str">
        <f aca="false">IF($C615="","",ROW()-4)</f>
        <v/>
      </c>
      <c r="B615" s="35" t="str">
        <f aca="false">IF($C615="","","SK"&amp;TEXT($C615,"yyyymm")&amp;"-"&amp;TEXT(ROW()-4,"0000"))</f>
        <v/>
      </c>
      <c r="C615" s="33"/>
      <c r="D615" s="24"/>
      <c r="E615" s="30" t="str">
        <f aca="false">IF($D615="","",IFERROR(INDEX(合同单位,MATCH($D615,合同键,0)),IFERROR(TRIM(LEFT($D615,FIND("｜",$D615)-1)),$D615)))</f>
        <v/>
      </c>
      <c r="F615" s="30" t="str">
        <f aca="false">IF($D615="","",IFERROR(INDEX(合同项目,MATCH($D615,合同键,0)),IFERROR(TRIM(MID($D615,FIND("｜",$D615)+1,99)),"")))</f>
        <v/>
      </c>
      <c r="G615" s="39"/>
      <c r="H615" s="25"/>
      <c r="I615" s="35" t="str">
        <f aca="false">IF($H615="","",IFERROR(INDEX(票据归类表,MATCH($H615,票据类型表,0)),"现金无票"))</f>
        <v/>
      </c>
      <c r="J615" s="25"/>
      <c r="K615" s="25"/>
      <c r="L615" s="31"/>
      <c r="M615" s="29" t="str">
        <f aca="false">IF($C615="","",YEAR($C615))</f>
        <v/>
      </c>
      <c r="N615" s="24"/>
      <c r="O615" s="35" t="str">
        <f aca="false">IF($C615="","",IF($D615="","★没选客户项目",IF(COUNTIF(合同键,$D615)=0,"★《维保合同》里没这个项目",IF(N($G615)&lt;=0,"★收款金额要填",IF($H615="","★票据类型要选",IF(AND($L615&lt;&gt;"",COUNTIF(应收单号,$L615)=0),"★关联的应收单号不存在",IF(AND($L615&lt;&gt;"",IFERROR(INDEX(应收键,MATCH($L615,应收单号,0)),"")&lt;&gt;$D615),"★关联单号不是这个客户的",IF(AND($L615&lt;&gt;"",ROUND(SUMIF(收款关联,$L615,收款金额)-IFERROR(INDEX(应收金额,MATCH($L615,应收单号,0)),0),2)&gt;0.001),"★指定冲销超过那张单的应收","OK"))))))))</f>
        <v/>
      </c>
    </row>
    <row r="616" customFormat="false" ht="15" hidden="false" customHeight="false" outlineLevel="0" collapsed="false">
      <c r="A616" s="29" t="str">
        <f aca="false">IF($C616="","",ROW()-4)</f>
        <v/>
      </c>
      <c r="B616" s="35" t="str">
        <f aca="false">IF($C616="","","SK"&amp;TEXT($C616,"yyyymm")&amp;"-"&amp;TEXT(ROW()-4,"0000"))</f>
        <v/>
      </c>
      <c r="C616" s="33"/>
      <c r="D616" s="24"/>
      <c r="E616" s="30" t="str">
        <f aca="false">IF($D616="","",IFERROR(INDEX(合同单位,MATCH($D616,合同键,0)),IFERROR(TRIM(LEFT($D616,FIND("｜",$D616)-1)),$D616)))</f>
        <v/>
      </c>
      <c r="F616" s="30" t="str">
        <f aca="false">IF($D616="","",IFERROR(INDEX(合同项目,MATCH($D616,合同键,0)),IFERROR(TRIM(MID($D616,FIND("｜",$D616)+1,99)),"")))</f>
        <v/>
      </c>
      <c r="G616" s="39"/>
      <c r="H616" s="25"/>
      <c r="I616" s="35" t="str">
        <f aca="false">IF($H616="","",IFERROR(INDEX(票据归类表,MATCH($H616,票据类型表,0)),"现金无票"))</f>
        <v/>
      </c>
      <c r="J616" s="25"/>
      <c r="K616" s="25"/>
      <c r="L616" s="31"/>
      <c r="M616" s="29" t="str">
        <f aca="false">IF($C616="","",YEAR($C616))</f>
        <v/>
      </c>
      <c r="N616" s="24"/>
      <c r="O616" s="35" t="str">
        <f aca="false">IF($C616="","",IF($D616="","★没选客户项目",IF(COUNTIF(合同键,$D616)=0,"★《维保合同》里没这个项目",IF(N($G616)&lt;=0,"★收款金额要填",IF($H616="","★票据类型要选",IF(AND($L616&lt;&gt;"",COUNTIF(应收单号,$L616)=0),"★关联的应收单号不存在",IF(AND($L616&lt;&gt;"",IFERROR(INDEX(应收键,MATCH($L616,应收单号,0)),"")&lt;&gt;$D616),"★关联单号不是这个客户的",IF(AND($L616&lt;&gt;"",ROUND(SUMIF(收款关联,$L616,收款金额)-IFERROR(INDEX(应收金额,MATCH($L616,应收单号,0)),0),2)&gt;0.001),"★指定冲销超过那张单的应收","OK"))))))))</f>
        <v/>
      </c>
    </row>
    <row r="617" customFormat="false" ht="15" hidden="false" customHeight="false" outlineLevel="0" collapsed="false">
      <c r="A617" s="29" t="str">
        <f aca="false">IF($C617="","",ROW()-4)</f>
        <v/>
      </c>
      <c r="B617" s="35" t="str">
        <f aca="false">IF($C617="","","SK"&amp;TEXT($C617,"yyyymm")&amp;"-"&amp;TEXT(ROW()-4,"0000"))</f>
        <v/>
      </c>
      <c r="C617" s="33"/>
      <c r="D617" s="24"/>
      <c r="E617" s="30" t="str">
        <f aca="false">IF($D617="","",IFERROR(INDEX(合同单位,MATCH($D617,合同键,0)),IFERROR(TRIM(LEFT($D617,FIND("｜",$D617)-1)),$D617)))</f>
        <v/>
      </c>
      <c r="F617" s="30" t="str">
        <f aca="false">IF($D617="","",IFERROR(INDEX(合同项目,MATCH($D617,合同键,0)),IFERROR(TRIM(MID($D617,FIND("｜",$D617)+1,99)),"")))</f>
        <v/>
      </c>
      <c r="G617" s="39"/>
      <c r="H617" s="25"/>
      <c r="I617" s="35" t="str">
        <f aca="false">IF($H617="","",IFERROR(INDEX(票据归类表,MATCH($H617,票据类型表,0)),"现金无票"))</f>
        <v/>
      </c>
      <c r="J617" s="25"/>
      <c r="K617" s="25"/>
      <c r="L617" s="31"/>
      <c r="M617" s="29" t="str">
        <f aca="false">IF($C617="","",YEAR($C617))</f>
        <v/>
      </c>
      <c r="N617" s="24"/>
      <c r="O617" s="35" t="str">
        <f aca="false">IF($C617="","",IF($D617="","★没选客户项目",IF(COUNTIF(合同键,$D617)=0,"★《维保合同》里没这个项目",IF(N($G617)&lt;=0,"★收款金额要填",IF($H617="","★票据类型要选",IF(AND($L617&lt;&gt;"",COUNTIF(应收单号,$L617)=0),"★关联的应收单号不存在",IF(AND($L617&lt;&gt;"",IFERROR(INDEX(应收键,MATCH($L617,应收单号,0)),"")&lt;&gt;$D617),"★关联单号不是这个客户的",IF(AND($L617&lt;&gt;"",ROUND(SUMIF(收款关联,$L617,收款金额)-IFERROR(INDEX(应收金额,MATCH($L617,应收单号,0)),0),2)&gt;0.001),"★指定冲销超过那张单的应收","OK"))))))))</f>
        <v/>
      </c>
    </row>
    <row r="618" customFormat="false" ht="15" hidden="false" customHeight="false" outlineLevel="0" collapsed="false">
      <c r="A618" s="29" t="str">
        <f aca="false">IF($C618="","",ROW()-4)</f>
        <v/>
      </c>
      <c r="B618" s="35" t="str">
        <f aca="false">IF($C618="","","SK"&amp;TEXT($C618,"yyyymm")&amp;"-"&amp;TEXT(ROW()-4,"0000"))</f>
        <v/>
      </c>
      <c r="C618" s="33"/>
      <c r="D618" s="24"/>
      <c r="E618" s="30" t="str">
        <f aca="false">IF($D618="","",IFERROR(INDEX(合同单位,MATCH($D618,合同键,0)),IFERROR(TRIM(LEFT($D618,FIND("｜",$D618)-1)),$D618)))</f>
        <v/>
      </c>
      <c r="F618" s="30" t="str">
        <f aca="false">IF($D618="","",IFERROR(INDEX(合同项目,MATCH($D618,合同键,0)),IFERROR(TRIM(MID($D618,FIND("｜",$D618)+1,99)),"")))</f>
        <v/>
      </c>
      <c r="G618" s="39"/>
      <c r="H618" s="25"/>
      <c r="I618" s="35" t="str">
        <f aca="false">IF($H618="","",IFERROR(INDEX(票据归类表,MATCH($H618,票据类型表,0)),"现金无票"))</f>
        <v/>
      </c>
      <c r="J618" s="25"/>
      <c r="K618" s="25"/>
      <c r="L618" s="31"/>
      <c r="M618" s="29" t="str">
        <f aca="false">IF($C618="","",YEAR($C618))</f>
        <v/>
      </c>
      <c r="N618" s="24"/>
      <c r="O618" s="35" t="str">
        <f aca="false">IF($C618="","",IF($D618="","★没选客户项目",IF(COUNTIF(合同键,$D618)=0,"★《维保合同》里没这个项目",IF(N($G618)&lt;=0,"★收款金额要填",IF($H618="","★票据类型要选",IF(AND($L618&lt;&gt;"",COUNTIF(应收单号,$L618)=0),"★关联的应收单号不存在",IF(AND($L618&lt;&gt;"",IFERROR(INDEX(应收键,MATCH($L618,应收单号,0)),"")&lt;&gt;$D618),"★关联单号不是这个客户的",IF(AND($L618&lt;&gt;"",ROUND(SUMIF(收款关联,$L618,收款金额)-IFERROR(INDEX(应收金额,MATCH($L618,应收单号,0)),0),2)&gt;0.001),"★指定冲销超过那张单的应收","OK"))))))))</f>
        <v/>
      </c>
    </row>
    <row r="619" customFormat="false" ht="15" hidden="false" customHeight="false" outlineLevel="0" collapsed="false">
      <c r="A619" s="29" t="str">
        <f aca="false">IF($C619="","",ROW()-4)</f>
        <v/>
      </c>
      <c r="B619" s="35" t="str">
        <f aca="false">IF($C619="","","SK"&amp;TEXT($C619,"yyyymm")&amp;"-"&amp;TEXT(ROW()-4,"0000"))</f>
        <v/>
      </c>
      <c r="C619" s="33"/>
      <c r="D619" s="24"/>
      <c r="E619" s="30" t="str">
        <f aca="false">IF($D619="","",IFERROR(INDEX(合同单位,MATCH($D619,合同键,0)),IFERROR(TRIM(LEFT($D619,FIND("｜",$D619)-1)),$D619)))</f>
        <v/>
      </c>
      <c r="F619" s="30" t="str">
        <f aca="false">IF($D619="","",IFERROR(INDEX(合同项目,MATCH($D619,合同键,0)),IFERROR(TRIM(MID($D619,FIND("｜",$D619)+1,99)),"")))</f>
        <v/>
      </c>
      <c r="G619" s="39"/>
      <c r="H619" s="25"/>
      <c r="I619" s="35" t="str">
        <f aca="false">IF($H619="","",IFERROR(INDEX(票据归类表,MATCH($H619,票据类型表,0)),"现金无票"))</f>
        <v/>
      </c>
      <c r="J619" s="25"/>
      <c r="K619" s="25"/>
      <c r="L619" s="31"/>
      <c r="M619" s="29" t="str">
        <f aca="false">IF($C619="","",YEAR($C619))</f>
        <v/>
      </c>
      <c r="N619" s="24"/>
      <c r="O619" s="35" t="str">
        <f aca="false">IF($C619="","",IF($D619="","★没选客户项目",IF(COUNTIF(合同键,$D619)=0,"★《维保合同》里没这个项目",IF(N($G619)&lt;=0,"★收款金额要填",IF($H619="","★票据类型要选",IF(AND($L619&lt;&gt;"",COUNTIF(应收单号,$L619)=0),"★关联的应收单号不存在",IF(AND($L619&lt;&gt;"",IFERROR(INDEX(应收键,MATCH($L619,应收单号,0)),"")&lt;&gt;$D619),"★关联单号不是这个客户的",IF(AND($L619&lt;&gt;"",ROUND(SUMIF(收款关联,$L619,收款金额)-IFERROR(INDEX(应收金额,MATCH($L619,应收单号,0)),0),2)&gt;0.001),"★指定冲销超过那张单的应收","OK"))))))))</f>
        <v/>
      </c>
    </row>
    <row r="620" customFormat="false" ht="15" hidden="false" customHeight="false" outlineLevel="0" collapsed="false">
      <c r="A620" s="29" t="str">
        <f aca="false">IF($C620="","",ROW()-4)</f>
        <v/>
      </c>
      <c r="B620" s="35" t="str">
        <f aca="false">IF($C620="","","SK"&amp;TEXT($C620,"yyyymm")&amp;"-"&amp;TEXT(ROW()-4,"0000"))</f>
        <v/>
      </c>
      <c r="C620" s="33"/>
      <c r="D620" s="24"/>
      <c r="E620" s="30" t="str">
        <f aca="false">IF($D620="","",IFERROR(INDEX(合同单位,MATCH($D620,合同键,0)),IFERROR(TRIM(LEFT($D620,FIND("｜",$D620)-1)),$D620)))</f>
        <v/>
      </c>
      <c r="F620" s="30" t="str">
        <f aca="false">IF($D620="","",IFERROR(INDEX(合同项目,MATCH($D620,合同键,0)),IFERROR(TRIM(MID($D620,FIND("｜",$D620)+1,99)),"")))</f>
        <v/>
      </c>
      <c r="G620" s="39"/>
      <c r="H620" s="25"/>
      <c r="I620" s="35" t="str">
        <f aca="false">IF($H620="","",IFERROR(INDEX(票据归类表,MATCH($H620,票据类型表,0)),"现金无票"))</f>
        <v/>
      </c>
      <c r="J620" s="25"/>
      <c r="K620" s="25"/>
      <c r="L620" s="31"/>
      <c r="M620" s="29" t="str">
        <f aca="false">IF($C620="","",YEAR($C620))</f>
        <v/>
      </c>
      <c r="N620" s="24"/>
      <c r="O620" s="35" t="str">
        <f aca="false">IF($C620="","",IF($D620="","★没选客户项目",IF(COUNTIF(合同键,$D620)=0,"★《维保合同》里没这个项目",IF(N($G620)&lt;=0,"★收款金额要填",IF($H620="","★票据类型要选",IF(AND($L620&lt;&gt;"",COUNTIF(应收单号,$L620)=0),"★关联的应收单号不存在",IF(AND($L620&lt;&gt;"",IFERROR(INDEX(应收键,MATCH($L620,应收单号,0)),"")&lt;&gt;$D620),"★关联单号不是这个客户的",IF(AND($L620&lt;&gt;"",ROUND(SUMIF(收款关联,$L620,收款金额)-IFERROR(INDEX(应收金额,MATCH($L620,应收单号,0)),0),2)&gt;0.001),"★指定冲销超过那张单的应收","OK"))))))))</f>
        <v/>
      </c>
    </row>
    <row r="621" customFormat="false" ht="15" hidden="false" customHeight="false" outlineLevel="0" collapsed="false">
      <c r="A621" s="29" t="str">
        <f aca="false">IF($C621="","",ROW()-4)</f>
        <v/>
      </c>
      <c r="B621" s="35" t="str">
        <f aca="false">IF($C621="","","SK"&amp;TEXT($C621,"yyyymm")&amp;"-"&amp;TEXT(ROW()-4,"0000"))</f>
        <v/>
      </c>
      <c r="C621" s="33"/>
      <c r="D621" s="24"/>
      <c r="E621" s="30" t="str">
        <f aca="false">IF($D621="","",IFERROR(INDEX(合同单位,MATCH($D621,合同键,0)),IFERROR(TRIM(LEFT($D621,FIND("｜",$D621)-1)),$D621)))</f>
        <v/>
      </c>
      <c r="F621" s="30" t="str">
        <f aca="false">IF($D621="","",IFERROR(INDEX(合同项目,MATCH($D621,合同键,0)),IFERROR(TRIM(MID($D621,FIND("｜",$D621)+1,99)),"")))</f>
        <v/>
      </c>
      <c r="G621" s="39"/>
      <c r="H621" s="25"/>
      <c r="I621" s="35" t="str">
        <f aca="false">IF($H621="","",IFERROR(INDEX(票据归类表,MATCH($H621,票据类型表,0)),"现金无票"))</f>
        <v/>
      </c>
      <c r="J621" s="25"/>
      <c r="K621" s="25"/>
      <c r="L621" s="31"/>
      <c r="M621" s="29" t="str">
        <f aca="false">IF($C621="","",YEAR($C621))</f>
        <v/>
      </c>
      <c r="N621" s="24"/>
      <c r="O621" s="35" t="str">
        <f aca="false">IF($C621="","",IF($D621="","★没选客户项目",IF(COUNTIF(合同键,$D621)=0,"★《维保合同》里没这个项目",IF(N($G621)&lt;=0,"★收款金额要填",IF($H621="","★票据类型要选",IF(AND($L621&lt;&gt;"",COUNTIF(应收单号,$L621)=0),"★关联的应收单号不存在",IF(AND($L621&lt;&gt;"",IFERROR(INDEX(应收键,MATCH($L621,应收单号,0)),"")&lt;&gt;$D621),"★关联单号不是这个客户的",IF(AND($L621&lt;&gt;"",ROUND(SUMIF(收款关联,$L621,收款金额)-IFERROR(INDEX(应收金额,MATCH($L621,应收单号,0)),0),2)&gt;0.001),"★指定冲销超过那张单的应收","OK"))))))))</f>
        <v/>
      </c>
    </row>
    <row r="622" customFormat="false" ht="15" hidden="false" customHeight="false" outlineLevel="0" collapsed="false">
      <c r="A622" s="29" t="str">
        <f aca="false">IF($C622="","",ROW()-4)</f>
        <v/>
      </c>
      <c r="B622" s="35" t="str">
        <f aca="false">IF($C622="","","SK"&amp;TEXT($C622,"yyyymm")&amp;"-"&amp;TEXT(ROW()-4,"0000"))</f>
        <v/>
      </c>
      <c r="C622" s="33"/>
      <c r="D622" s="24"/>
      <c r="E622" s="30" t="str">
        <f aca="false">IF($D622="","",IFERROR(INDEX(合同单位,MATCH($D622,合同键,0)),IFERROR(TRIM(LEFT($D622,FIND("｜",$D622)-1)),$D622)))</f>
        <v/>
      </c>
      <c r="F622" s="30" t="str">
        <f aca="false">IF($D622="","",IFERROR(INDEX(合同项目,MATCH($D622,合同键,0)),IFERROR(TRIM(MID($D622,FIND("｜",$D622)+1,99)),"")))</f>
        <v/>
      </c>
      <c r="G622" s="39"/>
      <c r="H622" s="25"/>
      <c r="I622" s="35" t="str">
        <f aca="false">IF($H622="","",IFERROR(INDEX(票据归类表,MATCH($H622,票据类型表,0)),"现金无票"))</f>
        <v/>
      </c>
      <c r="J622" s="25"/>
      <c r="K622" s="25"/>
      <c r="L622" s="31"/>
      <c r="M622" s="29" t="str">
        <f aca="false">IF($C622="","",YEAR($C622))</f>
        <v/>
      </c>
      <c r="N622" s="24"/>
      <c r="O622" s="35" t="str">
        <f aca="false">IF($C622="","",IF($D622="","★没选客户项目",IF(COUNTIF(合同键,$D622)=0,"★《维保合同》里没这个项目",IF(N($G622)&lt;=0,"★收款金额要填",IF($H622="","★票据类型要选",IF(AND($L622&lt;&gt;"",COUNTIF(应收单号,$L622)=0),"★关联的应收单号不存在",IF(AND($L622&lt;&gt;"",IFERROR(INDEX(应收键,MATCH($L622,应收单号,0)),"")&lt;&gt;$D622),"★关联单号不是这个客户的",IF(AND($L622&lt;&gt;"",ROUND(SUMIF(收款关联,$L622,收款金额)-IFERROR(INDEX(应收金额,MATCH($L622,应收单号,0)),0),2)&gt;0.001),"★指定冲销超过那张单的应收","OK"))))))))</f>
        <v/>
      </c>
    </row>
    <row r="623" customFormat="false" ht="15" hidden="false" customHeight="false" outlineLevel="0" collapsed="false">
      <c r="A623" s="29" t="str">
        <f aca="false">IF($C623="","",ROW()-4)</f>
        <v/>
      </c>
      <c r="B623" s="35" t="str">
        <f aca="false">IF($C623="","","SK"&amp;TEXT($C623,"yyyymm")&amp;"-"&amp;TEXT(ROW()-4,"0000"))</f>
        <v/>
      </c>
      <c r="C623" s="33"/>
      <c r="D623" s="24"/>
      <c r="E623" s="30" t="str">
        <f aca="false">IF($D623="","",IFERROR(INDEX(合同单位,MATCH($D623,合同键,0)),IFERROR(TRIM(LEFT($D623,FIND("｜",$D623)-1)),$D623)))</f>
        <v/>
      </c>
      <c r="F623" s="30" t="str">
        <f aca="false">IF($D623="","",IFERROR(INDEX(合同项目,MATCH($D623,合同键,0)),IFERROR(TRIM(MID($D623,FIND("｜",$D623)+1,99)),"")))</f>
        <v/>
      </c>
      <c r="G623" s="39"/>
      <c r="H623" s="25"/>
      <c r="I623" s="35" t="str">
        <f aca="false">IF($H623="","",IFERROR(INDEX(票据归类表,MATCH($H623,票据类型表,0)),"现金无票"))</f>
        <v/>
      </c>
      <c r="J623" s="25"/>
      <c r="K623" s="25"/>
      <c r="L623" s="31"/>
      <c r="M623" s="29" t="str">
        <f aca="false">IF($C623="","",YEAR($C623))</f>
        <v/>
      </c>
      <c r="N623" s="24"/>
      <c r="O623" s="35" t="str">
        <f aca="false">IF($C623="","",IF($D623="","★没选客户项目",IF(COUNTIF(合同键,$D623)=0,"★《维保合同》里没这个项目",IF(N($G623)&lt;=0,"★收款金额要填",IF($H623="","★票据类型要选",IF(AND($L623&lt;&gt;"",COUNTIF(应收单号,$L623)=0),"★关联的应收单号不存在",IF(AND($L623&lt;&gt;"",IFERROR(INDEX(应收键,MATCH($L623,应收单号,0)),"")&lt;&gt;$D623),"★关联单号不是这个客户的",IF(AND($L623&lt;&gt;"",ROUND(SUMIF(收款关联,$L623,收款金额)-IFERROR(INDEX(应收金额,MATCH($L623,应收单号,0)),0),2)&gt;0.001),"★指定冲销超过那张单的应收","OK"))))))))</f>
        <v/>
      </c>
    </row>
    <row r="624" customFormat="false" ht="15" hidden="false" customHeight="false" outlineLevel="0" collapsed="false">
      <c r="A624" s="29" t="str">
        <f aca="false">IF($C624="","",ROW()-4)</f>
        <v/>
      </c>
      <c r="B624" s="35" t="str">
        <f aca="false">IF($C624="","","SK"&amp;TEXT($C624,"yyyymm")&amp;"-"&amp;TEXT(ROW()-4,"0000"))</f>
        <v/>
      </c>
      <c r="C624" s="33"/>
      <c r="D624" s="24"/>
      <c r="E624" s="30" t="str">
        <f aca="false">IF($D624="","",IFERROR(INDEX(合同单位,MATCH($D624,合同键,0)),IFERROR(TRIM(LEFT($D624,FIND("｜",$D624)-1)),$D624)))</f>
        <v/>
      </c>
      <c r="F624" s="30" t="str">
        <f aca="false">IF($D624="","",IFERROR(INDEX(合同项目,MATCH($D624,合同键,0)),IFERROR(TRIM(MID($D624,FIND("｜",$D624)+1,99)),"")))</f>
        <v/>
      </c>
      <c r="G624" s="39"/>
      <c r="H624" s="25"/>
      <c r="I624" s="35" t="str">
        <f aca="false">IF($H624="","",IFERROR(INDEX(票据归类表,MATCH($H624,票据类型表,0)),"现金无票"))</f>
        <v/>
      </c>
      <c r="J624" s="25"/>
      <c r="K624" s="25"/>
      <c r="L624" s="31"/>
      <c r="M624" s="29" t="str">
        <f aca="false">IF($C624="","",YEAR($C624))</f>
        <v/>
      </c>
      <c r="N624" s="24"/>
      <c r="O624" s="35" t="str">
        <f aca="false">IF($C624="","",IF($D624="","★没选客户项目",IF(COUNTIF(合同键,$D624)=0,"★《维保合同》里没这个项目",IF(N($G624)&lt;=0,"★收款金额要填",IF($H624="","★票据类型要选",IF(AND($L624&lt;&gt;"",COUNTIF(应收单号,$L624)=0),"★关联的应收单号不存在",IF(AND($L624&lt;&gt;"",IFERROR(INDEX(应收键,MATCH($L624,应收单号,0)),"")&lt;&gt;$D624),"★关联单号不是这个客户的",IF(AND($L624&lt;&gt;"",ROUND(SUMIF(收款关联,$L624,收款金额)-IFERROR(INDEX(应收金额,MATCH($L624,应收单号,0)),0),2)&gt;0.001),"★指定冲销超过那张单的应收","OK"))))))))</f>
        <v/>
      </c>
    </row>
    <row r="625" customFormat="false" ht="15" hidden="false" customHeight="false" outlineLevel="0" collapsed="false">
      <c r="A625" s="29" t="str">
        <f aca="false">IF($C625="","",ROW()-4)</f>
        <v/>
      </c>
      <c r="B625" s="35" t="str">
        <f aca="false">IF($C625="","","SK"&amp;TEXT($C625,"yyyymm")&amp;"-"&amp;TEXT(ROW()-4,"0000"))</f>
        <v/>
      </c>
      <c r="C625" s="33"/>
      <c r="D625" s="24"/>
      <c r="E625" s="30" t="str">
        <f aca="false">IF($D625="","",IFERROR(INDEX(合同单位,MATCH($D625,合同键,0)),IFERROR(TRIM(LEFT($D625,FIND("｜",$D625)-1)),$D625)))</f>
        <v/>
      </c>
      <c r="F625" s="30" t="str">
        <f aca="false">IF($D625="","",IFERROR(INDEX(合同项目,MATCH($D625,合同键,0)),IFERROR(TRIM(MID($D625,FIND("｜",$D625)+1,99)),"")))</f>
        <v/>
      </c>
      <c r="G625" s="39"/>
      <c r="H625" s="25"/>
      <c r="I625" s="35" t="str">
        <f aca="false">IF($H625="","",IFERROR(INDEX(票据归类表,MATCH($H625,票据类型表,0)),"现金无票"))</f>
        <v/>
      </c>
      <c r="J625" s="25"/>
      <c r="K625" s="25"/>
      <c r="L625" s="31"/>
      <c r="M625" s="29" t="str">
        <f aca="false">IF($C625="","",YEAR($C625))</f>
        <v/>
      </c>
      <c r="N625" s="24"/>
      <c r="O625" s="35" t="str">
        <f aca="false">IF($C625="","",IF($D625="","★没选客户项目",IF(COUNTIF(合同键,$D625)=0,"★《维保合同》里没这个项目",IF(N($G625)&lt;=0,"★收款金额要填",IF($H625="","★票据类型要选",IF(AND($L625&lt;&gt;"",COUNTIF(应收单号,$L625)=0),"★关联的应收单号不存在",IF(AND($L625&lt;&gt;"",IFERROR(INDEX(应收键,MATCH($L625,应收单号,0)),"")&lt;&gt;$D625),"★关联单号不是这个客户的",IF(AND($L625&lt;&gt;"",ROUND(SUMIF(收款关联,$L625,收款金额)-IFERROR(INDEX(应收金额,MATCH($L625,应收单号,0)),0),2)&gt;0.001),"★指定冲销超过那张单的应收","OK"))))))))</f>
        <v/>
      </c>
    </row>
    <row r="626" customFormat="false" ht="15" hidden="false" customHeight="false" outlineLevel="0" collapsed="false">
      <c r="A626" s="29" t="str">
        <f aca="false">IF($C626="","",ROW()-4)</f>
        <v/>
      </c>
      <c r="B626" s="35" t="str">
        <f aca="false">IF($C626="","","SK"&amp;TEXT($C626,"yyyymm")&amp;"-"&amp;TEXT(ROW()-4,"0000"))</f>
        <v/>
      </c>
      <c r="C626" s="33"/>
      <c r="D626" s="24"/>
      <c r="E626" s="30" t="str">
        <f aca="false">IF($D626="","",IFERROR(INDEX(合同单位,MATCH($D626,合同键,0)),IFERROR(TRIM(LEFT($D626,FIND("｜",$D626)-1)),$D626)))</f>
        <v/>
      </c>
      <c r="F626" s="30" t="str">
        <f aca="false">IF($D626="","",IFERROR(INDEX(合同项目,MATCH($D626,合同键,0)),IFERROR(TRIM(MID($D626,FIND("｜",$D626)+1,99)),"")))</f>
        <v/>
      </c>
      <c r="G626" s="39"/>
      <c r="H626" s="25"/>
      <c r="I626" s="35" t="str">
        <f aca="false">IF($H626="","",IFERROR(INDEX(票据归类表,MATCH($H626,票据类型表,0)),"现金无票"))</f>
        <v/>
      </c>
      <c r="J626" s="25"/>
      <c r="K626" s="25"/>
      <c r="L626" s="31"/>
      <c r="M626" s="29" t="str">
        <f aca="false">IF($C626="","",YEAR($C626))</f>
        <v/>
      </c>
      <c r="N626" s="24"/>
      <c r="O626" s="35" t="str">
        <f aca="false">IF($C626="","",IF($D626="","★没选客户项目",IF(COUNTIF(合同键,$D626)=0,"★《维保合同》里没这个项目",IF(N($G626)&lt;=0,"★收款金额要填",IF($H626="","★票据类型要选",IF(AND($L626&lt;&gt;"",COUNTIF(应收单号,$L626)=0),"★关联的应收单号不存在",IF(AND($L626&lt;&gt;"",IFERROR(INDEX(应收键,MATCH($L626,应收单号,0)),"")&lt;&gt;$D626),"★关联单号不是这个客户的",IF(AND($L626&lt;&gt;"",ROUND(SUMIF(收款关联,$L626,收款金额)-IFERROR(INDEX(应收金额,MATCH($L626,应收单号,0)),0),2)&gt;0.001),"★指定冲销超过那张单的应收","OK"))))))))</f>
        <v/>
      </c>
    </row>
    <row r="627" customFormat="false" ht="15" hidden="false" customHeight="false" outlineLevel="0" collapsed="false">
      <c r="A627" s="29" t="str">
        <f aca="false">IF($C627="","",ROW()-4)</f>
        <v/>
      </c>
      <c r="B627" s="35" t="str">
        <f aca="false">IF($C627="","","SK"&amp;TEXT($C627,"yyyymm")&amp;"-"&amp;TEXT(ROW()-4,"0000"))</f>
        <v/>
      </c>
      <c r="C627" s="33"/>
      <c r="D627" s="24"/>
      <c r="E627" s="30" t="str">
        <f aca="false">IF($D627="","",IFERROR(INDEX(合同单位,MATCH($D627,合同键,0)),IFERROR(TRIM(LEFT($D627,FIND("｜",$D627)-1)),$D627)))</f>
        <v/>
      </c>
      <c r="F627" s="30" t="str">
        <f aca="false">IF($D627="","",IFERROR(INDEX(合同项目,MATCH($D627,合同键,0)),IFERROR(TRIM(MID($D627,FIND("｜",$D627)+1,99)),"")))</f>
        <v/>
      </c>
      <c r="G627" s="39"/>
      <c r="H627" s="25"/>
      <c r="I627" s="35" t="str">
        <f aca="false">IF($H627="","",IFERROR(INDEX(票据归类表,MATCH($H627,票据类型表,0)),"现金无票"))</f>
        <v/>
      </c>
      <c r="J627" s="25"/>
      <c r="K627" s="25"/>
      <c r="L627" s="31"/>
      <c r="M627" s="29" t="str">
        <f aca="false">IF($C627="","",YEAR($C627))</f>
        <v/>
      </c>
      <c r="N627" s="24"/>
      <c r="O627" s="35" t="str">
        <f aca="false">IF($C627="","",IF($D627="","★没选客户项目",IF(COUNTIF(合同键,$D627)=0,"★《维保合同》里没这个项目",IF(N($G627)&lt;=0,"★收款金额要填",IF($H627="","★票据类型要选",IF(AND($L627&lt;&gt;"",COUNTIF(应收单号,$L627)=0),"★关联的应收单号不存在",IF(AND($L627&lt;&gt;"",IFERROR(INDEX(应收键,MATCH($L627,应收单号,0)),"")&lt;&gt;$D627),"★关联单号不是这个客户的",IF(AND($L627&lt;&gt;"",ROUND(SUMIF(收款关联,$L627,收款金额)-IFERROR(INDEX(应收金额,MATCH($L627,应收单号,0)),0),2)&gt;0.001),"★指定冲销超过那张单的应收","OK"))))))))</f>
        <v/>
      </c>
    </row>
    <row r="628" customFormat="false" ht="15" hidden="false" customHeight="false" outlineLevel="0" collapsed="false">
      <c r="A628" s="29" t="str">
        <f aca="false">IF($C628="","",ROW()-4)</f>
        <v/>
      </c>
      <c r="B628" s="35" t="str">
        <f aca="false">IF($C628="","","SK"&amp;TEXT($C628,"yyyymm")&amp;"-"&amp;TEXT(ROW()-4,"0000"))</f>
        <v/>
      </c>
      <c r="C628" s="33"/>
      <c r="D628" s="24"/>
      <c r="E628" s="30" t="str">
        <f aca="false">IF($D628="","",IFERROR(INDEX(合同单位,MATCH($D628,合同键,0)),IFERROR(TRIM(LEFT($D628,FIND("｜",$D628)-1)),$D628)))</f>
        <v/>
      </c>
      <c r="F628" s="30" t="str">
        <f aca="false">IF($D628="","",IFERROR(INDEX(合同项目,MATCH($D628,合同键,0)),IFERROR(TRIM(MID($D628,FIND("｜",$D628)+1,99)),"")))</f>
        <v/>
      </c>
      <c r="G628" s="39"/>
      <c r="H628" s="25"/>
      <c r="I628" s="35" t="str">
        <f aca="false">IF($H628="","",IFERROR(INDEX(票据归类表,MATCH($H628,票据类型表,0)),"现金无票"))</f>
        <v/>
      </c>
      <c r="J628" s="25"/>
      <c r="K628" s="25"/>
      <c r="L628" s="31"/>
      <c r="M628" s="29" t="str">
        <f aca="false">IF($C628="","",YEAR($C628))</f>
        <v/>
      </c>
      <c r="N628" s="24"/>
      <c r="O628" s="35" t="str">
        <f aca="false">IF($C628="","",IF($D628="","★没选客户项目",IF(COUNTIF(合同键,$D628)=0,"★《维保合同》里没这个项目",IF(N($G628)&lt;=0,"★收款金额要填",IF($H628="","★票据类型要选",IF(AND($L628&lt;&gt;"",COUNTIF(应收单号,$L628)=0),"★关联的应收单号不存在",IF(AND($L628&lt;&gt;"",IFERROR(INDEX(应收键,MATCH($L628,应收单号,0)),"")&lt;&gt;$D628),"★关联单号不是这个客户的",IF(AND($L628&lt;&gt;"",ROUND(SUMIF(收款关联,$L628,收款金额)-IFERROR(INDEX(应收金额,MATCH($L628,应收单号,0)),0),2)&gt;0.001),"★指定冲销超过那张单的应收","OK"))))))))</f>
        <v/>
      </c>
    </row>
    <row r="629" customFormat="false" ht="15" hidden="false" customHeight="false" outlineLevel="0" collapsed="false">
      <c r="A629" s="29" t="str">
        <f aca="false">IF($C629="","",ROW()-4)</f>
        <v/>
      </c>
      <c r="B629" s="35" t="str">
        <f aca="false">IF($C629="","","SK"&amp;TEXT($C629,"yyyymm")&amp;"-"&amp;TEXT(ROW()-4,"0000"))</f>
        <v/>
      </c>
      <c r="C629" s="33"/>
      <c r="D629" s="24"/>
      <c r="E629" s="30" t="str">
        <f aca="false">IF($D629="","",IFERROR(INDEX(合同单位,MATCH($D629,合同键,0)),IFERROR(TRIM(LEFT($D629,FIND("｜",$D629)-1)),$D629)))</f>
        <v/>
      </c>
      <c r="F629" s="30" t="str">
        <f aca="false">IF($D629="","",IFERROR(INDEX(合同项目,MATCH($D629,合同键,0)),IFERROR(TRIM(MID($D629,FIND("｜",$D629)+1,99)),"")))</f>
        <v/>
      </c>
      <c r="G629" s="39"/>
      <c r="H629" s="25"/>
      <c r="I629" s="35" t="str">
        <f aca="false">IF($H629="","",IFERROR(INDEX(票据归类表,MATCH($H629,票据类型表,0)),"现金无票"))</f>
        <v/>
      </c>
      <c r="J629" s="25"/>
      <c r="K629" s="25"/>
      <c r="L629" s="31"/>
      <c r="M629" s="29" t="str">
        <f aca="false">IF($C629="","",YEAR($C629))</f>
        <v/>
      </c>
      <c r="N629" s="24"/>
      <c r="O629" s="35" t="str">
        <f aca="false">IF($C629="","",IF($D629="","★没选客户项目",IF(COUNTIF(合同键,$D629)=0,"★《维保合同》里没这个项目",IF(N($G629)&lt;=0,"★收款金额要填",IF($H629="","★票据类型要选",IF(AND($L629&lt;&gt;"",COUNTIF(应收单号,$L629)=0),"★关联的应收单号不存在",IF(AND($L629&lt;&gt;"",IFERROR(INDEX(应收键,MATCH($L629,应收单号,0)),"")&lt;&gt;$D629),"★关联单号不是这个客户的",IF(AND($L629&lt;&gt;"",ROUND(SUMIF(收款关联,$L629,收款金额)-IFERROR(INDEX(应收金额,MATCH($L629,应收单号,0)),0),2)&gt;0.001),"★指定冲销超过那张单的应收","OK"))))))))</f>
        <v/>
      </c>
    </row>
    <row r="630" customFormat="false" ht="15" hidden="false" customHeight="false" outlineLevel="0" collapsed="false">
      <c r="A630" s="29" t="str">
        <f aca="false">IF($C630="","",ROW()-4)</f>
        <v/>
      </c>
      <c r="B630" s="35" t="str">
        <f aca="false">IF($C630="","","SK"&amp;TEXT($C630,"yyyymm")&amp;"-"&amp;TEXT(ROW()-4,"0000"))</f>
        <v/>
      </c>
      <c r="C630" s="33"/>
      <c r="D630" s="24"/>
      <c r="E630" s="30" t="str">
        <f aca="false">IF($D630="","",IFERROR(INDEX(合同单位,MATCH($D630,合同键,0)),IFERROR(TRIM(LEFT($D630,FIND("｜",$D630)-1)),$D630)))</f>
        <v/>
      </c>
      <c r="F630" s="30" t="str">
        <f aca="false">IF($D630="","",IFERROR(INDEX(合同项目,MATCH($D630,合同键,0)),IFERROR(TRIM(MID($D630,FIND("｜",$D630)+1,99)),"")))</f>
        <v/>
      </c>
      <c r="G630" s="39"/>
      <c r="H630" s="25"/>
      <c r="I630" s="35" t="str">
        <f aca="false">IF($H630="","",IFERROR(INDEX(票据归类表,MATCH($H630,票据类型表,0)),"现金无票"))</f>
        <v/>
      </c>
      <c r="J630" s="25"/>
      <c r="K630" s="25"/>
      <c r="L630" s="31"/>
      <c r="M630" s="29" t="str">
        <f aca="false">IF($C630="","",YEAR($C630))</f>
        <v/>
      </c>
      <c r="N630" s="24"/>
      <c r="O630" s="35" t="str">
        <f aca="false">IF($C630="","",IF($D630="","★没选客户项目",IF(COUNTIF(合同键,$D630)=0,"★《维保合同》里没这个项目",IF(N($G630)&lt;=0,"★收款金额要填",IF($H630="","★票据类型要选",IF(AND($L630&lt;&gt;"",COUNTIF(应收单号,$L630)=0),"★关联的应收单号不存在",IF(AND($L630&lt;&gt;"",IFERROR(INDEX(应收键,MATCH($L630,应收单号,0)),"")&lt;&gt;$D630),"★关联单号不是这个客户的",IF(AND($L630&lt;&gt;"",ROUND(SUMIF(收款关联,$L630,收款金额)-IFERROR(INDEX(应收金额,MATCH($L630,应收单号,0)),0),2)&gt;0.001),"★指定冲销超过那张单的应收","OK"))))))))</f>
        <v/>
      </c>
    </row>
    <row r="631" customFormat="false" ht="15" hidden="false" customHeight="false" outlineLevel="0" collapsed="false">
      <c r="A631" s="29" t="str">
        <f aca="false">IF($C631="","",ROW()-4)</f>
        <v/>
      </c>
      <c r="B631" s="35" t="str">
        <f aca="false">IF($C631="","","SK"&amp;TEXT($C631,"yyyymm")&amp;"-"&amp;TEXT(ROW()-4,"0000"))</f>
        <v/>
      </c>
      <c r="C631" s="33"/>
      <c r="D631" s="24"/>
      <c r="E631" s="30" t="str">
        <f aca="false">IF($D631="","",IFERROR(INDEX(合同单位,MATCH($D631,合同键,0)),IFERROR(TRIM(LEFT($D631,FIND("｜",$D631)-1)),$D631)))</f>
        <v/>
      </c>
      <c r="F631" s="30" t="str">
        <f aca="false">IF($D631="","",IFERROR(INDEX(合同项目,MATCH($D631,合同键,0)),IFERROR(TRIM(MID($D631,FIND("｜",$D631)+1,99)),"")))</f>
        <v/>
      </c>
      <c r="G631" s="39"/>
      <c r="H631" s="25"/>
      <c r="I631" s="35" t="str">
        <f aca="false">IF($H631="","",IFERROR(INDEX(票据归类表,MATCH($H631,票据类型表,0)),"现金无票"))</f>
        <v/>
      </c>
      <c r="J631" s="25"/>
      <c r="K631" s="25"/>
      <c r="L631" s="31"/>
      <c r="M631" s="29" t="str">
        <f aca="false">IF($C631="","",YEAR($C631))</f>
        <v/>
      </c>
      <c r="N631" s="24"/>
      <c r="O631" s="35" t="str">
        <f aca="false">IF($C631="","",IF($D631="","★没选客户项目",IF(COUNTIF(合同键,$D631)=0,"★《维保合同》里没这个项目",IF(N($G631)&lt;=0,"★收款金额要填",IF($H631="","★票据类型要选",IF(AND($L631&lt;&gt;"",COUNTIF(应收单号,$L631)=0),"★关联的应收单号不存在",IF(AND($L631&lt;&gt;"",IFERROR(INDEX(应收键,MATCH($L631,应收单号,0)),"")&lt;&gt;$D631),"★关联单号不是这个客户的",IF(AND($L631&lt;&gt;"",ROUND(SUMIF(收款关联,$L631,收款金额)-IFERROR(INDEX(应收金额,MATCH($L631,应收单号,0)),0),2)&gt;0.001),"★指定冲销超过那张单的应收","OK"))))))))</f>
        <v/>
      </c>
    </row>
    <row r="632" customFormat="false" ht="15" hidden="false" customHeight="false" outlineLevel="0" collapsed="false">
      <c r="A632" s="29" t="str">
        <f aca="false">IF($C632="","",ROW()-4)</f>
        <v/>
      </c>
      <c r="B632" s="35" t="str">
        <f aca="false">IF($C632="","","SK"&amp;TEXT($C632,"yyyymm")&amp;"-"&amp;TEXT(ROW()-4,"0000"))</f>
        <v/>
      </c>
      <c r="C632" s="33"/>
      <c r="D632" s="24"/>
      <c r="E632" s="30" t="str">
        <f aca="false">IF($D632="","",IFERROR(INDEX(合同单位,MATCH($D632,合同键,0)),IFERROR(TRIM(LEFT($D632,FIND("｜",$D632)-1)),$D632)))</f>
        <v/>
      </c>
      <c r="F632" s="30" t="str">
        <f aca="false">IF($D632="","",IFERROR(INDEX(合同项目,MATCH($D632,合同键,0)),IFERROR(TRIM(MID($D632,FIND("｜",$D632)+1,99)),"")))</f>
        <v/>
      </c>
      <c r="G632" s="39"/>
      <c r="H632" s="25"/>
      <c r="I632" s="35" t="str">
        <f aca="false">IF($H632="","",IFERROR(INDEX(票据归类表,MATCH($H632,票据类型表,0)),"现金无票"))</f>
        <v/>
      </c>
      <c r="J632" s="25"/>
      <c r="K632" s="25"/>
      <c r="L632" s="31"/>
      <c r="M632" s="29" t="str">
        <f aca="false">IF($C632="","",YEAR($C632))</f>
        <v/>
      </c>
      <c r="N632" s="24"/>
      <c r="O632" s="35" t="str">
        <f aca="false">IF($C632="","",IF($D632="","★没选客户项目",IF(COUNTIF(合同键,$D632)=0,"★《维保合同》里没这个项目",IF(N($G632)&lt;=0,"★收款金额要填",IF($H632="","★票据类型要选",IF(AND($L632&lt;&gt;"",COUNTIF(应收单号,$L632)=0),"★关联的应收单号不存在",IF(AND($L632&lt;&gt;"",IFERROR(INDEX(应收键,MATCH($L632,应收单号,0)),"")&lt;&gt;$D632),"★关联单号不是这个客户的",IF(AND($L632&lt;&gt;"",ROUND(SUMIF(收款关联,$L632,收款金额)-IFERROR(INDEX(应收金额,MATCH($L632,应收单号,0)),0),2)&gt;0.001),"★指定冲销超过那张单的应收","OK"))))))))</f>
        <v/>
      </c>
    </row>
    <row r="633" customFormat="false" ht="15" hidden="false" customHeight="false" outlineLevel="0" collapsed="false">
      <c r="A633" s="29" t="str">
        <f aca="false">IF($C633="","",ROW()-4)</f>
        <v/>
      </c>
      <c r="B633" s="35" t="str">
        <f aca="false">IF($C633="","","SK"&amp;TEXT($C633,"yyyymm")&amp;"-"&amp;TEXT(ROW()-4,"0000"))</f>
        <v/>
      </c>
      <c r="C633" s="33"/>
      <c r="D633" s="24"/>
      <c r="E633" s="30" t="str">
        <f aca="false">IF($D633="","",IFERROR(INDEX(合同单位,MATCH($D633,合同键,0)),IFERROR(TRIM(LEFT($D633,FIND("｜",$D633)-1)),$D633)))</f>
        <v/>
      </c>
      <c r="F633" s="30" t="str">
        <f aca="false">IF($D633="","",IFERROR(INDEX(合同项目,MATCH($D633,合同键,0)),IFERROR(TRIM(MID($D633,FIND("｜",$D633)+1,99)),"")))</f>
        <v/>
      </c>
      <c r="G633" s="39"/>
      <c r="H633" s="25"/>
      <c r="I633" s="35" t="str">
        <f aca="false">IF($H633="","",IFERROR(INDEX(票据归类表,MATCH($H633,票据类型表,0)),"现金无票"))</f>
        <v/>
      </c>
      <c r="J633" s="25"/>
      <c r="K633" s="25"/>
      <c r="L633" s="31"/>
      <c r="M633" s="29" t="str">
        <f aca="false">IF($C633="","",YEAR($C633))</f>
        <v/>
      </c>
      <c r="N633" s="24"/>
      <c r="O633" s="35" t="str">
        <f aca="false">IF($C633="","",IF($D633="","★没选客户项目",IF(COUNTIF(合同键,$D633)=0,"★《维保合同》里没这个项目",IF(N($G633)&lt;=0,"★收款金额要填",IF($H633="","★票据类型要选",IF(AND($L633&lt;&gt;"",COUNTIF(应收单号,$L633)=0),"★关联的应收单号不存在",IF(AND($L633&lt;&gt;"",IFERROR(INDEX(应收键,MATCH($L633,应收单号,0)),"")&lt;&gt;$D633),"★关联单号不是这个客户的",IF(AND($L633&lt;&gt;"",ROUND(SUMIF(收款关联,$L633,收款金额)-IFERROR(INDEX(应收金额,MATCH($L633,应收单号,0)),0),2)&gt;0.001),"★指定冲销超过那张单的应收","OK"))))))))</f>
        <v/>
      </c>
    </row>
    <row r="634" customFormat="false" ht="15" hidden="false" customHeight="false" outlineLevel="0" collapsed="false">
      <c r="A634" s="29" t="str">
        <f aca="false">IF($C634="","",ROW()-4)</f>
        <v/>
      </c>
      <c r="B634" s="35" t="str">
        <f aca="false">IF($C634="","","SK"&amp;TEXT($C634,"yyyymm")&amp;"-"&amp;TEXT(ROW()-4,"0000"))</f>
        <v/>
      </c>
      <c r="C634" s="33"/>
      <c r="D634" s="24"/>
      <c r="E634" s="30" t="str">
        <f aca="false">IF($D634="","",IFERROR(INDEX(合同单位,MATCH($D634,合同键,0)),IFERROR(TRIM(LEFT($D634,FIND("｜",$D634)-1)),$D634)))</f>
        <v/>
      </c>
      <c r="F634" s="30" t="str">
        <f aca="false">IF($D634="","",IFERROR(INDEX(合同项目,MATCH($D634,合同键,0)),IFERROR(TRIM(MID($D634,FIND("｜",$D634)+1,99)),"")))</f>
        <v/>
      </c>
      <c r="G634" s="39"/>
      <c r="H634" s="25"/>
      <c r="I634" s="35" t="str">
        <f aca="false">IF($H634="","",IFERROR(INDEX(票据归类表,MATCH($H634,票据类型表,0)),"现金无票"))</f>
        <v/>
      </c>
      <c r="J634" s="25"/>
      <c r="K634" s="25"/>
      <c r="L634" s="31"/>
      <c r="M634" s="29" t="str">
        <f aca="false">IF($C634="","",YEAR($C634))</f>
        <v/>
      </c>
      <c r="N634" s="24"/>
      <c r="O634" s="35" t="str">
        <f aca="false">IF($C634="","",IF($D634="","★没选客户项目",IF(COUNTIF(合同键,$D634)=0,"★《维保合同》里没这个项目",IF(N($G634)&lt;=0,"★收款金额要填",IF($H634="","★票据类型要选",IF(AND($L634&lt;&gt;"",COUNTIF(应收单号,$L634)=0),"★关联的应收单号不存在",IF(AND($L634&lt;&gt;"",IFERROR(INDEX(应收键,MATCH($L634,应收单号,0)),"")&lt;&gt;$D634),"★关联单号不是这个客户的",IF(AND($L634&lt;&gt;"",ROUND(SUMIF(收款关联,$L634,收款金额)-IFERROR(INDEX(应收金额,MATCH($L634,应收单号,0)),0),2)&gt;0.001),"★指定冲销超过那张单的应收","OK"))))))))</f>
        <v/>
      </c>
    </row>
    <row r="635" customFormat="false" ht="15" hidden="false" customHeight="false" outlineLevel="0" collapsed="false">
      <c r="A635" s="29" t="str">
        <f aca="false">IF($C635="","",ROW()-4)</f>
        <v/>
      </c>
      <c r="B635" s="35" t="str">
        <f aca="false">IF($C635="","","SK"&amp;TEXT($C635,"yyyymm")&amp;"-"&amp;TEXT(ROW()-4,"0000"))</f>
        <v/>
      </c>
      <c r="C635" s="33"/>
      <c r="D635" s="24"/>
      <c r="E635" s="30" t="str">
        <f aca="false">IF($D635="","",IFERROR(INDEX(合同单位,MATCH($D635,合同键,0)),IFERROR(TRIM(LEFT($D635,FIND("｜",$D635)-1)),$D635)))</f>
        <v/>
      </c>
      <c r="F635" s="30" t="str">
        <f aca="false">IF($D635="","",IFERROR(INDEX(合同项目,MATCH($D635,合同键,0)),IFERROR(TRIM(MID($D635,FIND("｜",$D635)+1,99)),"")))</f>
        <v/>
      </c>
      <c r="G635" s="39"/>
      <c r="H635" s="25"/>
      <c r="I635" s="35" t="str">
        <f aca="false">IF($H635="","",IFERROR(INDEX(票据归类表,MATCH($H635,票据类型表,0)),"现金无票"))</f>
        <v/>
      </c>
      <c r="J635" s="25"/>
      <c r="K635" s="25"/>
      <c r="L635" s="31"/>
      <c r="M635" s="29" t="str">
        <f aca="false">IF($C635="","",YEAR($C635))</f>
        <v/>
      </c>
      <c r="N635" s="24"/>
      <c r="O635" s="35" t="str">
        <f aca="false">IF($C635="","",IF($D635="","★没选客户项目",IF(COUNTIF(合同键,$D635)=0,"★《维保合同》里没这个项目",IF(N($G635)&lt;=0,"★收款金额要填",IF($H635="","★票据类型要选",IF(AND($L635&lt;&gt;"",COUNTIF(应收单号,$L635)=0),"★关联的应收单号不存在",IF(AND($L635&lt;&gt;"",IFERROR(INDEX(应收键,MATCH($L635,应收单号,0)),"")&lt;&gt;$D635),"★关联单号不是这个客户的",IF(AND($L635&lt;&gt;"",ROUND(SUMIF(收款关联,$L635,收款金额)-IFERROR(INDEX(应收金额,MATCH($L635,应收单号,0)),0),2)&gt;0.001),"★指定冲销超过那张单的应收","OK"))))))))</f>
        <v/>
      </c>
    </row>
    <row r="636" customFormat="false" ht="15" hidden="false" customHeight="false" outlineLevel="0" collapsed="false">
      <c r="A636" s="29" t="str">
        <f aca="false">IF($C636="","",ROW()-4)</f>
        <v/>
      </c>
      <c r="B636" s="35" t="str">
        <f aca="false">IF($C636="","","SK"&amp;TEXT($C636,"yyyymm")&amp;"-"&amp;TEXT(ROW()-4,"0000"))</f>
        <v/>
      </c>
      <c r="C636" s="33"/>
      <c r="D636" s="24"/>
      <c r="E636" s="30" t="str">
        <f aca="false">IF($D636="","",IFERROR(INDEX(合同单位,MATCH($D636,合同键,0)),IFERROR(TRIM(LEFT($D636,FIND("｜",$D636)-1)),$D636)))</f>
        <v/>
      </c>
      <c r="F636" s="30" t="str">
        <f aca="false">IF($D636="","",IFERROR(INDEX(合同项目,MATCH($D636,合同键,0)),IFERROR(TRIM(MID($D636,FIND("｜",$D636)+1,99)),"")))</f>
        <v/>
      </c>
      <c r="G636" s="39"/>
      <c r="H636" s="25"/>
      <c r="I636" s="35" t="str">
        <f aca="false">IF($H636="","",IFERROR(INDEX(票据归类表,MATCH($H636,票据类型表,0)),"现金无票"))</f>
        <v/>
      </c>
      <c r="J636" s="25"/>
      <c r="K636" s="25"/>
      <c r="L636" s="31"/>
      <c r="M636" s="29" t="str">
        <f aca="false">IF($C636="","",YEAR($C636))</f>
        <v/>
      </c>
      <c r="N636" s="24"/>
      <c r="O636" s="35" t="str">
        <f aca="false">IF($C636="","",IF($D636="","★没选客户项目",IF(COUNTIF(合同键,$D636)=0,"★《维保合同》里没这个项目",IF(N($G636)&lt;=0,"★收款金额要填",IF($H636="","★票据类型要选",IF(AND($L636&lt;&gt;"",COUNTIF(应收单号,$L636)=0),"★关联的应收单号不存在",IF(AND($L636&lt;&gt;"",IFERROR(INDEX(应收键,MATCH($L636,应收单号,0)),"")&lt;&gt;$D636),"★关联单号不是这个客户的",IF(AND($L636&lt;&gt;"",ROUND(SUMIF(收款关联,$L636,收款金额)-IFERROR(INDEX(应收金额,MATCH($L636,应收单号,0)),0),2)&gt;0.001),"★指定冲销超过那张单的应收","OK"))))))))</f>
        <v/>
      </c>
    </row>
    <row r="637" customFormat="false" ht="15" hidden="false" customHeight="false" outlineLevel="0" collapsed="false">
      <c r="A637" s="29" t="str">
        <f aca="false">IF($C637="","",ROW()-4)</f>
        <v/>
      </c>
      <c r="B637" s="35" t="str">
        <f aca="false">IF($C637="","","SK"&amp;TEXT($C637,"yyyymm")&amp;"-"&amp;TEXT(ROW()-4,"0000"))</f>
        <v/>
      </c>
      <c r="C637" s="33"/>
      <c r="D637" s="24"/>
      <c r="E637" s="30" t="str">
        <f aca="false">IF($D637="","",IFERROR(INDEX(合同单位,MATCH($D637,合同键,0)),IFERROR(TRIM(LEFT($D637,FIND("｜",$D637)-1)),$D637)))</f>
        <v/>
      </c>
      <c r="F637" s="30" t="str">
        <f aca="false">IF($D637="","",IFERROR(INDEX(合同项目,MATCH($D637,合同键,0)),IFERROR(TRIM(MID($D637,FIND("｜",$D637)+1,99)),"")))</f>
        <v/>
      </c>
      <c r="G637" s="39"/>
      <c r="H637" s="25"/>
      <c r="I637" s="35" t="str">
        <f aca="false">IF($H637="","",IFERROR(INDEX(票据归类表,MATCH($H637,票据类型表,0)),"现金无票"))</f>
        <v/>
      </c>
      <c r="J637" s="25"/>
      <c r="K637" s="25"/>
      <c r="L637" s="31"/>
      <c r="M637" s="29" t="str">
        <f aca="false">IF($C637="","",YEAR($C637))</f>
        <v/>
      </c>
      <c r="N637" s="24"/>
      <c r="O637" s="35" t="str">
        <f aca="false">IF($C637="","",IF($D637="","★没选客户项目",IF(COUNTIF(合同键,$D637)=0,"★《维保合同》里没这个项目",IF(N($G637)&lt;=0,"★收款金额要填",IF($H637="","★票据类型要选",IF(AND($L637&lt;&gt;"",COUNTIF(应收单号,$L637)=0),"★关联的应收单号不存在",IF(AND($L637&lt;&gt;"",IFERROR(INDEX(应收键,MATCH($L637,应收单号,0)),"")&lt;&gt;$D637),"★关联单号不是这个客户的",IF(AND($L637&lt;&gt;"",ROUND(SUMIF(收款关联,$L637,收款金额)-IFERROR(INDEX(应收金额,MATCH($L637,应收单号,0)),0),2)&gt;0.001),"★指定冲销超过那张单的应收","OK"))))))))</f>
        <v/>
      </c>
    </row>
    <row r="638" customFormat="false" ht="15" hidden="false" customHeight="false" outlineLevel="0" collapsed="false">
      <c r="A638" s="29" t="str">
        <f aca="false">IF($C638="","",ROW()-4)</f>
        <v/>
      </c>
      <c r="B638" s="35" t="str">
        <f aca="false">IF($C638="","","SK"&amp;TEXT($C638,"yyyymm")&amp;"-"&amp;TEXT(ROW()-4,"0000"))</f>
        <v/>
      </c>
      <c r="C638" s="33"/>
      <c r="D638" s="24"/>
      <c r="E638" s="30" t="str">
        <f aca="false">IF($D638="","",IFERROR(INDEX(合同单位,MATCH($D638,合同键,0)),IFERROR(TRIM(LEFT($D638,FIND("｜",$D638)-1)),$D638)))</f>
        <v/>
      </c>
      <c r="F638" s="30" t="str">
        <f aca="false">IF($D638="","",IFERROR(INDEX(合同项目,MATCH($D638,合同键,0)),IFERROR(TRIM(MID($D638,FIND("｜",$D638)+1,99)),"")))</f>
        <v/>
      </c>
      <c r="G638" s="39"/>
      <c r="H638" s="25"/>
      <c r="I638" s="35" t="str">
        <f aca="false">IF($H638="","",IFERROR(INDEX(票据归类表,MATCH($H638,票据类型表,0)),"现金无票"))</f>
        <v/>
      </c>
      <c r="J638" s="25"/>
      <c r="K638" s="25"/>
      <c r="L638" s="31"/>
      <c r="M638" s="29" t="str">
        <f aca="false">IF($C638="","",YEAR($C638))</f>
        <v/>
      </c>
      <c r="N638" s="24"/>
      <c r="O638" s="35" t="str">
        <f aca="false">IF($C638="","",IF($D638="","★没选客户项目",IF(COUNTIF(合同键,$D638)=0,"★《维保合同》里没这个项目",IF(N($G638)&lt;=0,"★收款金额要填",IF($H638="","★票据类型要选",IF(AND($L638&lt;&gt;"",COUNTIF(应收单号,$L638)=0),"★关联的应收单号不存在",IF(AND($L638&lt;&gt;"",IFERROR(INDEX(应收键,MATCH($L638,应收单号,0)),"")&lt;&gt;$D638),"★关联单号不是这个客户的",IF(AND($L638&lt;&gt;"",ROUND(SUMIF(收款关联,$L638,收款金额)-IFERROR(INDEX(应收金额,MATCH($L638,应收单号,0)),0),2)&gt;0.001),"★指定冲销超过那张单的应收","OK"))))))))</f>
        <v/>
      </c>
    </row>
    <row r="639" customFormat="false" ht="15" hidden="false" customHeight="false" outlineLevel="0" collapsed="false">
      <c r="A639" s="29" t="str">
        <f aca="false">IF($C639="","",ROW()-4)</f>
        <v/>
      </c>
      <c r="B639" s="35" t="str">
        <f aca="false">IF($C639="","","SK"&amp;TEXT($C639,"yyyymm")&amp;"-"&amp;TEXT(ROW()-4,"0000"))</f>
        <v/>
      </c>
      <c r="C639" s="33"/>
      <c r="D639" s="24"/>
      <c r="E639" s="30" t="str">
        <f aca="false">IF($D639="","",IFERROR(INDEX(合同单位,MATCH($D639,合同键,0)),IFERROR(TRIM(LEFT($D639,FIND("｜",$D639)-1)),$D639)))</f>
        <v/>
      </c>
      <c r="F639" s="30" t="str">
        <f aca="false">IF($D639="","",IFERROR(INDEX(合同项目,MATCH($D639,合同键,0)),IFERROR(TRIM(MID($D639,FIND("｜",$D639)+1,99)),"")))</f>
        <v/>
      </c>
      <c r="G639" s="39"/>
      <c r="H639" s="25"/>
      <c r="I639" s="35" t="str">
        <f aca="false">IF($H639="","",IFERROR(INDEX(票据归类表,MATCH($H639,票据类型表,0)),"现金无票"))</f>
        <v/>
      </c>
      <c r="J639" s="25"/>
      <c r="K639" s="25"/>
      <c r="L639" s="31"/>
      <c r="M639" s="29" t="str">
        <f aca="false">IF($C639="","",YEAR($C639))</f>
        <v/>
      </c>
      <c r="N639" s="24"/>
      <c r="O639" s="35" t="str">
        <f aca="false">IF($C639="","",IF($D639="","★没选客户项目",IF(COUNTIF(合同键,$D639)=0,"★《维保合同》里没这个项目",IF(N($G639)&lt;=0,"★收款金额要填",IF($H639="","★票据类型要选",IF(AND($L639&lt;&gt;"",COUNTIF(应收单号,$L639)=0),"★关联的应收单号不存在",IF(AND($L639&lt;&gt;"",IFERROR(INDEX(应收键,MATCH($L639,应收单号,0)),"")&lt;&gt;$D639),"★关联单号不是这个客户的",IF(AND($L639&lt;&gt;"",ROUND(SUMIF(收款关联,$L639,收款金额)-IFERROR(INDEX(应收金额,MATCH($L639,应收单号,0)),0),2)&gt;0.001),"★指定冲销超过那张单的应收","OK"))))))))</f>
        <v/>
      </c>
    </row>
    <row r="640" customFormat="false" ht="15" hidden="false" customHeight="false" outlineLevel="0" collapsed="false">
      <c r="A640" s="29" t="str">
        <f aca="false">IF($C640="","",ROW()-4)</f>
        <v/>
      </c>
      <c r="B640" s="35" t="str">
        <f aca="false">IF($C640="","","SK"&amp;TEXT($C640,"yyyymm")&amp;"-"&amp;TEXT(ROW()-4,"0000"))</f>
        <v/>
      </c>
      <c r="C640" s="33"/>
      <c r="D640" s="24"/>
      <c r="E640" s="30" t="str">
        <f aca="false">IF($D640="","",IFERROR(INDEX(合同单位,MATCH($D640,合同键,0)),IFERROR(TRIM(LEFT($D640,FIND("｜",$D640)-1)),$D640)))</f>
        <v/>
      </c>
      <c r="F640" s="30" t="str">
        <f aca="false">IF($D640="","",IFERROR(INDEX(合同项目,MATCH($D640,合同键,0)),IFERROR(TRIM(MID($D640,FIND("｜",$D640)+1,99)),"")))</f>
        <v/>
      </c>
      <c r="G640" s="39"/>
      <c r="H640" s="25"/>
      <c r="I640" s="35" t="str">
        <f aca="false">IF($H640="","",IFERROR(INDEX(票据归类表,MATCH($H640,票据类型表,0)),"现金无票"))</f>
        <v/>
      </c>
      <c r="J640" s="25"/>
      <c r="K640" s="25"/>
      <c r="L640" s="31"/>
      <c r="M640" s="29" t="str">
        <f aca="false">IF($C640="","",YEAR($C640))</f>
        <v/>
      </c>
      <c r="N640" s="24"/>
      <c r="O640" s="35" t="str">
        <f aca="false">IF($C640="","",IF($D640="","★没选客户项目",IF(COUNTIF(合同键,$D640)=0,"★《维保合同》里没这个项目",IF(N($G640)&lt;=0,"★收款金额要填",IF($H640="","★票据类型要选",IF(AND($L640&lt;&gt;"",COUNTIF(应收单号,$L640)=0),"★关联的应收单号不存在",IF(AND($L640&lt;&gt;"",IFERROR(INDEX(应收键,MATCH($L640,应收单号,0)),"")&lt;&gt;$D640),"★关联单号不是这个客户的",IF(AND($L640&lt;&gt;"",ROUND(SUMIF(收款关联,$L640,收款金额)-IFERROR(INDEX(应收金额,MATCH($L640,应收单号,0)),0),2)&gt;0.001),"★指定冲销超过那张单的应收","OK"))))))))</f>
        <v/>
      </c>
    </row>
    <row r="641" customFormat="false" ht="15" hidden="false" customHeight="false" outlineLevel="0" collapsed="false">
      <c r="A641" s="29" t="str">
        <f aca="false">IF($C641="","",ROW()-4)</f>
        <v/>
      </c>
      <c r="B641" s="35" t="str">
        <f aca="false">IF($C641="","","SK"&amp;TEXT($C641,"yyyymm")&amp;"-"&amp;TEXT(ROW()-4,"0000"))</f>
        <v/>
      </c>
      <c r="C641" s="33"/>
      <c r="D641" s="24"/>
      <c r="E641" s="30" t="str">
        <f aca="false">IF($D641="","",IFERROR(INDEX(合同单位,MATCH($D641,合同键,0)),IFERROR(TRIM(LEFT($D641,FIND("｜",$D641)-1)),$D641)))</f>
        <v/>
      </c>
      <c r="F641" s="30" t="str">
        <f aca="false">IF($D641="","",IFERROR(INDEX(合同项目,MATCH($D641,合同键,0)),IFERROR(TRIM(MID($D641,FIND("｜",$D641)+1,99)),"")))</f>
        <v/>
      </c>
      <c r="G641" s="39"/>
      <c r="H641" s="25"/>
      <c r="I641" s="35" t="str">
        <f aca="false">IF($H641="","",IFERROR(INDEX(票据归类表,MATCH($H641,票据类型表,0)),"现金无票"))</f>
        <v/>
      </c>
      <c r="J641" s="25"/>
      <c r="K641" s="25"/>
      <c r="L641" s="31"/>
      <c r="M641" s="29" t="str">
        <f aca="false">IF($C641="","",YEAR($C641))</f>
        <v/>
      </c>
      <c r="N641" s="24"/>
      <c r="O641" s="35" t="str">
        <f aca="false">IF($C641="","",IF($D641="","★没选客户项目",IF(COUNTIF(合同键,$D641)=0,"★《维保合同》里没这个项目",IF(N($G641)&lt;=0,"★收款金额要填",IF($H641="","★票据类型要选",IF(AND($L641&lt;&gt;"",COUNTIF(应收单号,$L641)=0),"★关联的应收单号不存在",IF(AND($L641&lt;&gt;"",IFERROR(INDEX(应收键,MATCH($L641,应收单号,0)),"")&lt;&gt;$D641),"★关联单号不是这个客户的",IF(AND($L641&lt;&gt;"",ROUND(SUMIF(收款关联,$L641,收款金额)-IFERROR(INDEX(应收金额,MATCH($L641,应收单号,0)),0),2)&gt;0.001),"★指定冲销超过那张单的应收","OK"))))))))</f>
        <v/>
      </c>
    </row>
    <row r="642" customFormat="false" ht="15" hidden="false" customHeight="false" outlineLevel="0" collapsed="false">
      <c r="A642" s="29" t="str">
        <f aca="false">IF($C642="","",ROW()-4)</f>
        <v/>
      </c>
      <c r="B642" s="35" t="str">
        <f aca="false">IF($C642="","","SK"&amp;TEXT($C642,"yyyymm")&amp;"-"&amp;TEXT(ROW()-4,"0000"))</f>
        <v/>
      </c>
      <c r="C642" s="33"/>
      <c r="D642" s="24"/>
      <c r="E642" s="30" t="str">
        <f aca="false">IF($D642="","",IFERROR(INDEX(合同单位,MATCH($D642,合同键,0)),IFERROR(TRIM(LEFT($D642,FIND("｜",$D642)-1)),$D642)))</f>
        <v/>
      </c>
      <c r="F642" s="30" t="str">
        <f aca="false">IF($D642="","",IFERROR(INDEX(合同项目,MATCH($D642,合同键,0)),IFERROR(TRIM(MID($D642,FIND("｜",$D642)+1,99)),"")))</f>
        <v/>
      </c>
      <c r="G642" s="39"/>
      <c r="H642" s="25"/>
      <c r="I642" s="35" t="str">
        <f aca="false">IF($H642="","",IFERROR(INDEX(票据归类表,MATCH($H642,票据类型表,0)),"现金无票"))</f>
        <v/>
      </c>
      <c r="J642" s="25"/>
      <c r="K642" s="25"/>
      <c r="L642" s="31"/>
      <c r="M642" s="29" t="str">
        <f aca="false">IF($C642="","",YEAR($C642))</f>
        <v/>
      </c>
      <c r="N642" s="24"/>
      <c r="O642" s="35" t="str">
        <f aca="false">IF($C642="","",IF($D642="","★没选客户项目",IF(COUNTIF(合同键,$D642)=0,"★《维保合同》里没这个项目",IF(N($G642)&lt;=0,"★收款金额要填",IF($H642="","★票据类型要选",IF(AND($L642&lt;&gt;"",COUNTIF(应收单号,$L642)=0),"★关联的应收单号不存在",IF(AND($L642&lt;&gt;"",IFERROR(INDEX(应收键,MATCH($L642,应收单号,0)),"")&lt;&gt;$D642),"★关联单号不是这个客户的",IF(AND($L642&lt;&gt;"",ROUND(SUMIF(收款关联,$L642,收款金额)-IFERROR(INDEX(应收金额,MATCH($L642,应收单号,0)),0),2)&gt;0.001),"★指定冲销超过那张单的应收","OK"))))))))</f>
        <v/>
      </c>
    </row>
    <row r="643" customFormat="false" ht="15" hidden="false" customHeight="false" outlineLevel="0" collapsed="false">
      <c r="A643" s="29" t="str">
        <f aca="false">IF($C643="","",ROW()-4)</f>
        <v/>
      </c>
      <c r="B643" s="35" t="str">
        <f aca="false">IF($C643="","","SK"&amp;TEXT($C643,"yyyymm")&amp;"-"&amp;TEXT(ROW()-4,"0000"))</f>
        <v/>
      </c>
      <c r="C643" s="33"/>
      <c r="D643" s="24"/>
      <c r="E643" s="30" t="str">
        <f aca="false">IF($D643="","",IFERROR(INDEX(合同单位,MATCH($D643,合同键,0)),IFERROR(TRIM(LEFT($D643,FIND("｜",$D643)-1)),$D643)))</f>
        <v/>
      </c>
      <c r="F643" s="30" t="str">
        <f aca="false">IF($D643="","",IFERROR(INDEX(合同项目,MATCH($D643,合同键,0)),IFERROR(TRIM(MID($D643,FIND("｜",$D643)+1,99)),"")))</f>
        <v/>
      </c>
      <c r="G643" s="39"/>
      <c r="H643" s="25"/>
      <c r="I643" s="35" t="str">
        <f aca="false">IF($H643="","",IFERROR(INDEX(票据归类表,MATCH($H643,票据类型表,0)),"现金无票"))</f>
        <v/>
      </c>
      <c r="J643" s="25"/>
      <c r="K643" s="25"/>
      <c r="L643" s="31"/>
      <c r="M643" s="29" t="str">
        <f aca="false">IF($C643="","",YEAR($C643))</f>
        <v/>
      </c>
      <c r="N643" s="24"/>
      <c r="O643" s="35" t="str">
        <f aca="false">IF($C643="","",IF($D643="","★没选客户项目",IF(COUNTIF(合同键,$D643)=0,"★《维保合同》里没这个项目",IF(N($G643)&lt;=0,"★收款金额要填",IF($H643="","★票据类型要选",IF(AND($L643&lt;&gt;"",COUNTIF(应收单号,$L643)=0),"★关联的应收单号不存在",IF(AND($L643&lt;&gt;"",IFERROR(INDEX(应收键,MATCH($L643,应收单号,0)),"")&lt;&gt;$D643),"★关联单号不是这个客户的",IF(AND($L643&lt;&gt;"",ROUND(SUMIF(收款关联,$L643,收款金额)-IFERROR(INDEX(应收金额,MATCH($L643,应收单号,0)),0),2)&gt;0.001),"★指定冲销超过那张单的应收","OK"))))))))</f>
        <v/>
      </c>
    </row>
    <row r="644" customFormat="false" ht="15" hidden="false" customHeight="false" outlineLevel="0" collapsed="false">
      <c r="A644" s="29" t="str">
        <f aca="false">IF($C644="","",ROW()-4)</f>
        <v/>
      </c>
      <c r="B644" s="35" t="str">
        <f aca="false">IF($C644="","","SK"&amp;TEXT($C644,"yyyymm")&amp;"-"&amp;TEXT(ROW()-4,"0000"))</f>
        <v/>
      </c>
      <c r="C644" s="33"/>
      <c r="D644" s="24"/>
      <c r="E644" s="30" t="str">
        <f aca="false">IF($D644="","",IFERROR(INDEX(合同单位,MATCH($D644,合同键,0)),IFERROR(TRIM(LEFT($D644,FIND("｜",$D644)-1)),$D644)))</f>
        <v/>
      </c>
      <c r="F644" s="30" t="str">
        <f aca="false">IF($D644="","",IFERROR(INDEX(合同项目,MATCH($D644,合同键,0)),IFERROR(TRIM(MID($D644,FIND("｜",$D644)+1,99)),"")))</f>
        <v/>
      </c>
      <c r="G644" s="39"/>
      <c r="H644" s="25"/>
      <c r="I644" s="35" t="str">
        <f aca="false">IF($H644="","",IFERROR(INDEX(票据归类表,MATCH($H644,票据类型表,0)),"现金无票"))</f>
        <v/>
      </c>
      <c r="J644" s="25"/>
      <c r="K644" s="25"/>
      <c r="L644" s="31"/>
      <c r="M644" s="29" t="str">
        <f aca="false">IF($C644="","",YEAR($C644))</f>
        <v/>
      </c>
      <c r="N644" s="24"/>
      <c r="O644" s="35" t="str">
        <f aca="false">IF($C644="","",IF($D644="","★没选客户项目",IF(COUNTIF(合同键,$D644)=0,"★《维保合同》里没这个项目",IF(N($G644)&lt;=0,"★收款金额要填",IF($H644="","★票据类型要选",IF(AND($L644&lt;&gt;"",COUNTIF(应收单号,$L644)=0),"★关联的应收单号不存在",IF(AND($L644&lt;&gt;"",IFERROR(INDEX(应收键,MATCH($L644,应收单号,0)),"")&lt;&gt;$D644),"★关联单号不是这个客户的",IF(AND($L644&lt;&gt;"",ROUND(SUMIF(收款关联,$L644,收款金额)-IFERROR(INDEX(应收金额,MATCH($L644,应收单号,0)),0),2)&gt;0.001),"★指定冲销超过那张单的应收","OK"))))))))</f>
        <v/>
      </c>
    </row>
    <row r="645" customFormat="false" ht="15" hidden="false" customHeight="false" outlineLevel="0" collapsed="false">
      <c r="A645" s="29" t="str">
        <f aca="false">IF($C645="","",ROW()-4)</f>
        <v/>
      </c>
      <c r="B645" s="35" t="str">
        <f aca="false">IF($C645="","","SK"&amp;TEXT($C645,"yyyymm")&amp;"-"&amp;TEXT(ROW()-4,"0000"))</f>
        <v/>
      </c>
      <c r="C645" s="33"/>
      <c r="D645" s="24"/>
      <c r="E645" s="30" t="str">
        <f aca="false">IF($D645="","",IFERROR(INDEX(合同单位,MATCH($D645,合同键,0)),IFERROR(TRIM(LEFT($D645,FIND("｜",$D645)-1)),$D645)))</f>
        <v/>
      </c>
      <c r="F645" s="30" t="str">
        <f aca="false">IF($D645="","",IFERROR(INDEX(合同项目,MATCH($D645,合同键,0)),IFERROR(TRIM(MID($D645,FIND("｜",$D645)+1,99)),"")))</f>
        <v/>
      </c>
      <c r="G645" s="39"/>
      <c r="H645" s="25"/>
      <c r="I645" s="35" t="str">
        <f aca="false">IF($H645="","",IFERROR(INDEX(票据归类表,MATCH($H645,票据类型表,0)),"现金无票"))</f>
        <v/>
      </c>
      <c r="J645" s="25"/>
      <c r="K645" s="25"/>
      <c r="L645" s="31"/>
      <c r="M645" s="29" t="str">
        <f aca="false">IF($C645="","",YEAR($C645))</f>
        <v/>
      </c>
      <c r="N645" s="24"/>
      <c r="O645" s="35" t="str">
        <f aca="false">IF($C645="","",IF($D645="","★没选客户项目",IF(COUNTIF(合同键,$D645)=0,"★《维保合同》里没这个项目",IF(N($G645)&lt;=0,"★收款金额要填",IF($H645="","★票据类型要选",IF(AND($L645&lt;&gt;"",COUNTIF(应收单号,$L645)=0),"★关联的应收单号不存在",IF(AND($L645&lt;&gt;"",IFERROR(INDEX(应收键,MATCH($L645,应收单号,0)),"")&lt;&gt;$D645),"★关联单号不是这个客户的",IF(AND($L645&lt;&gt;"",ROUND(SUMIF(收款关联,$L645,收款金额)-IFERROR(INDEX(应收金额,MATCH($L645,应收单号,0)),0),2)&gt;0.001),"★指定冲销超过那张单的应收","OK"))))))))</f>
        <v/>
      </c>
    </row>
    <row r="646" customFormat="false" ht="15" hidden="false" customHeight="false" outlineLevel="0" collapsed="false">
      <c r="A646" s="29" t="str">
        <f aca="false">IF($C646="","",ROW()-4)</f>
        <v/>
      </c>
      <c r="B646" s="35" t="str">
        <f aca="false">IF($C646="","","SK"&amp;TEXT($C646,"yyyymm")&amp;"-"&amp;TEXT(ROW()-4,"0000"))</f>
        <v/>
      </c>
      <c r="C646" s="33"/>
      <c r="D646" s="24"/>
      <c r="E646" s="30" t="str">
        <f aca="false">IF($D646="","",IFERROR(INDEX(合同单位,MATCH($D646,合同键,0)),IFERROR(TRIM(LEFT($D646,FIND("｜",$D646)-1)),$D646)))</f>
        <v/>
      </c>
      <c r="F646" s="30" t="str">
        <f aca="false">IF($D646="","",IFERROR(INDEX(合同项目,MATCH($D646,合同键,0)),IFERROR(TRIM(MID($D646,FIND("｜",$D646)+1,99)),"")))</f>
        <v/>
      </c>
      <c r="G646" s="39"/>
      <c r="H646" s="25"/>
      <c r="I646" s="35" t="str">
        <f aca="false">IF($H646="","",IFERROR(INDEX(票据归类表,MATCH($H646,票据类型表,0)),"现金无票"))</f>
        <v/>
      </c>
      <c r="J646" s="25"/>
      <c r="K646" s="25"/>
      <c r="L646" s="31"/>
      <c r="M646" s="29" t="str">
        <f aca="false">IF($C646="","",YEAR($C646))</f>
        <v/>
      </c>
      <c r="N646" s="24"/>
      <c r="O646" s="35" t="str">
        <f aca="false">IF($C646="","",IF($D646="","★没选客户项目",IF(COUNTIF(合同键,$D646)=0,"★《维保合同》里没这个项目",IF(N($G646)&lt;=0,"★收款金额要填",IF($H646="","★票据类型要选",IF(AND($L646&lt;&gt;"",COUNTIF(应收单号,$L646)=0),"★关联的应收单号不存在",IF(AND($L646&lt;&gt;"",IFERROR(INDEX(应收键,MATCH($L646,应收单号,0)),"")&lt;&gt;$D646),"★关联单号不是这个客户的",IF(AND($L646&lt;&gt;"",ROUND(SUMIF(收款关联,$L646,收款金额)-IFERROR(INDEX(应收金额,MATCH($L646,应收单号,0)),0),2)&gt;0.001),"★指定冲销超过那张单的应收","OK"))))))))</f>
        <v/>
      </c>
    </row>
    <row r="647" customFormat="false" ht="15" hidden="false" customHeight="false" outlineLevel="0" collapsed="false">
      <c r="A647" s="29" t="str">
        <f aca="false">IF($C647="","",ROW()-4)</f>
        <v/>
      </c>
      <c r="B647" s="35" t="str">
        <f aca="false">IF($C647="","","SK"&amp;TEXT($C647,"yyyymm")&amp;"-"&amp;TEXT(ROW()-4,"0000"))</f>
        <v/>
      </c>
      <c r="C647" s="33"/>
      <c r="D647" s="24"/>
      <c r="E647" s="30" t="str">
        <f aca="false">IF($D647="","",IFERROR(INDEX(合同单位,MATCH($D647,合同键,0)),IFERROR(TRIM(LEFT($D647,FIND("｜",$D647)-1)),$D647)))</f>
        <v/>
      </c>
      <c r="F647" s="30" t="str">
        <f aca="false">IF($D647="","",IFERROR(INDEX(合同项目,MATCH($D647,合同键,0)),IFERROR(TRIM(MID($D647,FIND("｜",$D647)+1,99)),"")))</f>
        <v/>
      </c>
      <c r="G647" s="39"/>
      <c r="H647" s="25"/>
      <c r="I647" s="35" t="str">
        <f aca="false">IF($H647="","",IFERROR(INDEX(票据归类表,MATCH($H647,票据类型表,0)),"现金无票"))</f>
        <v/>
      </c>
      <c r="J647" s="25"/>
      <c r="K647" s="25"/>
      <c r="L647" s="31"/>
      <c r="M647" s="29" t="str">
        <f aca="false">IF($C647="","",YEAR($C647))</f>
        <v/>
      </c>
      <c r="N647" s="24"/>
      <c r="O647" s="35" t="str">
        <f aca="false">IF($C647="","",IF($D647="","★没选客户项目",IF(COUNTIF(合同键,$D647)=0,"★《维保合同》里没这个项目",IF(N($G647)&lt;=0,"★收款金额要填",IF($H647="","★票据类型要选",IF(AND($L647&lt;&gt;"",COUNTIF(应收单号,$L647)=0),"★关联的应收单号不存在",IF(AND($L647&lt;&gt;"",IFERROR(INDEX(应收键,MATCH($L647,应收单号,0)),"")&lt;&gt;$D647),"★关联单号不是这个客户的",IF(AND($L647&lt;&gt;"",ROUND(SUMIF(收款关联,$L647,收款金额)-IFERROR(INDEX(应收金额,MATCH($L647,应收单号,0)),0),2)&gt;0.001),"★指定冲销超过那张单的应收","OK"))))))))</f>
        <v/>
      </c>
    </row>
    <row r="648" customFormat="false" ht="15" hidden="false" customHeight="false" outlineLevel="0" collapsed="false">
      <c r="A648" s="29" t="str">
        <f aca="false">IF($C648="","",ROW()-4)</f>
        <v/>
      </c>
      <c r="B648" s="35" t="str">
        <f aca="false">IF($C648="","","SK"&amp;TEXT($C648,"yyyymm")&amp;"-"&amp;TEXT(ROW()-4,"0000"))</f>
        <v/>
      </c>
      <c r="C648" s="33"/>
      <c r="D648" s="24"/>
      <c r="E648" s="30" t="str">
        <f aca="false">IF($D648="","",IFERROR(INDEX(合同单位,MATCH($D648,合同键,0)),IFERROR(TRIM(LEFT($D648,FIND("｜",$D648)-1)),$D648)))</f>
        <v/>
      </c>
      <c r="F648" s="30" t="str">
        <f aca="false">IF($D648="","",IFERROR(INDEX(合同项目,MATCH($D648,合同键,0)),IFERROR(TRIM(MID($D648,FIND("｜",$D648)+1,99)),"")))</f>
        <v/>
      </c>
      <c r="G648" s="39"/>
      <c r="H648" s="25"/>
      <c r="I648" s="35" t="str">
        <f aca="false">IF($H648="","",IFERROR(INDEX(票据归类表,MATCH($H648,票据类型表,0)),"现金无票"))</f>
        <v/>
      </c>
      <c r="J648" s="25"/>
      <c r="K648" s="25"/>
      <c r="L648" s="31"/>
      <c r="M648" s="29" t="str">
        <f aca="false">IF($C648="","",YEAR($C648))</f>
        <v/>
      </c>
      <c r="N648" s="24"/>
      <c r="O648" s="35" t="str">
        <f aca="false">IF($C648="","",IF($D648="","★没选客户项目",IF(COUNTIF(合同键,$D648)=0,"★《维保合同》里没这个项目",IF(N($G648)&lt;=0,"★收款金额要填",IF($H648="","★票据类型要选",IF(AND($L648&lt;&gt;"",COUNTIF(应收单号,$L648)=0),"★关联的应收单号不存在",IF(AND($L648&lt;&gt;"",IFERROR(INDEX(应收键,MATCH($L648,应收单号,0)),"")&lt;&gt;$D648),"★关联单号不是这个客户的",IF(AND($L648&lt;&gt;"",ROUND(SUMIF(收款关联,$L648,收款金额)-IFERROR(INDEX(应收金额,MATCH($L648,应收单号,0)),0),2)&gt;0.001),"★指定冲销超过那张单的应收","OK"))))))))</f>
        <v/>
      </c>
    </row>
    <row r="649" customFormat="false" ht="15" hidden="false" customHeight="false" outlineLevel="0" collapsed="false">
      <c r="A649" s="29" t="str">
        <f aca="false">IF($C649="","",ROW()-4)</f>
        <v/>
      </c>
      <c r="B649" s="35" t="str">
        <f aca="false">IF($C649="","","SK"&amp;TEXT($C649,"yyyymm")&amp;"-"&amp;TEXT(ROW()-4,"0000"))</f>
        <v/>
      </c>
      <c r="C649" s="33"/>
      <c r="D649" s="24"/>
      <c r="E649" s="30" t="str">
        <f aca="false">IF($D649="","",IFERROR(INDEX(合同单位,MATCH($D649,合同键,0)),IFERROR(TRIM(LEFT($D649,FIND("｜",$D649)-1)),$D649)))</f>
        <v/>
      </c>
      <c r="F649" s="30" t="str">
        <f aca="false">IF($D649="","",IFERROR(INDEX(合同项目,MATCH($D649,合同键,0)),IFERROR(TRIM(MID($D649,FIND("｜",$D649)+1,99)),"")))</f>
        <v/>
      </c>
      <c r="G649" s="39"/>
      <c r="H649" s="25"/>
      <c r="I649" s="35" t="str">
        <f aca="false">IF($H649="","",IFERROR(INDEX(票据归类表,MATCH($H649,票据类型表,0)),"现金无票"))</f>
        <v/>
      </c>
      <c r="J649" s="25"/>
      <c r="K649" s="25"/>
      <c r="L649" s="31"/>
      <c r="M649" s="29" t="str">
        <f aca="false">IF($C649="","",YEAR($C649))</f>
        <v/>
      </c>
      <c r="N649" s="24"/>
      <c r="O649" s="35" t="str">
        <f aca="false">IF($C649="","",IF($D649="","★没选客户项目",IF(COUNTIF(合同键,$D649)=0,"★《维保合同》里没这个项目",IF(N($G649)&lt;=0,"★收款金额要填",IF($H649="","★票据类型要选",IF(AND($L649&lt;&gt;"",COUNTIF(应收单号,$L649)=0),"★关联的应收单号不存在",IF(AND($L649&lt;&gt;"",IFERROR(INDEX(应收键,MATCH($L649,应收单号,0)),"")&lt;&gt;$D649),"★关联单号不是这个客户的",IF(AND($L649&lt;&gt;"",ROUND(SUMIF(收款关联,$L649,收款金额)-IFERROR(INDEX(应收金额,MATCH($L649,应收单号,0)),0),2)&gt;0.001),"★指定冲销超过那张单的应收","OK"))))))))</f>
        <v/>
      </c>
    </row>
    <row r="650" customFormat="false" ht="15" hidden="false" customHeight="false" outlineLevel="0" collapsed="false">
      <c r="A650" s="29" t="str">
        <f aca="false">IF($C650="","",ROW()-4)</f>
        <v/>
      </c>
      <c r="B650" s="35" t="str">
        <f aca="false">IF($C650="","","SK"&amp;TEXT($C650,"yyyymm")&amp;"-"&amp;TEXT(ROW()-4,"0000"))</f>
        <v/>
      </c>
      <c r="C650" s="33"/>
      <c r="D650" s="24"/>
      <c r="E650" s="30" t="str">
        <f aca="false">IF($D650="","",IFERROR(INDEX(合同单位,MATCH($D650,合同键,0)),IFERROR(TRIM(LEFT($D650,FIND("｜",$D650)-1)),$D650)))</f>
        <v/>
      </c>
      <c r="F650" s="30" t="str">
        <f aca="false">IF($D650="","",IFERROR(INDEX(合同项目,MATCH($D650,合同键,0)),IFERROR(TRIM(MID($D650,FIND("｜",$D650)+1,99)),"")))</f>
        <v/>
      </c>
      <c r="G650" s="39"/>
      <c r="H650" s="25"/>
      <c r="I650" s="35" t="str">
        <f aca="false">IF($H650="","",IFERROR(INDEX(票据归类表,MATCH($H650,票据类型表,0)),"现金无票"))</f>
        <v/>
      </c>
      <c r="J650" s="25"/>
      <c r="K650" s="25"/>
      <c r="L650" s="31"/>
      <c r="M650" s="29" t="str">
        <f aca="false">IF($C650="","",YEAR($C650))</f>
        <v/>
      </c>
      <c r="N650" s="24"/>
      <c r="O650" s="35" t="str">
        <f aca="false">IF($C650="","",IF($D650="","★没选客户项目",IF(COUNTIF(合同键,$D650)=0,"★《维保合同》里没这个项目",IF(N($G650)&lt;=0,"★收款金额要填",IF($H650="","★票据类型要选",IF(AND($L650&lt;&gt;"",COUNTIF(应收单号,$L650)=0),"★关联的应收单号不存在",IF(AND($L650&lt;&gt;"",IFERROR(INDEX(应收键,MATCH($L650,应收单号,0)),"")&lt;&gt;$D650),"★关联单号不是这个客户的",IF(AND($L650&lt;&gt;"",ROUND(SUMIF(收款关联,$L650,收款金额)-IFERROR(INDEX(应收金额,MATCH($L650,应收单号,0)),0),2)&gt;0.001),"★指定冲销超过那张单的应收","OK"))))))))</f>
        <v/>
      </c>
    </row>
    <row r="651" customFormat="false" ht="15" hidden="false" customHeight="false" outlineLevel="0" collapsed="false">
      <c r="A651" s="29" t="str">
        <f aca="false">IF($C651="","",ROW()-4)</f>
        <v/>
      </c>
      <c r="B651" s="35" t="str">
        <f aca="false">IF($C651="","","SK"&amp;TEXT($C651,"yyyymm")&amp;"-"&amp;TEXT(ROW()-4,"0000"))</f>
        <v/>
      </c>
      <c r="C651" s="33"/>
      <c r="D651" s="24"/>
      <c r="E651" s="30" t="str">
        <f aca="false">IF($D651="","",IFERROR(INDEX(合同单位,MATCH($D651,合同键,0)),IFERROR(TRIM(LEFT($D651,FIND("｜",$D651)-1)),$D651)))</f>
        <v/>
      </c>
      <c r="F651" s="30" t="str">
        <f aca="false">IF($D651="","",IFERROR(INDEX(合同项目,MATCH($D651,合同键,0)),IFERROR(TRIM(MID($D651,FIND("｜",$D651)+1,99)),"")))</f>
        <v/>
      </c>
      <c r="G651" s="39"/>
      <c r="H651" s="25"/>
      <c r="I651" s="35" t="str">
        <f aca="false">IF($H651="","",IFERROR(INDEX(票据归类表,MATCH($H651,票据类型表,0)),"现金无票"))</f>
        <v/>
      </c>
      <c r="J651" s="25"/>
      <c r="K651" s="25"/>
      <c r="L651" s="31"/>
      <c r="M651" s="29" t="str">
        <f aca="false">IF($C651="","",YEAR($C651))</f>
        <v/>
      </c>
      <c r="N651" s="24"/>
      <c r="O651" s="35" t="str">
        <f aca="false">IF($C651="","",IF($D651="","★没选客户项目",IF(COUNTIF(合同键,$D651)=0,"★《维保合同》里没这个项目",IF(N($G651)&lt;=0,"★收款金额要填",IF($H651="","★票据类型要选",IF(AND($L651&lt;&gt;"",COUNTIF(应收单号,$L651)=0),"★关联的应收单号不存在",IF(AND($L651&lt;&gt;"",IFERROR(INDEX(应收键,MATCH($L651,应收单号,0)),"")&lt;&gt;$D651),"★关联单号不是这个客户的",IF(AND($L651&lt;&gt;"",ROUND(SUMIF(收款关联,$L651,收款金额)-IFERROR(INDEX(应收金额,MATCH($L651,应收单号,0)),0),2)&gt;0.001),"★指定冲销超过那张单的应收","OK"))))))))</f>
        <v/>
      </c>
    </row>
    <row r="652" customFormat="false" ht="15" hidden="false" customHeight="false" outlineLevel="0" collapsed="false">
      <c r="A652" s="29" t="str">
        <f aca="false">IF($C652="","",ROW()-4)</f>
        <v/>
      </c>
      <c r="B652" s="35" t="str">
        <f aca="false">IF($C652="","","SK"&amp;TEXT($C652,"yyyymm")&amp;"-"&amp;TEXT(ROW()-4,"0000"))</f>
        <v/>
      </c>
      <c r="C652" s="33"/>
      <c r="D652" s="24"/>
      <c r="E652" s="30" t="str">
        <f aca="false">IF($D652="","",IFERROR(INDEX(合同单位,MATCH($D652,合同键,0)),IFERROR(TRIM(LEFT($D652,FIND("｜",$D652)-1)),$D652)))</f>
        <v/>
      </c>
      <c r="F652" s="30" t="str">
        <f aca="false">IF($D652="","",IFERROR(INDEX(合同项目,MATCH($D652,合同键,0)),IFERROR(TRIM(MID($D652,FIND("｜",$D652)+1,99)),"")))</f>
        <v/>
      </c>
      <c r="G652" s="39"/>
      <c r="H652" s="25"/>
      <c r="I652" s="35" t="str">
        <f aca="false">IF($H652="","",IFERROR(INDEX(票据归类表,MATCH($H652,票据类型表,0)),"现金无票"))</f>
        <v/>
      </c>
      <c r="J652" s="25"/>
      <c r="K652" s="25"/>
      <c r="L652" s="31"/>
      <c r="M652" s="29" t="str">
        <f aca="false">IF($C652="","",YEAR($C652))</f>
        <v/>
      </c>
      <c r="N652" s="24"/>
      <c r="O652" s="35" t="str">
        <f aca="false">IF($C652="","",IF($D652="","★没选客户项目",IF(COUNTIF(合同键,$D652)=0,"★《维保合同》里没这个项目",IF(N($G652)&lt;=0,"★收款金额要填",IF($H652="","★票据类型要选",IF(AND($L652&lt;&gt;"",COUNTIF(应收单号,$L652)=0),"★关联的应收单号不存在",IF(AND($L652&lt;&gt;"",IFERROR(INDEX(应收键,MATCH($L652,应收单号,0)),"")&lt;&gt;$D652),"★关联单号不是这个客户的",IF(AND($L652&lt;&gt;"",ROUND(SUMIF(收款关联,$L652,收款金额)-IFERROR(INDEX(应收金额,MATCH($L652,应收单号,0)),0),2)&gt;0.001),"★指定冲销超过那张单的应收","OK"))))))))</f>
        <v/>
      </c>
    </row>
    <row r="653" customFormat="false" ht="15" hidden="false" customHeight="false" outlineLevel="0" collapsed="false">
      <c r="A653" s="29" t="str">
        <f aca="false">IF($C653="","",ROW()-4)</f>
        <v/>
      </c>
      <c r="B653" s="35" t="str">
        <f aca="false">IF($C653="","","SK"&amp;TEXT($C653,"yyyymm")&amp;"-"&amp;TEXT(ROW()-4,"0000"))</f>
        <v/>
      </c>
      <c r="C653" s="33"/>
      <c r="D653" s="24"/>
      <c r="E653" s="30" t="str">
        <f aca="false">IF($D653="","",IFERROR(INDEX(合同单位,MATCH($D653,合同键,0)),IFERROR(TRIM(LEFT($D653,FIND("｜",$D653)-1)),$D653)))</f>
        <v/>
      </c>
      <c r="F653" s="30" t="str">
        <f aca="false">IF($D653="","",IFERROR(INDEX(合同项目,MATCH($D653,合同键,0)),IFERROR(TRIM(MID($D653,FIND("｜",$D653)+1,99)),"")))</f>
        <v/>
      </c>
      <c r="G653" s="39"/>
      <c r="H653" s="25"/>
      <c r="I653" s="35" t="str">
        <f aca="false">IF($H653="","",IFERROR(INDEX(票据归类表,MATCH($H653,票据类型表,0)),"现金无票"))</f>
        <v/>
      </c>
      <c r="J653" s="25"/>
      <c r="K653" s="25"/>
      <c r="L653" s="31"/>
      <c r="M653" s="29" t="str">
        <f aca="false">IF($C653="","",YEAR($C653))</f>
        <v/>
      </c>
      <c r="N653" s="24"/>
      <c r="O653" s="35" t="str">
        <f aca="false">IF($C653="","",IF($D653="","★没选客户项目",IF(COUNTIF(合同键,$D653)=0,"★《维保合同》里没这个项目",IF(N($G653)&lt;=0,"★收款金额要填",IF($H653="","★票据类型要选",IF(AND($L653&lt;&gt;"",COUNTIF(应收单号,$L653)=0),"★关联的应收单号不存在",IF(AND($L653&lt;&gt;"",IFERROR(INDEX(应收键,MATCH($L653,应收单号,0)),"")&lt;&gt;$D653),"★关联单号不是这个客户的",IF(AND($L653&lt;&gt;"",ROUND(SUMIF(收款关联,$L653,收款金额)-IFERROR(INDEX(应收金额,MATCH($L653,应收单号,0)),0),2)&gt;0.001),"★指定冲销超过那张单的应收","OK"))))))))</f>
        <v/>
      </c>
    </row>
    <row r="654" customFormat="false" ht="15" hidden="false" customHeight="false" outlineLevel="0" collapsed="false">
      <c r="A654" s="29" t="str">
        <f aca="false">IF($C654="","",ROW()-4)</f>
        <v/>
      </c>
      <c r="B654" s="35" t="str">
        <f aca="false">IF($C654="","","SK"&amp;TEXT($C654,"yyyymm")&amp;"-"&amp;TEXT(ROW()-4,"0000"))</f>
        <v/>
      </c>
      <c r="C654" s="33"/>
      <c r="D654" s="24"/>
      <c r="E654" s="30" t="str">
        <f aca="false">IF($D654="","",IFERROR(INDEX(合同单位,MATCH($D654,合同键,0)),IFERROR(TRIM(LEFT($D654,FIND("｜",$D654)-1)),$D654)))</f>
        <v/>
      </c>
      <c r="F654" s="30" t="str">
        <f aca="false">IF($D654="","",IFERROR(INDEX(合同项目,MATCH($D654,合同键,0)),IFERROR(TRIM(MID($D654,FIND("｜",$D654)+1,99)),"")))</f>
        <v/>
      </c>
      <c r="G654" s="39"/>
      <c r="H654" s="25"/>
      <c r="I654" s="35" t="str">
        <f aca="false">IF($H654="","",IFERROR(INDEX(票据归类表,MATCH($H654,票据类型表,0)),"现金无票"))</f>
        <v/>
      </c>
      <c r="J654" s="25"/>
      <c r="K654" s="25"/>
      <c r="L654" s="31"/>
      <c r="M654" s="29" t="str">
        <f aca="false">IF($C654="","",YEAR($C654))</f>
        <v/>
      </c>
      <c r="N654" s="24"/>
      <c r="O654" s="35" t="str">
        <f aca="false">IF($C654="","",IF($D654="","★没选客户项目",IF(COUNTIF(合同键,$D654)=0,"★《维保合同》里没这个项目",IF(N($G654)&lt;=0,"★收款金额要填",IF($H654="","★票据类型要选",IF(AND($L654&lt;&gt;"",COUNTIF(应收单号,$L654)=0),"★关联的应收单号不存在",IF(AND($L654&lt;&gt;"",IFERROR(INDEX(应收键,MATCH($L654,应收单号,0)),"")&lt;&gt;$D654),"★关联单号不是这个客户的",IF(AND($L654&lt;&gt;"",ROUND(SUMIF(收款关联,$L654,收款金额)-IFERROR(INDEX(应收金额,MATCH($L654,应收单号,0)),0),2)&gt;0.001),"★指定冲销超过那张单的应收","OK"))))))))</f>
        <v/>
      </c>
    </row>
    <row r="655" customFormat="false" ht="15" hidden="false" customHeight="false" outlineLevel="0" collapsed="false">
      <c r="A655" s="29" t="str">
        <f aca="false">IF($C655="","",ROW()-4)</f>
        <v/>
      </c>
      <c r="B655" s="35" t="str">
        <f aca="false">IF($C655="","","SK"&amp;TEXT($C655,"yyyymm")&amp;"-"&amp;TEXT(ROW()-4,"0000"))</f>
        <v/>
      </c>
      <c r="C655" s="33"/>
      <c r="D655" s="24"/>
      <c r="E655" s="30" t="str">
        <f aca="false">IF($D655="","",IFERROR(INDEX(合同单位,MATCH($D655,合同键,0)),IFERROR(TRIM(LEFT($D655,FIND("｜",$D655)-1)),$D655)))</f>
        <v/>
      </c>
      <c r="F655" s="30" t="str">
        <f aca="false">IF($D655="","",IFERROR(INDEX(合同项目,MATCH($D655,合同键,0)),IFERROR(TRIM(MID($D655,FIND("｜",$D655)+1,99)),"")))</f>
        <v/>
      </c>
      <c r="G655" s="39"/>
      <c r="H655" s="25"/>
      <c r="I655" s="35" t="str">
        <f aca="false">IF($H655="","",IFERROR(INDEX(票据归类表,MATCH($H655,票据类型表,0)),"现金无票"))</f>
        <v/>
      </c>
      <c r="J655" s="25"/>
      <c r="K655" s="25"/>
      <c r="L655" s="31"/>
      <c r="M655" s="29" t="str">
        <f aca="false">IF($C655="","",YEAR($C655))</f>
        <v/>
      </c>
      <c r="N655" s="24"/>
      <c r="O655" s="35" t="str">
        <f aca="false">IF($C655="","",IF($D655="","★没选客户项目",IF(COUNTIF(合同键,$D655)=0,"★《维保合同》里没这个项目",IF(N($G655)&lt;=0,"★收款金额要填",IF($H655="","★票据类型要选",IF(AND($L655&lt;&gt;"",COUNTIF(应收单号,$L655)=0),"★关联的应收单号不存在",IF(AND($L655&lt;&gt;"",IFERROR(INDEX(应收键,MATCH($L655,应收单号,0)),"")&lt;&gt;$D655),"★关联单号不是这个客户的",IF(AND($L655&lt;&gt;"",ROUND(SUMIF(收款关联,$L655,收款金额)-IFERROR(INDEX(应收金额,MATCH($L655,应收单号,0)),0),2)&gt;0.001),"★指定冲销超过那张单的应收","OK"))))))))</f>
        <v/>
      </c>
    </row>
    <row r="656" customFormat="false" ht="15" hidden="false" customHeight="false" outlineLevel="0" collapsed="false">
      <c r="A656" s="29" t="str">
        <f aca="false">IF($C656="","",ROW()-4)</f>
        <v/>
      </c>
      <c r="B656" s="35" t="str">
        <f aca="false">IF($C656="","","SK"&amp;TEXT($C656,"yyyymm")&amp;"-"&amp;TEXT(ROW()-4,"0000"))</f>
        <v/>
      </c>
      <c r="C656" s="33"/>
      <c r="D656" s="24"/>
      <c r="E656" s="30" t="str">
        <f aca="false">IF($D656="","",IFERROR(INDEX(合同单位,MATCH($D656,合同键,0)),IFERROR(TRIM(LEFT($D656,FIND("｜",$D656)-1)),$D656)))</f>
        <v/>
      </c>
      <c r="F656" s="30" t="str">
        <f aca="false">IF($D656="","",IFERROR(INDEX(合同项目,MATCH($D656,合同键,0)),IFERROR(TRIM(MID($D656,FIND("｜",$D656)+1,99)),"")))</f>
        <v/>
      </c>
      <c r="G656" s="39"/>
      <c r="H656" s="25"/>
      <c r="I656" s="35" t="str">
        <f aca="false">IF($H656="","",IFERROR(INDEX(票据归类表,MATCH($H656,票据类型表,0)),"现金无票"))</f>
        <v/>
      </c>
      <c r="J656" s="25"/>
      <c r="K656" s="25"/>
      <c r="L656" s="31"/>
      <c r="M656" s="29" t="str">
        <f aca="false">IF($C656="","",YEAR($C656))</f>
        <v/>
      </c>
      <c r="N656" s="24"/>
      <c r="O656" s="35" t="str">
        <f aca="false">IF($C656="","",IF($D656="","★没选客户项目",IF(COUNTIF(合同键,$D656)=0,"★《维保合同》里没这个项目",IF(N($G656)&lt;=0,"★收款金额要填",IF($H656="","★票据类型要选",IF(AND($L656&lt;&gt;"",COUNTIF(应收单号,$L656)=0),"★关联的应收单号不存在",IF(AND($L656&lt;&gt;"",IFERROR(INDEX(应收键,MATCH($L656,应收单号,0)),"")&lt;&gt;$D656),"★关联单号不是这个客户的",IF(AND($L656&lt;&gt;"",ROUND(SUMIF(收款关联,$L656,收款金额)-IFERROR(INDEX(应收金额,MATCH($L656,应收单号,0)),0),2)&gt;0.001),"★指定冲销超过那张单的应收","OK"))))))))</f>
        <v/>
      </c>
    </row>
    <row r="657" customFormat="false" ht="15" hidden="false" customHeight="false" outlineLevel="0" collapsed="false">
      <c r="A657" s="29" t="str">
        <f aca="false">IF($C657="","",ROW()-4)</f>
        <v/>
      </c>
      <c r="B657" s="35" t="str">
        <f aca="false">IF($C657="","","SK"&amp;TEXT($C657,"yyyymm")&amp;"-"&amp;TEXT(ROW()-4,"0000"))</f>
        <v/>
      </c>
      <c r="C657" s="33"/>
      <c r="D657" s="24"/>
      <c r="E657" s="30" t="str">
        <f aca="false">IF($D657="","",IFERROR(INDEX(合同单位,MATCH($D657,合同键,0)),IFERROR(TRIM(LEFT($D657,FIND("｜",$D657)-1)),$D657)))</f>
        <v/>
      </c>
      <c r="F657" s="30" t="str">
        <f aca="false">IF($D657="","",IFERROR(INDEX(合同项目,MATCH($D657,合同键,0)),IFERROR(TRIM(MID($D657,FIND("｜",$D657)+1,99)),"")))</f>
        <v/>
      </c>
      <c r="G657" s="39"/>
      <c r="H657" s="25"/>
      <c r="I657" s="35" t="str">
        <f aca="false">IF($H657="","",IFERROR(INDEX(票据归类表,MATCH($H657,票据类型表,0)),"现金无票"))</f>
        <v/>
      </c>
      <c r="J657" s="25"/>
      <c r="K657" s="25"/>
      <c r="L657" s="31"/>
      <c r="M657" s="29" t="str">
        <f aca="false">IF($C657="","",YEAR($C657))</f>
        <v/>
      </c>
      <c r="N657" s="24"/>
      <c r="O657" s="35" t="str">
        <f aca="false">IF($C657="","",IF($D657="","★没选客户项目",IF(COUNTIF(合同键,$D657)=0,"★《维保合同》里没这个项目",IF(N($G657)&lt;=0,"★收款金额要填",IF($H657="","★票据类型要选",IF(AND($L657&lt;&gt;"",COUNTIF(应收单号,$L657)=0),"★关联的应收单号不存在",IF(AND($L657&lt;&gt;"",IFERROR(INDEX(应收键,MATCH($L657,应收单号,0)),"")&lt;&gt;$D657),"★关联单号不是这个客户的",IF(AND($L657&lt;&gt;"",ROUND(SUMIF(收款关联,$L657,收款金额)-IFERROR(INDEX(应收金额,MATCH($L657,应收单号,0)),0),2)&gt;0.001),"★指定冲销超过那张单的应收","OK"))))))))</f>
        <v/>
      </c>
    </row>
    <row r="658" customFormat="false" ht="15" hidden="false" customHeight="false" outlineLevel="0" collapsed="false">
      <c r="A658" s="29" t="str">
        <f aca="false">IF($C658="","",ROW()-4)</f>
        <v/>
      </c>
      <c r="B658" s="35" t="str">
        <f aca="false">IF($C658="","","SK"&amp;TEXT($C658,"yyyymm")&amp;"-"&amp;TEXT(ROW()-4,"0000"))</f>
        <v/>
      </c>
      <c r="C658" s="33"/>
      <c r="D658" s="24"/>
      <c r="E658" s="30" t="str">
        <f aca="false">IF($D658="","",IFERROR(INDEX(合同单位,MATCH($D658,合同键,0)),IFERROR(TRIM(LEFT($D658,FIND("｜",$D658)-1)),$D658)))</f>
        <v/>
      </c>
      <c r="F658" s="30" t="str">
        <f aca="false">IF($D658="","",IFERROR(INDEX(合同项目,MATCH($D658,合同键,0)),IFERROR(TRIM(MID($D658,FIND("｜",$D658)+1,99)),"")))</f>
        <v/>
      </c>
      <c r="G658" s="39"/>
      <c r="H658" s="25"/>
      <c r="I658" s="35" t="str">
        <f aca="false">IF($H658="","",IFERROR(INDEX(票据归类表,MATCH($H658,票据类型表,0)),"现金无票"))</f>
        <v/>
      </c>
      <c r="J658" s="25"/>
      <c r="K658" s="25"/>
      <c r="L658" s="31"/>
      <c r="M658" s="29" t="str">
        <f aca="false">IF($C658="","",YEAR($C658))</f>
        <v/>
      </c>
      <c r="N658" s="24"/>
      <c r="O658" s="35" t="str">
        <f aca="false">IF($C658="","",IF($D658="","★没选客户项目",IF(COUNTIF(合同键,$D658)=0,"★《维保合同》里没这个项目",IF(N($G658)&lt;=0,"★收款金额要填",IF($H658="","★票据类型要选",IF(AND($L658&lt;&gt;"",COUNTIF(应收单号,$L658)=0),"★关联的应收单号不存在",IF(AND($L658&lt;&gt;"",IFERROR(INDEX(应收键,MATCH($L658,应收单号,0)),"")&lt;&gt;$D658),"★关联单号不是这个客户的",IF(AND($L658&lt;&gt;"",ROUND(SUMIF(收款关联,$L658,收款金额)-IFERROR(INDEX(应收金额,MATCH($L658,应收单号,0)),0),2)&gt;0.001),"★指定冲销超过那张单的应收","OK"))))))))</f>
        <v/>
      </c>
    </row>
    <row r="659" customFormat="false" ht="15" hidden="false" customHeight="false" outlineLevel="0" collapsed="false">
      <c r="A659" s="29" t="str">
        <f aca="false">IF($C659="","",ROW()-4)</f>
        <v/>
      </c>
      <c r="B659" s="35" t="str">
        <f aca="false">IF($C659="","","SK"&amp;TEXT($C659,"yyyymm")&amp;"-"&amp;TEXT(ROW()-4,"0000"))</f>
        <v/>
      </c>
      <c r="C659" s="33"/>
      <c r="D659" s="24"/>
      <c r="E659" s="30" t="str">
        <f aca="false">IF($D659="","",IFERROR(INDEX(合同单位,MATCH($D659,合同键,0)),IFERROR(TRIM(LEFT($D659,FIND("｜",$D659)-1)),$D659)))</f>
        <v/>
      </c>
      <c r="F659" s="30" t="str">
        <f aca="false">IF($D659="","",IFERROR(INDEX(合同项目,MATCH($D659,合同键,0)),IFERROR(TRIM(MID($D659,FIND("｜",$D659)+1,99)),"")))</f>
        <v/>
      </c>
      <c r="G659" s="39"/>
      <c r="H659" s="25"/>
      <c r="I659" s="35" t="str">
        <f aca="false">IF($H659="","",IFERROR(INDEX(票据归类表,MATCH($H659,票据类型表,0)),"现金无票"))</f>
        <v/>
      </c>
      <c r="J659" s="25"/>
      <c r="K659" s="25"/>
      <c r="L659" s="31"/>
      <c r="M659" s="29" t="str">
        <f aca="false">IF($C659="","",YEAR($C659))</f>
        <v/>
      </c>
      <c r="N659" s="24"/>
      <c r="O659" s="35" t="str">
        <f aca="false">IF($C659="","",IF($D659="","★没选客户项目",IF(COUNTIF(合同键,$D659)=0,"★《维保合同》里没这个项目",IF(N($G659)&lt;=0,"★收款金额要填",IF($H659="","★票据类型要选",IF(AND($L659&lt;&gt;"",COUNTIF(应收单号,$L659)=0),"★关联的应收单号不存在",IF(AND($L659&lt;&gt;"",IFERROR(INDEX(应收键,MATCH($L659,应收单号,0)),"")&lt;&gt;$D659),"★关联单号不是这个客户的",IF(AND($L659&lt;&gt;"",ROUND(SUMIF(收款关联,$L659,收款金额)-IFERROR(INDEX(应收金额,MATCH($L659,应收单号,0)),0),2)&gt;0.001),"★指定冲销超过那张单的应收","OK"))))))))</f>
        <v/>
      </c>
    </row>
    <row r="660" customFormat="false" ht="15" hidden="false" customHeight="false" outlineLevel="0" collapsed="false">
      <c r="A660" s="29" t="str">
        <f aca="false">IF($C660="","",ROW()-4)</f>
        <v/>
      </c>
      <c r="B660" s="35" t="str">
        <f aca="false">IF($C660="","","SK"&amp;TEXT($C660,"yyyymm")&amp;"-"&amp;TEXT(ROW()-4,"0000"))</f>
        <v/>
      </c>
      <c r="C660" s="33"/>
      <c r="D660" s="24"/>
      <c r="E660" s="30" t="str">
        <f aca="false">IF($D660="","",IFERROR(INDEX(合同单位,MATCH($D660,合同键,0)),IFERROR(TRIM(LEFT($D660,FIND("｜",$D660)-1)),$D660)))</f>
        <v/>
      </c>
      <c r="F660" s="30" t="str">
        <f aca="false">IF($D660="","",IFERROR(INDEX(合同项目,MATCH($D660,合同键,0)),IFERROR(TRIM(MID($D660,FIND("｜",$D660)+1,99)),"")))</f>
        <v/>
      </c>
      <c r="G660" s="39"/>
      <c r="H660" s="25"/>
      <c r="I660" s="35" t="str">
        <f aca="false">IF($H660="","",IFERROR(INDEX(票据归类表,MATCH($H660,票据类型表,0)),"现金无票"))</f>
        <v/>
      </c>
      <c r="J660" s="25"/>
      <c r="K660" s="25"/>
      <c r="L660" s="31"/>
      <c r="M660" s="29" t="str">
        <f aca="false">IF($C660="","",YEAR($C660))</f>
        <v/>
      </c>
      <c r="N660" s="24"/>
      <c r="O660" s="35" t="str">
        <f aca="false">IF($C660="","",IF($D660="","★没选客户项目",IF(COUNTIF(合同键,$D660)=0,"★《维保合同》里没这个项目",IF(N($G660)&lt;=0,"★收款金额要填",IF($H660="","★票据类型要选",IF(AND($L660&lt;&gt;"",COUNTIF(应收单号,$L660)=0),"★关联的应收单号不存在",IF(AND($L660&lt;&gt;"",IFERROR(INDEX(应收键,MATCH($L660,应收单号,0)),"")&lt;&gt;$D660),"★关联单号不是这个客户的",IF(AND($L660&lt;&gt;"",ROUND(SUMIF(收款关联,$L660,收款金额)-IFERROR(INDEX(应收金额,MATCH($L660,应收单号,0)),0),2)&gt;0.001),"★指定冲销超过那张单的应收","OK"))))))))</f>
        <v/>
      </c>
    </row>
    <row r="661" customFormat="false" ht="15" hidden="false" customHeight="false" outlineLevel="0" collapsed="false">
      <c r="A661" s="29" t="str">
        <f aca="false">IF($C661="","",ROW()-4)</f>
        <v/>
      </c>
      <c r="B661" s="35" t="str">
        <f aca="false">IF($C661="","","SK"&amp;TEXT($C661,"yyyymm")&amp;"-"&amp;TEXT(ROW()-4,"0000"))</f>
        <v/>
      </c>
      <c r="C661" s="33"/>
      <c r="D661" s="24"/>
      <c r="E661" s="30" t="str">
        <f aca="false">IF($D661="","",IFERROR(INDEX(合同单位,MATCH($D661,合同键,0)),IFERROR(TRIM(LEFT($D661,FIND("｜",$D661)-1)),$D661)))</f>
        <v/>
      </c>
      <c r="F661" s="30" t="str">
        <f aca="false">IF($D661="","",IFERROR(INDEX(合同项目,MATCH($D661,合同键,0)),IFERROR(TRIM(MID($D661,FIND("｜",$D661)+1,99)),"")))</f>
        <v/>
      </c>
      <c r="G661" s="39"/>
      <c r="H661" s="25"/>
      <c r="I661" s="35" t="str">
        <f aca="false">IF($H661="","",IFERROR(INDEX(票据归类表,MATCH($H661,票据类型表,0)),"现金无票"))</f>
        <v/>
      </c>
      <c r="J661" s="25"/>
      <c r="K661" s="25"/>
      <c r="L661" s="31"/>
      <c r="M661" s="29" t="str">
        <f aca="false">IF($C661="","",YEAR($C661))</f>
        <v/>
      </c>
      <c r="N661" s="24"/>
      <c r="O661" s="35" t="str">
        <f aca="false">IF($C661="","",IF($D661="","★没选客户项目",IF(COUNTIF(合同键,$D661)=0,"★《维保合同》里没这个项目",IF(N($G661)&lt;=0,"★收款金额要填",IF($H661="","★票据类型要选",IF(AND($L661&lt;&gt;"",COUNTIF(应收单号,$L661)=0),"★关联的应收单号不存在",IF(AND($L661&lt;&gt;"",IFERROR(INDEX(应收键,MATCH($L661,应收单号,0)),"")&lt;&gt;$D661),"★关联单号不是这个客户的",IF(AND($L661&lt;&gt;"",ROUND(SUMIF(收款关联,$L661,收款金额)-IFERROR(INDEX(应收金额,MATCH($L661,应收单号,0)),0),2)&gt;0.001),"★指定冲销超过那张单的应收","OK"))))))))</f>
        <v/>
      </c>
    </row>
    <row r="662" customFormat="false" ht="15" hidden="false" customHeight="false" outlineLevel="0" collapsed="false">
      <c r="A662" s="29" t="str">
        <f aca="false">IF($C662="","",ROW()-4)</f>
        <v/>
      </c>
      <c r="B662" s="35" t="str">
        <f aca="false">IF($C662="","","SK"&amp;TEXT($C662,"yyyymm")&amp;"-"&amp;TEXT(ROW()-4,"0000"))</f>
        <v/>
      </c>
      <c r="C662" s="33"/>
      <c r="D662" s="24"/>
      <c r="E662" s="30" t="str">
        <f aca="false">IF($D662="","",IFERROR(INDEX(合同单位,MATCH($D662,合同键,0)),IFERROR(TRIM(LEFT($D662,FIND("｜",$D662)-1)),$D662)))</f>
        <v/>
      </c>
      <c r="F662" s="30" t="str">
        <f aca="false">IF($D662="","",IFERROR(INDEX(合同项目,MATCH($D662,合同键,0)),IFERROR(TRIM(MID($D662,FIND("｜",$D662)+1,99)),"")))</f>
        <v/>
      </c>
      <c r="G662" s="39"/>
      <c r="H662" s="25"/>
      <c r="I662" s="35" t="str">
        <f aca="false">IF($H662="","",IFERROR(INDEX(票据归类表,MATCH($H662,票据类型表,0)),"现金无票"))</f>
        <v/>
      </c>
      <c r="J662" s="25"/>
      <c r="K662" s="25"/>
      <c r="L662" s="31"/>
      <c r="M662" s="29" t="str">
        <f aca="false">IF($C662="","",YEAR($C662))</f>
        <v/>
      </c>
      <c r="N662" s="24"/>
      <c r="O662" s="35" t="str">
        <f aca="false">IF($C662="","",IF($D662="","★没选客户项目",IF(COUNTIF(合同键,$D662)=0,"★《维保合同》里没这个项目",IF(N($G662)&lt;=0,"★收款金额要填",IF($H662="","★票据类型要选",IF(AND($L662&lt;&gt;"",COUNTIF(应收单号,$L662)=0),"★关联的应收单号不存在",IF(AND($L662&lt;&gt;"",IFERROR(INDEX(应收键,MATCH($L662,应收单号,0)),"")&lt;&gt;$D662),"★关联单号不是这个客户的",IF(AND($L662&lt;&gt;"",ROUND(SUMIF(收款关联,$L662,收款金额)-IFERROR(INDEX(应收金额,MATCH($L662,应收单号,0)),0),2)&gt;0.001),"★指定冲销超过那张单的应收","OK"))))))))</f>
        <v/>
      </c>
    </row>
    <row r="663" customFormat="false" ht="15" hidden="false" customHeight="false" outlineLevel="0" collapsed="false">
      <c r="A663" s="29" t="str">
        <f aca="false">IF($C663="","",ROW()-4)</f>
        <v/>
      </c>
      <c r="B663" s="35" t="str">
        <f aca="false">IF($C663="","","SK"&amp;TEXT($C663,"yyyymm")&amp;"-"&amp;TEXT(ROW()-4,"0000"))</f>
        <v/>
      </c>
      <c r="C663" s="33"/>
      <c r="D663" s="24"/>
      <c r="E663" s="30" t="str">
        <f aca="false">IF($D663="","",IFERROR(INDEX(合同单位,MATCH($D663,合同键,0)),IFERROR(TRIM(LEFT($D663,FIND("｜",$D663)-1)),$D663)))</f>
        <v/>
      </c>
      <c r="F663" s="30" t="str">
        <f aca="false">IF($D663="","",IFERROR(INDEX(合同项目,MATCH($D663,合同键,0)),IFERROR(TRIM(MID($D663,FIND("｜",$D663)+1,99)),"")))</f>
        <v/>
      </c>
      <c r="G663" s="39"/>
      <c r="H663" s="25"/>
      <c r="I663" s="35" t="str">
        <f aca="false">IF($H663="","",IFERROR(INDEX(票据归类表,MATCH($H663,票据类型表,0)),"现金无票"))</f>
        <v/>
      </c>
      <c r="J663" s="25"/>
      <c r="K663" s="25"/>
      <c r="L663" s="31"/>
      <c r="M663" s="29" t="str">
        <f aca="false">IF($C663="","",YEAR($C663))</f>
        <v/>
      </c>
      <c r="N663" s="24"/>
      <c r="O663" s="35" t="str">
        <f aca="false">IF($C663="","",IF($D663="","★没选客户项目",IF(COUNTIF(合同键,$D663)=0,"★《维保合同》里没这个项目",IF(N($G663)&lt;=0,"★收款金额要填",IF($H663="","★票据类型要选",IF(AND($L663&lt;&gt;"",COUNTIF(应收单号,$L663)=0),"★关联的应收单号不存在",IF(AND($L663&lt;&gt;"",IFERROR(INDEX(应收键,MATCH($L663,应收单号,0)),"")&lt;&gt;$D663),"★关联单号不是这个客户的",IF(AND($L663&lt;&gt;"",ROUND(SUMIF(收款关联,$L663,收款金额)-IFERROR(INDEX(应收金额,MATCH($L663,应收单号,0)),0),2)&gt;0.001),"★指定冲销超过那张单的应收","OK"))))))))</f>
        <v/>
      </c>
    </row>
    <row r="664" customFormat="false" ht="15" hidden="false" customHeight="false" outlineLevel="0" collapsed="false">
      <c r="A664" s="29" t="str">
        <f aca="false">IF($C664="","",ROW()-4)</f>
        <v/>
      </c>
      <c r="B664" s="35" t="str">
        <f aca="false">IF($C664="","","SK"&amp;TEXT($C664,"yyyymm")&amp;"-"&amp;TEXT(ROW()-4,"0000"))</f>
        <v/>
      </c>
      <c r="C664" s="33"/>
      <c r="D664" s="24"/>
      <c r="E664" s="30" t="str">
        <f aca="false">IF($D664="","",IFERROR(INDEX(合同单位,MATCH($D664,合同键,0)),IFERROR(TRIM(LEFT($D664,FIND("｜",$D664)-1)),$D664)))</f>
        <v/>
      </c>
      <c r="F664" s="30" t="str">
        <f aca="false">IF($D664="","",IFERROR(INDEX(合同项目,MATCH($D664,合同键,0)),IFERROR(TRIM(MID($D664,FIND("｜",$D664)+1,99)),"")))</f>
        <v/>
      </c>
      <c r="G664" s="39"/>
      <c r="H664" s="25"/>
      <c r="I664" s="35" t="str">
        <f aca="false">IF($H664="","",IFERROR(INDEX(票据归类表,MATCH($H664,票据类型表,0)),"现金无票"))</f>
        <v/>
      </c>
      <c r="J664" s="25"/>
      <c r="K664" s="25"/>
      <c r="L664" s="31"/>
      <c r="M664" s="29" t="str">
        <f aca="false">IF($C664="","",YEAR($C664))</f>
        <v/>
      </c>
      <c r="N664" s="24"/>
      <c r="O664" s="35" t="str">
        <f aca="false">IF($C664="","",IF($D664="","★没选客户项目",IF(COUNTIF(合同键,$D664)=0,"★《维保合同》里没这个项目",IF(N($G664)&lt;=0,"★收款金额要填",IF($H664="","★票据类型要选",IF(AND($L664&lt;&gt;"",COUNTIF(应收单号,$L664)=0),"★关联的应收单号不存在",IF(AND($L664&lt;&gt;"",IFERROR(INDEX(应收键,MATCH($L664,应收单号,0)),"")&lt;&gt;$D664),"★关联单号不是这个客户的",IF(AND($L664&lt;&gt;"",ROUND(SUMIF(收款关联,$L664,收款金额)-IFERROR(INDEX(应收金额,MATCH($L664,应收单号,0)),0),2)&gt;0.001),"★指定冲销超过那张单的应收","OK"))))))))</f>
        <v/>
      </c>
    </row>
    <row r="665" customFormat="false" ht="15" hidden="false" customHeight="false" outlineLevel="0" collapsed="false">
      <c r="A665" s="29" t="str">
        <f aca="false">IF($C665="","",ROW()-4)</f>
        <v/>
      </c>
      <c r="B665" s="35" t="str">
        <f aca="false">IF($C665="","","SK"&amp;TEXT($C665,"yyyymm")&amp;"-"&amp;TEXT(ROW()-4,"0000"))</f>
        <v/>
      </c>
      <c r="C665" s="33"/>
      <c r="D665" s="24"/>
      <c r="E665" s="30" t="str">
        <f aca="false">IF($D665="","",IFERROR(INDEX(合同单位,MATCH($D665,合同键,0)),IFERROR(TRIM(LEFT($D665,FIND("｜",$D665)-1)),$D665)))</f>
        <v/>
      </c>
      <c r="F665" s="30" t="str">
        <f aca="false">IF($D665="","",IFERROR(INDEX(合同项目,MATCH($D665,合同键,0)),IFERROR(TRIM(MID($D665,FIND("｜",$D665)+1,99)),"")))</f>
        <v/>
      </c>
      <c r="G665" s="39"/>
      <c r="H665" s="25"/>
      <c r="I665" s="35" t="str">
        <f aca="false">IF($H665="","",IFERROR(INDEX(票据归类表,MATCH($H665,票据类型表,0)),"现金无票"))</f>
        <v/>
      </c>
      <c r="J665" s="25"/>
      <c r="K665" s="25"/>
      <c r="L665" s="31"/>
      <c r="M665" s="29" t="str">
        <f aca="false">IF($C665="","",YEAR($C665))</f>
        <v/>
      </c>
      <c r="N665" s="24"/>
      <c r="O665" s="35" t="str">
        <f aca="false">IF($C665="","",IF($D665="","★没选客户项目",IF(COUNTIF(合同键,$D665)=0,"★《维保合同》里没这个项目",IF(N($G665)&lt;=0,"★收款金额要填",IF($H665="","★票据类型要选",IF(AND($L665&lt;&gt;"",COUNTIF(应收单号,$L665)=0),"★关联的应收单号不存在",IF(AND($L665&lt;&gt;"",IFERROR(INDEX(应收键,MATCH($L665,应收单号,0)),"")&lt;&gt;$D665),"★关联单号不是这个客户的",IF(AND($L665&lt;&gt;"",ROUND(SUMIF(收款关联,$L665,收款金额)-IFERROR(INDEX(应收金额,MATCH($L665,应收单号,0)),0),2)&gt;0.001),"★指定冲销超过那张单的应收","OK"))))))))</f>
        <v/>
      </c>
    </row>
    <row r="666" customFormat="false" ht="15" hidden="false" customHeight="false" outlineLevel="0" collapsed="false">
      <c r="A666" s="29" t="str">
        <f aca="false">IF($C666="","",ROW()-4)</f>
        <v/>
      </c>
      <c r="B666" s="35" t="str">
        <f aca="false">IF($C666="","","SK"&amp;TEXT($C666,"yyyymm")&amp;"-"&amp;TEXT(ROW()-4,"0000"))</f>
        <v/>
      </c>
      <c r="C666" s="33"/>
      <c r="D666" s="24"/>
      <c r="E666" s="30" t="str">
        <f aca="false">IF($D666="","",IFERROR(INDEX(合同单位,MATCH($D666,合同键,0)),IFERROR(TRIM(LEFT($D666,FIND("｜",$D666)-1)),$D666)))</f>
        <v/>
      </c>
      <c r="F666" s="30" t="str">
        <f aca="false">IF($D666="","",IFERROR(INDEX(合同项目,MATCH($D666,合同键,0)),IFERROR(TRIM(MID($D666,FIND("｜",$D666)+1,99)),"")))</f>
        <v/>
      </c>
      <c r="G666" s="39"/>
      <c r="H666" s="25"/>
      <c r="I666" s="35" t="str">
        <f aca="false">IF($H666="","",IFERROR(INDEX(票据归类表,MATCH($H666,票据类型表,0)),"现金无票"))</f>
        <v/>
      </c>
      <c r="J666" s="25"/>
      <c r="K666" s="25"/>
      <c r="L666" s="31"/>
      <c r="M666" s="29" t="str">
        <f aca="false">IF($C666="","",YEAR($C666))</f>
        <v/>
      </c>
      <c r="N666" s="24"/>
      <c r="O666" s="35" t="str">
        <f aca="false">IF($C666="","",IF($D666="","★没选客户项目",IF(COUNTIF(合同键,$D666)=0,"★《维保合同》里没这个项目",IF(N($G666)&lt;=0,"★收款金额要填",IF($H666="","★票据类型要选",IF(AND($L666&lt;&gt;"",COUNTIF(应收单号,$L666)=0),"★关联的应收单号不存在",IF(AND($L666&lt;&gt;"",IFERROR(INDEX(应收键,MATCH($L666,应收单号,0)),"")&lt;&gt;$D666),"★关联单号不是这个客户的",IF(AND($L666&lt;&gt;"",ROUND(SUMIF(收款关联,$L666,收款金额)-IFERROR(INDEX(应收金额,MATCH($L666,应收单号,0)),0),2)&gt;0.001),"★指定冲销超过那张单的应收","OK"))))))))</f>
        <v/>
      </c>
    </row>
    <row r="667" customFormat="false" ht="15" hidden="false" customHeight="false" outlineLevel="0" collapsed="false">
      <c r="A667" s="29" t="str">
        <f aca="false">IF($C667="","",ROW()-4)</f>
        <v/>
      </c>
      <c r="B667" s="35" t="str">
        <f aca="false">IF($C667="","","SK"&amp;TEXT($C667,"yyyymm")&amp;"-"&amp;TEXT(ROW()-4,"0000"))</f>
        <v/>
      </c>
      <c r="C667" s="33"/>
      <c r="D667" s="24"/>
      <c r="E667" s="30" t="str">
        <f aca="false">IF($D667="","",IFERROR(INDEX(合同单位,MATCH($D667,合同键,0)),IFERROR(TRIM(LEFT($D667,FIND("｜",$D667)-1)),$D667)))</f>
        <v/>
      </c>
      <c r="F667" s="30" t="str">
        <f aca="false">IF($D667="","",IFERROR(INDEX(合同项目,MATCH($D667,合同键,0)),IFERROR(TRIM(MID($D667,FIND("｜",$D667)+1,99)),"")))</f>
        <v/>
      </c>
      <c r="G667" s="39"/>
      <c r="H667" s="25"/>
      <c r="I667" s="35" t="str">
        <f aca="false">IF($H667="","",IFERROR(INDEX(票据归类表,MATCH($H667,票据类型表,0)),"现金无票"))</f>
        <v/>
      </c>
      <c r="J667" s="25"/>
      <c r="K667" s="25"/>
      <c r="L667" s="31"/>
      <c r="M667" s="29" t="str">
        <f aca="false">IF($C667="","",YEAR($C667))</f>
        <v/>
      </c>
      <c r="N667" s="24"/>
      <c r="O667" s="35" t="str">
        <f aca="false">IF($C667="","",IF($D667="","★没选客户项目",IF(COUNTIF(合同键,$D667)=0,"★《维保合同》里没这个项目",IF(N($G667)&lt;=0,"★收款金额要填",IF($H667="","★票据类型要选",IF(AND($L667&lt;&gt;"",COUNTIF(应收单号,$L667)=0),"★关联的应收单号不存在",IF(AND($L667&lt;&gt;"",IFERROR(INDEX(应收键,MATCH($L667,应收单号,0)),"")&lt;&gt;$D667),"★关联单号不是这个客户的",IF(AND($L667&lt;&gt;"",ROUND(SUMIF(收款关联,$L667,收款金额)-IFERROR(INDEX(应收金额,MATCH($L667,应收单号,0)),0),2)&gt;0.001),"★指定冲销超过那张单的应收","OK"))))))))</f>
        <v/>
      </c>
    </row>
    <row r="668" customFormat="false" ht="15" hidden="false" customHeight="false" outlineLevel="0" collapsed="false">
      <c r="A668" s="29" t="str">
        <f aca="false">IF($C668="","",ROW()-4)</f>
        <v/>
      </c>
      <c r="B668" s="35" t="str">
        <f aca="false">IF($C668="","","SK"&amp;TEXT($C668,"yyyymm")&amp;"-"&amp;TEXT(ROW()-4,"0000"))</f>
        <v/>
      </c>
      <c r="C668" s="33"/>
      <c r="D668" s="24"/>
      <c r="E668" s="30" t="str">
        <f aca="false">IF($D668="","",IFERROR(INDEX(合同单位,MATCH($D668,合同键,0)),IFERROR(TRIM(LEFT($D668,FIND("｜",$D668)-1)),$D668)))</f>
        <v/>
      </c>
      <c r="F668" s="30" t="str">
        <f aca="false">IF($D668="","",IFERROR(INDEX(合同项目,MATCH($D668,合同键,0)),IFERROR(TRIM(MID($D668,FIND("｜",$D668)+1,99)),"")))</f>
        <v/>
      </c>
      <c r="G668" s="39"/>
      <c r="H668" s="25"/>
      <c r="I668" s="35" t="str">
        <f aca="false">IF($H668="","",IFERROR(INDEX(票据归类表,MATCH($H668,票据类型表,0)),"现金无票"))</f>
        <v/>
      </c>
      <c r="J668" s="25"/>
      <c r="K668" s="25"/>
      <c r="L668" s="31"/>
      <c r="M668" s="29" t="str">
        <f aca="false">IF($C668="","",YEAR($C668))</f>
        <v/>
      </c>
      <c r="N668" s="24"/>
      <c r="O668" s="35" t="str">
        <f aca="false">IF($C668="","",IF($D668="","★没选客户项目",IF(COUNTIF(合同键,$D668)=0,"★《维保合同》里没这个项目",IF(N($G668)&lt;=0,"★收款金额要填",IF($H668="","★票据类型要选",IF(AND($L668&lt;&gt;"",COUNTIF(应收单号,$L668)=0),"★关联的应收单号不存在",IF(AND($L668&lt;&gt;"",IFERROR(INDEX(应收键,MATCH($L668,应收单号,0)),"")&lt;&gt;$D668),"★关联单号不是这个客户的",IF(AND($L668&lt;&gt;"",ROUND(SUMIF(收款关联,$L668,收款金额)-IFERROR(INDEX(应收金额,MATCH($L668,应收单号,0)),0),2)&gt;0.001),"★指定冲销超过那张单的应收","OK"))))))))</f>
        <v/>
      </c>
    </row>
    <row r="669" customFormat="false" ht="15" hidden="false" customHeight="false" outlineLevel="0" collapsed="false">
      <c r="A669" s="29" t="str">
        <f aca="false">IF($C669="","",ROW()-4)</f>
        <v/>
      </c>
      <c r="B669" s="35" t="str">
        <f aca="false">IF($C669="","","SK"&amp;TEXT($C669,"yyyymm")&amp;"-"&amp;TEXT(ROW()-4,"0000"))</f>
        <v/>
      </c>
      <c r="C669" s="33"/>
      <c r="D669" s="24"/>
      <c r="E669" s="30" t="str">
        <f aca="false">IF($D669="","",IFERROR(INDEX(合同单位,MATCH($D669,合同键,0)),IFERROR(TRIM(LEFT($D669,FIND("｜",$D669)-1)),$D669)))</f>
        <v/>
      </c>
      <c r="F669" s="30" t="str">
        <f aca="false">IF($D669="","",IFERROR(INDEX(合同项目,MATCH($D669,合同键,0)),IFERROR(TRIM(MID($D669,FIND("｜",$D669)+1,99)),"")))</f>
        <v/>
      </c>
      <c r="G669" s="39"/>
      <c r="H669" s="25"/>
      <c r="I669" s="35" t="str">
        <f aca="false">IF($H669="","",IFERROR(INDEX(票据归类表,MATCH($H669,票据类型表,0)),"现金无票"))</f>
        <v/>
      </c>
      <c r="J669" s="25"/>
      <c r="K669" s="25"/>
      <c r="L669" s="31"/>
      <c r="M669" s="29" t="str">
        <f aca="false">IF($C669="","",YEAR($C669))</f>
        <v/>
      </c>
      <c r="N669" s="24"/>
      <c r="O669" s="35" t="str">
        <f aca="false">IF($C669="","",IF($D669="","★没选客户项目",IF(COUNTIF(合同键,$D669)=0,"★《维保合同》里没这个项目",IF(N($G669)&lt;=0,"★收款金额要填",IF($H669="","★票据类型要选",IF(AND($L669&lt;&gt;"",COUNTIF(应收单号,$L669)=0),"★关联的应收单号不存在",IF(AND($L669&lt;&gt;"",IFERROR(INDEX(应收键,MATCH($L669,应收单号,0)),"")&lt;&gt;$D669),"★关联单号不是这个客户的",IF(AND($L669&lt;&gt;"",ROUND(SUMIF(收款关联,$L669,收款金额)-IFERROR(INDEX(应收金额,MATCH($L669,应收单号,0)),0),2)&gt;0.001),"★指定冲销超过那张单的应收","OK"))))))))</f>
        <v/>
      </c>
    </row>
    <row r="670" customFormat="false" ht="15" hidden="false" customHeight="false" outlineLevel="0" collapsed="false">
      <c r="A670" s="29" t="str">
        <f aca="false">IF($C670="","",ROW()-4)</f>
        <v/>
      </c>
      <c r="B670" s="35" t="str">
        <f aca="false">IF($C670="","","SK"&amp;TEXT($C670,"yyyymm")&amp;"-"&amp;TEXT(ROW()-4,"0000"))</f>
        <v/>
      </c>
      <c r="C670" s="33"/>
      <c r="D670" s="24"/>
      <c r="E670" s="30" t="str">
        <f aca="false">IF($D670="","",IFERROR(INDEX(合同单位,MATCH($D670,合同键,0)),IFERROR(TRIM(LEFT($D670,FIND("｜",$D670)-1)),$D670)))</f>
        <v/>
      </c>
      <c r="F670" s="30" t="str">
        <f aca="false">IF($D670="","",IFERROR(INDEX(合同项目,MATCH($D670,合同键,0)),IFERROR(TRIM(MID($D670,FIND("｜",$D670)+1,99)),"")))</f>
        <v/>
      </c>
      <c r="G670" s="39"/>
      <c r="H670" s="25"/>
      <c r="I670" s="35" t="str">
        <f aca="false">IF($H670="","",IFERROR(INDEX(票据归类表,MATCH($H670,票据类型表,0)),"现金无票"))</f>
        <v/>
      </c>
      <c r="J670" s="25"/>
      <c r="K670" s="25"/>
      <c r="L670" s="31"/>
      <c r="M670" s="29" t="str">
        <f aca="false">IF($C670="","",YEAR($C670))</f>
        <v/>
      </c>
      <c r="N670" s="24"/>
      <c r="O670" s="35" t="str">
        <f aca="false">IF($C670="","",IF($D670="","★没选客户项目",IF(COUNTIF(合同键,$D670)=0,"★《维保合同》里没这个项目",IF(N($G670)&lt;=0,"★收款金额要填",IF($H670="","★票据类型要选",IF(AND($L670&lt;&gt;"",COUNTIF(应收单号,$L670)=0),"★关联的应收单号不存在",IF(AND($L670&lt;&gt;"",IFERROR(INDEX(应收键,MATCH($L670,应收单号,0)),"")&lt;&gt;$D670),"★关联单号不是这个客户的",IF(AND($L670&lt;&gt;"",ROUND(SUMIF(收款关联,$L670,收款金额)-IFERROR(INDEX(应收金额,MATCH($L670,应收单号,0)),0),2)&gt;0.001),"★指定冲销超过那张单的应收","OK"))))))))</f>
        <v/>
      </c>
    </row>
    <row r="671" customFormat="false" ht="15" hidden="false" customHeight="false" outlineLevel="0" collapsed="false">
      <c r="A671" s="29" t="str">
        <f aca="false">IF($C671="","",ROW()-4)</f>
        <v/>
      </c>
      <c r="B671" s="35" t="str">
        <f aca="false">IF($C671="","","SK"&amp;TEXT($C671,"yyyymm")&amp;"-"&amp;TEXT(ROW()-4,"0000"))</f>
        <v/>
      </c>
      <c r="C671" s="33"/>
      <c r="D671" s="24"/>
      <c r="E671" s="30" t="str">
        <f aca="false">IF($D671="","",IFERROR(INDEX(合同单位,MATCH($D671,合同键,0)),IFERROR(TRIM(LEFT($D671,FIND("｜",$D671)-1)),$D671)))</f>
        <v/>
      </c>
      <c r="F671" s="30" t="str">
        <f aca="false">IF($D671="","",IFERROR(INDEX(合同项目,MATCH($D671,合同键,0)),IFERROR(TRIM(MID($D671,FIND("｜",$D671)+1,99)),"")))</f>
        <v/>
      </c>
      <c r="G671" s="39"/>
      <c r="H671" s="25"/>
      <c r="I671" s="35" t="str">
        <f aca="false">IF($H671="","",IFERROR(INDEX(票据归类表,MATCH($H671,票据类型表,0)),"现金无票"))</f>
        <v/>
      </c>
      <c r="J671" s="25"/>
      <c r="K671" s="25"/>
      <c r="L671" s="31"/>
      <c r="M671" s="29" t="str">
        <f aca="false">IF($C671="","",YEAR($C671))</f>
        <v/>
      </c>
      <c r="N671" s="24"/>
      <c r="O671" s="35" t="str">
        <f aca="false">IF($C671="","",IF($D671="","★没选客户项目",IF(COUNTIF(合同键,$D671)=0,"★《维保合同》里没这个项目",IF(N($G671)&lt;=0,"★收款金额要填",IF($H671="","★票据类型要选",IF(AND($L671&lt;&gt;"",COUNTIF(应收单号,$L671)=0),"★关联的应收单号不存在",IF(AND($L671&lt;&gt;"",IFERROR(INDEX(应收键,MATCH($L671,应收单号,0)),"")&lt;&gt;$D671),"★关联单号不是这个客户的",IF(AND($L671&lt;&gt;"",ROUND(SUMIF(收款关联,$L671,收款金额)-IFERROR(INDEX(应收金额,MATCH($L671,应收单号,0)),0),2)&gt;0.001),"★指定冲销超过那张单的应收","OK"))))))))</f>
        <v/>
      </c>
    </row>
    <row r="672" customFormat="false" ht="15" hidden="false" customHeight="false" outlineLevel="0" collapsed="false">
      <c r="A672" s="29" t="str">
        <f aca="false">IF($C672="","",ROW()-4)</f>
        <v/>
      </c>
      <c r="B672" s="35" t="str">
        <f aca="false">IF($C672="","","SK"&amp;TEXT($C672,"yyyymm")&amp;"-"&amp;TEXT(ROW()-4,"0000"))</f>
        <v/>
      </c>
      <c r="C672" s="33"/>
      <c r="D672" s="24"/>
      <c r="E672" s="30" t="str">
        <f aca="false">IF($D672="","",IFERROR(INDEX(合同单位,MATCH($D672,合同键,0)),IFERROR(TRIM(LEFT($D672,FIND("｜",$D672)-1)),$D672)))</f>
        <v/>
      </c>
      <c r="F672" s="30" t="str">
        <f aca="false">IF($D672="","",IFERROR(INDEX(合同项目,MATCH($D672,合同键,0)),IFERROR(TRIM(MID($D672,FIND("｜",$D672)+1,99)),"")))</f>
        <v/>
      </c>
      <c r="G672" s="39"/>
      <c r="H672" s="25"/>
      <c r="I672" s="35" t="str">
        <f aca="false">IF($H672="","",IFERROR(INDEX(票据归类表,MATCH($H672,票据类型表,0)),"现金无票"))</f>
        <v/>
      </c>
      <c r="J672" s="25"/>
      <c r="K672" s="25"/>
      <c r="L672" s="31"/>
      <c r="M672" s="29" t="str">
        <f aca="false">IF($C672="","",YEAR($C672))</f>
        <v/>
      </c>
      <c r="N672" s="24"/>
      <c r="O672" s="35" t="str">
        <f aca="false">IF($C672="","",IF($D672="","★没选客户项目",IF(COUNTIF(合同键,$D672)=0,"★《维保合同》里没这个项目",IF(N($G672)&lt;=0,"★收款金额要填",IF($H672="","★票据类型要选",IF(AND($L672&lt;&gt;"",COUNTIF(应收单号,$L672)=0),"★关联的应收单号不存在",IF(AND($L672&lt;&gt;"",IFERROR(INDEX(应收键,MATCH($L672,应收单号,0)),"")&lt;&gt;$D672),"★关联单号不是这个客户的",IF(AND($L672&lt;&gt;"",ROUND(SUMIF(收款关联,$L672,收款金额)-IFERROR(INDEX(应收金额,MATCH($L672,应收单号,0)),0),2)&gt;0.001),"★指定冲销超过那张单的应收","OK"))))))))</f>
        <v/>
      </c>
    </row>
    <row r="673" customFormat="false" ht="15" hidden="false" customHeight="false" outlineLevel="0" collapsed="false">
      <c r="A673" s="29" t="str">
        <f aca="false">IF($C673="","",ROW()-4)</f>
        <v/>
      </c>
      <c r="B673" s="35" t="str">
        <f aca="false">IF($C673="","","SK"&amp;TEXT($C673,"yyyymm")&amp;"-"&amp;TEXT(ROW()-4,"0000"))</f>
        <v/>
      </c>
      <c r="C673" s="33"/>
      <c r="D673" s="24"/>
      <c r="E673" s="30" t="str">
        <f aca="false">IF($D673="","",IFERROR(INDEX(合同单位,MATCH($D673,合同键,0)),IFERROR(TRIM(LEFT($D673,FIND("｜",$D673)-1)),$D673)))</f>
        <v/>
      </c>
      <c r="F673" s="30" t="str">
        <f aca="false">IF($D673="","",IFERROR(INDEX(合同项目,MATCH($D673,合同键,0)),IFERROR(TRIM(MID($D673,FIND("｜",$D673)+1,99)),"")))</f>
        <v/>
      </c>
      <c r="G673" s="39"/>
      <c r="H673" s="25"/>
      <c r="I673" s="35" t="str">
        <f aca="false">IF($H673="","",IFERROR(INDEX(票据归类表,MATCH($H673,票据类型表,0)),"现金无票"))</f>
        <v/>
      </c>
      <c r="J673" s="25"/>
      <c r="K673" s="25"/>
      <c r="L673" s="31"/>
      <c r="M673" s="29" t="str">
        <f aca="false">IF($C673="","",YEAR($C673))</f>
        <v/>
      </c>
      <c r="N673" s="24"/>
      <c r="O673" s="35" t="str">
        <f aca="false">IF($C673="","",IF($D673="","★没选客户项目",IF(COUNTIF(合同键,$D673)=0,"★《维保合同》里没这个项目",IF(N($G673)&lt;=0,"★收款金额要填",IF($H673="","★票据类型要选",IF(AND($L673&lt;&gt;"",COUNTIF(应收单号,$L673)=0),"★关联的应收单号不存在",IF(AND($L673&lt;&gt;"",IFERROR(INDEX(应收键,MATCH($L673,应收单号,0)),"")&lt;&gt;$D673),"★关联单号不是这个客户的",IF(AND($L673&lt;&gt;"",ROUND(SUMIF(收款关联,$L673,收款金额)-IFERROR(INDEX(应收金额,MATCH($L673,应收单号,0)),0),2)&gt;0.001),"★指定冲销超过那张单的应收","OK"))))))))</f>
        <v/>
      </c>
    </row>
    <row r="674" customFormat="false" ht="15" hidden="false" customHeight="false" outlineLevel="0" collapsed="false">
      <c r="A674" s="29" t="str">
        <f aca="false">IF($C674="","",ROW()-4)</f>
        <v/>
      </c>
      <c r="B674" s="35" t="str">
        <f aca="false">IF($C674="","","SK"&amp;TEXT($C674,"yyyymm")&amp;"-"&amp;TEXT(ROW()-4,"0000"))</f>
        <v/>
      </c>
      <c r="C674" s="33"/>
      <c r="D674" s="24"/>
      <c r="E674" s="30" t="str">
        <f aca="false">IF($D674="","",IFERROR(INDEX(合同单位,MATCH($D674,合同键,0)),IFERROR(TRIM(LEFT($D674,FIND("｜",$D674)-1)),$D674)))</f>
        <v/>
      </c>
      <c r="F674" s="30" t="str">
        <f aca="false">IF($D674="","",IFERROR(INDEX(合同项目,MATCH($D674,合同键,0)),IFERROR(TRIM(MID($D674,FIND("｜",$D674)+1,99)),"")))</f>
        <v/>
      </c>
      <c r="G674" s="39"/>
      <c r="H674" s="25"/>
      <c r="I674" s="35" t="str">
        <f aca="false">IF($H674="","",IFERROR(INDEX(票据归类表,MATCH($H674,票据类型表,0)),"现金无票"))</f>
        <v/>
      </c>
      <c r="J674" s="25"/>
      <c r="K674" s="25"/>
      <c r="L674" s="31"/>
      <c r="M674" s="29" t="str">
        <f aca="false">IF($C674="","",YEAR($C674))</f>
        <v/>
      </c>
      <c r="N674" s="24"/>
      <c r="O674" s="35" t="str">
        <f aca="false">IF($C674="","",IF($D674="","★没选客户项目",IF(COUNTIF(合同键,$D674)=0,"★《维保合同》里没这个项目",IF(N($G674)&lt;=0,"★收款金额要填",IF($H674="","★票据类型要选",IF(AND($L674&lt;&gt;"",COUNTIF(应收单号,$L674)=0),"★关联的应收单号不存在",IF(AND($L674&lt;&gt;"",IFERROR(INDEX(应收键,MATCH($L674,应收单号,0)),"")&lt;&gt;$D674),"★关联单号不是这个客户的",IF(AND($L674&lt;&gt;"",ROUND(SUMIF(收款关联,$L674,收款金额)-IFERROR(INDEX(应收金额,MATCH($L674,应收单号,0)),0),2)&gt;0.001),"★指定冲销超过那张单的应收","OK"))))))))</f>
        <v/>
      </c>
    </row>
    <row r="675" customFormat="false" ht="15" hidden="false" customHeight="false" outlineLevel="0" collapsed="false">
      <c r="A675" s="29" t="str">
        <f aca="false">IF($C675="","",ROW()-4)</f>
        <v/>
      </c>
      <c r="B675" s="35" t="str">
        <f aca="false">IF($C675="","","SK"&amp;TEXT($C675,"yyyymm")&amp;"-"&amp;TEXT(ROW()-4,"0000"))</f>
        <v/>
      </c>
      <c r="C675" s="33"/>
      <c r="D675" s="24"/>
      <c r="E675" s="30" t="str">
        <f aca="false">IF($D675="","",IFERROR(INDEX(合同单位,MATCH($D675,合同键,0)),IFERROR(TRIM(LEFT($D675,FIND("｜",$D675)-1)),$D675)))</f>
        <v/>
      </c>
      <c r="F675" s="30" t="str">
        <f aca="false">IF($D675="","",IFERROR(INDEX(合同项目,MATCH($D675,合同键,0)),IFERROR(TRIM(MID($D675,FIND("｜",$D675)+1,99)),"")))</f>
        <v/>
      </c>
      <c r="G675" s="39"/>
      <c r="H675" s="25"/>
      <c r="I675" s="35" t="str">
        <f aca="false">IF($H675="","",IFERROR(INDEX(票据归类表,MATCH($H675,票据类型表,0)),"现金无票"))</f>
        <v/>
      </c>
      <c r="J675" s="25"/>
      <c r="K675" s="25"/>
      <c r="L675" s="31"/>
      <c r="M675" s="29" t="str">
        <f aca="false">IF($C675="","",YEAR($C675))</f>
        <v/>
      </c>
      <c r="N675" s="24"/>
      <c r="O675" s="35" t="str">
        <f aca="false">IF($C675="","",IF($D675="","★没选客户项目",IF(COUNTIF(合同键,$D675)=0,"★《维保合同》里没这个项目",IF(N($G675)&lt;=0,"★收款金额要填",IF($H675="","★票据类型要选",IF(AND($L675&lt;&gt;"",COUNTIF(应收单号,$L675)=0),"★关联的应收单号不存在",IF(AND($L675&lt;&gt;"",IFERROR(INDEX(应收键,MATCH($L675,应收单号,0)),"")&lt;&gt;$D675),"★关联单号不是这个客户的",IF(AND($L675&lt;&gt;"",ROUND(SUMIF(收款关联,$L675,收款金额)-IFERROR(INDEX(应收金额,MATCH($L675,应收单号,0)),0),2)&gt;0.001),"★指定冲销超过那张单的应收","OK"))))))))</f>
        <v/>
      </c>
    </row>
    <row r="676" customFormat="false" ht="15" hidden="false" customHeight="false" outlineLevel="0" collapsed="false">
      <c r="A676" s="29" t="str">
        <f aca="false">IF($C676="","",ROW()-4)</f>
        <v/>
      </c>
      <c r="B676" s="35" t="str">
        <f aca="false">IF($C676="","","SK"&amp;TEXT($C676,"yyyymm")&amp;"-"&amp;TEXT(ROW()-4,"0000"))</f>
        <v/>
      </c>
      <c r="C676" s="33"/>
      <c r="D676" s="24"/>
      <c r="E676" s="30" t="str">
        <f aca="false">IF($D676="","",IFERROR(INDEX(合同单位,MATCH($D676,合同键,0)),IFERROR(TRIM(LEFT($D676,FIND("｜",$D676)-1)),$D676)))</f>
        <v/>
      </c>
      <c r="F676" s="30" t="str">
        <f aca="false">IF($D676="","",IFERROR(INDEX(合同项目,MATCH($D676,合同键,0)),IFERROR(TRIM(MID($D676,FIND("｜",$D676)+1,99)),"")))</f>
        <v/>
      </c>
      <c r="G676" s="39"/>
      <c r="H676" s="25"/>
      <c r="I676" s="35" t="str">
        <f aca="false">IF($H676="","",IFERROR(INDEX(票据归类表,MATCH($H676,票据类型表,0)),"现金无票"))</f>
        <v/>
      </c>
      <c r="J676" s="25"/>
      <c r="K676" s="25"/>
      <c r="L676" s="31"/>
      <c r="M676" s="29" t="str">
        <f aca="false">IF($C676="","",YEAR($C676))</f>
        <v/>
      </c>
      <c r="N676" s="24"/>
      <c r="O676" s="35" t="str">
        <f aca="false">IF($C676="","",IF($D676="","★没选客户项目",IF(COUNTIF(合同键,$D676)=0,"★《维保合同》里没这个项目",IF(N($G676)&lt;=0,"★收款金额要填",IF($H676="","★票据类型要选",IF(AND($L676&lt;&gt;"",COUNTIF(应收单号,$L676)=0),"★关联的应收单号不存在",IF(AND($L676&lt;&gt;"",IFERROR(INDEX(应收键,MATCH($L676,应收单号,0)),"")&lt;&gt;$D676),"★关联单号不是这个客户的",IF(AND($L676&lt;&gt;"",ROUND(SUMIF(收款关联,$L676,收款金额)-IFERROR(INDEX(应收金额,MATCH($L676,应收单号,0)),0),2)&gt;0.001),"★指定冲销超过那张单的应收","OK"))))))))</f>
        <v/>
      </c>
    </row>
    <row r="677" customFormat="false" ht="15" hidden="false" customHeight="false" outlineLevel="0" collapsed="false">
      <c r="A677" s="29" t="str">
        <f aca="false">IF($C677="","",ROW()-4)</f>
        <v/>
      </c>
      <c r="B677" s="35" t="str">
        <f aca="false">IF($C677="","","SK"&amp;TEXT($C677,"yyyymm")&amp;"-"&amp;TEXT(ROW()-4,"0000"))</f>
        <v/>
      </c>
      <c r="C677" s="33"/>
      <c r="D677" s="24"/>
      <c r="E677" s="30" t="str">
        <f aca="false">IF($D677="","",IFERROR(INDEX(合同单位,MATCH($D677,合同键,0)),IFERROR(TRIM(LEFT($D677,FIND("｜",$D677)-1)),$D677)))</f>
        <v/>
      </c>
      <c r="F677" s="30" t="str">
        <f aca="false">IF($D677="","",IFERROR(INDEX(合同项目,MATCH($D677,合同键,0)),IFERROR(TRIM(MID($D677,FIND("｜",$D677)+1,99)),"")))</f>
        <v/>
      </c>
      <c r="G677" s="39"/>
      <c r="H677" s="25"/>
      <c r="I677" s="35" t="str">
        <f aca="false">IF($H677="","",IFERROR(INDEX(票据归类表,MATCH($H677,票据类型表,0)),"现金无票"))</f>
        <v/>
      </c>
      <c r="J677" s="25"/>
      <c r="K677" s="25"/>
      <c r="L677" s="31"/>
      <c r="M677" s="29" t="str">
        <f aca="false">IF($C677="","",YEAR($C677))</f>
        <v/>
      </c>
      <c r="N677" s="24"/>
      <c r="O677" s="35" t="str">
        <f aca="false">IF($C677="","",IF($D677="","★没选客户项目",IF(COUNTIF(合同键,$D677)=0,"★《维保合同》里没这个项目",IF(N($G677)&lt;=0,"★收款金额要填",IF($H677="","★票据类型要选",IF(AND($L677&lt;&gt;"",COUNTIF(应收单号,$L677)=0),"★关联的应收单号不存在",IF(AND($L677&lt;&gt;"",IFERROR(INDEX(应收键,MATCH($L677,应收单号,0)),"")&lt;&gt;$D677),"★关联单号不是这个客户的",IF(AND($L677&lt;&gt;"",ROUND(SUMIF(收款关联,$L677,收款金额)-IFERROR(INDEX(应收金额,MATCH($L677,应收单号,0)),0),2)&gt;0.001),"★指定冲销超过那张单的应收","OK"))))))))</f>
        <v/>
      </c>
    </row>
    <row r="678" customFormat="false" ht="15" hidden="false" customHeight="false" outlineLevel="0" collapsed="false">
      <c r="A678" s="29" t="str">
        <f aca="false">IF($C678="","",ROW()-4)</f>
        <v/>
      </c>
      <c r="B678" s="35" t="str">
        <f aca="false">IF($C678="","","SK"&amp;TEXT($C678,"yyyymm")&amp;"-"&amp;TEXT(ROW()-4,"0000"))</f>
        <v/>
      </c>
      <c r="C678" s="33"/>
      <c r="D678" s="24"/>
      <c r="E678" s="30" t="str">
        <f aca="false">IF($D678="","",IFERROR(INDEX(合同单位,MATCH($D678,合同键,0)),IFERROR(TRIM(LEFT($D678,FIND("｜",$D678)-1)),$D678)))</f>
        <v/>
      </c>
      <c r="F678" s="30" t="str">
        <f aca="false">IF($D678="","",IFERROR(INDEX(合同项目,MATCH($D678,合同键,0)),IFERROR(TRIM(MID($D678,FIND("｜",$D678)+1,99)),"")))</f>
        <v/>
      </c>
      <c r="G678" s="39"/>
      <c r="H678" s="25"/>
      <c r="I678" s="35" t="str">
        <f aca="false">IF($H678="","",IFERROR(INDEX(票据归类表,MATCH($H678,票据类型表,0)),"现金无票"))</f>
        <v/>
      </c>
      <c r="J678" s="25"/>
      <c r="K678" s="25"/>
      <c r="L678" s="31"/>
      <c r="M678" s="29" t="str">
        <f aca="false">IF($C678="","",YEAR($C678))</f>
        <v/>
      </c>
      <c r="N678" s="24"/>
      <c r="O678" s="35" t="str">
        <f aca="false">IF($C678="","",IF($D678="","★没选客户项目",IF(COUNTIF(合同键,$D678)=0,"★《维保合同》里没这个项目",IF(N($G678)&lt;=0,"★收款金额要填",IF($H678="","★票据类型要选",IF(AND($L678&lt;&gt;"",COUNTIF(应收单号,$L678)=0),"★关联的应收单号不存在",IF(AND($L678&lt;&gt;"",IFERROR(INDEX(应收键,MATCH($L678,应收单号,0)),"")&lt;&gt;$D678),"★关联单号不是这个客户的",IF(AND($L678&lt;&gt;"",ROUND(SUMIF(收款关联,$L678,收款金额)-IFERROR(INDEX(应收金额,MATCH($L678,应收单号,0)),0),2)&gt;0.001),"★指定冲销超过那张单的应收","OK"))))))))</f>
        <v/>
      </c>
    </row>
    <row r="679" customFormat="false" ht="15" hidden="false" customHeight="false" outlineLevel="0" collapsed="false">
      <c r="A679" s="29" t="str">
        <f aca="false">IF($C679="","",ROW()-4)</f>
        <v/>
      </c>
      <c r="B679" s="35" t="str">
        <f aca="false">IF($C679="","","SK"&amp;TEXT($C679,"yyyymm")&amp;"-"&amp;TEXT(ROW()-4,"0000"))</f>
        <v/>
      </c>
      <c r="C679" s="33"/>
      <c r="D679" s="24"/>
      <c r="E679" s="30" t="str">
        <f aca="false">IF($D679="","",IFERROR(INDEX(合同单位,MATCH($D679,合同键,0)),IFERROR(TRIM(LEFT($D679,FIND("｜",$D679)-1)),$D679)))</f>
        <v/>
      </c>
      <c r="F679" s="30" t="str">
        <f aca="false">IF($D679="","",IFERROR(INDEX(合同项目,MATCH($D679,合同键,0)),IFERROR(TRIM(MID($D679,FIND("｜",$D679)+1,99)),"")))</f>
        <v/>
      </c>
      <c r="G679" s="39"/>
      <c r="H679" s="25"/>
      <c r="I679" s="35" t="str">
        <f aca="false">IF($H679="","",IFERROR(INDEX(票据归类表,MATCH($H679,票据类型表,0)),"现金无票"))</f>
        <v/>
      </c>
      <c r="J679" s="25"/>
      <c r="K679" s="25"/>
      <c r="L679" s="31"/>
      <c r="M679" s="29" t="str">
        <f aca="false">IF($C679="","",YEAR($C679))</f>
        <v/>
      </c>
      <c r="N679" s="24"/>
      <c r="O679" s="35" t="str">
        <f aca="false">IF($C679="","",IF($D679="","★没选客户项目",IF(COUNTIF(合同键,$D679)=0,"★《维保合同》里没这个项目",IF(N($G679)&lt;=0,"★收款金额要填",IF($H679="","★票据类型要选",IF(AND($L679&lt;&gt;"",COUNTIF(应收单号,$L679)=0),"★关联的应收单号不存在",IF(AND($L679&lt;&gt;"",IFERROR(INDEX(应收键,MATCH($L679,应收单号,0)),"")&lt;&gt;$D679),"★关联单号不是这个客户的",IF(AND($L679&lt;&gt;"",ROUND(SUMIF(收款关联,$L679,收款金额)-IFERROR(INDEX(应收金额,MATCH($L679,应收单号,0)),0),2)&gt;0.001),"★指定冲销超过那张单的应收","OK"))))))))</f>
        <v/>
      </c>
    </row>
    <row r="680" customFormat="false" ht="15" hidden="false" customHeight="false" outlineLevel="0" collapsed="false">
      <c r="A680" s="29" t="str">
        <f aca="false">IF($C680="","",ROW()-4)</f>
        <v/>
      </c>
      <c r="B680" s="35" t="str">
        <f aca="false">IF($C680="","","SK"&amp;TEXT($C680,"yyyymm")&amp;"-"&amp;TEXT(ROW()-4,"0000"))</f>
        <v/>
      </c>
      <c r="C680" s="33"/>
      <c r="D680" s="24"/>
      <c r="E680" s="30" t="str">
        <f aca="false">IF($D680="","",IFERROR(INDEX(合同单位,MATCH($D680,合同键,0)),IFERROR(TRIM(LEFT($D680,FIND("｜",$D680)-1)),$D680)))</f>
        <v/>
      </c>
      <c r="F680" s="30" t="str">
        <f aca="false">IF($D680="","",IFERROR(INDEX(合同项目,MATCH($D680,合同键,0)),IFERROR(TRIM(MID($D680,FIND("｜",$D680)+1,99)),"")))</f>
        <v/>
      </c>
      <c r="G680" s="39"/>
      <c r="H680" s="25"/>
      <c r="I680" s="35" t="str">
        <f aca="false">IF($H680="","",IFERROR(INDEX(票据归类表,MATCH($H680,票据类型表,0)),"现金无票"))</f>
        <v/>
      </c>
      <c r="J680" s="25"/>
      <c r="K680" s="25"/>
      <c r="L680" s="31"/>
      <c r="M680" s="29" t="str">
        <f aca="false">IF($C680="","",YEAR($C680))</f>
        <v/>
      </c>
      <c r="N680" s="24"/>
      <c r="O680" s="35" t="str">
        <f aca="false">IF($C680="","",IF($D680="","★没选客户项目",IF(COUNTIF(合同键,$D680)=0,"★《维保合同》里没这个项目",IF(N($G680)&lt;=0,"★收款金额要填",IF($H680="","★票据类型要选",IF(AND($L680&lt;&gt;"",COUNTIF(应收单号,$L680)=0),"★关联的应收单号不存在",IF(AND($L680&lt;&gt;"",IFERROR(INDEX(应收键,MATCH($L680,应收单号,0)),"")&lt;&gt;$D680),"★关联单号不是这个客户的",IF(AND($L680&lt;&gt;"",ROUND(SUMIF(收款关联,$L680,收款金额)-IFERROR(INDEX(应收金额,MATCH($L680,应收单号,0)),0),2)&gt;0.001),"★指定冲销超过那张单的应收","OK"))))))))</f>
        <v/>
      </c>
    </row>
    <row r="681" customFormat="false" ht="15" hidden="false" customHeight="false" outlineLevel="0" collapsed="false">
      <c r="A681" s="29" t="str">
        <f aca="false">IF($C681="","",ROW()-4)</f>
        <v/>
      </c>
      <c r="B681" s="35" t="str">
        <f aca="false">IF($C681="","","SK"&amp;TEXT($C681,"yyyymm")&amp;"-"&amp;TEXT(ROW()-4,"0000"))</f>
        <v/>
      </c>
      <c r="C681" s="33"/>
      <c r="D681" s="24"/>
      <c r="E681" s="30" t="str">
        <f aca="false">IF($D681="","",IFERROR(INDEX(合同单位,MATCH($D681,合同键,0)),IFERROR(TRIM(LEFT($D681,FIND("｜",$D681)-1)),$D681)))</f>
        <v/>
      </c>
      <c r="F681" s="30" t="str">
        <f aca="false">IF($D681="","",IFERROR(INDEX(合同项目,MATCH($D681,合同键,0)),IFERROR(TRIM(MID($D681,FIND("｜",$D681)+1,99)),"")))</f>
        <v/>
      </c>
      <c r="G681" s="39"/>
      <c r="H681" s="25"/>
      <c r="I681" s="35" t="str">
        <f aca="false">IF($H681="","",IFERROR(INDEX(票据归类表,MATCH($H681,票据类型表,0)),"现金无票"))</f>
        <v/>
      </c>
      <c r="J681" s="25"/>
      <c r="K681" s="25"/>
      <c r="L681" s="31"/>
      <c r="M681" s="29" t="str">
        <f aca="false">IF($C681="","",YEAR($C681))</f>
        <v/>
      </c>
      <c r="N681" s="24"/>
      <c r="O681" s="35" t="str">
        <f aca="false">IF($C681="","",IF($D681="","★没选客户项目",IF(COUNTIF(合同键,$D681)=0,"★《维保合同》里没这个项目",IF(N($G681)&lt;=0,"★收款金额要填",IF($H681="","★票据类型要选",IF(AND($L681&lt;&gt;"",COUNTIF(应收单号,$L681)=0),"★关联的应收单号不存在",IF(AND($L681&lt;&gt;"",IFERROR(INDEX(应收键,MATCH($L681,应收单号,0)),"")&lt;&gt;$D681),"★关联单号不是这个客户的",IF(AND($L681&lt;&gt;"",ROUND(SUMIF(收款关联,$L681,收款金额)-IFERROR(INDEX(应收金额,MATCH($L681,应收单号,0)),0),2)&gt;0.001),"★指定冲销超过那张单的应收","OK"))))))))</f>
        <v/>
      </c>
    </row>
    <row r="682" customFormat="false" ht="15" hidden="false" customHeight="false" outlineLevel="0" collapsed="false">
      <c r="A682" s="29" t="str">
        <f aca="false">IF($C682="","",ROW()-4)</f>
        <v/>
      </c>
      <c r="B682" s="35" t="str">
        <f aca="false">IF($C682="","","SK"&amp;TEXT($C682,"yyyymm")&amp;"-"&amp;TEXT(ROW()-4,"0000"))</f>
        <v/>
      </c>
      <c r="C682" s="33"/>
      <c r="D682" s="24"/>
      <c r="E682" s="30" t="str">
        <f aca="false">IF($D682="","",IFERROR(INDEX(合同单位,MATCH($D682,合同键,0)),IFERROR(TRIM(LEFT($D682,FIND("｜",$D682)-1)),$D682)))</f>
        <v/>
      </c>
      <c r="F682" s="30" t="str">
        <f aca="false">IF($D682="","",IFERROR(INDEX(合同项目,MATCH($D682,合同键,0)),IFERROR(TRIM(MID($D682,FIND("｜",$D682)+1,99)),"")))</f>
        <v/>
      </c>
      <c r="G682" s="39"/>
      <c r="H682" s="25"/>
      <c r="I682" s="35" t="str">
        <f aca="false">IF($H682="","",IFERROR(INDEX(票据归类表,MATCH($H682,票据类型表,0)),"现金无票"))</f>
        <v/>
      </c>
      <c r="J682" s="25"/>
      <c r="K682" s="25"/>
      <c r="L682" s="31"/>
      <c r="M682" s="29" t="str">
        <f aca="false">IF($C682="","",YEAR($C682))</f>
        <v/>
      </c>
      <c r="N682" s="24"/>
      <c r="O682" s="35" t="str">
        <f aca="false">IF($C682="","",IF($D682="","★没选客户项目",IF(COUNTIF(合同键,$D682)=0,"★《维保合同》里没这个项目",IF(N($G682)&lt;=0,"★收款金额要填",IF($H682="","★票据类型要选",IF(AND($L682&lt;&gt;"",COUNTIF(应收单号,$L682)=0),"★关联的应收单号不存在",IF(AND($L682&lt;&gt;"",IFERROR(INDEX(应收键,MATCH($L682,应收单号,0)),"")&lt;&gt;$D682),"★关联单号不是这个客户的",IF(AND($L682&lt;&gt;"",ROUND(SUMIF(收款关联,$L682,收款金额)-IFERROR(INDEX(应收金额,MATCH($L682,应收单号,0)),0),2)&gt;0.001),"★指定冲销超过那张单的应收","OK"))))))))</f>
        <v/>
      </c>
    </row>
    <row r="683" customFormat="false" ht="15" hidden="false" customHeight="false" outlineLevel="0" collapsed="false">
      <c r="A683" s="29" t="str">
        <f aca="false">IF($C683="","",ROW()-4)</f>
        <v/>
      </c>
      <c r="B683" s="35" t="str">
        <f aca="false">IF($C683="","","SK"&amp;TEXT($C683,"yyyymm")&amp;"-"&amp;TEXT(ROW()-4,"0000"))</f>
        <v/>
      </c>
      <c r="C683" s="33"/>
      <c r="D683" s="24"/>
      <c r="E683" s="30" t="str">
        <f aca="false">IF($D683="","",IFERROR(INDEX(合同单位,MATCH($D683,合同键,0)),IFERROR(TRIM(LEFT($D683,FIND("｜",$D683)-1)),$D683)))</f>
        <v/>
      </c>
      <c r="F683" s="30" t="str">
        <f aca="false">IF($D683="","",IFERROR(INDEX(合同项目,MATCH($D683,合同键,0)),IFERROR(TRIM(MID($D683,FIND("｜",$D683)+1,99)),"")))</f>
        <v/>
      </c>
      <c r="G683" s="39"/>
      <c r="H683" s="25"/>
      <c r="I683" s="35" t="str">
        <f aca="false">IF($H683="","",IFERROR(INDEX(票据归类表,MATCH($H683,票据类型表,0)),"现金无票"))</f>
        <v/>
      </c>
      <c r="J683" s="25"/>
      <c r="K683" s="25"/>
      <c r="L683" s="31"/>
      <c r="M683" s="29" t="str">
        <f aca="false">IF($C683="","",YEAR($C683))</f>
        <v/>
      </c>
      <c r="N683" s="24"/>
      <c r="O683" s="35" t="str">
        <f aca="false">IF($C683="","",IF($D683="","★没选客户项目",IF(COUNTIF(合同键,$D683)=0,"★《维保合同》里没这个项目",IF(N($G683)&lt;=0,"★收款金额要填",IF($H683="","★票据类型要选",IF(AND($L683&lt;&gt;"",COUNTIF(应收单号,$L683)=0),"★关联的应收单号不存在",IF(AND($L683&lt;&gt;"",IFERROR(INDEX(应收键,MATCH($L683,应收单号,0)),"")&lt;&gt;$D683),"★关联单号不是这个客户的",IF(AND($L683&lt;&gt;"",ROUND(SUMIF(收款关联,$L683,收款金额)-IFERROR(INDEX(应收金额,MATCH($L683,应收单号,0)),0),2)&gt;0.001),"★指定冲销超过那张单的应收","OK"))))))))</f>
        <v/>
      </c>
    </row>
    <row r="684" customFormat="false" ht="15" hidden="false" customHeight="false" outlineLevel="0" collapsed="false">
      <c r="A684" s="29" t="str">
        <f aca="false">IF($C684="","",ROW()-4)</f>
        <v/>
      </c>
      <c r="B684" s="35" t="str">
        <f aca="false">IF($C684="","","SK"&amp;TEXT($C684,"yyyymm")&amp;"-"&amp;TEXT(ROW()-4,"0000"))</f>
        <v/>
      </c>
      <c r="C684" s="33"/>
      <c r="D684" s="24"/>
      <c r="E684" s="30" t="str">
        <f aca="false">IF($D684="","",IFERROR(INDEX(合同单位,MATCH($D684,合同键,0)),IFERROR(TRIM(LEFT($D684,FIND("｜",$D684)-1)),$D684)))</f>
        <v/>
      </c>
      <c r="F684" s="30" t="str">
        <f aca="false">IF($D684="","",IFERROR(INDEX(合同项目,MATCH($D684,合同键,0)),IFERROR(TRIM(MID($D684,FIND("｜",$D684)+1,99)),"")))</f>
        <v/>
      </c>
      <c r="G684" s="39"/>
      <c r="H684" s="25"/>
      <c r="I684" s="35" t="str">
        <f aca="false">IF($H684="","",IFERROR(INDEX(票据归类表,MATCH($H684,票据类型表,0)),"现金无票"))</f>
        <v/>
      </c>
      <c r="J684" s="25"/>
      <c r="K684" s="25"/>
      <c r="L684" s="31"/>
      <c r="M684" s="29" t="str">
        <f aca="false">IF($C684="","",YEAR($C684))</f>
        <v/>
      </c>
      <c r="N684" s="24"/>
      <c r="O684" s="35" t="str">
        <f aca="false">IF($C684="","",IF($D684="","★没选客户项目",IF(COUNTIF(合同键,$D684)=0,"★《维保合同》里没这个项目",IF(N($G684)&lt;=0,"★收款金额要填",IF($H684="","★票据类型要选",IF(AND($L684&lt;&gt;"",COUNTIF(应收单号,$L684)=0),"★关联的应收单号不存在",IF(AND($L684&lt;&gt;"",IFERROR(INDEX(应收键,MATCH($L684,应收单号,0)),"")&lt;&gt;$D684),"★关联单号不是这个客户的",IF(AND($L684&lt;&gt;"",ROUND(SUMIF(收款关联,$L684,收款金额)-IFERROR(INDEX(应收金额,MATCH($L684,应收单号,0)),0),2)&gt;0.001),"★指定冲销超过那张单的应收","OK"))))))))</f>
        <v/>
      </c>
    </row>
    <row r="685" customFormat="false" ht="15" hidden="false" customHeight="false" outlineLevel="0" collapsed="false">
      <c r="A685" s="29" t="str">
        <f aca="false">IF($C685="","",ROW()-4)</f>
        <v/>
      </c>
      <c r="B685" s="35" t="str">
        <f aca="false">IF($C685="","","SK"&amp;TEXT($C685,"yyyymm")&amp;"-"&amp;TEXT(ROW()-4,"0000"))</f>
        <v/>
      </c>
      <c r="C685" s="33"/>
      <c r="D685" s="24"/>
      <c r="E685" s="30" t="str">
        <f aca="false">IF($D685="","",IFERROR(INDEX(合同单位,MATCH($D685,合同键,0)),IFERROR(TRIM(LEFT($D685,FIND("｜",$D685)-1)),$D685)))</f>
        <v/>
      </c>
      <c r="F685" s="30" t="str">
        <f aca="false">IF($D685="","",IFERROR(INDEX(合同项目,MATCH($D685,合同键,0)),IFERROR(TRIM(MID($D685,FIND("｜",$D685)+1,99)),"")))</f>
        <v/>
      </c>
      <c r="G685" s="39"/>
      <c r="H685" s="25"/>
      <c r="I685" s="35" t="str">
        <f aca="false">IF($H685="","",IFERROR(INDEX(票据归类表,MATCH($H685,票据类型表,0)),"现金无票"))</f>
        <v/>
      </c>
      <c r="J685" s="25"/>
      <c r="K685" s="25"/>
      <c r="L685" s="31"/>
      <c r="M685" s="29" t="str">
        <f aca="false">IF($C685="","",YEAR($C685))</f>
        <v/>
      </c>
      <c r="N685" s="24"/>
      <c r="O685" s="35" t="str">
        <f aca="false">IF($C685="","",IF($D685="","★没选客户项目",IF(COUNTIF(合同键,$D685)=0,"★《维保合同》里没这个项目",IF(N($G685)&lt;=0,"★收款金额要填",IF($H685="","★票据类型要选",IF(AND($L685&lt;&gt;"",COUNTIF(应收单号,$L685)=0),"★关联的应收单号不存在",IF(AND($L685&lt;&gt;"",IFERROR(INDEX(应收键,MATCH($L685,应收单号,0)),"")&lt;&gt;$D685),"★关联单号不是这个客户的",IF(AND($L685&lt;&gt;"",ROUND(SUMIF(收款关联,$L685,收款金额)-IFERROR(INDEX(应收金额,MATCH($L685,应收单号,0)),0),2)&gt;0.001),"★指定冲销超过那张单的应收","OK"))))))))</f>
        <v/>
      </c>
    </row>
    <row r="686" customFormat="false" ht="15" hidden="false" customHeight="false" outlineLevel="0" collapsed="false">
      <c r="A686" s="29" t="str">
        <f aca="false">IF($C686="","",ROW()-4)</f>
        <v/>
      </c>
      <c r="B686" s="35" t="str">
        <f aca="false">IF($C686="","","SK"&amp;TEXT($C686,"yyyymm")&amp;"-"&amp;TEXT(ROW()-4,"0000"))</f>
        <v/>
      </c>
      <c r="C686" s="33"/>
      <c r="D686" s="24"/>
      <c r="E686" s="30" t="str">
        <f aca="false">IF($D686="","",IFERROR(INDEX(合同单位,MATCH($D686,合同键,0)),IFERROR(TRIM(LEFT($D686,FIND("｜",$D686)-1)),$D686)))</f>
        <v/>
      </c>
      <c r="F686" s="30" t="str">
        <f aca="false">IF($D686="","",IFERROR(INDEX(合同项目,MATCH($D686,合同键,0)),IFERROR(TRIM(MID($D686,FIND("｜",$D686)+1,99)),"")))</f>
        <v/>
      </c>
      <c r="G686" s="39"/>
      <c r="H686" s="25"/>
      <c r="I686" s="35" t="str">
        <f aca="false">IF($H686="","",IFERROR(INDEX(票据归类表,MATCH($H686,票据类型表,0)),"现金无票"))</f>
        <v/>
      </c>
      <c r="J686" s="25"/>
      <c r="K686" s="25"/>
      <c r="L686" s="31"/>
      <c r="M686" s="29" t="str">
        <f aca="false">IF($C686="","",YEAR($C686))</f>
        <v/>
      </c>
      <c r="N686" s="24"/>
      <c r="O686" s="35" t="str">
        <f aca="false">IF($C686="","",IF($D686="","★没选客户项目",IF(COUNTIF(合同键,$D686)=0,"★《维保合同》里没这个项目",IF(N($G686)&lt;=0,"★收款金额要填",IF($H686="","★票据类型要选",IF(AND($L686&lt;&gt;"",COUNTIF(应收单号,$L686)=0),"★关联的应收单号不存在",IF(AND($L686&lt;&gt;"",IFERROR(INDEX(应收键,MATCH($L686,应收单号,0)),"")&lt;&gt;$D686),"★关联单号不是这个客户的",IF(AND($L686&lt;&gt;"",ROUND(SUMIF(收款关联,$L686,收款金额)-IFERROR(INDEX(应收金额,MATCH($L686,应收单号,0)),0),2)&gt;0.001),"★指定冲销超过那张单的应收","OK"))))))))</f>
        <v/>
      </c>
    </row>
    <row r="687" customFormat="false" ht="15" hidden="false" customHeight="false" outlineLevel="0" collapsed="false">
      <c r="A687" s="29" t="str">
        <f aca="false">IF($C687="","",ROW()-4)</f>
        <v/>
      </c>
      <c r="B687" s="35" t="str">
        <f aca="false">IF($C687="","","SK"&amp;TEXT($C687,"yyyymm")&amp;"-"&amp;TEXT(ROW()-4,"0000"))</f>
        <v/>
      </c>
      <c r="C687" s="33"/>
      <c r="D687" s="24"/>
      <c r="E687" s="30" t="str">
        <f aca="false">IF($D687="","",IFERROR(INDEX(合同单位,MATCH($D687,合同键,0)),IFERROR(TRIM(LEFT($D687,FIND("｜",$D687)-1)),$D687)))</f>
        <v/>
      </c>
      <c r="F687" s="30" t="str">
        <f aca="false">IF($D687="","",IFERROR(INDEX(合同项目,MATCH($D687,合同键,0)),IFERROR(TRIM(MID($D687,FIND("｜",$D687)+1,99)),"")))</f>
        <v/>
      </c>
      <c r="G687" s="39"/>
      <c r="H687" s="25"/>
      <c r="I687" s="35" t="str">
        <f aca="false">IF($H687="","",IFERROR(INDEX(票据归类表,MATCH($H687,票据类型表,0)),"现金无票"))</f>
        <v/>
      </c>
      <c r="J687" s="25"/>
      <c r="K687" s="25"/>
      <c r="L687" s="31"/>
      <c r="M687" s="29" t="str">
        <f aca="false">IF($C687="","",YEAR($C687))</f>
        <v/>
      </c>
      <c r="N687" s="24"/>
      <c r="O687" s="35" t="str">
        <f aca="false">IF($C687="","",IF($D687="","★没选客户项目",IF(COUNTIF(合同键,$D687)=0,"★《维保合同》里没这个项目",IF(N($G687)&lt;=0,"★收款金额要填",IF($H687="","★票据类型要选",IF(AND($L687&lt;&gt;"",COUNTIF(应收单号,$L687)=0),"★关联的应收单号不存在",IF(AND($L687&lt;&gt;"",IFERROR(INDEX(应收键,MATCH($L687,应收单号,0)),"")&lt;&gt;$D687),"★关联单号不是这个客户的",IF(AND($L687&lt;&gt;"",ROUND(SUMIF(收款关联,$L687,收款金额)-IFERROR(INDEX(应收金额,MATCH($L687,应收单号,0)),0),2)&gt;0.001),"★指定冲销超过那张单的应收","OK"))))))))</f>
        <v/>
      </c>
    </row>
    <row r="688" customFormat="false" ht="15" hidden="false" customHeight="false" outlineLevel="0" collapsed="false">
      <c r="A688" s="29" t="str">
        <f aca="false">IF($C688="","",ROW()-4)</f>
        <v/>
      </c>
      <c r="B688" s="35" t="str">
        <f aca="false">IF($C688="","","SK"&amp;TEXT($C688,"yyyymm")&amp;"-"&amp;TEXT(ROW()-4,"0000"))</f>
        <v/>
      </c>
      <c r="C688" s="33"/>
      <c r="D688" s="24"/>
      <c r="E688" s="30" t="str">
        <f aca="false">IF($D688="","",IFERROR(INDEX(合同单位,MATCH($D688,合同键,0)),IFERROR(TRIM(LEFT($D688,FIND("｜",$D688)-1)),$D688)))</f>
        <v/>
      </c>
      <c r="F688" s="30" t="str">
        <f aca="false">IF($D688="","",IFERROR(INDEX(合同项目,MATCH($D688,合同键,0)),IFERROR(TRIM(MID($D688,FIND("｜",$D688)+1,99)),"")))</f>
        <v/>
      </c>
      <c r="G688" s="39"/>
      <c r="H688" s="25"/>
      <c r="I688" s="35" t="str">
        <f aca="false">IF($H688="","",IFERROR(INDEX(票据归类表,MATCH($H688,票据类型表,0)),"现金无票"))</f>
        <v/>
      </c>
      <c r="J688" s="25"/>
      <c r="K688" s="25"/>
      <c r="L688" s="31"/>
      <c r="M688" s="29" t="str">
        <f aca="false">IF($C688="","",YEAR($C688))</f>
        <v/>
      </c>
      <c r="N688" s="24"/>
      <c r="O688" s="35" t="str">
        <f aca="false">IF($C688="","",IF($D688="","★没选客户项目",IF(COUNTIF(合同键,$D688)=0,"★《维保合同》里没这个项目",IF(N($G688)&lt;=0,"★收款金额要填",IF($H688="","★票据类型要选",IF(AND($L688&lt;&gt;"",COUNTIF(应收单号,$L688)=0),"★关联的应收单号不存在",IF(AND($L688&lt;&gt;"",IFERROR(INDEX(应收键,MATCH($L688,应收单号,0)),"")&lt;&gt;$D688),"★关联单号不是这个客户的",IF(AND($L688&lt;&gt;"",ROUND(SUMIF(收款关联,$L688,收款金额)-IFERROR(INDEX(应收金额,MATCH($L688,应收单号,0)),0),2)&gt;0.001),"★指定冲销超过那张单的应收","OK"))))))))</f>
        <v/>
      </c>
    </row>
    <row r="689" customFormat="false" ht="15" hidden="false" customHeight="false" outlineLevel="0" collapsed="false">
      <c r="A689" s="29" t="str">
        <f aca="false">IF($C689="","",ROW()-4)</f>
        <v/>
      </c>
      <c r="B689" s="35" t="str">
        <f aca="false">IF($C689="","","SK"&amp;TEXT($C689,"yyyymm")&amp;"-"&amp;TEXT(ROW()-4,"0000"))</f>
        <v/>
      </c>
      <c r="C689" s="33"/>
      <c r="D689" s="24"/>
      <c r="E689" s="30" t="str">
        <f aca="false">IF($D689="","",IFERROR(INDEX(合同单位,MATCH($D689,合同键,0)),IFERROR(TRIM(LEFT($D689,FIND("｜",$D689)-1)),$D689)))</f>
        <v/>
      </c>
      <c r="F689" s="30" t="str">
        <f aca="false">IF($D689="","",IFERROR(INDEX(合同项目,MATCH($D689,合同键,0)),IFERROR(TRIM(MID($D689,FIND("｜",$D689)+1,99)),"")))</f>
        <v/>
      </c>
      <c r="G689" s="39"/>
      <c r="H689" s="25"/>
      <c r="I689" s="35" t="str">
        <f aca="false">IF($H689="","",IFERROR(INDEX(票据归类表,MATCH($H689,票据类型表,0)),"现金无票"))</f>
        <v/>
      </c>
      <c r="J689" s="25"/>
      <c r="K689" s="25"/>
      <c r="L689" s="31"/>
      <c r="M689" s="29" t="str">
        <f aca="false">IF($C689="","",YEAR($C689))</f>
        <v/>
      </c>
      <c r="N689" s="24"/>
      <c r="O689" s="35" t="str">
        <f aca="false">IF($C689="","",IF($D689="","★没选客户项目",IF(COUNTIF(合同键,$D689)=0,"★《维保合同》里没这个项目",IF(N($G689)&lt;=0,"★收款金额要填",IF($H689="","★票据类型要选",IF(AND($L689&lt;&gt;"",COUNTIF(应收单号,$L689)=0),"★关联的应收单号不存在",IF(AND($L689&lt;&gt;"",IFERROR(INDEX(应收键,MATCH($L689,应收单号,0)),"")&lt;&gt;$D689),"★关联单号不是这个客户的",IF(AND($L689&lt;&gt;"",ROUND(SUMIF(收款关联,$L689,收款金额)-IFERROR(INDEX(应收金额,MATCH($L689,应收单号,0)),0),2)&gt;0.001),"★指定冲销超过那张单的应收","OK"))))))))</f>
        <v/>
      </c>
    </row>
    <row r="690" customFormat="false" ht="15" hidden="false" customHeight="false" outlineLevel="0" collapsed="false">
      <c r="A690" s="29" t="str">
        <f aca="false">IF($C690="","",ROW()-4)</f>
        <v/>
      </c>
      <c r="B690" s="35" t="str">
        <f aca="false">IF($C690="","","SK"&amp;TEXT($C690,"yyyymm")&amp;"-"&amp;TEXT(ROW()-4,"0000"))</f>
        <v/>
      </c>
      <c r="C690" s="33"/>
      <c r="D690" s="24"/>
      <c r="E690" s="30" t="str">
        <f aca="false">IF($D690="","",IFERROR(INDEX(合同单位,MATCH($D690,合同键,0)),IFERROR(TRIM(LEFT($D690,FIND("｜",$D690)-1)),$D690)))</f>
        <v/>
      </c>
      <c r="F690" s="30" t="str">
        <f aca="false">IF($D690="","",IFERROR(INDEX(合同项目,MATCH($D690,合同键,0)),IFERROR(TRIM(MID($D690,FIND("｜",$D690)+1,99)),"")))</f>
        <v/>
      </c>
      <c r="G690" s="39"/>
      <c r="H690" s="25"/>
      <c r="I690" s="35" t="str">
        <f aca="false">IF($H690="","",IFERROR(INDEX(票据归类表,MATCH($H690,票据类型表,0)),"现金无票"))</f>
        <v/>
      </c>
      <c r="J690" s="25"/>
      <c r="K690" s="25"/>
      <c r="L690" s="31"/>
      <c r="M690" s="29" t="str">
        <f aca="false">IF($C690="","",YEAR($C690))</f>
        <v/>
      </c>
      <c r="N690" s="24"/>
      <c r="O690" s="35" t="str">
        <f aca="false">IF($C690="","",IF($D690="","★没选客户项目",IF(COUNTIF(合同键,$D690)=0,"★《维保合同》里没这个项目",IF(N($G690)&lt;=0,"★收款金额要填",IF($H690="","★票据类型要选",IF(AND($L690&lt;&gt;"",COUNTIF(应收单号,$L690)=0),"★关联的应收单号不存在",IF(AND($L690&lt;&gt;"",IFERROR(INDEX(应收键,MATCH($L690,应收单号,0)),"")&lt;&gt;$D690),"★关联单号不是这个客户的",IF(AND($L690&lt;&gt;"",ROUND(SUMIF(收款关联,$L690,收款金额)-IFERROR(INDEX(应收金额,MATCH($L690,应收单号,0)),0),2)&gt;0.001),"★指定冲销超过那张单的应收","OK"))))))))</f>
        <v/>
      </c>
    </row>
    <row r="691" customFormat="false" ht="15" hidden="false" customHeight="false" outlineLevel="0" collapsed="false">
      <c r="A691" s="29" t="str">
        <f aca="false">IF($C691="","",ROW()-4)</f>
        <v/>
      </c>
      <c r="B691" s="35" t="str">
        <f aca="false">IF($C691="","","SK"&amp;TEXT($C691,"yyyymm")&amp;"-"&amp;TEXT(ROW()-4,"0000"))</f>
        <v/>
      </c>
      <c r="C691" s="33"/>
      <c r="D691" s="24"/>
      <c r="E691" s="30" t="str">
        <f aca="false">IF($D691="","",IFERROR(INDEX(合同单位,MATCH($D691,合同键,0)),IFERROR(TRIM(LEFT($D691,FIND("｜",$D691)-1)),$D691)))</f>
        <v/>
      </c>
      <c r="F691" s="30" t="str">
        <f aca="false">IF($D691="","",IFERROR(INDEX(合同项目,MATCH($D691,合同键,0)),IFERROR(TRIM(MID($D691,FIND("｜",$D691)+1,99)),"")))</f>
        <v/>
      </c>
      <c r="G691" s="39"/>
      <c r="H691" s="25"/>
      <c r="I691" s="35" t="str">
        <f aca="false">IF($H691="","",IFERROR(INDEX(票据归类表,MATCH($H691,票据类型表,0)),"现金无票"))</f>
        <v/>
      </c>
      <c r="J691" s="25"/>
      <c r="K691" s="25"/>
      <c r="L691" s="31"/>
      <c r="M691" s="29" t="str">
        <f aca="false">IF($C691="","",YEAR($C691))</f>
        <v/>
      </c>
      <c r="N691" s="24"/>
      <c r="O691" s="35" t="str">
        <f aca="false">IF($C691="","",IF($D691="","★没选客户项目",IF(COUNTIF(合同键,$D691)=0,"★《维保合同》里没这个项目",IF(N($G691)&lt;=0,"★收款金额要填",IF($H691="","★票据类型要选",IF(AND($L691&lt;&gt;"",COUNTIF(应收单号,$L691)=0),"★关联的应收单号不存在",IF(AND($L691&lt;&gt;"",IFERROR(INDEX(应收键,MATCH($L691,应收单号,0)),"")&lt;&gt;$D691),"★关联单号不是这个客户的",IF(AND($L691&lt;&gt;"",ROUND(SUMIF(收款关联,$L691,收款金额)-IFERROR(INDEX(应收金额,MATCH($L691,应收单号,0)),0),2)&gt;0.001),"★指定冲销超过那张单的应收","OK"))))))))</f>
        <v/>
      </c>
    </row>
    <row r="692" customFormat="false" ht="15" hidden="false" customHeight="false" outlineLevel="0" collapsed="false">
      <c r="A692" s="29" t="str">
        <f aca="false">IF($C692="","",ROW()-4)</f>
        <v/>
      </c>
      <c r="B692" s="35" t="str">
        <f aca="false">IF($C692="","","SK"&amp;TEXT($C692,"yyyymm")&amp;"-"&amp;TEXT(ROW()-4,"0000"))</f>
        <v/>
      </c>
      <c r="C692" s="33"/>
      <c r="D692" s="24"/>
      <c r="E692" s="30" t="str">
        <f aca="false">IF($D692="","",IFERROR(INDEX(合同单位,MATCH($D692,合同键,0)),IFERROR(TRIM(LEFT($D692,FIND("｜",$D692)-1)),$D692)))</f>
        <v/>
      </c>
      <c r="F692" s="30" t="str">
        <f aca="false">IF($D692="","",IFERROR(INDEX(合同项目,MATCH($D692,合同键,0)),IFERROR(TRIM(MID($D692,FIND("｜",$D692)+1,99)),"")))</f>
        <v/>
      </c>
      <c r="G692" s="39"/>
      <c r="H692" s="25"/>
      <c r="I692" s="35" t="str">
        <f aca="false">IF($H692="","",IFERROR(INDEX(票据归类表,MATCH($H692,票据类型表,0)),"现金无票"))</f>
        <v/>
      </c>
      <c r="J692" s="25"/>
      <c r="K692" s="25"/>
      <c r="L692" s="31"/>
      <c r="M692" s="29" t="str">
        <f aca="false">IF($C692="","",YEAR($C692))</f>
        <v/>
      </c>
      <c r="N692" s="24"/>
      <c r="O692" s="35" t="str">
        <f aca="false">IF($C692="","",IF($D692="","★没选客户项目",IF(COUNTIF(合同键,$D692)=0,"★《维保合同》里没这个项目",IF(N($G692)&lt;=0,"★收款金额要填",IF($H692="","★票据类型要选",IF(AND($L692&lt;&gt;"",COUNTIF(应收单号,$L692)=0),"★关联的应收单号不存在",IF(AND($L692&lt;&gt;"",IFERROR(INDEX(应收键,MATCH($L692,应收单号,0)),"")&lt;&gt;$D692),"★关联单号不是这个客户的",IF(AND($L692&lt;&gt;"",ROUND(SUMIF(收款关联,$L692,收款金额)-IFERROR(INDEX(应收金额,MATCH($L692,应收单号,0)),0),2)&gt;0.001),"★指定冲销超过那张单的应收","OK"))))))))</f>
        <v/>
      </c>
    </row>
    <row r="693" customFormat="false" ht="15" hidden="false" customHeight="false" outlineLevel="0" collapsed="false">
      <c r="A693" s="29" t="str">
        <f aca="false">IF($C693="","",ROW()-4)</f>
        <v/>
      </c>
      <c r="B693" s="35" t="str">
        <f aca="false">IF($C693="","","SK"&amp;TEXT($C693,"yyyymm")&amp;"-"&amp;TEXT(ROW()-4,"0000"))</f>
        <v/>
      </c>
      <c r="C693" s="33"/>
      <c r="D693" s="24"/>
      <c r="E693" s="30" t="str">
        <f aca="false">IF($D693="","",IFERROR(INDEX(合同单位,MATCH($D693,合同键,0)),IFERROR(TRIM(LEFT($D693,FIND("｜",$D693)-1)),$D693)))</f>
        <v/>
      </c>
      <c r="F693" s="30" t="str">
        <f aca="false">IF($D693="","",IFERROR(INDEX(合同项目,MATCH($D693,合同键,0)),IFERROR(TRIM(MID($D693,FIND("｜",$D693)+1,99)),"")))</f>
        <v/>
      </c>
      <c r="G693" s="39"/>
      <c r="H693" s="25"/>
      <c r="I693" s="35" t="str">
        <f aca="false">IF($H693="","",IFERROR(INDEX(票据归类表,MATCH($H693,票据类型表,0)),"现金无票"))</f>
        <v/>
      </c>
      <c r="J693" s="25"/>
      <c r="K693" s="25"/>
      <c r="L693" s="31"/>
      <c r="M693" s="29" t="str">
        <f aca="false">IF($C693="","",YEAR($C693))</f>
        <v/>
      </c>
      <c r="N693" s="24"/>
      <c r="O693" s="35" t="str">
        <f aca="false">IF($C693="","",IF($D693="","★没选客户项目",IF(COUNTIF(合同键,$D693)=0,"★《维保合同》里没这个项目",IF(N($G693)&lt;=0,"★收款金额要填",IF($H693="","★票据类型要选",IF(AND($L693&lt;&gt;"",COUNTIF(应收单号,$L693)=0),"★关联的应收单号不存在",IF(AND($L693&lt;&gt;"",IFERROR(INDEX(应收键,MATCH($L693,应收单号,0)),"")&lt;&gt;$D693),"★关联单号不是这个客户的",IF(AND($L693&lt;&gt;"",ROUND(SUMIF(收款关联,$L693,收款金额)-IFERROR(INDEX(应收金额,MATCH($L693,应收单号,0)),0),2)&gt;0.001),"★指定冲销超过那张单的应收","OK"))))))))</f>
        <v/>
      </c>
    </row>
    <row r="694" customFormat="false" ht="15" hidden="false" customHeight="false" outlineLevel="0" collapsed="false">
      <c r="A694" s="29" t="str">
        <f aca="false">IF($C694="","",ROW()-4)</f>
        <v/>
      </c>
      <c r="B694" s="35" t="str">
        <f aca="false">IF($C694="","","SK"&amp;TEXT($C694,"yyyymm")&amp;"-"&amp;TEXT(ROW()-4,"0000"))</f>
        <v/>
      </c>
      <c r="C694" s="33"/>
      <c r="D694" s="24"/>
      <c r="E694" s="30" t="str">
        <f aca="false">IF($D694="","",IFERROR(INDEX(合同单位,MATCH($D694,合同键,0)),IFERROR(TRIM(LEFT($D694,FIND("｜",$D694)-1)),$D694)))</f>
        <v/>
      </c>
      <c r="F694" s="30" t="str">
        <f aca="false">IF($D694="","",IFERROR(INDEX(合同项目,MATCH($D694,合同键,0)),IFERROR(TRIM(MID($D694,FIND("｜",$D694)+1,99)),"")))</f>
        <v/>
      </c>
      <c r="G694" s="39"/>
      <c r="H694" s="25"/>
      <c r="I694" s="35" t="str">
        <f aca="false">IF($H694="","",IFERROR(INDEX(票据归类表,MATCH($H694,票据类型表,0)),"现金无票"))</f>
        <v/>
      </c>
      <c r="J694" s="25"/>
      <c r="K694" s="25"/>
      <c r="L694" s="31"/>
      <c r="M694" s="29" t="str">
        <f aca="false">IF($C694="","",YEAR($C694))</f>
        <v/>
      </c>
      <c r="N694" s="24"/>
      <c r="O694" s="35" t="str">
        <f aca="false">IF($C694="","",IF($D694="","★没选客户项目",IF(COUNTIF(合同键,$D694)=0,"★《维保合同》里没这个项目",IF(N($G694)&lt;=0,"★收款金额要填",IF($H694="","★票据类型要选",IF(AND($L694&lt;&gt;"",COUNTIF(应收单号,$L694)=0),"★关联的应收单号不存在",IF(AND($L694&lt;&gt;"",IFERROR(INDEX(应收键,MATCH($L694,应收单号,0)),"")&lt;&gt;$D694),"★关联单号不是这个客户的",IF(AND($L694&lt;&gt;"",ROUND(SUMIF(收款关联,$L694,收款金额)-IFERROR(INDEX(应收金额,MATCH($L694,应收单号,0)),0),2)&gt;0.001),"★指定冲销超过那张单的应收","OK"))))))))</f>
        <v/>
      </c>
    </row>
    <row r="695" customFormat="false" ht="15" hidden="false" customHeight="false" outlineLevel="0" collapsed="false">
      <c r="A695" s="29" t="str">
        <f aca="false">IF($C695="","",ROW()-4)</f>
        <v/>
      </c>
      <c r="B695" s="35" t="str">
        <f aca="false">IF($C695="","","SK"&amp;TEXT($C695,"yyyymm")&amp;"-"&amp;TEXT(ROW()-4,"0000"))</f>
        <v/>
      </c>
      <c r="C695" s="33"/>
      <c r="D695" s="24"/>
      <c r="E695" s="30" t="str">
        <f aca="false">IF($D695="","",IFERROR(INDEX(合同单位,MATCH($D695,合同键,0)),IFERROR(TRIM(LEFT($D695,FIND("｜",$D695)-1)),$D695)))</f>
        <v/>
      </c>
      <c r="F695" s="30" t="str">
        <f aca="false">IF($D695="","",IFERROR(INDEX(合同项目,MATCH($D695,合同键,0)),IFERROR(TRIM(MID($D695,FIND("｜",$D695)+1,99)),"")))</f>
        <v/>
      </c>
      <c r="G695" s="39"/>
      <c r="H695" s="25"/>
      <c r="I695" s="35" t="str">
        <f aca="false">IF($H695="","",IFERROR(INDEX(票据归类表,MATCH($H695,票据类型表,0)),"现金无票"))</f>
        <v/>
      </c>
      <c r="J695" s="25"/>
      <c r="K695" s="25"/>
      <c r="L695" s="31"/>
      <c r="M695" s="29" t="str">
        <f aca="false">IF($C695="","",YEAR($C695))</f>
        <v/>
      </c>
      <c r="N695" s="24"/>
      <c r="O695" s="35" t="str">
        <f aca="false">IF($C695="","",IF($D695="","★没选客户项目",IF(COUNTIF(合同键,$D695)=0,"★《维保合同》里没这个项目",IF(N($G695)&lt;=0,"★收款金额要填",IF($H695="","★票据类型要选",IF(AND($L695&lt;&gt;"",COUNTIF(应收单号,$L695)=0),"★关联的应收单号不存在",IF(AND($L695&lt;&gt;"",IFERROR(INDEX(应收键,MATCH($L695,应收单号,0)),"")&lt;&gt;$D695),"★关联单号不是这个客户的",IF(AND($L695&lt;&gt;"",ROUND(SUMIF(收款关联,$L695,收款金额)-IFERROR(INDEX(应收金额,MATCH($L695,应收单号,0)),0),2)&gt;0.001),"★指定冲销超过那张单的应收","OK"))))))))</f>
        <v/>
      </c>
    </row>
    <row r="696" customFormat="false" ht="15" hidden="false" customHeight="false" outlineLevel="0" collapsed="false">
      <c r="A696" s="29" t="str">
        <f aca="false">IF($C696="","",ROW()-4)</f>
        <v/>
      </c>
      <c r="B696" s="35" t="str">
        <f aca="false">IF($C696="","","SK"&amp;TEXT($C696,"yyyymm")&amp;"-"&amp;TEXT(ROW()-4,"0000"))</f>
        <v/>
      </c>
      <c r="C696" s="33"/>
      <c r="D696" s="24"/>
      <c r="E696" s="30" t="str">
        <f aca="false">IF($D696="","",IFERROR(INDEX(合同单位,MATCH($D696,合同键,0)),IFERROR(TRIM(LEFT($D696,FIND("｜",$D696)-1)),$D696)))</f>
        <v/>
      </c>
      <c r="F696" s="30" t="str">
        <f aca="false">IF($D696="","",IFERROR(INDEX(合同项目,MATCH($D696,合同键,0)),IFERROR(TRIM(MID($D696,FIND("｜",$D696)+1,99)),"")))</f>
        <v/>
      </c>
      <c r="G696" s="39"/>
      <c r="H696" s="25"/>
      <c r="I696" s="35" t="str">
        <f aca="false">IF($H696="","",IFERROR(INDEX(票据归类表,MATCH($H696,票据类型表,0)),"现金无票"))</f>
        <v/>
      </c>
      <c r="J696" s="25"/>
      <c r="K696" s="25"/>
      <c r="L696" s="31"/>
      <c r="M696" s="29" t="str">
        <f aca="false">IF($C696="","",YEAR($C696))</f>
        <v/>
      </c>
      <c r="N696" s="24"/>
      <c r="O696" s="35" t="str">
        <f aca="false">IF($C696="","",IF($D696="","★没选客户项目",IF(COUNTIF(合同键,$D696)=0,"★《维保合同》里没这个项目",IF(N($G696)&lt;=0,"★收款金额要填",IF($H696="","★票据类型要选",IF(AND($L696&lt;&gt;"",COUNTIF(应收单号,$L696)=0),"★关联的应收单号不存在",IF(AND($L696&lt;&gt;"",IFERROR(INDEX(应收键,MATCH($L696,应收单号,0)),"")&lt;&gt;$D696),"★关联单号不是这个客户的",IF(AND($L696&lt;&gt;"",ROUND(SUMIF(收款关联,$L696,收款金额)-IFERROR(INDEX(应收金额,MATCH($L696,应收单号,0)),0),2)&gt;0.001),"★指定冲销超过那张单的应收","OK"))))))))</f>
        <v/>
      </c>
    </row>
    <row r="697" customFormat="false" ht="15" hidden="false" customHeight="false" outlineLevel="0" collapsed="false">
      <c r="A697" s="29" t="str">
        <f aca="false">IF($C697="","",ROW()-4)</f>
        <v/>
      </c>
      <c r="B697" s="35" t="str">
        <f aca="false">IF($C697="","","SK"&amp;TEXT($C697,"yyyymm")&amp;"-"&amp;TEXT(ROW()-4,"0000"))</f>
        <v/>
      </c>
      <c r="C697" s="33"/>
      <c r="D697" s="24"/>
      <c r="E697" s="30" t="str">
        <f aca="false">IF($D697="","",IFERROR(INDEX(合同单位,MATCH($D697,合同键,0)),IFERROR(TRIM(LEFT($D697,FIND("｜",$D697)-1)),$D697)))</f>
        <v/>
      </c>
      <c r="F697" s="30" t="str">
        <f aca="false">IF($D697="","",IFERROR(INDEX(合同项目,MATCH($D697,合同键,0)),IFERROR(TRIM(MID($D697,FIND("｜",$D697)+1,99)),"")))</f>
        <v/>
      </c>
      <c r="G697" s="39"/>
      <c r="H697" s="25"/>
      <c r="I697" s="35" t="str">
        <f aca="false">IF($H697="","",IFERROR(INDEX(票据归类表,MATCH($H697,票据类型表,0)),"现金无票"))</f>
        <v/>
      </c>
      <c r="J697" s="25"/>
      <c r="K697" s="25"/>
      <c r="L697" s="31"/>
      <c r="M697" s="29" t="str">
        <f aca="false">IF($C697="","",YEAR($C697))</f>
        <v/>
      </c>
      <c r="N697" s="24"/>
      <c r="O697" s="35" t="str">
        <f aca="false">IF($C697="","",IF($D697="","★没选客户项目",IF(COUNTIF(合同键,$D697)=0,"★《维保合同》里没这个项目",IF(N($G697)&lt;=0,"★收款金额要填",IF($H697="","★票据类型要选",IF(AND($L697&lt;&gt;"",COUNTIF(应收单号,$L697)=0),"★关联的应收单号不存在",IF(AND($L697&lt;&gt;"",IFERROR(INDEX(应收键,MATCH($L697,应收单号,0)),"")&lt;&gt;$D697),"★关联单号不是这个客户的",IF(AND($L697&lt;&gt;"",ROUND(SUMIF(收款关联,$L697,收款金额)-IFERROR(INDEX(应收金额,MATCH($L697,应收单号,0)),0),2)&gt;0.001),"★指定冲销超过那张单的应收","OK"))))))))</f>
        <v/>
      </c>
    </row>
    <row r="698" customFormat="false" ht="15" hidden="false" customHeight="false" outlineLevel="0" collapsed="false">
      <c r="A698" s="29" t="str">
        <f aca="false">IF($C698="","",ROW()-4)</f>
        <v/>
      </c>
      <c r="B698" s="35" t="str">
        <f aca="false">IF($C698="","","SK"&amp;TEXT($C698,"yyyymm")&amp;"-"&amp;TEXT(ROW()-4,"0000"))</f>
        <v/>
      </c>
      <c r="C698" s="33"/>
      <c r="D698" s="24"/>
      <c r="E698" s="30" t="str">
        <f aca="false">IF($D698="","",IFERROR(INDEX(合同单位,MATCH($D698,合同键,0)),IFERROR(TRIM(LEFT($D698,FIND("｜",$D698)-1)),$D698)))</f>
        <v/>
      </c>
      <c r="F698" s="30" t="str">
        <f aca="false">IF($D698="","",IFERROR(INDEX(合同项目,MATCH($D698,合同键,0)),IFERROR(TRIM(MID($D698,FIND("｜",$D698)+1,99)),"")))</f>
        <v/>
      </c>
      <c r="G698" s="39"/>
      <c r="H698" s="25"/>
      <c r="I698" s="35" t="str">
        <f aca="false">IF($H698="","",IFERROR(INDEX(票据归类表,MATCH($H698,票据类型表,0)),"现金无票"))</f>
        <v/>
      </c>
      <c r="J698" s="25"/>
      <c r="K698" s="25"/>
      <c r="L698" s="31"/>
      <c r="M698" s="29" t="str">
        <f aca="false">IF($C698="","",YEAR($C698))</f>
        <v/>
      </c>
      <c r="N698" s="24"/>
      <c r="O698" s="35" t="str">
        <f aca="false">IF($C698="","",IF($D698="","★没选客户项目",IF(COUNTIF(合同键,$D698)=0,"★《维保合同》里没这个项目",IF(N($G698)&lt;=0,"★收款金额要填",IF($H698="","★票据类型要选",IF(AND($L698&lt;&gt;"",COUNTIF(应收单号,$L698)=0),"★关联的应收单号不存在",IF(AND($L698&lt;&gt;"",IFERROR(INDEX(应收键,MATCH($L698,应收单号,0)),"")&lt;&gt;$D698),"★关联单号不是这个客户的",IF(AND($L698&lt;&gt;"",ROUND(SUMIF(收款关联,$L698,收款金额)-IFERROR(INDEX(应收金额,MATCH($L698,应收单号,0)),0),2)&gt;0.001),"★指定冲销超过那张单的应收","OK"))))))))</f>
        <v/>
      </c>
    </row>
    <row r="699" customFormat="false" ht="15" hidden="false" customHeight="false" outlineLevel="0" collapsed="false">
      <c r="A699" s="29" t="str">
        <f aca="false">IF($C699="","",ROW()-4)</f>
        <v/>
      </c>
      <c r="B699" s="35" t="str">
        <f aca="false">IF($C699="","","SK"&amp;TEXT($C699,"yyyymm")&amp;"-"&amp;TEXT(ROW()-4,"0000"))</f>
        <v/>
      </c>
      <c r="C699" s="33"/>
      <c r="D699" s="24"/>
      <c r="E699" s="30" t="str">
        <f aca="false">IF($D699="","",IFERROR(INDEX(合同单位,MATCH($D699,合同键,0)),IFERROR(TRIM(LEFT($D699,FIND("｜",$D699)-1)),$D699)))</f>
        <v/>
      </c>
      <c r="F699" s="30" t="str">
        <f aca="false">IF($D699="","",IFERROR(INDEX(合同项目,MATCH($D699,合同键,0)),IFERROR(TRIM(MID($D699,FIND("｜",$D699)+1,99)),"")))</f>
        <v/>
      </c>
      <c r="G699" s="39"/>
      <c r="H699" s="25"/>
      <c r="I699" s="35" t="str">
        <f aca="false">IF($H699="","",IFERROR(INDEX(票据归类表,MATCH($H699,票据类型表,0)),"现金无票"))</f>
        <v/>
      </c>
      <c r="J699" s="25"/>
      <c r="K699" s="25"/>
      <c r="L699" s="31"/>
      <c r="M699" s="29" t="str">
        <f aca="false">IF($C699="","",YEAR($C699))</f>
        <v/>
      </c>
      <c r="N699" s="24"/>
      <c r="O699" s="35" t="str">
        <f aca="false">IF($C699="","",IF($D699="","★没选客户项目",IF(COUNTIF(合同键,$D699)=0,"★《维保合同》里没这个项目",IF(N($G699)&lt;=0,"★收款金额要填",IF($H699="","★票据类型要选",IF(AND($L699&lt;&gt;"",COUNTIF(应收单号,$L699)=0),"★关联的应收单号不存在",IF(AND($L699&lt;&gt;"",IFERROR(INDEX(应收键,MATCH($L699,应收单号,0)),"")&lt;&gt;$D699),"★关联单号不是这个客户的",IF(AND($L699&lt;&gt;"",ROUND(SUMIF(收款关联,$L699,收款金额)-IFERROR(INDEX(应收金额,MATCH($L699,应收单号,0)),0),2)&gt;0.001),"★指定冲销超过那张单的应收","OK"))))))))</f>
        <v/>
      </c>
    </row>
    <row r="700" customFormat="false" ht="15" hidden="false" customHeight="false" outlineLevel="0" collapsed="false">
      <c r="A700" s="29" t="str">
        <f aca="false">IF($C700="","",ROW()-4)</f>
        <v/>
      </c>
      <c r="B700" s="35" t="str">
        <f aca="false">IF($C700="","","SK"&amp;TEXT($C700,"yyyymm")&amp;"-"&amp;TEXT(ROW()-4,"0000"))</f>
        <v/>
      </c>
      <c r="C700" s="33"/>
      <c r="D700" s="24"/>
      <c r="E700" s="30" t="str">
        <f aca="false">IF($D700="","",IFERROR(INDEX(合同单位,MATCH($D700,合同键,0)),IFERROR(TRIM(LEFT($D700,FIND("｜",$D700)-1)),$D700)))</f>
        <v/>
      </c>
      <c r="F700" s="30" t="str">
        <f aca="false">IF($D700="","",IFERROR(INDEX(合同项目,MATCH($D700,合同键,0)),IFERROR(TRIM(MID($D700,FIND("｜",$D700)+1,99)),"")))</f>
        <v/>
      </c>
      <c r="G700" s="39"/>
      <c r="H700" s="25"/>
      <c r="I700" s="35" t="str">
        <f aca="false">IF($H700="","",IFERROR(INDEX(票据归类表,MATCH($H700,票据类型表,0)),"现金无票"))</f>
        <v/>
      </c>
      <c r="J700" s="25"/>
      <c r="K700" s="25"/>
      <c r="L700" s="31"/>
      <c r="M700" s="29" t="str">
        <f aca="false">IF($C700="","",YEAR($C700))</f>
        <v/>
      </c>
      <c r="N700" s="24"/>
      <c r="O700" s="35" t="str">
        <f aca="false">IF($C700="","",IF($D700="","★没选客户项目",IF(COUNTIF(合同键,$D700)=0,"★《维保合同》里没这个项目",IF(N($G700)&lt;=0,"★收款金额要填",IF($H700="","★票据类型要选",IF(AND($L700&lt;&gt;"",COUNTIF(应收单号,$L700)=0),"★关联的应收单号不存在",IF(AND($L700&lt;&gt;"",IFERROR(INDEX(应收键,MATCH($L700,应收单号,0)),"")&lt;&gt;$D700),"★关联单号不是这个客户的",IF(AND($L700&lt;&gt;"",ROUND(SUMIF(收款关联,$L700,收款金额)-IFERROR(INDEX(应收金额,MATCH($L700,应收单号,0)),0),2)&gt;0.001),"★指定冲销超过那张单的应收","OK"))))))))</f>
        <v/>
      </c>
    </row>
    <row r="701" customFormat="false" ht="15" hidden="false" customHeight="false" outlineLevel="0" collapsed="false">
      <c r="A701" s="29" t="str">
        <f aca="false">IF($C701="","",ROW()-4)</f>
        <v/>
      </c>
      <c r="B701" s="35" t="str">
        <f aca="false">IF($C701="","","SK"&amp;TEXT($C701,"yyyymm")&amp;"-"&amp;TEXT(ROW()-4,"0000"))</f>
        <v/>
      </c>
      <c r="C701" s="33"/>
      <c r="D701" s="24"/>
      <c r="E701" s="30" t="str">
        <f aca="false">IF($D701="","",IFERROR(INDEX(合同单位,MATCH($D701,合同键,0)),IFERROR(TRIM(LEFT($D701,FIND("｜",$D701)-1)),$D701)))</f>
        <v/>
      </c>
      <c r="F701" s="30" t="str">
        <f aca="false">IF($D701="","",IFERROR(INDEX(合同项目,MATCH($D701,合同键,0)),IFERROR(TRIM(MID($D701,FIND("｜",$D701)+1,99)),"")))</f>
        <v/>
      </c>
      <c r="G701" s="39"/>
      <c r="H701" s="25"/>
      <c r="I701" s="35" t="str">
        <f aca="false">IF($H701="","",IFERROR(INDEX(票据归类表,MATCH($H701,票据类型表,0)),"现金无票"))</f>
        <v/>
      </c>
      <c r="J701" s="25"/>
      <c r="K701" s="25"/>
      <c r="L701" s="31"/>
      <c r="M701" s="29" t="str">
        <f aca="false">IF($C701="","",YEAR($C701))</f>
        <v/>
      </c>
      <c r="N701" s="24"/>
      <c r="O701" s="35" t="str">
        <f aca="false">IF($C701="","",IF($D701="","★没选客户项目",IF(COUNTIF(合同键,$D701)=0,"★《维保合同》里没这个项目",IF(N($G701)&lt;=0,"★收款金额要填",IF($H701="","★票据类型要选",IF(AND($L701&lt;&gt;"",COUNTIF(应收单号,$L701)=0),"★关联的应收单号不存在",IF(AND($L701&lt;&gt;"",IFERROR(INDEX(应收键,MATCH($L701,应收单号,0)),"")&lt;&gt;$D701),"★关联单号不是这个客户的",IF(AND($L701&lt;&gt;"",ROUND(SUMIF(收款关联,$L701,收款金额)-IFERROR(INDEX(应收金额,MATCH($L701,应收单号,0)),0),2)&gt;0.001),"★指定冲销超过那张单的应收","OK"))))))))</f>
        <v/>
      </c>
    </row>
    <row r="702" customFormat="false" ht="15" hidden="false" customHeight="false" outlineLevel="0" collapsed="false">
      <c r="A702" s="29" t="str">
        <f aca="false">IF($C702="","",ROW()-4)</f>
        <v/>
      </c>
      <c r="B702" s="35" t="str">
        <f aca="false">IF($C702="","","SK"&amp;TEXT($C702,"yyyymm")&amp;"-"&amp;TEXT(ROW()-4,"0000"))</f>
        <v/>
      </c>
      <c r="C702" s="33"/>
      <c r="D702" s="24"/>
      <c r="E702" s="30" t="str">
        <f aca="false">IF($D702="","",IFERROR(INDEX(合同单位,MATCH($D702,合同键,0)),IFERROR(TRIM(LEFT($D702,FIND("｜",$D702)-1)),$D702)))</f>
        <v/>
      </c>
      <c r="F702" s="30" t="str">
        <f aca="false">IF($D702="","",IFERROR(INDEX(合同项目,MATCH($D702,合同键,0)),IFERROR(TRIM(MID($D702,FIND("｜",$D702)+1,99)),"")))</f>
        <v/>
      </c>
      <c r="G702" s="39"/>
      <c r="H702" s="25"/>
      <c r="I702" s="35" t="str">
        <f aca="false">IF($H702="","",IFERROR(INDEX(票据归类表,MATCH($H702,票据类型表,0)),"现金无票"))</f>
        <v/>
      </c>
      <c r="J702" s="25"/>
      <c r="K702" s="25"/>
      <c r="L702" s="31"/>
      <c r="M702" s="29" t="str">
        <f aca="false">IF($C702="","",YEAR($C702))</f>
        <v/>
      </c>
      <c r="N702" s="24"/>
      <c r="O702" s="35" t="str">
        <f aca="false">IF($C702="","",IF($D702="","★没选客户项目",IF(COUNTIF(合同键,$D702)=0,"★《维保合同》里没这个项目",IF(N($G702)&lt;=0,"★收款金额要填",IF($H702="","★票据类型要选",IF(AND($L702&lt;&gt;"",COUNTIF(应收单号,$L702)=0),"★关联的应收单号不存在",IF(AND($L702&lt;&gt;"",IFERROR(INDEX(应收键,MATCH($L702,应收单号,0)),"")&lt;&gt;$D702),"★关联单号不是这个客户的",IF(AND($L702&lt;&gt;"",ROUND(SUMIF(收款关联,$L702,收款金额)-IFERROR(INDEX(应收金额,MATCH($L702,应收单号,0)),0),2)&gt;0.001),"★指定冲销超过那张单的应收","OK"))))))))</f>
        <v/>
      </c>
    </row>
    <row r="703" customFormat="false" ht="15" hidden="false" customHeight="false" outlineLevel="0" collapsed="false">
      <c r="A703" s="29" t="str">
        <f aca="false">IF($C703="","",ROW()-4)</f>
        <v/>
      </c>
      <c r="B703" s="35" t="str">
        <f aca="false">IF($C703="","","SK"&amp;TEXT($C703,"yyyymm")&amp;"-"&amp;TEXT(ROW()-4,"0000"))</f>
        <v/>
      </c>
      <c r="C703" s="33"/>
      <c r="D703" s="24"/>
      <c r="E703" s="30" t="str">
        <f aca="false">IF($D703="","",IFERROR(INDEX(合同单位,MATCH($D703,合同键,0)),IFERROR(TRIM(LEFT($D703,FIND("｜",$D703)-1)),$D703)))</f>
        <v/>
      </c>
      <c r="F703" s="30" t="str">
        <f aca="false">IF($D703="","",IFERROR(INDEX(合同项目,MATCH($D703,合同键,0)),IFERROR(TRIM(MID($D703,FIND("｜",$D703)+1,99)),"")))</f>
        <v/>
      </c>
      <c r="G703" s="39"/>
      <c r="H703" s="25"/>
      <c r="I703" s="35" t="str">
        <f aca="false">IF($H703="","",IFERROR(INDEX(票据归类表,MATCH($H703,票据类型表,0)),"现金无票"))</f>
        <v/>
      </c>
      <c r="J703" s="25"/>
      <c r="K703" s="25"/>
      <c r="L703" s="31"/>
      <c r="M703" s="29" t="str">
        <f aca="false">IF($C703="","",YEAR($C703))</f>
        <v/>
      </c>
      <c r="N703" s="24"/>
      <c r="O703" s="35" t="str">
        <f aca="false">IF($C703="","",IF($D703="","★没选客户项目",IF(COUNTIF(合同键,$D703)=0,"★《维保合同》里没这个项目",IF(N($G703)&lt;=0,"★收款金额要填",IF($H703="","★票据类型要选",IF(AND($L703&lt;&gt;"",COUNTIF(应收单号,$L703)=0),"★关联的应收单号不存在",IF(AND($L703&lt;&gt;"",IFERROR(INDEX(应收键,MATCH($L703,应收单号,0)),"")&lt;&gt;$D703),"★关联单号不是这个客户的",IF(AND($L703&lt;&gt;"",ROUND(SUMIF(收款关联,$L703,收款金额)-IFERROR(INDEX(应收金额,MATCH($L703,应收单号,0)),0),2)&gt;0.001),"★指定冲销超过那张单的应收","OK"))))))))</f>
        <v/>
      </c>
    </row>
    <row r="704" customFormat="false" ht="15" hidden="false" customHeight="false" outlineLevel="0" collapsed="false">
      <c r="A704" s="29" t="str">
        <f aca="false">IF($C704="","",ROW()-4)</f>
        <v/>
      </c>
      <c r="B704" s="35" t="str">
        <f aca="false">IF($C704="","","SK"&amp;TEXT($C704,"yyyymm")&amp;"-"&amp;TEXT(ROW()-4,"0000"))</f>
        <v/>
      </c>
      <c r="C704" s="33"/>
      <c r="D704" s="24"/>
      <c r="E704" s="30" t="str">
        <f aca="false">IF($D704="","",IFERROR(INDEX(合同单位,MATCH($D704,合同键,0)),IFERROR(TRIM(LEFT($D704,FIND("｜",$D704)-1)),$D704)))</f>
        <v/>
      </c>
      <c r="F704" s="30" t="str">
        <f aca="false">IF($D704="","",IFERROR(INDEX(合同项目,MATCH($D704,合同键,0)),IFERROR(TRIM(MID($D704,FIND("｜",$D704)+1,99)),"")))</f>
        <v/>
      </c>
      <c r="G704" s="39"/>
      <c r="H704" s="25"/>
      <c r="I704" s="35" t="str">
        <f aca="false">IF($H704="","",IFERROR(INDEX(票据归类表,MATCH($H704,票据类型表,0)),"现金无票"))</f>
        <v/>
      </c>
      <c r="J704" s="25"/>
      <c r="K704" s="25"/>
      <c r="L704" s="31"/>
      <c r="M704" s="29" t="str">
        <f aca="false">IF($C704="","",YEAR($C704))</f>
        <v/>
      </c>
      <c r="N704" s="24"/>
      <c r="O704" s="35" t="str">
        <f aca="false">IF($C704="","",IF($D704="","★没选客户项目",IF(COUNTIF(合同键,$D704)=0,"★《维保合同》里没这个项目",IF(N($G704)&lt;=0,"★收款金额要填",IF($H704="","★票据类型要选",IF(AND($L704&lt;&gt;"",COUNTIF(应收单号,$L704)=0),"★关联的应收单号不存在",IF(AND($L704&lt;&gt;"",IFERROR(INDEX(应收键,MATCH($L704,应收单号,0)),"")&lt;&gt;$D704),"★关联单号不是这个客户的",IF(AND($L704&lt;&gt;"",ROUND(SUMIF(收款关联,$L704,收款金额)-IFERROR(INDEX(应收金额,MATCH($L704,应收单号,0)),0),2)&gt;0.001),"★指定冲销超过那张单的应收","OK"))))))))</f>
        <v/>
      </c>
    </row>
    <row r="705" customFormat="false" ht="15" hidden="false" customHeight="false" outlineLevel="0" collapsed="false">
      <c r="A705" s="29" t="str">
        <f aca="false">IF($C705="","",ROW()-4)</f>
        <v/>
      </c>
      <c r="B705" s="35" t="str">
        <f aca="false">IF($C705="","","SK"&amp;TEXT($C705,"yyyymm")&amp;"-"&amp;TEXT(ROW()-4,"0000"))</f>
        <v/>
      </c>
      <c r="C705" s="33"/>
      <c r="D705" s="24"/>
      <c r="E705" s="30" t="str">
        <f aca="false">IF($D705="","",IFERROR(INDEX(合同单位,MATCH($D705,合同键,0)),IFERROR(TRIM(LEFT($D705,FIND("｜",$D705)-1)),$D705)))</f>
        <v/>
      </c>
      <c r="F705" s="30" t="str">
        <f aca="false">IF($D705="","",IFERROR(INDEX(合同项目,MATCH($D705,合同键,0)),IFERROR(TRIM(MID($D705,FIND("｜",$D705)+1,99)),"")))</f>
        <v/>
      </c>
      <c r="G705" s="39"/>
      <c r="H705" s="25"/>
      <c r="I705" s="35" t="str">
        <f aca="false">IF($H705="","",IFERROR(INDEX(票据归类表,MATCH($H705,票据类型表,0)),"现金无票"))</f>
        <v/>
      </c>
      <c r="J705" s="25"/>
      <c r="K705" s="25"/>
      <c r="L705" s="31"/>
      <c r="M705" s="29" t="str">
        <f aca="false">IF($C705="","",YEAR($C705))</f>
        <v/>
      </c>
      <c r="N705" s="24"/>
      <c r="O705" s="35" t="str">
        <f aca="false">IF($C705="","",IF($D705="","★没选客户项目",IF(COUNTIF(合同键,$D705)=0,"★《维保合同》里没这个项目",IF(N($G705)&lt;=0,"★收款金额要填",IF($H705="","★票据类型要选",IF(AND($L705&lt;&gt;"",COUNTIF(应收单号,$L705)=0),"★关联的应收单号不存在",IF(AND($L705&lt;&gt;"",IFERROR(INDEX(应收键,MATCH($L705,应收单号,0)),"")&lt;&gt;$D705),"★关联单号不是这个客户的",IF(AND($L705&lt;&gt;"",ROUND(SUMIF(收款关联,$L705,收款金额)-IFERROR(INDEX(应收金额,MATCH($L705,应收单号,0)),0),2)&gt;0.001),"★指定冲销超过那张单的应收","OK"))))))))</f>
        <v/>
      </c>
    </row>
    <row r="706" customFormat="false" ht="15" hidden="false" customHeight="false" outlineLevel="0" collapsed="false">
      <c r="A706" s="29" t="str">
        <f aca="false">IF($C706="","",ROW()-4)</f>
        <v/>
      </c>
      <c r="B706" s="35" t="str">
        <f aca="false">IF($C706="","","SK"&amp;TEXT($C706,"yyyymm")&amp;"-"&amp;TEXT(ROW()-4,"0000"))</f>
        <v/>
      </c>
      <c r="C706" s="33"/>
      <c r="D706" s="24"/>
      <c r="E706" s="30" t="str">
        <f aca="false">IF($D706="","",IFERROR(INDEX(合同单位,MATCH($D706,合同键,0)),IFERROR(TRIM(LEFT($D706,FIND("｜",$D706)-1)),$D706)))</f>
        <v/>
      </c>
      <c r="F706" s="30" t="str">
        <f aca="false">IF($D706="","",IFERROR(INDEX(合同项目,MATCH($D706,合同键,0)),IFERROR(TRIM(MID($D706,FIND("｜",$D706)+1,99)),"")))</f>
        <v/>
      </c>
      <c r="G706" s="39"/>
      <c r="H706" s="25"/>
      <c r="I706" s="35" t="str">
        <f aca="false">IF($H706="","",IFERROR(INDEX(票据归类表,MATCH($H706,票据类型表,0)),"现金无票"))</f>
        <v/>
      </c>
      <c r="J706" s="25"/>
      <c r="K706" s="25"/>
      <c r="L706" s="31"/>
      <c r="M706" s="29" t="str">
        <f aca="false">IF($C706="","",YEAR($C706))</f>
        <v/>
      </c>
      <c r="N706" s="24"/>
      <c r="O706" s="35" t="str">
        <f aca="false">IF($C706="","",IF($D706="","★没选客户项目",IF(COUNTIF(合同键,$D706)=0,"★《维保合同》里没这个项目",IF(N($G706)&lt;=0,"★收款金额要填",IF($H706="","★票据类型要选",IF(AND($L706&lt;&gt;"",COUNTIF(应收单号,$L706)=0),"★关联的应收单号不存在",IF(AND($L706&lt;&gt;"",IFERROR(INDEX(应收键,MATCH($L706,应收单号,0)),"")&lt;&gt;$D706),"★关联单号不是这个客户的",IF(AND($L706&lt;&gt;"",ROUND(SUMIF(收款关联,$L706,收款金额)-IFERROR(INDEX(应收金额,MATCH($L706,应收单号,0)),0),2)&gt;0.001),"★指定冲销超过那张单的应收","OK"))))))))</f>
        <v/>
      </c>
    </row>
    <row r="707" customFormat="false" ht="15" hidden="false" customHeight="false" outlineLevel="0" collapsed="false">
      <c r="A707" s="29" t="str">
        <f aca="false">IF($C707="","",ROW()-4)</f>
        <v/>
      </c>
      <c r="B707" s="35" t="str">
        <f aca="false">IF($C707="","","SK"&amp;TEXT($C707,"yyyymm")&amp;"-"&amp;TEXT(ROW()-4,"0000"))</f>
        <v/>
      </c>
      <c r="C707" s="33"/>
      <c r="D707" s="24"/>
      <c r="E707" s="30" t="str">
        <f aca="false">IF($D707="","",IFERROR(INDEX(合同单位,MATCH($D707,合同键,0)),IFERROR(TRIM(LEFT($D707,FIND("｜",$D707)-1)),$D707)))</f>
        <v/>
      </c>
      <c r="F707" s="30" t="str">
        <f aca="false">IF($D707="","",IFERROR(INDEX(合同项目,MATCH($D707,合同键,0)),IFERROR(TRIM(MID($D707,FIND("｜",$D707)+1,99)),"")))</f>
        <v/>
      </c>
      <c r="G707" s="39"/>
      <c r="H707" s="25"/>
      <c r="I707" s="35" t="str">
        <f aca="false">IF($H707="","",IFERROR(INDEX(票据归类表,MATCH($H707,票据类型表,0)),"现金无票"))</f>
        <v/>
      </c>
      <c r="J707" s="25"/>
      <c r="K707" s="25"/>
      <c r="L707" s="31"/>
      <c r="M707" s="29" t="str">
        <f aca="false">IF($C707="","",YEAR($C707))</f>
        <v/>
      </c>
      <c r="N707" s="24"/>
      <c r="O707" s="35" t="str">
        <f aca="false">IF($C707="","",IF($D707="","★没选客户项目",IF(COUNTIF(合同键,$D707)=0,"★《维保合同》里没这个项目",IF(N($G707)&lt;=0,"★收款金额要填",IF($H707="","★票据类型要选",IF(AND($L707&lt;&gt;"",COUNTIF(应收单号,$L707)=0),"★关联的应收单号不存在",IF(AND($L707&lt;&gt;"",IFERROR(INDEX(应收键,MATCH($L707,应收单号,0)),"")&lt;&gt;$D707),"★关联单号不是这个客户的",IF(AND($L707&lt;&gt;"",ROUND(SUMIF(收款关联,$L707,收款金额)-IFERROR(INDEX(应收金额,MATCH($L707,应收单号,0)),0),2)&gt;0.001),"★指定冲销超过那张单的应收","OK"))))))))</f>
        <v/>
      </c>
    </row>
    <row r="708" customFormat="false" ht="15" hidden="false" customHeight="false" outlineLevel="0" collapsed="false">
      <c r="A708" s="29" t="str">
        <f aca="false">IF($C708="","",ROW()-4)</f>
        <v/>
      </c>
      <c r="B708" s="35" t="str">
        <f aca="false">IF($C708="","","SK"&amp;TEXT($C708,"yyyymm")&amp;"-"&amp;TEXT(ROW()-4,"0000"))</f>
        <v/>
      </c>
      <c r="C708" s="33"/>
      <c r="D708" s="24"/>
      <c r="E708" s="30" t="str">
        <f aca="false">IF($D708="","",IFERROR(INDEX(合同单位,MATCH($D708,合同键,0)),IFERROR(TRIM(LEFT($D708,FIND("｜",$D708)-1)),$D708)))</f>
        <v/>
      </c>
      <c r="F708" s="30" t="str">
        <f aca="false">IF($D708="","",IFERROR(INDEX(合同项目,MATCH($D708,合同键,0)),IFERROR(TRIM(MID($D708,FIND("｜",$D708)+1,99)),"")))</f>
        <v/>
      </c>
      <c r="G708" s="39"/>
      <c r="H708" s="25"/>
      <c r="I708" s="35" t="str">
        <f aca="false">IF($H708="","",IFERROR(INDEX(票据归类表,MATCH($H708,票据类型表,0)),"现金无票"))</f>
        <v/>
      </c>
      <c r="J708" s="25"/>
      <c r="K708" s="25"/>
      <c r="L708" s="31"/>
      <c r="M708" s="29" t="str">
        <f aca="false">IF($C708="","",YEAR($C708))</f>
        <v/>
      </c>
      <c r="N708" s="24"/>
      <c r="O708" s="35" t="str">
        <f aca="false">IF($C708="","",IF($D708="","★没选客户项目",IF(COUNTIF(合同键,$D708)=0,"★《维保合同》里没这个项目",IF(N($G708)&lt;=0,"★收款金额要填",IF($H708="","★票据类型要选",IF(AND($L708&lt;&gt;"",COUNTIF(应收单号,$L708)=0),"★关联的应收单号不存在",IF(AND($L708&lt;&gt;"",IFERROR(INDEX(应收键,MATCH($L708,应收单号,0)),"")&lt;&gt;$D708),"★关联单号不是这个客户的",IF(AND($L708&lt;&gt;"",ROUND(SUMIF(收款关联,$L708,收款金额)-IFERROR(INDEX(应收金额,MATCH($L708,应收单号,0)),0),2)&gt;0.001),"★指定冲销超过那张单的应收","OK"))))))))</f>
        <v/>
      </c>
    </row>
    <row r="709" customFormat="false" ht="15" hidden="false" customHeight="false" outlineLevel="0" collapsed="false">
      <c r="A709" s="29" t="str">
        <f aca="false">IF($C709="","",ROW()-4)</f>
        <v/>
      </c>
      <c r="B709" s="35" t="str">
        <f aca="false">IF($C709="","","SK"&amp;TEXT($C709,"yyyymm")&amp;"-"&amp;TEXT(ROW()-4,"0000"))</f>
        <v/>
      </c>
      <c r="C709" s="33"/>
      <c r="D709" s="24"/>
      <c r="E709" s="30" t="str">
        <f aca="false">IF($D709="","",IFERROR(INDEX(合同单位,MATCH($D709,合同键,0)),IFERROR(TRIM(LEFT($D709,FIND("｜",$D709)-1)),$D709)))</f>
        <v/>
      </c>
      <c r="F709" s="30" t="str">
        <f aca="false">IF($D709="","",IFERROR(INDEX(合同项目,MATCH($D709,合同键,0)),IFERROR(TRIM(MID($D709,FIND("｜",$D709)+1,99)),"")))</f>
        <v/>
      </c>
      <c r="G709" s="39"/>
      <c r="H709" s="25"/>
      <c r="I709" s="35" t="str">
        <f aca="false">IF($H709="","",IFERROR(INDEX(票据归类表,MATCH($H709,票据类型表,0)),"现金无票"))</f>
        <v/>
      </c>
      <c r="J709" s="25"/>
      <c r="K709" s="25"/>
      <c r="L709" s="31"/>
      <c r="M709" s="29" t="str">
        <f aca="false">IF($C709="","",YEAR($C709))</f>
        <v/>
      </c>
      <c r="N709" s="24"/>
      <c r="O709" s="35" t="str">
        <f aca="false">IF($C709="","",IF($D709="","★没选客户项目",IF(COUNTIF(合同键,$D709)=0,"★《维保合同》里没这个项目",IF(N($G709)&lt;=0,"★收款金额要填",IF($H709="","★票据类型要选",IF(AND($L709&lt;&gt;"",COUNTIF(应收单号,$L709)=0),"★关联的应收单号不存在",IF(AND($L709&lt;&gt;"",IFERROR(INDEX(应收键,MATCH($L709,应收单号,0)),"")&lt;&gt;$D709),"★关联单号不是这个客户的",IF(AND($L709&lt;&gt;"",ROUND(SUMIF(收款关联,$L709,收款金额)-IFERROR(INDEX(应收金额,MATCH($L709,应收单号,0)),0),2)&gt;0.001),"★指定冲销超过那张单的应收","OK"))))))))</f>
        <v/>
      </c>
    </row>
    <row r="710" customFormat="false" ht="15" hidden="false" customHeight="false" outlineLevel="0" collapsed="false">
      <c r="A710" s="29" t="str">
        <f aca="false">IF($C710="","",ROW()-4)</f>
        <v/>
      </c>
      <c r="B710" s="35" t="str">
        <f aca="false">IF($C710="","","SK"&amp;TEXT($C710,"yyyymm")&amp;"-"&amp;TEXT(ROW()-4,"0000"))</f>
        <v/>
      </c>
      <c r="C710" s="33"/>
      <c r="D710" s="24"/>
      <c r="E710" s="30" t="str">
        <f aca="false">IF($D710="","",IFERROR(INDEX(合同单位,MATCH($D710,合同键,0)),IFERROR(TRIM(LEFT($D710,FIND("｜",$D710)-1)),$D710)))</f>
        <v/>
      </c>
      <c r="F710" s="30" t="str">
        <f aca="false">IF($D710="","",IFERROR(INDEX(合同项目,MATCH($D710,合同键,0)),IFERROR(TRIM(MID($D710,FIND("｜",$D710)+1,99)),"")))</f>
        <v/>
      </c>
      <c r="G710" s="39"/>
      <c r="H710" s="25"/>
      <c r="I710" s="35" t="str">
        <f aca="false">IF($H710="","",IFERROR(INDEX(票据归类表,MATCH($H710,票据类型表,0)),"现金无票"))</f>
        <v/>
      </c>
      <c r="J710" s="25"/>
      <c r="K710" s="25"/>
      <c r="L710" s="31"/>
      <c r="M710" s="29" t="str">
        <f aca="false">IF($C710="","",YEAR($C710))</f>
        <v/>
      </c>
      <c r="N710" s="24"/>
      <c r="O710" s="35" t="str">
        <f aca="false">IF($C710="","",IF($D710="","★没选客户项目",IF(COUNTIF(合同键,$D710)=0,"★《维保合同》里没这个项目",IF(N($G710)&lt;=0,"★收款金额要填",IF($H710="","★票据类型要选",IF(AND($L710&lt;&gt;"",COUNTIF(应收单号,$L710)=0),"★关联的应收单号不存在",IF(AND($L710&lt;&gt;"",IFERROR(INDEX(应收键,MATCH($L710,应收单号,0)),"")&lt;&gt;$D710),"★关联单号不是这个客户的",IF(AND($L710&lt;&gt;"",ROUND(SUMIF(收款关联,$L710,收款金额)-IFERROR(INDEX(应收金额,MATCH($L710,应收单号,0)),0),2)&gt;0.001),"★指定冲销超过那张单的应收","OK"))))))))</f>
        <v/>
      </c>
    </row>
    <row r="711" customFormat="false" ht="15" hidden="false" customHeight="false" outlineLevel="0" collapsed="false">
      <c r="A711" s="29" t="str">
        <f aca="false">IF($C711="","",ROW()-4)</f>
        <v/>
      </c>
      <c r="B711" s="35" t="str">
        <f aca="false">IF($C711="","","SK"&amp;TEXT($C711,"yyyymm")&amp;"-"&amp;TEXT(ROW()-4,"0000"))</f>
        <v/>
      </c>
      <c r="C711" s="33"/>
      <c r="D711" s="24"/>
      <c r="E711" s="30" t="str">
        <f aca="false">IF($D711="","",IFERROR(INDEX(合同单位,MATCH($D711,合同键,0)),IFERROR(TRIM(LEFT($D711,FIND("｜",$D711)-1)),$D711)))</f>
        <v/>
      </c>
      <c r="F711" s="30" t="str">
        <f aca="false">IF($D711="","",IFERROR(INDEX(合同项目,MATCH($D711,合同键,0)),IFERROR(TRIM(MID($D711,FIND("｜",$D711)+1,99)),"")))</f>
        <v/>
      </c>
      <c r="G711" s="39"/>
      <c r="H711" s="25"/>
      <c r="I711" s="35" t="str">
        <f aca="false">IF($H711="","",IFERROR(INDEX(票据归类表,MATCH($H711,票据类型表,0)),"现金无票"))</f>
        <v/>
      </c>
      <c r="J711" s="25"/>
      <c r="K711" s="25"/>
      <c r="L711" s="31"/>
      <c r="M711" s="29" t="str">
        <f aca="false">IF($C711="","",YEAR($C711))</f>
        <v/>
      </c>
      <c r="N711" s="24"/>
      <c r="O711" s="35" t="str">
        <f aca="false">IF($C711="","",IF($D711="","★没选客户项目",IF(COUNTIF(合同键,$D711)=0,"★《维保合同》里没这个项目",IF(N($G711)&lt;=0,"★收款金额要填",IF($H711="","★票据类型要选",IF(AND($L711&lt;&gt;"",COUNTIF(应收单号,$L711)=0),"★关联的应收单号不存在",IF(AND($L711&lt;&gt;"",IFERROR(INDEX(应收键,MATCH($L711,应收单号,0)),"")&lt;&gt;$D711),"★关联单号不是这个客户的",IF(AND($L711&lt;&gt;"",ROUND(SUMIF(收款关联,$L711,收款金额)-IFERROR(INDEX(应收金额,MATCH($L711,应收单号,0)),0),2)&gt;0.001),"★指定冲销超过那张单的应收","OK"))))))))</f>
        <v/>
      </c>
    </row>
    <row r="712" customFormat="false" ht="15" hidden="false" customHeight="false" outlineLevel="0" collapsed="false">
      <c r="A712" s="29" t="str">
        <f aca="false">IF($C712="","",ROW()-4)</f>
        <v/>
      </c>
      <c r="B712" s="35" t="str">
        <f aca="false">IF($C712="","","SK"&amp;TEXT($C712,"yyyymm")&amp;"-"&amp;TEXT(ROW()-4,"0000"))</f>
        <v/>
      </c>
      <c r="C712" s="33"/>
      <c r="D712" s="24"/>
      <c r="E712" s="30" t="str">
        <f aca="false">IF($D712="","",IFERROR(INDEX(合同单位,MATCH($D712,合同键,0)),IFERROR(TRIM(LEFT($D712,FIND("｜",$D712)-1)),$D712)))</f>
        <v/>
      </c>
      <c r="F712" s="30" t="str">
        <f aca="false">IF($D712="","",IFERROR(INDEX(合同项目,MATCH($D712,合同键,0)),IFERROR(TRIM(MID($D712,FIND("｜",$D712)+1,99)),"")))</f>
        <v/>
      </c>
      <c r="G712" s="39"/>
      <c r="H712" s="25"/>
      <c r="I712" s="35" t="str">
        <f aca="false">IF($H712="","",IFERROR(INDEX(票据归类表,MATCH($H712,票据类型表,0)),"现金无票"))</f>
        <v/>
      </c>
      <c r="J712" s="25"/>
      <c r="K712" s="25"/>
      <c r="L712" s="31"/>
      <c r="M712" s="29" t="str">
        <f aca="false">IF($C712="","",YEAR($C712))</f>
        <v/>
      </c>
      <c r="N712" s="24"/>
      <c r="O712" s="35" t="str">
        <f aca="false">IF($C712="","",IF($D712="","★没选客户项目",IF(COUNTIF(合同键,$D712)=0,"★《维保合同》里没这个项目",IF(N($G712)&lt;=0,"★收款金额要填",IF($H712="","★票据类型要选",IF(AND($L712&lt;&gt;"",COUNTIF(应收单号,$L712)=0),"★关联的应收单号不存在",IF(AND($L712&lt;&gt;"",IFERROR(INDEX(应收键,MATCH($L712,应收单号,0)),"")&lt;&gt;$D712),"★关联单号不是这个客户的",IF(AND($L712&lt;&gt;"",ROUND(SUMIF(收款关联,$L712,收款金额)-IFERROR(INDEX(应收金额,MATCH($L712,应收单号,0)),0),2)&gt;0.001),"★指定冲销超过那张单的应收","OK"))))))))</f>
        <v/>
      </c>
    </row>
    <row r="713" customFormat="false" ht="15" hidden="false" customHeight="false" outlineLevel="0" collapsed="false">
      <c r="A713" s="29" t="str">
        <f aca="false">IF($C713="","",ROW()-4)</f>
        <v/>
      </c>
      <c r="B713" s="35" t="str">
        <f aca="false">IF($C713="","","SK"&amp;TEXT($C713,"yyyymm")&amp;"-"&amp;TEXT(ROW()-4,"0000"))</f>
        <v/>
      </c>
      <c r="C713" s="33"/>
      <c r="D713" s="24"/>
      <c r="E713" s="30" t="str">
        <f aca="false">IF($D713="","",IFERROR(INDEX(合同单位,MATCH($D713,合同键,0)),IFERROR(TRIM(LEFT($D713,FIND("｜",$D713)-1)),$D713)))</f>
        <v/>
      </c>
      <c r="F713" s="30" t="str">
        <f aca="false">IF($D713="","",IFERROR(INDEX(合同项目,MATCH($D713,合同键,0)),IFERROR(TRIM(MID($D713,FIND("｜",$D713)+1,99)),"")))</f>
        <v/>
      </c>
      <c r="G713" s="39"/>
      <c r="H713" s="25"/>
      <c r="I713" s="35" t="str">
        <f aca="false">IF($H713="","",IFERROR(INDEX(票据归类表,MATCH($H713,票据类型表,0)),"现金无票"))</f>
        <v/>
      </c>
      <c r="J713" s="25"/>
      <c r="K713" s="25"/>
      <c r="L713" s="31"/>
      <c r="M713" s="29" t="str">
        <f aca="false">IF($C713="","",YEAR($C713))</f>
        <v/>
      </c>
      <c r="N713" s="24"/>
      <c r="O713" s="35" t="str">
        <f aca="false">IF($C713="","",IF($D713="","★没选客户项目",IF(COUNTIF(合同键,$D713)=0,"★《维保合同》里没这个项目",IF(N($G713)&lt;=0,"★收款金额要填",IF($H713="","★票据类型要选",IF(AND($L713&lt;&gt;"",COUNTIF(应收单号,$L713)=0),"★关联的应收单号不存在",IF(AND($L713&lt;&gt;"",IFERROR(INDEX(应收键,MATCH($L713,应收单号,0)),"")&lt;&gt;$D713),"★关联单号不是这个客户的",IF(AND($L713&lt;&gt;"",ROUND(SUMIF(收款关联,$L713,收款金额)-IFERROR(INDEX(应收金额,MATCH($L713,应收单号,0)),0),2)&gt;0.001),"★指定冲销超过那张单的应收","OK"))))))))</f>
        <v/>
      </c>
    </row>
    <row r="714" customFormat="false" ht="15" hidden="false" customHeight="false" outlineLevel="0" collapsed="false">
      <c r="A714" s="29" t="str">
        <f aca="false">IF($C714="","",ROW()-4)</f>
        <v/>
      </c>
      <c r="B714" s="35" t="str">
        <f aca="false">IF($C714="","","SK"&amp;TEXT($C714,"yyyymm")&amp;"-"&amp;TEXT(ROW()-4,"0000"))</f>
        <v/>
      </c>
      <c r="C714" s="33"/>
      <c r="D714" s="24"/>
      <c r="E714" s="30" t="str">
        <f aca="false">IF($D714="","",IFERROR(INDEX(合同单位,MATCH($D714,合同键,0)),IFERROR(TRIM(LEFT($D714,FIND("｜",$D714)-1)),$D714)))</f>
        <v/>
      </c>
      <c r="F714" s="30" t="str">
        <f aca="false">IF($D714="","",IFERROR(INDEX(合同项目,MATCH($D714,合同键,0)),IFERROR(TRIM(MID($D714,FIND("｜",$D714)+1,99)),"")))</f>
        <v/>
      </c>
      <c r="G714" s="39"/>
      <c r="H714" s="25"/>
      <c r="I714" s="35" t="str">
        <f aca="false">IF($H714="","",IFERROR(INDEX(票据归类表,MATCH($H714,票据类型表,0)),"现金无票"))</f>
        <v/>
      </c>
      <c r="J714" s="25"/>
      <c r="K714" s="25"/>
      <c r="L714" s="31"/>
      <c r="M714" s="29" t="str">
        <f aca="false">IF($C714="","",YEAR($C714))</f>
        <v/>
      </c>
      <c r="N714" s="24"/>
      <c r="O714" s="35" t="str">
        <f aca="false">IF($C714="","",IF($D714="","★没选客户项目",IF(COUNTIF(合同键,$D714)=0,"★《维保合同》里没这个项目",IF(N($G714)&lt;=0,"★收款金额要填",IF($H714="","★票据类型要选",IF(AND($L714&lt;&gt;"",COUNTIF(应收单号,$L714)=0),"★关联的应收单号不存在",IF(AND($L714&lt;&gt;"",IFERROR(INDEX(应收键,MATCH($L714,应收单号,0)),"")&lt;&gt;$D714),"★关联单号不是这个客户的",IF(AND($L714&lt;&gt;"",ROUND(SUMIF(收款关联,$L714,收款金额)-IFERROR(INDEX(应收金额,MATCH($L714,应收单号,0)),0),2)&gt;0.001),"★指定冲销超过那张单的应收","OK"))))))))</f>
        <v/>
      </c>
    </row>
    <row r="715" customFormat="false" ht="15" hidden="false" customHeight="false" outlineLevel="0" collapsed="false">
      <c r="A715" s="29" t="str">
        <f aca="false">IF($C715="","",ROW()-4)</f>
        <v/>
      </c>
      <c r="B715" s="35" t="str">
        <f aca="false">IF($C715="","","SK"&amp;TEXT($C715,"yyyymm")&amp;"-"&amp;TEXT(ROW()-4,"0000"))</f>
        <v/>
      </c>
      <c r="C715" s="33"/>
      <c r="D715" s="24"/>
      <c r="E715" s="30" t="str">
        <f aca="false">IF($D715="","",IFERROR(INDEX(合同单位,MATCH($D715,合同键,0)),IFERROR(TRIM(LEFT($D715,FIND("｜",$D715)-1)),$D715)))</f>
        <v/>
      </c>
      <c r="F715" s="30" t="str">
        <f aca="false">IF($D715="","",IFERROR(INDEX(合同项目,MATCH($D715,合同键,0)),IFERROR(TRIM(MID($D715,FIND("｜",$D715)+1,99)),"")))</f>
        <v/>
      </c>
      <c r="G715" s="39"/>
      <c r="H715" s="25"/>
      <c r="I715" s="35" t="str">
        <f aca="false">IF($H715="","",IFERROR(INDEX(票据归类表,MATCH($H715,票据类型表,0)),"现金无票"))</f>
        <v/>
      </c>
      <c r="J715" s="25"/>
      <c r="K715" s="25"/>
      <c r="L715" s="31"/>
      <c r="M715" s="29" t="str">
        <f aca="false">IF($C715="","",YEAR($C715))</f>
        <v/>
      </c>
      <c r="N715" s="24"/>
      <c r="O715" s="35" t="str">
        <f aca="false">IF($C715="","",IF($D715="","★没选客户项目",IF(COUNTIF(合同键,$D715)=0,"★《维保合同》里没这个项目",IF(N($G715)&lt;=0,"★收款金额要填",IF($H715="","★票据类型要选",IF(AND($L715&lt;&gt;"",COUNTIF(应收单号,$L715)=0),"★关联的应收单号不存在",IF(AND($L715&lt;&gt;"",IFERROR(INDEX(应收键,MATCH($L715,应收单号,0)),"")&lt;&gt;$D715),"★关联单号不是这个客户的",IF(AND($L715&lt;&gt;"",ROUND(SUMIF(收款关联,$L715,收款金额)-IFERROR(INDEX(应收金额,MATCH($L715,应收单号,0)),0),2)&gt;0.001),"★指定冲销超过那张单的应收","OK"))))))))</f>
        <v/>
      </c>
    </row>
    <row r="716" customFormat="false" ht="15" hidden="false" customHeight="false" outlineLevel="0" collapsed="false">
      <c r="A716" s="29" t="str">
        <f aca="false">IF($C716="","",ROW()-4)</f>
        <v/>
      </c>
      <c r="B716" s="35" t="str">
        <f aca="false">IF($C716="","","SK"&amp;TEXT($C716,"yyyymm")&amp;"-"&amp;TEXT(ROW()-4,"0000"))</f>
        <v/>
      </c>
      <c r="C716" s="33"/>
      <c r="D716" s="24"/>
      <c r="E716" s="30" t="str">
        <f aca="false">IF($D716="","",IFERROR(INDEX(合同单位,MATCH($D716,合同键,0)),IFERROR(TRIM(LEFT($D716,FIND("｜",$D716)-1)),$D716)))</f>
        <v/>
      </c>
      <c r="F716" s="30" t="str">
        <f aca="false">IF($D716="","",IFERROR(INDEX(合同项目,MATCH($D716,合同键,0)),IFERROR(TRIM(MID($D716,FIND("｜",$D716)+1,99)),"")))</f>
        <v/>
      </c>
      <c r="G716" s="39"/>
      <c r="H716" s="25"/>
      <c r="I716" s="35" t="str">
        <f aca="false">IF($H716="","",IFERROR(INDEX(票据归类表,MATCH($H716,票据类型表,0)),"现金无票"))</f>
        <v/>
      </c>
      <c r="J716" s="25"/>
      <c r="K716" s="25"/>
      <c r="L716" s="31"/>
      <c r="M716" s="29" t="str">
        <f aca="false">IF($C716="","",YEAR($C716))</f>
        <v/>
      </c>
      <c r="N716" s="24"/>
      <c r="O716" s="35" t="str">
        <f aca="false">IF($C716="","",IF($D716="","★没选客户项目",IF(COUNTIF(合同键,$D716)=0,"★《维保合同》里没这个项目",IF(N($G716)&lt;=0,"★收款金额要填",IF($H716="","★票据类型要选",IF(AND($L716&lt;&gt;"",COUNTIF(应收单号,$L716)=0),"★关联的应收单号不存在",IF(AND($L716&lt;&gt;"",IFERROR(INDEX(应收键,MATCH($L716,应收单号,0)),"")&lt;&gt;$D716),"★关联单号不是这个客户的",IF(AND($L716&lt;&gt;"",ROUND(SUMIF(收款关联,$L716,收款金额)-IFERROR(INDEX(应收金额,MATCH($L716,应收单号,0)),0),2)&gt;0.001),"★指定冲销超过那张单的应收","OK"))))))))</f>
        <v/>
      </c>
    </row>
    <row r="717" customFormat="false" ht="15" hidden="false" customHeight="false" outlineLevel="0" collapsed="false">
      <c r="A717" s="29" t="str">
        <f aca="false">IF($C717="","",ROW()-4)</f>
        <v/>
      </c>
      <c r="B717" s="35" t="str">
        <f aca="false">IF($C717="","","SK"&amp;TEXT($C717,"yyyymm")&amp;"-"&amp;TEXT(ROW()-4,"0000"))</f>
        <v/>
      </c>
      <c r="C717" s="33"/>
      <c r="D717" s="24"/>
      <c r="E717" s="30" t="str">
        <f aca="false">IF($D717="","",IFERROR(INDEX(合同单位,MATCH($D717,合同键,0)),IFERROR(TRIM(LEFT($D717,FIND("｜",$D717)-1)),$D717)))</f>
        <v/>
      </c>
      <c r="F717" s="30" t="str">
        <f aca="false">IF($D717="","",IFERROR(INDEX(合同项目,MATCH($D717,合同键,0)),IFERROR(TRIM(MID($D717,FIND("｜",$D717)+1,99)),"")))</f>
        <v/>
      </c>
      <c r="G717" s="39"/>
      <c r="H717" s="25"/>
      <c r="I717" s="35" t="str">
        <f aca="false">IF($H717="","",IFERROR(INDEX(票据归类表,MATCH($H717,票据类型表,0)),"现金无票"))</f>
        <v/>
      </c>
      <c r="J717" s="25"/>
      <c r="K717" s="25"/>
      <c r="L717" s="31"/>
      <c r="M717" s="29" t="str">
        <f aca="false">IF($C717="","",YEAR($C717))</f>
        <v/>
      </c>
      <c r="N717" s="24"/>
      <c r="O717" s="35" t="str">
        <f aca="false">IF($C717="","",IF($D717="","★没选客户项目",IF(COUNTIF(合同键,$D717)=0,"★《维保合同》里没这个项目",IF(N($G717)&lt;=0,"★收款金额要填",IF($H717="","★票据类型要选",IF(AND($L717&lt;&gt;"",COUNTIF(应收单号,$L717)=0),"★关联的应收单号不存在",IF(AND($L717&lt;&gt;"",IFERROR(INDEX(应收键,MATCH($L717,应收单号,0)),"")&lt;&gt;$D717),"★关联单号不是这个客户的",IF(AND($L717&lt;&gt;"",ROUND(SUMIF(收款关联,$L717,收款金额)-IFERROR(INDEX(应收金额,MATCH($L717,应收单号,0)),0),2)&gt;0.001),"★指定冲销超过那张单的应收","OK"))))))))</f>
        <v/>
      </c>
    </row>
    <row r="718" customFormat="false" ht="15" hidden="false" customHeight="false" outlineLevel="0" collapsed="false">
      <c r="A718" s="29" t="str">
        <f aca="false">IF($C718="","",ROW()-4)</f>
        <v/>
      </c>
      <c r="B718" s="35" t="str">
        <f aca="false">IF($C718="","","SK"&amp;TEXT($C718,"yyyymm")&amp;"-"&amp;TEXT(ROW()-4,"0000"))</f>
        <v/>
      </c>
      <c r="C718" s="33"/>
      <c r="D718" s="24"/>
      <c r="E718" s="30" t="str">
        <f aca="false">IF($D718="","",IFERROR(INDEX(合同单位,MATCH($D718,合同键,0)),IFERROR(TRIM(LEFT($D718,FIND("｜",$D718)-1)),$D718)))</f>
        <v/>
      </c>
      <c r="F718" s="30" t="str">
        <f aca="false">IF($D718="","",IFERROR(INDEX(合同项目,MATCH($D718,合同键,0)),IFERROR(TRIM(MID($D718,FIND("｜",$D718)+1,99)),"")))</f>
        <v/>
      </c>
      <c r="G718" s="39"/>
      <c r="H718" s="25"/>
      <c r="I718" s="35" t="str">
        <f aca="false">IF($H718="","",IFERROR(INDEX(票据归类表,MATCH($H718,票据类型表,0)),"现金无票"))</f>
        <v/>
      </c>
      <c r="J718" s="25"/>
      <c r="K718" s="25"/>
      <c r="L718" s="31"/>
      <c r="M718" s="29" t="str">
        <f aca="false">IF($C718="","",YEAR($C718))</f>
        <v/>
      </c>
      <c r="N718" s="24"/>
      <c r="O718" s="35" t="str">
        <f aca="false">IF($C718="","",IF($D718="","★没选客户项目",IF(COUNTIF(合同键,$D718)=0,"★《维保合同》里没这个项目",IF(N($G718)&lt;=0,"★收款金额要填",IF($H718="","★票据类型要选",IF(AND($L718&lt;&gt;"",COUNTIF(应收单号,$L718)=0),"★关联的应收单号不存在",IF(AND($L718&lt;&gt;"",IFERROR(INDEX(应收键,MATCH($L718,应收单号,0)),"")&lt;&gt;$D718),"★关联单号不是这个客户的",IF(AND($L718&lt;&gt;"",ROUND(SUMIF(收款关联,$L718,收款金额)-IFERROR(INDEX(应收金额,MATCH($L718,应收单号,0)),0),2)&gt;0.001),"★指定冲销超过那张单的应收","OK"))))))))</f>
        <v/>
      </c>
    </row>
    <row r="719" customFormat="false" ht="15" hidden="false" customHeight="false" outlineLevel="0" collapsed="false">
      <c r="A719" s="29" t="str">
        <f aca="false">IF($C719="","",ROW()-4)</f>
        <v/>
      </c>
      <c r="B719" s="35" t="str">
        <f aca="false">IF($C719="","","SK"&amp;TEXT($C719,"yyyymm")&amp;"-"&amp;TEXT(ROW()-4,"0000"))</f>
        <v/>
      </c>
      <c r="C719" s="33"/>
      <c r="D719" s="24"/>
      <c r="E719" s="30" t="str">
        <f aca="false">IF($D719="","",IFERROR(INDEX(合同单位,MATCH($D719,合同键,0)),IFERROR(TRIM(LEFT($D719,FIND("｜",$D719)-1)),$D719)))</f>
        <v/>
      </c>
      <c r="F719" s="30" t="str">
        <f aca="false">IF($D719="","",IFERROR(INDEX(合同项目,MATCH($D719,合同键,0)),IFERROR(TRIM(MID($D719,FIND("｜",$D719)+1,99)),"")))</f>
        <v/>
      </c>
      <c r="G719" s="39"/>
      <c r="H719" s="25"/>
      <c r="I719" s="35" t="str">
        <f aca="false">IF($H719="","",IFERROR(INDEX(票据归类表,MATCH($H719,票据类型表,0)),"现金无票"))</f>
        <v/>
      </c>
      <c r="J719" s="25"/>
      <c r="K719" s="25"/>
      <c r="L719" s="31"/>
      <c r="M719" s="29" t="str">
        <f aca="false">IF($C719="","",YEAR($C719))</f>
        <v/>
      </c>
      <c r="N719" s="24"/>
      <c r="O719" s="35" t="str">
        <f aca="false">IF($C719="","",IF($D719="","★没选客户项目",IF(COUNTIF(合同键,$D719)=0,"★《维保合同》里没这个项目",IF(N($G719)&lt;=0,"★收款金额要填",IF($H719="","★票据类型要选",IF(AND($L719&lt;&gt;"",COUNTIF(应收单号,$L719)=0),"★关联的应收单号不存在",IF(AND($L719&lt;&gt;"",IFERROR(INDEX(应收键,MATCH($L719,应收单号,0)),"")&lt;&gt;$D719),"★关联单号不是这个客户的",IF(AND($L719&lt;&gt;"",ROUND(SUMIF(收款关联,$L719,收款金额)-IFERROR(INDEX(应收金额,MATCH($L719,应收单号,0)),0),2)&gt;0.001),"★指定冲销超过那张单的应收","OK"))))))))</f>
        <v/>
      </c>
    </row>
    <row r="720" customFormat="false" ht="15" hidden="false" customHeight="false" outlineLevel="0" collapsed="false">
      <c r="A720" s="29" t="str">
        <f aca="false">IF($C720="","",ROW()-4)</f>
        <v/>
      </c>
      <c r="B720" s="35" t="str">
        <f aca="false">IF($C720="","","SK"&amp;TEXT($C720,"yyyymm")&amp;"-"&amp;TEXT(ROW()-4,"0000"))</f>
        <v/>
      </c>
      <c r="C720" s="33"/>
      <c r="D720" s="24"/>
      <c r="E720" s="30" t="str">
        <f aca="false">IF($D720="","",IFERROR(INDEX(合同单位,MATCH($D720,合同键,0)),IFERROR(TRIM(LEFT($D720,FIND("｜",$D720)-1)),$D720)))</f>
        <v/>
      </c>
      <c r="F720" s="30" t="str">
        <f aca="false">IF($D720="","",IFERROR(INDEX(合同项目,MATCH($D720,合同键,0)),IFERROR(TRIM(MID($D720,FIND("｜",$D720)+1,99)),"")))</f>
        <v/>
      </c>
      <c r="G720" s="39"/>
      <c r="H720" s="25"/>
      <c r="I720" s="35" t="str">
        <f aca="false">IF($H720="","",IFERROR(INDEX(票据归类表,MATCH($H720,票据类型表,0)),"现金无票"))</f>
        <v/>
      </c>
      <c r="J720" s="25"/>
      <c r="K720" s="25"/>
      <c r="L720" s="31"/>
      <c r="M720" s="29" t="str">
        <f aca="false">IF($C720="","",YEAR($C720))</f>
        <v/>
      </c>
      <c r="N720" s="24"/>
      <c r="O720" s="35" t="str">
        <f aca="false">IF($C720="","",IF($D720="","★没选客户项目",IF(COUNTIF(合同键,$D720)=0,"★《维保合同》里没这个项目",IF(N($G720)&lt;=0,"★收款金额要填",IF($H720="","★票据类型要选",IF(AND($L720&lt;&gt;"",COUNTIF(应收单号,$L720)=0),"★关联的应收单号不存在",IF(AND($L720&lt;&gt;"",IFERROR(INDEX(应收键,MATCH($L720,应收单号,0)),"")&lt;&gt;$D720),"★关联单号不是这个客户的",IF(AND($L720&lt;&gt;"",ROUND(SUMIF(收款关联,$L720,收款金额)-IFERROR(INDEX(应收金额,MATCH($L720,应收单号,0)),0),2)&gt;0.001),"★指定冲销超过那张单的应收","OK"))))))))</f>
        <v/>
      </c>
    </row>
    <row r="721" customFormat="false" ht="15" hidden="false" customHeight="false" outlineLevel="0" collapsed="false">
      <c r="A721" s="29" t="str">
        <f aca="false">IF($C721="","",ROW()-4)</f>
        <v/>
      </c>
      <c r="B721" s="35" t="str">
        <f aca="false">IF($C721="","","SK"&amp;TEXT($C721,"yyyymm")&amp;"-"&amp;TEXT(ROW()-4,"0000"))</f>
        <v/>
      </c>
      <c r="C721" s="33"/>
      <c r="D721" s="24"/>
      <c r="E721" s="30" t="str">
        <f aca="false">IF($D721="","",IFERROR(INDEX(合同单位,MATCH($D721,合同键,0)),IFERROR(TRIM(LEFT($D721,FIND("｜",$D721)-1)),$D721)))</f>
        <v/>
      </c>
      <c r="F721" s="30" t="str">
        <f aca="false">IF($D721="","",IFERROR(INDEX(合同项目,MATCH($D721,合同键,0)),IFERROR(TRIM(MID($D721,FIND("｜",$D721)+1,99)),"")))</f>
        <v/>
      </c>
      <c r="G721" s="39"/>
      <c r="H721" s="25"/>
      <c r="I721" s="35" t="str">
        <f aca="false">IF($H721="","",IFERROR(INDEX(票据归类表,MATCH($H721,票据类型表,0)),"现金无票"))</f>
        <v/>
      </c>
      <c r="J721" s="25"/>
      <c r="K721" s="25"/>
      <c r="L721" s="31"/>
      <c r="M721" s="29" t="str">
        <f aca="false">IF($C721="","",YEAR($C721))</f>
        <v/>
      </c>
      <c r="N721" s="24"/>
      <c r="O721" s="35" t="str">
        <f aca="false">IF($C721="","",IF($D721="","★没选客户项目",IF(COUNTIF(合同键,$D721)=0,"★《维保合同》里没这个项目",IF(N($G721)&lt;=0,"★收款金额要填",IF($H721="","★票据类型要选",IF(AND($L721&lt;&gt;"",COUNTIF(应收单号,$L721)=0),"★关联的应收单号不存在",IF(AND($L721&lt;&gt;"",IFERROR(INDEX(应收键,MATCH($L721,应收单号,0)),"")&lt;&gt;$D721),"★关联单号不是这个客户的",IF(AND($L721&lt;&gt;"",ROUND(SUMIF(收款关联,$L721,收款金额)-IFERROR(INDEX(应收金额,MATCH($L721,应收单号,0)),0),2)&gt;0.001),"★指定冲销超过那张单的应收","OK"))))))))</f>
        <v/>
      </c>
    </row>
    <row r="722" customFormat="false" ht="15" hidden="false" customHeight="false" outlineLevel="0" collapsed="false">
      <c r="A722" s="29" t="str">
        <f aca="false">IF($C722="","",ROW()-4)</f>
        <v/>
      </c>
      <c r="B722" s="35" t="str">
        <f aca="false">IF($C722="","","SK"&amp;TEXT($C722,"yyyymm")&amp;"-"&amp;TEXT(ROW()-4,"0000"))</f>
        <v/>
      </c>
      <c r="C722" s="33"/>
      <c r="D722" s="24"/>
      <c r="E722" s="30" t="str">
        <f aca="false">IF($D722="","",IFERROR(INDEX(合同单位,MATCH($D722,合同键,0)),IFERROR(TRIM(LEFT($D722,FIND("｜",$D722)-1)),$D722)))</f>
        <v/>
      </c>
      <c r="F722" s="30" t="str">
        <f aca="false">IF($D722="","",IFERROR(INDEX(合同项目,MATCH($D722,合同键,0)),IFERROR(TRIM(MID($D722,FIND("｜",$D722)+1,99)),"")))</f>
        <v/>
      </c>
      <c r="G722" s="39"/>
      <c r="H722" s="25"/>
      <c r="I722" s="35" t="str">
        <f aca="false">IF($H722="","",IFERROR(INDEX(票据归类表,MATCH($H722,票据类型表,0)),"现金无票"))</f>
        <v/>
      </c>
      <c r="J722" s="25"/>
      <c r="K722" s="25"/>
      <c r="L722" s="31"/>
      <c r="M722" s="29" t="str">
        <f aca="false">IF($C722="","",YEAR($C722))</f>
        <v/>
      </c>
      <c r="N722" s="24"/>
      <c r="O722" s="35" t="str">
        <f aca="false">IF($C722="","",IF($D722="","★没选客户项目",IF(COUNTIF(合同键,$D722)=0,"★《维保合同》里没这个项目",IF(N($G722)&lt;=0,"★收款金额要填",IF($H722="","★票据类型要选",IF(AND($L722&lt;&gt;"",COUNTIF(应收单号,$L722)=0),"★关联的应收单号不存在",IF(AND($L722&lt;&gt;"",IFERROR(INDEX(应收键,MATCH($L722,应收单号,0)),"")&lt;&gt;$D722),"★关联单号不是这个客户的",IF(AND($L722&lt;&gt;"",ROUND(SUMIF(收款关联,$L722,收款金额)-IFERROR(INDEX(应收金额,MATCH($L722,应收单号,0)),0),2)&gt;0.001),"★指定冲销超过那张单的应收","OK"))))))))</f>
        <v/>
      </c>
    </row>
    <row r="723" customFormat="false" ht="15" hidden="false" customHeight="false" outlineLevel="0" collapsed="false">
      <c r="A723" s="29" t="str">
        <f aca="false">IF($C723="","",ROW()-4)</f>
        <v/>
      </c>
      <c r="B723" s="35" t="str">
        <f aca="false">IF($C723="","","SK"&amp;TEXT($C723,"yyyymm")&amp;"-"&amp;TEXT(ROW()-4,"0000"))</f>
        <v/>
      </c>
      <c r="C723" s="33"/>
      <c r="D723" s="24"/>
      <c r="E723" s="30" t="str">
        <f aca="false">IF($D723="","",IFERROR(INDEX(合同单位,MATCH($D723,合同键,0)),IFERROR(TRIM(LEFT($D723,FIND("｜",$D723)-1)),$D723)))</f>
        <v/>
      </c>
      <c r="F723" s="30" t="str">
        <f aca="false">IF($D723="","",IFERROR(INDEX(合同项目,MATCH($D723,合同键,0)),IFERROR(TRIM(MID($D723,FIND("｜",$D723)+1,99)),"")))</f>
        <v/>
      </c>
      <c r="G723" s="39"/>
      <c r="H723" s="25"/>
      <c r="I723" s="35" t="str">
        <f aca="false">IF($H723="","",IFERROR(INDEX(票据归类表,MATCH($H723,票据类型表,0)),"现金无票"))</f>
        <v/>
      </c>
      <c r="J723" s="25"/>
      <c r="K723" s="25"/>
      <c r="L723" s="31"/>
      <c r="M723" s="29" t="str">
        <f aca="false">IF($C723="","",YEAR($C723))</f>
        <v/>
      </c>
      <c r="N723" s="24"/>
      <c r="O723" s="35" t="str">
        <f aca="false">IF($C723="","",IF($D723="","★没选客户项目",IF(COUNTIF(合同键,$D723)=0,"★《维保合同》里没这个项目",IF(N($G723)&lt;=0,"★收款金额要填",IF($H723="","★票据类型要选",IF(AND($L723&lt;&gt;"",COUNTIF(应收单号,$L723)=0),"★关联的应收单号不存在",IF(AND($L723&lt;&gt;"",IFERROR(INDEX(应收键,MATCH($L723,应收单号,0)),"")&lt;&gt;$D723),"★关联单号不是这个客户的",IF(AND($L723&lt;&gt;"",ROUND(SUMIF(收款关联,$L723,收款金额)-IFERROR(INDEX(应收金额,MATCH($L723,应收单号,0)),0),2)&gt;0.001),"★指定冲销超过那张单的应收","OK"))))))))</f>
        <v/>
      </c>
    </row>
    <row r="724" customFormat="false" ht="15" hidden="false" customHeight="false" outlineLevel="0" collapsed="false">
      <c r="A724" s="29" t="str">
        <f aca="false">IF($C724="","",ROW()-4)</f>
        <v/>
      </c>
      <c r="B724" s="35" t="str">
        <f aca="false">IF($C724="","","SK"&amp;TEXT($C724,"yyyymm")&amp;"-"&amp;TEXT(ROW()-4,"0000"))</f>
        <v/>
      </c>
      <c r="C724" s="33"/>
      <c r="D724" s="24"/>
      <c r="E724" s="30" t="str">
        <f aca="false">IF($D724="","",IFERROR(INDEX(合同单位,MATCH($D724,合同键,0)),IFERROR(TRIM(LEFT($D724,FIND("｜",$D724)-1)),$D724)))</f>
        <v/>
      </c>
      <c r="F724" s="30" t="str">
        <f aca="false">IF($D724="","",IFERROR(INDEX(合同项目,MATCH($D724,合同键,0)),IFERROR(TRIM(MID($D724,FIND("｜",$D724)+1,99)),"")))</f>
        <v/>
      </c>
      <c r="G724" s="39"/>
      <c r="H724" s="25"/>
      <c r="I724" s="35" t="str">
        <f aca="false">IF($H724="","",IFERROR(INDEX(票据归类表,MATCH($H724,票据类型表,0)),"现金无票"))</f>
        <v/>
      </c>
      <c r="J724" s="25"/>
      <c r="K724" s="25"/>
      <c r="L724" s="31"/>
      <c r="M724" s="29" t="str">
        <f aca="false">IF($C724="","",YEAR($C724))</f>
        <v/>
      </c>
      <c r="N724" s="24"/>
      <c r="O724" s="35" t="str">
        <f aca="false">IF($C724="","",IF($D724="","★没选客户项目",IF(COUNTIF(合同键,$D724)=0,"★《维保合同》里没这个项目",IF(N($G724)&lt;=0,"★收款金额要填",IF($H724="","★票据类型要选",IF(AND($L724&lt;&gt;"",COUNTIF(应收单号,$L724)=0),"★关联的应收单号不存在",IF(AND($L724&lt;&gt;"",IFERROR(INDEX(应收键,MATCH($L724,应收单号,0)),"")&lt;&gt;$D724),"★关联单号不是这个客户的",IF(AND($L724&lt;&gt;"",ROUND(SUMIF(收款关联,$L724,收款金额)-IFERROR(INDEX(应收金额,MATCH($L724,应收单号,0)),0),2)&gt;0.001),"★指定冲销超过那张单的应收","OK"))))))))</f>
        <v/>
      </c>
    </row>
    <row r="725" customFormat="false" ht="15" hidden="false" customHeight="false" outlineLevel="0" collapsed="false">
      <c r="A725" s="29" t="str">
        <f aca="false">IF($C725="","",ROW()-4)</f>
        <v/>
      </c>
      <c r="B725" s="35" t="str">
        <f aca="false">IF($C725="","","SK"&amp;TEXT($C725,"yyyymm")&amp;"-"&amp;TEXT(ROW()-4,"0000"))</f>
        <v/>
      </c>
      <c r="C725" s="33"/>
      <c r="D725" s="24"/>
      <c r="E725" s="30" t="str">
        <f aca="false">IF($D725="","",IFERROR(INDEX(合同单位,MATCH($D725,合同键,0)),IFERROR(TRIM(LEFT($D725,FIND("｜",$D725)-1)),$D725)))</f>
        <v/>
      </c>
      <c r="F725" s="30" t="str">
        <f aca="false">IF($D725="","",IFERROR(INDEX(合同项目,MATCH($D725,合同键,0)),IFERROR(TRIM(MID($D725,FIND("｜",$D725)+1,99)),"")))</f>
        <v/>
      </c>
      <c r="G725" s="39"/>
      <c r="H725" s="25"/>
      <c r="I725" s="35" t="str">
        <f aca="false">IF($H725="","",IFERROR(INDEX(票据归类表,MATCH($H725,票据类型表,0)),"现金无票"))</f>
        <v/>
      </c>
      <c r="J725" s="25"/>
      <c r="K725" s="25"/>
      <c r="L725" s="31"/>
      <c r="M725" s="29" t="str">
        <f aca="false">IF($C725="","",YEAR($C725))</f>
        <v/>
      </c>
      <c r="N725" s="24"/>
      <c r="O725" s="35" t="str">
        <f aca="false">IF($C725="","",IF($D725="","★没选客户项目",IF(COUNTIF(合同键,$D725)=0,"★《维保合同》里没这个项目",IF(N($G725)&lt;=0,"★收款金额要填",IF($H725="","★票据类型要选",IF(AND($L725&lt;&gt;"",COUNTIF(应收单号,$L725)=0),"★关联的应收单号不存在",IF(AND($L725&lt;&gt;"",IFERROR(INDEX(应收键,MATCH($L725,应收单号,0)),"")&lt;&gt;$D725),"★关联单号不是这个客户的",IF(AND($L725&lt;&gt;"",ROUND(SUMIF(收款关联,$L725,收款金额)-IFERROR(INDEX(应收金额,MATCH($L725,应收单号,0)),0),2)&gt;0.001),"★指定冲销超过那张单的应收","OK"))))))))</f>
        <v/>
      </c>
    </row>
    <row r="726" customFormat="false" ht="15" hidden="false" customHeight="false" outlineLevel="0" collapsed="false">
      <c r="A726" s="29" t="str">
        <f aca="false">IF($C726="","",ROW()-4)</f>
        <v/>
      </c>
      <c r="B726" s="35" t="str">
        <f aca="false">IF($C726="","","SK"&amp;TEXT($C726,"yyyymm")&amp;"-"&amp;TEXT(ROW()-4,"0000"))</f>
        <v/>
      </c>
      <c r="C726" s="33"/>
      <c r="D726" s="24"/>
      <c r="E726" s="30" t="str">
        <f aca="false">IF($D726="","",IFERROR(INDEX(合同单位,MATCH($D726,合同键,0)),IFERROR(TRIM(LEFT($D726,FIND("｜",$D726)-1)),$D726)))</f>
        <v/>
      </c>
      <c r="F726" s="30" t="str">
        <f aca="false">IF($D726="","",IFERROR(INDEX(合同项目,MATCH($D726,合同键,0)),IFERROR(TRIM(MID($D726,FIND("｜",$D726)+1,99)),"")))</f>
        <v/>
      </c>
      <c r="G726" s="39"/>
      <c r="H726" s="25"/>
      <c r="I726" s="35" t="str">
        <f aca="false">IF($H726="","",IFERROR(INDEX(票据归类表,MATCH($H726,票据类型表,0)),"现金无票"))</f>
        <v/>
      </c>
      <c r="J726" s="25"/>
      <c r="K726" s="25"/>
      <c r="L726" s="31"/>
      <c r="M726" s="29" t="str">
        <f aca="false">IF($C726="","",YEAR($C726))</f>
        <v/>
      </c>
      <c r="N726" s="24"/>
      <c r="O726" s="35" t="str">
        <f aca="false">IF($C726="","",IF($D726="","★没选客户项目",IF(COUNTIF(合同键,$D726)=0,"★《维保合同》里没这个项目",IF(N($G726)&lt;=0,"★收款金额要填",IF($H726="","★票据类型要选",IF(AND($L726&lt;&gt;"",COUNTIF(应收单号,$L726)=0),"★关联的应收单号不存在",IF(AND($L726&lt;&gt;"",IFERROR(INDEX(应收键,MATCH($L726,应收单号,0)),"")&lt;&gt;$D726),"★关联单号不是这个客户的",IF(AND($L726&lt;&gt;"",ROUND(SUMIF(收款关联,$L726,收款金额)-IFERROR(INDEX(应收金额,MATCH($L726,应收单号,0)),0),2)&gt;0.001),"★指定冲销超过那张单的应收","OK"))))))))</f>
        <v/>
      </c>
    </row>
    <row r="727" customFormat="false" ht="15" hidden="false" customHeight="false" outlineLevel="0" collapsed="false">
      <c r="A727" s="29" t="str">
        <f aca="false">IF($C727="","",ROW()-4)</f>
        <v/>
      </c>
      <c r="B727" s="35" t="str">
        <f aca="false">IF($C727="","","SK"&amp;TEXT($C727,"yyyymm")&amp;"-"&amp;TEXT(ROW()-4,"0000"))</f>
        <v/>
      </c>
      <c r="C727" s="33"/>
      <c r="D727" s="24"/>
      <c r="E727" s="30" t="str">
        <f aca="false">IF($D727="","",IFERROR(INDEX(合同单位,MATCH($D727,合同键,0)),IFERROR(TRIM(LEFT($D727,FIND("｜",$D727)-1)),$D727)))</f>
        <v/>
      </c>
      <c r="F727" s="30" t="str">
        <f aca="false">IF($D727="","",IFERROR(INDEX(合同项目,MATCH($D727,合同键,0)),IFERROR(TRIM(MID($D727,FIND("｜",$D727)+1,99)),"")))</f>
        <v/>
      </c>
      <c r="G727" s="39"/>
      <c r="H727" s="25"/>
      <c r="I727" s="35" t="str">
        <f aca="false">IF($H727="","",IFERROR(INDEX(票据归类表,MATCH($H727,票据类型表,0)),"现金无票"))</f>
        <v/>
      </c>
      <c r="J727" s="25"/>
      <c r="K727" s="25"/>
      <c r="L727" s="31"/>
      <c r="M727" s="29" t="str">
        <f aca="false">IF($C727="","",YEAR($C727))</f>
        <v/>
      </c>
      <c r="N727" s="24"/>
      <c r="O727" s="35" t="str">
        <f aca="false">IF($C727="","",IF($D727="","★没选客户项目",IF(COUNTIF(合同键,$D727)=0,"★《维保合同》里没这个项目",IF(N($G727)&lt;=0,"★收款金额要填",IF($H727="","★票据类型要选",IF(AND($L727&lt;&gt;"",COUNTIF(应收单号,$L727)=0),"★关联的应收单号不存在",IF(AND($L727&lt;&gt;"",IFERROR(INDEX(应收键,MATCH($L727,应收单号,0)),"")&lt;&gt;$D727),"★关联单号不是这个客户的",IF(AND($L727&lt;&gt;"",ROUND(SUMIF(收款关联,$L727,收款金额)-IFERROR(INDEX(应收金额,MATCH($L727,应收单号,0)),0),2)&gt;0.001),"★指定冲销超过那张单的应收","OK"))))))))</f>
        <v/>
      </c>
    </row>
    <row r="728" customFormat="false" ht="15" hidden="false" customHeight="false" outlineLevel="0" collapsed="false">
      <c r="A728" s="29" t="str">
        <f aca="false">IF($C728="","",ROW()-4)</f>
        <v/>
      </c>
      <c r="B728" s="35" t="str">
        <f aca="false">IF($C728="","","SK"&amp;TEXT($C728,"yyyymm")&amp;"-"&amp;TEXT(ROW()-4,"0000"))</f>
        <v/>
      </c>
      <c r="C728" s="33"/>
      <c r="D728" s="24"/>
      <c r="E728" s="30" t="str">
        <f aca="false">IF($D728="","",IFERROR(INDEX(合同单位,MATCH($D728,合同键,0)),IFERROR(TRIM(LEFT($D728,FIND("｜",$D728)-1)),$D728)))</f>
        <v/>
      </c>
      <c r="F728" s="30" t="str">
        <f aca="false">IF($D728="","",IFERROR(INDEX(合同项目,MATCH($D728,合同键,0)),IFERROR(TRIM(MID($D728,FIND("｜",$D728)+1,99)),"")))</f>
        <v/>
      </c>
      <c r="G728" s="39"/>
      <c r="H728" s="25"/>
      <c r="I728" s="35" t="str">
        <f aca="false">IF($H728="","",IFERROR(INDEX(票据归类表,MATCH($H728,票据类型表,0)),"现金无票"))</f>
        <v/>
      </c>
      <c r="J728" s="25"/>
      <c r="K728" s="25"/>
      <c r="L728" s="31"/>
      <c r="M728" s="29" t="str">
        <f aca="false">IF($C728="","",YEAR($C728))</f>
        <v/>
      </c>
      <c r="N728" s="24"/>
      <c r="O728" s="35" t="str">
        <f aca="false">IF($C728="","",IF($D728="","★没选客户项目",IF(COUNTIF(合同键,$D728)=0,"★《维保合同》里没这个项目",IF(N($G728)&lt;=0,"★收款金额要填",IF($H728="","★票据类型要选",IF(AND($L728&lt;&gt;"",COUNTIF(应收单号,$L728)=0),"★关联的应收单号不存在",IF(AND($L728&lt;&gt;"",IFERROR(INDEX(应收键,MATCH($L728,应收单号,0)),"")&lt;&gt;$D728),"★关联单号不是这个客户的",IF(AND($L728&lt;&gt;"",ROUND(SUMIF(收款关联,$L728,收款金额)-IFERROR(INDEX(应收金额,MATCH($L728,应收单号,0)),0),2)&gt;0.001),"★指定冲销超过那张单的应收","OK"))))))))</f>
        <v/>
      </c>
    </row>
    <row r="729" customFormat="false" ht="15" hidden="false" customHeight="false" outlineLevel="0" collapsed="false">
      <c r="A729" s="29" t="str">
        <f aca="false">IF($C729="","",ROW()-4)</f>
        <v/>
      </c>
      <c r="B729" s="35" t="str">
        <f aca="false">IF($C729="","","SK"&amp;TEXT($C729,"yyyymm")&amp;"-"&amp;TEXT(ROW()-4,"0000"))</f>
        <v/>
      </c>
      <c r="C729" s="33"/>
      <c r="D729" s="24"/>
      <c r="E729" s="30" t="str">
        <f aca="false">IF($D729="","",IFERROR(INDEX(合同单位,MATCH($D729,合同键,0)),IFERROR(TRIM(LEFT($D729,FIND("｜",$D729)-1)),$D729)))</f>
        <v/>
      </c>
      <c r="F729" s="30" t="str">
        <f aca="false">IF($D729="","",IFERROR(INDEX(合同项目,MATCH($D729,合同键,0)),IFERROR(TRIM(MID($D729,FIND("｜",$D729)+1,99)),"")))</f>
        <v/>
      </c>
      <c r="G729" s="39"/>
      <c r="H729" s="25"/>
      <c r="I729" s="35" t="str">
        <f aca="false">IF($H729="","",IFERROR(INDEX(票据归类表,MATCH($H729,票据类型表,0)),"现金无票"))</f>
        <v/>
      </c>
      <c r="J729" s="25"/>
      <c r="K729" s="25"/>
      <c r="L729" s="31"/>
      <c r="M729" s="29" t="str">
        <f aca="false">IF($C729="","",YEAR($C729))</f>
        <v/>
      </c>
      <c r="N729" s="24"/>
      <c r="O729" s="35" t="str">
        <f aca="false">IF($C729="","",IF($D729="","★没选客户项目",IF(COUNTIF(合同键,$D729)=0,"★《维保合同》里没这个项目",IF(N($G729)&lt;=0,"★收款金额要填",IF($H729="","★票据类型要选",IF(AND($L729&lt;&gt;"",COUNTIF(应收单号,$L729)=0),"★关联的应收单号不存在",IF(AND($L729&lt;&gt;"",IFERROR(INDEX(应收键,MATCH($L729,应收单号,0)),"")&lt;&gt;$D729),"★关联单号不是这个客户的",IF(AND($L729&lt;&gt;"",ROUND(SUMIF(收款关联,$L729,收款金额)-IFERROR(INDEX(应收金额,MATCH($L729,应收单号,0)),0),2)&gt;0.001),"★指定冲销超过那张单的应收","OK"))))))))</f>
        <v/>
      </c>
    </row>
    <row r="730" customFormat="false" ht="15" hidden="false" customHeight="false" outlineLevel="0" collapsed="false">
      <c r="A730" s="29" t="str">
        <f aca="false">IF($C730="","",ROW()-4)</f>
        <v/>
      </c>
      <c r="B730" s="35" t="str">
        <f aca="false">IF($C730="","","SK"&amp;TEXT($C730,"yyyymm")&amp;"-"&amp;TEXT(ROW()-4,"0000"))</f>
        <v/>
      </c>
      <c r="C730" s="33"/>
      <c r="D730" s="24"/>
      <c r="E730" s="30" t="str">
        <f aca="false">IF($D730="","",IFERROR(INDEX(合同单位,MATCH($D730,合同键,0)),IFERROR(TRIM(LEFT($D730,FIND("｜",$D730)-1)),$D730)))</f>
        <v/>
      </c>
      <c r="F730" s="30" t="str">
        <f aca="false">IF($D730="","",IFERROR(INDEX(合同项目,MATCH($D730,合同键,0)),IFERROR(TRIM(MID($D730,FIND("｜",$D730)+1,99)),"")))</f>
        <v/>
      </c>
      <c r="G730" s="39"/>
      <c r="H730" s="25"/>
      <c r="I730" s="35" t="str">
        <f aca="false">IF($H730="","",IFERROR(INDEX(票据归类表,MATCH($H730,票据类型表,0)),"现金无票"))</f>
        <v/>
      </c>
      <c r="J730" s="25"/>
      <c r="K730" s="25"/>
      <c r="L730" s="31"/>
      <c r="M730" s="29" t="str">
        <f aca="false">IF($C730="","",YEAR($C730))</f>
        <v/>
      </c>
      <c r="N730" s="24"/>
      <c r="O730" s="35" t="str">
        <f aca="false">IF($C730="","",IF($D730="","★没选客户项目",IF(COUNTIF(合同键,$D730)=0,"★《维保合同》里没这个项目",IF(N($G730)&lt;=0,"★收款金额要填",IF($H730="","★票据类型要选",IF(AND($L730&lt;&gt;"",COUNTIF(应收单号,$L730)=0),"★关联的应收单号不存在",IF(AND($L730&lt;&gt;"",IFERROR(INDEX(应收键,MATCH($L730,应收单号,0)),"")&lt;&gt;$D730),"★关联单号不是这个客户的",IF(AND($L730&lt;&gt;"",ROUND(SUMIF(收款关联,$L730,收款金额)-IFERROR(INDEX(应收金额,MATCH($L730,应收单号,0)),0),2)&gt;0.001),"★指定冲销超过那张单的应收","OK"))))))))</f>
        <v/>
      </c>
    </row>
    <row r="731" customFormat="false" ht="15" hidden="false" customHeight="false" outlineLevel="0" collapsed="false">
      <c r="A731" s="29" t="str">
        <f aca="false">IF($C731="","",ROW()-4)</f>
        <v/>
      </c>
      <c r="B731" s="35" t="str">
        <f aca="false">IF($C731="","","SK"&amp;TEXT($C731,"yyyymm")&amp;"-"&amp;TEXT(ROW()-4,"0000"))</f>
        <v/>
      </c>
      <c r="C731" s="33"/>
      <c r="D731" s="24"/>
      <c r="E731" s="30" t="str">
        <f aca="false">IF($D731="","",IFERROR(INDEX(合同单位,MATCH($D731,合同键,0)),IFERROR(TRIM(LEFT($D731,FIND("｜",$D731)-1)),$D731)))</f>
        <v/>
      </c>
      <c r="F731" s="30" t="str">
        <f aca="false">IF($D731="","",IFERROR(INDEX(合同项目,MATCH($D731,合同键,0)),IFERROR(TRIM(MID($D731,FIND("｜",$D731)+1,99)),"")))</f>
        <v/>
      </c>
      <c r="G731" s="39"/>
      <c r="H731" s="25"/>
      <c r="I731" s="35" t="str">
        <f aca="false">IF($H731="","",IFERROR(INDEX(票据归类表,MATCH($H731,票据类型表,0)),"现金无票"))</f>
        <v/>
      </c>
      <c r="J731" s="25"/>
      <c r="K731" s="25"/>
      <c r="L731" s="31"/>
      <c r="M731" s="29" t="str">
        <f aca="false">IF($C731="","",YEAR($C731))</f>
        <v/>
      </c>
      <c r="N731" s="24"/>
      <c r="O731" s="35" t="str">
        <f aca="false">IF($C731="","",IF($D731="","★没选客户项目",IF(COUNTIF(合同键,$D731)=0,"★《维保合同》里没这个项目",IF(N($G731)&lt;=0,"★收款金额要填",IF($H731="","★票据类型要选",IF(AND($L731&lt;&gt;"",COUNTIF(应收单号,$L731)=0),"★关联的应收单号不存在",IF(AND($L731&lt;&gt;"",IFERROR(INDEX(应收键,MATCH($L731,应收单号,0)),"")&lt;&gt;$D731),"★关联单号不是这个客户的",IF(AND($L731&lt;&gt;"",ROUND(SUMIF(收款关联,$L731,收款金额)-IFERROR(INDEX(应收金额,MATCH($L731,应收单号,0)),0),2)&gt;0.001),"★指定冲销超过那张单的应收","OK"))))))))</f>
        <v/>
      </c>
    </row>
    <row r="732" customFormat="false" ht="15" hidden="false" customHeight="false" outlineLevel="0" collapsed="false">
      <c r="A732" s="29" t="str">
        <f aca="false">IF($C732="","",ROW()-4)</f>
        <v/>
      </c>
      <c r="B732" s="35" t="str">
        <f aca="false">IF($C732="","","SK"&amp;TEXT($C732,"yyyymm")&amp;"-"&amp;TEXT(ROW()-4,"0000"))</f>
        <v/>
      </c>
      <c r="C732" s="33"/>
      <c r="D732" s="24"/>
      <c r="E732" s="30" t="str">
        <f aca="false">IF($D732="","",IFERROR(INDEX(合同单位,MATCH($D732,合同键,0)),IFERROR(TRIM(LEFT($D732,FIND("｜",$D732)-1)),$D732)))</f>
        <v/>
      </c>
      <c r="F732" s="30" t="str">
        <f aca="false">IF($D732="","",IFERROR(INDEX(合同项目,MATCH($D732,合同键,0)),IFERROR(TRIM(MID($D732,FIND("｜",$D732)+1,99)),"")))</f>
        <v/>
      </c>
      <c r="G732" s="39"/>
      <c r="H732" s="25"/>
      <c r="I732" s="35" t="str">
        <f aca="false">IF($H732="","",IFERROR(INDEX(票据归类表,MATCH($H732,票据类型表,0)),"现金无票"))</f>
        <v/>
      </c>
      <c r="J732" s="25"/>
      <c r="K732" s="25"/>
      <c r="L732" s="31"/>
      <c r="M732" s="29" t="str">
        <f aca="false">IF($C732="","",YEAR($C732))</f>
        <v/>
      </c>
      <c r="N732" s="24"/>
      <c r="O732" s="35" t="str">
        <f aca="false">IF($C732="","",IF($D732="","★没选客户项目",IF(COUNTIF(合同键,$D732)=0,"★《维保合同》里没这个项目",IF(N($G732)&lt;=0,"★收款金额要填",IF($H732="","★票据类型要选",IF(AND($L732&lt;&gt;"",COUNTIF(应收单号,$L732)=0),"★关联的应收单号不存在",IF(AND($L732&lt;&gt;"",IFERROR(INDEX(应收键,MATCH($L732,应收单号,0)),"")&lt;&gt;$D732),"★关联单号不是这个客户的",IF(AND($L732&lt;&gt;"",ROUND(SUMIF(收款关联,$L732,收款金额)-IFERROR(INDEX(应收金额,MATCH($L732,应收单号,0)),0),2)&gt;0.001),"★指定冲销超过那张单的应收","OK"))))))))</f>
        <v/>
      </c>
    </row>
    <row r="733" customFormat="false" ht="15" hidden="false" customHeight="false" outlineLevel="0" collapsed="false">
      <c r="A733" s="29" t="str">
        <f aca="false">IF($C733="","",ROW()-4)</f>
        <v/>
      </c>
      <c r="B733" s="35" t="str">
        <f aca="false">IF($C733="","","SK"&amp;TEXT($C733,"yyyymm")&amp;"-"&amp;TEXT(ROW()-4,"0000"))</f>
        <v/>
      </c>
      <c r="C733" s="33"/>
      <c r="D733" s="24"/>
      <c r="E733" s="30" t="str">
        <f aca="false">IF($D733="","",IFERROR(INDEX(合同单位,MATCH($D733,合同键,0)),IFERROR(TRIM(LEFT($D733,FIND("｜",$D733)-1)),$D733)))</f>
        <v/>
      </c>
      <c r="F733" s="30" t="str">
        <f aca="false">IF($D733="","",IFERROR(INDEX(合同项目,MATCH($D733,合同键,0)),IFERROR(TRIM(MID($D733,FIND("｜",$D733)+1,99)),"")))</f>
        <v/>
      </c>
      <c r="G733" s="39"/>
      <c r="H733" s="25"/>
      <c r="I733" s="35" t="str">
        <f aca="false">IF($H733="","",IFERROR(INDEX(票据归类表,MATCH($H733,票据类型表,0)),"现金无票"))</f>
        <v/>
      </c>
      <c r="J733" s="25"/>
      <c r="K733" s="25"/>
      <c r="L733" s="31"/>
      <c r="M733" s="29" t="str">
        <f aca="false">IF($C733="","",YEAR($C733))</f>
        <v/>
      </c>
      <c r="N733" s="24"/>
      <c r="O733" s="35" t="str">
        <f aca="false">IF($C733="","",IF($D733="","★没选客户项目",IF(COUNTIF(合同键,$D733)=0,"★《维保合同》里没这个项目",IF(N($G733)&lt;=0,"★收款金额要填",IF($H733="","★票据类型要选",IF(AND($L733&lt;&gt;"",COUNTIF(应收单号,$L733)=0),"★关联的应收单号不存在",IF(AND($L733&lt;&gt;"",IFERROR(INDEX(应收键,MATCH($L733,应收单号,0)),"")&lt;&gt;$D733),"★关联单号不是这个客户的",IF(AND($L733&lt;&gt;"",ROUND(SUMIF(收款关联,$L733,收款金额)-IFERROR(INDEX(应收金额,MATCH($L733,应收单号,0)),0),2)&gt;0.001),"★指定冲销超过那张单的应收","OK"))))))))</f>
        <v/>
      </c>
    </row>
    <row r="734" customFormat="false" ht="15" hidden="false" customHeight="false" outlineLevel="0" collapsed="false">
      <c r="A734" s="29" t="str">
        <f aca="false">IF($C734="","",ROW()-4)</f>
        <v/>
      </c>
      <c r="B734" s="35" t="str">
        <f aca="false">IF($C734="","","SK"&amp;TEXT($C734,"yyyymm")&amp;"-"&amp;TEXT(ROW()-4,"0000"))</f>
        <v/>
      </c>
      <c r="C734" s="33"/>
      <c r="D734" s="24"/>
      <c r="E734" s="30" t="str">
        <f aca="false">IF($D734="","",IFERROR(INDEX(合同单位,MATCH($D734,合同键,0)),IFERROR(TRIM(LEFT($D734,FIND("｜",$D734)-1)),$D734)))</f>
        <v/>
      </c>
      <c r="F734" s="30" t="str">
        <f aca="false">IF($D734="","",IFERROR(INDEX(合同项目,MATCH($D734,合同键,0)),IFERROR(TRIM(MID($D734,FIND("｜",$D734)+1,99)),"")))</f>
        <v/>
      </c>
      <c r="G734" s="39"/>
      <c r="H734" s="25"/>
      <c r="I734" s="35" t="str">
        <f aca="false">IF($H734="","",IFERROR(INDEX(票据归类表,MATCH($H734,票据类型表,0)),"现金无票"))</f>
        <v/>
      </c>
      <c r="J734" s="25"/>
      <c r="K734" s="25"/>
      <c r="L734" s="31"/>
      <c r="M734" s="29" t="str">
        <f aca="false">IF($C734="","",YEAR($C734))</f>
        <v/>
      </c>
      <c r="N734" s="24"/>
      <c r="O734" s="35" t="str">
        <f aca="false">IF($C734="","",IF($D734="","★没选客户项目",IF(COUNTIF(合同键,$D734)=0,"★《维保合同》里没这个项目",IF(N($G734)&lt;=0,"★收款金额要填",IF($H734="","★票据类型要选",IF(AND($L734&lt;&gt;"",COUNTIF(应收单号,$L734)=0),"★关联的应收单号不存在",IF(AND($L734&lt;&gt;"",IFERROR(INDEX(应收键,MATCH($L734,应收单号,0)),"")&lt;&gt;$D734),"★关联单号不是这个客户的",IF(AND($L734&lt;&gt;"",ROUND(SUMIF(收款关联,$L734,收款金额)-IFERROR(INDEX(应收金额,MATCH($L734,应收单号,0)),0),2)&gt;0.001),"★指定冲销超过那张单的应收","OK"))))))))</f>
        <v/>
      </c>
    </row>
    <row r="735" customFormat="false" ht="15" hidden="false" customHeight="false" outlineLevel="0" collapsed="false">
      <c r="A735" s="29" t="str">
        <f aca="false">IF($C735="","",ROW()-4)</f>
        <v/>
      </c>
      <c r="B735" s="35" t="str">
        <f aca="false">IF($C735="","","SK"&amp;TEXT($C735,"yyyymm")&amp;"-"&amp;TEXT(ROW()-4,"0000"))</f>
        <v/>
      </c>
      <c r="C735" s="33"/>
      <c r="D735" s="24"/>
      <c r="E735" s="30" t="str">
        <f aca="false">IF($D735="","",IFERROR(INDEX(合同单位,MATCH($D735,合同键,0)),IFERROR(TRIM(LEFT($D735,FIND("｜",$D735)-1)),$D735)))</f>
        <v/>
      </c>
      <c r="F735" s="30" t="str">
        <f aca="false">IF($D735="","",IFERROR(INDEX(合同项目,MATCH($D735,合同键,0)),IFERROR(TRIM(MID($D735,FIND("｜",$D735)+1,99)),"")))</f>
        <v/>
      </c>
      <c r="G735" s="39"/>
      <c r="H735" s="25"/>
      <c r="I735" s="35" t="str">
        <f aca="false">IF($H735="","",IFERROR(INDEX(票据归类表,MATCH($H735,票据类型表,0)),"现金无票"))</f>
        <v/>
      </c>
      <c r="J735" s="25"/>
      <c r="K735" s="25"/>
      <c r="L735" s="31"/>
      <c r="M735" s="29" t="str">
        <f aca="false">IF($C735="","",YEAR($C735))</f>
        <v/>
      </c>
      <c r="N735" s="24"/>
      <c r="O735" s="35" t="str">
        <f aca="false">IF($C735="","",IF($D735="","★没选客户项目",IF(COUNTIF(合同键,$D735)=0,"★《维保合同》里没这个项目",IF(N($G735)&lt;=0,"★收款金额要填",IF($H735="","★票据类型要选",IF(AND($L735&lt;&gt;"",COUNTIF(应收单号,$L735)=0),"★关联的应收单号不存在",IF(AND($L735&lt;&gt;"",IFERROR(INDEX(应收键,MATCH($L735,应收单号,0)),"")&lt;&gt;$D735),"★关联单号不是这个客户的",IF(AND($L735&lt;&gt;"",ROUND(SUMIF(收款关联,$L735,收款金额)-IFERROR(INDEX(应收金额,MATCH($L735,应收单号,0)),0),2)&gt;0.001),"★指定冲销超过那张单的应收","OK"))))))))</f>
        <v/>
      </c>
    </row>
    <row r="736" customFormat="false" ht="15" hidden="false" customHeight="false" outlineLevel="0" collapsed="false">
      <c r="A736" s="29" t="str">
        <f aca="false">IF($C736="","",ROW()-4)</f>
        <v/>
      </c>
      <c r="B736" s="35" t="str">
        <f aca="false">IF($C736="","","SK"&amp;TEXT($C736,"yyyymm")&amp;"-"&amp;TEXT(ROW()-4,"0000"))</f>
        <v/>
      </c>
      <c r="C736" s="33"/>
      <c r="D736" s="24"/>
      <c r="E736" s="30" t="str">
        <f aca="false">IF($D736="","",IFERROR(INDEX(合同单位,MATCH($D736,合同键,0)),IFERROR(TRIM(LEFT($D736,FIND("｜",$D736)-1)),$D736)))</f>
        <v/>
      </c>
      <c r="F736" s="30" t="str">
        <f aca="false">IF($D736="","",IFERROR(INDEX(合同项目,MATCH($D736,合同键,0)),IFERROR(TRIM(MID($D736,FIND("｜",$D736)+1,99)),"")))</f>
        <v/>
      </c>
      <c r="G736" s="39"/>
      <c r="H736" s="25"/>
      <c r="I736" s="35" t="str">
        <f aca="false">IF($H736="","",IFERROR(INDEX(票据归类表,MATCH($H736,票据类型表,0)),"现金无票"))</f>
        <v/>
      </c>
      <c r="J736" s="25"/>
      <c r="K736" s="25"/>
      <c r="L736" s="31"/>
      <c r="M736" s="29" t="str">
        <f aca="false">IF($C736="","",YEAR($C736))</f>
        <v/>
      </c>
      <c r="N736" s="24"/>
      <c r="O736" s="35" t="str">
        <f aca="false">IF($C736="","",IF($D736="","★没选客户项目",IF(COUNTIF(合同键,$D736)=0,"★《维保合同》里没这个项目",IF(N($G736)&lt;=0,"★收款金额要填",IF($H736="","★票据类型要选",IF(AND($L736&lt;&gt;"",COUNTIF(应收单号,$L736)=0),"★关联的应收单号不存在",IF(AND($L736&lt;&gt;"",IFERROR(INDEX(应收键,MATCH($L736,应收单号,0)),"")&lt;&gt;$D736),"★关联单号不是这个客户的",IF(AND($L736&lt;&gt;"",ROUND(SUMIF(收款关联,$L736,收款金额)-IFERROR(INDEX(应收金额,MATCH($L736,应收单号,0)),0),2)&gt;0.001),"★指定冲销超过那张单的应收","OK"))))))))</f>
        <v/>
      </c>
    </row>
    <row r="737" customFormat="false" ht="15" hidden="false" customHeight="false" outlineLevel="0" collapsed="false">
      <c r="A737" s="29" t="str">
        <f aca="false">IF($C737="","",ROW()-4)</f>
        <v/>
      </c>
      <c r="B737" s="35" t="str">
        <f aca="false">IF($C737="","","SK"&amp;TEXT($C737,"yyyymm")&amp;"-"&amp;TEXT(ROW()-4,"0000"))</f>
        <v/>
      </c>
      <c r="C737" s="33"/>
      <c r="D737" s="24"/>
      <c r="E737" s="30" t="str">
        <f aca="false">IF($D737="","",IFERROR(INDEX(合同单位,MATCH($D737,合同键,0)),IFERROR(TRIM(LEFT($D737,FIND("｜",$D737)-1)),$D737)))</f>
        <v/>
      </c>
      <c r="F737" s="30" t="str">
        <f aca="false">IF($D737="","",IFERROR(INDEX(合同项目,MATCH($D737,合同键,0)),IFERROR(TRIM(MID($D737,FIND("｜",$D737)+1,99)),"")))</f>
        <v/>
      </c>
      <c r="G737" s="39"/>
      <c r="H737" s="25"/>
      <c r="I737" s="35" t="str">
        <f aca="false">IF($H737="","",IFERROR(INDEX(票据归类表,MATCH($H737,票据类型表,0)),"现金无票"))</f>
        <v/>
      </c>
      <c r="J737" s="25"/>
      <c r="K737" s="25"/>
      <c r="L737" s="31"/>
      <c r="M737" s="29" t="str">
        <f aca="false">IF($C737="","",YEAR($C737))</f>
        <v/>
      </c>
      <c r="N737" s="24"/>
      <c r="O737" s="35" t="str">
        <f aca="false">IF($C737="","",IF($D737="","★没选客户项目",IF(COUNTIF(合同键,$D737)=0,"★《维保合同》里没这个项目",IF(N($G737)&lt;=0,"★收款金额要填",IF($H737="","★票据类型要选",IF(AND($L737&lt;&gt;"",COUNTIF(应收单号,$L737)=0),"★关联的应收单号不存在",IF(AND($L737&lt;&gt;"",IFERROR(INDEX(应收键,MATCH($L737,应收单号,0)),"")&lt;&gt;$D737),"★关联单号不是这个客户的",IF(AND($L737&lt;&gt;"",ROUND(SUMIF(收款关联,$L737,收款金额)-IFERROR(INDEX(应收金额,MATCH($L737,应收单号,0)),0),2)&gt;0.001),"★指定冲销超过那张单的应收","OK"))))))))</f>
        <v/>
      </c>
    </row>
    <row r="738" customFormat="false" ht="15" hidden="false" customHeight="false" outlineLevel="0" collapsed="false">
      <c r="A738" s="29" t="str">
        <f aca="false">IF($C738="","",ROW()-4)</f>
        <v/>
      </c>
      <c r="B738" s="35" t="str">
        <f aca="false">IF($C738="","","SK"&amp;TEXT($C738,"yyyymm")&amp;"-"&amp;TEXT(ROW()-4,"0000"))</f>
        <v/>
      </c>
      <c r="C738" s="33"/>
      <c r="D738" s="24"/>
      <c r="E738" s="30" t="str">
        <f aca="false">IF($D738="","",IFERROR(INDEX(合同单位,MATCH($D738,合同键,0)),IFERROR(TRIM(LEFT($D738,FIND("｜",$D738)-1)),$D738)))</f>
        <v/>
      </c>
      <c r="F738" s="30" t="str">
        <f aca="false">IF($D738="","",IFERROR(INDEX(合同项目,MATCH($D738,合同键,0)),IFERROR(TRIM(MID($D738,FIND("｜",$D738)+1,99)),"")))</f>
        <v/>
      </c>
      <c r="G738" s="39"/>
      <c r="H738" s="25"/>
      <c r="I738" s="35" t="str">
        <f aca="false">IF($H738="","",IFERROR(INDEX(票据归类表,MATCH($H738,票据类型表,0)),"现金无票"))</f>
        <v/>
      </c>
      <c r="J738" s="25"/>
      <c r="K738" s="25"/>
      <c r="L738" s="31"/>
      <c r="M738" s="29" t="str">
        <f aca="false">IF($C738="","",YEAR($C738))</f>
        <v/>
      </c>
      <c r="N738" s="24"/>
      <c r="O738" s="35" t="str">
        <f aca="false">IF($C738="","",IF($D738="","★没选客户项目",IF(COUNTIF(合同键,$D738)=0,"★《维保合同》里没这个项目",IF(N($G738)&lt;=0,"★收款金额要填",IF($H738="","★票据类型要选",IF(AND($L738&lt;&gt;"",COUNTIF(应收单号,$L738)=0),"★关联的应收单号不存在",IF(AND($L738&lt;&gt;"",IFERROR(INDEX(应收键,MATCH($L738,应收单号,0)),"")&lt;&gt;$D738),"★关联单号不是这个客户的",IF(AND($L738&lt;&gt;"",ROUND(SUMIF(收款关联,$L738,收款金额)-IFERROR(INDEX(应收金额,MATCH($L738,应收单号,0)),0),2)&gt;0.001),"★指定冲销超过那张单的应收","OK"))))))))</f>
        <v/>
      </c>
    </row>
    <row r="739" customFormat="false" ht="15" hidden="false" customHeight="false" outlineLevel="0" collapsed="false">
      <c r="A739" s="29" t="str">
        <f aca="false">IF($C739="","",ROW()-4)</f>
        <v/>
      </c>
      <c r="B739" s="35" t="str">
        <f aca="false">IF($C739="","","SK"&amp;TEXT($C739,"yyyymm")&amp;"-"&amp;TEXT(ROW()-4,"0000"))</f>
        <v/>
      </c>
      <c r="C739" s="33"/>
      <c r="D739" s="24"/>
      <c r="E739" s="30" t="str">
        <f aca="false">IF($D739="","",IFERROR(INDEX(合同单位,MATCH($D739,合同键,0)),IFERROR(TRIM(LEFT($D739,FIND("｜",$D739)-1)),$D739)))</f>
        <v/>
      </c>
      <c r="F739" s="30" t="str">
        <f aca="false">IF($D739="","",IFERROR(INDEX(合同项目,MATCH($D739,合同键,0)),IFERROR(TRIM(MID($D739,FIND("｜",$D739)+1,99)),"")))</f>
        <v/>
      </c>
      <c r="G739" s="39"/>
      <c r="H739" s="25"/>
      <c r="I739" s="35" t="str">
        <f aca="false">IF($H739="","",IFERROR(INDEX(票据归类表,MATCH($H739,票据类型表,0)),"现金无票"))</f>
        <v/>
      </c>
      <c r="J739" s="25"/>
      <c r="K739" s="25"/>
      <c r="L739" s="31"/>
      <c r="M739" s="29" t="str">
        <f aca="false">IF($C739="","",YEAR($C739))</f>
        <v/>
      </c>
      <c r="N739" s="24"/>
      <c r="O739" s="35" t="str">
        <f aca="false">IF($C739="","",IF($D739="","★没选客户项目",IF(COUNTIF(合同键,$D739)=0,"★《维保合同》里没这个项目",IF(N($G739)&lt;=0,"★收款金额要填",IF($H739="","★票据类型要选",IF(AND($L739&lt;&gt;"",COUNTIF(应收单号,$L739)=0),"★关联的应收单号不存在",IF(AND($L739&lt;&gt;"",IFERROR(INDEX(应收键,MATCH($L739,应收单号,0)),"")&lt;&gt;$D739),"★关联单号不是这个客户的",IF(AND($L739&lt;&gt;"",ROUND(SUMIF(收款关联,$L739,收款金额)-IFERROR(INDEX(应收金额,MATCH($L739,应收单号,0)),0),2)&gt;0.001),"★指定冲销超过那张单的应收","OK"))))))))</f>
        <v/>
      </c>
    </row>
    <row r="740" customFormat="false" ht="15" hidden="false" customHeight="false" outlineLevel="0" collapsed="false">
      <c r="A740" s="29" t="str">
        <f aca="false">IF($C740="","",ROW()-4)</f>
        <v/>
      </c>
      <c r="B740" s="35" t="str">
        <f aca="false">IF($C740="","","SK"&amp;TEXT($C740,"yyyymm")&amp;"-"&amp;TEXT(ROW()-4,"0000"))</f>
        <v/>
      </c>
      <c r="C740" s="33"/>
      <c r="D740" s="24"/>
      <c r="E740" s="30" t="str">
        <f aca="false">IF($D740="","",IFERROR(INDEX(合同单位,MATCH($D740,合同键,0)),IFERROR(TRIM(LEFT($D740,FIND("｜",$D740)-1)),$D740)))</f>
        <v/>
      </c>
      <c r="F740" s="30" t="str">
        <f aca="false">IF($D740="","",IFERROR(INDEX(合同项目,MATCH($D740,合同键,0)),IFERROR(TRIM(MID($D740,FIND("｜",$D740)+1,99)),"")))</f>
        <v/>
      </c>
      <c r="G740" s="39"/>
      <c r="H740" s="25"/>
      <c r="I740" s="35" t="str">
        <f aca="false">IF($H740="","",IFERROR(INDEX(票据归类表,MATCH($H740,票据类型表,0)),"现金无票"))</f>
        <v/>
      </c>
      <c r="J740" s="25"/>
      <c r="K740" s="25"/>
      <c r="L740" s="31"/>
      <c r="M740" s="29" t="str">
        <f aca="false">IF($C740="","",YEAR($C740))</f>
        <v/>
      </c>
      <c r="N740" s="24"/>
      <c r="O740" s="35" t="str">
        <f aca="false">IF($C740="","",IF($D740="","★没选客户项目",IF(COUNTIF(合同键,$D740)=0,"★《维保合同》里没这个项目",IF(N($G740)&lt;=0,"★收款金额要填",IF($H740="","★票据类型要选",IF(AND($L740&lt;&gt;"",COUNTIF(应收单号,$L740)=0),"★关联的应收单号不存在",IF(AND($L740&lt;&gt;"",IFERROR(INDEX(应收键,MATCH($L740,应收单号,0)),"")&lt;&gt;$D740),"★关联单号不是这个客户的",IF(AND($L740&lt;&gt;"",ROUND(SUMIF(收款关联,$L740,收款金额)-IFERROR(INDEX(应收金额,MATCH($L740,应收单号,0)),0),2)&gt;0.001),"★指定冲销超过那张单的应收","OK"))))))))</f>
        <v/>
      </c>
    </row>
    <row r="741" customFormat="false" ht="15" hidden="false" customHeight="false" outlineLevel="0" collapsed="false">
      <c r="A741" s="29" t="str">
        <f aca="false">IF($C741="","",ROW()-4)</f>
        <v/>
      </c>
      <c r="B741" s="35" t="str">
        <f aca="false">IF($C741="","","SK"&amp;TEXT($C741,"yyyymm")&amp;"-"&amp;TEXT(ROW()-4,"0000"))</f>
        <v/>
      </c>
      <c r="C741" s="33"/>
      <c r="D741" s="24"/>
      <c r="E741" s="30" t="str">
        <f aca="false">IF($D741="","",IFERROR(INDEX(合同单位,MATCH($D741,合同键,0)),IFERROR(TRIM(LEFT($D741,FIND("｜",$D741)-1)),$D741)))</f>
        <v/>
      </c>
      <c r="F741" s="30" t="str">
        <f aca="false">IF($D741="","",IFERROR(INDEX(合同项目,MATCH($D741,合同键,0)),IFERROR(TRIM(MID($D741,FIND("｜",$D741)+1,99)),"")))</f>
        <v/>
      </c>
      <c r="G741" s="39"/>
      <c r="H741" s="25"/>
      <c r="I741" s="35" t="str">
        <f aca="false">IF($H741="","",IFERROR(INDEX(票据归类表,MATCH($H741,票据类型表,0)),"现金无票"))</f>
        <v/>
      </c>
      <c r="J741" s="25"/>
      <c r="K741" s="25"/>
      <c r="L741" s="31"/>
      <c r="M741" s="29" t="str">
        <f aca="false">IF($C741="","",YEAR($C741))</f>
        <v/>
      </c>
      <c r="N741" s="24"/>
      <c r="O741" s="35" t="str">
        <f aca="false">IF($C741="","",IF($D741="","★没选客户项目",IF(COUNTIF(合同键,$D741)=0,"★《维保合同》里没这个项目",IF(N($G741)&lt;=0,"★收款金额要填",IF($H741="","★票据类型要选",IF(AND($L741&lt;&gt;"",COUNTIF(应收单号,$L741)=0),"★关联的应收单号不存在",IF(AND($L741&lt;&gt;"",IFERROR(INDEX(应收键,MATCH($L741,应收单号,0)),"")&lt;&gt;$D741),"★关联单号不是这个客户的",IF(AND($L741&lt;&gt;"",ROUND(SUMIF(收款关联,$L741,收款金额)-IFERROR(INDEX(应收金额,MATCH($L741,应收单号,0)),0),2)&gt;0.001),"★指定冲销超过那张单的应收","OK"))))))))</f>
        <v/>
      </c>
    </row>
    <row r="742" customFormat="false" ht="15" hidden="false" customHeight="false" outlineLevel="0" collapsed="false">
      <c r="A742" s="29" t="str">
        <f aca="false">IF($C742="","",ROW()-4)</f>
        <v/>
      </c>
      <c r="B742" s="35" t="str">
        <f aca="false">IF($C742="","","SK"&amp;TEXT($C742,"yyyymm")&amp;"-"&amp;TEXT(ROW()-4,"0000"))</f>
        <v/>
      </c>
      <c r="C742" s="33"/>
      <c r="D742" s="24"/>
      <c r="E742" s="30" t="str">
        <f aca="false">IF($D742="","",IFERROR(INDEX(合同单位,MATCH($D742,合同键,0)),IFERROR(TRIM(LEFT($D742,FIND("｜",$D742)-1)),$D742)))</f>
        <v/>
      </c>
      <c r="F742" s="30" t="str">
        <f aca="false">IF($D742="","",IFERROR(INDEX(合同项目,MATCH($D742,合同键,0)),IFERROR(TRIM(MID($D742,FIND("｜",$D742)+1,99)),"")))</f>
        <v/>
      </c>
      <c r="G742" s="39"/>
      <c r="H742" s="25"/>
      <c r="I742" s="35" t="str">
        <f aca="false">IF($H742="","",IFERROR(INDEX(票据归类表,MATCH($H742,票据类型表,0)),"现金无票"))</f>
        <v/>
      </c>
      <c r="J742" s="25"/>
      <c r="K742" s="25"/>
      <c r="L742" s="31"/>
      <c r="M742" s="29" t="str">
        <f aca="false">IF($C742="","",YEAR($C742))</f>
        <v/>
      </c>
      <c r="N742" s="24"/>
      <c r="O742" s="35" t="str">
        <f aca="false">IF($C742="","",IF($D742="","★没选客户项目",IF(COUNTIF(合同键,$D742)=0,"★《维保合同》里没这个项目",IF(N($G742)&lt;=0,"★收款金额要填",IF($H742="","★票据类型要选",IF(AND($L742&lt;&gt;"",COUNTIF(应收单号,$L742)=0),"★关联的应收单号不存在",IF(AND($L742&lt;&gt;"",IFERROR(INDEX(应收键,MATCH($L742,应收单号,0)),"")&lt;&gt;$D742),"★关联单号不是这个客户的",IF(AND($L742&lt;&gt;"",ROUND(SUMIF(收款关联,$L742,收款金额)-IFERROR(INDEX(应收金额,MATCH($L742,应收单号,0)),0),2)&gt;0.001),"★指定冲销超过那张单的应收","OK"))))))))</f>
        <v/>
      </c>
    </row>
    <row r="743" customFormat="false" ht="15" hidden="false" customHeight="false" outlineLevel="0" collapsed="false">
      <c r="A743" s="29" t="str">
        <f aca="false">IF($C743="","",ROW()-4)</f>
        <v/>
      </c>
      <c r="B743" s="35" t="str">
        <f aca="false">IF($C743="","","SK"&amp;TEXT($C743,"yyyymm")&amp;"-"&amp;TEXT(ROW()-4,"0000"))</f>
        <v/>
      </c>
      <c r="C743" s="33"/>
      <c r="D743" s="24"/>
      <c r="E743" s="30" t="str">
        <f aca="false">IF($D743="","",IFERROR(INDEX(合同单位,MATCH($D743,合同键,0)),IFERROR(TRIM(LEFT($D743,FIND("｜",$D743)-1)),$D743)))</f>
        <v/>
      </c>
      <c r="F743" s="30" t="str">
        <f aca="false">IF($D743="","",IFERROR(INDEX(合同项目,MATCH($D743,合同键,0)),IFERROR(TRIM(MID($D743,FIND("｜",$D743)+1,99)),"")))</f>
        <v/>
      </c>
      <c r="G743" s="39"/>
      <c r="H743" s="25"/>
      <c r="I743" s="35" t="str">
        <f aca="false">IF($H743="","",IFERROR(INDEX(票据归类表,MATCH($H743,票据类型表,0)),"现金无票"))</f>
        <v/>
      </c>
      <c r="J743" s="25"/>
      <c r="K743" s="25"/>
      <c r="L743" s="31"/>
      <c r="M743" s="29" t="str">
        <f aca="false">IF($C743="","",YEAR($C743))</f>
        <v/>
      </c>
      <c r="N743" s="24"/>
      <c r="O743" s="35" t="str">
        <f aca="false">IF($C743="","",IF($D743="","★没选客户项目",IF(COUNTIF(合同键,$D743)=0,"★《维保合同》里没这个项目",IF(N($G743)&lt;=0,"★收款金额要填",IF($H743="","★票据类型要选",IF(AND($L743&lt;&gt;"",COUNTIF(应收单号,$L743)=0),"★关联的应收单号不存在",IF(AND($L743&lt;&gt;"",IFERROR(INDEX(应收键,MATCH($L743,应收单号,0)),"")&lt;&gt;$D743),"★关联单号不是这个客户的",IF(AND($L743&lt;&gt;"",ROUND(SUMIF(收款关联,$L743,收款金额)-IFERROR(INDEX(应收金额,MATCH($L743,应收单号,0)),0),2)&gt;0.001),"★指定冲销超过那张单的应收","OK"))))))))</f>
        <v/>
      </c>
    </row>
    <row r="744" customFormat="false" ht="15" hidden="false" customHeight="false" outlineLevel="0" collapsed="false">
      <c r="A744" s="29" t="str">
        <f aca="false">IF($C744="","",ROW()-4)</f>
        <v/>
      </c>
      <c r="B744" s="35" t="str">
        <f aca="false">IF($C744="","","SK"&amp;TEXT($C744,"yyyymm")&amp;"-"&amp;TEXT(ROW()-4,"0000"))</f>
        <v/>
      </c>
      <c r="C744" s="33"/>
      <c r="D744" s="24"/>
      <c r="E744" s="30" t="str">
        <f aca="false">IF($D744="","",IFERROR(INDEX(合同单位,MATCH($D744,合同键,0)),IFERROR(TRIM(LEFT($D744,FIND("｜",$D744)-1)),$D744)))</f>
        <v/>
      </c>
      <c r="F744" s="30" t="str">
        <f aca="false">IF($D744="","",IFERROR(INDEX(合同项目,MATCH($D744,合同键,0)),IFERROR(TRIM(MID($D744,FIND("｜",$D744)+1,99)),"")))</f>
        <v/>
      </c>
      <c r="G744" s="39"/>
      <c r="H744" s="25"/>
      <c r="I744" s="35" t="str">
        <f aca="false">IF($H744="","",IFERROR(INDEX(票据归类表,MATCH($H744,票据类型表,0)),"现金无票"))</f>
        <v/>
      </c>
      <c r="J744" s="25"/>
      <c r="K744" s="25"/>
      <c r="L744" s="31"/>
      <c r="M744" s="29" t="str">
        <f aca="false">IF($C744="","",YEAR($C744))</f>
        <v/>
      </c>
      <c r="N744" s="24"/>
      <c r="O744" s="35" t="str">
        <f aca="false">IF($C744="","",IF($D744="","★没选客户项目",IF(COUNTIF(合同键,$D744)=0,"★《维保合同》里没这个项目",IF(N($G744)&lt;=0,"★收款金额要填",IF($H744="","★票据类型要选",IF(AND($L744&lt;&gt;"",COUNTIF(应收单号,$L744)=0),"★关联的应收单号不存在",IF(AND($L744&lt;&gt;"",IFERROR(INDEX(应收键,MATCH($L744,应收单号,0)),"")&lt;&gt;$D744),"★关联单号不是这个客户的",IF(AND($L744&lt;&gt;"",ROUND(SUMIF(收款关联,$L744,收款金额)-IFERROR(INDEX(应收金额,MATCH($L744,应收单号,0)),0),2)&gt;0.001),"★指定冲销超过那张单的应收","OK"))))))))</f>
        <v/>
      </c>
    </row>
    <row r="745" customFormat="false" ht="15" hidden="false" customHeight="false" outlineLevel="0" collapsed="false">
      <c r="A745" s="29" t="str">
        <f aca="false">IF($C745="","",ROW()-4)</f>
        <v/>
      </c>
      <c r="B745" s="35" t="str">
        <f aca="false">IF($C745="","","SK"&amp;TEXT($C745,"yyyymm")&amp;"-"&amp;TEXT(ROW()-4,"0000"))</f>
        <v/>
      </c>
      <c r="C745" s="33"/>
      <c r="D745" s="24"/>
      <c r="E745" s="30" t="str">
        <f aca="false">IF($D745="","",IFERROR(INDEX(合同单位,MATCH($D745,合同键,0)),IFERROR(TRIM(LEFT($D745,FIND("｜",$D745)-1)),$D745)))</f>
        <v/>
      </c>
      <c r="F745" s="30" t="str">
        <f aca="false">IF($D745="","",IFERROR(INDEX(合同项目,MATCH($D745,合同键,0)),IFERROR(TRIM(MID($D745,FIND("｜",$D745)+1,99)),"")))</f>
        <v/>
      </c>
      <c r="G745" s="39"/>
      <c r="H745" s="25"/>
      <c r="I745" s="35" t="str">
        <f aca="false">IF($H745="","",IFERROR(INDEX(票据归类表,MATCH($H745,票据类型表,0)),"现金无票"))</f>
        <v/>
      </c>
      <c r="J745" s="25"/>
      <c r="K745" s="25"/>
      <c r="L745" s="31"/>
      <c r="M745" s="29" t="str">
        <f aca="false">IF($C745="","",YEAR($C745))</f>
        <v/>
      </c>
      <c r="N745" s="24"/>
      <c r="O745" s="35" t="str">
        <f aca="false">IF($C745="","",IF($D745="","★没选客户项目",IF(COUNTIF(合同键,$D745)=0,"★《维保合同》里没这个项目",IF(N($G745)&lt;=0,"★收款金额要填",IF($H745="","★票据类型要选",IF(AND($L745&lt;&gt;"",COUNTIF(应收单号,$L745)=0),"★关联的应收单号不存在",IF(AND($L745&lt;&gt;"",IFERROR(INDEX(应收键,MATCH($L745,应收单号,0)),"")&lt;&gt;$D745),"★关联单号不是这个客户的",IF(AND($L745&lt;&gt;"",ROUND(SUMIF(收款关联,$L745,收款金额)-IFERROR(INDEX(应收金额,MATCH($L745,应收单号,0)),0),2)&gt;0.001),"★指定冲销超过那张单的应收","OK"))))))))</f>
        <v/>
      </c>
    </row>
    <row r="746" customFormat="false" ht="15" hidden="false" customHeight="false" outlineLevel="0" collapsed="false">
      <c r="A746" s="29" t="str">
        <f aca="false">IF($C746="","",ROW()-4)</f>
        <v/>
      </c>
      <c r="B746" s="35" t="str">
        <f aca="false">IF($C746="","","SK"&amp;TEXT($C746,"yyyymm")&amp;"-"&amp;TEXT(ROW()-4,"0000"))</f>
        <v/>
      </c>
      <c r="C746" s="33"/>
      <c r="D746" s="24"/>
      <c r="E746" s="30" t="str">
        <f aca="false">IF($D746="","",IFERROR(INDEX(合同单位,MATCH($D746,合同键,0)),IFERROR(TRIM(LEFT($D746,FIND("｜",$D746)-1)),$D746)))</f>
        <v/>
      </c>
      <c r="F746" s="30" t="str">
        <f aca="false">IF($D746="","",IFERROR(INDEX(合同项目,MATCH($D746,合同键,0)),IFERROR(TRIM(MID($D746,FIND("｜",$D746)+1,99)),"")))</f>
        <v/>
      </c>
      <c r="G746" s="39"/>
      <c r="H746" s="25"/>
      <c r="I746" s="35" t="str">
        <f aca="false">IF($H746="","",IFERROR(INDEX(票据归类表,MATCH($H746,票据类型表,0)),"现金无票"))</f>
        <v/>
      </c>
      <c r="J746" s="25"/>
      <c r="K746" s="25"/>
      <c r="L746" s="31"/>
      <c r="M746" s="29" t="str">
        <f aca="false">IF($C746="","",YEAR($C746))</f>
        <v/>
      </c>
      <c r="N746" s="24"/>
      <c r="O746" s="35" t="str">
        <f aca="false">IF($C746="","",IF($D746="","★没选客户项目",IF(COUNTIF(合同键,$D746)=0,"★《维保合同》里没这个项目",IF(N($G746)&lt;=0,"★收款金额要填",IF($H746="","★票据类型要选",IF(AND($L746&lt;&gt;"",COUNTIF(应收单号,$L746)=0),"★关联的应收单号不存在",IF(AND($L746&lt;&gt;"",IFERROR(INDEX(应收键,MATCH($L746,应收单号,0)),"")&lt;&gt;$D746),"★关联单号不是这个客户的",IF(AND($L746&lt;&gt;"",ROUND(SUMIF(收款关联,$L746,收款金额)-IFERROR(INDEX(应收金额,MATCH($L746,应收单号,0)),0),2)&gt;0.001),"★指定冲销超过那张单的应收","OK"))))))))</f>
        <v/>
      </c>
    </row>
    <row r="747" customFormat="false" ht="15" hidden="false" customHeight="false" outlineLevel="0" collapsed="false">
      <c r="A747" s="29" t="str">
        <f aca="false">IF($C747="","",ROW()-4)</f>
        <v/>
      </c>
      <c r="B747" s="35" t="str">
        <f aca="false">IF($C747="","","SK"&amp;TEXT($C747,"yyyymm")&amp;"-"&amp;TEXT(ROW()-4,"0000"))</f>
        <v/>
      </c>
      <c r="C747" s="33"/>
      <c r="D747" s="24"/>
      <c r="E747" s="30" t="str">
        <f aca="false">IF($D747="","",IFERROR(INDEX(合同单位,MATCH($D747,合同键,0)),IFERROR(TRIM(LEFT($D747,FIND("｜",$D747)-1)),$D747)))</f>
        <v/>
      </c>
      <c r="F747" s="30" t="str">
        <f aca="false">IF($D747="","",IFERROR(INDEX(合同项目,MATCH($D747,合同键,0)),IFERROR(TRIM(MID($D747,FIND("｜",$D747)+1,99)),"")))</f>
        <v/>
      </c>
      <c r="G747" s="39"/>
      <c r="H747" s="25"/>
      <c r="I747" s="35" t="str">
        <f aca="false">IF($H747="","",IFERROR(INDEX(票据归类表,MATCH($H747,票据类型表,0)),"现金无票"))</f>
        <v/>
      </c>
      <c r="J747" s="25"/>
      <c r="K747" s="25"/>
      <c r="L747" s="31"/>
      <c r="M747" s="29" t="str">
        <f aca="false">IF($C747="","",YEAR($C747))</f>
        <v/>
      </c>
      <c r="N747" s="24"/>
      <c r="O747" s="35" t="str">
        <f aca="false">IF($C747="","",IF($D747="","★没选客户项目",IF(COUNTIF(合同键,$D747)=0,"★《维保合同》里没这个项目",IF(N($G747)&lt;=0,"★收款金额要填",IF($H747="","★票据类型要选",IF(AND($L747&lt;&gt;"",COUNTIF(应收单号,$L747)=0),"★关联的应收单号不存在",IF(AND($L747&lt;&gt;"",IFERROR(INDEX(应收键,MATCH($L747,应收单号,0)),"")&lt;&gt;$D747),"★关联单号不是这个客户的",IF(AND($L747&lt;&gt;"",ROUND(SUMIF(收款关联,$L747,收款金额)-IFERROR(INDEX(应收金额,MATCH($L747,应收单号,0)),0),2)&gt;0.001),"★指定冲销超过那张单的应收","OK"))))))))</f>
        <v/>
      </c>
    </row>
    <row r="748" customFormat="false" ht="15" hidden="false" customHeight="false" outlineLevel="0" collapsed="false">
      <c r="A748" s="29" t="str">
        <f aca="false">IF($C748="","",ROW()-4)</f>
        <v/>
      </c>
      <c r="B748" s="35" t="str">
        <f aca="false">IF($C748="","","SK"&amp;TEXT($C748,"yyyymm")&amp;"-"&amp;TEXT(ROW()-4,"0000"))</f>
        <v/>
      </c>
      <c r="C748" s="33"/>
      <c r="D748" s="24"/>
      <c r="E748" s="30" t="str">
        <f aca="false">IF($D748="","",IFERROR(INDEX(合同单位,MATCH($D748,合同键,0)),IFERROR(TRIM(LEFT($D748,FIND("｜",$D748)-1)),$D748)))</f>
        <v/>
      </c>
      <c r="F748" s="30" t="str">
        <f aca="false">IF($D748="","",IFERROR(INDEX(合同项目,MATCH($D748,合同键,0)),IFERROR(TRIM(MID($D748,FIND("｜",$D748)+1,99)),"")))</f>
        <v/>
      </c>
      <c r="G748" s="39"/>
      <c r="H748" s="25"/>
      <c r="I748" s="35" t="str">
        <f aca="false">IF($H748="","",IFERROR(INDEX(票据归类表,MATCH($H748,票据类型表,0)),"现金无票"))</f>
        <v/>
      </c>
      <c r="J748" s="25"/>
      <c r="K748" s="25"/>
      <c r="L748" s="31"/>
      <c r="M748" s="29" t="str">
        <f aca="false">IF($C748="","",YEAR($C748))</f>
        <v/>
      </c>
      <c r="N748" s="24"/>
      <c r="O748" s="35" t="str">
        <f aca="false">IF($C748="","",IF($D748="","★没选客户项目",IF(COUNTIF(合同键,$D748)=0,"★《维保合同》里没这个项目",IF(N($G748)&lt;=0,"★收款金额要填",IF($H748="","★票据类型要选",IF(AND($L748&lt;&gt;"",COUNTIF(应收单号,$L748)=0),"★关联的应收单号不存在",IF(AND($L748&lt;&gt;"",IFERROR(INDEX(应收键,MATCH($L748,应收单号,0)),"")&lt;&gt;$D748),"★关联单号不是这个客户的",IF(AND($L748&lt;&gt;"",ROUND(SUMIF(收款关联,$L748,收款金额)-IFERROR(INDEX(应收金额,MATCH($L748,应收单号,0)),0),2)&gt;0.001),"★指定冲销超过那张单的应收","OK"))))))))</f>
        <v/>
      </c>
    </row>
    <row r="749" customFormat="false" ht="15" hidden="false" customHeight="false" outlineLevel="0" collapsed="false">
      <c r="A749" s="29" t="str">
        <f aca="false">IF($C749="","",ROW()-4)</f>
        <v/>
      </c>
      <c r="B749" s="35" t="str">
        <f aca="false">IF($C749="","","SK"&amp;TEXT($C749,"yyyymm")&amp;"-"&amp;TEXT(ROW()-4,"0000"))</f>
        <v/>
      </c>
      <c r="C749" s="33"/>
      <c r="D749" s="24"/>
      <c r="E749" s="30" t="str">
        <f aca="false">IF($D749="","",IFERROR(INDEX(合同单位,MATCH($D749,合同键,0)),IFERROR(TRIM(LEFT($D749,FIND("｜",$D749)-1)),$D749)))</f>
        <v/>
      </c>
      <c r="F749" s="30" t="str">
        <f aca="false">IF($D749="","",IFERROR(INDEX(合同项目,MATCH($D749,合同键,0)),IFERROR(TRIM(MID($D749,FIND("｜",$D749)+1,99)),"")))</f>
        <v/>
      </c>
      <c r="G749" s="39"/>
      <c r="H749" s="25"/>
      <c r="I749" s="35" t="str">
        <f aca="false">IF($H749="","",IFERROR(INDEX(票据归类表,MATCH($H749,票据类型表,0)),"现金无票"))</f>
        <v/>
      </c>
      <c r="J749" s="25"/>
      <c r="K749" s="25"/>
      <c r="L749" s="31"/>
      <c r="M749" s="29" t="str">
        <f aca="false">IF($C749="","",YEAR($C749))</f>
        <v/>
      </c>
      <c r="N749" s="24"/>
      <c r="O749" s="35" t="str">
        <f aca="false">IF($C749="","",IF($D749="","★没选客户项目",IF(COUNTIF(合同键,$D749)=0,"★《维保合同》里没这个项目",IF(N($G749)&lt;=0,"★收款金额要填",IF($H749="","★票据类型要选",IF(AND($L749&lt;&gt;"",COUNTIF(应收单号,$L749)=0),"★关联的应收单号不存在",IF(AND($L749&lt;&gt;"",IFERROR(INDEX(应收键,MATCH($L749,应收单号,0)),"")&lt;&gt;$D749),"★关联单号不是这个客户的",IF(AND($L749&lt;&gt;"",ROUND(SUMIF(收款关联,$L749,收款金额)-IFERROR(INDEX(应收金额,MATCH($L749,应收单号,0)),0),2)&gt;0.001),"★指定冲销超过那张单的应收","OK"))))))))</f>
        <v/>
      </c>
    </row>
    <row r="750" customFormat="false" ht="15" hidden="false" customHeight="false" outlineLevel="0" collapsed="false">
      <c r="A750" s="29" t="str">
        <f aca="false">IF($C750="","",ROW()-4)</f>
        <v/>
      </c>
      <c r="B750" s="35" t="str">
        <f aca="false">IF($C750="","","SK"&amp;TEXT($C750,"yyyymm")&amp;"-"&amp;TEXT(ROW()-4,"0000"))</f>
        <v/>
      </c>
      <c r="C750" s="33"/>
      <c r="D750" s="24"/>
      <c r="E750" s="30" t="str">
        <f aca="false">IF($D750="","",IFERROR(INDEX(合同单位,MATCH($D750,合同键,0)),IFERROR(TRIM(LEFT($D750,FIND("｜",$D750)-1)),$D750)))</f>
        <v/>
      </c>
      <c r="F750" s="30" t="str">
        <f aca="false">IF($D750="","",IFERROR(INDEX(合同项目,MATCH($D750,合同键,0)),IFERROR(TRIM(MID($D750,FIND("｜",$D750)+1,99)),"")))</f>
        <v/>
      </c>
      <c r="G750" s="39"/>
      <c r="H750" s="25"/>
      <c r="I750" s="35" t="str">
        <f aca="false">IF($H750="","",IFERROR(INDEX(票据归类表,MATCH($H750,票据类型表,0)),"现金无票"))</f>
        <v/>
      </c>
      <c r="J750" s="25"/>
      <c r="K750" s="25"/>
      <c r="L750" s="31"/>
      <c r="M750" s="29" t="str">
        <f aca="false">IF($C750="","",YEAR($C750))</f>
        <v/>
      </c>
      <c r="N750" s="24"/>
      <c r="O750" s="35" t="str">
        <f aca="false">IF($C750="","",IF($D750="","★没选客户项目",IF(COUNTIF(合同键,$D750)=0,"★《维保合同》里没这个项目",IF(N($G750)&lt;=0,"★收款金额要填",IF($H750="","★票据类型要选",IF(AND($L750&lt;&gt;"",COUNTIF(应收单号,$L750)=0),"★关联的应收单号不存在",IF(AND($L750&lt;&gt;"",IFERROR(INDEX(应收键,MATCH($L750,应收单号,0)),"")&lt;&gt;$D750),"★关联单号不是这个客户的",IF(AND($L750&lt;&gt;"",ROUND(SUMIF(收款关联,$L750,收款金额)-IFERROR(INDEX(应收金额,MATCH($L750,应收单号,0)),0),2)&gt;0.001),"★指定冲销超过那张单的应收","OK"))))))))</f>
        <v/>
      </c>
    </row>
    <row r="751" customFormat="false" ht="15" hidden="false" customHeight="false" outlineLevel="0" collapsed="false">
      <c r="A751" s="29" t="str">
        <f aca="false">IF($C751="","",ROW()-4)</f>
        <v/>
      </c>
      <c r="B751" s="35" t="str">
        <f aca="false">IF($C751="","","SK"&amp;TEXT($C751,"yyyymm")&amp;"-"&amp;TEXT(ROW()-4,"0000"))</f>
        <v/>
      </c>
      <c r="C751" s="33"/>
      <c r="D751" s="24"/>
      <c r="E751" s="30" t="str">
        <f aca="false">IF($D751="","",IFERROR(INDEX(合同单位,MATCH($D751,合同键,0)),IFERROR(TRIM(LEFT($D751,FIND("｜",$D751)-1)),$D751)))</f>
        <v/>
      </c>
      <c r="F751" s="30" t="str">
        <f aca="false">IF($D751="","",IFERROR(INDEX(合同项目,MATCH($D751,合同键,0)),IFERROR(TRIM(MID($D751,FIND("｜",$D751)+1,99)),"")))</f>
        <v/>
      </c>
      <c r="G751" s="39"/>
      <c r="H751" s="25"/>
      <c r="I751" s="35" t="str">
        <f aca="false">IF($H751="","",IFERROR(INDEX(票据归类表,MATCH($H751,票据类型表,0)),"现金无票"))</f>
        <v/>
      </c>
      <c r="J751" s="25"/>
      <c r="K751" s="25"/>
      <c r="L751" s="31"/>
      <c r="M751" s="29" t="str">
        <f aca="false">IF($C751="","",YEAR($C751))</f>
        <v/>
      </c>
      <c r="N751" s="24"/>
      <c r="O751" s="35" t="str">
        <f aca="false">IF($C751="","",IF($D751="","★没选客户项目",IF(COUNTIF(合同键,$D751)=0,"★《维保合同》里没这个项目",IF(N($G751)&lt;=0,"★收款金额要填",IF($H751="","★票据类型要选",IF(AND($L751&lt;&gt;"",COUNTIF(应收单号,$L751)=0),"★关联的应收单号不存在",IF(AND($L751&lt;&gt;"",IFERROR(INDEX(应收键,MATCH($L751,应收单号,0)),"")&lt;&gt;$D751),"★关联单号不是这个客户的",IF(AND($L751&lt;&gt;"",ROUND(SUMIF(收款关联,$L751,收款金额)-IFERROR(INDEX(应收金额,MATCH($L751,应收单号,0)),0),2)&gt;0.001),"★指定冲销超过那张单的应收","OK"))))))))</f>
        <v/>
      </c>
    </row>
    <row r="752" customFormat="false" ht="15" hidden="false" customHeight="false" outlineLevel="0" collapsed="false">
      <c r="A752" s="29" t="str">
        <f aca="false">IF($C752="","",ROW()-4)</f>
        <v/>
      </c>
      <c r="B752" s="35" t="str">
        <f aca="false">IF($C752="","","SK"&amp;TEXT($C752,"yyyymm")&amp;"-"&amp;TEXT(ROW()-4,"0000"))</f>
        <v/>
      </c>
      <c r="C752" s="33"/>
      <c r="D752" s="24"/>
      <c r="E752" s="30" t="str">
        <f aca="false">IF($D752="","",IFERROR(INDEX(合同单位,MATCH($D752,合同键,0)),IFERROR(TRIM(LEFT($D752,FIND("｜",$D752)-1)),$D752)))</f>
        <v/>
      </c>
      <c r="F752" s="30" t="str">
        <f aca="false">IF($D752="","",IFERROR(INDEX(合同项目,MATCH($D752,合同键,0)),IFERROR(TRIM(MID($D752,FIND("｜",$D752)+1,99)),"")))</f>
        <v/>
      </c>
      <c r="G752" s="39"/>
      <c r="H752" s="25"/>
      <c r="I752" s="35" t="str">
        <f aca="false">IF($H752="","",IFERROR(INDEX(票据归类表,MATCH($H752,票据类型表,0)),"现金无票"))</f>
        <v/>
      </c>
      <c r="J752" s="25"/>
      <c r="K752" s="25"/>
      <c r="L752" s="31"/>
      <c r="M752" s="29" t="str">
        <f aca="false">IF($C752="","",YEAR($C752))</f>
        <v/>
      </c>
      <c r="N752" s="24"/>
      <c r="O752" s="35" t="str">
        <f aca="false">IF($C752="","",IF($D752="","★没选客户项目",IF(COUNTIF(合同键,$D752)=0,"★《维保合同》里没这个项目",IF(N($G752)&lt;=0,"★收款金额要填",IF($H752="","★票据类型要选",IF(AND($L752&lt;&gt;"",COUNTIF(应收单号,$L752)=0),"★关联的应收单号不存在",IF(AND($L752&lt;&gt;"",IFERROR(INDEX(应收键,MATCH($L752,应收单号,0)),"")&lt;&gt;$D752),"★关联单号不是这个客户的",IF(AND($L752&lt;&gt;"",ROUND(SUMIF(收款关联,$L752,收款金额)-IFERROR(INDEX(应收金额,MATCH($L752,应收单号,0)),0),2)&gt;0.001),"★指定冲销超过那张单的应收","OK"))))))))</f>
        <v/>
      </c>
    </row>
    <row r="753" customFormat="false" ht="15" hidden="false" customHeight="false" outlineLevel="0" collapsed="false">
      <c r="A753" s="29" t="str">
        <f aca="false">IF($C753="","",ROW()-4)</f>
        <v/>
      </c>
      <c r="B753" s="35" t="str">
        <f aca="false">IF($C753="","","SK"&amp;TEXT($C753,"yyyymm")&amp;"-"&amp;TEXT(ROW()-4,"0000"))</f>
        <v/>
      </c>
      <c r="C753" s="33"/>
      <c r="D753" s="24"/>
      <c r="E753" s="30" t="str">
        <f aca="false">IF($D753="","",IFERROR(INDEX(合同单位,MATCH($D753,合同键,0)),IFERROR(TRIM(LEFT($D753,FIND("｜",$D753)-1)),$D753)))</f>
        <v/>
      </c>
      <c r="F753" s="30" t="str">
        <f aca="false">IF($D753="","",IFERROR(INDEX(合同项目,MATCH($D753,合同键,0)),IFERROR(TRIM(MID($D753,FIND("｜",$D753)+1,99)),"")))</f>
        <v/>
      </c>
      <c r="G753" s="39"/>
      <c r="H753" s="25"/>
      <c r="I753" s="35" t="str">
        <f aca="false">IF($H753="","",IFERROR(INDEX(票据归类表,MATCH($H753,票据类型表,0)),"现金无票"))</f>
        <v/>
      </c>
      <c r="J753" s="25"/>
      <c r="K753" s="25"/>
      <c r="L753" s="31"/>
      <c r="M753" s="29" t="str">
        <f aca="false">IF($C753="","",YEAR($C753))</f>
        <v/>
      </c>
      <c r="N753" s="24"/>
      <c r="O753" s="35" t="str">
        <f aca="false">IF($C753="","",IF($D753="","★没选客户项目",IF(COUNTIF(合同键,$D753)=0,"★《维保合同》里没这个项目",IF(N($G753)&lt;=0,"★收款金额要填",IF($H753="","★票据类型要选",IF(AND($L753&lt;&gt;"",COUNTIF(应收单号,$L753)=0),"★关联的应收单号不存在",IF(AND($L753&lt;&gt;"",IFERROR(INDEX(应收键,MATCH($L753,应收单号,0)),"")&lt;&gt;$D753),"★关联单号不是这个客户的",IF(AND($L753&lt;&gt;"",ROUND(SUMIF(收款关联,$L753,收款金额)-IFERROR(INDEX(应收金额,MATCH($L753,应收单号,0)),0),2)&gt;0.001),"★指定冲销超过那张单的应收","OK"))))))))</f>
        <v/>
      </c>
    </row>
    <row r="754" customFormat="false" ht="15" hidden="false" customHeight="false" outlineLevel="0" collapsed="false">
      <c r="A754" s="29" t="str">
        <f aca="false">IF($C754="","",ROW()-4)</f>
        <v/>
      </c>
      <c r="B754" s="35" t="str">
        <f aca="false">IF($C754="","","SK"&amp;TEXT($C754,"yyyymm")&amp;"-"&amp;TEXT(ROW()-4,"0000"))</f>
        <v/>
      </c>
      <c r="C754" s="33"/>
      <c r="D754" s="24"/>
      <c r="E754" s="30" t="str">
        <f aca="false">IF($D754="","",IFERROR(INDEX(合同单位,MATCH($D754,合同键,0)),IFERROR(TRIM(LEFT($D754,FIND("｜",$D754)-1)),$D754)))</f>
        <v/>
      </c>
      <c r="F754" s="30" t="str">
        <f aca="false">IF($D754="","",IFERROR(INDEX(合同项目,MATCH($D754,合同键,0)),IFERROR(TRIM(MID($D754,FIND("｜",$D754)+1,99)),"")))</f>
        <v/>
      </c>
      <c r="G754" s="39"/>
      <c r="H754" s="25"/>
      <c r="I754" s="35" t="str">
        <f aca="false">IF($H754="","",IFERROR(INDEX(票据归类表,MATCH($H754,票据类型表,0)),"现金无票"))</f>
        <v/>
      </c>
      <c r="J754" s="25"/>
      <c r="K754" s="25"/>
      <c r="L754" s="31"/>
      <c r="M754" s="29" t="str">
        <f aca="false">IF($C754="","",YEAR($C754))</f>
        <v/>
      </c>
      <c r="N754" s="24"/>
      <c r="O754" s="35" t="str">
        <f aca="false">IF($C754="","",IF($D754="","★没选客户项目",IF(COUNTIF(合同键,$D754)=0,"★《维保合同》里没这个项目",IF(N($G754)&lt;=0,"★收款金额要填",IF($H754="","★票据类型要选",IF(AND($L754&lt;&gt;"",COUNTIF(应收单号,$L754)=0),"★关联的应收单号不存在",IF(AND($L754&lt;&gt;"",IFERROR(INDEX(应收键,MATCH($L754,应收单号,0)),"")&lt;&gt;$D754),"★关联单号不是这个客户的",IF(AND($L754&lt;&gt;"",ROUND(SUMIF(收款关联,$L754,收款金额)-IFERROR(INDEX(应收金额,MATCH($L754,应收单号,0)),0),2)&gt;0.001),"★指定冲销超过那张单的应收","OK"))))))))</f>
        <v/>
      </c>
    </row>
    <row r="755" customFormat="false" ht="15" hidden="false" customHeight="false" outlineLevel="0" collapsed="false">
      <c r="A755" s="29" t="str">
        <f aca="false">IF($C755="","",ROW()-4)</f>
        <v/>
      </c>
      <c r="B755" s="35" t="str">
        <f aca="false">IF($C755="","","SK"&amp;TEXT($C755,"yyyymm")&amp;"-"&amp;TEXT(ROW()-4,"0000"))</f>
        <v/>
      </c>
      <c r="C755" s="33"/>
      <c r="D755" s="24"/>
      <c r="E755" s="30" t="str">
        <f aca="false">IF($D755="","",IFERROR(INDEX(合同单位,MATCH($D755,合同键,0)),IFERROR(TRIM(LEFT($D755,FIND("｜",$D755)-1)),$D755)))</f>
        <v/>
      </c>
      <c r="F755" s="30" t="str">
        <f aca="false">IF($D755="","",IFERROR(INDEX(合同项目,MATCH($D755,合同键,0)),IFERROR(TRIM(MID($D755,FIND("｜",$D755)+1,99)),"")))</f>
        <v/>
      </c>
      <c r="G755" s="39"/>
      <c r="H755" s="25"/>
      <c r="I755" s="35" t="str">
        <f aca="false">IF($H755="","",IFERROR(INDEX(票据归类表,MATCH($H755,票据类型表,0)),"现金无票"))</f>
        <v/>
      </c>
      <c r="J755" s="25"/>
      <c r="K755" s="25"/>
      <c r="L755" s="31"/>
      <c r="M755" s="29" t="str">
        <f aca="false">IF($C755="","",YEAR($C755))</f>
        <v/>
      </c>
      <c r="N755" s="24"/>
      <c r="O755" s="35" t="str">
        <f aca="false">IF($C755="","",IF($D755="","★没选客户项目",IF(COUNTIF(合同键,$D755)=0,"★《维保合同》里没这个项目",IF(N($G755)&lt;=0,"★收款金额要填",IF($H755="","★票据类型要选",IF(AND($L755&lt;&gt;"",COUNTIF(应收单号,$L755)=0),"★关联的应收单号不存在",IF(AND($L755&lt;&gt;"",IFERROR(INDEX(应收键,MATCH($L755,应收单号,0)),"")&lt;&gt;$D755),"★关联单号不是这个客户的",IF(AND($L755&lt;&gt;"",ROUND(SUMIF(收款关联,$L755,收款金额)-IFERROR(INDEX(应收金额,MATCH($L755,应收单号,0)),0),2)&gt;0.001),"★指定冲销超过那张单的应收","OK"))))))))</f>
        <v/>
      </c>
    </row>
    <row r="756" customFormat="false" ht="15" hidden="false" customHeight="false" outlineLevel="0" collapsed="false">
      <c r="A756" s="29" t="str">
        <f aca="false">IF($C756="","",ROW()-4)</f>
        <v/>
      </c>
      <c r="B756" s="35" t="str">
        <f aca="false">IF($C756="","","SK"&amp;TEXT($C756,"yyyymm")&amp;"-"&amp;TEXT(ROW()-4,"0000"))</f>
        <v/>
      </c>
      <c r="C756" s="33"/>
      <c r="D756" s="24"/>
      <c r="E756" s="30" t="str">
        <f aca="false">IF($D756="","",IFERROR(INDEX(合同单位,MATCH($D756,合同键,0)),IFERROR(TRIM(LEFT($D756,FIND("｜",$D756)-1)),$D756)))</f>
        <v/>
      </c>
      <c r="F756" s="30" t="str">
        <f aca="false">IF($D756="","",IFERROR(INDEX(合同项目,MATCH($D756,合同键,0)),IFERROR(TRIM(MID($D756,FIND("｜",$D756)+1,99)),"")))</f>
        <v/>
      </c>
      <c r="G756" s="39"/>
      <c r="H756" s="25"/>
      <c r="I756" s="35" t="str">
        <f aca="false">IF($H756="","",IFERROR(INDEX(票据归类表,MATCH($H756,票据类型表,0)),"现金无票"))</f>
        <v/>
      </c>
      <c r="J756" s="25"/>
      <c r="K756" s="25"/>
      <c r="L756" s="31"/>
      <c r="M756" s="29" t="str">
        <f aca="false">IF($C756="","",YEAR($C756))</f>
        <v/>
      </c>
      <c r="N756" s="24"/>
      <c r="O756" s="35" t="str">
        <f aca="false">IF($C756="","",IF($D756="","★没选客户项目",IF(COUNTIF(合同键,$D756)=0,"★《维保合同》里没这个项目",IF(N($G756)&lt;=0,"★收款金额要填",IF($H756="","★票据类型要选",IF(AND($L756&lt;&gt;"",COUNTIF(应收单号,$L756)=0),"★关联的应收单号不存在",IF(AND($L756&lt;&gt;"",IFERROR(INDEX(应收键,MATCH($L756,应收单号,0)),"")&lt;&gt;$D756),"★关联单号不是这个客户的",IF(AND($L756&lt;&gt;"",ROUND(SUMIF(收款关联,$L756,收款金额)-IFERROR(INDEX(应收金额,MATCH($L756,应收单号,0)),0),2)&gt;0.001),"★指定冲销超过那张单的应收","OK"))))))))</f>
        <v/>
      </c>
    </row>
    <row r="757" customFormat="false" ht="15" hidden="false" customHeight="false" outlineLevel="0" collapsed="false">
      <c r="A757" s="29" t="str">
        <f aca="false">IF($C757="","",ROW()-4)</f>
        <v/>
      </c>
      <c r="B757" s="35" t="str">
        <f aca="false">IF($C757="","","SK"&amp;TEXT($C757,"yyyymm")&amp;"-"&amp;TEXT(ROW()-4,"0000"))</f>
        <v/>
      </c>
      <c r="C757" s="33"/>
      <c r="D757" s="24"/>
      <c r="E757" s="30" t="str">
        <f aca="false">IF($D757="","",IFERROR(INDEX(合同单位,MATCH($D757,合同键,0)),IFERROR(TRIM(LEFT($D757,FIND("｜",$D757)-1)),$D757)))</f>
        <v/>
      </c>
      <c r="F757" s="30" t="str">
        <f aca="false">IF($D757="","",IFERROR(INDEX(合同项目,MATCH($D757,合同键,0)),IFERROR(TRIM(MID($D757,FIND("｜",$D757)+1,99)),"")))</f>
        <v/>
      </c>
      <c r="G757" s="39"/>
      <c r="H757" s="25"/>
      <c r="I757" s="35" t="str">
        <f aca="false">IF($H757="","",IFERROR(INDEX(票据归类表,MATCH($H757,票据类型表,0)),"现金无票"))</f>
        <v/>
      </c>
      <c r="J757" s="25"/>
      <c r="K757" s="25"/>
      <c r="L757" s="31"/>
      <c r="M757" s="29" t="str">
        <f aca="false">IF($C757="","",YEAR($C757))</f>
        <v/>
      </c>
      <c r="N757" s="24"/>
      <c r="O757" s="35" t="str">
        <f aca="false">IF($C757="","",IF($D757="","★没选客户项目",IF(COUNTIF(合同键,$D757)=0,"★《维保合同》里没这个项目",IF(N($G757)&lt;=0,"★收款金额要填",IF($H757="","★票据类型要选",IF(AND($L757&lt;&gt;"",COUNTIF(应收单号,$L757)=0),"★关联的应收单号不存在",IF(AND($L757&lt;&gt;"",IFERROR(INDEX(应收键,MATCH($L757,应收单号,0)),"")&lt;&gt;$D757),"★关联单号不是这个客户的",IF(AND($L757&lt;&gt;"",ROUND(SUMIF(收款关联,$L757,收款金额)-IFERROR(INDEX(应收金额,MATCH($L757,应收单号,0)),0),2)&gt;0.001),"★指定冲销超过那张单的应收","OK"))))))))</f>
        <v/>
      </c>
    </row>
    <row r="758" customFormat="false" ht="15" hidden="false" customHeight="false" outlineLevel="0" collapsed="false">
      <c r="A758" s="29" t="str">
        <f aca="false">IF($C758="","",ROW()-4)</f>
        <v/>
      </c>
      <c r="B758" s="35" t="str">
        <f aca="false">IF($C758="","","SK"&amp;TEXT($C758,"yyyymm")&amp;"-"&amp;TEXT(ROW()-4,"0000"))</f>
        <v/>
      </c>
      <c r="C758" s="33"/>
      <c r="D758" s="24"/>
      <c r="E758" s="30" t="str">
        <f aca="false">IF($D758="","",IFERROR(INDEX(合同单位,MATCH($D758,合同键,0)),IFERROR(TRIM(LEFT($D758,FIND("｜",$D758)-1)),$D758)))</f>
        <v/>
      </c>
      <c r="F758" s="30" t="str">
        <f aca="false">IF($D758="","",IFERROR(INDEX(合同项目,MATCH($D758,合同键,0)),IFERROR(TRIM(MID($D758,FIND("｜",$D758)+1,99)),"")))</f>
        <v/>
      </c>
      <c r="G758" s="39"/>
      <c r="H758" s="25"/>
      <c r="I758" s="35" t="str">
        <f aca="false">IF($H758="","",IFERROR(INDEX(票据归类表,MATCH($H758,票据类型表,0)),"现金无票"))</f>
        <v/>
      </c>
      <c r="J758" s="25"/>
      <c r="K758" s="25"/>
      <c r="L758" s="31"/>
      <c r="M758" s="29" t="str">
        <f aca="false">IF($C758="","",YEAR($C758))</f>
        <v/>
      </c>
      <c r="N758" s="24"/>
      <c r="O758" s="35" t="str">
        <f aca="false">IF($C758="","",IF($D758="","★没选客户项目",IF(COUNTIF(合同键,$D758)=0,"★《维保合同》里没这个项目",IF(N($G758)&lt;=0,"★收款金额要填",IF($H758="","★票据类型要选",IF(AND($L758&lt;&gt;"",COUNTIF(应收单号,$L758)=0),"★关联的应收单号不存在",IF(AND($L758&lt;&gt;"",IFERROR(INDEX(应收键,MATCH($L758,应收单号,0)),"")&lt;&gt;$D758),"★关联单号不是这个客户的",IF(AND($L758&lt;&gt;"",ROUND(SUMIF(收款关联,$L758,收款金额)-IFERROR(INDEX(应收金额,MATCH($L758,应收单号,0)),0),2)&gt;0.001),"★指定冲销超过那张单的应收","OK"))))))))</f>
        <v/>
      </c>
    </row>
    <row r="759" customFormat="false" ht="15" hidden="false" customHeight="false" outlineLevel="0" collapsed="false">
      <c r="A759" s="29" t="str">
        <f aca="false">IF($C759="","",ROW()-4)</f>
        <v/>
      </c>
      <c r="B759" s="35" t="str">
        <f aca="false">IF($C759="","","SK"&amp;TEXT($C759,"yyyymm")&amp;"-"&amp;TEXT(ROW()-4,"0000"))</f>
        <v/>
      </c>
      <c r="C759" s="33"/>
      <c r="D759" s="24"/>
      <c r="E759" s="30" t="str">
        <f aca="false">IF($D759="","",IFERROR(INDEX(合同单位,MATCH($D759,合同键,0)),IFERROR(TRIM(LEFT($D759,FIND("｜",$D759)-1)),$D759)))</f>
        <v/>
      </c>
      <c r="F759" s="30" t="str">
        <f aca="false">IF($D759="","",IFERROR(INDEX(合同项目,MATCH($D759,合同键,0)),IFERROR(TRIM(MID($D759,FIND("｜",$D759)+1,99)),"")))</f>
        <v/>
      </c>
      <c r="G759" s="39"/>
      <c r="H759" s="25"/>
      <c r="I759" s="35" t="str">
        <f aca="false">IF($H759="","",IFERROR(INDEX(票据归类表,MATCH($H759,票据类型表,0)),"现金无票"))</f>
        <v/>
      </c>
      <c r="J759" s="25"/>
      <c r="K759" s="25"/>
      <c r="L759" s="31"/>
      <c r="M759" s="29" t="str">
        <f aca="false">IF($C759="","",YEAR($C759))</f>
        <v/>
      </c>
      <c r="N759" s="24"/>
      <c r="O759" s="35" t="str">
        <f aca="false">IF($C759="","",IF($D759="","★没选客户项目",IF(COUNTIF(合同键,$D759)=0,"★《维保合同》里没这个项目",IF(N($G759)&lt;=0,"★收款金额要填",IF($H759="","★票据类型要选",IF(AND($L759&lt;&gt;"",COUNTIF(应收单号,$L759)=0),"★关联的应收单号不存在",IF(AND($L759&lt;&gt;"",IFERROR(INDEX(应收键,MATCH($L759,应收单号,0)),"")&lt;&gt;$D759),"★关联单号不是这个客户的",IF(AND($L759&lt;&gt;"",ROUND(SUMIF(收款关联,$L759,收款金额)-IFERROR(INDEX(应收金额,MATCH($L759,应收单号,0)),0),2)&gt;0.001),"★指定冲销超过那张单的应收","OK"))))))))</f>
        <v/>
      </c>
    </row>
    <row r="760" customFormat="false" ht="15" hidden="false" customHeight="false" outlineLevel="0" collapsed="false">
      <c r="A760" s="29" t="str">
        <f aca="false">IF($C760="","",ROW()-4)</f>
        <v/>
      </c>
      <c r="B760" s="35" t="str">
        <f aca="false">IF($C760="","","SK"&amp;TEXT($C760,"yyyymm")&amp;"-"&amp;TEXT(ROW()-4,"0000"))</f>
        <v/>
      </c>
      <c r="C760" s="33"/>
      <c r="D760" s="24"/>
      <c r="E760" s="30" t="str">
        <f aca="false">IF($D760="","",IFERROR(INDEX(合同单位,MATCH($D760,合同键,0)),IFERROR(TRIM(LEFT($D760,FIND("｜",$D760)-1)),$D760)))</f>
        <v/>
      </c>
      <c r="F760" s="30" t="str">
        <f aca="false">IF($D760="","",IFERROR(INDEX(合同项目,MATCH($D760,合同键,0)),IFERROR(TRIM(MID($D760,FIND("｜",$D760)+1,99)),"")))</f>
        <v/>
      </c>
      <c r="G760" s="39"/>
      <c r="H760" s="25"/>
      <c r="I760" s="35" t="str">
        <f aca="false">IF($H760="","",IFERROR(INDEX(票据归类表,MATCH($H760,票据类型表,0)),"现金无票"))</f>
        <v/>
      </c>
      <c r="J760" s="25"/>
      <c r="K760" s="25"/>
      <c r="L760" s="31"/>
      <c r="M760" s="29" t="str">
        <f aca="false">IF($C760="","",YEAR($C760))</f>
        <v/>
      </c>
      <c r="N760" s="24"/>
      <c r="O760" s="35" t="str">
        <f aca="false">IF($C760="","",IF($D760="","★没选客户项目",IF(COUNTIF(合同键,$D760)=0,"★《维保合同》里没这个项目",IF(N($G760)&lt;=0,"★收款金额要填",IF($H760="","★票据类型要选",IF(AND($L760&lt;&gt;"",COUNTIF(应收单号,$L760)=0),"★关联的应收单号不存在",IF(AND($L760&lt;&gt;"",IFERROR(INDEX(应收键,MATCH($L760,应收单号,0)),"")&lt;&gt;$D760),"★关联单号不是这个客户的",IF(AND($L760&lt;&gt;"",ROUND(SUMIF(收款关联,$L760,收款金额)-IFERROR(INDEX(应收金额,MATCH($L760,应收单号,0)),0),2)&gt;0.001),"★指定冲销超过那张单的应收","OK"))))))))</f>
        <v/>
      </c>
    </row>
    <row r="761" customFormat="false" ht="15" hidden="false" customHeight="false" outlineLevel="0" collapsed="false">
      <c r="A761" s="29" t="str">
        <f aca="false">IF($C761="","",ROW()-4)</f>
        <v/>
      </c>
      <c r="B761" s="35" t="str">
        <f aca="false">IF($C761="","","SK"&amp;TEXT($C761,"yyyymm")&amp;"-"&amp;TEXT(ROW()-4,"0000"))</f>
        <v/>
      </c>
      <c r="C761" s="33"/>
      <c r="D761" s="24"/>
      <c r="E761" s="30" t="str">
        <f aca="false">IF($D761="","",IFERROR(INDEX(合同单位,MATCH($D761,合同键,0)),IFERROR(TRIM(LEFT($D761,FIND("｜",$D761)-1)),$D761)))</f>
        <v/>
      </c>
      <c r="F761" s="30" t="str">
        <f aca="false">IF($D761="","",IFERROR(INDEX(合同项目,MATCH($D761,合同键,0)),IFERROR(TRIM(MID($D761,FIND("｜",$D761)+1,99)),"")))</f>
        <v/>
      </c>
      <c r="G761" s="39"/>
      <c r="H761" s="25"/>
      <c r="I761" s="35" t="str">
        <f aca="false">IF($H761="","",IFERROR(INDEX(票据归类表,MATCH($H761,票据类型表,0)),"现金无票"))</f>
        <v/>
      </c>
      <c r="J761" s="25"/>
      <c r="K761" s="25"/>
      <c r="L761" s="31"/>
      <c r="M761" s="29" t="str">
        <f aca="false">IF($C761="","",YEAR($C761))</f>
        <v/>
      </c>
      <c r="N761" s="24"/>
      <c r="O761" s="35" t="str">
        <f aca="false">IF($C761="","",IF($D761="","★没选客户项目",IF(COUNTIF(合同键,$D761)=0,"★《维保合同》里没这个项目",IF(N($G761)&lt;=0,"★收款金额要填",IF($H761="","★票据类型要选",IF(AND($L761&lt;&gt;"",COUNTIF(应收单号,$L761)=0),"★关联的应收单号不存在",IF(AND($L761&lt;&gt;"",IFERROR(INDEX(应收键,MATCH($L761,应收单号,0)),"")&lt;&gt;$D761),"★关联单号不是这个客户的",IF(AND($L761&lt;&gt;"",ROUND(SUMIF(收款关联,$L761,收款金额)-IFERROR(INDEX(应收金额,MATCH($L761,应收单号,0)),0),2)&gt;0.001),"★指定冲销超过那张单的应收","OK"))))))))</f>
        <v/>
      </c>
    </row>
    <row r="762" customFormat="false" ht="15" hidden="false" customHeight="false" outlineLevel="0" collapsed="false">
      <c r="A762" s="29" t="str">
        <f aca="false">IF($C762="","",ROW()-4)</f>
        <v/>
      </c>
      <c r="B762" s="35" t="str">
        <f aca="false">IF($C762="","","SK"&amp;TEXT($C762,"yyyymm")&amp;"-"&amp;TEXT(ROW()-4,"0000"))</f>
        <v/>
      </c>
      <c r="C762" s="33"/>
      <c r="D762" s="24"/>
      <c r="E762" s="30" t="str">
        <f aca="false">IF($D762="","",IFERROR(INDEX(合同单位,MATCH($D762,合同键,0)),IFERROR(TRIM(LEFT($D762,FIND("｜",$D762)-1)),$D762)))</f>
        <v/>
      </c>
      <c r="F762" s="30" t="str">
        <f aca="false">IF($D762="","",IFERROR(INDEX(合同项目,MATCH($D762,合同键,0)),IFERROR(TRIM(MID($D762,FIND("｜",$D762)+1,99)),"")))</f>
        <v/>
      </c>
      <c r="G762" s="39"/>
      <c r="H762" s="25"/>
      <c r="I762" s="35" t="str">
        <f aca="false">IF($H762="","",IFERROR(INDEX(票据归类表,MATCH($H762,票据类型表,0)),"现金无票"))</f>
        <v/>
      </c>
      <c r="J762" s="25"/>
      <c r="K762" s="25"/>
      <c r="L762" s="31"/>
      <c r="M762" s="29" t="str">
        <f aca="false">IF($C762="","",YEAR($C762))</f>
        <v/>
      </c>
      <c r="N762" s="24"/>
      <c r="O762" s="35" t="str">
        <f aca="false">IF($C762="","",IF($D762="","★没选客户项目",IF(COUNTIF(合同键,$D762)=0,"★《维保合同》里没这个项目",IF(N($G762)&lt;=0,"★收款金额要填",IF($H762="","★票据类型要选",IF(AND($L762&lt;&gt;"",COUNTIF(应收单号,$L762)=0),"★关联的应收单号不存在",IF(AND($L762&lt;&gt;"",IFERROR(INDEX(应收键,MATCH($L762,应收单号,0)),"")&lt;&gt;$D762),"★关联单号不是这个客户的",IF(AND($L762&lt;&gt;"",ROUND(SUMIF(收款关联,$L762,收款金额)-IFERROR(INDEX(应收金额,MATCH($L762,应收单号,0)),0),2)&gt;0.001),"★指定冲销超过那张单的应收","OK"))))))))</f>
        <v/>
      </c>
    </row>
    <row r="763" customFormat="false" ht="15" hidden="false" customHeight="false" outlineLevel="0" collapsed="false">
      <c r="A763" s="29" t="str">
        <f aca="false">IF($C763="","",ROW()-4)</f>
        <v/>
      </c>
      <c r="B763" s="35" t="str">
        <f aca="false">IF($C763="","","SK"&amp;TEXT($C763,"yyyymm")&amp;"-"&amp;TEXT(ROW()-4,"0000"))</f>
        <v/>
      </c>
      <c r="C763" s="33"/>
      <c r="D763" s="24"/>
      <c r="E763" s="30" t="str">
        <f aca="false">IF($D763="","",IFERROR(INDEX(合同单位,MATCH($D763,合同键,0)),IFERROR(TRIM(LEFT($D763,FIND("｜",$D763)-1)),$D763)))</f>
        <v/>
      </c>
      <c r="F763" s="30" t="str">
        <f aca="false">IF($D763="","",IFERROR(INDEX(合同项目,MATCH($D763,合同键,0)),IFERROR(TRIM(MID($D763,FIND("｜",$D763)+1,99)),"")))</f>
        <v/>
      </c>
      <c r="G763" s="39"/>
      <c r="H763" s="25"/>
      <c r="I763" s="35" t="str">
        <f aca="false">IF($H763="","",IFERROR(INDEX(票据归类表,MATCH($H763,票据类型表,0)),"现金无票"))</f>
        <v/>
      </c>
      <c r="J763" s="25"/>
      <c r="K763" s="25"/>
      <c r="L763" s="31"/>
      <c r="M763" s="29" t="str">
        <f aca="false">IF($C763="","",YEAR($C763))</f>
        <v/>
      </c>
      <c r="N763" s="24"/>
      <c r="O763" s="35" t="str">
        <f aca="false">IF($C763="","",IF($D763="","★没选客户项目",IF(COUNTIF(合同键,$D763)=0,"★《维保合同》里没这个项目",IF(N($G763)&lt;=0,"★收款金额要填",IF($H763="","★票据类型要选",IF(AND($L763&lt;&gt;"",COUNTIF(应收单号,$L763)=0),"★关联的应收单号不存在",IF(AND($L763&lt;&gt;"",IFERROR(INDEX(应收键,MATCH($L763,应收单号,0)),"")&lt;&gt;$D763),"★关联单号不是这个客户的",IF(AND($L763&lt;&gt;"",ROUND(SUMIF(收款关联,$L763,收款金额)-IFERROR(INDEX(应收金额,MATCH($L763,应收单号,0)),0),2)&gt;0.001),"★指定冲销超过那张单的应收","OK"))))))))</f>
        <v/>
      </c>
    </row>
    <row r="764" customFormat="false" ht="15" hidden="false" customHeight="false" outlineLevel="0" collapsed="false">
      <c r="A764" s="29" t="str">
        <f aca="false">IF($C764="","",ROW()-4)</f>
        <v/>
      </c>
      <c r="B764" s="35" t="str">
        <f aca="false">IF($C764="","","SK"&amp;TEXT($C764,"yyyymm")&amp;"-"&amp;TEXT(ROW()-4,"0000"))</f>
        <v/>
      </c>
      <c r="C764" s="33"/>
      <c r="D764" s="24"/>
      <c r="E764" s="30" t="str">
        <f aca="false">IF($D764="","",IFERROR(INDEX(合同单位,MATCH($D764,合同键,0)),IFERROR(TRIM(LEFT($D764,FIND("｜",$D764)-1)),$D764)))</f>
        <v/>
      </c>
      <c r="F764" s="30" t="str">
        <f aca="false">IF($D764="","",IFERROR(INDEX(合同项目,MATCH($D764,合同键,0)),IFERROR(TRIM(MID($D764,FIND("｜",$D764)+1,99)),"")))</f>
        <v/>
      </c>
      <c r="G764" s="39"/>
      <c r="H764" s="25"/>
      <c r="I764" s="35" t="str">
        <f aca="false">IF($H764="","",IFERROR(INDEX(票据归类表,MATCH($H764,票据类型表,0)),"现金无票"))</f>
        <v/>
      </c>
      <c r="J764" s="25"/>
      <c r="K764" s="25"/>
      <c r="L764" s="31"/>
      <c r="M764" s="29" t="str">
        <f aca="false">IF($C764="","",YEAR($C764))</f>
        <v/>
      </c>
      <c r="N764" s="24"/>
      <c r="O764" s="35" t="str">
        <f aca="false">IF($C764="","",IF($D764="","★没选客户项目",IF(COUNTIF(合同键,$D764)=0,"★《维保合同》里没这个项目",IF(N($G764)&lt;=0,"★收款金额要填",IF($H764="","★票据类型要选",IF(AND($L764&lt;&gt;"",COUNTIF(应收单号,$L764)=0),"★关联的应收单号不存在",IF(AND($L764&lt;&gt;"",IFERROR(INDEX(应收键,MATCH($L764,应收单号,0)),"")&lt;&gt;$D764),"★关联单号不是这个客户的",IF(AND($L764&lt;&gt;"",ROUND(SUMIF(收款关联,$L764,收款金额)-IFERROR(INDEX(应收金额,MATCH($L764,应收单号,0)),0),2)&gt;0.001),"★指定冲销超过那张单的应收","OK"))))))))</f>
        <v/>
      </c>
    </row>
    <row r="765" customFormat="false" ht="15" hidden="false" customHeight="false" outlineLevel="0" collapsed="false">
      <c r="A765" s="29" t="str">
        <f aca="false">IF($C765="","",ROW()-4)</f>
        <v/>
      </c>
      <c r="B765" s="35" t="str">
        <f aca="false">IF($C765="","","SK"&amp;TEXT($C765,"yyyymm")&amp;"-"&amp;TEXT(ROW()-4,"0000"))</f>
        <v/>
      </c>
      <c r="C765" s="33"/>
      <c r="D765" s="24"/>
      <c r="E765" s="30" t="str">
        <f aca="false">IF($D765="","",IFERROR(INDEX(合同单位,MATCH($D765,合同键,0)),IFERROR(TRIM(LEFT($D765,FIND("｜",$D765)-1)),$D765)))</f>
        <v/>
      </c>
      <c r="F765" s="30" t="str">
        <f aca="false">IF($D765="","",IFERROR(INDEX(合同项目,MATCH($D765,合同键,0)),IFERROR(TRIM(MID($D765,FIND("｜",$D765)+1,99)),"")))</f>
        <v/>
      </c>
      <c r="G765" s="39"/>
      <c r="H765" s="25"/>
      <c r="I765" s="35" t="str">
        <f aca="false">IF($H765="","",IFERROR(INDEX(票据归类表,MATCH($H765,票据类型表,0)),"现金无票"))</f>
        <v/>
      </c>
      <c r="J765" s="25"/>
      <c r="K765" s="25"/>
      <c r="L765" s="31"/>
      <c r="M765" s="29" t="str">
        <f aca="false">IF($C765="","",YEAR($C765))</f>
        <v/>
      </c>
      <c r="N765" s="24"/>
      <c r="O765" s="35" t="str">
        <f aca="false">IF($C765="","",IF($D765="","★没选客户项目",IF(COUNTIF(合同键,$D765)=0,"★《维保合同》里没这个项目",IF(N($G765)&lt;=0,"★收款金额要填",IF($H765="","★票据类型要选",IF(AND($L765&lt;&gt;"",COUNTIF(应收单号,$L765)=0),"★关联的应收单号不存在",IF(AND($L765&lt;&gt;"",IFERROR(INDEX(应收键,MATCH($L765,应收单号,0)),"")&lt;&gt;$D765),"★关联单号不是这个客户的",IF(AND($L765&lt;&gt;"",ROUND(SUMIF(收款关联,$L765,收款金额)-IFERROR(INDEX(应收金额,MATCH($L765,应收单号,0)),0),2)&gt;0.001),"★指定冲销超过那张单的应收","OK"))))))))</f>
        <v/>
      </c>
    </row>
    <row r="766" customFormat="false" ht="15" hidden="false" customHeight="false" outlineLevel="0" collapsed="false">
      <c r="A766" s="29" t="str">
        <f aca="false">IF($C766="","",ROW()-4)</f>
        <v/>
      </c>
      <c r="B766" s="35" t="str">
        <f aca="false">IF($C766="","","SK"&amp;TEXT($C766,"yyyymm")&amp;"-"&amp;TEXT(ROW()-4,"0000"))</f>
        <v/>
      </c>
      <c r="C766" s="33"/>
      <c r="D766" s="24"/>
      <c r="E766" s="30" t="str">
        <f aca="false">IF($D766="","",IFERROR(INDEX(合同单位,MATCH($D766,合同键,0)),IFERROR(TRIM(LEFT($D766,FIND("｜",$D766)-1)),$D766)))</f>
        <v/>
      </c>
      <c r="F766" s="30" t="str">
        <f aca="false">IF($D766="","",IFERROR(INDEX(合同项目,MATCH($D766,合同键,0)),IFERROR(TRIM(MID($D766,FIND("｜",$D766)+1,99)),"")))</f>
        <v/>
      </c>
      <c r="G766" s="39"/>
      <c r="H766" s="25"/>
      <c r="I766" s="35" t="str">
        <f aca="false">IF($H766="","",IFERROR(INDEX(票据归类表,MATCH($H766,票据类型表,0)),"现金无票"))</f>
        <v/>
      </c>
      <c r="J766" s="25"/>
      <c r="K766" s="25"/>
      <c r="L766" s="31"/>
      <c r="M766" s="29" t="str">
        <f aca="false">IF($C766="","",YEAR($C766))</f>
        <v/>
      </c>
      <c r="N766" s="24"/>
      <c r="O766" s="35" t="str">
        <f aca="false">IF($C766="","",IF($D766="","★没选客户项目",IF(COUNTIF(合同键,$D766)=0,"★《维保合同》里没这个项目",IF(N($G766)&lt;=0,"★收款金额要填",IF($H766="","★票据类型要选",IF(AND($L766&lt;&gt;"",COUNTIF(应收单号,$L766)=0),"★关联的应收单号不存在",IF(AND($L766&lt;&gt;"",IFERROR(INDEX(应收键,MATCH($L766,应收单号,0)),"")&lt;&gt;$D766),"★关联单号不是这个客户的",IF(AND($L766&lt;&gt;"",ROUND(SUMIF(收款关联,$L766,收款金额)-IFERROR(INDEX(应收金额,MATCH($L766,应收单号,0)),0),2)&gt;0.001),"★指定冲销超过那张单的应收","OK"))))))))</f>
        <v/>
      </c>
    </row>
    <row r="767" customFormat="false" ht="15" hidden="false" customHeight="false" outlineLevel="0" collapsed="false">
      <c r="A767" s="29" t="str">
        <f aca="false">IF($C767="","",ROW()-4)</f>
        <v/>
      </c>
      <c r="B767" s="35" t="str">
        <f aca="false">IF($C767="","","SK"&amp;TEXT($C767,"yyyymm")&amp;"-"&amp;TEXT(ROW()-4,"0000"))</f>
        <v/>
      </c>
      <c r="C767" s="33"/>
      <c r="D767" s="24"/>
      <c r="E767" s="30" t="str">
        <f aca="false">IF($D767="","",IFERROR(INDEX(合同单位,MATCH($D767,合同键,0)),IFERROR(TRIM(LEFT($D767,FIND("｜",$D767)-1)),$D767)))</f>
        <v/>
      </c>
      <c r="F767" s="30" t="str">
        <f aca="false">IF($D767="","",IFERROR(INDEX(合同项目,MATCH($D767,合同键,0)),IFERROR(TRIM(MID($D767,FIND("｜",$D767)+1,99)),"")))</f>
        <v/>
      </c>
      <c r="G767" s="39"/>
      <c r="H767" s="25"/>
      <c r="I767" s="35" t="str">
        <f aca="false">IF($H767="","",IFERROR(INDEX(票据归类表,MATCH($H767,票据类型表,0)),"现金无票"))</f>
        <v/>
      </c>
      <c r="J767" s="25"/>
      <c r="K767" s="25"/>
      <c r="L767" s="31"/>
      <c r="M767" s="29" t="str">
        <f aca="false">IF($C767="","",YEAR($C767))</f>
        <v/>
      </c>
      <c r="N767" s="24"/>
      <c r="O767" s="35" t="str">
        <f aca="false">IF($C767="","",IF($D767="","★没选客户项目",IF(COUNTIF(合同键,$D767)=0,"★《维保合同》里没这个项目",IF(N($G767)&lt;=0,"★收款金额要填",IF($H767="","★票据类型要选",IF(AND($L767&lt;&gt;"",COUNTIF(应收单号,$L767)=0),"★关联的应收单号不存在",IF(AND($L767&lt;&gt;"",IFERROR(INDEX(应收键,MATCH($L767,应收单号,0)),"")&lt;&gt;$D767),"★关联单号不是这个客户的",IF(AND($L767&lt;&gt;"",ROUND(SUMIF(收款关联,$L767,收款金额)-IFERROR(INDEX(应收金额,MATCH($L767,应收单号,0)),0),2)&gt;0.001),"★指定冲销超过那张单的应收","OK"))))))))</f>
        <v/>
      </c>
    </row>
    <row r="768" customFormat="false" ht="15" hidden="false" customHeight="false" outlineLevel="0" collapsed="false">
      <c r="A768" s="29" t="str">
        <f aca="false">IF($C768="","",ROW()-4)</f>
        <v/>
      </c>
      <c r="B768" s="35" t="str">
        <f aca="false">IF($C768="","","SK"&amp;TEXT($C768,"yyyymm")&amp;"-"&amp;TEXT(ROW()-4,"0000"))</f>
        <v/>
      </c>
      <c r="C768" s="33"/>
      <c r="D768" s="24"/>
      <c r="E768" s="30" t="str">
        <f aca="false">IF($D768="","",IFERROR(INDEX(合同单位,MATCH($D768,合同键,0)),IFERROR(TRIM(LEFT($D768,FIND("｜",$D768)-1)),$D768)))</f>
        <v/>
      </c>
      <c r="F768" s="30" t="str">
        <f aca="false">IF($D768="","",IFERROR(INDEX(合同项目,MATCH($D768,合同键,0)),IFERROR(TRIM(MID($D768,FIND("｜",$D768)+1,99)),"")))</f>
        <v/>
      </c>
      <c r="G768" s="39"/>
      <c r="H768" s="25"/>
      <c r="I768" s="35" t="str">
        <f aca="false">IF($H768="","",IFERROR(INDEX(票据归类表,MATCH($H768,票据类型表,0)),"现金无票"))</f>
        <v/>
      </c>
      <c r="J768" s="25"/>
      <c r="K768" s="25"/>
      <c r="L768" s="31"/>
      <c r="M768" s="29" t="str">
        <f aca="false">IF($C768="","",YEAR($C768))</f>
        <v/>
      </c>
      <c r="N768" s="24"/>
      <c r="O768" s="35" t="str">
        <f aca="false">IF($C768="","",IF($D768="","★没选客户项目",IF(COUNTIF(合同键,$D768)=0,"★《维保合同》里没这个项目",IF(N($G768)&lt;=0,"★收款金额要填",IF($H768="","★票据类型要选",IF(AND($L768&lt;&gt;"",COUNTIF(应收单号,$L768)=0),"★关联的应收单号不存在",IF(AND($L768&lt;&gt;"",IFERROR(INDEX(应收键,MATCH($L768,应收单号,0)),"")&lt;&gt;$D768),"★关联单号不是这个客户的",IF(AND($L768&lt;&gt;"",ROUND(SUMIF(收款关联,$L768,收款金额)-IFERROR(INDEX(应收金额,MATCH($L768,应收单号,0)),0),2)&gt;0.001),"★指定冲销超过那张单的应收","OK"))))))))</f>
        <v/>
      </c>
    </row>
    <row r="769" customFormat="false" ht="15" hidden="false" customHeight="false" outlineLevel="0" collapsed="false">
      <c r="A769" s="29" t="str">
        <f aca="false">IF($C769="","",ROW()-4)</f>
        <v/>
      </c>
      <c r="B769" s="35" t="str">
        <f aca="false">IF($C769="","","SK"&amp;TEXT($C769,"yyyymm")&amp;"-"&amp;TEXT(ROW()-4,"0000"))</f>
        <v/>
      </c>
      <c r="C769" s="33"/>
      <c r="D769" s="24"/>
      <c r="E769" s="30" t="str">
        <f aca="false">IF($D769="","",IFERROR(INDEX(合同单位,MATCH($D769,合同键,0)),IFERROR(TRIM(LEFT($D769,FIND("｜",$D769)-1)),$D769)))</f>
        <v/>
      </c>
      <c r="F769" s="30" t="str">
        <f aca="false">IF($D769="","",IFERROR(INDEX(合同项目,MATCH($D769,合同键,0)),IFERROR(TRIM(MID($D769,FIND("｜",$D769)+1,99)),"")))</f>
        <v/>
      </c>
      <c r="G769" s="39"/>
      <c r="H769" s="25"/>
      <c r="I769" s="35" t="str">
        <f aca="false">IF($H769="","",IFERROR(INDEX(票据归类表,MATCH($H769,票据类型表,0)),"现金无票"))</f>
        <v/>
      </c>
      <c r="J769" s="25"/>
      <c r="K769" s="25"/>
      <c r="L769" s="31"/>
      <c r="M769" s="29" t="str">
        <f aca="false">IF($C769="","",YEAR($C769))</f>
        <v/>
      </c>
      <c r="N769" s="24"/>
      <c r="O769" s="35" t="str">
        <f aca="false">IF($C769="","",IF($D769="","★没选客户项目",IF(COUNTIF(合同键,$D769)=0,"★《维保合同》里没这个项目",IF(N($G769)&lt;=0,"★收款金额要填",IF($H769="","★票据类型要选",IF(AND($L769&lt;&gt;"",COUNTIF(应收单号,$L769)=0),"★关联的应收单号不存在",IF(AND($L769&lt;&gt;"",IFERROR(INDEX(应收键,MATCH($L769,应收单号,0)),"")&lt;&gt;$D769),"★关联单号不是这个客户的",IF(AND($L769&lt;&gt;"",ROUND(SUMIF(收款关联,$L769,收款金额)-IFERROR(INDEX(应收金额,MATCH($L769,应收单号,0)),0),2)&gt;0.001),"★指定冲销超过那张单的应收","OK"))))))))</f>
        <v/>
      </c>
    </row>
    <row r="770" customFormat="false" ht="15" hidden="false" customHeight="false" outlineLevel="0" collapsed="false">
      <c r="A770" s="29" t="str">
        <f aca="false">IF($C770="","",ROW()-4)</f>
        <v/>
      </c>
      <c r="B770" s="35" t="str">
        <f aca="false">IF($C770="","","SK"&amp;TEXT($C770,"yyyymm")&amp;"-"&amp;TEXT(ROW()-4,"0000"))</f>
        <v/>
      </c>
      <c r="C770" s="33"/>
      <c r="D770" s="24"/>
      <c r="E770" s="30" t="str">
        <f aca="false">IF($D770="","",IFERROR(INDEX(合同单位,MATCH($D770,合同键,0)),IFERROR(TRIM(LEFT($D770,FIND("｜",$D770)-1)),$D770)))</f>
        <v/>
      </c>
      <c r="F770" s="30" t="str">
        <f aca="false">IF($D770="","",IFERROR(INDEX(合同项目,MATCH($D770,合同键,0)),IFERROR(TRIM(MID($D770,FIND("｜",$D770)+1,99)),"")))</f>
        <v/>
      </c>
      <c r="G770" s="39"/>
      <c r="H770" s="25"/>
      <c r="I770" s="35" t="str">
        <f aca="false">IF($H770="","",IFERROR(INDEX(票据归类表,MATCH($H770,票据类型表,0)),"现金无票"))</f>
        <v/>
      </c>
      <c r="J770" s="25"/>
      <c r="K770" s="25"/>
      <c r="L770" s="31"/>
      <c r="M770" s="29" t="str">
        <f aca="false">IF($C770="","",YEAR($C770))</f>
        <v/>
      </c>
      <c r="N770" s="24"/>
      <c r="O770" s="35" t="str">
        <f aca="false">IF($C770="","",IF($D770="","★没选客户项目",IF(COUNTIF(合同键,$D770)=0,"★《维保合同》里没这个项目",IF(N($G770)&lt;=0,"★收款金额要填",IF($H770="","★票据类型要选",IF(AND($L770&lt;&gt;"",COUNTIF(应收单号,$L770)=0),"★关联的应收单号不存在",IF(AND($L770&lt;&gt;"",IFERROR(INDEX(应收键,MATCH($L770,应收单号,0)),"")&lt;&gt;$D770),"★关联单号不是这个客户的",IF(AND($L770&lt;&gt;"",ROUND(SUMIF(收款关联,$L770,收款金额)-IFERROR(INDEX(应收金额,MATCH($L770,应收单号,0)),0),2)&gt;0.001),"★指定冲销超过那张单的应收","OK"))))))))</f>
        <v/>
      </c>
    </row>
    <row r="771" customFormat="false" ht="15" hidden="false" customHeight="false" outlineLevel="0" collapsed="false">
      <c r="A771" s="29" t="str">
        <f aca="false">IF($C771="","",ROW()-4)</f>
        <v/>
      </c>
      <c r="B771" s="35" t="str">
        <f aca="false">IF($C771="","","SK"&amp;TEXT($C771,"yyyymm")&amp;"-"&amp;TEXT(ROW()-4,"0000"))</f>
        <v/>
      </c>
      <c r="C771" s="33"/>
      <c r="D771" s="24"/>
      <c r="E771" s="30" t="str">
        <f aca="false">IF($D771="","",IFERROR(INDEX(合同单位,MATCH($D771,合同键,0)),IFERROR(TRIM(LEFT($D771,FIND("｜",$D771)-1)),$D771)))</f>
        <v/>
      </c>
      <c r="F771" s="30" t="str">
        <f aca="false">IF($D771="","",IFERROR(INDEX(合同项目,MATCH($D771,合同键,0)),IFERROR(TRIM(MID($D771,FIND("｜",$D771)+1,99)),"")))</f>
        <v/>
      </c>
      <c r="G771" s="39"/>
      <c r="H771" s="25"/>
      <c r="I771" s="35" t="str">
        <f aca="false">IF($H771="","",IFERROR(INDEX(票据归类表,MATCH($H771,票据类型表,0)),"现金无票"))</f>
        <v/>
      </c>
      <c r="J771" s="25"/>
      <c r="K771" s="25"/>
      <c r="L771" s="31"/>
      <c r="M771" s="29" t="str">
        <f aca="false">IF($C771="","",YEAR($C771))</f>
        <v/>
      </c>
      <c r="N771" s="24"/>
      <c r="O771" s="35" t="str">
        <f aca="false">IF($C771="","",IF($D771="","★没选客户项目",IF(COUNTIF(合同键,$D771)=0,"★《维保合同》里没这个项目",IF(N($G771)&lt;=0,"★收款金额要填",IF($H771="","★票据类型要选",IF(AND($L771&lt;&gt;"",COUNTIF(应收单号,$L771)=0),"★关联的应收单号不存在",IF(AND($L771&lt;&gt;"",IFERROR(INDEX(应收键,MATCH($L771,应收单号,0)),"")&lt;&gt;$D771),"★关联单号不是这个客户的",IF(AND($L771&lt;&gt;"",ROUND(SUMIF(收款关联,$L771,收款金额)-IFERROR(INDEX(应收金额,MATCH($L771,应收单号,0)),0),2)&gt;0.001),"★指定冲销超过那张单的应收","OK"))))))))</f>
        <v/>
      </c>
    </row>
    <row r="772" customFormat="false" ht="15" hidden="false" customHeight="false" outlineLevel="0" collapsed="false">
      <c r="A772" s="29" t="str">
        <f aca="false">IF($C772="","",ROW()-4)</f>
        <v/>
      </c>
      <c r="B772" s="35" t="str">
        <f aca="false">IF($C772="","","SK"&amp;TEXT($C772,"yyyymm")&amp;"-"&amp;TEXT(ROW()-4,"0000"))</f>
        <v/>
      </c>
      <c r="C772" s="33"/>
      <c r="D772" s="24"/>
      <c r="E772" s="30" t="str">
        <f aca="false">IF($D772="","",IFERROR(INDEX(合同单位,MATCH($D772,合同键,0)),IFERROR(TRIM(LEFT($D772,FIND("｜",$D772)-1)),$D772)))</f>
        <v/>
      </c>
      <c r="F772" s="30" t="str">
        <f aca="false">IF($D772="","",IFERROR(INDEX(合同项目,MATCH($D772,合同键,0)),IFERROR(TRIM(MID($D772,FIND("｜",$D772)+1,99)),"")))</f>
        <v/>
      </c>
      <c r="G772" s="39"/>
      <c r="H772" s="25"/>
      <c r="I772" s="35" t="str">
        <f aca="false">IF($H772="","",IFERROR(INDEX(票据归类表,MATCH($H772,票据类型表,0)),"现金无票"))</f>
        <v/>
      </c>
      <c r="J772" s="25"/>
      <c r="K772" s="25"/>
      <c r="L772" s="31"/>
      <c r="M772" s="29" t="str">
        <f aca="false">IF($C772="","",YEAR($C772))</f>
        <v/>
      </c>
      <c r="N772" s="24"/>
      <c r="O772" s="35" t="str">
        <f aca="false">IF($C772="","",IF($D772="","★没选客户项目",IF(COUNTIF(合同键,$D772)=0,"★《维保合同》里没这个项目",IF(N($G772)&lt;=0,"★收款金额要填",IF($H772="","★票据类型要选",IF(AND($L772&lt;&gt;"",COUNTIF(应收单号,$L772)=0),"★关联的应收单号不存在",IF(AND($L772&lt;&gt;"",IFERROR(INDEX(应收键,MATCH($L772,应收单号,0)),"")&lt;&gt;$D772),"★关联单号不是这个客户的",IF(AND($L772&lt;&gt;"",ROUND(SUMIF(收款关联,$L772,收款金额)-IFERROR(INDEX(应收金额,MATCH($L772,应收单号,0)),0),2)&gt;0.001),"★指定冲销超过那张单的应收","OK"))))))))</f>
        <v/>
      </c>
    </row>
    <row r="773" customFormat="false" ht="15" hidden="false" customHeight="false" outlineLevel="0" collapsed="false">
      <c r="A773" s="29" t="str">
        <f aca="false">IF($C773="","",ROW()-4)</f>
        <v/>
      </c>
      <c r="B773" s="35" t="str">
        <f aca="false">IF($C773="","","SK"&amp;TEXT($C773,"yyyymm")&amp;"-"&amp;TEXT(ROW()-4,"0000"))</f>
        <v/>
      </c>
      <c r="C773" s="33"/>
      <c r="D773" s="24"/>
      <c r="E773" s="30" t="str">
        <f aca="false">IF($D773="","",IFERROR(INDEX(合同单位,MATCH($D773,合同键,0)),IFERROR(TRIM(LEFT($D773,FIND("｜",$D773)-1)),$D773)))</f>
        <v/>
      </c>
      <c r="F773" s="30" t="str">
        <f aca="false">IF($D773="","",IFERROR(INDEX(合同项目,MATCH($D773,合同键,0)),IFERROR(TRIM(MID($D773,FIND("｜",$D773)+1,99)),"")))</f>
        <v/>
      </c>
      <c r="G773" s="39"/>
      <c r="H773" s="25"/>
      <c r="I773" s="35" t="str">
        <f aca="false">IF($H773="","",IFERROR(INDEX(票据归类表,MATCH($H773,票据类型表,0)),"现金无票"))</f>
        <v/>
      </c>
      <c r="J773" s="25"/>
      <c r="K773" s="25"/>
      <c r="L773" s="31"/>
      <c r="M773" s="29" t="str">
        <f aca="false">IF($C773="","",YEAR($C773))</f>
        <v/>
      </c>
      <c r="N773" s="24"/>
      <c r="O773" s="35" t="str">
        <f aca="false">IF($C773="","",IF($D773="","★没选客户项目",IF(COUNTIF(合同键,$D773)=0,"★《维保合同》里没这个项目",IF(N($G773)&lt;=0,"★收款金额要填",IF($H773="","★票据类型要选",IF(AND($L773&lt;&gt;"",COUNTIF(应收单号,$L773)=0),"★关联的应收单号不存在",IF(AND($L773&lt;&gt;"",IFERROR(INDEX(应收键,MATCH($L773,应收单号,0)),"")&lt;&gt;$D773),"★关联单号不是这个客户的",IF(AND($L773&lt;&gt;"",ROUND(SUMIF(收款关联,$L773,收款金额)-IFERROR(INDEX(应收金额,MATCH($L773,应收单号,0)),0),2)&gt;0.001),"★指定冲销超过那张单的应收","OK"))))))))</f>
        <v/>
      </c>
    </row>
    <row r="774" customFormat="false" ht="15" hidden="false" customHeight="false" outlineLevel="0" collapsed="false">
      <c r="A774" s="29" t="str">
        <f aca="false">IF($C774="","",ROW()-4)</f>
        <v/>
      </c>
      <c r="B774" s="35" t="str">
        <f aca="false">IF($C774="","","SK"&amp;TEXT($C774,"yyyymm")&amp;"-"&amp;TEXT(ROW()-4,"0000"))</f>
        <v/>
      </c>
      <c r="C774" s="33"/>
      <c r="D774" s="24"/>
      <c r="E774" s="30" t="str">
        <f aca="false">IF($D774="","",IFERROR(INDEX(合同单位,MATCH($D774,合同键,0)),IFERROR(TRIM(LEFT($D774,FIND("｜",$D774)-1)),$D774)))</f>
        <v/>
      </c>
      <c r="F774" s="30" t="str">
        <f aca="false">IF($D774="","",IFERROR(INDEX(合同项目,MATCH($D774,合同键,0)),IFERROR(TRIM(MID($D774,FIND("｜",$D774)+1,99)),"")))</f>
        <v/>
      </c>
      <c r="G774" s="39"/>
      <c r="H774" s="25"/>
      <c r="I774" s="35" t="str">
        <f aca="false">IF($H774="","",IFERROR(INDEX(票据归类表,MATCH($H774,票据类型表,0)),"现金无票"))</f>
        <v/>
      </c>
      <c r="J774" s="25"/>
      <c r="K774" s="25"/>
      <c r="L774" s="31"/>
      <c r="M774" s="29" t="str">
        <f aca="false">IF($C774="","",YEAR($C774))</f>
        <v/>
      </c>
      <c r="N774" s="24"/>
      <c r="O774" s="35" t="str">
        <f aca="false">IF($C774="","",IF($D774="","★没选客户项目",IF(COUNTIF(合同键,$D774)=0,"★《维保合同》里没这个项目",IF(N($G774)&lt;=0,"★收款金额要填",IF($H774="","★票据类型要选",IF(AND($L774&lt;&gt;"",COUNTIF(应收单号,$L774)=0),"★关联的应收单号不存在",IF(AND($L774&lt;&gt;"",IFERROR(INDEX(应收键,MATCH($L774,应收单号,0)),"")&lt;&gt;$D774),"★关联单号不是这个客户的",IF(AND($L774&lt;&gt;"",ROUND(SUMIF(收款关联,$L774,收款金额)-IFERROR(INDEX(应收金额,MATCH($L774,应收单号,0)),0),2)&gt;0.001),"★指定冲销超过那张单的应收","OK"))))))))</f>
        <v/>
      </c>
    </row>
    <row r="775" customFormat="false" ht="15" hidden="false" customHeight="false" outlineLevel="0" collapsed="false">
      <c r="A775" s="29" t="str">
        <f aca="false">IF($C775="","",ROW()-4)</f>
        <v/>
      </c>
      <c r="B775" s="35" t="str">
        <f aca="false">IF($C775="","","SK"&amp;TEXT($C775,"yyyymm")&amp;"-"&amp;TEXT(ROW()-4,"0000"))</f>
        <v/>
      </c>
      <c r="C775" s="33"/>
      <c r="D775" s="24"/>
      <c r="E775" s="30" t="str">
        <f aca="false">IF($D775="","",IFERROR(INDEX(合同单位,MATCH($D775,合同键,0)),IFERROR(TRIM(LEFT($D775,FIND("｜",$D775)-1)),$D775)))</f>
        <v/>
      </c>
      <c r="F775" s="30" t="str">
        <f aca="false">IF($D775="","",IFERROR(INDEX(合同项目,MATCH($D775,合同键,0)),IFERROR(TRIM(MID($D775,FIND("｜",$D775)+1,99)),"")))</f>
        <v/>
      </c>
      <c r="G775" s="39"/>
      <c r="H775" s="25"/>
      <c r="I775" s="35" t="str">
        <f aca="false">IF($H775="","",IFERROR(INDEX(票据归类表,MATCH($H775,票据类型表,0)),"现金无票"))</f>
        <v/>
      </c>
      <c r="J775" s="25"/>
      <c r="K775" s="25"/>
      <c r="L775" s="31"/>
      <c r="M775" s="29" t="str">
        <f aca="false">IF($C775="","",YEAR($C775))</f>
        <v/>
      </c>
      <c r="N775" s="24"/>
      <c r="O775" s="35" t="str">
        <f aca="false">IF($C775="","",IF($D775="","★没选客户项目",IF(COUNTIF(合同键,$D775)=0,"★《维保合同》里没这个项目",IF(N($G775)&lt;=0,"★收款金额要填",IF($H775="","★票据类型要选",IF(AND($L775&lt;&gt;"",COUNTIF(应收单号,$L775)=0),"★关联的应收单号不存在",IF(AND($L775&lt;&gt;"",IFERROR(INDEX(应收键,MATCH($L775,应收单号,0)),"")&lt;&gt;$D775),"★关联单号不是这个客户的",IF(AND($L775&lt;&gt;"",ROUND(SUMIF(收款关联,$L775,收款金额)-IFERROR(INDEX(应收金额,MATCH($L775,应收单号,0)),0),2)&gt;0.001),"★指定冲销超过那张单的应收","OK"))))))))</f>
        <v/>
      </c>
    </row>
    <row r="776" customFormat="false" ht="15" hidden="false" customHeight="false" outlineLevel="0" collapsed="false">
      <c r="A776" s="29" t="str">
        <f aca="false">IF($C776="","",ROW()-4)</f>
        <v/>
      </c>
      <c r="B776" s="35" t="str">
        <f aca="false">IF($C776="","","SK"&amp;TEXT($C776,"yyyymm")&amp;"-"&amp;TEXT(ROW()-4,"0000"))</f>
        <v/>
      </c>
      <c r="C776" s="33"/>
      <c r="D776" s="24"/>
      <c r="E776" s="30" t="str">
        <f aca="false">IF($D776="","",IFERROR(INDEX(合同单位,MATCH($D776,合同键,0)),IFERROR(TRIM(LEFT($D776,FIND("｜",$D776)-1)),$D776)))</f>
        <v/>
      </c>
      <c r="F776" s="30" t="str">
        <f aca="false">IF($D776="","",IFERROR(INDEX(合同项目,MATCH($D776,合同键,0)),IFERROR(TRIM(MID($D776,FIND("｜",$D776)+1,99)),"")))</f>
        <v/>
      </c>
      <c r="G776" s="39"/>
      <c r="H776" s="25"/>
      <c r="I776" s="35" t="str">
        <f aca="false">IF($H776="","",IFERROR(INDEX(票据归类表,MATCH($H776,票据类型表,0)),"现金无票"))</f>
        <v/>
      </c>
      <c r="J776" s="25"/>
      <c r="K776" s="25"/>
      <c r="L776" s="31"/>
      <c r="M776" s="29" t="str">
        <f aca="false">IF($C776="","",YEAR($C776))</f>
        <v/>
      </c>
      <c r="N776" s="24"/>
      <c r="O776" s="35" t="str">
        <f aca="false">IF($C776="","",IF($D776="","★没选客户项目",IF(COUNTIF(合同键,$D776)=0,"★《维保合同》里没这个项目",IF(N($G776)&lt;=0,"★收款金额要填",IF($H776="","★票据类型要选",IF(AND($L776&lt;&gt;"",COUNTIF(应收单号,$L776)=0),"★关联的应收单号不存在",IF(AND($L776&lt;&gt;"",IFERROR(INDEX(应收键,MATCH($L776,应收单号,0)),"")&lt;&gt;$D776),"★关联单号不是这个客户的",IF(AND($L776&lt;&gt;"",ROUND(SUMIF(收款关联,$L776,收款金额)-IFERROR(INDEX(应收金额,MATCH($L776,应收单号,0)),0),2)&gt;0.001),"★指定冲销超过那张单的应收","OK"))))))))</f>
        <v/>
      </c>
    </row>
    <row r="777" customFormat="false" ht="15" hidden="false" customHeight="false" outlineLevel="0" collapsed="false">
      <c r="A777" s="29" t="str">
        <f aca="false">IF($C777="","",ROW()-4)</f>
        <v/>
      </c>
      <c r="B777" s="35" t="str">
        <f aca="false">IF($C777="","","SK"&amp;TEXT($C777,"yyyymm")&amp;"-"&amp;TEXT(ROW()-4,"0000"))</f>
        <v/>
      </c>
      <c r="C777" s="33"/>
      <c r="D777" s="24"/>
      <c r="E777" s="30" t="str">
        <f aca="false">IF($D777="","",IFERROR(INDEX(合同单位,MATCH($D777,合同键,0)),IFERROR(TRIM(LEFT($D777,FIND("｜",$D777)-1)),$D777)))</f>
        <v/>
      </c>
      <c r="F777" s="30" t="str">
        <f aca="false">IF($D777="","",IFERROR(INDEX(合同项目,MATCH($D777,合同键,0)),IFERROR(TRIM(MID($D777,FIND("｜",$D777)+1,99)),"")))</f>
        <v/>
      </c>
      <c r="G777" s="39"/>
      <c r="H777" s="25"/>
      <c r="I777" s="35" t="str">
        <f aca="false">IF($H777="","",IFERROR(INDEX(票据归类表,MATCH($H777,票据类型表,0)),"现金无票"))</f>
        <v/>
      </c>
      <c r="J777" s="25"/>
      <c r="K777" s="25"/>
      <c r="L777" s="31"/>
      <c r="M777" s="29" t="str">
        <f aca="false">IF($C777="","",YEAR($C777))</f>
        <v/>
      </c>
      <c r="N777" s="24"/>
      <c r="O777" s="35" t="str">
        <f aca="false">IF($C777="","",IF($D777="","★没选客户项目",IF(COUNTIF(合同键,$D777)=0,"★《维保合同》里没这个项目",IF(N($G777)&lt;=0,"★收款金额要填",IF($H777="","★票据类型要选",IF(AND($L777&lt;&gt;"",COUNTIF(应收单号,$L777)=0),"★关联的应收单号不存在",IF(AND($L777&lt;&gt;"",IFERROR(INDEX(应收键,MATCH($L777,应收单号,0)),"")&lt;&gt;$D777),"★关联单号不是这个客户的",IF(AND($L777&lt;&gt;"",ROUND(SUMIF(收款关联,$L777,收款金额)-IFERROR(INDEX(应收金额,MATCH($L777,应收单号,0)),0),2)&gt;0.001),"★指定冲销超过那张单的应收","OK"))))))))</f>
        <v/>
      </c>
    </row>
    <row r="778" customFormat="false" ht="15" hidden="false" customHeight="false" outlineLevel="0" collapsed="false">
      <c r="A778" s="29" t="str">
        <f aca="false">IF($C778="","",ROW()-4)</f>
        <v/>
      </c>
      <c r="B778" s="35" t="str">
        <f aca="false">IF($C778="","","SK"&amp;TEXT($C778,"yyyymm")&amp;"-"&amp;TEXT(ROW()-4,"0000"))</f>
        <v/>
      </c>
      <c r="C778" s="33"/>
      <c r="D778" s="24"/>
      <c r="E778" s="30" t="str">
        <f aca="false">IF($D778="","",IFERROR(INDEX(合同单位,MATCH($D778,合同键,0)),IFERROR(TRIM(LEFT($D778,FIND("｜",$D778)-1)),$D778)))</f>
        <v/>
      </c>
      <c r="F778" s="30" t="str">
        <f aca="false">IF($D778="","",IFERROR(INDEX(合同项目,MATCH($D778,合同键,0)),IFERROR(TRIM(MID($D778,FIND("｜",$D778)+1,99)),"")))</f>
        <v/>
      </c>
      <c r="G778" s="39"/>
      <c r="H778" s="25"/>
      <c r="I778" s="35" t="str">
        <f aca="false">IF($H778="","",IFERROR(INDEX(票据归类表,MATCH($H778,票据类型表,0)),"现金无票"))</f>
        <v/>
      </c>
      <c r="J778" s="25"/>
      <c r="K778" s="25"/>
      <c r="L778" s="31"/>
      <c r="M778" s="29" t="str">
        <f aca="false">IF($C778="","",YEAR($C778))</f>
        <v/>
      </c>
      <c r="N778" s="24"/>
      <c r="O778" s="35" t="str">
        <f aca="false">IF($C778="","",IF($D778="","★没选客户项目",IF(COUNTIF(合同键,$D778)=0,"★《维保合同》里没这个项目",IF(N($G778)&lt;=0,"★收款金额要填",IF($H778="","★票据类型要选",IF(AND($L778&lt;&gt;"",COUNTIF(应收单号,$L778)=0),"★关联的应收单号不存在",IF(AND($L778&lt;&gt;"",IFERROR(INDEX(应收键,MATCH($L778,应收单号,0)),"")&lt;&gt;$D778),"★关联单号不是这个客户的",IF(AND($L778&lt;&gt;"",ROUND(SUMIF(收款关联,$L778,收款金额)-IFERROR(INDEX(应收金额,MATCH($L778,应收单号,0)),0),2)&gt;0.001),"★指定冲销超过那张单的应收","OK"))))))))</f>
        <v/>
      </c>
    </row>
    <row r="779" customFormat="false" ht="15" hidden="false" customHeight="false" outlineLevel="0" collapsed="false">
      <c r="A779" s="29" t="str">
        <f aca="false">IF($C779="","",ROW()-4)</f>
        <v/>
      </c>
      <c r="B779" s="35" t="str">
        <f aca="false">IF($C779="","","SK"&amp;TEXT($C779,"yyyymm")&amp;"-"&amp;TEXT(ROW()-4,"0000"))</f>
        <v/>
      </c>
      <c r="C779" s="33"/>
      <c r="D779" s="24"/>
      <c r="E779" s="30" t="str">
        <f aca="false">IF($D779="","",IFERROR(INDEX(合同单位,MATCH($D779,合同键,0)),IFERROR(TRIM(LEFT($D779,FIND("｜",$D779)-1)),$D779)))</f>
        <v/>
      </c>
      <c r="F779" s="30" t="str">
        <f aca="false">IF($D779="","",IFERROR(INDEX(合同项目,MATCH($D779,合同键,0)),IFERROR(TRIM(MID($D779,FIND("｜",$D779)+1,99)),"")))</f>
        <v/>
      </c>
      <c r="G779" s="39"/>
      <c r="H779" s="25"/>
      <c r="I779" s="35" t="str">
        <f aca="false">IF($H779="","",IFERROR(INDEX(票据归类表,MATCH($H779,票据类型表,0)),"现金无票"))</f>
        <v/>
      </c>
      <c r="J779" s="25"/>
      <c r="K779" s="25"/>
      <c r="L779" s="31"/>
      <c r="M779" s="29" t="str">
        <f aca="false">IF($C779="","",YEAR($C779))</f>
        <v/>
      </c>
      <c r="N779" s="24"/>
      <c r="O779" s="35" t="str">
        <f aca="false">IF($C779="","",IF($D779="","★没选客户项目",IF(COUNTIF(合同键,$D779)=0,"★《维保合同》里没这个项目",IF(N($G779)&lt;=0,"★收款金额要填",IF($H779="","★票据类型要选",IF(AND($L779&lt;&gt;"",COUNTIF(应收单号,$L779)=0),"★关联的应收单号不存在",IF(AND($L779&lt;&gt;"",IFERROR(INDEX(应收键,MATCH($L779,应收单号,0)),"")&lt;&gt;$D779),"★关联单号不是这个客户的",IF(AND($L779&lt;&gt;"",ROUND(SUMIF(收款关联,$L779,收款金额)-IFERROR(INDEX(应收金额,MATCH($L779,应收单号,0)),0),2)&gt;0.001),"★指定冲销超过那张单的应收","OK"))))))))</f>
        <v/>
      </c>
    </row>
    <row r="780" customFormat="false" ht="15" hidden="false" customHeight="false" outlineLevel="0" collapsed="false">
      <c r="A780" s="29" t="str">
        <f aca="false">IF($C780="","",ROW()-4)</f>
        <v/>
      </c>
      <c r="B780" s="35" t="str">
        <f aca="false">IF($C780="","","SK"&amp;TEXT($C780,"yyyymm")&amp;"-"&amp;TEXT(ROW()-4,"0000"))</f>
        <v/>
      </c>
      <c r="C780" s="33"/>
      <c r="D780" s="24"/>
      <c r="E780" s="30" t="str">
        <f aca="false">IF($D780="","",IFERROR(INDEX(合同单位,MATCH($D780,合同键,0)),IFERROR(TRIM(LEFT($D780,FIND("｜",$D780)-1)),$D780)))</f>
        <v/>
      </c>
      <c r="F780" s="30" t="str">
        <f aca="false">IF($D780="","",IFERROR(INDEX(合同项目,MATCH($D780,合同键,0)),IFERROR(TRIM(MID($D780,FIND("｜",$D780)+1,99)),"")))</f>
        <v/>
      </c>
      <c r="G780" s="39"/>
      <c r="H780" s="25"/>
      <c r="I780" s="35" t="str">
        <f aca="false">IF($H780="","",IFERROR(INDEX(票据归类表,MATCH($H780,票据类型表,0)),"现金无票"))</f>
        <v/>
      </c>
      <c r="J780" s="25"/>
      <c r="K780" s="25"/>
      <c r="L780" s="31"/>
      <c r="M780" s="29" t="str">
        <f aca="false">IF($C780="","",YEAR($C780))</f>
        <v/>
      </c>
      <c r="N780" s="24"/>
      <c r="O780" s="35" t="str">
        <f aca="false">IF($C780="","",IF($D780="","★没选客户项目",IF(COUNTIF(合同键,$D780)=0,"★《维保合同》里没这个项目",IF(N($G780)&lt;=0,"★收款金额要填",IF($H780="","★票据类型要选",IF(AND($L780&lt;&gt;"",COUNTIF(应收单号,$L780)=0),"★关联的应收单号不存在",IF(AND($L780&lt;&gt;"",IFERROR(INDEX(应收键,MATCH($L780,应收单号,0)),"")&lt;&gt;$D780),"★关联单号不是这个客户的",IF(AND($L780&lt;&gt;"",ROUND(SUMIF(收款关联,$L780,收款金额)-IFERROR(INDEX(应收金额,MATCH($L780,应收单号,0)),0),2)&gt;0.001),"★指定冲销超过那张单的应收","OK"))))))))</f>
        <v/>
      </c>
    </row>
    <row r="781" customFormat="false" ht="15" hidden="false" customHeight="false" outlineLevel="0" collapsed="false">
      <c r="A781" s="29" t="str">
        <f aca="false">IF($C781="","",ROW()-4)</f>
        <v/>
      </c>
      <c r="B781" s="35" t="str">
        <f aca="false">IF($C781="","","SK"&amp;TEXT($C781,"yyyymm")&amp;"-"&amp;TEXT(ROW()-4,"0000"))</f>
        <v/>
      </c>
      <c r="C781" s="33"/>
      <c r="D781" s="24"/>
      <c r="E781" s="30" t="str">
        <f aca="false">IF($D781="","",IFERROR(INDEX(合同单位,MATCH($D781,合同键,0)),IFERROR(TRIM(LEFT($D781,FIND("｜",$D781)-1)),$D781)))</f>
        <v/>
      </c>
      <c r="F781" s="30" t="str">
        <f aca="false">IF($D781="","",IFERROR(INDEX(合同项目,MATCH($D781,合同键,0)),IFERROR(TRIM(MID($D781,FIND("｜",$D781)+1,99)),"")))</f>
        <v/>
      </c>
      <c r="G781" s="39"/>
      <c r="H781" s="25"/>
      <c r="I781" s="35" t="str">
        <f aca="false">IF($H781="","",IFERROR(INDEX(票据归类表,MATCH($H781,票据类型表,0)),"现金无票"))</f>
        <v/>
      </c>
      <c r="J781" s="25"/>
      <c r="K781" s="25"/>
      <c r="L781" s="31"/>
      <c r="M781" s="29" t="str">
        <f aca="false">IF($C781="","",YEAR($C781))</f>
        <v/>
      </c>
      <c r="N781" s="24"/>
      <c r="O781" s="35" t="str">
        <f aca="false">IF($C781="","",IF($D781="","★没选客户项目",IF(COUNTIF(合同键,$D781)=0,"★《维保合同》里没这个项目",IF(N($G781)&lt;=0,"★收款金额要填",IF($H781="","★票据类型要选",IF(AND($L781&lt;&gt;"",COUNTIF(应收单号,$L781)=0),"★关联的应收单号不存在",IF(AND($L781&lt;&gt;"",IFERROR(INDEX(应收键,MATCH($L781,应收单号,0)),"")&lt;&gt;$D781),"★关联单号不是这个客户的",IF(AND($L781&lt;&gt;"",ROUND(SUMIF(收款关联,$L781,收款金额)-IFERROR(INDEX(应收金额,MATCH($L781,应收单号,0)),0),2)&gt;0.001),"★指定冲销超过那张单的应收","OK"))))))))</f>
        <v/>
      </c>
    </row>
    <row r="782" customFormat="false" ht="15" hidden="false" customHeight="false" outlineLevel="0" collapsed="false">
      <c r="A782" s="29" t="str">
        <f aca="false">IF($C782="","",ROW()-4)</f>
        <v/>
      </c>
      <c r="B782" s="35" t="str">
        <f aca="false">IF($C782="","","SK"&amp;TEXT($C782,"yyyymm")&amp;"-"&amp;TEXT(ROW()-4,"0000"))</f>
        <v/>
      </c>
      <c r="C782" s="33"/>
      <c r="D782" s="24"/>
      <c r="E782" s="30" t="str">
        <f aca="false">IF($D782="","",IFERROR(INDEX(合同单位,MATCH($D782,合同键,0)),IFERROR(TRIM(LEFT($D782,FIND("｜",$D782)-1)),$D782)))</f>
        <v/>
      </c>
      <c r="F782" s="30" t="str">
        <f aca="false">IF($D782="","",IFERROR(INDEX(合同项目,MATCH($D782,合同键,0)),IFERROR(TRIM(MID($D782,FIND("｜",$D782)+1,99)),"")))</f>
        <v/>
      </c>
      <c r="G782" s="39"/>
      <c r="H782" s="25"/>
      <c r="I782" s="35" t="str">
        <f aca="false">IF($H782="","",IFERROR(INDEX(票据归类表,MATCH($H782,票据类型表,0)),"现金无票"))</f>
        <v/>
      </c>
      <c r="J782" s="25"/>
      <c r="K782" s="25"/>
      <c r="L782" s="31"/>
      <c r="M782" s="29" t="str">
        <f aca="false">IF($C782="","",YEAR($C782))</f>
        <v/>
      </c>
      <c r="N782" s="24"/>
      <c r="O782" s="35" t="str">
        <f aca="false">IF($C782="","",IF($D782="","★没选客户项目",IF(COUNTIF(合同键,$D782)=0,"★《维保合同》里没这个项目",IF(N($G782)&lt;=0,"★收款金额要填",IF($H782="","★票据类型要选",IF(AND($L782&lt;&gt;"",COUNTIF(应收单号,$L782)=0),"★关联的应收单号不存在",IF(AND($L782&lt;&gt;"",IFERROR(INDEX(应收键,MATCH($L782,应收单号,0)),"")&lt;&gt;$D782),"★关联单号不是这个客户的",IF(AND($L782&lt;&gt;"",ROUND(SUMIF(收款关联,$L782,收款金额)-IFERROR(INDEX(应收金额,MATCH($L782,应收单号,0)),0),2)&gt;0.001),"★指定冲销超过那张单的应收","OK"))))))))</f>
        <v/>
      </c>
    </row>
    <row r="783" customFormat="false" ht="15" hidden="false" customHeight="false" outlineLevel="0" collapsed="false">
      <c r="A783" s="29" t="str">
        <f aca="false">IF($C783="","",ROW()-4)</f>
        <v/>
      </c>
      <c r="B783" s="35" t="str">
        <f aca="false">IF($C783="","","SK"&amp;TEXT($C783,"yyyymm")&amp;"-"&amp;TEXT(ROW()-4,"0000"))</f>
        <v/>
      </c>
      <c r="C783" s="33"/>
      <c r="D783" s="24"/>
      <c r="E783" s="30" t="str">
        <f aca="false">IF($D783="","",IFERROR(INDEX(合同单位,MATCH($D783,合同键,0)),IFERROR(TRIM(LEFT($D783,FIND("｜",$D783)-1)),$D783)))</f>
        <v/>
      </c>
      <c r="F783" s="30" t="str">
        <f aca="false">IF($D783="","",IFERROR(INDEX(合同项目,MATCH($D783,合同键,0)),IFERROR(TRIM(MID($D783,FIND("｜",$D783)+1,99)),"")))</f>
        <v/>
      </c>
      <c r="G783" s="39"/>
      <c r="H783" s="25"/>
      <c r="I783" s="35" t="str">
        <f aca="false">IF($H783="","",IFERROR(INDEX(票据归类表,MATCH($H783,票据类型表,0)),"现金无票"))</f>
        <v/>
      </c>
      <c r="J783" s="25"/>
      <c r="K783" s="25"/>
      <c r="L783" s="31"/>
      <c r="M783" s="29" t="str">
        <f aca="false">IF($C783="","",YEAR($C783))</f>
        <v/>
      </c>
      <c r="N783" s="24"/>
      <c r="O783" s="35" t="str">
        <f aca="false">IF($C783="","",IF($D783="","★没选客户项目",IF(COUNTIF(合同键,$D783)=0,"★《维保合同》里没这个项目",IF(N($G783)&lt;=0,"★收款金额要填",IF($H783="","★票据类型要选",IF(AND($L783&lt;&gt;"",COUNTIF(应收单号,$L783)=0),"★关联的应收单号不存在",IF(AND($L783&lt;&gt;"",IFERROR(INDEX(应收键,MATCH($L783,应收单号,0)),"")&lt;&gt;$D783),"★关联单号不是这个客户的",IF(AND($L783&lt;&gt;"",ROUND(SUMIF(收款关联,$L783,收款金额)-IFERROR(INDEX(应收金额,MATCH($L783,应收单号,0)),0),2)&gt;0.001),"★指定冲销超过那张单的应收","OK"))))))))</f>
        <v/>
      </c>
    </row>
    <row r="784" customFormat="false" ht="15" hidden="false" customHeight="false" outlineLevel="0" collapsed="false">
      <c r="A784" s="29" t="str">
        <f aca="false">IF($C784="","",ROW()-4)</f>
        <v/>
      </c>
      <c r="B784" s="35" t="str">
        <f aca="false">IF($C784="","","SK"&amp;TEXT($C784,"yyyymm")&amp;"-"&amp;TEXT(ROW()-4,"0000"))</f>
        <v/>
      </c>
      <c r="C784" s="33"/>
      <c r="D784" s="24"/>
      <c r="E784" s="30" t="str">
        <f aca="false">IF($D784="","",IFERROR(INDEX(合同单位,MATCH($D784,合同键,0)),IFERROR(TRIM(LEFT($D784,FIND("｜",$D784)-1)),$D784)))</f>
        <v/>
      </c>
      <c r="F784" s="30" t="str">
        <f aca="false">IF($D784="","",IFERROR(INDEX(合同项目,MATCH($D784,合同键,0)),IFERROR(TRIM(MID($D784,FIND("｜",$D784)+1,99)),"")))</f>
        <v/>
      </c>
      <c r="G784" s="39"/>
      <c r="H784" s="25"/>
      <c r="I784" s="35" t="str">
        <f aca="false">IF($H784="","",IFERROR(INDEX(票据归类表,MATCH($H784,票据类型表,0)),"现金无票"))</f>
        <v/>
      </c>
      <c r="J784" s="25"/>
      <c r="K784" s="25"/>
      <c r="L784" s="31"/>
      <c r="M784" s="29" t="str">
        <f aca="false">IF($C784="","",YEAR($C784))</f>
        <v/>
      </c>
      <c r="N784" s="24"/>
      <c r="O784" s="35" t="str">
        <f aca="false">IF($C784="","",IF($D784="","★没选客户项目",IF(COUNTIF(合同键,$D784)=0,"★《维保合同》里没这个项目",IF(N($G784)&lt;=0,"★收款金额要填",IF($H784="","★票据类型要选",IF(AND($L784&lt;&gt;"",COUNTIF(应收单号,$L784)=0),"★关联的应收单号不存在",IF(AND($L784&lt;&gt;"",IFERROR(INDEX(应收键,MATCH($L784,应收单号,0)),"")&lt;&gt;$D784),"★关联单号不是这个客户的",IF(AND($L784&lt;&gt;"",ROUND(SUMIF(收款关联,$L784,收款金额)-IFERROR(INDEX(应收金额,MATCH($L784,应收单号,0)),0),2)&gt;0.001),"★指定冲销超过那张单的应收","OK"))))))))</f>
        <v/>
      </c>
    </row>
    <row r="785" customFormat="false" ht="15" hidden="false" customHeight="false" outlineLevel="0" collapsed="false">
      <c r="A785" s="29" t="str">
        <f aca="false">IF($C785="","",ROW()-4)</f>
        <v/>
      </c>
      <c r="B785" s="35" t="str">
        <f aca="false">IF($C785="","","SK"&amp;TEXT($C785,"yyyymm")&amp;"-"&amp;TEXT(ROW()-4,"0000"))</f>
        <v/>
      </c>
      <c r="C785" s="33"/>
      <c r="D785" s="24"/>
      <c r="E785" s="30" t="str">
        <f aca="false">IF($D785="","",IFERROR(INDEX(合同单位,MATCH($D785,合同键,0)),IFERROR(TRIM(LEFT($D785,FIND("｜",$D785)-1)),$D785)))</f>
        <v/>
      </c>
      <c r="F785" s="30" t="str">
        <f aca="false">IF($D785="","",IFERROR(INDEX(合同项目,MATCH($D785,合同键,0)),IFERROR(TRIM(MID($D785,FIND("｜",$D785)+1,99)),"")))</f>
        <v/>
      </c>
      <c r="G785" s="39"/>
      <c r="H785" s="25"/>
      <c r="I785" s="35" t="str">
        <f aca="false">IF($H785="","",IFERROR(INDEX(票据归类表,MATCH($H785,票据类型表,0)),"现金无票"))</f>
        <v/>
      </c>
      <c r="J785" s="25"/>
      <c r="K785" s="25"/>
      <c r="L785" s="31"/>
      <c r="M785" s="29" t="str">
        <f aca="false">IF($C785="","",YEAR($C785))</f>
        <v/>
      </c>
      <c r="N785" s="24"/>
      <c r="O785" s="35" t="str">
        <f aca="false">IF($C785="","",IF($D785="","★没选客户项目",IF(COUNTIF(合同键,$D785)=0,"★《维保合同》里没这个项目",IF(N($G785)&lt;=0,"★收款金额要填",IF($H785="","★票据类型要选",IF(AND($L785&lt;&gt;"",COUNTIF(应收单号,$L785)=0),"★关联的应收单号不存在",IF(AND($L785&lt;&gt;"",IFERROR(INDEX(应收键,MATCH($L785,应收单号,0)),"")&lt;&gt;$D785),"★关联单号不是这个客户的",IF(AND($L785&lt;&gt;"",ROUND(SUMIF(收款关联,$L785,收款金额)-IFERROR(INDEX(应收金额,MATCH($L785,应收单号,0)),0),2)&gt;0.001),"★指定冲销超过那张单的应收","OK"))))))))</f>
        <v/>
      </c>
    </row>
    <row r="786" customFormat="false" ht="15" hidden="false" customHeight="false" outlineLevel="0" collapsed="false">
      <c r="A786" s="29" t="str">
        <f aca="false">IF($C786="","",ROW()-4)</f>
        <v/>
      </c>
      <c r="B786" s="35" t="str">
        <f aca="false">IF($C786="","","SK"&amp;TEXT($C786,"yyyymm")&amp;"-"&amp;TEXT(ROW()-4,"0000"))</f>
        <v/>
      </c>
      <c r="C786" s="33"/>
      <c r="D786" s="24"/>
      <c r="E786" s="30" t="str">
        <f aca="false">IF($D786="","",IFERROR(INDEX(合同单位,MATCH($D786,合同键,0)),IFERROR(TRIM(LEFT($D786,FIND("｜",$D786)-1)),$D786)))</f>
        <v/>
      </c>
      <c r="F786" s="30" t="str">
        <f aca="false">IF($D786="","",IFERROR(INDEX(合同项目,MATCH($D786,合同键,0)),IFERROR(TRIM(MID($D786,FIND("｜",$D786)+1,99)),"")))</f>
        <v/>
      </c>
      <c r="G786" s="39"/>
      <c r="H786" s="25"/>
      <c r="I786" s="35" t="str">
        <f aca="false">IF($H786="","",IFERROR(INDEX(票据归类表,MATCH($H786,票据类型表,0)),"现金无票"))</f>
        <v/>
      </c>
      <c r="J786" s="25"/>
      <c r="K786" s="25"/>
      <c r="L786" s="31"/>
      <c r="M786" s="29" t="str">
        <f aca="false">IF($C786="","",YEAR($C786))</f>
        <v/>
      </c>
      <c r="N786" s="24"/>
      <c r="O786" s="35" t="str">
        <f aca="false">IF($C786="","",IF($D786="","★没选客户项目",IF(COUNTIF(合同键,$D786)=0,"★《维保合同》里没这个项目",IF(N($G786)&lt;=0,"★收款金额要填",IF($H786="","★票据类型要选",IF(AND($L786&lt;&gt;"",COUNTIF(应收单号,$L786)=0),"★关联的应收单号不存在",IF(AND($L786&lt;&gt;"",IFERROR(INDEX(应收键,MATCH($L786,应收单号,0)),"")&lt;&gt;$D786),"★关联单号不是这个客户的",IF(AND($L786&lt;&gt;"",ROUND(SUMIF(收款关联,$L786,收款金额)-IFERROR(INDEX(应收金额,MATCH($L786,应收单号,0)),0),2)&gt;0.001),"★指定冲销超过那张单的应收","OK"))))))))</f>
        <v/>
      </c>
    </row>
    <row r="787" customFormat="false" ht="15" hidden="false" customHeight="false" outlineLevel="0" collapsed="false">
      <c r="A787" s="29" t="str">
        <f aca="false">IF($C787="","",ROW()-4)</f>
        <v/>
      </c>
      <c r="B787" s="35" t="str">
        <f aca="false">IF($C787="","","SK"&amp;TEXT($C787,"yyyymm")&amp;"-"&amp;TEXT(ROW()-4,"0000"))</f>
        <v/>
      </c>
      <c r="C787" s="33"/>
      <c r="D787" s="24"/>
      <c r="E787" s="30" t="str">
        <f aca="false">IF($D787="","",IFERROR(INDEX(合同单位,MATCH($D787,合同键,0)),IFERROR(TRIM(LEFT($D787,FIND("｜",$D787)-1)),$D787)))</f>
        <v/>
      </c>
      <c r="F787" s="30" t="str">
        <f aca="false">IF($D787="","",IFERROR(INDEX(合同项目,MATCH($D787,合同键,0)),IFERROR(TRIM(MID($D787,FIND("｜",$D787)+1,99)),"")))</f>
        <v/>
      </c>
      <c r="G787" s="39"/>
      <c r="H787" s="25"/>
      <c r="I787" s="35" t="str">
        <f aca="false">IF($H787="","",IFERROR(INDEX(票据归类表,MATCH($H787,票据类型表,0)),"现金无票"))</f>
        <v/>
      </c>
      <c r="J787" s="25"/>
      <c r="K787" s="25"/>
      <c r="L787" s="31"/>
      <c r="M787" s="29" t="str">
        <f aca="false">IF($C787="","",YEAR($C787))</f>
        <v/>
      </c>
      <c r="N787" s="24"/>
      <c r="O787" s="35" t="str">
        <f aca="false">IF($C787="","",IF($D787="","★没选客户项目",IF(COUNTIF(合同键,$D787)=0,"★《维保合同》里没这个项目",IF(N($G787)&lt;=0,"★收款金额要填",IF($H787="","★票据类型要选",IF(AND($L787&lt;&gt;"",COUNTIF(应收单号,$L787)=0),"★关联的应收单号不存在",IF(AND($L787&lt;&gt;"",IFERROR(INDEX(应收键,MATCH($L787,应收单号,0)),"")&lt;&gt;$D787),"★关联单号不是这个客户的",IF(AND($L787&lt;&gt;"",ROUND(SUMIF(收款关联,$L787,收款金额)-IFERROR(INDEX(应收金额,MATCH($L787,应收单号,0)),0),2)&gt;0.001),"★指定冲销超过那张单的应收","OK"))))))))</f>
        <v/>
      </c>
    </row>
    <row r="788" customFormat="false" ht="15" hidden="false" customHeight="false" outlineLevel="0" collapsed="false">
      <c r="A788" s="29" t="str">
        <f aca="false">IF($C788="","",ROW()-4)</f>
        <v/>
      </c>
      <c r="B788" s="35" t="str">
        <f aca="false">IF($C788="","","SK"&amp;TEXT($C788,"yyyymm")&amp;"-"&amp;TEXT(ROW()-4,"0000"))</f>
        <v/>
      </c>
      <c r="C788" s="33"/>
      <c r="D788" s="24"/>
      <c r="E788" s="30" t="str">
        <f aca="false">IF($D788="","",IFERROR(INDEX(合同单位,MATCH($D788,合同键,0)),IFERROR(TRIM(LEFT($D788,FIND("｜",$D788)-1)),$D788)))</f>
        <v/>
      </c>
      <c r="F788" s="30" t="str">
        <f aca="false">IF($D788="","",IFERROR(INDEX(合同项目,MATCH($D788,合同键,0)),IFERROR(TRIM(MID($D788,FIND("｜",$D788)+1,99)),"")))</f>
        <v/>
      </c>
      <c r="G788" s="39"/>
      <c r="H788" s="25"/>
      <c r="I788" s="35" t="str">
        <f aca="false">IF($H788="","",IFERROR(INDEX(票据归类表,MATCH($H788,票据类型表,0)),"现金无票"))</f>
        <v/>
      </c>
      <c r="J788" s="25"/>
      <c r="K788" s="25"/>
      <c r="L788" s="31"/>
      <c r="M788" s="29" t="str">
        <f aca="false">IF($C788="","",YEAR($C788))</f>
        <v/>
      </c>
      <c r="N788" s="24"/>
      <c r="O788" s="35" t="str">
        <f aca="false">IF($C788="","",IF($D788="","★没选客户项目",IF(COUNTIF(合同键,$D788)=0,"★《维保合同》里没这个项目",IF(N($G788)&lt;=0,"★收款金额要填",IF($H788="","★票据类型要选",IF(AND($L788&lt;&gt;"",COUNTIF(应收单号,$L788)=0),"★关联的应收单号不存在",IF(AND($L788&lt;&gt;"",IFERROR(INDEX(应收键,MATCH($L788,应收单号,0)),"")&lt;&gt;$D788),"★关联单号不是这个客户的",IF(AND($L788&lt;&gt;"",ROUND(SUMIF(收款关联,$L788,收款金额)-IFERROR(INDEX(应收金额,MATCH($L788,应收单号,0)),0),2)&gt;0.001),"★指定冲销超过那张单的应收","OK"))))))))</f>
        <v/>
      </c>
    </row>
    <row r="789" customFormat="false" ht="15" hidden="false" customHeight="false" outlineLevel="0" collapsed="false">
      <c r="A789" s="29" t="str">
        <f aca="false">IF($C789="","",ROW()-4)</f>
        <v/>
      </c>
      <c r="B789" s="35" t="str">
        <f aca="false">IF($C789="","","SK"&amp;TEXT($C789,"yyyymm")&amp;"-"&amp;TEXT(ROW()-4,"0000"))</f>
        <v/>
      </c>
      <c r="C789" s="33"/>
      <c r="D789" s="24"/>
      <c r="E789" s="30" t="str">
        <f aca="false">IF($D789="","",IFERROR(INDEX(合同单位,MATCH($D789,合同键,0)),IFERROR(TRIM(LEFT($D789,FIND("｜",$D789)-1)),$D789)))</f>
        <v/>
      </c>
      <c r="F789" s="30" t="str">
        <f aca="false">IF($D789="","",IFERROR(INDEX(合同项目,MATCH($D789,合同键,0)),IFERROR(TRIM(MID($D789,FIND("｜",$D789)+1,99)),"")))</f>
        <v/>
      </c>
      <c r="G789" s="39"/>
      <c r="H789" s="25"/>
      <c r="I789" s="35" t="str">
        <f aca="false">IF($H789="","",IFERROR(INDEX(票据归类表,MATCH($H789,票据类型表,0)),"现金无票"))</f>
        <v/>
      </c>
      <c r="J789" s="25"/>
      <c r="K789" s="25"/>
      <c r="L789" s="31"/>
      <c r="M789" s="29" t="str">
        <f aca="false">IF($C789="","",YEAR($C789))</f>
        <v/>
      </c>
      <c r="N789" s="24"/>
      <c r="O789" s="35" t="str">
        <f aca="false">IF($C789="","",IF($D789="","★没选客户项目",IF(COUNTIF(合同键,$D789)=0,"★《维保合同》里没这个项目",IF(N($G789)&lt;=0,"★收款金额要填",IF($H789="","★票据类型要选",IF(AND($L789&lt;&gt;"",COUNTIF(应收单号,$L789)=0),"★关联的应收单号不存在",IF(AND($L789&lt;&gt;"",IFERROR(INDEX(应收键,MATCH($L789,应收单号,0)),"")&lt;&gt;$D789),"★关联单号不是这个客户的",IF(AND($L789&lt;&gt;"",ROUND(SUMIF(收款关联,$L789,收款金额)-IFERROR(INDEX(应收金额,MATCH($L789,应收单号,0)),0),2)&gt;0.001),"★指定冲销超过那张单的应收","OK"))))))))</f>
        <v/>
      </c>
    </row>
    <row r="790" customFormat="false" ht="15" hidden="false" customHeight="false" outlineLevel="0" collapsed="false">
      <c r="A790" s="29" t="str">
        <f aca="false">IF($C790="","",ROW()-4)</f>
        <v/>
      </c>
      <c r="B790" s="35" t="str">
        <f aca="false">IF($C790="","","SK"&amp;TEXT($C790,"yyyymm")&amp;"-"&amp;TEXT(ROW()-4,"0000"))</f>
        <v/>
      </c>
      <c r="C790" s="33"/>
      <c r="D790" s="24"/>
      <c r="E790" s="30" t="str">
        <f aca="false">IF($D790="","",IFERROR(INDEX(合同单位,MATCH($D790,合同键,0)),IFERROR(TRIM(LEFT($D790,FIND("｜",$D790)-1)),$D790)))</f>
        <v/>
      </c>
      <c r="F790" s="30" t="str">
        <f aca="false">IF($D790="","",IFERROR(INDEX(合同项目,MATCH($D790,合同键,0)),IFERROR(TRIM(MID($D790,FIND("｜",$D790)+1,99)),"")))</f>
        <v/>
      </c>
      <c r="G790" s="39"/>
      <c r="H790" s="25"/>
      <c r="I790" s="35" t="str">
        <f aca="false">IF($H790="","",IFERROR(INDEX(票据归类表,MATCH($H790,票据类型表,0)),"现金无票"))</f>
        <v/>
      </c>
      <c r="J790" s="25"/>
      <c r="K790" s="25"/>
      <c r="L790" s="31"/>
      <c r="M790" s="29" t="str">
        <f aca="false">IF($C790="","",YEAR($C790))</f>
        <v/>
      </c>
      <c r="N790" s="24"/>
      <c r="O790" s="35" t="str">
        <f aca="false">IF($C790="","",IF($D790="","★没选客户项目",IF(COUNTIF(合同键,$D790)=0,"★《维保合同》里没这个项目",IF(N($G790)&lt;=0,"★收款金额要填",IF($H790="","★票据类型要选",IF(AND($L790&lt;&gt;"",COUNTIF(应收单号,$L790)=0),"★关联的应收单号不存在",IF(AND($L790&lt;&gt;"",IFERROR(INDEX(应收键,MATCH($L790,应收单号,0)),"")&lt;&gt;$D790),"★关联单号不是这个客户的",IF(AND($L790&lt;&gt;"",ROUND(SUMIF(收款关联,$L790,收款金额)-IFERROR(INDEX(应收金额,MATCH($L790,应收单号,0)),0),2)&gt;0.001),"★指定冲销超过那张单的应收","OK"))))))))</f>
        <v/>
      </c>
    </row>
    <row r="791" customFormat="false" ht="15" hidden="false" customHeight="false" outlineLevel="0" collapsed="false">
      <c r="A791" s="29" t="str">
        <f aca="false">IF($C791="","",ROW()-4)</f>
        <v/>
      </c>
      <c r="B791" s="35" t="str">
        <f aca="false">IF($C791="","","SK"&amp;TEXT($C791,"yyyymm")&amp;"-"&amp;TEXT(ROW()-4,"0000"))</f>
        <v/>
      </c>
      <c r="C791" s="33"/>
      <c r="D791" s="24"/>
      <c r="E791" s="30" t="str">
        <f aca="false">IF($D791="","",IFERROR(INDEX(合同单位,MATCH($D791,合同键,0)),IFERROR(TRIM(LEFT($D791,FIND("｜",$D791)-1)),$D791)))</f>
        <v/>
      </c>
      <c r="F791" s="30" t="str">
        <f aca="false">IF($D791="","",IFERROR(INDEX(合同项目,MATCH($D791,合同键,0)),IFERROR(TRIM(MID($D791,FIND("｜",$D791)+1,99)),"")))</f>
        <v/>
      </c>
      <c r="G791" s="39"/>
      <c r="H791" s="25"/>
      <c r="I791" s="35" t="str">
        <f aca="false">IF($H791="","",IFERROR(INDEX(票据归类表,MATCH($H791,票据类型表,0)),"现金无票"))</f>
        <v/>
      </c>
      <c r="J791" s="25"/>
      <c r="K791" s="25"/>
      <c r="L791" s="31"/>
      <c r="M791" s="29" t="str">
        <f aca="false">IF($C791="","",YEAR($C791))</f>
        <v/>
      </c>
      <c r="N791" s="24"/>
      <c r="O791" s="35" t="str">
        <f aca="false">IF($C791="","",IF($D791="","★没选客户项目",IF(COUNTIF(合同键,$D791)=0,"★《维保合同》里没这个项目",IF(N($G791)&lt;=0,"★收款金额要填",IF($H791="","★票据类型要选",IF(AND($L791&lt;&gt;"",COUNTIF(应收单号,$L791)=0),"★关联的应收单号不存在",IF(AND($L791&lt;&gt;"",IFERROR(INDEX(应收键,MATCH($L791,应收单号,0)),"")&lt;&gt;$D791),"★关联单号不是这个客户的",IF(AND($L791&lt;&gt;"",ROUND(SUMIF(收款关联,$L791,收款金额)-IFERROR(INDEX(应收金额,MATCH($L791,应收单号,0)),0),2)&gt;0.001),"★指定冲销超过那张单的应收","OK"))))))))</f>
        <v/>
      </c>
    </row>
    <row r="792" customFormat="false" ht="15" hidden="false" customHeight="false" outlineLevel="0" collapsed="false">
      <c r="A792" s="29" t="str">
        <f aca="false">IF($C792="","",ROW()-4)</f>
        <v/>
      </c>
      <c r="B792" s="35" t="str">
        <f aca="false">IF($C792="","","SK"&amp;TEXT($C792,"yyyymm")&amp;"-"&amp;TEXT(ROW()-4,"0000"))</f>
        <v/>
      </c>
      <c r="C792" s="33"/>
      <c r="D792" s="24"/>
      <c r="E792" s="30" t="str">
        <f aca="false">IF($D792="","",IFERROR(INDEX(合同单位,MATCH($D792,合同键,0)),IFERROR(TRIM(LEFT($D792,FIND("｜",$D792)-1)),$D792)))</f>
        <v/>
      </c>
      <c r="F792" s="30" t="str">
        <f aca="false">IF($D792="","",IFERROR(INDEX(合同项目,MATCH($D792,合同键,0)),IFERROR(TRIM(MID($D792,FIND("｜",$D792)+1,99)),"")))</f>
        <v/>
      </c>
      <c r="G792" s="39"/>
      <c r="H792" s="25"/>
      <c r="I792" s="35" t="str">
        <f aca="false">IF($H792="","",IFERROR(INDEX(票据归类表,MATCH($H792,票据类型表,0)),"现金无票"))</f>
        <v/>
      </c>
      <c r="J792" s="25"/>
      <c r="K792" s="25"/>
      <c r="L792" s="31"/>
      <c r="M792" s="29" t="str">
        <f aca="false">IF($C792="","",YEAR($C792))</f>
        <v/>
      </c>
      <c r="N792" s="24"/>
      <c r="O792" s="35" t="str">
        <f aca="false">IF($C792="","",IF($D792="","★没选客户项目",IF(COUNTIF(合同键,$D792)=0,"★《维保合同》里没这个项目",IF(N($G792)&lt;=0,"★收款金额要填",IF($H792="","★票据类型要选",IF(AND($L792&lt;&gt;"",COUNTIF(应收单号,$L792)=0),"★关联的应收单号不存在",IF(AND($L792&lt;&gt;"",IFERROR(INDEX(应收键,MATCH($L792,应收单号,0)),"")&lt;&gt;$D792),"★关联单号不是这个客户的",IF(AND($L792&lt;&gt;"",ROUND(SUMIF(收款关联,$L792,收款金额)-IFERROR(INDEX(应收金额,MATCH($L792,应收单号,0)),0),2)&gt;0.001),"★指定冲销超过那张单的应收","OK"))))))))</f>
        <v/>
      </c>
    </row>
    <row r="793" customFormat="false" ht="15" hidden="false" customHeight="false" outlineLevel="0" collapsed="false">
      <c r="A793" s="29" t="str">
        <f aca="false">IF($C793="","",ROW()-4)</f>
        <v/>
      </c>
      <c r="B793" s="35" t="str">
        <f aca="false">IF($C793="","","SK"&amp;TEXT($C793,"yyyymm")&amp;"-"&amp;TEXT(ROW()-4,"0000"))</f>
        <v/>
      </c>
      <c r="C793" s="33"/>
      <c r="D793" s="24"/>
      <c r="E793" s="30" t="str">
        <f aca="false">IF($D793="","",IFERROR(INDEX(合同单位,MATCH($D793,合同键,0)),IFERROR(TRIM(LEFT($D793,FIND("｜",$D793)-1)),$D793)))</f>
        <v/>
      </c>
      <c r="F793" s="30" t="str">
        <f aca="false">IF($D793="","",IFERROR(INDEX(合同项目,MATCH($D793,合同键,0)),IFERROR(TRIM(MID($D793,FIND("｜",$D793)+1,99)),"")))</f>
        <v/>
      </c>
      <c r="G793" s="39"/>
      <c r="H793" s="25"/>
      <c r="I793" s="35" t="str">
        <f aca="false">IF($H793="","",IFERROR(INDEX(票据归类表,MATCH($H793,票据类型表,0)),"现金无票"))</f>
        <v/>
      </c>
      <c r="J793" s="25"/>
      <c r="K793" s="25"/>
      <c r="L793" s="31"/>
      <c r="M793" s="29" t="str">
        <f aca="false">IF($C793="","",YEAR($C793))</f>
        <v/>
      </c>
      <c r="N793" s="24"/>
      <c r="O793" s="35" t="str">
        <f aca="false">IF($C793="","",IF($D793="","★没选客户项目",IF(COUNTIF(合同键,$D793)=0,"★《维保合同》里没这个项目",IF(N($G793)&lt;=0,"★收款金额要填",IF($H793="","★票据类型要选",IF(AND($L793&lt;&gt;"",COUNTIF(应收单号,$L793)=0),"★关联的应收单号不存在",IF(AND($L793&lt;&gt;"",IFERROR(INDEX(应收键,MATCH($L793,应收单号,0)),"")&lt;&gt;$D793),"★关联单号不是这个客户的",IF(AND($L793&lt;&gt;"",ROUND(SUMIF(收款关联,$L793,收款金额)-IFERROR(INDEX(应收金额,MATCH($L793,应收单号,0)),0),2)&gt;0.001),"★指定冲销超过那张单的应收","OK"))))))))</f>
        <v/>
      </c>
    </row>
    <row r="794" customFormat="false" ht="15" hidden="false" customHeight="false" outlineLevel="0" collapsed="false">
      <c r="A794" s="29" t="str">
        <f aca="false">IF($C794="","",ROW()-4)</f>
        <v/>
      </c>
      <c r="B794" s="35" t="str">
        <f aca="false">IF($C794="","","SK"&amp;TEXT($C794,"yyyymm")&amp;"-"&amp;TEXT(ROW()-4,"0000"))</f>
        <v/>
      </c>
      <c r="C794" s="33"/>
      <c r="D794" s="24"/>
      <c r="E794" s="30" t="str">
        <f aca="false">IF($D794="","",IFERROR(INDEX(合同单位,MATCH($D794,合同键,0)),IFERROR(TRIM(LEFT($D794,FIND("｜",$D794)-1)),$D794)))</f>
        <v/>
      </c>
      <c r="F794" s="30" t="str">
        <f aca="false">IF($D794="","",IFERROR(INDEX(合同项目,MATCH($D794,合同键,0)),IFERROR(TRIM(MID($D794,FIND("｜",$D794)+1,99)),"")))</f>
        <v/>
      </c>
      <c r="G794" s="39"/>
      <c r="H794" s="25"/>
      <c r="I794" s="35" t="str">
        <f aca="false">IF($H794="","",IFERROR(INDEX(票据归类表,MATCH($H794,票据类型表,0)),"现金无票"))</f>
        <v/>
      </c>
      <c r="J794" s="25"/>
      <c r="K794" s="25"/>
      <c r="L794" s="31"/>
      <c r="M794" s="29" t="str">
        <f aca="false">IF($C794="","",YEAR($C794))</f>
        <v/>
      </c>
      <c r="N794" s="24"/>
      <c r="O794" s="35" t="str">
        <f aca="false">IF($C794="","",IF($D794="","★没选客户项目",IF(COUNTIF(合同键,$D794)=0,"★《维保合同》里没这个项目",IF(N($G794)&lt;=0,"★收款金额要填",IF($H794="","★票据类型要选",IF(AND($L794&lt;&gt;"",COUNTIF(应收单号,$L794)=0),"★关联的应收单号不存在",IF(AND($L794&lt;&gt;"",IFERROR(INDEX(应收键,MATCH($L794,应收单号,0)),"")&lt;&gt;$D794),"★关联单号不是这个客户的",IF(AND($L794&lt;&gt;"",ROUND(SUMIF(收款关联,$L794,收款金额)-IFERROR(INDEX(应收金额,MATCH($L794,应收单号,0)),0),2)&gt;0.001),"★指定冲销超过那张单的应收","OK"))))))))</f>
        <v/>
      </c>
    </row>
    <row r="795" customFormat="false" ht="15" hidden="false" customHeight="false" outlineLevel="0" collapsed="false">
      <c r="A795" s="29" t="str">
        <f aca="false">IF($C795="","",ROW()-4)</f>
        <v/>
      </c>
      <c r="B795" s="35" t="str">
        <f aca="false">IF($C795="","","SK"&amp;TEXT($C795,"yyyymm")&amp;"-"&amp;TEXT(ROW()-4,"0000"))</f>
        <v/>
      </c>
      <c r="C795" s="33"/>
      <c r="D795" s="24"/>
      <c r="E795" s="30" t="str">
        <f aca="false">IF($D795="","",IFERROR(INDEX(合同单位,MATCH($D795,合同键,0)),IFERROR(TRIM(LEFT($D795,FIND("｜",$D795)-1)),$D795)))</f>
        <v/>
      </c>
      <c r="F795" s="30" t="str">
        <f aca="false">IF($D795="","",IFERROR(INDEX(合同项目,MATCH($D795,合同键,0)),IFERROR(TRIM(MID($D795,FIND("｜",$D795)+1,99)),"")))</f>
        <v/>
      </c>
      <c r="G795" s="39"/>
      <c r="H795" s="25"/>
      <c r="I795" s="35" t="str">
        <f aca="false">IF($H795="","",IFERROR(INDEX(票据归类表,MATCH($H795,票据类型表,0)),"现金无票"))</f>
        <v/>
      </c>
      <c r="J795" s="25"/>
      <c r="K795" s="25"/>
      <c r="L795" s="31"/>
      <c r="M795" s="29" t="str">
        <f aca="false">IF($C795="","",YEAR($C795))</f>
        <v/>
      </c>
      <c r="N795" s="24"/>
      <c r="O795" s="35" t="str">
        <f aca="false">IF($C795="","",IF($D795="","★没选客户项目",IF(COUNTIF(合同键,$D795)=0,"★《维保合同》里没这个项目",IF(N($G795)&lt;=0,"★收款金额要填",IF($H795="","★票据类型要选",IF(AND($L795&lt;&gt;"",COUNTIF(应收单号,$L795)=0),"★关联的应收单号不存在",IF(AND($L795&lt;&gt;"",IFERROR(INDEX(应收键,MATCH($L795,应收单号,0)),"")&lt;&gt;$D795),"★关联单号不是这个客户的",IF(AND($L795&lt;&gt;"",ROUND(SUMIF(收款关联,$L795,收款金额)-IFERROR(INDEX(应收金额,MATCH($L795,应收单号,0)),0),2)&gt;0.001),"★指定冲销超过那张单的应收","OK"))))))))</f>
        <v/>
      </c>
    </row>
    <row r="796" customFormat="false" ht="15" hidden="false" customHeight="false" outlineLevel="0" collapsed="false">
      <c r="A796" s="29" t="str">
        <f aca="false">IF($C796="","",ROW()-4)</f>
        <v/>
      </c>
      <c r="B796" s="35" t="str">
        <f aca="false">IF($C796="","","SK"&amp;TEXT($C796,"yyyymm")&amp;"-"&amp;TEXT(ROW()-4,"0000"))</f>
        <v/>
      </c>
      <c r="C796" s="33"/>
      <c r="D796" s="24"/>
      <c r="E796" s="30" t="str">
        <f aca="false">IF($D796="","",IFERROR(INDEX(合同单位,MATCH($D796,合同键,0)),IFERROR(TRIM(LEFT($D796,FIND("｜",$D796)-1)),$D796)))</f>
        <v/>
      </c>
      <c r="F796" s="30" t="str">
        <f aca="false">IF($D796="","",IFERROR(INDEX(合同项目,MATCH($D796,合同键,0)),IFERROR(TRIM(MID($D796,FIND("｜",$D796)+1,99)),"")))</f>
        <v/>
      </c>
      <c r="G796" s="39"/>
      <c r="H796" s="25"/>
      <c r="I796" s="35" t="str">
        <f aca="false">IF($H796="","",IFERROR(INDEX(票据归类表,MATCH($H796,票据类型表,0)),"现金无票"))</f>
        <v/>
      </c>
      <c r="J796" s="25"/>
      <c r="K796" s="25"/>
      <c r="L796" s="31"/>
      <c r="M796" s="29" t="str">
        <f aca="false">IF($C796="","",YEAR($C796))</f>
        <v/>
      </c>
      <c r="N796" s="24"/>
      <c r="O796" s="35" t="str">
        <f aca="false">IF($C796="","",IF($D796="","★没选客户项目",IF(COUNTIF(合同键,$D796)=0,"★《维保合同》里没这个项目",IF(N($G796)&lt;=0,"★收款金额要填",IF($H796="","★票据类型要选",IF(AND($L796&lt;&gt;"",COUNTIF(应收单号,$L796)=0),"★关联的应收单号不存在",IF(AND($L796&lt;&gt;"",IFERROR(INDEX(应收键,MATCH($L796,应收单号,0)),"")&lt;&gt;$D796),"★关联单号不是这个客户的",IF(AND($L796&lt;&gt;"",ROUND(SUMIF(收款关联,$L796,收款金额)-IFERROR(INDEX(应收金额,MATCH($L796,应收单号,0)),0),2)&gt;0.001),"★指定冲销超过那张单的应收","OK"))))))))</f>
        <v/>
      </c>
    </row>
    <row r="797" customFormat="false" ht="15" hidden="false" customHeight="false" outlineLevel="0" collapsed="false">
      <c r="A797" s="29" t="str">
        <f aca="false">IF($C797="","",ROW()-4)</f>
        <v/>
      </c>
      <c r="B797" s="35" t="str">
        <f aca="false">IF($C797="","","SK"&amp;TEXT($C797,"yyyymm")&amp;"-"&amp;TEXT(ROW()-4,"0000"))</f>
        <v/>
      </c>
      <c r="C797" s="33"/>
      <c r="D797" s="24"/>
      <c r="E797" s="30" t="str">
        <f aca="false">IF($D797="","",IFERROR(INDEX(合同单位,MATCH($D797,合同键,0)),IFERROR(TRIM(LEFT($D797,FIND("｜",$D797)-1)),$D797)))</f>
        <v/>
      </c>
      <c r="F797" s="30" t="str">
        <f aca="false">IF($D797="","",IFERROR(INDEX(合同项目,MATCH($D797,合同键,0)),IFERROR(TRIM(MID($D797,FIND("｜",$D797)+1,99)),"")))</f>
        <v/>
      </c>
      <c r="G797" s="39"/>
      <c r="H797" s="25"/>
      <c r="I797" s="35" t="str">
        <f aca="false">IF($H797="","",IFERROR(INDEX(票据归类表,MATCH($H797,票据类型表,0)),"现金无票"))</f>
        <v/>
      </c>
      <c r="J797" s="25"/>
      <c r="K797" s="25"/>
      <c r="L797" s="31"/>
      <c r="M797" s="29" t="str">
        <f aca="false">IF($C797="","",YEAR($C797))</f>
        <v/>
      </c>
      <c r="N797" s="24"/>
      <c r="O797" s="35" t="str">
        <f aca="false">IF($C797="","",IF($D797="","★没选客户项目",IF(COUNTIF(合同键,$D797)=0,"★《维保合同》里没这个项目",IF(N($G797)&lt;=0,"★收款金额要填",IF($H797="","★票据类型要选",IF(AND($L797&lt;&gt;"",COUNTIF(应收单号,$L797)=0),"★关联的应收单号不存在",IF(AND($L797&lt;&gt;"",IFERROR(INDEX(应收键,MATCH($L797,应收单号,0)),"")&lt;&gt;$D797),"★关联单号不是这个客户的",IF(AND($L797&lt;&gt;"",ROUND(SUMIF(收款关联,$L797,收款金额)-IFERROR(INDEX(应收金额,MATCH($L797,应收单号,0)),0),2)&gt;0.001),"★指定冲销超过那张单的应收","OK"))))))))</f>
        <v/>
      </c>
    </row>
    <row r="798" customFormat="false" ht="15" hidden="false" customHeight="false" outlineLevel="0" collapsed="false">
      <c r="A798" s="29" t="str">
        <f aca="false">IF($C798="","",ROW()-4)</f>
        <v/>
      </c>
      <c r="B798" s="35" t="str">
        <f aca="false">IF($C798="","","SK"&amp;TEXT($C798,"yyyymm")&amp;"-"&amp;TEXT(ROW()-4,"0000"))</f>
        <v/>
      </c>
      <c r="C798" s="33"/>
      <c r="D798" s="24"/>
      <c r="E798" s="30" t="str">
        <f aca="false">IF($D798="","",IFERROR(INDEX(合同单位,MATCH($D798,合同键,0)),IFERROR(TRIM(LEFT($D798,FIND("｜",$D798)-1)),$D798)))</f>
        <v/>
      </c>
      <c r="F798" s="30" t="str">
        <f aca="false">IF($D798="","",IFERROR(INDEX(合同项目,MATCH($D798,合同键,0)),IFERROR(TRIM(MID($D798,FIND("｜",$D798)+1,99)),"")))</f>
        <v/>
      </c>
      <c r="G798" s="39"/>
      <c r="H798" s="25"/>
      <c r="I798" s="35" t="str">
        <f aca="false">IF($H798="","",IFERROR(INDEX(票据归类表,MATCH($H798,票据类型表,0)),"现金无票"))</f>
        <v/>
      </c>
      <c r="J798" s="25"/>
      <c r="K798" s="25"/>
      <c r="L798" s="31"/>
      <c r="M798" s="29" t="str">
        <f aca="false">IF($C798="","",YEAR($C798))</f>
        <v/>
      </c>
      <c r="N798" s="24"/>
      <c r="O798" s="35" t="str">
        <f aca="false">IF($C798="","",IF($D798="","★没选客户项目",IF(COUNTIF(合同键,$D798)=0,"★《维保合同》里没这个项目",IF(N($G798)&lt;=0,"★收款金额要填",IF($H798="","★票据类型要选",IF(AND($L798&lt;&gt;"",COUNTIF(应收单号,$L798)=0),"★关联的应收单号不存在",IF(AND($L798&lt;&gt;"",IFERROR(INDEX(应收键,MATCH($L798,应收单号,0)),"")&lt;&gt;$D798),"★关联单号不是这个客户的",IF(AND($L798&lt;&gt;"",ROUND(SUMIF(收款关联,$L798,收款金额)-IFERROR(INDEX(应收金额,MATCH($L798,应收单号,0)),0),2)&gt;0.001),"★指定冲销超过那张单的应收","OK"))))))))</f>
        <v/>
      </c>
    </row>
    <row r="799" customFormat="false" ht="15" hidden="false" customHeight="false" outlineLevel="0" collapsed="false">
      <c r="A799" s="29" t="str">
        <f aca="false">IF($C799="","",ROW()-4)</f>
        <v/>
      </c>
      <c r="B799" s="35" t="str">
        <f aca="false">IF($C799="","","SK"&amp;TEXT($C799,"yyyymm")&amp;"-"&amp;TEXT(ROW()-4,"0000"))</f>
        <v/>
      </c>
      <c r="C799" s="33"/>
      <c r="D799" s="24"/>
      <c r="E799" s="30" t="str">
        <f aca="false">IF($D799="","",IFERROR(INDEX(合同单位,MATCH($D799,合同键,0)),IFERROR(TRIM(LEFT($D799,FIND("｜",$D799)-1)),$D799)))</f>
        <v/>
      </c>
      <c r="F799" s="30" t="str">
        <f aca="false">IF($D799="","",IFERROR(INDEX(合同项目,MATCH($D799,合同键,0)),IFERROR(TRIM(MID($D799,FIND("｜",$D799)+1,99)),"")))</f>
        <v/>
      </c>
      <c r="G799" s="39"/>
      <c r="H799" s="25"/>
      <c r="I799" s="35" t="str">
        <f aca="false">IF($H799="","",IFERROR(INDEX(票据归类表,MATCH($H799,票据类型表,0)),"现金无票"))</f>
        <v/>
      </c>
      <c r="J799" s="25"/>
      <c r="K799" s="25"/>
      <c r="L799" s="31"/>
      <c r="M799" s="29" t="str">
        <f aca="false">IF($C799="","",YEAR($C799))</f>
        <v/>
      </c>
      <c r="N799" s="24"/>
      <c r="O799" s="35" t="str">
        <f aca="false">IF($C799="","",IF($D799="","★没选客户项目",IF(COUNTIF(合同键,$D799)=0,"★《维保合同》里没这个项目",IF(N($G799)&lt;=0,"★收款金额要填",IF($H799="","★票据类型要选",IF(AND($L799&lt;&gt;"",COUNTIF(应收单号,$L799)=0),"★关联的应收单号不存在",IF(AND($L799&lt;&gt;"",IFERROR(INDEX(应收键,MATCH($L799,应收单号,0)),"")&lt;&gt;$D799),"★关联单号不是这个客户的",IF(AND($L799&lt;&gt;"",ROUND(SUMIF(收款关联,$L799,收款金额)-IFERROR(INDEX(应收金额,MATCH($L799,应收单号,0)),0),2)&gt;0.001),"★指定冲销超过那张单的应收","OK"))))))))</f>
        <v/>
      </c>
    </row>
    <row r="800" customFormat="false" ht="15" hidden="false" customHeight="false" outlineLevel="0" collapsed="false">
      <c r="A800" s="29" t="str">
        <f aca="false">IF($C800="","",ROW()-4)</f>
        <v/>
      </c>
      <c r="B800" s="35" t="str">
        <f aca="false">IF($C800="","","SK"&amp;TEXT($C800,"yyyymm")&amp;"-"&amp;TEXT(ROW()-4,"0000"))</f>
        <v/>
      </c>
      <c r="C800" s="33"/>
      <c r="D800" s="24"/>
      <c r="E800" s="30" t="str">
        <f aca="false">IF($D800="","",IFERROR(INDEX(合同单位,MATCH($D800,合同键,0)),IFERROR(TRIM(LEFT($D800,FIND("｜",$D800)-1)),$D800)))</f>
        <v/>
      </c>
      <c r="F800" s="30" t="str">
        <f aca="false">IF($D800="","",IFERROR(INDEX(合同项目,MATCH($D800,合同键,0)),IFERROR(TRIM(MID($D800,FIND("｜",$D800)+1,99)),"")))</f>
        <v/>
      </c>
      <c r="G800" s="39"/>
      <c r="H800" s="25"/>
      <c r="I800" s="35" t="str">
        <f aca="false">IF($H800="","",IFERROR(INDEX(票据归类表,MATCH($H800,票据类型表,0)),"现金无票"))</f>
        <v/>
      </c>
      <c r="J800" s="25"/>
      <c r="K800" s="25"/>
      <c r="L800" s="31"/>
      <c r="M800" s="29" t="str">
        <f aca="false">IF($C800="","",YEAR($C800))</f>
        <v/>
      </c>
      <c r="N800" s="24"/>
      <c r="O800" s="35" t="str">
        <f aca="false">IF($C800="","",IF($D800="","★没选客户项目",IF(COUNTIF(合同键,$D800)=0,"★《维保合同》里没这个项目",IF(N($G800)&lt;=0,"★收款金额要填",IF($H800="","★票据类型要选",IF(AND($L800&lt;&gt;"",COUNTIF(应收单号,$L800)=0),"★关联的应收单号不存在",IF(AND($L800&lt;&gt;"",IFERROR(INDEX(应收键,MATCH($L800,应收单号,0)),"")&lt;&gt;$D800),"★关联单号不是这个客户的",IF(AND($L800&lt;&gt;"",ROUND(SUMIF(收款关联,$L800,收款金额)-IFERROR(INDEX(应收金额,MATCH($L800,应收单号,0)),0),2)&gt;0.001),"★指定冲销超过那张单的应收","OK"))))))))</f>
        <v/>
      </c>
    </row>
    <row r="801" customFormat="false" ht="15" hidden="false" customHeight="false" outlineLevel="0" collapsed="false">
      <c r="A801" s="29" t="str">
        <f aca="false">IF($C801="","",ROW()-4)</f>
        <v/>
      </c>
      <c r="B801" s="35" t="str">
        <f aca="false">IF($C801="","","SK"&amp;TEXT($C801,"yyyymm")&amp;"-"&amp;TEXT(ROW()-4,"0000"))</f>
        <v/>
      </c>
      <c r="C801" s="33"/>
      <c r="D801" s="24"/>
      <c r="E801" s="30" t="str">
        <f aca="false">IF($D801="","",IFERROR(INDEX(合同单位,MATCH($D801,合同键,0)),IFERROR(TRIM(LEFT($D801,FIND("｜",$D801)-1)),$D801)))</f>
        <v/>
      </c>
      <c r="F801" s="30" t="str">
        <f aca="false">IF($D801="","",IFERROR(INDEX(合同项目,MATCH($D801,合同键,0)),IFERROR(TRIM(MID($D801,FIND("｜",$D801)+1,99)),"")))</f>
        <v/>
      </c>
      <c r="G801" s="39"/>
      <c r="H801" s="25"/>
      <c r="I801" s="35" t="str">
        <f aca="false">IF($H801="","",IFERROR(INDEX(票据归类表,MATCH($H801,票据类型表,0)),"现金无票"))</f>
        <v/>
      </c>
      <c r="J801" s="25"/>
      <c r="K801" s="25"/>
      <c r="L801" s="31"/>
      <c r="M801" s="29" t="str">
        <f aca="false">IF($C801="","",YEAR($C801))</f>
        <v/>
      </c>
      <c r="N801" s="24"/>
      <c r="O801" s="35" t="str">
        <f aca="false">IF($C801="","",IF($D801="","★没选客户项目",IF(COUNTIF(合同键,$D801)=0,"★《维保合同》里没这个项目",IF(N($G801)&lt;=0,"★收款金额要填",IF($H801="","★票据类型要选",IF(AND($L801&lt;&gt;"",COUNTIF(应收单号,$L801)=0),"★关联的应收单号不存在",IF(AND($L801&lt;&gt;"",IFERROR(INDEX(应收键,MATCH($L801,应收单号,0)),"")&lt;&gt;$D801),"★关联单号不是这个客户的",IF(AND($L801&lt;&gt;"",ROUND(SUMIF(收款关联,$L801,收款金额)-IFERROR(INDEX(应收金额,MATCH($L801,应收单号,0)),0),2)&gt;0.001),"★指定冲销超过那张单的应收","OK"))))))))</f>
        <v/>
      </c>
    </row>
    <row r="802" customFormat="false" ht="15" hidden="false" customHeight="false" outlineLevel="0" collapsed="false">
      <c r="A802" s="29" t="str">
        <f aca="false">IF($C802="","",ROW()-4)</f>
        <v/>
      </c>
      <c r="B802" s="35" t="str">
        <f aca="false">IF($C802="","","SK"&amp;TEXT($C802,"yyyymm")&amp;"-"&amp;TEXT(ROW()-4,"0000"))</f>
        <v/>
      </c>
      <c r="C802" s="33"/>
      <c r="D802" s="24"/>
      <c r="E802" s="30" t="str">
        <f aca="false">IF($D802="","",IFERROR(INDEX(合同单位,MATCH($D802,合同键,0)),IFERROR(TRIM(LEFT($D802,FIND("｜",$D802)-1)),$D802)))</f>
        <v/>
      </c>
      <c r="F802" s="30" t="str">
        <f aca="false">IF($D802="","",IFERROR(INDEX(合同项目,MATCH($D802,合同键,0)),IFERROR(TRIM(MID($D802,FIND("｜",$D802)+1,99)),"")))</f>
        <v/>
      </c>
      <c r="G802" s="39"/>
      <c r="H802" s="25"/>
      <c r="I802" s="35" t="str">
        <f aca="false">IF($H802="","",IFERROR(INDEX(票据归类表,MATCH($H802,票据类型表,0)),"现金无票"))</f>
        <v/>
      </c>
      <c r="J802" s="25"/>
      <c r="K802" s="25"/>
      <c r="L802" s="31"/>
      <c r="M802" s="29" t="str">
        <f aca="false">IF($C802="","",YEAR($C802))</f>
        <v/>
      </c>
      <c r="N802" s="24"/>
      <c r="O802" s="35" t="str">
        <f aca="false">IF($C802="","",IF($D802="","★没选客户项目",IF(COUNTIF(合同键,$D802)=0,"★《维保合同》里没这个项目",IF(N($G802)&lt;=0,"★收款金额要填",IF($H802="","★票据类型要选",IF(AND($L802&lt;&gt;"",COUNTIF(应收单号,$L802)=0),"★关联的应收单号不存在",IF(AND($L802&lt;&gt;"",IFERROR(INDEX(应收键,MATCH($L802,应收单号,0)),"")&lt;&gt;$D802),"★关联单号不是这个客户的",IF(AND($L802&lt;&gt;"",ROUND(SUMIF(收款关联,$L802,收款金额)-IFERROR(INDEX(应收金额,MATCH($L802,应收单号,0)),0),2)&gt;0.001),"★指定冲销超过那张单的应收","OK"))))))))</f>
        <v/>
      </c>
    </row>
    <row r="803" customFormat="false" ht="15" hidden="false" customHeight="false" outlineLevel="0" collapsed="false">
      <c r="A803" s="29" t="str">
        <f aca="false">IF($C803="","",ROW()-4)</f>
        <v/>
      </c>
      <c r="B803" s="35" t="str">
        <f aca="false">IF($C803="","","SK"&amp;TEXT($C803,"yyyymm")&amp;"-"&amp;TEXT(ROW()-4,"0000"))</f>
        <v/>
      </c>
      <c r="C803" s="33"/>
      <c r="D803" s="24"/>
      <c r="E803" s="30" t="str">
        <f aca="false">IF($D803="","",IFERROR(INDEX(合同单位,MATCH($D803,合同键,0)),IFERROR(TRIM(LEFT($D803,FIND("｜",$D803)-1)),$D803)))</f>
        <v/>
      </c>
      <c r="F803" s="30" t="str">
        <f aca="false">IF($D803="","",IFERROR(INDEX(合同项目,MATCH($D803,合同键,0)),IFERROR(TRIM(MID($D803,FIND("｜",$D803)+1,99)),"")))</f>
        <v/>
      </c>
      <c r="G803" s="39"/>
      <c r="H803" s="25"/>
      <c r="I803" s="35" t="str">
        <f aca="false">IF($H803="","",IFERROR(INDEX(票据归类表,MATCH($H803,票据类型表,0)),"现金无票"))</f>
        <v/>
      </c>
      <c r="J803" s="25"/>
      <c r="K803" s="25"/>
      <c r="L803" s="31"/>
      <c r="M803" s="29" t="str">
        <f aca="false">IF($C803="","",YEAR($C803))</f>
        <v/>
      </c>
      <c r="N803" s="24"/>
      <c r="O803" s="35" t="str">
        <f aca="false">IF($C803="","",IF($D803="","★没选客户项目",IF(COUNTIF(合同键,$D803)=0,"★《维保合同》里没这个项目",IF(N($G803)&lt;=0,"★收款金额要填",IF($H803="","★票据类型要选",IF(AND($L803&lt;&gt;"",COUNTIF(应收单号,$L803)=0),"★关联的应收单号不存在",IF(AND($L803&lt;&gt;"",IFERROR(INDEX(应收键,MATCH($L803,应收单号,0)),"")&lt;&gt;$D803),"★关联单号不是这个客户的",IF(AND($L803&lt;&gt;"",ROUND(SUMIF(收款关联,$L803,收款金额)-IFERROR(INDEX(应收金额,MATCH($L803,应收单号,0)),0),2)&gt;0.001),"★指定冲销超过那张单的应收","OK"))))))))</f>
        <v/>
      </c>
    </row>
    <row r="804" customFormat="false" ht="15" hidden="false" customHeight="false" outlineLevel="0" collapsed="false">
      <c r="A804" s="29" t="str">
        <f aca="false">IF($C804="","",ROW()-4)</f>
        <v/>
      </c>
      <c r="B804" s="35" t="str">
        <f aca="false">IF($C804="","","SK"&amp;TEXT($C804,"yyyymm")&amp;"-"&amp;TEXT(ROW()-4,"0000"))</f>
        <v/>
      </c>
      <c r="C804" s="33"/>
      <c r="D804" s="24"/>
      <c r="E804" s="30" t="str">
        <f aca="false">IF($D804="","",IFERROR(INDEX(合同单位,MATCH($D804,合同键,0)),IFERROR(TRIM(LEFT($D804,FIND("｜",$D804)-1)),$D804)))</f>
        <v/>
      </c>
      <c r="F804" s="30" t="str">
        <f aca="false">IF($D804="","",IFERROR(INDEX(合同项目,MATCH($D804,合同键,0)),IFERROR(TRIM(MID($D804,FIND("｜",$D804)+1,99)),"")))</f>
        <v/>
      </c>
      <c r="G804" s="39"/>
      <c r="H804" s="25"/>
      <c r="I804" s="35" t="str">
        <f aca="false">IF($H804="","",IFERROR(INDEX(票据归类表,MATCH($H804,票据类型表,0)),"现金无票"))</f>
        <v/>
      </c>
      <c r="J804" s="25"/>
      <c r="K804" s="25"/>
      <c r="L804" s="31"/>
      <c r="M804" s="29" t="str">
        <f aca="false">IF($C804="","",YEAR($C804))</f>
        <v/>
      </c>
      <c r="N804" s="24"/>
      <c r="O804" s="35" t="str">
        <f aca="false">IF($C804="","",IF($D804="","★没选客户项目",IF(COUNTIF(合同键,$D804)=0,"★《维保合同》里没这个项目",IF(N($G804)&lt;=0,"★收款金额要填",IF($H804="","★票据类型要选",IF(AND($L804&lt;&gt;"",COUNTIF(应收单号,$L804)=0),"★关联的应收单号不存在",IF(AND($L804&lt;&gt;"",IFERROR(INDEX(应收键,MATCH($L804,应收单号,0)),"")&lt;&gt;$D804),"★关联单号不是这个客户的",IF(AND($L804&lt;&gt;"",ROUND(SUMIF(收款关联,$L804,收款金额)-IFERROR(INDEX(应收金额,MATCH($L804,应收单号,0)),0),2)&gt;0.001),"★指定冲销超过那张单的应收","OK"))))))))</f>
        <v/>
      </c>
    </row>
    <row r="805" customFormat="false" ht="15" hidden="false" customHeight="false" outlineLevel="0" collapsed="false">
      <c r="A805" s="29" t="str">
        <f aca="false">IF($C805="","",ROW()-4)</f>
        <v/>
      </c>
      <c r="B805" s="35" t="str">
        <f aca="false">IF($C805="","","SK"&amp;TEXT($C805,"yyyymm")&amp;"-"&amp;TEXT(ROW()-4,"0000"))</f>
        <v/>
      </c>
      <c r="C805" s="33"/>
      <c r="D805" s="24"/>
      <c r="E805" s="30" t="str">
        <f aca="false">IF($D805="","",IFERROR(INDEX(合同单位,MATCH($D805,合同键,0)),IFERROR(TRIM(LEFT($D805,FIND("｜",$D805)-1)),$D805)))</f>
        <v/>
      </c>
      <c r="F805" s="30" t="str">
        <f aca="false">IF($D805="","",IFERROR(INDEX(合同项目,MATCH($D805,合同键,0)),IFERROR(TRIM(MID($D805,FIND("｜",$D805)+1,99)),"")))</f>
        <v/>
      </c>
      <c r="G805" s="39"/>
      <c r="H805" s="25"/>
      <c r="I805" s="35" t="str">
        <f aca="false">IF($H805="","",IFERROR(INDEX(票据归类表,MATCH($H805,票据类型表,0)),"现金无票"))</f>
        <v/>
      </c>
      <c r="J805" s="25"/>
      <c r="K805" s="25"/>
      <c r="L805" s="31"/>
      <c r="M805" s="29" t="str">
        <f aca="false">IF($C805="","",YEAR($C805))</f>
        <v/>
      </c>
      <c r="N805" s="24"/>
      <c r="O805" s="35" t="str">
        <f aca="false">IF($C805="","",IF($D805="","★没选客户项目",IF(COUNTIF(合同键,$D805)=0,"★《维保合同》里没这个项目",IF(N($G805)&lt;=0,"★收款金额要填",IF($H805="","★票据类型要选",IF(AND($L805&lt;&gt;"",COUNTIF(应收单号,$L805)=0),"★关联的应收单号不存在",IF(AND($L805&lt;&gt;"",IFERROR(INDEX(应收键,MATCH($L805,应收单号,0)),"")&lt;&gt;$D805),"★关联单号不是这个客户的",IF(AND($L805&lt;&gt;"",ROUND(SUMIF(收款关联,$L805,收款金额)-IFERROR(INDEX(应收金额,MATCH($L805,应收单号,0)),0),2)&gt;0.001),"★指定冲销超过那张单的应收","OK"))))))))</f>
        <v/>
      </c>
    </row>
    <row r="806" customFormat="false" ht="15" hidden="false" customHeight="false" outlineLevel="0" collapsed="false">
      <c r="A806" s="29" t="str">
        <f aca="false">IF($C806="","",ROW()-4)</f>
        <v/>
      </c>
      <c r="B806" s="35" t="str">
        <f aca="false">IF($C806="","","SK"&amp;TEXT($C806,"yyyymm")&amp;"-"&amp;TEXT(ROW()-4,"0000"))</f>
        <v/>
      </c>
      <c r="C806" s="33"/>
      <c r="D806" s="24"/>
      <c r="E806" s="30" t="str">
        <f aca="false">IF($D806="","",IFERROR(INDEX(合同单位,MATCH($D806,合同键,0)),IFERROR(TRIM(LEFT($D806,FIND("｜",$D806)-1)),$D806)))</f>
        <v/>
      </c>
      <c r="F806" s="30" t="str">
        <f aca="false">IF($D806="","",IFERROR(INDEX(合同项目,MATCH($D806,合同键,0)),IFERROR(TRIM(MID($D806,FIND("｜",$D806)+1,99)),"")))</f>
        <v/>
      </c>
      <c r="G806" s="39"/>
      <c r="H806" s="25"/>
      <c r="I806" s="35" t="str">
        <f aca="false">IF($H806="","",IFERROR(INDEX(票据归类表,MATCH($H806,票据类型表,0)),"现金无票"))</f>
        <v/>
      </c>
      <c r="J806" s="25"/>
      <c r="K806" s="25"/>
      <c r="L806" s="31"/>
      <c r="M806" s="29" t="str">
        <f aca="false">IF($C806="","",YEAR($C806))</f>
        <v/>
      </c>
      <c r="N806" s="24"/>
      <c r="O806" s="35" t="str">
        <f aca="false">IF($C806="","",IF($D806="","★没选客户项目",IF(COUNTIF(合同键,$D806)=0,"★《维保合同》里没这个项目",IF(N($G806)&lt;=0,"★收款金额要填",IF($H806="","★票据类型要选",IF(AND($L806&lt;&gt;"",COUNTIF(应收单号,$L806)=0),"★关联的应收单号不存在",IF(AND($L806&lt;&gt;"",IFERROR(INDEX(应收键,MATCH($L806,应收单号,0)),"")&lt;&gt;$D806),"★关联单号不是这个客户的",IF(AND($L806&lt;&gt;"",ROUND(SUMIF(收款关联,$L806,收款金额)-IFERROR(INDEX(应收金额,MATCH($L806,应收单号,0)),0),2)&gt;0.001),"★指定冲销超过那张单的应收","OK"))))))))</f>
        <v/>
      </c>
    </row>
    <row r="807" customFormat="false" ht="15" hidden="false" customHeight="false" outlineLevel="0" collapsed="false">
      <c r="A807" s="29" t="str">
        <f aca="false">IF($C807="","",ROW()-4)</f>
        <v/>
      </c>
      <c r="B807" s="35" t="str">
        <f aca="false">IF($C807="","","SK"&amp;TEXT($C807,"yyyymm")&amp;"-"&amp;TEXT(ROW()-4,"0000"))</f>
        <v/>
      </c>
      <c r="C807" s="33"/>
      <c r="D807" s="24"/>
      <c r="E807" s="30" t="str">
        <f aca="false">IF($D807="","",IFERROR(INDEX(合同单位,MATCH($D807,合同键,0)),IFERROR(TRIM(LEFT($D807,FIND("｜",$D807)-1)),$D807)))</f>
        <v/>
      </c>
      <c r="F807" s="30" t="str">
        <f aca="false">IF($D807="","",IFERROR(INDEX(合同项目,MATCH($D807,合同键,0)),IFERROR(TRIM(MID($D807,FIND("｜",$D807)+1,99)),"")))</f>
        <v/>
      </c>
      <c r="G807" s="39"/>
      <c r="H807" s="25"/>
      <c r="I807" s="35" t="str">
        <f aca="false">IF($H807="","",IFERROR(INDEX(票据归类表,MATCH($H807,票据类型表,0)),"现金无票"))</f>
        <v/>
      </c>
      <c r="J807" s="25"/>
      <c r="K807" s="25"/>
      <c r="L807" s="31"/>
      <c r="M807" s="29" t="str">
        <f aca="false">IF($C807="","",YEAR($C807))</f>
        <v/>
      </c>
      <c r="N807" s="24"/>
      <c r="O807" s="35" t="str">
        <f aca="false">IF($C807="","",IF($D807="","★没选客户项目",IF(COUNTIF(合同键,$D807)=0,"★《维保合同》里没这个项目",IF(N($G807)&lt;=0,"★收款金额要填",IF($H807="","★票据类型要选",IF(AND($L807&lt;&gt;"",COUNTIF(应收单号,$L807)=0),"★关联的应收单号不存在",IF(AND($L807&lt;&gt;"",IFERROR(INDEX(应收键,MATCH($L807,应收单号,0)),"")&lt;&gt;$D807),"★关联单号不是这个客户的",IF(AND($L807&lt;&gt;"",ROUND(SUMIF(收款关联,$L807,收款金额)-IFERROR(INDEX(应收金额,MATCH($L807,应收单号,0)),0),2)&gt;0.001),"★指定冲销超过那张单的应收","OK"))))))))</f>
        <v/>
      </c>
    </row>
    <row r="808" customFormat="false" ht="15" hidden="false" customHeight="false" outlineLevel="0" collapsed="false">
      <c r="A808" s="29" t="str">
        <f aca="false">IF($C808="","",ROW()-4)</f>
        <v/>
      </c>
      <c r="B808" s="35" t="str">
        <f aca="false">IF($C808="","","SK"&amp;TEXT($C808,"yyyymm")&amp;"-"&amp;TEXT(ROW()-4,"0000"))</f>
        <v/>
      </c>
      <c r="C808" s="33"/>
      <c r="D808" s="24"/>
      <c r="E808" s="30" t="str">
        <f aca="false">IF($D808="","",IFERROR(INDEX(合同单位,MATCH($D808,合同键,0)),IFERROR(TRIM(LEFT($D808,FIND("｜",$D808)-1)),$D808)))</f>
        <v/>
      </c>
      <c r="F808" s="30" t="str">
        <f aca="false">IF($D808="","",IFERROR(INDEX(合同项目,MATCH($D808,合同键,0)),IFERROR(TRIM(MID($D808,FIND("｜",$D808)+1,99)),"")))</f>
        <v/>
      </c>
      <c r="G808" s="39"/>
      <c r="H808" s="25"/>
      <c r="I808" s="35" t="str">
        <f aca="false">IF($H808="","",IFERROR(INDEX(票据归类表,MATCH($H808,票据类型表,0)),"现金无票"))</f>
        <v/>
      </c>
      <c r="J808" s="25"/>
      <c r="K808" s="25"/>
      <c r="L808" s="31"/>
      <c r="M808" s="29" t="str">
        <f aca="false">IF($C808="","",YEAR($C808))</f>
        <v/>
      </c>
      <c r="N808" s="24"/>
      <c r="O808" s="35" t="str">
        <f aca="false">IF($C808="","",IF($D808="","★没选客户项目",IF(COUNTIF(合同键,$D808)=0,"★《维保合同》里没这个项目",IF(N($G808)&lt;=0,"★收款金额要填",IF($H808="","★票据类型要选",IF(AND($L808&lt;&gt;"",COUNTIF(应收单号,$L808)=0),"★关联的应收单号不存在",IF(AND($L808&lt;&gt;"",IFERROR(INDEX(应收键,MATCH($L808,应收单号,0)),"")&lt;&gt;$D808),"★关联单号不是这个客户的",IF(AND($L808&lt;&gt;"",ROUND(SUMIF(收款关联,$L808,收款金额)-IFERROR(INDEX(应收金额,MATCH($L808,应收单号,0)),0),2)&gt;0.001),"★指定冲销超过那张单的应收","OK"))))))))</f>
        <v/>
      </c>
    </row>
    <row r="809" customFormat="false" ht="15" hidden="false" customHeight="false" outlineLevel="0" collapsed="false">
      <c r="A809" s="29" t="str">
        <f aca="false">IF($C809="","",ROW()-4)</f>
        <v/>
      </c>
      <c r="B809" s="35" t="str">
        <f aca="false">IF($C809="","","SK"&amp;TEXT($C809,"yyyymm")&amp;"-"&amp;TEXT(ROW()-4,"0000"))</f>
        <v/>
      </c>
      <c r="C809" s="33"/>
      <c r="D809" s="24"/>
      <c r="E809" s="30" t="str">
        <f aca="false">IF($D809="","",IFERROR(INDEX(合同单位,MATCH($D809,合同键,0)),IFERROR(TRIM(LEFT($D809,FIND("｜",$D809)-1)),$D809)))</f>
        <v/>
      </c>
      <c r="F809" s="30" t="str">
        <f aca="false">IF($D809="","",IFERROR(INDEX(合同项目,MATCH($D809,合同键,0)),IFERROR(TRIM(MID($D809,FIND("｜",$D809)+1,99)),"")))</f>
        <v/>
      </c>
      <c r="G809" s="39"/>
      <c r="H809" s="25"/>
      <c r="I809" s="35" t="str">
        <f aca="false">IF($H809="","",IFERROR(INDEX(票据归类表,MATCH($H809,票据类型表,0)),"现金无票"))</f>
        <v/>
      </c>
      <c r="J809" s="25"/>
      <c r="K809" s="25"/>
      <c r="L809" s="31"/>
      <c r="M809" s="29" t="str">
        <f aca="false">IF($C809="","",YEAR($C809))</f>
        <v/>
      </c>
      <c r="N809" s="24"/>
      <c r="O809" s="35" t="str">
        <f aca="false">IF($C809="","",IF($D809="","★没选客户项目",IF(COUNTIF(合同键,$D809)=0,"★《维保合同》里没这个项目",IF(N($G809)&lt;=0,"★收款金额要填",IF($H809="","★票据类型要选",IF(AND($L809&lt;&gt;"",COUNTIF(应收单号,$L809)=0),"★关联的应收单号不存在",IF(AND($L809&lt;&gt;"",IFERROR(INDEX(应收键,MATCH($L809,应收单号,0)),"")&lt;&gt;$D809),"★关联单号不是这个客户的",IF(AND($L809&lt;&gt;"",ROUND(SUMIF(收款关联,$L809,收款金额)-IFERROR(INDEX(应收金额,MATCH($L809,应收单号,0)),0),2)&gt;0.001),"★指定冲销超过那张单的应收","OK"))))))))</f>
        <v/>
      </c>
    </row>
    <row r="810" customFormat="false" ht="15" hidden="false" customHeight="false" outlineLevel="0" collapsed="false">
      <c r="A810" s="29" t="str">
        <f aca="false">IF($C810="","",ROW()-4)</f>
        <v/>
      </c>
      <c r="B810" s="35" t="str">
        <f aca="false">IF($C810="","","SK"&amp;TEXT($C810,"yyyymm")&amp;"-"&amp;TEXT(ROW()-4,"0000"))</f>
        <v/>
      </c>
      <c r="C810" s="33"/>
      <c r="D810" s="24"/>
      <c r="E810" s="30" t="str">
        <f aca="false">IF($D810="","",IFERROR(INDEX(合同单位,MATCH($D810,合同键,0)),IFERROR(TRIM(LEFT($D810,FIND("｜",$D810)-1)),$D810)))</f>
        <v/>
      </c>
      <c r="F810" s="30" t="str">
        <f aca="false">IF($D810="","",IFERROR(INDEX(合同项目,MATCH($D810,合同键,0)),IFERROR(TRIM(MID($D810,FIND("｜",$D810)+1,99)),"")))</f>
        <v/>
      </c>
      <c r="G810" s="39"/>
      <c r="H810" s="25"/>
      <c r="I810" s="35" t="str">
        <f aca="false">IF($H810="","",IFERROR(INDEX(票据归类表,MATCH($H810,票据类型表,0)),"现金无票"))</f>
        <v/>
      </c>
      <c r="J810" s="25"/>
      <c r="K810" s="25"/>
      <c r="L810" s="31"/>
      <c r="M810" s="29" t="str">
        <f aca="false">IF($C810="","",YEAR($C810))</f>
        <v/>
      </c>
      <c r="N810" s="24"/>
      <c r="O810" s="35" t="str">
        <f aca="false">IF($C810="","",IF($D810="","★没选客户项目",IF(COUNTIF(合同键,$D810)=0,"★《维保合同》里没这个项目",IF(N($G810)&lt;=0,"★收款金额要填",IF($H810="","★票据类型要选",IF(AND($L810&lt;&gt;"",COUNTIF(应收单号,$L810)=0),"★关联的应收单号不存在",IF(AND($L810&lt;&gt;"",IFERROR(INDEX(应收键,MATCH($L810,应收单号,0)),"")&lt;&gt;$D810),"★关联单号不是这个客户的",IF(AND($L810&lt;&gt;"",ROUND(SUMIF(收款关联,$L810,收款金额)-IFERROR(INDEX(应收金额,MATCH($L810,应收单号,0)),0),2)&gt;0.001),"★指定冲销超过那张单的应收","OK"))))))))</f>
        <v/>
      </c>
    </row>
    <row r="811" customFormat="false" ht="15" hidden="false" customHeight="false" outlineLevel="0" collapsed="false">
      <c r="A811" s="29" t="str">
        <f aca="false">IF($C811="","",ROW()-4)</f>
        <v/>
      </c>
      <c r="B811" s="35" t="str">
        <f aca="false">IF($C811="","","SK"&amp;TEXT($C811,"yyyymm")&amp;"-"&amp;TEXT(ROW()-4,"0000"))</f>
        <v/>
      </c>
      <c r="C811" s="33"/>
      <c r="D811" s="24"/>
      <c r="E811" s="30" t="str">
        <f aca="false">IF($D811="","",IFERROR(INDEX(合同单位,MATCH($D811,合同键,0)),IFERROR(TRIM(LEFT($D811,FIND("｜",$D811)-1)),$D811)))</f>
        <v/>
      </c>
      <c r="F811" s="30" t="str">
        <f aca="false">IF($D811="","",IFERROR(INDEX(合同项目,MATCH($D811,合同键,0)),IFERROR(TRIM(MID($D811,FIND("｜",$D811)+1,99)),"")))</f>
        <v/>
      </c>
      <c r="G811" s="39"/>
      <c r="H811" s="25"/>
      <c r="I811" s="35" t="str">
        <f aca="false">IF($H811="","",IFERROR(INDEX(票据归类表,MATCH($H811,票据类型表,0)),"现金无票"))</f>
        <v/>
      </c>
      <c r="J811" s="25"/>
      <c r="K811" s="25"/>
      <c r="L811" s="31"/>
      <c r="M811" s="29" t="str">
        <f aca="false">IF($C811="","",YEAR($C811))</f>
        <v/>
      </c>
      <c r="N811" s="24"/>
      <c r="O811" s="35" t="str">
        <f aca="false">IF($C811="","",IF($D811="","★没选客户项目",IF(COUNTIF(合同键,$D811)=0,"★《维保合同》里没这个项目",IF(N($G811)&lt;=0,"★收款金额要填",IF($H811="","★票据类型要选",IF(AND($L811&lt;&gt;"",COUNTIF(应收单号,$L811)=0),"★关联的应收单号不存在",IF(AND($L811&lt;&gt;"",IFERROR(INDEX(应收键,MATCH($L811,应收单号,0)),"")&lt;&gt;$D811),"★关联单号不是这个客户的",IF(AND($L811&lt;&gt;"",ROUND(SUMIF(收款关联,$L811,收款金额)-IFERROR(INDEX(应收金额,MATCH($L811,应收单号,0)),0),2)&gt;0.001),"★指定冲销超过那张单的应收","OK"))))))))</f>
        <v/>
      </c>
    </row>
    <row r="812" customFormat="false" ht="15" hidden="false" customHeight="false" outlineLevel="0" collapsed="false">
      <c r="A812" s="29" t="str">
        <f aca="false">IF($C812="","",ROW()-4)</f>
        <v/>
      </c>
      <c r="B812" s="35" t="str">
        <f aca="false">IF($C812="","","SK"&amp;TEXT($C812,"yyyymm")&amp;"-"&amp;TEXT(ROW()-4,"0000"))</f>
        <v/>
      </c>
      <c r="C812" s="33"/>
      <c r="D812" s="24"/>
      <c r="E812" s="30" t="str">
        <f aca="false">IF($D812="","",IFERROR(INDEX(合同单位,MATCH($D812,合同键,0)),IFERROR(TRIM(LEFT($D812,FIND("｜",$D812)-1)),$D812)))</f>
        <v/>
      </c>
      <c r="F812" s="30" t="str">
        <f aca="false">IF($D812="","",IFERROR(INDEX(合同项目,MATCH($D812,合同键,0)),IFERROR(TRIM(MID($D812,FIND("｜",$D812)+1,99)),"")))</f>
        <v/>
      </c>
      <c r="G812" s="39"/>
      <c r="H812" s="25"/>
      <c r="I812" s="35" t="str">
        <f aca="false">IF($H812="","",IFERROR(INDEX(票据归类表,MATCH($H812,票据类型表,0)),"现金无票"))</f>
        <v/>
      </c>
      <c r="J812" s="25"/>
      <c r="K812" s="25"/>
      <c r="L812" s="31"/>
      <c r="M812" s="29" t="str">
        <f aca="false">IF($C812="","",YEAR($C812))</f>
        <v/>
      </c>
      <c r="N812" s="24"/>
      <c r="O812" s="35" t="str">
        <f aca="false">IF($C812="","",IF($D812="","★没选客户项目",IF(COUNTIF(合同键,$D812)=0,"★《维保合同》里没这个项目",IF(N($G812)&lt;=0,"★收款金额要填",IF($H812="","★票据类型要选",IF(AND($L812&lt;&gt;"",COUNTIF(应收单号,$L812)=0),"★关联的应收单号不存在",IF(AND($L812&lt;&gt;"",IFERROR(INDEX(应收键,MATCH($L812,应收单号,0)),"")&lt;&gt;$D812),"★关联单号不是这个客户的",IF(AND($L812&lt;&gt;"",ROUND(SUMIF(收款关联,$L812,收款金额)-IFERROR(INDEX(应收金额,MATCH($L812,应收单号,0)),0),2)&gt;0.001),"★指定冲销超过那张单的应收","OK"))))))))</f>
        <v/>
      </c>
    </row>
    <row r="813" customFormat="false" ht="15" hidden="false" customHeight="false" outlineLevel="0" collapsed="false">
      <c r="A813" s="29" t="str">
        <f aca="false">IF($C813="","",ROW()-4)</f>
        <v/>
      </c>
      <c r="B813" s="35" t="str">
        <f aca="false">IF($C813="","","SK"&amp;TEXT($C813,"yyyymm")&amp;"-"&amp;TEXT(ROW()-4,"0000"))</f>
        <v/>
      </c>
      <c r="C813" s="33"/>
      <c r="D813" s="24"/>
      <c r="E813" s="30" t="str">
        <f aca="false">IF($D813="","",IFERROR(INDEX(合同单位,MATCH($D813,合同键,0)),IFERROR(TRIM(LEFT($D813,FIND("｜",$D813)-1)),$D813)))</f>
        <v/>
      </c>
      <c r="F813" s="30" t="str">
        <f aca="false">IF($D813="","",IFERROR(INDEX(合同项目,MATCH($D813,合同键,0)),IFERROR(TRIM(MID($D813,FIND("｜",$D813)+1,99)),"")))</f>
        <v/>
      </c>
      <c r="G813" s="39"/>
      <c r="H813" s="25"/>
      <c r="I813" s="35" t="str">
        <f aca="false">IF($H813="","",IFERROR(INDEX(票据归类表,MATCH($H813,票据类型表,0)),"现金无票"))</f>
        <v/>
      </c>
      <c r="J813" s="25"/>
      <c r="K813" s="25"/>
      <c r="L813" s="31"/>
      <c r="M813" s="29" t="str">
        <f aca="false">IF($C813="","",YEAR($C813))</f>
        <v/>
      </c>
      <c r="N813" s="24"/>
      <c r="O813" s="35" t="str">
        <f aca="false">IF($C813="","",IF($D813="","★没选客户项目",IF(COUNTIF(合同键,$D813)=0,"★《维保合同》里没这个项目",IF(N($G813)&lt;=0,"★收款金额要填",IF($H813="","★票据类型要选",IF(AND($L813&lt;&gt;"",COUNTIF(应收单号,$L813)=0),"★关联的应收单号不存在",IF(AND($L813&lt;&gt;"",IFERROR(INDEX(应收键,MATCH($L813,应收单号,0)),"")&lt;&gt;$D813),"★关联单号不是这个客户的",IF(AND($L813&lt;&gt;"",ROUND(SUMIF(收款关联,$L813,收款金额)-IFERROR(INDEX(应收金额,MATCH($L813,应收单号,0)),0),2)&gt;0.001),"★指定冲销超过那张单的应收","OK"))))))))</f>
        <v/>
      </c>
    </row>
    <row r="814" customFormat="false" ht="15" hidden="false" customHeight="false" outlineLevel="0" collapsed="false">
      <c r="A814" s="29" t="str">
        <f aca="false">IF($C814="","",ROW()-4)</f>
        <v/>
      </c>
      <c r="B814" s="35" t="str">
        <f aca="false">IF($C814="","","SK"&amp;TEXT($C814,"yyyymm")&amp;"-"&amp;TEXT(ROW()-4,"0000"))</f>
        <v/>
      </c>
      <c r="C814" s="33"/>
      <c r="D814" s="24"/>
      <c r="E814" s="30" t="str">
        <f aca="false">IF($D814="","",IFERROR(INDEX(合同单位,MATCH($D814,合同键,0)),IFERROR(TRIM(LEFT($D814,FIND("｜",$D814)-1)),$D814)))</f>
        <v/>
      </c>
      <c r="F814" s="30" t="str">
        <f aca="false">IF($D814="","",IFERROR(INDEX(合同项目,MATCH($D814,合同键,0)),IFERROR(TRIM(MID($D814,FIND("｜",$D814)+1,99)),"")))</f>
        <v/>
      </c>
      <c r="G814" s="39"/>
      <c r="H814" s="25"/>
      <c r="I814" s="35" t="str">
        <f aca="false">IF($H814="","",IFERROR(INDEX(票据归类表,MATCH($H814,票据类型表,0)),"现金无票"))</f>
        <v/>
      </c>
      <c r="J814" s="25"/>
      <c r="K814" s="25"/>
      <c r="L814" s="31"/>
      <c r="M814" s="29" t="str">
        <f aca="false">IF($C814="","",YEAR($C814))</f>
        <v/>
      </c>
      <c r="N814" s="24"/>
      <c r="O814" s="35" t="str">
        <f aca="false">IF($C814="","",IF($D814="","★没选客户项目",IF(COUNTIF(合同键,$D814)=0,"★《维保合同》里没这个项目",IF(N($G814)&lt;=0,"★收款金额要填",IF($H814="","★票据类型要选",IF(AND($L814&lt;&gt;"",COUNTIF(应收单号,$L814)=0),"★关联的应收单号不存在",IF(AND($L814&lt;&gt;"",IFERROR(INDEX(应收键,MATCH($L814,应收单号,0)),"")&lt;&gt;$D814),"★关联单号不是这个客户的",IF(AND($L814&lt;&gt;"",ROUND(SUMIF(收款关联,$L814,收款金额)-IFERROR(INDEX(应收金额,MATCH($L814,应收单号,0)),0),2)&gt;0.001),"★指定冲销超过那张单的应收","OK"))))))))</f>
        <v/>
      </c>
    </row>
    <row r="815" customFormat="false" ht="15" hidden="false" customHeight="false" outlineLevel="0" collapsed="false">
      <c r="A815" s="29" t="str">
        <f aca="false">IF($C815="","",ROW()-4)</f>
        <v/>
      </c>
      <c r="B815" s="35" t="str">
        <f aca="false">IF($C815="","","SK"&amp;TEXT($C815,"yyyymm")&amp;"-"&amp;TEXT(ROW()-4,"0000"))</f>
        <v/>
      </c>
      <c r="C815" s="33"/>
      <c r="D815" s="24"/>
      <c r="E815" s="30" t="str">
        <f aca="false">IF($D815="","",IFERROR(INDEX(合同单位,MATCH($D815,合同键,0)),IFERROR(TRIM(LEFT($D815,FIND("｜",$D815)-1)),$D815)))</f>
        <v/>
      </c>
      <c r="F815" s="30" t="str">
        <f aca="false">IF($D815="","",IFERROR(INDEX(合同项目,MATCH($D815,合同键,0)),IFERROR(TRIM(MID($D815,FIND("｜",$D815)+1,99)),"")))</f>
        <v/>
      </c>
      <c r="G815" s="39"/>
      <c r="H815" s="25"/>
      <c r="I815" s="35" t="str">
        <f aca="false">IF($H815="","",IFERROR(INDEX(票据归类表,MATCH($H815,票据类型表,0)),"现金无票"))</f>
        <v/>
      </c>
      <c r="J815" s="25"/>
      <c r="K815" s="25"/>
      <c r="L815" s="31"/>
      <c r="M815" s="29" t="str">
        <f aca="false">IF($C815="","",YEAR($C815))</f>
        <v/>
      </c>
      <c r="N815" s="24"/>
      <c r="O815" s="35" t="str">
        <f aca="false">IF($C815="","",IF($D815="","★没选客户项目",IF(COUNTIF(合同键,$D815)=0,"★《维保合同》里没这个项目",IF(N($G815)&lt;=0,"★收款金额要填",IF($H815="","★票据类型要选",IF(AND($L815&lt;&gt;"",COUNTIF(应收单号,$L815)=0),"★关联的应收单号不存在",IF(AND($L815&lt;&gt;"",IFERROR(INDEX(应收键,MATCH($L815,应收单号,0)),"")&lt;&gt;$D815),"★关联单号不是这个客户的",IF(AND($L815&lt;&gt;"",ROUND(SUMIF(收款关联,$L815,收款金额)-IFERROR(INDEX(应收金额,MATCH($L815,应收单号,0)),0),2)&gt;0.001),"★指定冲销超过那张单的应收","OK"))))))))</f>
        <v/>
      </c>
    </row>
    <row r="816" customFormat="false" ht="15" hidden="false" customHeight="false" outlineLevel="0" collapsed="false">
      <c r="A816" s="29" t="str">
        <f aca="false">IF($C816="","",ROW()-4)</f>
        <v/>
      </c>
      <c r="B816" s="35" t="str">
        <f aca="false">IF($C816="","","SK"&amp;TEXT($C816,"yyyymm")&amp;"-"&amp;TEXT(ROW()-4,"0000"))</f>
        <v/>
      </c>
      <c r="C816" s="33"/>
      <c r="D816" s="24"/>
      <c r="E816" s="30" t="str">
        <f aca="false">IF($D816="","",IFERROR(INDEX(合同单位,MATCH($D816,合同键,0)),IFERROR(TRIM(LEFT($D816,FIND("｜",$D816)-1)),$D816)))</f>
        <v/>
      </c>
      <c r="F816" s="30" t="str">
        <f aca="false">IF($D816="","",IFERROR(INDEX(合同项目,MATCH($D816,合同键,0)),IFERROR(TRIM(MID($D816,FIND("｜",$D816)+1,99)),"")))</f>
        <v/>
      </c>
      <c r="G816" s="39"/>
      <c r="H816" s="25"/>
      <c r="I816" s="35" t="str">
        <f aca="false">IF($H816="","",IFERROR(INDEX(票据归类表,MATCH($H816,票据类型表,0)),"现金无票"))</f>
        <v/>
      </c>
      <c r="J816" s="25"/>
      <c r="K816" s="25"/>
      <c r="L816" s="31"/>
      <c r="M816" s="29" t="str">
        <f aca="false">IF($C816="","",YEAR($C816))</f>
        <v/>
      </c>
      <c r="N816" s="24"/>
      <c r="O816" s="35" t="str">
        <f aca="false">IF($C816="","",IF($D816="","★没选客户项目",IF(COUNTIF(合同键,$D816)=0,"★《维保合同》里没这个项目",IF(N($G816)&lt;=0,"★收款金额要填",IF($H816="","★票据类型要选",IF(AND($L816&lt;&gt;"",COUNTIF(应收单号,$L816)=0),"★关联的应收单号不存在",IF(AND($L816&lt;&gt;"",IFERROR(INDEX(应收键,MATCH($L816,应收单号,0)),"")&lt;&gt;$D816),"★关联单号不是这个客户的",IF(AND($L816&lt;&gt;"",ROUND(SUMIF(收款关联,$L816,收款金额)-IFERROR(INDEX(应收金额,MATCH($L816,应收单号,0)),0),2)&gt;0.001),"★指定冲销超过那张单的应收","OK"))))))))</f>
        <v/>
      </c>
    </row>
    <row r="817" customFormat="false" ht="15" hidden="false" customHeight="false" outlineLevel="0" collapsed="false">
      <c r="A817" s="29" t="str">
        <f aca="false">IF($C817="","",ROW()-4)</f>
        <v/>
      </c>
      <c r="B817" s="35" t="str">
        <f aca="false">IF($C817="","","SK"&amp;TEXT($C817,"yyyymm")&amp;"-"&amp;TEXT(ROW()-4,"0000"))</f>
        <v/>
      </c>
      <c r="C817" s="33"/>
      <c r="D817" s="24"/>
      <c r="E817" s="30" t="str">
        <f aca="false">IF($D817="","",IFERROR(INDEX(合同单位,MATCH($D817,合同键,0)),IFERROR(TRIM(LEFT($D817,FIND("｜",$D817)-1)),$D817)))</f>
        <v/>
      </c>
      <c r="F817" s="30" t="str">
        <f aca="false">IF($D817="","",IFERROR(INDEX(合同项目,MATCH($D817,合同键,0)),IFERROR(TRIM(MID($D817,FIND("｜",$D817)+1,99)),"")))</f>
        <v/>
      </c>
      <c r="G817" s="39"/>
      <c r="H817" s="25"/>
      <c r="I817" s="35" t="str">
        <f aca="false">IF($H817="","",IFERROR(INDEX(票据归类表,MATCH($H817,票据类型表,0)),"现金无票"))</f>
        <v/>
      </c>
      <c r="J817" s="25"/>
      <c r="K817" s="25"/>
      <c r="L817" s="31"/>
      <c r="M817" s="29" t="str">
        <f aca="false">IF($C817="","",YEAR($C817))</f>
        <v/>
      </c>
      <c r="N817" s="24"/>
      <c r="O817" s="35" t="str">
        <f aca="false">IF($C817="","",IF($D817="","★没选客户项目",IF(COUNTIF(合同键,$D817)=0,"★《维保合同》里没这个项目",IF(N($G817)&lt;=0,"★收款金额要填",IF($H817="","★票据类型要选",IF(AND($L817&lt;&gt;"",COUNTIF(应收单号,$L817)=0),"★关联的应收单号不存在",IF(AND($L817&lt;&gt;"",IFERROR(INDEX(应收键,MATCH($L817,应收单号,0)),"")&lt;&gt;$D817),"★关联单号不是这个客户的",IF(AND($L817&lt;&gt;"",ROUND(SUMIF(收款关联,$L817,收款金额)-IFERROR(INDEX(应收金额,MATCH($L817,应收单号,0)),0),2)&gt;0.001),"★指定冲销超过那张单的应收","OK"))))))))</f>
        <v/>
      </c>
    </row>
    <row r="818" customFormat="false" ht="15" hidden="false" customHeight="false" outlineLevel="0" collapsed="false">
      <c r="A818" s="29" t="str">
        <f aca="false">IF($C818="","",ROW()-4)</f>
        <v/>
      </c>
      <c r="B818" s="35" t="str">
        <f aca="false">IF($C818="","","SK"&amp;TEXT($C818,"yyyymm")&amp;"-"&amp;TEXT(ROW()-4,"0000"))</f>
        <v/>
      </c>
      <c r="C818" s="33"/>
      <c r="D818" s="24"/>
      <c r="E818" s="30" t="str">
        <f aca="false">IF($D818="","",IFERROR(INDEX(合同单位,MATCH($D818,合同键,0)),IFERROR(TRIM(LEFT($D818,FIND("｜",$D818)-1)),$D818)))</f>
        <v/>
      </c>
      <c r="F818" s="30" t="str">
        <f aca="false">IF($D818="","",IFERROR(INDEX(合同项目,MATCH($D818,合同键,0)),IFERROR(TRIM(MID($D818,FIND("｜",$D818)+1,99)),"")))</f>
        <v/>
      </c>
      <c r="G818" s="39"/>
      <c r="H818" s="25"/>
      <c r="I818" s="35" t="str">
        <f aca="false">IF($H818="","",IFERROR(INDEX(票据归类表,MATCH($H818,票据类型表,0)),"现金无票"))</f>
        <v/>
      </c>
      <c r="J818" s="25"/>
      <c r="K818" s="25"/>
      <c r="L818" s="31"/>
      <c r="M818" s="29" t="str">
        <f aca="false">IF($C818="","",YEAR($C818))</f>
        <v/>
      </c>
      <c r="N818" s="24"/>
      <c r="O818" s="35" t="str">
        <f aca="false">IF($C818="","",IF($D818="","★没选客户项目",IF(COUNTIF(合同键,$D818)=0,"★《维保合同》里没这个项目",IF(N($G818)&lt;=0,"★收款金额要填",IF($H818="","★票据类型要选",IF(AND($L818&lt;&gt;"",COUNTIF(应收单号,$L818)=0),"★关联的应收单号不存在",IF(AND($L818&lt;&gt;"",IFERROR(INDEX(应收键,MATCH($L818,应收单号,0)),"")&lt;&gt;$D818),"★关联单号不是这个客户的",IF(AND($L818&lt;&gt;"",ROUND(SUMIF(收款关联,$L818,收款金额)-IFERROR(INDEX(应收金额,MATCH($L818,应收单号,0)),0),2)&gt;0.001),"★指定冲销超过那张单的应收","OK"))))))))</f>
        <v/>
      </c>
    </row>
    <row r="819" customFormat="false" ht="15" hidden="false" customHeight="false" outlineLevel="0" collapsed="false">
      <c r="A819" s="29" t="str">
        <f aca="false">IF($C819="","",ROW()-4)</f>
        <v/>
      </c>
      <c r="B819" s="35" t="str">
        <f aca="false">IF($C819="","","SK"&amp;TEXT($C819,"yyyymm")&amp;"-"&amp;TEXT(ROW()-4,"0000"))</f>
        <v/>
      </c>
      <c r="C819" s="33"/>
      <c r="D819" s="24"/>
      <c r="E819" s="30" t="str">
        <f aca="false">IF($D819="","",IFERROR(INDEX(合同单位,MATCH($D819,合同键,0)),IFERROR(TRIM(LEFT($D819,FIND("｜",$D819)-1)),$D819)))</f>
        <v/>
      </c>
      <c r="F819" s="30" t="str">
        <f aca="false">IF($D819="","",IFERROR(INDEX(合同项目,MATCH($D819,合同键,0)),IFERROR(TRIM(MID($D819,FIND("｜",$D819)+1,99)),"")))</f>
        <v/>
      </c>
      <c r="G819" s="39"/>
      <c r="H819" s="25"/>
      <c r="I819" s="35" t="str">
        <f aca="false">IF($H819="","",IFERROR(INDEX(票据归类表,MATCH($H819,票据类型表,0)),"现金无票"))</f>
        <v/>
      </c>
      <c r="J819" s="25"/>
      <c r="K819" s="25"/>
      <c r="L819" s="31"/>
      <c r="M819" s="29" t="str">
        <f aca="false">IF($C819="","",YEAR($C819))</f>
        <v/>
      </c>
      <c r="N819" s="24"/>
      <c r="O819" s="35" t="str">
        <f aca="false">IF($C819="","",IF($D819="","★没选客户项目",IF(COUNTIF(合同键,$D819)=0,"★《维保合同》里没这个项目",IF(N($G819)&lt;=0,"★收款金额要填",IF($H819="","★票据类型要选",IF(AND($L819&lt;&gt;"",COUNTIF(应收单号,$L819)=0),"★关联的应收单号不存在",IF(AND($L819&lt;&gt;"",IFERROR(INDEX(应收键,MATCH($L819,应收单号,0)),"")&lt;&gt;$D819),"★关联单号不是这个客户的",IF(AND($L819&lt;&gt;"",ROUND(SUMIF(收款关联,$L819,收款金额)-IFERROR(INDEX(应收金额,MATCH($L819,应收单号,0)),0),2)&gt;0.001),"★指定冲销超过那张单的应收","OK"))))))))</f>
        <v/>
      </c>
    </row>
    <row r="820" customFormat="false" ht="15" hidden="false" customHeight="false" outlineLevel="0" collapsed="false">
      <c r="A820" s="29" t="str">
        <f aca="false">IF($C820="","",ROW()-4)</f>
        <v/>
      </c>
      <c r="B820" s="35" t="str">
        <f aca="false">IF($C820="","","SK"&amp;TEXT($C820,"yyyymm")&amp;"-"&amp;TEXT(ROW()-4,"0000"))</f>
        <v/>
      </c>
      <c r="C820" s="33"/>
      <c r="D820" s="24"/>
      <c r="E820" s="30" t="str">
        <f aca="false">IF($D820="","",IFERROR(INDEX(合同单位,MATCH($D820,合同键,0)),IFERROR(TRIM(LEFT($D820,FIND("｜",$D820)-1)),$D820)))</f>
        <v/>
      </c>
      <c r="F820" s="30" t="str">
        <f aca="false">IF($D820="","",IFERROR(INDEX(合同项目,MATCH($D820,合同键,0)),IFERROR(TRIM(MID($D820,FIND("｜",$D820)+1,99)),"")))</f>
        <v/>
      </c>
      <c r="G820" s="39"/>
      <c r="H820" s="25"/>
      <c r="I820" s="35" t="str">
        <f aca="false">IF($H820="","",IFERROR(INDEX(票据归类表,MATCH($H820,票据类型表,0)),"现金无票"))</f>
        <v/>
      </c>
      <c r="J820" s="25"/>
      <c r="K820" s="25"/>
      <c r="L820" s="31"/>
      <c r="M820" s="29" t="str">
        <f aca="false">IF($C820="","",YEAR($C820))</f>
        <v/>
      </c>
      <c r="N820" s="24"/>
      <c r="O820" s="35" t="str">
        <f aca="false">IF($C820="","",IF($D820="","★没选客户项目",IF(COUNTIF(合同键,$D820)=0,"★《维保合同》里没这个项目",IF(N($G820)&lt;=0,"★收款金额要填",IF($H820="","★票据类型要选",IF(AND($L820&lt;&gt;"",COUNTIF(应收单号,$L820)=0),"★关联的应收单号不存在",IF(AND($L820&lt;&gt;"",IFERROR(INDEX(应收键,MATCH($L820,应收单号,0)),"")&lt;&gt;$D820),"★关联单号不是这个客户的",IF(AND($L820&lt;&gt;"",ROUND(SUMIF(收款关联,$L820,收款金额)-IFERROR(INDEX(应收金额,MATCH($L820,应收单号,0)),0),2)&gt;0.001),"★指定冲销超过那张单的应收","OK"))))))))</f>
        <v/>
      </c>
    </row>
    <row r="821" customFormat="false" ht="15" hidden="false" customHeight="false" outlineLevel="0" collapsed="false">
      <c r="A821" s="29" t="str">
        <f aca="false">IF($C821="","",ROW()-4)</f>
        <v/>
      </c>
      <c r="B821" s="35" t="str">
        <f aca="false">IF($C821="","","SK"&amp;TEXT($C821,"yyyymm")&amp;"-"&amp;TEXT(ROW()-4,"0000"))</f>
        <v/>
      </c>
      <c r="C821" s="33"/>
      <c r="D821" s="24"/>
      <c r="E821" s="30" t="str">
        <f aca="false">IF($D821="","",IFERROR(INDEX(合同单位,MATCH($D821,合同键,0)),IFERROR(TRIM(LEFT($D821,FIND("｜",$D821)-1)),$D821)))</f>
        <v/>
      </c>
      <c r="F821" s="30" t="str">
        <f aca="false">IF($D821="","",IFERROR(INDEX(合同项目,MATCH($D821,合同键,0)),IFERROR(TRIM(MID($D821,FIND("｜",$D821)+1,99)),"")))</f>
        <v/>
      </c>
      <c r="G821" s="39"/>
      <c r="H821" s="25"/>
      <c r="I821" s="35" t="str">
        <f aca="false">IF($H821="","",IFERROR(INDEX(票据归类表,MATCH($H821,票据类型表,0)),"现金无票"))</f>
        <v/>
      </c>
      <c r="J821" s="25"/>
      <c r="K821" s="25"/>
      <c r="L821" s="31"/>
      <c r="M821" s="29" t="str">
        <f aca="false">IF($C821="","",YEAR($C821))</f>
        <v/>
      </c>
      <c r="N821" s="24"/>
      <c r="O821" s="35" t="str">
        <f aca="false">IF($C821="","",IF($D821="","★没选客户项目",IF(COUNTIF(合同键,$D821)=0,"★《维保合同》里没这个项目",IF(N($G821)&lt;=0,"★收款金额要填",IF($H821="","★票据类型要选",IF(AND($L821&lt;&gt;"",COUNTIF(应收单号,$L821)=0),"★关联的应收单号不存在",IF(AND($L821&lt;&gt;"",IFERROR(INDEX(应收键,MATCH($L821,应收单号,0)),"")&lt;&gt;$D821),"★关联单号不是这个客户的",IF(AND($L821&lt;&gt;"",ROUND(SUMIF(收款关联,$L821,收款金额)-IFERROR(INDEX(应收金额,MATCH($L821,应收单号,0)),0),2)&gt;0.001),"★指定冲销超过那张单的应收","OK"))))))))</f>
        <v/>
      </c>
    </row>
    <row r="822" customFormat="false" ht="15" hidden="false" customHeight="false" outlineLevel="0" collapsed="false">
      <c r="A822" s="29" t="str">
        <f aca="false">IF($C822="","",ROW()-4)</f>
        <v/>
      </c>
      <c r="B822" s="35" t="str">
        <f aca="false">IF($C822="","","SK"&amp;TEXT($C822,"yyyymm")&amp;"-"&amp;TEXT(ROW()-4,"0000"))</f>
        <v/>
      </c>
      <c r="C822" s="33"/>
      <c r="D822" s="24"/>
      <c r="E822" s="30" t="str">
        <f aca="false">IF($D822="","",IFERROR(INDEX(合同单位,MATCH($D822,合同键,0)),IFERROR(TRIM(LEFT($D822,FIND("｜",$D822)-1)),$D822)))</f>
        <v/>
      </c>
      <c r="F822" s="30" t="str">
        <f aca="false">IF($D822="","",IFERROR(INDEX(合同项目,MATCH($D822,合同键,0)),IFERROR(TRIM(MID($D822,FIND("｜",$D822)+1,99)),"")))</f>
        <v/>
      </c>
      <c r="G822" s="39"/>
      <c r="H822" s="25"/>
      <c r="I822" s="35" t="str">
        <f aca="false">IF($H822="","",IFERROR(INDEX(票据归类表,MATCH($H822,票据类型表,0)),"现金无票"))</f>
        <v/>
      </c>
      <c r="J822" s="25"/>
      <c r="K822" s="25"/>
      <c r="L822" s="31"/>
      <c r="M822" s="29" t="str">
        <f aca="false">IF($C822="","",YEAR($C822))</f>
        <v/>
      </c>
      <c r="N822" s="24"/>
      <c r="O822" s="35" t="str">
        <f aca="false">IF($C822="","",IF($D822="","★没选客户项目",IF(COUNTIF(合同键,$D822)=0,"★《维保合同》里没这个项目",IF(N($G822)&lt;=0,"★收款金额要填",IF($H822="","★票据类型要选",IF(AND($L822&lt;&gt;"",COUNTIF(应收单号,$L822)=0),"★关联的应收单号不存在",IF(AND($L822&lt;&gt;"",IFERROR(INDEX(应收键,MATCH($L822,应收单号,0)),"")&lt;&gt;$D822),"★关联单号不是这个客户的",IF(AND($L822&lt;&gt;"",ROUND(SUMIF(收款关联,$L822,收款金额)-IFERROR(INDEX(应收金额,MATCH($L822,应收单号,0)),0),2)&gt;0.001),"★指定冲销超过那张单的应收","OK"))))))))</f>
        <v/>
      </c>
    </row>
    <row r="823" customFormat="false" ht="15" hidden="false" customHeight="false" outlineLevel="0" collapsed="false">
      <c r="A823" s="29" t="str">
        <f aca="false">IF($C823="","",ROW()-4)</f>
        <v/>
      </c>
      <c r="B823" s="35" t="str">
        <f aca="false">IF($C823="","","SK"&amp;TEXT($C823,"yyyymm")&amp;"-"&amp;TEXT(ROW()-4,"0000"))</f>
        <v/>
      </c>
      <c r="C823" s="33"/>
      <c r="D823" s="24"/>
      <c r="E823" s="30" t="str">
        <f aca="false">IF($D823="","",IFERROR(INDEX(合同单位,MATCH($D823,合同键,0)),IFERROR(TRIM(LEFT($D823,FIND("｜",$D823)-1)),$D823)))</f>
        <v/>
      </c>
      <c r="F823" s="30" t="str">
        <f aca="false">IF($D823="","",IFERROR(INDEX(合同项目,MATCH($D823,合同键,0)),IFERROR(TRIM(MID($D823,FIND("｜",$D823)+1,99)),"")))</f>
        <v/>
      </c>
      <c r="G823" s="39"/>
      <c r="H823" s="25"/>
      <c r="I823" s="35" t="str">
        <f aca="false">IF($H823="","",IFERROR(INDEX(票据归类表,MATCH($H823,票据类型表,0)),"现金无票"))</f>
        <v/>
      </c>
      <c r="J823" s="25"/>
      <c r="K823" s="25"/>
      <c r="L823" s="31"/>
      <c r="M823" s="29" t="str">
        <f aca="false">IF($C823="","",YEAR($C823))</f>
        <v/>
      </c>
      <c r="N823" s="24"/>
      <c r="O823" s="35" t="str">
        <f aca="false">IF($C823="","",IF($D823="","★没选客户项目",IF(COUNTIF(合同键,$D823)=0,"★《维保合同》里没这个项目",IF(N($G823)&lt;=0,"★收款金额要填",IF($H823="","★票据类型要选",IF(AND($L823&lt;&gt;"",COUNTIF(应收单号,$L823)=0),"★关联的应收单号不存在",IF(AND($L823&lt;&gt;"",IFERROR(INDEX(应收键,MATCH($L823,应收单号,0)),"")&lt;&gt;$D823),"★关联单号不是这个客户的",IF(AND($L823&lt;&gt;"",ROUND(SUMIF(收款关联,$L823,收款金额)-IFERROR(INDEX(应收金额,MATCH($L823,应收单号,0)),0),2)&gt;0.001),"★指定冲销超过那张单的应收","OK"))))))))</f>
        <v/>
      </c>
    </row>
    <row r="824" customFormat="false" ht="15" hidden="false" customHeight="false" outlineLevel="0" collapsed="false">
      <c r="A824" s="29" t="str">
        <f aca="false">IF($C824="","",ROW()-4)</f>
        <v/>
      </c>
      <c r="B824" s="35" t="str">
        <f aca="false">IF($C824="","","SK"&amp;TEXT($C824,"yyyymm")&amp;"-"&amp;TEXT(ROW()-4,"0000"))</f>
        <v/>
      </c>
      <c r="C824" s="33"/>
      <c r="D824" s="24"/>
      <c r="E824" s="30" t="str">
        <f aca="false">IF($D824="","",IFERROR(INDEX(合同单位,MATCH($D824,合同键,0)),IFERROR(TRIM(LEFT($D824,FIND("｜",$D824)-1)),$D824)))</f>
        <v/>
      </c>
      <c r="F824" s="30" t="str">
        <f aca="false">IF($D824="","",IFERROR(INDEX(合同项目,MATCH($D824,合同键,0)),IFERROR(TRIM(MID($D824,FIND("｜",$D824)+1,99)),"")))</f>
        <v/>
      </c>
      <c r="G824" s="39"/>
      <c r="H824" s="25"/>
      <c r="I824" s="35" t="str">
        <f aca="false">IF($H824="","",IFERROR(INDEX(票据归类表,MATCH($H824,票据类型表,0)),"现金无票"))</f>
        <v/>
      </c>
      <c r="J824" s="25"/>
      <c r="K824" s="25"/>
      <c r="L824" s="31"/>
      <c r="M824" s="29" t="str">
        <f aca="false">IF($C824="","",YEAR($C824))</f>
        <v/>
      </c>
      <c r="N824" s="24"/>
      <c r="O824" s="35" t="str">
        <f aca="false">IF($C824="","",IF($D824="","★没选客户项目",IF(COUNTIF(合同键,$D824)=0,"★《维保合同》里没这个项目",IF(N($G824)&lt;=0,"★收款金额要填",IF($H824="","★票据类型要选",IF(AND($L824&lt;&gt;"",COUNTIF(应收单号,$L824)=0),"★关联的应收单号不存在",IF(AND($L824&lt;&gt;"",IFERROR(INDEX(应收键,MATCH($L824,应收单号,0)),"")&lt;&gt;$D824),"★关联单号不是这个客户的",IF(AND($L824&lt;&gt;"",ROUND(SUMIF(收款关联,$L824,收款金额)-IFERROR(INDEX(应收金额,MATCH($L824,应收单号,0)),0),2)&gt;0.001),"★指定冲销超过那张单的应收","OK"))))))))</f>
        <v/>
      </c>
    </row>
    <row r="825" customFormat="false" ht="15" hidden="false" customHeight="false" outlineLevel="0" collapsed="false">
      <c r="A825" s="29" t="str">
        <f aca="false">IF($C825="","",ROW()-4)</f>
        <v/>
      </c>
      <c r="B825" s="35" t="str">
        <f aca="false">IF($C825="","","SK"&amp;TEXT($C825,"yyyymm")&amp;"-"&amp;TEXT(ROW()-4,"0000"))</f>
        <v/>
      </c>
      <c r="C825" s="33"/>
      <c r="D825" s="24"/>
      <c r="E825" s="30" t="str">
        <f aca="false">IF($D825="","",IFERROR(INDEX(合同单位,MATCH($D825,合同键,0)),IFERROR(TRIM(LEFT($D825,FIND("｜",$D825)-1)),$D825)))</f>
        <v/>
      </c>
      <c r="F825" s="30" t="str">
        <f aca="false">IF($D825="","",IFERROR(INDEX(合同项目,MATCH($D825,合同键,0)),IFERROR(TRIM(MID($D825,FIND("｜",$D825)+1,99)),"")))</f>
        <v/>
      </c>
      <c r="G825" s="39"/>
      <c r="H825" s="25"/>
      <c r="I825" s="35" t="str">
        <f aca="false">IF($H825="","",IFERROR(INDEX(票据归类表,MATCH($H825,票据类型表,0)),"现金无票"))</f>
        <v/>
      </c>
      <c r="J825" s="25"/>
      <c r="K825" s="25"/>
      <c r="L825" s="31"/>
      <c r="M825" s="29" t="str">
        <f aca="false">IF($C825="","",YEAR($C825))</f>
        <v/>
      </c>
      <c r="N825" s="24"/>
      <c r="O825" s="35" t="str">
        <f aca="false">IF($C825="","",IF($D825="","★没选客户项目",IF(COUNTIF(合同键,$D825)=0,"★《维保合同》里没这个项目",IF(N($G825)&lt;=0,"★收款金额要填",IF($H825="","★票据类型要选",IF(AND($L825&lt;&gt;"",COUNTIF(应收单号,$L825)=0),"★关联的应收单号不存在",IF(AND($L825&lt;&gt;"",IFERROR(INDEX(应收键,MATCH($L825,应收单号,0)),"")&lt;&gt;$D825),"★关联单号不是这个客户的",IF(AND($L825&lt;&gt;"",ROUND(SUMIF(收款关联,$L825,收款金额)-IFERROR(INDEX(应收金额,MATCH($L825,应收单号,0)),0),2)&gt;0.001),"★指定冲销超过那张单的应收","OK"))))))))</f>
        <v/>
      </c>
    </row>
    <row r="826" customFormat="false" ht="15" hidden="false" customHeight="false" outlineLevel="0" collapsed="false">
      <c r="A826" s="29" t="str">
        <f aca="false">IF($C826="","",ROW()-4)</f>
        <v/>
      </c>
      <c r="B826" s="35" t="str">
        <f aca="false">IF($C826="","","SK"&amp;TEXT($C826,"yyyymm")&amp;"-"&amp;TEXT(ROW()-4,"0000"))</f>
        <v/>
      </c>
      <c r="C826" s="33"/>
      <c r="D826" s="24"/>
      <c r="E826" s="30" t="str">
        <f aca="false">IF($D826="","",IFERROR(INDEX(合同单位,MATCH($D826,合同键,0)),IFERROR(TRIM(LEFT($D826,FIND("｜",$D826)-1)),$D826)))</f>
        <v/>
      </c>
      <c r="F826" s="30" t="str">
        <f aca="false">IF($D826="","",IFERROR(INDEX(合同项目,MATCH($D826,合同键,0)),IFERROR(TRIM(MID($D826,FIND("｜",$D826)+1,99)),"")))</f>
        <v/>
      </c>
      <c r="G826" s="39"/>
      <c r="H826" s="25"/>
      <c r="I826" s="35" t="str">
        <f aca="false">IF($H826="","",IFERROR(INDEX(票据归类表,MATCH($H826,票据类型表,0)),"现金无票"))</f>
        <v/>
      </c>
      <c r="J826" s="25"/>
      <c r="K826" s="25"/>
      <c r="L826" s="31"/>
      <c r="M826" s="29" t="str">
        <f aca="false">IF($C826="","",YEAR($C826))</f>
        <v/>
      </c>
      <c r="N826" s="24"/>
      <c r="O826" s="35" t="str">
        <f aca="false">IF($C826="","",IF($D826="","★没选客户项目",IF(COUNTIF(合同键,$D826)=0,"★《维保合同》里没这个项目",IF(N($G826)&lt;=0,"★收款金额要填",IF($H826="","★票据类型要选",IF(AND($L826&lt;&gt;"",COUNTIF(应收单号,$L826)=0),"★关联的应收单号不存在",IF(AND($L826&lt;&gt;"",IFERROR(INDEX(应收键,MATCH($L826,应收单号,0)),"")&lt;&gt;$D826),"★关联单号不是这个客户的",IF(AND($L826&lt;&gt;"",ROUND(SUMIF(收款关联,$L826,收款金额)-IFERROR(INDEX(应收金额,MATCH($L826,应收单号,0)),0),2)&gt;0.001),"★指定冲销超过那张单的应收","OK"))))))))</f>
        <v/>
      </c>
    </row>
    <row r="827" customFormat="false" ht="15" hidden="false" customHeight="false" outlineLevel="0" collapsed="false">
      <c r="A827" s="29" t="str">
        <f aca="false">IF($C827="","",ROW()-4)</f>
        <v/>
      </c>
      <c r="B827" s="35" t="str">
        <f aca="false">IF($C827="","","SK"&amp;TEXT($C827,"yyyymm")&amp;"-"&amp;TEXT(ROW()-4,"0000"))</f>
        <v/>
      </c>
      <c r="C827" s="33"/>
      <c r="D827" s="24"/>
      <c r="E827" s="30" t="str">
        <f aca="false">IF($D827="","",IFERROR(INDEX(合同单位,MATCH($D827,合同键,0)),IFERROR(TRIM(LEFT($D827,FIND("｜",$D827)-1)),$D827)))</f>
        <v/>
      </c>
      <c r="F827" s="30" t="str">
        <f aca="false">IF($D827="","",IFERROR(INDEX(合同项目,MATCH($D827,合同键,0)),IFERROR(TRIM(MID($D827,FIND("｜",$D827)+1,99)),"")))</f>
        <v/>
      </c>
      <c r="G827" s="39"/>
      <c r="H827" s="25"/>
      <c r="I827" s="35" t="str">
        <f aca="false">IF($H827="","",IFERROR(INDEX(票据归类表,MATCH($H827,票据类型表,0)),"现金无票"))</f>
        <v/>
      </c>
      <c r="J827" s="25"/>
      <c r="K827" s="25"/>
      <c r="L827" s="31"/>
      <c r="M827" s="29" t="str">
        <f aca="false">IF($C827="","",YEAR($C827))</f>
        <v/>
      </c>
      <c r="N827" s="24"/>
      <c r="O827" s="35" t="str">
        <f aca="false">IF($C827="","",IF($D827="","★没选客户项目",IF(COUNTIF(合同键,$D827)=0,"★《维保合同》里没这个项目",IF(N($G827)&lt;=0,"★收款金额要填",IF($H827="","★票据类型要选",IF(AND($L827&lt;&gt;"",COUNTIF(应收单号,$L827)=0),"★关联的应收单号不存在",IF(AND($L827&lt;&gt;"",IFERROR(INDEX(应收键,MATCH($L827,应收单号,0)),"")&lt;&gt;$D827),"★关联单号不是这个客户的",IF(AND($L827&lt;&gt;"",ROUND(SUMIF(收款关联,$L827,收款金额)-IFERROR(INDEX(应收金额,MATCH($L827,应收单号,0)),0),2)&gt;0.001),"★指定冲销超过那张单的应收","OK"))))))))</f>
        <v/>
      </c>
    </row>
    <row r="828" customFormat="false" ht="15" hidden="false" customHeight="false" outlineLevel="0" collapsed="false">
      <c r="A828" s="29" t="str">
        <f aca="false">IF($C828="","",ROW()-4)</f>
        <v/>
      </c>
      <c r="B828" s="35" t="str">
        <f aca="false">IF($C828="","","SK"&amp;TEXT($C828,"yyyymm")&amp;"-"&amp;TEXT(ROW()-4,"0000"))</f>
        <v/>
      </c>
      <c r="C828" s="33"/>
      <c r="D828" s="24"/>
      <c r="E828" s="30" t="str">
        <f aca="false">IF($D828="","",IFERROR(INDEX(合同单位,MATCH($D828,合同键,0)),IFERROR(TRIM(LEFT($D828,FIND("｜",$D828)-1)),$D828)))</f>
        <v/>
      </c>
      <c r="F828" s="30" t="str">
        <f aca="false">IF($D828="","",IFERROR(INDEX(合同项目,MATCH($D828,合同键,0)),IFERROR(TRIM(MID($D828,FIND("｜",$D828)+1,99)),"")))</f>
        <v/>
      </c>
      <c r="G828" s="39"/>
      <c r="H828" s="25"/>
      <c r="I828" s="35" t="str">
        <f aca="false">IF($H828="","",IFERROR(INDEX(票据归类表,MATCH($H828,票据类型表,0)),"现金无票"))</f>
        <v/>
      </c>
      <c r="J828" s="25"/>
      <c r="K828" s="25"/>
      <c r="L828" s="31"/>
      <c r="M828" s="29" t="str">
        <f aca="false">IF($C828="","",YEAR($C828))</f>
        <v/>
      </c>
      <c r="N828" s="24"/>
      <c r="O828" s="35" t="str">
        <f aca="false">IF($C828="","",IF($D828="","★没选客户项目",IF(COUNTIF(合同键,$D828)=0,"★《维保合同》里没这个项目",IF(N($G828)&lt;=0,"★收款金额要填",IF($H828="","★票据类型要选",IF(AND($L828&lt;&gt;"",COUNTIF(应收单号,$L828)=0),"★关联的应收单号不存在",IF(AND($L828&lt;&gt;"",IFERROR(INDEX(应收键,MATCH($L828,应收单号,0)),"")&lt;&gt;$D828),"★关联单号不是这个客户的",IF(AND($L828&lt;&gt;"",ROUND(SUMIF(收款关联,$L828,收款金额)-IFERROR(INDEX(应收金额,MATCH($L828,应收单号,0)),0),2)&gt;0.001),"★指定冲销超过那张单的应收","OK"))))))))</f>
        <v/>
      </c>
    </row>
    <row r="829" customFormat="false" ht="15" hidden="false" customHeight="false" outlineLevel="0" collapsed="false">
      <c r="A829" s="29" t="str">
        <f aca="false">IF($C829="","",ROW()-4)</f>
        <v/>
      </c>
      <c r="B829" s="35" t="str">
        <f aca="false">IF($C829="","","SK"&amp;TEXT($C829,"yyyymm")&amp;"-"&amp;TEXT(ROW()-4,"0000"))</f>
        <v/>
      </c>
      <c r="C829" s="33"/>
      <c r="D829" s="24"/>
      <c r="E829" s="30" t="str">
        <f aca="false">IF($D829="","",IFERROR(INDEX(合同单位,MATCH($D829,合同键,0)),IFERROR(TRIM(LEFT($D829,FIND("｜",$D829)-1)),$D829)))</f>
        <v/>
      </c>
      <c r="F829" s="30" t="str">
        <f aca="false">IF($D829="","",IFERROR(INDEX(合同项目,MATCH($D829,合同键,0)),IFERROR(TRIM(MID($D829,FIND("｜",$D829)+1,99)),"")))</f>
        <v/>
      </c>
      <c r="G829" s="39"/>
      <c r="H829" s="25"/>
      <c r="I829" s="35" t="str">
        <f aca="false">IF($H829="","",IFERROR(INDEX(票据归类表,MATCH($H829,票据类型表,0)),"现金无票"))</f>
        <v/>
      </c>
      <c r="J829" s="25"/>
      <c r="K829" s="25"/>
      <c r="L829" s="31"/>
      <c r="M829" s="29" t="str">
        <f aca="false">IF($C829="","",YEAR($C829))</f>
        <v/>
      </c>
      <c r="N829" s="24"/>
      <c r="O829" s="35" t="str">
        <f aca="false">IF($C829="","",IF($D829="","★没选客户项目",IF(COUNTIF(合同键,$D829)=0,"★《维保合同》里没这个项目",IF(N($G829)&lt;=0,"★收款金额要填",IF($H829="","★票据类型要选",IF(AND($L829&lt;&gt;"",COUNTIF(应收单号,$L829)=0),"★关联的应收单号不存在",IF(AND($L829&lt;&gt;"",IFERROR(INDEX(应收键,MATCH($L829,应收单号,0)),"")&lt;&gt;$D829),"★关联单号不是这个客户的",IF(AND($L829&lt;&gt;"",ROUND(SUMIF(收款关联,$L829,收款金额)-IFERROR(INDEX(应收金额,MATCH($L829,应收单号,0)),0),2)&gt;0.001),"★指定冲销超过那张单的应收","OK"))))))))</f>
        <v/>
      </c>
    </row>
    <row r="830" customFormat="false" ht="15" hidden="false" customHeight="false" outlineLevel="0" collapsed="false">
      <c r="A830" s="29" t="str">
        <f aca="false">IF($C830="","",ROW()-4)</f>
        <v/>
      </c>
      <c r="B830" s="35" t="str">
        <f aca="false">IF($C830="","","SK"&amp;TEXT($C830,"yyyymm")&amp;"-"&amp;TEXT(ROW()-4,"0000"))</f>
        <v/>
      </c>
      <c r="C830" s="33"/>
      <c r="D830" s="24"/>
      <c r="E830" s="30" t="str">
        <f aca="false">IF($D830="","",IFERROR(INDEX(合同单位,MATCH($D830,合同键,0)),IFERROR(TRIM(LEFT($D830,FIND("｜",$D830)-1)),$D830)))</f>
        <v/>
      </c>
      <c r="F830" s="30" t="str">
        <f aca="false">IF($D830="","",IFERROR(INDEX(合同项目,MATCH($D830,合同键,0)),IFERROR(TRIM(MID($D830,FIND("｜",$D830)+1,99)),"")))</f>
        <v/>
      </c>
      <c r="G830" s="39"/>
      <c r="H830" s="25"/>
      <c r="I830" s="35" t="str">
        <f aca="false">IF($H830="","",IFERROR(INDEX(票据归类表,MATCH($H830,票据类型表,0)),"现金无票"))</f>
        <v/>
      </c>
      <c r="J830" s="25"/>
      <c r="K830" s="25"/>
      <c r="L830" s="31"/>
      <c r="M830" s="29" t="str">
        <f aca="false">IF($C830="","",YEAR($C830))</f>
        <v/>
      </c>
      <c r="N830" s="24"/>
      <c r="O830" s="35" t="str">
        <f aca="false">IF($C830="","",IF($D830="","★没选客户项目",IF(COUNTIF(合同键,$D830)=0,"★《维保合同》里没这个项目",IF(N($G830)&lt;=0,"★收款金额要填",IF($H830="","★票据类型要选",IF(AND($L830&lt;&gt;"",COUNTIF(应收单号,$L830)=0),"★关联的应收单号不存在",IF(AND($L830&lt;&gt;"",IFERROR(INDEX(应收键,MATCH($L830,应收单号,0)),"")&lt;&gt;$D830),"★关联单号不是这个客户的",IF(AND($L830&lt;&gt;"",ROUND(SUMIF(收款关联,$L830,收款金额)-IFERROR(INDEX(应收金额,MATCH($L830,应收单号,0)),0),2)&gt;0.001),"★指定冲销超过那张单的应收","OK"))))))))</f>
        <v/>
      </c>
    </row>
    <row r="831" customFormat="false" ht="15" hidden="false" customHeight="false" outlineLevel="0" collapsed="false">
      <c r="A831" s="29" t="str">
        <f aca="false">IF($C831="","",ROW()-4)</f>
        <v/>
      </c>
      <c r="B831" s="35" t="str">
        <f aca="false">IF($C831="","","SK"&amp;TEXT($C831,"yyyymm")&amp;"-"&amp;TEXT(ROW()-4,"0000"))</f>
        <v/>
      </c>
      <c r="C831" s="33"/>
      <c r="D831" s="24"/>
      <c r="E831" s="30" t="str">
        <f aca="false">IF($D831="","",IFERROR(INDEX(合同单位,MATCH($D831,合同键,0)),IFERROR(TRIM(LEFT($D831,FIND("｜",$D831)-1)),$D831)))</f>
        <v/>
      </c>
      <c r="F831" s="30" t="str">
        <f aca="false">IF($D831="","",IFERROR(INDEX(合同项目,MATCH($D831,合同键,0)),IFERROR(TRIM(MID($D831,FIND("｜",$D831)+1,99)),"")))</f>
        <v/>
      </c>
      <c r="G831" s="39"/>
      <c r="H831" s="25"/>
      <c r="I831" s="35" t="str">
        <f aca="false">IF($H831="","",IFERROR(INDEX(票据归类表,MATCH($H831,票据类型表,0)),"现金无票"))</f>
        <v/>
      </c>
      <c r="J831" s="25"/>
      <c r="K831" s="25"/>
      <c r="L831" s="31"/>
      <c r="M831" s="29" t="str">
        <f aca="false">IF($C831="","",YEAR($C831))</f>
        <v/>
      </c>
      <c r="N831" s="24"/>
      <c r="O831" s="35" t="str">
        <f aca="false">IF($C831="","",IF($D831="","★没选客户项目",IF(COUNTIF(合同键,$D831)=0,"★《维保合同》里没这个项目",IF(N($G831)&lt;=0,"★收款金额要填",IF($H831="","★票据类型要选",IF(AND($L831&lt;&gt;"",COUNTIF(应收单号,$L831)=0),"★关联的应收单号不存在",IF(AND($L831&lt;&gt;"",IFERROR(INDEX(应收键,MATCH($L831,应收单号,0)),"")&lt;&gt;$D831),"★关联单号不是这个客户的",IF(AND($L831&lt;&gt;"",ROUND(SUMIF(收款关联,$L831,收款金额)-IFERROR(INDEX(应收金额,MATCH($L831,应收单号,0)),0),2)&gt;0.001),"★指定冲销超过那张单的应收","OK"))))))))</f>
        <v/>
      </c>
    </row>
    <row r="832" customFormat="false" ht="15" hidden="false" customHeight="false" outlineLevel="0" collapsed="false">
      <c r="A832" s="29" t="str">
        <f aca="false">IF($C832="","",ROW()-4)</f>
        <v/>
      </c>
      <c r="B832" s="35" t="str">
        <f aca="false">IF($C832="","","SK"&amp;TEXT($C832,"yyyymm")&amp;"-"&amp;TEXT(ROW()-4,"0000"))</f>
        <v/>
      </c>
      <c r="C832" s="33"/>
      <c r="D832" s="24"/>
      <c r="E832" s="30" t="str">
        <f aca="false">IF($D832="","",IFERROR(INDEX(合同单位,MATCH($D832,合同键,0)),IFERROR(TRIM(LEFT($D832,FIND("｜",$D832)-1)),$D832)))</f>
        <v/>
      </c>
      <c r="F832" s="30" t="str">
        <f aca="false">IF($D832="","",IFERROR(INDEX(合同项目,MATCH($D832,合同键,0)),IFERROR(TRIM(MID($D832,FIND("｜",$D832)+1,99)),"")))</f>
        <v/>
      </c>
      <c r="G832" s="39"/>
      <c r="H832" s="25"/>
      <c r="I832" s="35" t="str">
        <f aca="false">IF($H832="","",IFERROR(INDEX(票据归类表,MATCH($H832,票据类型表,0)),"现金无票"))</f>
        <v/>
      </c>
      <c r="J832" s="25"/>
      <c r="K832" s="25"/>
      <c r="L832" s="31"/>
      <c r="M832" s="29" t="str">
        <f aca="false">IF($C832="","",YEAR($C832))</f>
        <v/>
      </c>
      <c r="N832" s="24"/>
      <c r="O832" s="35" t="str">
        <f aca="false">IF($C832="","",IF($D832="","★没选客户项目",IF(COUNTIF(合同键,$D832)=0,"★《维保合同》里没这个项目",IF(N($G832)&lt;=0,"★收款金额要填",IF($H832="","★票据类型要选",IF(AND($L832&lt;&gt;"",COUNTIF(应收单号,$L832)=0),"★关联的应收单号不存在",IF(AND($L832&lt;&gt;"",IFERROR(INDEX(应收键,MATCH($L832,应收单号,0)),"")&lt;&gt;$D832),"★关联单号不是这个客户的",IF(AND($L832&lt;&gt;"",ROUND(SUMIF(收款关联,$L832,收款金额)-IFERROR(INDEX(应收金额,MATCH($L832,应收单号,0)),0),2)&gt;0.001),"★指定冲销超过那张单的应收","OK"))))))))</f>
        <v/>
      </c>
    </row>
    <row r="833" customFormat="false" ht="15" hidden="false" customHeight="false" outlineLevel="0" collapsed="false">
      <c r="A833" s="29" t="str">
        <f aca="false">IF($C833="","",ROW()-4)</f>
        <v/>
      </c>
      <c r="B833" s="35" t="str">
        <f aca="false">IF($C833="","","SK"&amp;TEXT($C833,"yyyymm")&amp;"-"&amp;TEXT(ROW()-4,"0000"))</f>
        <v/>
      </c>
      <c r="C833" s="33"/>
      <c r="D833" s="24"/>
      <c r="E833" s="30" t="str">
        <f aca="false">IF($D833="","",IFERROR(INDEX(合同单位,MATCH($D833,合同键,0)),IFERROR(TRIM(LEFT($D833,FIND("｜",$D833)-1)),$D833)))</f>
        <v/>
      </c>
      <c r="F833" s="30" t="str">
        <f aca="false">IF($D833="","",IFERROR(INDEX(合同项目,MATCH($D833,合同键,0)),IFERROR(TRIM(MID($D833,FIND("｜",$D833)+1,99)),"")))</f>
        <v/>
      </c>
      <c r="G833" s="39"/>
      <c r="H833" s="25"/>
      <c r="I833" s="35" t="str">
        <f aca="false">IF($H833="","",IFERROR(INDEX(票据归类表,MATCH($H833,票据类型表,0)),"现金无票"))</f>
        <v/>
      </c>
      <c r="J833" s="25"/>
      <c r="K833" s="25"/>
      <c r="L833" s="31"/>
      <c r="M833" s="29" t="str">
        <f aca="false">IF($C833="","",YEAR($C833))</f>
        <v/>
      </c>
      <c r="N833" s="24"/>
      <c r="O833" s="35" t="str">
        <f aca="false">IF($C833="","",IF($D833="","★没选客户项目",IF(COUNTIF(合同键,$D833)=0,"★《维保合同》里没这个项目",IF(N($G833)&lt;=0,"★收款金额要填",IF($H833="","★票据类型要选",IF(AND($L833&lt;&gt;"",COUNTIF(应收单号,$L833)=0),"★关联的应收单号不存在",IF(AND($L833&lt;&gt;"",IFERROR(INDEX(应收键,MATCH($L833,应收单号,0)),"")&lt;&gt;$D833),"★关联单号不是这个客户的",IF(AND($L833&lt;&gt;"",ROUND(SUMIF(收款关联,$L833,收款金额)-IFERROR(INDEX(应收金额,MATCH($L833,应收单号,0)),0),2)&gt;0.001),"★指定冲销超过那张单的应收","OK"))))))))</f>
        <v/>
      </c>
    </row>
    <row r="834" customFormat="false" ht="15" hidden="false" customHeight="false" outlineLevel="0" collapsed="false">
      <c r="A834" s="29" t="str">
        <f aca="false">IF($C834="","",ROW()-4)</f>
        <v/>
      </c>
      <c r="B834" s="35" t="str">
        <f aca="false">IF($C834="","","SK"&amp;TEXT($C834,"yyyymm")&amp;"-"&amp;TEXT(ROW()-4,"0000"))</f>
        <v/>
      </c>
      <c r="C834" s="33"/>
      <c r="D834" s="24"/>
      <c r="E834" s="30" t="str">
        <f aca="false">IF($D834="","",IFERROR(INDEX(合同单位,MATCH($D834,合同键,0)),IFERROR(TRIM(LEFT($D834,FIND("｜",$D834)-1)),$D834)))</f>
        <v/>
      </c>
      <c r="F834" s="30" t="str">
        <f aca="false">IF($D834="","",IFERROR(INDEX(合同项目,MATCH($D834,合同键,0)),IFERROR(TRIM(MID($D834,FIND("｜",$D834)+1,99)),"")))</f>
        <v/>
      </c>
      <c r="G834" s="39"/>
      <c r="H834" s="25"/>
      <c r="I834" s="35" t="str">
        <f aca="false">IF($H834="","",IFERROR(INDEX(票据归类表,MATCH($H834,票据类型表,0)),"现金无票"))</f>
        <v/>
      </c>
      <c r="J834" s="25"/>
      <c r="K834" s="25"/>
      <c r="L834" s="31"/>
      <c r="M834" s="29" t="str">
        <f aca="false">IF($C834="","",YEAR($C834))</f>
        <v/>
      </c>
      <c r="N834" s="24"/>
      <c r="O834" s="35" t="str">
        <f aca="false">IF($C834="","",IF($D834="","★没选客户项目",IF(COUNTIF(合同键,$D834)=0,"★《维保合同》里没这个项目",IF(N($G834)&lt;=0,"★收款金额要填",IF($H834="","★票据类型要选",IF(AND($L834&lt;&gt;"",COUNTIF(应收单号,$L834)=0),"★关联的应收单号不存在",IF(AND($L834&lt;&gt;"",IFERROR(INDEX(应收键,MATCH($L834,应收单号,0)),"")&lt;&gt;$D834),"★关联单号不是这个客户的",IF(AND($L834&lt;&gt;"",ROUND(SUMIF(收款关联,$L834,收款金额)-IFERROR(INDEX(应收金额,MATCH($L834,应收单号,0)),0),2)&gt;0.001),"★指定冲销超过那张单的应收","OK"))))))))</f>
        <v/>
      </c>
    </row>
    <row r="835" customFormat="false" ht="15" hidden="false" customHeight="false" outlineLevel="0" collapsed="false">
      <c r="A835" s="29" t="str">
        <f aca="false">IF($C835="","",ROW()-4)</f>
        <v/>
      </c>
      <c r="B835" s="35" t="str">
        <f aca="false">IF($C835="","","SK"&amp;TEXT($C835,"yyyymm")&amp;"-"&amp;TEXT(ROW()-4,"0000"))</f>
        <v/>
      </c>
      <c r="C835" s="33"/>
      <c r="D835" s="24"/>
      <c r="E835" s="30" t="str">
        <f aca="false">IF($D835="","",IFERROR(INDEX(合同单位,MATCH($D835,合同键,0)),IFERROR(TRIM(LEFT($D835,FIND("｜",$D835)-1)),$D835)))</f>
        <v/>
      </c>
      <c r="F835" s="30" t="str">
        <f aca="false">IF($D835="","",IFERROR(INDEX(合同项目,MATCH($D835,合同键,0)),IFERROR(TRIM(MID($D835,FIND("｜",$D835)+1,99)),"")))</f>
        <v/>
      </c>
      <c r="G835" s="39"/>
      <c r="H835" s="25"/>
      <c r="I835" s="35" t="str">
        <f aca="false">IF($H835="","",IFERROR(INDEX(票据归类表,MATCH($H835,票据类型表,0)),"现金无票"))</f>
        <v/>
      </c>
      <c r="J835" s="25"/>
      <c r="K835" s="25"/>
      <c r="L835" s="31"/>
      <c r="M835" s="29" t="str">
        <f aca="false">IF($C835="","",YEAR($C835))</f>
        <v/>
      </c>
      <c r="N835" s="24"/>
      <c r="O835" s="35" t="str">
        <f aca="false">IF($C835="","",IF($D835="","★没选客户项目",IF(COUNTIF(合同键,$D835)=0,"★《维保合同》里没这个项目",IF(N($G835)&lt;=0,"★收款金额要填",IF($H835="","★票据类型要选",IF(AND($L835&lt;&gt;"",COUNTIF(应收单号,$L835)=0),"★关联的应收单号不存在",IF(AND($L835&lt;&gt;"",IFERROR(INDEX(应收键,MATCH($L835,应收单号,0)),"")&lt;&gt;$D835),"★关联单号不是这个客户的",IF(AND($L835&lt;&gt;"",ROUND(SUMIF(收款关联,$L835,收款金额)-IFERROR(INDEX(应收金额,MATCH($L835,应收单号,0)),0),2)&gt;0.001),"★指定冲销超过那张单的应收","OK"))))))))</f>
        <v/>
      </c>
    </row>
    <row r="836" customFormat="false" ht="15" hidden="false" customHeight="false" outlineLevel="0" collapsed="false">
      <c r="A836" s="29" t="str">
        <f aca="false">IF($C836="","",ROW()-4)</f>
        <v/>
      </c>
      <c r="B836" s="35" t="str">
        <f aca="false">IF($C836="","","SK"&amp;TEXT($C836,"yyyymm")&amp;"-"&amp;TEXT(ROW()-4,"0000"))</f>
        <v/>
      </c>
      <c r="C836" s="33"/>
      <c r="D836" s="24"/>
      <c r="E836" s="30" t="str">
        <f aca="false">IF($D836="","",IFERROR(INDEX(合同单位,MATCH($D836,合同键,0)),IFERROR(TRIM(LEFT($D836,FIND("｜",$D836)-1)),$D836)))</f>
        <v/>
      </c>
      <c r="F836" s="30" t="str">
        <f aca="false">IF($D836="","",IFERROR(INDEX(合同项目,MATCH($D836,合同键,0)),IFERROR(TRIM(MID($D836,FIND("｜",$D836)+1,99)),"")))</f>
        <v/>
      </c>
      <c r="G836" s="39"/>
      <c r="H836" s="25"/>
      <c r="I836" s="35" t="str">
        <f aca="false">IF($H836="","",IFERROR(INDEX(票据归类表,MATCH($H836,票据类型表,0)),"现金无票"))</f>
        <v/>
      </c>
      <c r="J836" s="25"/>
      <c r="K836" s="25"/>
      <c r="L836" s="31"/>
      <c r="M836" s="29" t="str">
        <f aca="false">IF($C836="","",YEAR($C836))</f>
        <v/>
      </c>
      <c r="N836" s="24"/>
      <c r="O836" s="35" t="str">
        <f aca="false">IF($C836="","",IF($D836="","★没选客户项目",IF(COUNTIF(合同键,$D836)=0,"★《维保合同》里没这个项目",IF(N($G836)&lt;=0,"★收款金额要填",IF($H836="","★票据类型要选",IF(AND($L836&lt;&gt;"",COUNTIF(应收单号,$L836)=0),"★关联的应收单号不存在",IF(AND($L836&lt;&gt;"",IFERROR(INDEX(应收键,MATCH($L836,应收单号,0)),"")&lt;&gt;$D836),"★关联单号不是这个客户的",IF(AND($L836&lt;&gt;"",ROUND(SUMIF(收款关联,$L836,收款金额)-IFERROR(INDEX(应收金额,MATCH($L836,应收单号,0)),0),2)&gt;0.001),"★指定冲销超过那张单的应收","OK"))))))))</f>
        <v/>
      </c>
    </row>
    <row r="837" customFormat="false" ht="15" hidden="false" customHeight="false" outlineLevel="0" collapsed="false">
      <c r="A837" s="29" t="str">
        <f aca="false">IF($C837="","",ROW()-4)</f>
        <v/>
      </c>
      <c r="B837" s="35" t="str">
        <f aca="false">IF($C837="","","SK"&amp;TEXT($C837,"yyyymm")&amp;"-"&amp;TEXT(ROW()-4,"0000"))</f>
        <v/>
      </c>
      <c r="C837" s="33"/>
      <c r="D837" s="24"/>
      <c r="E837" s="30" t="str">
        <f aca="false">IF($D837="","",IFERROR(INDEX(合同单位,MATCH($D837,合同键,0)),IFERROR(TRIM(LEFT($D837,FIND("｜",$D837)-1)),$D837)))</f>
        <v/>
      </c>
      <c r="F837" s="30" t="str">
        <f aca="false">IF($D837="","",IFERROR(INDEX(合同项目,MATCH($D837,合同键,0)),IFERROR(TRIM(MID($D837,FIND("｜",$D837)+1,99)),"")))</f>
        <v/>
      </c>
      <c r="G837" s="39"/>
      <c r="H837" s="25"/>
      <c r="I837" s="35" t="str">
        <f aca="false">IF($H837="","",IFERROR(INDEX(票据归类表,MATCH($H837,票据类型表,0)),"现金无票"))</f>
        <v/>
      </c>
      <c r="J837" s="25"/>
      <c r="K837" s="25"/>
      <c r="L837" s="31"/>
      <c r="M837" s="29" t="str">
        <f aca="false">IF($C837="","",YEAR($C837))</f>
        <v/>
      </c>
      <c r="N837" s="24"/>
      <c r="O837" s="35" t="str">
        <f aca="false">IF($C837="","",IF($D837="","★没选客户项目",IF(COUNTIF(合同键,$D837)=0,"★《维保合同》里没这个项目",IF(N($G837)&lt;=0,"★收款金额要填",IF($H837="","★票据类型要选",IF(AND($L837&lt;&gt;"",COUNTIF(应收单号,$L837)=0),"★关联的应收单号不存在",IF(AND($L837&lt;&gt;"",IFERROR(INDEX(应收键,MATCH($L837,应收单号,0)),"")&lt;&gt;$D837),"★关联单号不是这个客户的",IF(AND($L837&lt;&gt;"",ROUND(SUMIF(收款关联,$L837,收款金额)-IFERROR(INDEX(应收金额,MATCH($L837,应收单号,0)),0),2)&gt;0.001),"★指定冲销超过那张单的应收","OK"))))))))</f>
        <v/>
      </c>
    </row>
    <row r="838" customFormat="false" ht="15" hidden="false" customHeight="false" outlineLevel="0" collapsed="false">
      <c r="A838" s="29" t="str">
        <f aca="false">IF($C838="","",ROW()-4)</f>
        <v/>
      </c>
      <c r="B838" s="35" t="str">
        <f aca="false">IF($C838="","","SK"&amp;TEXT($C838,"yyyymm")&amp;"-"&amp;TEXT(ROW()-4,"0000"))</f>
        <v/>
      </c>
      <c r="C838" s="33"/>
      <c r="D838" s="24"/>
      <c r="E838" s="30" t="str">
        <f aca="false">IF($D838="","",IFERROR(INDEX(合同单位,MATCH($D838,合同键,0)),IFERROR(TRIM(LEFT($D838,FIND("｜",$D838)-1)),$D838)))</f>
        <v/>
      </c>
      <c r="F838" s="30" t="str">
        <f aca="false">IF($D838="","",IFERROR(INDEX(合同项目,MATCH($D838,合同键,0)),IFERROR(TRIM(MID($D838,FIND("｜",$D838)+1,99)),"")))</f>
        <v/>
      </c>
      <c r="G838" s="39"/>
      <c r="H838" s="25"/>
      <c r="I838" s="35" t="str">
        <f aca="false">IF($H838="","",IFERROR(INDEX(票据归类表,MATCH($H838,票据类型表,0)),"现金无票"))</f>
        <v/>
      </c>
      <c r="J838" s="25"/>
      <c r="K838" s="25"/>
      <c r="L838" s="31"/>
      <c r="M838" s="29" t="str">
        <f aca="false">IF($C838="","",YEAR($C838))</f>
        <v/>
      </c>
      <c r="N838" s="24"/>
      <c r="O838" s="35" t="str">
        <f aca="false">IF($C838="","",IF($D838="","★没选客户项目",IF(COUNTIF(合同键,$D838)=0,"★《维保合同》里没这个项目",IF(N($G838)&lt;=0,"★收款金额要填",IF($H838="","★票据类型要选",IF(AND($L838&lt;&gt;"",COUNTIF(应收单号,$L838)=0),"★关联的应收单号不存在",IF(AND($L838&lt;&gt;"",IFERROR(INDEX(应收键,MATCH($L838,应收单号,0)),"")&lt;&gt;$D838),"★关联单号不是这个客户的",IF(AND($L838&lt;&gt;"",ROUND(SUMIF(收款关联,$L838,收款金额)-IFERROR(INDEX(应收金额,MATCH($L838,应收单号,0)),0),2)&gt;0.001),"★指定冲销超过那张单的应收","OK"))))))))</f>
        <v/>
      </c>
    </row>
    <row r="839" customFormat="false" ht="15" hidden="false" customHeight="false" outlineLevel="0" collapsed="false">
      <c r="A839" s="29" t="str">
        <f aca="false">IF($C839="","",ROW()-4)</f>
        <v/>
      </c>
      <c r="B839" s="35" t="str">
        <f aca="false">IF($C839="","","SK"&amp;TEXT($C839,"yyyymm")&amp;"-"&amp;TEXT(ROW()-4,"0000"))</f>
        <v/>
      </c>
      <c r="C839" s="33"/>
      <c r="D839" s="24"/>
      <c r="E839" s="30" t="str">
        <f aca="false">IF($D839="","",IFERROR(INDEX(合同单位,MATCH($D839,合同键,0)),IFERROR(TRIM(LEFT($D839,FIND("｜",$D839)-1)),$D839)))</f>
        <v/>
      </c>
      <c r="F839" s="30" t="str">
        <f aca="false">IF($D839="","",IFERROR(INDEX(合同项目,MATCH($D839,合同键,0)),IFERROR(TRIM(MID($D839,FIND("｜",$D839)+1,99)),"")))</f>
        <v/>
      </c>
      <c r="G839" s="39"/>
      <c r="H839" s="25"/>
      <c r="I839" s="35" t="str">
        <f aca="false">IF($H839="","",IFERROR(INDEX(票据归类表,MATCH($H839,票据类型表,0)),"现金无票"))</f>
        <v/>
      </c>
      <c r="J839" s="25"/>
      <c r="K839" s="25"/>
      <c r="L839" s="31"/>
      <c r="M839" s="29" t="str">
        <f aca="false">IF($C839="","",YEAR($C839))</f>
        <v/>
      </c>
      <c r="N839" s="24"/>
      <c r="O839" s="35" t="str">
        <f aca="false">IF($C839="","",IF($D839="","★没选客户项目",IF(COUNTIF(合同键,$D839)=0,"★《维保合同》里没这个项目",IF(N($G839)&lt;=0,"★收款金额要填",IF($H839="","★票据类型要选",IF(AND($L839&lt;&gt;"",COUNTIF(应收单号,$L839)=0),"★关联的应收单号不存在",IF(AND($L839&lt;&gt;"",IFERROR(INDEX(应收键,MATCH($L839,应收单号,0)),"")&lt;&gt;$D839),"★关联单号不是这个客户的",IF(AND($L839&lt;&gt;"",ROUND(SUMIF(收款关联,$L839,收款金额)-IFERROR(INDEX(应收金额,MATCH($L839,应收单号,0)),0),2)&gt;0.001),"★指定冲销超过那张单的应收","OK"))))))))</f>
        <v/>
      </c>
    </row>
    <row r="840" customFormat="false" ht="15" hidden="false" customHeight="false" outlineLevel="0" collapsed="false">
      <c r="A840" s="29" t="str">
        <f aca="false">IF($C840="","",ROW()-4)</f>
        <v/>
      </c>
      <c r="B840" s="35" t="str">
        <f aca="false">IF($C840="","","SK"&amp;TEXT($C840,"yyyymm")&amp;"-"&amp;TEXT(ROW()-4,"0000"))</f>
        <v/>
      </c>
      <c r="C840" s="33"/>
      <c r="D840" s="24"/>
      <c r="E840" s="30" t="str">
        <f aca="false">IF($D840="","",IFERROR(INDEX(合同单位,MATCH($D840,合同键,0)),IFERROR(TRIM(LEFT($D840,FIND("｜",$D840)-1)),$D840)))</f>
        <v/>
      </c>
      <c r="F840" s="30" t="str">
        <f aca="false">IF($D840="","",IFERROR(INDEX(合同项目,MATCH($D840,合同键,0)),IFERROR(TRIM(MID($D840,FIND("｜",$D840)+1,99)),"")))</f>
        <v/>
      </c>
      <c r="G840" s="39"/>
      <c r="H840" s="25"/>
      <c r="I840" s="35" t="str">
        <f aca="false">IF($H840="","",IFERROR(INDEX(票据归类表,MATCH($H840,票据类型表,0)),"现金无票"))</f>
        <v/>
      </c>
      <c r="J840" s="25"/>
      <c r="K840" s="25"/>
      <c r="L840" s="31"/>
      <c r="M840" s="29" t="str">
        <f aca="false">IF($C840="","",YEAR($C840))</f>
        <v/>
      </c>
      <c r="N840" s="24"/>
      <c r="O840" s="35" t="str">
        <f aca="false">IF($C840="","",IF($D840="","★没选客户项目",IF(COUNTIF(合同键,$D840)=0,"★《维保合同》里没这个项目",IF(N($G840)&lt;=0,"★收款金额要填",IF($H840="","★票据类型要选",IF(AND($L840&lt;&gt;"",COUNTIF(应收单号,$L840)=0),"★关联的应收单号不存在",IF(AND($L840&lt;&gt;"",IFERROR(INDEX(应收键,MATCH($L840,应收单号,0)),"")&lt;&gt;$D840),"★关联单号不是这个客户的",IF(AND($L840&lt;&gt;"",ROUND(SUMIF(收款关联,$L840,收款金额)-IFERROR(INDEX(应收金额,MATCH($L840,应收单号,0)),0),2)&gt;0.001),"★指定冲销超过那张单的应收","OK"))))))))</f>
        <v/>
      </c>
    </row>
    <row r="841" customFormat="false" ht="15" hidden="false" customHeight="false" outlineLevel="0" collapsed="false">
      <c r="A841" s="29" t="str">
        <f aca="false">IF($C841="","",ROW()-4)</f>
        <v/>
      </c>
      <c r="B841" s="35" t="str">
        <f aca="false">IF($C841="","","SK"&amp;TEXT($C841,"yyyymm")&amp;"-"&amp;TEXT(ROW()-4,"0000"))</f>
        <v/>
      </c>
      <c r="C841" s="33"/>
      <c r="D841" s="24"/>
      <c r="E841" s="30" t="str">
        <f aca="false">IF($D841="","",IFERROR(INDEX(合同单位,MATCH($D841,合同键,0)),IFERROR(TRIM(LEFT($D841,FIND("｜",$D841)-1)),$D841)))</f>
        <v/>
      </c>
      <c r="F841" s="30" t="str">
        <f aca="false">IF($D841="","",IFERROR(INDEX(合同项目,MATCH($D841,合同键,0)),IFERROR(TRIM(MID($D841,FIND("｜",$D841)+1,99)),"")))</f>
        <v/>
      </c>
      <c r="G841" s="39"/>
      <c r="H841" s="25"/>
      <c r="I841" s="35" t="str">
        <f aca="false">IF($H841="","",IFERROR(INDEX(票据归类表,MATCH($H841,票据类型表,0)),"现金无票"))</f>
        <v/>
      </c>
      <c r="J841" s="25"/>
      <c r="K841" s="25"/>
      <c r="L841" s="31"/>
      <c r="M841" s="29" t="str">
        <f aca="false">IF($C841="","",YEAR($C841))</f>
        <v/>
      </c>
      <c r="N841" s="24"/>
      <c r="O841" s="35" t="str">
        <f aca="false">IF($C841="","",IF($D841="","★没选客户项目",IF(COUNTIF(合同键,$D841)=0,"★《维保合同》里没这个项目",IF(N($G841)&lt;=0,"★收款金额要填",IF($H841="","★票据类型要选",IF(AND($L841&lt;&gt;"",COUNTIF(应收单号,$L841)=0),"★关联的应收单号不存在",IF(AND($L841&lt;&gt;"",IFERROR(INDEX(应收键,MATCH($L841,应收单号,0)),"")&lt;&gt;$D841),"★关联单号不是这个客户的",IF(AND($L841&lt;&gt;"",ROUND(SUMIF(收款关联,$L841,收款金额)-IFERROR(INDEX(应收金额,MATCH($L841,应收单号,0)),0),2)&gt;0.001),"★指定冲销超过那张单的应收","OK"))))))))</f>
        <v/>
      </c>
    </row>
    <row r="842" customFormat="false" ht="15" hidden="false" customHeight="false" outlineLevel="0" collapsed="false">
      <c r="A842" s="29" t="str">
        <f aca="false">IF($C842="","",ROW()-4)</f>
        <v/>
      </c>
      <c r="B842" s="35" t="str">
        <f aca="false">IF($C842="","","SK"&amp;TEXT($C842,"yyyymm")&amp;"-"&amp;TEXT(ROW()-4,"0000"))</f>
        <v/>
      </c>
      <c r="C842" s="33"/>
      <c r="D842" s="24"/>
      <c r="E842" s="30" t="str">
        <f aca="false">IF($D842="","",IFERROR(INDEX(合同单位,MATCH($D842,合同键,0)),IFERROR(TRIM(LEFT($D842,FIND("｜",$D842)-1)),$D842)))</f>
        <v/>
      </c>
      <c r="F842" s="30" t="str">
        <f aca="false">IF($D842="","",IFERROR(INDEX(合同项目,MATCH($D842,合同键,0)),IFERROR(TRIM(MID($D842,FIND("｜",$D842)+1,99)),"")))</f>
        <v/>
      </c>
      <c r="G842" s="39"/>
      <c r="H842" s="25"/>
      <c r="I842" s="35" t="str">
        <f aca="false">IF($H842="","",IFERROR(INDEX(票据归类表,MATCH($H842,票据类型表,0)),"现金无票"))</f>
        <v/>
      </c>
      <c r="J842" s="25"/>
      <c r="K842" s="25"/>
      <c r="L842" s="31"/>
      <c r="M842" s="29" t="str">
        <f aca="false">IF($C842="","",YEAR($C842))</f>
        <v/>
      </c>
      <c r="N842" s="24"/>
      <c r="O842" s="35" t="str">
        <f aca="false">IF($C842="","",IF($D842="","★没选客户项目",IF(COUNTIF(合同键,$D842)=0,"★《维保合同》里没这个项目",IF(N($G842)&lt;=0,"★收款金额要填",IF($H842="","★票据类型要选",IF(AND($L842&lt;&gt;"",COUNTIF(应收单号,$L842)=0),"★关联的应收单号不存在",IF(AND($L842&lt;&gt;"",IFERROR(INDEX(应收键,MATCH($L842,应收单号,0)),"")&lt;&gt;$D842),"★关联单号不是这个客户的",IF(AND($L842&lt;&gt;"",ROUND(SUMIF(收款关联,$L842,收款金额)-IFERROR(INDEX(应收金额,MATCH($L842,应收单号,0)),0),2)&gt;0.001),"★指定冲销超过那张单的应收","OK"))))))))</f>
        <v/>
      </c>
    </row>
    <row r="843" customFormat="false" ht="15" hidden="false" customHeight="false" outlineLevel="0" collapsed="false">
      <c r="A843" s="29" t="str">
        <f aca="false">IF($C843="","",ROW()-4)</f>
        <v/>
      </c>
      <c r="B843" s="35" t="str">
        <f aca="false">IF($C843="","","SK"&amp;TEXT($C843,"yyyymm")&amp;"-"&amp;TEXT(ROW()-4,"0000"))</f>
        <v/>
      </c>
      <c r="C843" s="33"/>
      <c r="D843" s="24"/>
      <c r="E843" s="30" t="str">
        <f aca="false">IF($D843="","",IFERROR(INDEX(合同单位,MATCH($D843,合同键,0)),IFERROR(TRIM(LEFT($D843,FIND("｜",$D843)-1)),$D843)))</f>
        <v/>
      </c>
      <c r="F843" s="30" t="str">
        <f aca="false">IF($D843="","",IFERROR(INDEX(合同项目,MATCH($D843,合同键,0)),IFERROR(TRIM(MID($D843,FIND("｜",$D843)+1,99)),"")))</f>
        <v/>
      </c>
      <c r="G843" s="39"/>
      <c r="H843" s="25"/>
      <c r="I843" s="35" t="str">
        <f aca="false">IF($H843="","",IFERROR(INDEX(票据归类表,MATCH($H843,票据类型表,0)),"现金无票"))</f>
        <v/>
      </c>
      <c r="J843" s="25"/>
      <c r="K843" s="25"/>
      <c r="L843" s="31"/>
      <c r="M843" s="29" t="str">
        <f aca="false">IF($C843="","",YEAR($C843))</f>
        <v/>
      </c>
      <c r="N843" s="24"/>
      <c r="O843" s="35" t="str">
        <f aca="false">IF($C843="","",IF($D843="","★没选客户项目",IF(COUNTIF(合同键,$D843)=0,"★《维保合同》里没这个项目",IF(N($G843)&lt;=0,"★收款金额要填",IF($H843="","★票据类型要选",IF(AND($L843&lt;&gt;"",COUNTIF(应收单号,$L843)=0),"★关联的应收单号不存在",IF(AND($L843&lt;&gt;"",IFERROR(INDEX(应收键,MATCH($L843,应收单号,0)),"")&lt;&gt;$D843),"★关联单号不是这个客户的",IF(AND($L843&lt;&gt;"",ROUND(SUMIF(收款关联,$L843,收款金额)-IFERROR(INDEX(应收金额,MATCH($L843,应收单号,0)),0),2)&gt;0.001),"★指定冲销超过那张单的应收","OK"))))))))</f>
        <v/>
      </c>
    </row>
    <row r="844" customFormat="false" ht="15" hidden="false" customHeight="false" outlineLevel="0" collapsed="false">
      <c r="A844" s="29" t="str">
        <f aca="false">IF($C844="","",ROW()-4)</f>
        <v/>
      </c>
      <c r="B844" s="35" t="str">
        <f aca="false">IF($C844="","","SK"&amp;TEXT($C844,"yyyymm")&amp;"-"&amp;TEXT(ROW()-4,"0000"))</f>
        <v/>
      </c>
      <c r="C844" s="33"/>
      <c r="D844" s="24"/>
      <c r="E844" s="30" t="str">
        <f aca="false">IF($D844="","",IFERROR(INDEX(合同单位,MATCH($D844,合同键,0)),IFERROR(TRIM(LEFT($D844,FIND("｜",$D844)-1)),$D844)))</f>
        <v/>
      </c>
      <c r="F844" s="30" t="str">
        <f aca="false">IF($D844="","",IFERROR(INDEX(合同项目,MATCH($D844,合同键,0)),IFERROR(TRIM(MID($D844,FIND("｜",$D844)+1,99)),"")))</f>
        <v/>
      </c>
      <c r="G844" s="39"/>
      <c r="H844" s="25"/>
      <c r="I844" s="35" t="str">
        <f aca="false">IF($H844="","",IFERROR(INDEX(票据归类表,MATCH($H844,票据类型表,0)),"现金无票"))</f>
        <v/>
      </c>
      <c r="J844" s="25"/>
      <c r="K844" s="25"/>
      <c r="L844" s="31"/>
      <c r="M844" s="29" t="str">
        <f aca="false">IF($C844="","",YEAR($C844))</f>
        <v/>
      </c>
      <c r="N844" s="24"/>
      <c r="O844" s="35" t="str">
        <f aca="false">IF($C844="","",IF($D844="","★没选客户项目",IF(COUNTIF(合同键,$D844)=0,"★《维保合同》里没这个项目",IF(N($G844)&lt;=0,"★收款金额要填",IF($H844="","★票据类型要选",IF(AND($L844&lt;&gt;"",COUNTIF(应收单号,$L844)=0),"★关联的应收单号不存在",IF(AND($L844&lt;&gt;"",IFERROR(INDEX(应收键,MATCH($L844,应收单号,0)),"")&lt;&gt;$D844),"★关联单号不是这个客户的",IF(AND($L844&lt;&gt;"",ROUND(SUMIF(收款关联,$L844,收款金额)-IFERROR(INDEX(应收金额,MATCH($L844,应收单号,0)),0),2)&gt;0.001),"★指定冲销超过那张单的应收","OK"))))))))</f>
        <v/>
      </c>
    </row>
    <row r="845" customFormat="false" ht="15" hidden="false" customHeight="false" outlineLevel="0" collapsed="false">
      <c r="A845" s="29" t="str">
        <f aca="false">IF($C845="","",ROW()-4)</f>
        <v/>
      </c>
      <c r="B845" s="35" t="str">
        <f aca="false">IF($C845="","","SK"&amp;TEXT($C845,"yyyymm")&amp;"-"&amp;TEXT(ROW()-4,"0000"))</f>
        <v/>
      </c>
      <c r="C845" s="33"/>
      <c r="D845" s="24"/>
      <c r="E845" s="30" t="str">
        <f aca="false">IF($D845="","",IFERROR(INDEX(合同单位,MATCH($D845,合同键,0)),IFERROR(TRIM(LEFT($D845,FIND("｜",$D845)-1)),$D845)))</f>
        <v/>
      </c>
      <c r="F845" s="30" t="str">
        <f aca="false">IF($D845="","",IFERROR(INDEX(合同项目,MATCH($D845,合同键,0)),IFERROR(TRIM(MID($D845,FIND("｜",$D845)+1,99)),"")))</f>
        <v/>
      </c>
      <c r="G845" s="39"/>
      <c r="H845" s="25"/>
      <c r="I845" s="35" t="str">
        <f aca="false">IF($H845="","",IFERROR(INDEX(票据归类表,MATCH($H845,票据类型表,0)),"现金无票"))</f>
        <v/>
      </c>
      <c r="J845" s="25"/>
      <c r="K845" s="25"/>
      <c r="L845" s="31"/>
      <c r="M845" s="29" t="str">
        <f aca="false">IF($C845="","",YEAR($C845))</f>
        <v/>
      </c>
      <c r="N845" s="24"/>
      <c r="O845" s="35" t="str">
        <f aca="false">IF($C845="","",IF($D845="","★没选客户项目",IF(COUNTIF(合同键,$D845)=0,"★《维保合同》里没这个项目",IF(N($G845)&lt;=0,"★收款金额要填",IF($H845="","★票据类型要选",IF(AND($L845&lt;&gt;"",COUNTIF(应收单号,$L845)=0),"★关联的应收单号不存在",IF(AND($L845&lt;&gt;"",IFERROR(INDEX(应收键,MATCH($L845,应收单号,0)),"")&lt;&gt;$D845),"★关联单号不是这个客户的",IF(AND($L845&lt;&gt;"",ROUND(SUMIF(收款关联,$L845,收款金额)-IFERROR(INDEX(应收金额,MATCH($L845,应收单号,0)),0),2)&gt;0.001),"★指定冲销超过那张单的应收","OK"))))))))</f>
        <v/>
      </c>
    </row>
    <row r="846" customFormat="false" ht="15" hidden="false" customHeight="false" outlineLevel="0" collapsed="false">
      <c r="A846" s="29" t="str">
        <f aca="false">IF($C846="","",ROW()-4)</f>
        <v/>
      </c>
      <c r="B846" s="35" t="str">
        <f aca="false">IF($C846="","","SK"&amp;TEXT($C846,"yyyymm")&amp;"-"&amp;TEXT(ROW()-4,"0000"))</f>
        <v/>
      </c>
      <c r="C846" s="33"/>
      <c r="D846" s="24"/>
      <c r="E846" s="30" t="str">
        <f aca="false">IF($D846="","",IFERROR(INDEX(合同单位,MATCH($D846,合同键,0)),IFERROR(TRIM(LEFT($D846,FIND("｜",$D846)-1)),$D846)))</f>
        <v/>
      </c>
      <c r="F846" s="30" t="str">
        <f aca="false">IF($D846="","",IFERROR(INDEX(合同项目,MATCH($D846,合同键,0)),IFERROR(TRIM(MID($D846,FIND("｜",$D846)+1,99)),"")))</f>
        <v/>
      </c>
      <c r="G846" s="39"/>
      <c r="H846" s="25"/>
      <c r="I846" s="35" t="str">
        <f aca="false">IF($H846="","",IFERROR(INDEX(票据归类表,MATCH($H846,票据类型表,0)),"现金无票"))</f>
        <v/>
      </c>
      <c r="J846" s="25"/>
      <c r="K846" s="25"/>
      <c r="L846" s="31"/>
      <c r="M846" s="29" t="str">
        <f aca="false">IF($C846="","",YEAR($C846))</f>
        <v/>
      </c>
      <c r="N846" s="24"/>
      <c r="O846" s="35" t="str">
        <f aca="false">IF($C846="","",IF($D846="","★没选客户项目",IF(COUNTIF(合同键,$D846)=0,"★《维保合同》里没这个项目",IF(N($G846)&lt;=0,"★收款金额要填",IF($H846="","★票据类型要选",IF(AND($L846&lt;&gt;"",COUNTIF(应收单号,$L846)=0),"★关联的应收单号不存在",IF(AND($L846&lt;&gt;"",IFERROR(INDEX(应收键,MATCH($L846,应收单号,0)),"")&lt;&gt;$D846),"★关联单号不是这个客户的",IF(AND($L846&lt;&gt;"",ROUND(SUMIF(收款关联,$L846,收款金额)-IFERROR(INDEX(应收金额,MATCH($L846,应收单号,0)),0),2)&gt;0.001),"★指定冲销超过那张单的应收","OK"))))))))</f>
        <v/>
      </c>
    </row>
    <row r="847" customFormat="false" ht="15" hidden="false" customHeight="false" outlineLevel="0" collapsed="false">
      <c r="A847" s="29" t="str">
        <f aca="false">IF($C847="","",ROW()-4)</f>
        <v/>
      </c>
      <c r="B847" s="35" t="str">
        <f aca="false">IF($C847="","","SK"&amp;TEXT($C847,"yyyymm")&amp;"-"&amp;TEXT(ROW()-4,"0000"))</f>
        <v/>
      </c>
      <c r="C847" s="33"/>
      <c r="D847" s="24"/>
      <c r="E847" s="30" t="str">
        <f aca="false">IF($D847="","",IFERROR(INDEX(合同单位,MATCH($D847,合同键,0)),IFERROR(TRIM(LEFT($D847,FIND("｜",$D847)-1)),$D847)))</f>
        <v/>
      </c>
      <c r="F847" s="30" t="str">
        <f aca="false">IF($D847="","",IFERROR(INDEX(合同项目,MATCH($D847,合同键,0)),IFERROR(TRIM(MID($D847,FIND("｜",$D847)+1,99)),"")))</f>
        <v/>
      </c>
      <c r="G847" s="39"/>
      <c r="H847" s="25"/>
      <c r="I847" s="35" t="str">
        <f aca="false">IF($H847="","",IFERROR(INDEX(票据归类表,MATCH($H847,票据类型表,0)),"现金无票"))</f>
        <v/>
      </c>
      <c r="J847" s="25"/>
      <c r="K847" s="25"/>
      <c r="L847" s="31"/>
      <c r="M847" s="29" t="str">
        <f aca="false">IF($C847="","",YEAR($C847))</f>
        <v/>
      </c>
      <c r="N847" s="24"/>
      <c r="O847" s="35" t="str">
        <f aca="false">IF($C847="","",IF($D847="","★没选客户项目",IF(COUNTIF(合同键,$D847)=0,"★《维保合同》里没这个项目",IF(N($G847)&lt;=0,"★收款金额要填",IF($H847="","★票据类型要选",IF(AND($L847&lt;&gt;"",COUNTIF(应收单号,$L847)=0),"★关联的应收单号不存在",IF(AND($L847&lt;&gt;"",IFERROR(INDEX(应收键,MATCH($L847,应收单号,0)),"")&lt;&gt;$D847),"★关联单号不是这个客户的",IF(AND($L847&lt;&gt;"",ROUND(SUMIF(收款关联,$L847,收款金额)-IFERROR(INDEX(应收金额,MATCH($L847,应收单号,0)),0),2)&gt;0.001),"★指定冲销超过那张单的应收","OK"))))))))</f>
        <v/>
      </c>
    </row>
    <row r="848" customFormat="false" ht="15" hidden="false" customHeight="false" outlineLevel="0" collapsed="false">
      <c r="A848" s="29" t="str">
        <f aca="false">IF($C848="","",ROW()-4)</f>
        <v/>
      </c>
      <c r="B848" s="35" t="str">
        <f aca="false">IF($C848="","","SK"&amp;TEXT($C848,"yyyymm")&amp;"-"&amp;TEXT(ROW()-4,"0000"))</f>
        <v/>
      </c>
      <c r="C848" s="33"/>
      <c r="D848" s="24"/>
      <c r="E848" s="30" t="str">
        <f aca="false">IF($D848="","",IFERROR(INDEX(合同单位,MATCH($D848,合同键,0)),IFERROR(TRIM(LEFT($D848,FIND("｜",$D848)-1)),$D848)))</f>
        <v/>
      </c>
      <c r="F848" s="30" t="str">
        <f aca="false">IF($D848="","",IFERROR(INDEX(合同项目,MATCH($D848,合同键,0)),IFERROR(TRIM(MID($D848,FIND("｜",$D848)+1,99)),"")))</f>
        <v/>
      </c>
      <c r="G848" s="39"/>
      <c r="H848" s="25"/>
      <c r="I848" s="35" t="str">
        <f aca="false">IF($H848="","",IFERROR(INDEX(票据归类表,MATCH($H848,票据类型表,0)),"现金无票"))</f>
        <v/>
      </c>
      <c r="J848" s="25"/>
      <c r="K848" s="25"/>
      <c r="L848" s="31"/>
      <c r="M848" s="29" t="str">
        <f aca="false">IF($C848="","",YEAR($C848))</f>
        <v/>
      </c>
      <c r="N848" s="24"/>
      <c r="O848" s="35" t="str">
        <f aca="false">IF($C848="","",IF($D848="","★没选客户项目",IF(COUNTIF(合同键,$D848)=0,"★《维保合同》里没这个项目",IF(N($G848)&lt;=0,"★收款金额要填",IF($H848="","★票据类型要选",IF(AND($L848&lt;&gt;"",COUNTIF(应收单号,$L848)=0),"★关联的应收单号不存在",IF(AND($L848&lt;&gt;"",IFERROR(INDEX(应收键,MATCH($L848,应收单号,0)),"")&lt;&gt;$D848),"★关联单号不是这个客户的",IF(AND($L848&lt;&gt;"",ROUND(SUMIF(收款关联,$L848,收款金额)-IFERROR(INDEX(应收金额,MATCH($L848,应收单号,0)),0),2)&gt;0.001),"★指定冲销超过那张单的应收","OK"))))))))</f>
        <v/>
      </c>
    </row>
    <row r="849" customFormat="false" ht="15" hidden="false" customHeight="false" outlineLevel="0" collapsed="false">
      <c r="A849" s="29" t="str">
        <f aca="false">IF($C849="","",ROW()-4)</f>
        <v/>
      </c>
      <c r="B849" s="35" t="str">
        <f aca="false">IF($C849="","","SK"&amp;TEXT($C849,"yyyymm")&amp;"-"&amp;TEXT(ROW()-4,"0000"))</f>
        <v/>
      </c>
      <c r="C849" s="33"/>
      <c r="D849" s="24"/>
      <c r="E849" s="30" t="str">
        <f aca="false">IF($D849="","",IFERROR(INDEX(合同单位,MATCH($D849,合同键,0)),IFERROR(TRIM(LEFT($D849,FIND("｜",$D849)-1)),$D849)))</f>
        <v/>
      </c>
      <c r="F849" s="30" t="str">
        <f aca="false">IF($D849="","",IFERROR(INDEX(合同项目,MATCH($D849,合同键,0)),IFERROR(TRIM(MID($D849,FIND("｜",$D849)+1,99)),"")))</f>
        <v/>
      </c>
      <c r="G849" s="39"/>
      <c r="H849" s="25"/>
      <c r="I849" s="35" t="str">
        <f aca="false">IF($H849="","",IFERROR(INDEX(票据归类表,MATCH($H849,票据类型表,0)),"现金无票"))</f>
        <v/>
      </c>
      <c r="J849" s="25"/>
      <c r="K849" s="25"/>
      <c r="L849" s="31"/>
      <c r="M849" s="29" t="str">
        <f aca="false">IF($C849="","",YEAR($C849))</f>
        <v/>
      </c>
      <c r="N849" s="24"/>
      <c r="O849" s="35" t="str">
        <f aca="false">IF($C849="","",IF($D849="","★没选客户项目",IF(COUNTIF(合同键,$D849)=0,"★《维保合同》里没这个项目",IF(N($G849)&lt;=0,"★收款金额要填",IF($H849="","★票据类型要选",IF(AND($L849&lt;&gt;"",COUNTIF(应收单号,$L849)=0),"★关联的应收单号不存在",IF(AND($L849&lt;&gt;"",IFERROR(INDEX(应收键,MATCH($L849,应收单号,0)),"")&lt;&gt;$D849),"★关联单号不是这个客户的",IF(AND($L849&lt;&gt;"",ROUND(SUMIF(收款关联,$L849,收款金额)-IFERROR(INDEX(应收金额,MATCH($L849,应收单号,0)),0),2)&gt;0.001),"★指定冲销超过那张单的应收","OK"))))))))</f>
        <v/>
      </c>
    </row>
    <row r="850" customFormat="false" ht="15" hidden="false" customHeight="false" outlineLevel="0" collapsed="false">
      <c r="A850" s="29" t="str">
        <f aca="false">IF($C850="","",ROW()-4)</f>
        <v/>
      </c>
      <c r="B850" s="35" t="str">
        <f aca="false">IF($C850="","","SK"&amp;TEXT($C850,"yyyymm")&amp;"-"&amp;TEXT(ROW()-4,"0000"))</f>
        <v/>
      </c>
      <c r="C850" s="33"/>
      <c r="D850" s="24"/>
      <c r="E850" s="30" t="str">
        <f aca="false">IF($D850="","",IFERROR(INDEX(合同单位,MATCH($D850,合同键,0)),IFERROR(TRIM(LEFT($D850,FIND("｜",$D850)-1)),$D850)))</f>
        <v/>
      </c>
      <c r="F850" s="30" t="str">
        <f aca="false">IF($D850="","",IFERROR(INDEX(合同项目,MATCH($D850,合同键,0)),IFERROR(TRIM(MID($D850,FIND("｜",$D850)+1,99)),"")))</f>
        <v/>
      </c>
      <c r="G850" s="39"/>
      <c r="H850" s="25"/>
      <c r="I850" s="35" t="str">
        <f aca="false">IF($H850="","",IFERROR(INDEX(票据归类表,MATCH($H850,票据类型表,0)),"现金无票"))</f>
        <v/>
      </c>
      <c r="J850" s="25"/>
      <c r="K850" s="25"/>
      <c r="L850" s="31"/>
      <c r="M850" s="29" t="str">
        <f aca="false">IF($C850="","",YEAR($C850))</f>
        <v/>
      </c>
      <c r="N850" s="24"/>
      <c r="O850" s="35" t="str">
        <f aca="false">IF($C850="","",IF($D850="","★没选客户项目",IF(COUNTIF(合同键,$D850)=0,"★《维保合同》里没这个项目",IF(N($G850)&lt;=0,"★收款金额要填",IF($H850="","★票据类型要选",IF(AND($L850&lt;&gt;"",COUNTIF(应收单号,$L850)=0),"★关联的应收单号不存在",IF(AND($L850&lt;&gt;"",IFERROR(INDEX(应收键,MATCH($L850,应收单号,0)),"")&lt;&gt;$D850),"★关联单号不是这个客户的",IF(AND($L850&lt;&gt;"",ROUND(SUMIF(收款关联,$L850,收款金额)-IFERROR(INDEX(应收金额,MATCH($L850,应收单号,0)),0),2)&gt;0.001),"★指定冲销超过那张单的应收","OK"))))))))</f>
        <v/>
      </c>
    </row>
    <row r="851" customFormat="false" ht="15" hidden="false" customHeight="false" outlineLevel="0" collapsed="false">
      <c r="A851" s="29" t="str">
        <f aca="false">IF($C851="","",ROW()-4)</f>
        <v/>
      </c>
      <c r="B851" s="35" t="str">
        <f aca="false">IF($C851="","","SK"&amp;TEXT($C851,"yyyymm")&amp;"-"&amp;TEXT(ROW()-4,"0000"))</f>
        <v/>
      </c>
      <c r="C851" s="33"/>
      <c r="D851" s="24"/>
      <c r="E851" s="30" t="str">
        <f aca="false">IF($D851="","",IFERROR(INDEX(合同单位,MATCH($D851,合同键,0)),IFERROR(TRIM(LEFT($D851,FIND("｜",$D851)-1)),$D851)))</f>
        <v/>
      </c>
      <c r="F851" s="30" t="str">
        <f aca="false">IF($D851="","",IFERROR(INDEX(合同项目,MATCH($D851,合同键,0)),IFERROR(TRIM(MID($D851,FIND("｜",$D851)+1,99)),"")))</f>
        <v/>
      </c>
      <c r="G851" s="39"/>
      <c r="H851" s="25"/>
      <c r="I851" s="35" t="str">
        <f aca="false">IF($H851="","",IFERROR(INDEX(票据归类表,MATCH($H851,票据类型表,0)),"现金无票"))</f>
        <v/>
      </c>
      <c r="J851" s="25"/>
      <c r="K851" s="25"/>
      <c r="L851" s="31"/>
      <c r="M851" s="29" t="str">
        <f aca="false">IF($C851="","",YEAR($C851))</f>
        <v/>
      </c>
      <c r="N851" s="24"/>
      <c r="O851" s="35" t="str">
        <f aca="false">IF($C851="","",IF($D851="","★没选客户项目",IF(COUNTIF(合同键,$D851)=0,"★《维保合同》里没这个项目",IF(N($G851)&lt;=0,"★收款金额要填",IF($H851="","★票据类型要选",IF(AND($L851&lt;&gt;"",COUNTIF(应收单号,$L851)=0),"★关联的应收单号不存在",IF(AND($L851&lt;&gt;"",IFERROR(INDEX(应收键,MATCH($L851,应收单号,0)),"")&lt;&gt;$D851),"★关联单号不是这个客户的",IF(AND($L851&lt;&gt;"",ROUND(SUMIF(收款关联,$L851,收款金额)-IFERROR(INDEX(应收金额,MATCH($L851,应收单号,0)),0),2)&gt;0.001),"★指定冲销超过那张单的应收","OK"))))))))</f>
        <v/>
      </c>
    </row>
    <row r="852" customFormat="false" ht="15" hidden="false" customHeight="false" outlineLevel="0" collapsed="false">
      <c r="A852" s="29" t="str">
        <f aca="false">IF($C852="","",ROW()-4)</f>
        <v/>
      </c>
      <c r="B852" s="35" t="str">
        <f aca="false">IF($C852="","","SK"&amp;TEXT($C852,"yyyymm")&amp;"-"&amp;TEXT(ROW()-4,"0000"))</f>
        <v/>
      </c>
      <c r="C852" s="33"/>
      <c r="D852" s="24"/>
      <c r="E852" s="30" t="str">
        <f aca="false">IF($D852="","",IFERROR(INDEX(合同单位,MATCH($D852,合同键,0)),IFERROR(TRIM(LEFT($D852,FIND("｜",$D852)-1)),$D852)))</f>
        <v/>
      </c>
      <c r="F852" s="30" t="str">
        <f aca="false">IF($D852="","",IFERROR(INDEX(合同项目,MATCH($D852,合同键,0)),IFERROR(TRIM(MID($D852,FIND("｜",$D852)+1,99)),"")))</f>
        <v/>
      </c>
      <c r="G852" s="39"/>
      <c r="H852" s="25"/>
      <c r="I852" s="35" t="str">
        <f aca="false">IF($H852="","",IFERROR(INDEX(票据归类表,MATCH($H852,票据类型表,0)),"现金无票"))</f>
        <v/>
      </c>
      <c r="J852" s="25"/>
      <c r="K852" s="25"/>
      <c r="L852" s="31"/>
      <c r="M852" s="29" t="str">
        <f aca="false">IF($C852="","",YEAR($C852))</f>
        <v/>
      </c>
      <c r="N852" s="24"/>
      <c r="O852" s="35" t="str">
        <f aca="false">IF($C852="","",IF($D852="","★没选客户项目",IF(COUNTIF(合同键,$D852)=0,"★《维保合同》里没这个项目",IF(N($G852)&lt;=0,"★收款金额要填",IF($H852="","★票据类型要选",IF(AND($L852&lt;&gt;"",COUNTIF(应收单号,$L852)=0),"★关联的应收单号不存在",IF(AND($L852&lt;&gt;"",IFERROR(INDEX(应收键,MATCH($L852,应收单号,0)),"")&lt;&gt;$D852),"★关联单号不是这个客户的",IF(AND($L852&lt;&gt;"",ROUND(SUMIF(收款关联,$L852,收款金额)-IFERROR(INDEX(应收金额,MATCH($L852,应收单号,0)),0),2)&gt;0.001),"★指定冲销超过那张单的应收","OK"))))))))</f>
        <v/>
      </c>
    </row>
    <row r="853" customFormat="false" ht="15" hidden="false" customHeight="false" outlineLevel="0" collapsed="false">
      <c r="A853" s="29" t="str">
        <f aca="false">IF($C853="","",ROW()-4)</f>
        <v/>
      </c>
      <c r="B853" s="35" t="str">
        <f aca="false">IF($C853="","","SK"&amp;TEXT($C853,"yyyymm")&amp;"-"&amp;TEXT(ROW()-4,"0000"))</f>
        <v/>
      </c>
      <c r="C853" s="33"/>
      <c r="D853" s="24"/>
      <c r="E853" s="30" t="str">
        <f aca="false">IF($D853="","",IFERROR(INDEX(合同单位,MATCH($D853,合同键,0)),IFERROR(TRIM(LEFT($D853,FIND("｜",$D853)-1)),$D853)))</f>
        <v/>
      </c>
      <c r="F853" s="30" t="str">
        <f aca="false">IF($D853="","",IFERROR(INDEX(合同项目,MATCH($D853,合同键,0)),IFERROR(TRIM(MID($D853,FIND("｜",$D853)+1,99)),"")))</f>
        <v/>
      </c>
      <c r="G853" s="39"/>
      <c r="H853" s="25"/>
      <c r="I853" s="35" t="str">
        <f aca="false">IF($H853="","",IFERROR(INDEX(票据归类表,MATCH($H853,票据类型表,0)),"现金无票"))</f>
        <v/>
      </c>
      <c r="J853" s="25"/>
      <c r="K853" s="25"/>
      <c r="L853" s="31"/>
      <c r="M853" s="29" t="str">
        <f aca="false">IF($C853="","",YEAR($C853))</f>
        <v/>
      </c>
      <c r="N853" s="24"/>
      <c r="O853" s="35" t="str">
        <f aca="false">IF($C853="","",IF($D853="","★没选客户项目",IF(COUNTIF(合同键,$D853)=0,"★《维保合同》里没这个项目",IF(N($G853)&lt;=0,"★收款金额要填",IF($H853="","★票据类型要选",IF(AND($L853&lt;&gt;"",COUNTIF(应收单号,$L853)=0),"★关联的应收单号不存在",IF(AND($L853&lt;&gt;"",IFERROR(INDEX(应收键,MATCH($L853,应收单号,0)),"")&lt;&gt;$D853),"★关联单号不是这个客户的",IF(AND($L853&lt;&gt;"",ROUND(SUMIF(收款关联,$L853,收款金额)-IFERROR(INDEX(应收金额,MATCH($L853,应收单号,0)),0),2)&gt;0.001),"★指定冲销超过那张单的应收","OK"))))))))</f>
        <v/>
      </c>
    </row>
    <row r="854" customFormat="false" ht="15" hidden="false" customHeight="false" outlineLevel="0" collapsed="false">
      <c r="A854" s="29" t="str">
        <f aca="false">IF($C854="","",ROW()-4)</f>
        <v/>
      </c>
      <c r="B854" s="35" t="str">
        <f aca="false">IF($C854="","","SK"&amp;TEXT($C854,"yyyymm")&amp;"-"&amp;TEXT(ROW()-4,"0000"))</f>
        <v/>
      </c>
      <c r="C854" s="33"/>
      <c r="D854" s="24"/>
      <c r="E854" s="30" t="str">
        <f aca="false">IF($D854="","",IFERROR(INDEX(合同单位,MATCH($D854,合同键,0)),IFERROR(TRIM(LEFT($D854,FIND("｜",$D854)-1)),$D854)))</f>
        <v/>
      </c>
      <c r="F854" s="30" t="str">
        <f aca="false">IF($D854="","",IFERROR(INDEX(合同项目,MATCH($D854,合同键,0)),IFERROR(TRIM(MID($D854,FIND("｜",$D854)+1,99)),"")))</f>
        <v/>
      </c>
      <c r="G854" s="39"/>
      <c r="H854" s="25"/>
      <c r="I854" s="35" t="str">
        <f aca="false">IF($H854="","",IFERROR(INDEX(票据归类表,MATCH($H854,票据类型表,0)),"现金无票"))</f>
        <v/>
      </c>
      <c r="J854" s="25"/>
      <c r="K854" s="25"/>
      <c r="L854" s="31"/>
      <c r="M854" s="29" t="str">
        <f aca="false">IF($C854="","",YEAR($C854))</f>
        <v/>
      </c>
      <c r="N854" s="24"/>
      <c r="O854" s="35" t="str">
        <f aca="false">IF($C854="","",IF($D854="","★没选客户项目",IF(COUNTIF(合同键,$D854)=0,"★《维保合同》里没这个项目",IF(N($G854)&lt;=0,"★收款金额要填",IF($H854="","★票据类型要选",IF(AND($L854&lt;&gt;"",COUNTIF(应收单号,$L854)=0),"★关联的应收单号不存在",IF(AND($L854&lt;&gt;"",IFERROR(INDEX(应收键,MATCH($L854,应收单号,0)),"")&lt;&gt;$D854),"★关联单号不是这个客户的",IF(AND($L854&lt;&gt;"",ROUND(SUMIF(收款关联,$L854,收款金额)-IFERROR(INDEX(应收金额,MATCH($L854,应收单号,0)),0),2)&gt;0.001),"★指定冲销超过那张单的应收","OK"))))))))</f>
        <v/>
      </c>
    </row>
    <row r="855" customFormat="false" ht="15" hidden="false" customHeight="false" outlineLevel="0" collapsed="false">
      <c r="A855" s="29" t="str">
        <f aca="false">IF($C855="","",ROW()-4)</f>
        <v/>
      </c>
      <c r="B855" s="35" t="str">
        <f aca="false">IF($C855="","","SK"&amp;TEXT($C855,"yyyymm")&amp;"-"&amp;TEXT(ROW()-4,"0000"))</f>
        <v/>
      </c>
      <c r="C855" s="33"/>
      <c r="D855" s="24"/>
      <c r="E855" s="30" t="str">
        <f aca="false">IF($D855="","",IFERROR(INDEX(合同单位,MATCH($D855,合同键,0)),IFERROR(TRIM(LEFT($D855,FIND("｜",$D855)-1)),$D855)))</f>
        <v/>
      </c>
      <c r="F855" s="30" t="str">
        <f aca="false">IF($D855="","",IFERROR(INDEX(合同项目,MATCH($D855,合同键,0)),IFERROR(TRIM(MID($D855,FIND("｜",$D855)+1,99)),"")))</f>
        <v/>
      </c>
      <c r="G855" s="39"/>
      <c r="H855" s="25"/>
      <c r="I855" s="35" t="str">
        <f aca="false">IF($H855="","",IFERROR(INDEX(票据归类表,MATCH($H855,票据类型表,0)),"现金无票"))</f>
        <v/>
      </c>
      <c r="J855" s="25"/>
      <c r="K855" s="25"/>
      <c r="L855" s="31"/>
      <c r="M855" s="29" t="str">
        <f aca="false">IF($C855="","",YEAR($C855))</f>
        <v/>
      </c>
      <c r="N855" s="24"/>
      <c r="O855" s="35" t="str">
        <f aca="false">IF($C855="","",IF($D855="","★没选客户项目",IF(COUNTIF(合同键,$D855)=0,"★《维保合同》里没这个项目",IF(N($G855)&lt;=0,"★收款金额要填",IF($H855="","★票据类型要选",IF(AND($L855&lt;&gt;"",COUNTIF(应收单号,$L855)=0),"★关联的应收单号不存在",IF(AND($L855&lt;&gt;"",IFERROR(INDEX(应收键,MATCH($L855,应收单号,0)),"")&lt;&gt;$D855),"★关联单号不是这个客户的",IF(AND($L855&lt;&gt;"",ROUND(SUMIF(收款关联,$L855,收款金额)-IFERROR(INDEX(应收金额,MATCH($L855,应收单号,0)),0),2)&gt;0.001),"★指定冲销超过那张单的应收","OK"))))))))</f>
        <v/>
      </c>
    </row>
    <row r="856" customFormat="false" ht="15" hidden="false" customHeight="false" outlineLevel="0" collapsed="false">
      <c r="A856" s="29" t="str">
        <f aca="false">IF($C856="","",ROW()-4)</f>
        <v/>
      </c>
      <c r="B856" s="35" t="str">
        <f aca="false">IF($C856="","","SK"&amp;TEXT($C856,"yyyymm")&amp;"-"&amp;TEXT(ROW()-4,"0000"))</f>
        <v/>
      </c>
      <c r="C856" s="33"/>
      <c r="D856" s="24"/>
      <c r="E856" s="30" t="str">
        <f aca="false">IF($D856="","",IFERROR(INDEX(合同单位,MATCH($D856,合同键,0)),IFERROR(TRIM(LEFT($D856,FIND("｜",$D856)-1)),$D856)))</f>
        <v/>
      </c>
      <c r="F856" s="30" t="str">
        <f aca="false">IF($D856="","",IFERROR(INDEX(合同项目,MATCH($D856,合同键,0)),IFERROR(TRIM(MID($D856,FIND("｜",$D856)+1,99)),"")))</f>
        <v/>
      </c>
      <c r="G856" s="39"/>
      <c r="H856" s="25"/>
      <c r="I856" s="35" t="str">
        <f aca="false">IF($H856="","",IFERROR(INDEX(票据归类表,MATCH($H856,票据类型表,0)),"现金无票"))</f>
        <v/>
      </c>
      <c r="J856" s="25"/>
      <c r="K856" s="25"/>
      <c r="L856" s="31"/>
      <c r="M856" s="29" t="str">
        <f aca="false">IF($C856="","",YEAR($C856))</f>
        <v/>
      </c>
      <c r="N856" s="24"/>
      <c r="O856" s="35" t="str">
        <f aca="false">IF($C856="","",IF($D856="","★没选客户项目",IF(COUNTIF(合同键,$D856)=0,"★《维保合同》里没这个项目",IF(N($G856)&lt;=0,"★收款金额要填",IF($H856="","★票据类型要选",IF(AND($L856&lt;&gt;"",COUNTIF(应收单号,$L856)=0),"★关联的应收单号不存在",IF(AND($L856&lt;&gt;"",IFERROR(INDEX(应收键,MATCH($L856,应收单号,0)),"")&lt;&gt;$D856),"★关联单号不是这个客户的",IF(AND($L856&lt;&gt;"",ROUND(SUMIF(收款关联,$L856,收款金额)-IFERROR(INDEX(应收金额,MATCH($L856,应收单号,0)),0),2)&gt;0.001),"★指定冲销超过那张单的应收","OK"))))))))</f>
        <v/>
      </c>
    </row>
    <row r="857" customFormat="false" ht="15" hidden="false" customHeight="false" outlineLevel="0" collapsed="false">
      <c r="A857" s="29" t="str">
        <f aca="false">IF($C857="","",ROW()-4)</f>
        <v/>
      </c>
      <c r="B857" s="35" t="str">
        <f aca="false">IF($C857="","","SK"&amp;TEXT($C857,"yyyymm")&amp;"-"&amp;TEXT(ROW()-4,"0000"))</f>
        <v/>
      </c>
      <c r="C857" s="33"/>
      <c r="D857" s="24"/>
      <c r="E857" s="30" t="str">
        <f aca="false">IF($D857="","",IFERROR(INDEX(合同单位,MATCH($D857,合同键,0)),IFERROR(TRIM(LEFT($D857,FIND("｜",$D857)-1)),$D857)))</f>
        <v/>
      </c>
      <c r="F857" s="30" t="str">
        <f aca="false">IF($D857="","",IFERROR(INDEX(合同项目,MATCH($D857,合同键,0)),IFERROR(TRIM(MID($D857,FIND("｜",$D857)+1,99)),"")))</f>
        <v/>
      </c>
      <c r="G857" s="39"/>
      <c r="H857" s="25"/>
      <c r="I857" s="35" t="str">
        <f aca="false">IF($H857="","",IFERROR(INDEX(票据归类表,MATCH($H857,票据类型表,0)),"现金无票"))</f>
        <v/>
      </c>
      <c r="J857" s="25"/>
      <c r="K857" s="25"/>
      <c r="L857" s="31"/>
      <c r="M857" s="29" t="str">
        <f aca="false">IF($C857="","",YEAR($C857))</f>
        <v/>
      </c>
      <c r="N857" s="24"/>
      <c r="O857" s="35" t="str">
        <f aca="false">IF($C857="","",IF($D857="","★没选客户项目",IF(COUNTIF(合同键,$D857)=0,"★《维保合同》里没这个项目",IF(N($G857)&lt;=0,"★收款金额要填",IF($H857="","★票据类型要选",IF(AND($L857&lt;&gt;"",COUNTIF(应收单号,$L857)=0),"★关联的应收单号不存在",IF(AND($L857&lt;&gt;"",IFERROR(INDEX(应收键,MATCH($L857,应收单号,0)),"")&lt;&gt;$D857),"★关联单号不是这个客户的",IF(AND($L857&lt;&gt;"",ROUND(SUMIF(收款关联,$L857,收款金额)-IFERROR(INDEX(应收金额,MATCH($L857,应收单号,0)),0),2)&gt;0.001),"★指定冲销超过那张单的应收","OK"))))))))</f>
        <v/>
      </c>
    </row>
    <row r="858" customFormat="false" ht="15" hidden="false" customHeight="false" outlineLevel="0" collapsed="false">
      <c r="A858" s="29" t="str">
        <f aca="false">IF($C858="","",ROW()-4)</f>
        <v/>
      </c>
      <c r="B858" s="35" t="str">
        <f aca="false">IF($C858="","","SK"&amp;TEXT($C858,"yyyymm")&amp;"-"&amp;TEXT(ROW()-4,"0000"))</f>
        <v/>
      </c>
      <c r="C858" s="33"/>
      <c r="D858" s="24"/>
      <c r="E858" s="30" t="str">
        <f aca="false">IF($D858="","",IFERROR(INDEX(合同单位,MATCH($D858,合同键,0)),IFERROR(TRIM(LEFT($D858,FIND("｜",$D858)-1)),$D858)))</f>
        <v/>
      </c>
      <c r="F858" s="30" t="str">
        <f aca="false">IF($D858="","",IFERROR(INDEX(合同项目,MATCH($D858,合同键,0)),IFERROR(TRIM(MID($D858,FIND("｜",$D858)+1,99)),"")))</f>
        <v/>
      </c>
      <c r="G858" s="39"/>
      <c r="H858" s="25"/>
      <c r="I858" s="35" t="str">
        <f aca="false">IF($H858="","",IFERROR(INDEX(票据归类表,MATCH($H858,票据类型表,0)),"现金无票"))</f>
        <v/>
      </c>
      <c r="J858" s="25"/>
      <c r="K858" s="25"/>
      <c r="L858" s="31"/>
      <c r="M858" s="29" t="str">
        <f aca="false">IF($C858="","",YEAR($C858))</f>
        <v/>
      </c>
      <c r="N858" s="24"/>
      <c r="O858" s="35" t="str">
        <f aca="false">IF($C858="","",IF($D858="","★没选客户项目",IF(COUNTIF(合同键,$D858)=0,"★《维保合同》里没这个项目",IF(N($G858)&lt;=0,"★收款金额要填",IF($H858="","★票据类型要选",IF(AND($L858&lt;&gt;"",COUNTIF(应收单号,$L858)=0),"★关联的应收单号不存在",IF(AND($L858&lt;&gt;"",IFERROR(INDEX(应收键,MATCH($L858,应收单号,0)),"")&lt;&gt;$D858),"★关联单号不是这个客户的",IF(AND($L858&lt;&gt;"",ROUND(SUMIF(收款关联,$L858,收款金额)-IFERROR(INDEX(应收金额,MATCH($L858,应收单号,0)),0),2)&gt;0.001),"★指定冲销超过那张单的应收","OK"))))))))</f>
        <v/>
      </c>
    </row>
    <row r="859" customFormat="false" ht="15" hidden="false" customHeight="false" outlineLevel="0" collapsed="false">
      <c r="A859" s="29" t="str">
        <f aca="false">IF($C859="","",ROW()-4)</f>
        <v/>
      </c>
      <c r="B859" s="35" t="str">
        <f aca="false">IF($C859="","","SK"&amp;TEXT($C859,"yyyymm")&amp;"-"&amp;TEXT(ROW()-4,"0000"))</f>
        <v/>
      </c>
      <c r="C859" s="33"/>
      <c r="D859" s="24"/>
      <c r="E859" s="30" t="str">
        <f aca="false">IF($D859="","",IFERROR(INDEX(合同单位,MATCH($D859,合同键,0)),IFERROR(TRIM(LEFT($D859,FIND("｜",$D859)-1)),$D859)))</f>
        <v/>
      </c>
      <c r="F859" s="30" t="str">
        <f aca="false">IF($D859="","",IFERROR(INDEX(合同项目,MATCH($D859,合同键,0)),IFERROR(TRIM(MID($D859,FIND("｜",$D859)+1,99)),"")))</f>
        <v/>
      </c>
      <c r="G859" s="39"/>
      <c r="H859" s="25"/>
      <c r="I859" s="35" t="str">
        <f aca="false">IF($H859="","",IFERROR(INDEX(票据归类表,MATCH($H859,票据类型表,0)),"现金无票"))</f>
        <v/>
      </c>
      <c r="J859" s="25"/>
      <c r="K859" s="25"/>
      <c r="L859" s="31"/>
      <c r="M859" s="29" t="str">
        <f aca="false">IF($C859="","",YEAR($C859))</f>
        <v/>
      </c>
      <c r="N859" s="24"/>
      <c r="O859" s="35" t="str">
        <f aca="false">IF($C859="","",IF($D859="","★没选客户项目",IF(COUNTIF(合同键,$D859)=0,"★《维保合同》里没这个项目",IF(N($G859)&lt;=0,"★收款金额要填",IF($H859="","★票据类型要选",IF(AND($L859&lt;&gt;"",COUNTIF(应收单号,$L859)=0),"★关联的应收单号不存在",IF(AND($L859&lt;&gt;"",IFERROR(INDEX(应收键,MATCH($L859,应收单号,0)),"")&lt;&gt;$D859),"★关联单号不是这个客户的",IF(AND($L859&lt;&gt;"",ROUND(SUMIF(收款关联,$L859,收款金额)-IFERROR(INDEX(应收金额,MATCH($L859,应收单号,0)),0),2)&gt;0.001),"★指定冲销超过那张单的应收","OK"))))))))</f>
        <v/>
      </c>
    </row>
    <row r="860" customFormat="false" ht="15" hidden="false" customHeight="false" outlineLevel="0" collapsed="false">
      <c r="A860" s="29" t="str">
        <f aca="false">IF($C860="","",ROW()-4)</f>
        <v/>
      </c>
      <c r="B860" s="35" t="str">
        <f aca="false">IF($C860="","","SK"&amp;TEXT($C860,"yyyymm")&amp;"-"&amp;TEXT(ROW()-4,"0000"))</f>
        <v/>
      </c>
      <c r="C860" s="33"/>
      <c r="D860" s="24"/>
      <c r="E860" s="30" t="str">
        <f aca="false">IF($D860="","",IFERROR(INDEX(合同单位,MATCH($D860,合同键,0)),IFERROR(TRIM(LEFT($D860,FIND("｜",$D860)-1)),$D860)))</f>
        <v/>
      </c>
      <c r="F860" s="30" t="str">
        <f aca="false">IF($D860="","",IFERROR(INDEX(合同项目,MATCH($D860,合同键,0)),IFERROR(TRIM(MID($D860,FIND("｜",$D860)+1,99)),"")))</f>
        <v/>
      </c>
      <c r="G860" s="39"/>
      <c r="H860" s="25"/>
      <c r="I860" s="35" t="str">
        <f aca="false">IF($H860="","",IFERROR(INDEX(票据归类表,MATCH($H860,票据类型表,0)),"现金无票"))</f>
        <v/>
      </c>
      <c r="J860" s="25"/>
      <c r="K860" s="25"/>
      <c r="L860" s="31"/>
      <c r="M860" s="29" t="str">
        <f aca="false">IF($C860="","",YEAR($C860))</f>
        <v/>
      </c>
      <c r="N860" s="24"/>
      <c r="O860" s="35" t="str">
        <f aca="false">IF($C860="","",IF($D860="","★没选客户项目",IF(COUNTIF(合同键,$D860)=0,"★《维保合同》里没这个项目",IF(N($G860)&lt;=0,"★收款金额要填",IF($H860="","★票据类型要选",IF(AND($L860&lt;&gt;"",COUNTIF(应收单号,$L860)=0),"★关联的应收单号不存在",IF(AND($L860&lt;&gt;"",IFERROR(INDEX(应收键,MATCH($L860,应收单号,0)),"")&lt;&gt;$D860),"★关联单号不是这个客户的",IF(AND($L860&lt;&gt;"",ROUND(SUMIF(收款关联,$L860,收款金额)-IFERROR(INDEX(应收金额,MATCH($L860,应收单号,0)),0),2)&gt;0.001),"★指定冲销超过那张单的应收","OK"))))))))</f>
        <v/>
      </c>
    </row>
    <row r="861" customFormat="false" ht="15" hidden="false" customHeight="false" outlineLevel="0" collapsed="false">
      <c r="A861" s="29" t="str">
        <f aca="false">IF($C861="","",ROW()-4)</f>
        <v/>
      </c>
      <c r="B861" s="35" t="str">
        <f aca="false">IF($C861="","","SK"&amp;TEXT($C861,"yyyymm")&amp;"-"&amp;TEXT(ROW()-4,"0000"))</f>
        <v/>
      </c>
      <c r="C861" s="33"/>
      <c r="D861" s="24"/>
      <c r="E861" s="30" t="str">
        <f aca="false">IF($D861="","",IFERROR(INDEX(合同单位,MATCH($D861,合同键,0)),IFERROR(TRIM(LEFT($D861,FIND("｜",$D861)-1)),$D861)))</f>
        <v/>
      </c>
      <c r="F861" s="30" t="str">
        <f aca="false">IF($D861="","",IFERROR(INDEX(合同项目,MATCH($D861,合同键,0)),IFERROR(TRIM(MID($D861,FIND("｜",$D861)+1,99)),"")))</f>
        <v/>
      </c>
      <c r="G861" s="39"/>
      <c r="H861" s="25"/>
      <c r="I861" s="35" t="str">
        <f aca="false">IF($H861="","",IFERROR(INDEX(票据归类表,MATCH($H861,票据类型表,0)),"现金无票"))</f>
        <v/>
      </c>
      <c r="J861" s="25"/>
      <c r="K861" s="25"/>
      <c r="L861" s="31"/>
      <c r="M861" s="29" t="str">
        <f aca="false">IF($C861="","",YEAR($C861))</f>
        <v/>
      </c>
      <c r="N861" s="24"/>
      <c r="O861" s="35" t="str">
        <f aca="false">IF($C861="","",IF($D861="","★没选客户项目",IF(COUNTIF(合同键,$D861)=0,"★《维保合同》里没这个项目",IF(N($G861)&lt;=0,"★收款金额要填",IF($H861="","★票据类型要选",IF(AND($L861&lt;&gt;"",COUNTIF(应收单号,$L861)=0),"★关联的应收单号不存在",IF(AND($L861&lt;&gt;"",IFERROR(INDEX(应收键,MATCH($L861,应收单号,0)),"")&lt;&gt;$D861),"★关联单号不是这个客户的",IF(AND($L861&lt;&gt;"",ROUND(SUMIF(收款关联,$L861,收款金额)-IFERROR(INDEX(应收金额,MATCH($L861,应收单号,0)),0),2)&gt;0.001),"★指定冲销超过那张单的应收","OK"))))))))</f>
        <v/>
      </c>
    </row>
    <row r="862" customFormat="false" ht="15" hidden="false" customHeight="false" outlineLevel="0" collapsed="false">
      <c r="A862" s="29" t="str">
        <f aca="false">IF($C862="","",ROW()-4)</f>
        <v/>
      </c>
      <c r="B862" s="35" t="str">
        <f aca="false">IF($C862="","","SK"&amp;TEXT($C862,"yyyymm")&amp;"-"&amp;TEXT(ROW()-4,"0000"))</f>
        <v/>
      </c>
      <c r="C862" s="33"/>
      <c r="D862" s="24"/>
      <c r="E862" s="30" t="str">
        <f aca="false">IF($D862="","",IFERROR(INDEX(合同单位,MATCH($D862,合同键,0)),IFERROR(TRIM(LEFT($D862,FIND("｜",$D862)-1)),$D862)))</f>
        <v/>
      </c>
      <c r="F862" s="30" t="str">
        <f aca="false">IF($D862="","",IFERROR(INDEX(合同项目,MATCH($D862,合同键,0)),IFERROR(TRIM(MID($D862,FIND("｜",$D862)+1,99)),"")))</f>
        <v/>
      </c>
      <c r="G862" s="39"/>
      <c r="H862" s="25"/>
      <c r="I862" s="35" t="str">
        <f aca="false">IF($H862="","",IFERROR(INDEX(票据归类表,MATCH($H862,票据类型表,0)),"现金无票"))</f>
        <v/>
      </c>
      <c r="J862" s="25"/>
      <c r="K862" s="25"/>
      <c r="L862" s="31"/>
      <c r="M862" s="29" t="str">
        <f aca="false">IF($C862="","",YEAR($C862))</f>
        <v/>
      </c>
      <c r="N862" s="24"/>
      <c r="O862" s="35" t="str">
        <f aca="false">IF($C862="","",IF($D862="","★没选客户项目",IF(COUNTIF(合同键,$D862)=0,"★《维保合同》里没这个项目",IF(N($G862)&lt;=0,"★收款金额要填",IF($H862="","★票据类型要选",IF(AND($L862&lt;&gt;"",COUNTIF(应收单号,$L862)=0),"★关联的应收单号不存在",IF(AND($L862&lt;&gt;"",IFERROR(INDEX(应收键,MATCH($L862,应收单号,0)),"")&lt;&gt;$D862),"★关联单号不是这个客户的",IF(AND($L862&lt;&gt;"",ROUND(SUMIF(收款关联,$L862,收款金额)-IFERROR(INDEX(应收金额,MATCH($L862,应收单号,0)),0),2)&gt;0.001),"★指定冲销超过那张单的应收","OK"))))))))</f>
        <v/>
      </c>
    </row>
    <row r="863" customFormat="false" ht="15" hidden="false" customHeight="false" outlineLevel="0" collapsed="false">
      <c r="A863" s="29" t="str">
        <f aca="false">IF($C863="","",ROW()-4)</f>
        <v/>
      </c>
      <c r="B863" s="35" t="str">
        <f aca="false">IF($C863="","","SK"&amp;TEXT($C863,"yyyymm")&amp;"-"&amp;TEXT(ROW()-4,"0000"))</f>
        <v/>
      </c>
      <c r="C863" s="33"/>
      <c r="D863" s="24"/>
      <c r="E863" s="30" t="str">
        <f aca="false">IF($D863="","",IFERROR(INDEX(合同单位,MATCH($D863,合同键,0)),IFERROR(TRIM(LEFT($D863,FIND("｜",$D863)-1)),$D863)))</f>
        <v/>
      </c>
      <c r="F863" s="30" t="str">
        <f aca="false">IF($D863="","",IFERROR(INDEX(合同项目,MATCH($D863,合同键,0)),IFERROR(TRIM(MID($D863,FIND("｜",$D863)+1,99)),"")))</f>
        <v/>
      </c>
      <c r="G863" s="39"/>
      <c r="H863" s="25"/>
      <c r="I863" s="35" t="str">
        <f aca="false">IF($H863="","",IFERROR(INDEX(票据归类表,MATCH($H863,票据类型表,0)),"现金无票"))</f>
        <v/>
      </c>
      <c r="J863" s="25"/>
      <c r="K863" s="25"/>
      <c r="L863" s="31"/>
      <c r="M863" s="29" t="str">
        <f aca="false">IF($C863="","",YEAR($C863))</f>
        <v/>
      </c>
      <c r="N863" s="24"/>
      <c r="O863" s="35" t="str">
        <f aca="false">IF($C863="","",IF($D863="","★没选客户项目",IF(COUNTIF(合同键,$D863)=0,"★《维保合同》里没这个项目",IF(N($G863)&lt;=0,"★收款金额要填",IF($H863="","★票据类型要选",IF(AND($L863&lt;&gt;"",COUNTIF(应收单号,$L863)=0),"★关联的应收单号不存在",IF(AND($L863&lt;&gt;"",IFERROR(INDEX(应收键,MATCH($L863,应收单号,0)),"")&lt;&gt;$D863),"★关联单号不是这个客户的",IF(AND($L863&lt;&gt;"",ROUND(SUMIF(收款关联,$L863,收款金额)-IFERROR(INDEX(应收金额,MATCH($L863,应收单号,0)),0),2)&gt;0.001),"★指定冲销超过那张单的应收","OK"))))))))</f>
        <v/>
      </c>
    </row>
    <row r="864" customFormat="false" ht="15" hidden="false" customHeight="false" outlineLevel="0" collapsed="false">
      <c r="A864" s="29" t="str">
        <f aca="false">IF($C864="","",ROW()-4)</f>
        <v/>
      </c>
      <c r="B864" s="35" t="str">
        <f aca="false">IF($C864="","","SK"&amp;TEXT($C864,"yyyymm")&amp;"-"&amp;TEXT(ROW()-4,"0000"))</f>
        <v/>
      </c>
      <c r="C864" s="33"/>
      <c r="D864" s="24"/>
      <c r="E864" s="30" t="str">
        <f aca="false">IF($D864="","",IFERROR(INDEX(合同单位,MATCH($D864,合同键,0)),IFERROR(TRIM(LEFT($D864,FIND("｜",$D864)-1)),$D864)))</f>
        <v/>
      </c>
      <c r="F864" s="30" t="str">
        <f aca="false">IF($D864="","",IFERROR(INDEX(合同项目,MATCH($D864,合同键,0)),IFERROR(TRIM(MID($D864,FIND("｜",$D864)+1,99)),"")))</f>
        <v/>
      </c>
      <c r="G864" s="39"/>
      <c r="H864" s="25"/>
      <c r="I864" s="35" t="str">
        <f aca="false">IF($H864="","",IFERROR(INDEX(票据归类表,MATCH($H864,票据类型表,0)),"现金无票"))</f>
        <v/>
      </c>
      <c r="J864" s="25"/>
      <c r="K864" s="25"/>
      <c r="L864" s="31"/>
      <c r="M864" s="29" t="str">
        <f aca="false">IF($C864="","",YEAR($C864))</f>
        <v/>
      </c>
      <c r="N864" s="24"/>
      <c r="O864" s="35" t="str">
        <f aca="false">IF($C864="","",IF($D864="","★没选客户项目",IF(COUNTIF(合同键,$D864)=0,"★《维保合同》里没这个项目",IF(N($G864)&lt;=0,"★收款金额要填",IF($H864="","★票据类型要选",IF(AND($L864&lt;&gt;"",COUNTIF(应收单号,$L864)=0),"★关联的应收单号不存在",IF(AND($L864&lt;&gt;"",IFERROR(INDEX(应收键,MATCH($L864,应收单号,0)),"")&lt;&gt;$D864),"★关联单号不是这个客户的",IF(AND($L864&lt;&gt;"",ROUND(SUMIF(收款关联,$L864,收款金额)-IFERROR(INDEX(应收金额,MATCH($L864,应收单号,0)),0),2)&gt;0.001),"★指定冲销超过那张单的应收","OK"))))))))</f>
        <v/>
      </c>
    </row>
    <row r="865" customFormat="false" ht="15" hidden="false" customHeight="false" outlineLevel="0" collapsed="false">
      <c r="A865" s="29" t="str">
        <f aca="false">IF($C865="","",ROW()-4)</f>
        <v/>
      </c>
      <c r="B865" s="35" t="str">
        <f aca="false">IF($C865="","","SK"&amp;TEXT($C865,"yyyymm")&amp;"-"&amp;TEXT(ROW()-4,"0000"))</f>
        <v/>
      </c>
      <c r="C865" s="33"/>
      <c r="D865" s="24"/>
      <c r="E865" s="30" t="str">
        <f aca="false">IF($D865="","",IFERROR(INDEX(合同单位,MATCH($D865,合同键,0)),IFERROR(TRIM(LEFT($D865,FIND("｜",$D865)-1)),$D865)))</f>
        <v/>
      </c>
      <c r="F865" s="30" t="str">
        <f aca="false">IF($D865="","",IFERROR(INDEX(合同项目,MATCH($D865,合同键,0)),IFERROR(TRIM(MID($D865,FIND("｜",$D865)+1,99)),"")))</f>
        <v/>
      </c>
      <c r="G865" s="39"/>
      <c r="H865" s="25"/>
      <c r="I865" s="35" t="str">
        <f aca="false">IF($H865="","",IFERROR(INDEX(票据归类表,MATCH($H865,票据类型表,0)),"现金无票"))</f>
        <v/>
      </c>
      <c r="J865" s="25"/>
      <c r="K865" s="25"/>
      <c r="L865" s="31"/>
      <c r="M865" s="29" t="str">
        <f aca="false">IF($C865="","",YEAR($C865))</f>
        <v/>
      </c>
      <c r="N865" s="24"/>
      <c r="O865" s="35" t="str">
        <f aca="false">IF($C865="","",IF($D865="","★没选客户项目",IF(COUNTIF(合同键,$D865)=0,"★《维保合同》里没这个项目",IF(N($G865)&lt;=0,"★收款金额要填",IF($H865="","★票据类型要选",IF(AND($L865&lt;&gt;"",COUNTIF(应收单号,$L865)=0),"★关联的应收单号不存在",IF(AND($L865&lt;&gt;"",IFERROR(INDEX(应收键,MATCH($L865,应收单号,0)),"")&lt;&gt;$D865),"★关联单号不是这个客户的",IF(AND($L865&lt;&gt;"",ROUND(SUMIF(收款关联,$L865,收款金额)-IFERROR(INDEX(应收金额,MATCH($L865,应收单号,0)),0),2)&gt;0.001),"★指定冲销超过那张单的应收","OK"))))))))</f>
        <v/>
      </c>
    </row>
    <row r="866" customFormat="false" ht="15" hidden="false" customHeight="false" outlineLevel="0" collapsed="false">
      <c r="A866" s="29" t="str">
        <f aca="false">IF($C866="","",ROW()-4)</f>
        <v/>
      </c>
      <c r="B866" s="35" t="str">
        <f aca="false">IF($C866="","","SK"&amp;TEXT($C866,"yyyymm")&amp;"-"&amp;TEXT(ROW()-4,"0000"))</f>
        <v/>
      </c>
      <c r="C866" s="33"/>
      <c r="D866" s="24"/>
      <c r="E866" s="30" t="str">
        <f aca="false">IF($D866="","",IFERROR(INDEX(合同单位,MATCH($D866,合同键,0)),IFERROR(TRIM(LEFT($D866,FIND("｜",$D866)-1)),$D866)))</f>
        <v/>
      </c>
      <c r="F866" s="30" t="str">
        <f aca="false">IF($D866="","",IFERROR(INDEX(合同项目,MATCH($D866,合同键,0)),IFERROR(TRIM(MID($D866,FIND("｜",$D866)+1,99)),"")))</f>
        <v/>
      </c>
      <c r="G866" s="39"/>
      <c r="H866" s="25"/>
      <c r="I866" s="35" t="str">
        <f aca="false">IF($H866="","",IFERROR(INDEX(票据归类表,MATCH($H866,票据类型表,0)),"现金无票"))</f>
        <v/>
      </c>
      <c r="J866" s="25"/>
      <c r="K866" s="25"/>
      <c r="L866" s="31"/>
      <c r="M866" s="29" t="str">
        <f aca="false">IF($C866="","",YEAR($C866))</f>
        <v/>
      </c>
      <c r="N866" s="24"/>
      <c r="O866" s="35" t="str">
        <f aca="false">IF($C866="","",IF($D866="","★没选客户项目",IF(COUNTIF(合同键,$D866)=0,"★《维保合同》里没这个项目",IF(N($G866)&lt;=0,"★收款金额要填",IF($H866="","★票据类型要选",IF(AND($L866&lt;&gt;"",COUNTIF(应收单号,$L866)=0),"★关联的应收单号不存在",IF(AND($L866&lt;&gt;"",IFERROR(INDEX(应收键,MATCH($L866,应收单号,0)),"")&lt;&gt;$D866),"★关联单号不是这个客户的",IF(AND($L866&lt;&gt;"",ROUND(SUMIF(收款关联,$L866,收款金额)-IFERROR(INDEX(应收金额,MATCH($L866,应收单号,0)),0),2)&gt;0.001),"★指定冲销超过那张单的应收","OK"))))))))</f>
        <v/>
      </c>
    </row>
    <row r="867" customFormat="false" ht="15" hidden="false" customHeight="false" outlineLevel="0" collapsed="false">
      <c r="A867" s="29" t="str">
        <f aca="false">IF($C867="","",ROW()-4)</f>
        <v/>
      </c>
      <c r="B867" s="35" t="str">
        <f aca="false">IF($C867="","","SK"&amp;TEXT($C867,"yyyymm")&amp;"-"&amp;TEXT(ROW()-4,"0000"))</f>
        <v/>
      </c>
      <c r="C867" s="33"/>
      <c r="D867" s="24"/>
      <c r="E867" s="30" t="str">
        <f aca="false">IF($D867="","",IFERROR(INDEX(合同单位,MATCH($D867,合同键,0)),IFERROR(TRIM(LEFT($D867,FIND("｜",$D867)-1)),$D867)))</f>
        <v/>
      </c>
      <c r="F867" s="30" t="str">
        <f aca="false">IF($D867="","",IFERROR(INDEX(合同项目,MATCH($D867,合同键,0)),IFERROR(TRIM(MID($D867,FIND("｜",$D867)+1,99)),"")))</f>
        <v/>
      </c>
      <c r="G867" s="39"/>
      <c r="H867" s="25"/>
      <c r="I867" s="35" t="str">
        <f aca="false">IF($H867="","",IFERROR(INDEX(票据归类表,MATCH($H867,票据类型表,0)),"现金无票"))</f>
        <v/>
      </c>
      <c r="J867" s="25"/>
      <c r="K867" s="25"/>
      <c r="L867" s="31"/>
      <c r="M867" s="29" t="str">
        <f aca="false">IF($C867="","",YEAR($C867))</f>
        <v/>
      </c>
      <c r="N867" s="24"/>
      <c r="O867" s="35" t="str">
        <f aca="false">IF($C867="","",IF($D867="","★没选客户项目",IF(COUNTIF(合同键,$D867)=0,"★《维保合同》里没这个项目",IF(N($G867)&lt;=0,"★收款金额要填",IF($H867="","★票据类型要选",IF(AND($L867&lt;&gt;"",COUNTIF(应收单号,$L867)=0),"★关联的应收单号不存在",IF(AND($L867&lt;&gt;"",IFERROR(INDEX(应收键,MATCH($L867,应收单号,0)),"")&lt;&gt;$D867),"★关联单号不是这个客户的",IF(AND($L867&lt;&gt;"",ROUND(SUMIF(收款关联,$L867,收款金额)-IFERROR(INDEX(应收金额,MATCH($L867,应收单号,0)),0),2)&gt;0.001),"★指定冲销超过那张单的应收","OK"))))))))</f>
        <v/>
      </c>
    </row>
    <row r="868" customFormat="false" ht="15" hidden="false" customHeight="false" outlineLevel="0" collapsed="false">
      <c r="A868" s="29" t="str">
        <f aca="false">IF($C868="","",ROW()-4)</f>
        <v/>
      </c>
      <c r="B868" s="35" t="str">
        <f aca="false">IF($C868="","","SK"&amp;TEXT($C868,"yyyymm")&amp;"-"&amp;TEXT(ROW()-4,"0000"))</f>
        <v/>
      </c>
      <c r="C868" s="33"/>
      <c r="D868" s="24"/>
      <c r="E868" s="30" t="str">
        <f aca="false">IF($D868="","",IFERROR(INDEX(合同单位,MATCH($D868,合同键,0)),IFERROR(TRIM(LEFT($D868,FIND("｜",$D868)-1)),$D868)))</f>
        <v/>
      </c>
      <c r="F868" s="30" t="str">
        <f aca="false">IF($D868="","",IFERROR(INDEX(合同项目,MATCH($D868,合同键,0)),IFERROR(TRIM(MID($D868,FIND("｜",$D868)+1,99)),"")))</f>
        <v/>
      </c>
      <c r="G868" s="39"/>
      <c r="H868" s="25"/>
      <c r="I868" s="35" t="str">
        <f aca="false">IF($H868="","",IFERROR(INDEX(票据归类表,MATCH($H868,票据类型表,0)),"现金无票"))</f>
        <v/>
      </c>
      <c r="J868" s="25"/>
      <c r="K868" s="25"/>
      <c r="L868" s="31"/>
      <c r="M868" s="29" t="str">
        <f aca="false">IF($C868="","",YEAR($C868))</f>
        <v/>
      </c>
      <c r="N868" s="24"/>
      <c r="O868" s="35" t="str">
        <f aca="false">IF($C868="","",IF($D868="","★没选客户项目",IF(COUNTIF(合同键,$D868)=0,"★《维保合同》里没这个项目",IF(N($G868)&lt;=0,"★收款金额要填",IF($H868="","★票据类型要选",IF(AND($L868&lt;&gt;"",COUNTIF(应收单号,$L868)=0),"★关联的应收单号不存在",IF(AND($L868&lt;&gt;"",IFERROR(INDEX(应收键,MATCH($L868,应收单号,0)),"")&lt;&gt;$D868),"★关联单号不是这个客户的",IF(AND($L868&lt;&gt;"",ROUND(SUMIF(收款关联,$L868,收款金额)-IFERROR(INDEX(应收金额,MATCH($L868,应收单号,0)),0),2)&gt;0.001),"★指定冲销超过那张单的应收","OK"))))))))</f>
        <v/>
      </c>
    </row>
    <row r="869" customFormat="false" ht="15" hidden="false" customHeight="false" outlineLevel="0" collapsed="false">
      <c r="A869" s="29" t="str">
        <f aca="false">IF($C869="","",ROW()-4)</f>
        <v/>
      </c>
      <c r="B869" s="35" t="str">
        <f aca="false">IF($C869="","","SK"&amp;TEXT($C869,"yyyymm")&amp;"-"&amp;TEXT(ROW()-4,"0000"))</f>
        <v/>
      </c>
      <c r="C869" s="33"/>
      <c r="D869" s="24"/>
      <c r="E869" s="30" t="str">
        <f aca="false">IF($D869="","",IFERROR(INDEX(合同单位,MATCH($D869,合同键,0)),IFERROR(TRIM(LEFT($D869,FIND("｜",$D869)-1)),$D869)))</f>
        <v/>
      </c>
      <c r="F869" s="30" t="str">
        <f aca="false">IF($D869="","",IFERROR(INDEX(合同项目,MATCH($D869,合同键,0)),IFERROR(TRIM(MID($D869,FIND("｜",$D869)+1,99)),"")))</f>
        <v/>
      </c>
      <c r="G869" s="39"/>
      <c r="H869" s="25"/>
      <c r="I869" s="35" t="str">
        <f aca="false">IF($H869="","",IFERROR(INDEX(票据归类表,MATCH($H869,票据类型表,0)),"现金无票"))</f>
        <v/>
      </c>
      <c r="J869" s="25"/>
      <c r="K869" s="25"/>
      <c r="L869" s="31"/>
      <c r="M869" s="29" t="str">
        <f aca="false">IF($C869="","",YEAR($C869))</f>
        <v/>
      </c>
      <c r="N869" s="24"/>
      <c r="O869" s="35" t="str">
        <f aca="false">IF($C869="","",IF($D869="","★没选客户项目",IF(COUNTIF(合同键,$D869)=0,"★《维保合同》里没这个项目",IF(N($G869)&lt;=0,"★收款金额要填",IF($H869="","★票据类型要选",IF(AND($L869&lt;&gt;"",COUNTIF(应收单号,$L869)=0),"★关联的应收单号不存在",IF(AND($L869&lt;&gt;"",IFERROR(INDEX(应收键,MATCH($L869,应收单号,0)),"")&lt;&gt;$D869),"★关联单号不是这个客户的",IF(AND($L869&lt;&gt;"",ROUND(SUMIF(收款关联,$L869,收款金额)-IFERROR(INDEX(应收金额,MATCH($L869,应收单号,0)),0),2)&gt;0.001),"★指定冲销超过那张单的应收","OK"))))))))</f>
        <v/>
      </c>
    </row>
    <row r="870" customFormat="false" ht="15" hidden="false" customHeight="false" outlineLevel="0" collapsed="false">
      <c r="A870" s="29" t="str">
        <f aca="false">IF($C870="","",ROW()-4)</f>
        <v/>
      </c>
      <c r="B870" s="35" t="str">
        <f aca="false">IF($C870="","","SK"&amp;TEXT($C870,"yyyymm")&amp;"-"&amp;TEXT(ROW()-4,"0000"))</f>
        <v/>
      </c>
      <c r="C870" s="33"/>
      <c r="D870" s="24"/>
      <c r="E870" s="30" t="str">
        <f aca="false">IF($D870="","",IFERROR(INDEX(合同单位,MATCH($D870,合同键,0)),IFERROR(TRIM(LEFT($D870,FIND("｜",$D870)-1)),$D870)))</f>
        <v/>
      </c>
      <c r="F870" s="30" t="str">
        <f aca="false">IF($D870="","",IFERROR(INDEX(合同项目,MATCH($D870,合同键,0)),IFERROR(TRIM(MID($D870,FIND("｜",$D870)+1,99)),"")))</f>
        <v/>
      </c>
      <c r="G870" s="39"/>
      <c r="H870" s="25"/>
      <c r="I870" s="35" t="str">
        <f aca="false">IF($H870="","",IFERROR(INDEX(票据归类表,MATCH($H870,票据类型表,0)),"现金无票"))</f>
        <v/>
      </c>
      <c r="J870" s="25"/>
      <c r="K870" s="25"/>
      <c r="L870" s="31"/>
      <c r="M870" s="29" t="str">
        <f aca="false">IF($C870="","",YEAR($C870))</f>
        <v/>
      </c>
      <c r="N870" s="24"/>
      <c r="O870" s="35" t="str">
        <f aca="false">IF($C870="","",IF($D870="","★没选客户项目",IF(COUNTIF(合同键,$D870)=0,"★《维保合同》里没这个项目",IF(N($G870)&lt;=0,"★收款金额要填",IF($H870="","★票据类型要选",IF(AND($L870&lt;&gt;"",COUNTIF(应收单号,$L870)=0),"★关联的应收单号不存在",IF(AND($L870&lt;&gt;"",IFERROR(INDEX(应收键,MATCH($L870,应收单号,0)),"")&lt;&gt;$D870),"★关联单号不是这个客户的",IF(AND($L870&lt;&gt;"",ROUND(SUMIF(收款关联,$L870,收款金额)-IFERROR(INDEX(应收金额,MATCH($L870,应收单号,0)),0),2)&gt;0.001),"★指定冲销超过那张单的应收","OK"))))))))</f>
        <v/>
      </c>
    </row>
    <row r="871" customFormat="false" ht="15" hidden="false" customHeight="false" outlineLevel="0" collapsed="false">
      <c r="A871" s="29" t="str">
        <f aca="false">IF($C871="","",ROW()-4)</f>
        <v/>
      </c>
      <c r="B871" s="35" t="str">
        <f aca="false">IF($C871="","","SK"&amp;TEXT($C871,"yyyymm")&amp;"-"&amp;TEXT(ROW()-4,"0000"))</f>
        <v/>
      </c>
      <c r="C871" s="33"/>
      <c r="D871" s="24"/>
      <c r="E871" s="30" t="str">
        <f aca="false">IF($D871="","",IFERROR(INDEX(合同单位,MATCH($D871,合同键,0)),IFERROR(TRIM(LEFT($D871,FIND("｜",$D871)-1)),$D871)))</f>
        <v/>
      </c>
      <c r="F871" s="30" t="str">
        <f aca="false">IF($D871="","",IFERROR(INDEX(合同项目,MATCH($D871,合同键,0)),IFERROR(TRIM(MID($D871,FIND("｜",$D871)+1,99)),"")))</f>
        <v/>
      </c>
      <c r="G871" s="39"/>
      <c r="H871" s="25"/>
      <c r="I871" s="35" t="str">
        <f aca="false">IF($H871="","",IFERROR(INDEX(票据归类表,MATCH($H871,票据类型表,0)),"现金无票"))</f>
        <v/>
      </c>
      <c r="J871" s="25"/>
      <c r="K871" s="25"/>
      <c r="L871" s="31"/>
      <c r="M871" s="29" t="str">
        <f aca="false">IF($C871="","",YEAR($C871))</f>
        <v/>
      </c>
      <c r="N871" s="24"/>
      <c r="O871" s="35" t="str">
        <f aca="false">IF($C871="","",IF($D871="","★没选客户项目",IF(COUNTIF(合同键,$D871)=0,"★《维保合同》里没这个项目",IF(N($G871)&lt;=0,"★收款金额要填",IF($H871="","★票据类型要选",IF(AND($L871&lt;&gt;"",COUNTIF(应收单号,$L871)=0),"★关联的应收单号不存在",IF(AND($L871&lt;&gt;"",IFERROR(INDEX(应收键,MATCH($L871,应收单号,0)),"")&lt;&gt;$D871),"★关联单号不是这个客户的",IF(AND($L871&lt;&gt;"",ROUND(SUMIF(收款关联,$L871,收款金额)-IFERROR(INDEX(应收金额,MATCH($L871,应收单号,0)),0),2)&gt;0.001),"★指定冲销超过那张单的应收","OK"))))))))</f>
        <v/>
      </c>
    </row>
    <row r="872" customFormat="false" ht="15" hidden="false" customHeight="false" outlineLevel="0" collapsed="false">
      <c r="A872" s="29" t="str">
        <f aca="false">IF($C872="","",ROW()-4)</f>
        <v/>
      </c>
      <c r="B872" s="35" t="str">
        <f aca="false">IF($C872="","","SK"&amp;TEXT($C872,"yyyymm")&amp;"-"&amp;TEXT(ROW()-4,"0000"))</f>
        <v/>
      </c>
      <c r="C872" s="33"/>
      <c r="D872" s="24"/>
      <c r="E872" s="30" t="str">
        <f aca="false">IF($D872="","",IFERROR(INDEX(合同单位,MATCH($D872,合同键,0)),IFERROR(TRIM(LEFT($D872,FIND("｜",$D872)-1)),$D872)))</f>
        <v/>
      </c>
      <c r="F872" s="30" t="str">
        <f aca="false">IF($D872="","",IFERROR(INDEX(合同项目,MATCH($D872,合同键,0)),IFERROR(TRIM(MID($D872,FIND("｜",$D872)+1,99)),"")))</f>
        <v/>
      </c>
      <c r="G872" s="39"/>
      <c r="H872" s="25"/>
      <c r="I872" s="35" t="str">
        <f aca="false">IF($H872="","",IFERROR(INDEX(票据归类表,MATCH($H872,票据类型表,0)),"现金无票"))</f>
        <v/>
      </c>
      <c r="J872" s="25"/>
      <c r="K872" s="25"/>
      <c r="L872" s="31"/>
      <c r="M872" s="29" t="str">
        <f aca="false">IF($C872="","",YEAR($C872))</f>
        <v/>
      </c>
      <c r="N872" s="24"/>
      <c r="O872" s="35" t="str">
        <f aca="false">IF($C872="","",IF($D872="","★没选客户项目",IF(COUNTIF(合同键,$D872)=0,"★《维保合同》里没这个项目",IF(N($G872)&lt;=0,"★收款金额要填",IF($H872="","★票据类型要选",IF(AND($L872&lt;&gt;"",COUNTIF(应收单号,$L872)=0),"★关联的应收单号不存在",IF(AND($L872&lt;&gt;"",IFERROR(INDEX(应收键,MATCH($L872,应收单号,0)),"")&lt;&gt;$D872),"★关联单号不是这个客户的",IF(AND($L872&lt;&gt;"",ROUND(SUMIF(收款关联,$L872,收款金额)-IFERROR(INDEX(应收金额,MATCH($L872,应收单号,0)),0),2)&gt;0.001),"★指定冲销超过那张单的应收","OK"))))))))</f>
        <v/>
      </c>
    </row>
    <row r="873" customFormat="false" ht="15" hidden="false" customHeight="false" outlineLevel="0" collapsed="false">
      <c r="A873" s="29" t="str">
        <f aca="false">IF($C873="","",ROW()-4)</f>
        <v/>
      </c>
      <c r="B873" s="35" t="str">
        <f aca="false">IF($C873="","","SK"&amp;TEXT($C873,"yyyymm")&amp;"-"&amp;TEXT(ROW()-4,"0000"))</f>
        <v/>
      </c>
      <c r="C873" s="33"/>
      <c r="D873" s="24"/>
      <c r="E873" s="30" t="str">
        <f aca="false">IF($D873="","",IFERROR(INDEX(合同单位,MATCH($D873,合同键,0)),IFERROR(TRIM(LEFT($D873,FIND("｜",$D873)-1)),$D873)))</f>
        <v/>
      </c>
      <c r="F873" s="30" t="str">
        <f aca="false">IF($D873="","",IFERROR(INDEX(合同项目,MATCH($D873,合同键,0)),IFERROR(TRIM(MID($D873,FIND("｜",$D873)+1,99)),"")))</f>
        <v/>
      </c>
      <c r="G873" s="39"/>
      <c r="H873" s="25"/>
      <c r="I873" s="35" t="str">
        <f aca="false">IF($H873="","",IFERROR(INDEX(票据归类表,MATCH($H873,票据类型表,0)),"现金无票"))</f>
        <v/>
      </c>
      <c r="J873" s="25"/>
      <c r="K873" s="25"/>
      <c r="L873" s="31"/>
      <c r="M873" s="29" t="str">
        <f aca="false">IF($C873="","",YEAR($C873))</f>
        <v/>
      </c>
      <c r="N873" s="24"/>
      <c r="O873" s="35" t="str">
        <f aca="false">IF($C873="","",IF($D873="","★没选客户项目",IF(COUNTIF(合同键,$D873)=0,"★《维保合同》里没这个项目",IF(N($G873)&lt;=0,"★收款金额要填",IF($H873="","★票据类型要选",IF(AND($L873&lt;&gt;"",COUNTIF(应收单号,$L873)=0),"★关联的应收单号不存在",IF(AND($L873&lt;&gt;"",IFERROR(INDEX(应收键,MATCH($L873,应收单号,0)),"")&lt;&gt;$D873),"★关联单号不是这个客户的",IF(AND($L873&lt;&gt;"",ROUND(SUMIF(收款关联,$L873,收款金额)-IFERROR(INDEX(应收金额,MATCH($L873,应收单号,0)),0),2)&gt;0.001),"★指定冲销超过那张单的应收","OK"))))))))</f>
        <v/>
      </c>
    </row>
    <row r="874" customFormat="false" ht="15" hidden="false" customHeight="false" outlineLevel="0" collapsed="false">
      <c r="A874" s="29" t="str">
        <f aca="false">IF($C874="","",ROW()-4)</f>
        <v/>
      </c>
      <c r="B874" s="35" t="str">
        <f aca="false">IF($C874="","","SK"&amp;TEXT($C874,"yyyymm")&amp;"-"&amp;TEXT(ROW()-4,"0000"))</f>
        <v/>
      </c>
      <c r="C874" s="33"/>
      <c r="D874" s="24"/>
      <c r="E874" s="30" t="str">
        <f aca="false">IF($D874="","",IFERROR(INDEX(合同单位,MATCH($D874,合同键,0)),IFERROR(TRIM(LEFT($D874,FIND("｜",$D874)-1)),$D874)))</f>
        <v/>
      </c>
      <c r="F874" s="30" t="str">
        <f aca="false">IF($D874="","",IFERROR(INDEX(合同项目,MATCH($D874,合同键,0)),IFERROR(TRIM(MID($D874,FIND("｜",$D874)+1,99)),"")))</f>
        <v/>
      </c>
      <c r="G874" s="39"/>
      <c r="H874" s="25"/>
      <c r="I874" s="35" t="str">
        <f aca="false">IF($H874="","",IFERROR(INDEX(票据归类表,MATCH($H874,票据类型表,0)),"现金无票"))</f>
        <v/>
      </c>
      <c r="J874" s="25"/>
      <c r="K874" s="25"/>
      <c r="L874" s="31"/>
      <c r="M874" s="29" t="str">
        <f aca="false">IF($C874="","",YEAR($C874))</f>
        <v/>
      </c>
      <c r="N874" s="24"/>
      <c r="O874" s="35" t="str">
        <f aca="false">IF($C874="","",IF($D874="","★没选客户项目",IF(COUNTIF(合同键,$D874)=0,"★《维保合同》里没这个项目",IF(N($G874)&lt;=0,"★收款金额要填",IF($H874="","★票据类型要选",IF(AND($L874&lt;&gt;"",COUNTIF(应收单号,$L874)=0),"★关联的应收单号不存在",IF(AND($L874&lt;&gt;"",IFERROR(INDEX(应收键,MATCH($L874,应收单号,0)),"")&lt;&gt;$D874),"★关联单号不是这个客户的",IF(AND($L874&lt;&gt;"",ROUND(SUMIF(收款关联,$L874,收款金额)-IFERROR(INDEX(应收金额,MATCH($L874,应收单号,0)),0),2)&gt;0.001),"★指定冲销超过那张单的应收","OK"))))))))</f>
        <v/>
      </c>
    </row>
    <row r="875" customFormat="false" ht="15" hidden="false" customHeight="false" outlineLevel="0" collapsed="false">
      <c r="A875" s="29" t="str">
        <f aca="false">IF($C875="","",ROW()-4)</f>
        <v/>
      </c>
      <c r="B875" s="35" t="str">
        <f aca="false">IF($C875="","","SK"&amp;TEXT($C875,"yyyymm")&amp;"-"&amp;TEXT(ROW()-4,"0000"))</f>
        <v/>
      </c>
      <c r="C875" s="33"/>
      <c r="D875" s="24"/>
      <c r="E875" s="30" t="str">
        <f aca="false">IF($D875="","",IFERROR(INDEX(合同单位,MATCH($D875,合同键,0)),IFERROR(TRIM(LEFT($D875,FIND("｜",$D875)-1)),$D875)))</f>
        <v/>
      </c>
      <c r="F875" s="30" t="str">
        <f aca="false">IF($D875="","",IFERROR(INDEX(合同项目,MATCH($D875,合同键,0)),IFERROR(TRIM(MID($D875,FIND("｜",$D875)+1,99)),"")))</f>
        <v/>
      </c>
      <c r="G875" s="39"/>
      <c r="H875" s="25"/>
      <c r="I875" s="35" t="str">
        <f aca="false">IF($H875="","",IFERROR(INDEX(票据归类表,MATCH($H875,票据类型表,0)),"现金无票"))</f>
        <v/>
      </c>
      <c r="J875" s="25"/>
      <c r="K875" s="25"/>
      <c r="L875" s="31"/>
      <c r="M875" s="29" t="str">
        <f aca="false">IF($C875="","",YEAR($C875))</f>
        <v/>
      </c>
      <c r="N875" s="24"/>
      <c r="O875" s="35" t="str">
        <f aca="false">IF($C875="","",IF($D875="","★没选客户项目",IF(COUNTIF(合同键,$D875)=0,"★《维保合同》里没这个项目",IF(N($G875)&lt;=0,"★收款金额要填",IF($H875="","★票据类型要选",IF(AND($L875&lt;&gt;"",COUNTIF(应收单号,$L875)=0),"★关联的应收单号不存在",IF(AND($L875&lt;&gt;"",IFERROR(INDEX(应收键,MATCH($L875,应收单号,0)),"")&lt;&gt;$D875),"★关联单号不是这个客户的",IF(AND($L875&lt;&gt;"",ROUND(SUMIF(收款关联,$L875,收款金额)-IFERROR(INDEX(应收金额,MATCH($L875,应收单号,0)),0),2)&gt;0.001),"★指定冲销超过那张单的应收","OK"))))))))</f>
        <v/>
      </c>
    </row>
    <row r="876" customFormat="false" ht="15" hidden="false" customHeight="false" outlineLevel="0" collapsed="false">
      <c r="A876" s="29" t="str">
        <f aca="false">IF($C876="","",ROW()-4)</f>
        <v/>
      </c>
      <c r="B876" s="35" t="str">
        <f aca="false">IF($C876="","","SK"&amp;TEXT($C876,"yyyymm")&amp;"-"&amp;TEXT(ROW()-4,"0000"))</f>
        <v/>
      </c>
      <c r="C876" s="33"/>
      <c r="D876" s="24"/>
      <c r="E876" s="30" t="str">
        <f aca="false">IF($D876="","",IFERROR(INDEX(合同单位,MATCH($D876,合同键,0)),IFERROR(TRIM(LEFT($D876,FIND("｜",$D876)-1)),$D876)))</f>
        <v/>
      </c>
      <c r="F876" s="30" t="str">
        <f aca="false">IF($D876="","",IFERROR(INDEX(合同项目,MATCH($D876,合同键,0)),IFERROR(TRIM(MID($D876,FIND("｜",$D876)+1,99)),"")))</f>
        <v/>
      </c>
      <c r="G876" s="39"/>
      <c r="H876" s="25"/>
      <c r="I876" s="35" t="str">
        <f aca="false">IF($H876="","",IFERROR(INDEX(票据归类表,MATCH($H876,票据类型表,0)),"现金无票"))</f>
        <v/>
      </c>
      <c r="J876" s="25"/>
      <c r="K876" s="25"/>
      <c r="L876" s="31"/>
      <c r="M876" s="29" t="str">
        <f aca="false">IF($C876="","",YEAR($C876))</f>
        <v/>
      </c>
      <c r="N876" s="24"/>
      <c r="O876" s="35" t="str">
        <f aca="false">IF($C876="","",IF($D876="","★没选客户项目",IF(COUNTIF(合同键,$D876)=0,"★《维保合同》里没这个项目",IF(N($G876)&lt;=0,"★收款金额要填",IF($H876="","★票据类型要选",IF(AND($L876&lt;&gt;"",COUNTIF(应收单号,$L876)=0),"★关联的应收单号不存在",IF(AND($L876&lt;&gt;"",IFERROR(INDEX(应收键,MATCH($L876,应收单号,0)),"")&lt;&gt;$D876),"★关联单号不是这个客户的",IF(AND($L876&lt;&gt;"",ROUND(SUMIF(收款关联,$L876,收款金额)-IFERROR(INDEX(应收金额,MATCH($L876,应收单号,0)),0),2)&gt;0.001),"★指定冲销超过那张单的应收","OK"))))))))</f>
        <v/>
      </c>
    </row>
    <row r="877" customFormat="false" ht="15" hidden="false" customHeight="false" outlineLevel="0" collapsed="false">
      <c r="A877" s="29" t="str">
        <f aca="false">IF($C877="","",ROW()-4)</f>
        <v/>
      </c>
      <c r="B877" s="35" t="str">
        <f aca="false">IF($C877="","","SK"&amp;TEXT($C877,"yyyymm")&amp;"-"&amp;TEXT(ROW()-4,"0000"))</f>
        <v/>
      </c>
      <c r="C877" s="33"/>
      <c r="D877" s="24"/>
      <c r="E877" s="30" t="str">
        <f aca="false">IF($D877="","",IFERROR(INDEX(合同单位,MATCH($D877,合同键,0)),IFERROR(TRIM(LEFT($D877,FIND("｜",$D877)-1)),$D877)))</f>
        <v/>
      </c>
      <c r="F877" s="30" t="str">
        <f aca="false">IF($D877="","",IFERROR(INDEX(合同项目,MATCH($D877,合同键,0)),IFERROR(TRIM(MID($D877,FIND("｜",$D877)+1,99)),"")))</f>
        <v/>
      </c>
      <c r="G877" s="39"/>
      <c r="H877" s="25"/>
      <c r="I877" s="35" t="str">
        <f aca="false">IF($H877="","",IFERROR(INDEX(票据归类表,MATCH($H877,票据类型表,0)),"现金无票"))</f>
        <v/>
      </c>
      <c r="J877" s="25"/>
      <c r="K877" s="25"/>
      <c r="L877" s="31"/>
      <c r="M877" s="29" t="str">
        <f aca="false">IF($C877="","",YEAR($C877))</f>
        <v/>
      </c>
      <c r="N877" s="24"/>
      <c r="O877" s="35" t="str">
        <f aca="false">IF($C877="","",IF($D877="","★没选客户项目",IF(COUNTIF(合同键,$D877)=0,"★《维保合同》里没这个项目",IF(N($G877)&lt;=0,"★收款金额要填",IF($H877="","★票据类型要选",IF(AND($L877&lt;&gt;"",COUNTIF(应收单号,$L877)=0),"★关联的应收单号不存在",IF(AND($L877&lt;&gt;"",IFERROR(INDEX(应收键,MATCH($L877,应收单号,0)),"")&lt;&gt;$D877),"★关联单号不是这个客户的",IF(AND($L877&lt;&gt;"",ROUND(SUMIF(收款关联,$L877,收款金额)-IFERROR(INDEX(应收金额,MATCH($L877,应收单号,0)),0),2)&gt;0.001),"★指定冲销超过那张单的应收","OK"))))))))</f>
        <v/>
      </c>
    </row>
    <row r="878" customFormat="false" ht="15" hidden="false" customHeight="false" outlineLevel="0" collapsed="false">
      <c r="A878" s="29" t="str">
        <f aca="false">IF($C878="","",ROW()-4)</f>
        <v/>
      </c>
      <c r="B878" s="35" t="str">
        <f aca="false">IF($C878="","","SK"&amp;TEXT($C878,"yyyymm")&amp;"-"&amp;TEXT(ROW()-4,"0000"))</f>
        <v/>
      </c>
      <c r="C878" s="33"/>
      <c r="D878" s="24"/>
      <c r="E878" s="30" t="str">
        <f aca="false">IF($D878="","",IFERROR(INDEX(合同单位,MATCH($D878,合同键,0)),IFERROR(TRIM(LEFT($D878,FIND("｜",$D878)-1)),$D878)))</f>
        <v/>
      </c>
      <c r="F878" s="30" t="str">
        <f aca="false">IF($D878="","",IFERROR(INDEX(合同项目,MATCH($D878,合同键,0)),IFERROR(TRIM(MID($D878,FIND("｜",$D878)+1,99)),"")))</f>
        <v/>
      </c>
      <c r="G878" s="39"/>
      <c r="H878" s="25"/>
      <c r="I878" s="35" t="str">
        <f aca="false">IF($H878="","",IFERROR(INDEX(票据归类表,MATCH($H878,票据类型表,0)),"现金无票"))</f>
        <v/>
      </c>
      <c r="J878" s="25"/>
      <c r="K878" s="25"/>
      <c r="L878" s="31"/>
      <c r="M878" s="29" t="str">
        <f aca="false">IF($C878="","",YEAR($C878))</f>
        <v/>
      </c>
      <c r="N878" s="24"/>
      <c r="O878" s="35" t="str">
        <f aca="false">IF($C878="","",IF($D878="","★没选客户项目",IF(COUNTIF(合同键,$D878)=0,"★《维保合同》里没这个项目",IF(N($G878)&lt;=0,"★收款金额要填",IF($H878="","★票据类型要选",IF(AND($L878&lt;&gt;"",COUNTIF(应收单号,$L878)=0),"★关联的应收单号不存在",IF(AND($L878&lt;&gt;"",IFERROR(INDEX(应收键,MATCH($L878,应收单号,0)),"")&lt;&gt;$D878),"★关联单号不是这个客户的",IF(AND($L878&lt;&gt;"",ROUND(SUMIF(收款关联,$L878,收款金额)-IFERROR(INDEX(应收金额,MATCH($L878,应收单号,0)),0),2)&gt;0.001),"★指定冲销超过那张单的应收","OK"))))))))</f>
        <v/>
      </c>
    </row>
    <row r="879" customFormat="false" ht="15" hidden="false" customHeight="false" outlineLevel="0" collapsed="false">
      <c r="A879" s="29" t="str">
        <f aca="false">IF($C879="","",ROW()-4)</f>
        <v/>
      </c>
      <c r="B879" s="35" t="str">
        <f aca="false">IF($C879="","","SK"&amp;TEXT($C879,"yyyymm")&amp;"-"&amp;TEXT(ROW()-4,"0000"))</f>
        <v/>
      </c>
      <c r="C879" s="33"/>
      <c r="D879" s="24"/>
      <c r="E879" s="30" t="str">
        <f aca="false">IF($D879="","",IFERROR(INDEX(合同单位,MATCH($D879,合同键,0)),IFERROR(TRIM(LEFT($D879,FIND("｜",$D879)-1)),$D879)))</f>
        <v/>
      </c>
      <c r="F879" s="30" t="str">
        <f aca="false">IF($D879="","",IFERROR(INDEX(合同项目,MATCH($D879,合同键,0)),IFERROR(TRIM(MID($D879,FIND("｜",$D879)+1,99)),"")))</f>
        <v/>
      </c>
      <c r="G879" s="39"/>
      <c r="H879" s="25"/>
      <c r="I879" s="35" t="str">
        <f aca="false">IF($H879="","",IFERROR(INDEX(票据归类表,MATCH($H879,票据类型表,0)),"现金无票"))</f>
        <v/>
      </c>
      <c r="J879" s="25"/>
      <c r="K879" s="25"/>
      <c r="L879" s="31"/>
      <c r="M879" s="29" t="str">
        <f aca="false">IF($C879="","",YEAR($C879))</f>
        <v/>
      </c>
      <c r="N879" s="24"/>
      <c r="O879" s="35" t="str">
        <f aca="false">IF($C879="","",IF($D879="","★没选客户项目",IF(COUNTIF(合同键,$D879)=0,"★《维保合同》里没这个项目",IF(N($G879)&lt;=0,"★收款金额要填",IF($H879="","★票据类型要选",IF(AND($L879&lt;&gt;"",COUNTIF(应收单号,$L879)=0),"★关联的应收单号不存在",IF(AND($L879&lt;&gt;"",IFERROR(INDEX(应收键,MATCH($L879,应收单号,0)),"")&lt;&gt;$D879),"★关联单号不是这个客户的",IF(AND($L879&lt;&gt;"",ROUND(SUMIF(收款关联,$L879,收款金额)-IFERROR(INDEX(应收金额,MATCH($L879,应收单号,0)),0),2)&gt;0.001),"★指定冲销超过那张单的应收","OK"))))))))</f>
        <v/>
      </c>
    </row>
    <row r="880" customFormat="false" ht="15" hidden="false" customHeight="false" outlineLevel="0" collapsed="false">
      <c r="A880" s="29" t="str">
        <f aca="false">IF($C880="","",ROW()-4)</f>
        <v/>
      </c>
      <c r="B880" s="35" t="str">
        <f aca="false">IF($C880="","","SK"&amp;TEXT($C880,"yyyymm")&amp;"-"&amp;TEXT(ROW()-4,"0000"))</f>
        <v/>
      </c>
      <c r="C880" s="33"/>
      <c r="D880" s="24"/>
      <c r="E880" s="30" t="str">
        <f aca="false">IF($D880="","",IFERROR(INDEX(合同单位,MATCH($D880,合同键,0)),IFERROR(TRIM(LEFT($D880,FIND("｜",$D880)-1)),$D880)))</f>
        <v/>
      </c>
      <c r="F880" s="30" t="str">
        <f aca="false">IF($D880="","",IFERROR(INDEX(合同项目,MATCH($D880,合同键,0)),IFERROR(TRIM(MID($D880,FIND("｜",$D880)+1,99)),"")))</f>
        <v/>
      </c>
      <c r="G880" s="39"/>
      <c r="H880" s="25"/>
      <c r="I880" s="35" t="str">
        <f aca="false">IF($H880="","",IFERROR(INDEX(票据归类表,MATCH($H880,票据类型表,0)),"现金无票"))</f>
        <v/>
      </c>
      <c r="J880" s="25"/>
      <c r="K880" s="25"/>
      <c r="L880" s="31"/>
      <c r="M880" s="29" t="str">
        <f aca="false">IF($C880="","",YEAR($C880))</f>
        <v/>
      </c>
      <c r="N880" s="24"/>
      <c r="O880" s="35" t="str">
        <f aca="false">IF($C880="","",IF($D880="","★没选客户项目",IF(COUNTIF(合同键,$D880)=0,"★《维保合同》里没这个项目",IF(N($G880)&lt;=0,"★收款金额要填",IF($H880="","★票据类型要选",IF(AND($L880&lt;&gt;"",COUNTIF(应收单号,$L880)=0),"★关联的应收单号不存在",IF(AND($L880&lt;&gt;"",IFERROR(INDEX(应收键,MATCH($L880,应收单号,0)),"")&lt;&gt;$D880),"★关联单号不是这个客户的",IF(AND($L880&lt;&gt;"",ROUND(SUMIF(收款关联,$L880,收款金额)-IFERROR(INDEX(应收金额,MATCH($L880,应收单号,0)),0),2)&gt;0.001),"★指定冲销超过那张单的应收","OK"))))))))</f>
        <v/>
      </c>
    </row>
    <row r="881" customFormat="false" ht="15" hidden="false" customHeight="false" outlineLevel="0" collapsed="false">
      <c r="A881" s="29" t="str">
        <f aca="false">IF($C881="","",ROW()-4)</f>
        <v/>
      </c>
      <c r="B881" s="35" t="str">
        <f aca="false">IF($C881="","","SK"&amp;TEXT($C881,"yyyymm")&amp;"-"&amp;TEXT(ROW()-4,"0000"))</f>
        <v/>
      </c>
      <c r="C881" s="33"/>
      <c r="D881" s="24"/>
      <c r="E881" s="30" t="str">
        <f aca="false">IF($D881="","",IFERROR(INDEX(合同单位,MATCH($D881,合同键,0)),IFERROR(TRIM(LEFT($D881,FIND("｜",$D881)-1)),$D881)))</f>
        <v/>
      </c>
      <c r="F881" s="30" t="str">
        <f aca="false">IF($D881="","",IFERROR(INDEX(合同项目,MATCH($D881,合同键,0)),IFERROR(TRIM(MID($D881,FIND("｜",$D881)+1,99)),"")))</f>
        <v/>
      </c>
      <c r="G881" s="39"/>
      <c r="H881" s="25"/>
      <c r="I881" s="35" t="str">
        <f aca="false">IF($H881="","",IFERROR(INDEX(票据归类表,MATCH($H881,票据类型表,0)),"现金无票"))</f>
        <v/>
      </c>
      <c r="J881" s="25"/>
      <c r="K881" s="25"/>
      <c r="L881" s="31"/>
      <c r="M881" s="29" t="str">
        <f aca="false">IF($C881="","",YEAR($C881))</f>
        <v/>
      </c>
      <c r="N881" s="24"/>
      <c r="O881" s="35" t="str">
        <f aca="false">IF($C881="","",IF($D881="","★没选客户项目",IF(COUNTIF(合同键,$D881)=0,"★《维保合同》里没这个项目",IF(N($G881)&lt;=0,"★收款金额要填",IF($H881="","★票据类型要选",IF(AND($L881&lt;&gt;"",COUNTIF(应收单号,$L881)=0),"★关联的应收单号不存在",IF(AND($L881&lt;&gt;"",IFERROR(INDEX(应收键,MATCH($L881,应收单号,0)),"")&lt;&gt;$D881),"★关联单号不是这个客户的",IF(AND($L881&lt;&gt;"",ROUND(SUMIF(收款关联,$L881,收款金额)-IFERROR(INDEX(应收金额,MATCH($L881,应收单号,0)),0),2)&gt;0.001),"★指定冲销超过那张单的应收","OK"))))))))</f>
        <v/>
      </c>
    </row>
    <row r="882" customFormat="false" ht="15" hidden="false" customHeight="false" outlineLevel="0" collapsed="false">
      <c r="A882" s="29" t="str">
        <f aca="false">IF($C882="","",ROW()-4)</f>
        <v/>
      </c>
      <c r="B882" s="35" t="str">
        <f aca="false">IF($C882="","","SK"&amp;TEXT($C882,"yyyymm")&amp;"-"&amp;TEXT(ROW()-4,"0000"))</f>
        <v/>
      </c>
      <c r="C882" s="33"/>
      <c r="D882" s="24"/>
      <c r="E882" s="30" t="str">
        <f aca="false">IF($D882="","",IFERROR(INDEX(合同单位,MATCH($D882,合同键,0)),IFERROR(TRIM(LEFT($D882,FIND("｜",$D882)-1)),$D882)))</f>
        <v/>
      </c>
      <c r="F882" s="30" t="str">
        <f aca="false">IF($D882="","",IFERROR(INDEX(合同项目,MATCH($D882,合同键,0)),IFERROR(TRIM(MID($D882,FIND("｜",$D882)+1,99)),"")))</f>
        <v/>
      </c>
      <c r="G882" s="39"/>
      <c r="H882" s="25"/>
      <c r="I882" s="35" t="str">
        <f aca="false">IF($H882="","",IFERROR(INDEX(票据归类表,MATCH($H882,票据类型表,0)),"现金无票"))</f>
        <v/>
      </c>
      <c r="J882" s="25"/>
      <c r="K882" s="25"/>
      <c r="L882" s="31"/>
      <c r="M882" s="29" t="str">
        <f aca="false">IF($C882="","",YEAR($C882))</f>
        <v/>
      </c>
      <c r="N882" s="24"/>
      <c r="O882" s="35" t="str">
        <f aca="false">IF($C882="","",IF($D882="","★没选客户项目",IF(COUNTIF(合同键,$D882)=0,"★《维保合同》里没这个项目",IF(N($G882)&lt;=0,"★收款金额要填",IF($H882="","★票据类型要选",IF(AND($L882&lt;&gt;"",COUNTIF(应收单号,$L882)=0),"★关联的应收单号不存在",IF(AND($L882&lt;&gt;"",IFERROR(INDEX(应收键,MATCH($L882,应收单号,0)),"")&lt;&gt;$D882),"★关联单号不是这个客户的",IF(AND($L882&lt;&gt;"",ROUND(SUMIF(收款关联,$L882,收款金额)-IFERROR(INDEX(应收金额,MATCH($L882,应收单号,0)),0),2)&gt;0.001),"★指定冲销超过那张单的应收","OK"))))))))</f>
        <v/>
      </c>
    </row>
    <row r="883" customFormat="false" ht="15" hidden="false" customHeight="false" outlineLevel="0" collapsed="false">
      <c r="A883" s="29" t="str">
        <f aca="false">IF($C883="","",ROW()-4)</f>
        <v/>
      </c>
      <c r="B883" s="35" t="str">
        <f aca="false">IF($C883="","","SK"&amp;TEXT($C883,"yyyymm")&amp;"-"&amp;TEXT(ROW()-4,"0000"))</f>
        <v/>
      </c>
      <c r="C883" s="33"/>
      <c r="D883" s="24"/>
      <c r="E883" s="30" t="str">
        <f aca="false">IF($D883="","",IFERROR(INDEX(合同单位,MATCH($D883,合同键,0)),IFERROR(TRIM(LEFT($D883,FIND("｜",$D883)-1)),$D883)))</f>
        <v/>
      </c>
      <c r="F883" s="30" t="str">
        <f aca="false">IF($D883="","",IFERROR(INDEX(合同项目,MATCH($D883,合同键,0)),IFERROR(TRIM(MID($D883,FIND("｜",$D883)+1,99)),"")))</f>
        <v/>
      </c>
      <c r="G883" s="39"/>
      <c r="H883" s="25"/>
      <c r="I883" s="35" t="str">
        <f aca="false">IF($H883="","",IFERROR(INDEX(票据归类表,MATCH($H883,票据类型表,0)),"现金无票"))</f>
        <v/>
      </c>
      <c r="J883" s="25"/>
      <c r="K883" s="25"/>
      <c r="L883" s="31"/>
      <c r="M883" s="29" t="str">
        <f aca="false">IF($C883="","",YEAR($C883))</f>
        <v/>
      </c>
      <c r="N883" s="24"/>
      <c r="O883" s="35" t="str">
        <f aca="false">IF($C883="","",IF($D883="","★没选客户项目",IF(COUNTIF(合同键,$D883)=0,"★《维保合同》里没这个项目",IF(N($G883)&lt;=0,"★收款金额要填",IF($H883="","★票据类型要选",IF(AND($L883&lt;&gt;"",COUNTIF(应收单号,$L883)=0),"★关联的应收单号不存在",IF(AND($L883&lt;&gt;"",IFERROR(INDEX(应收键,MATCH($L883,应收单号,0)),"")&lt;&gt;$D883),"★关联单号不是这个客户的",IF(AND($L883&lt;&gt;"",ROUND(SUMIF(收款关联,$L883,收款金额)-IFERROR(INDEX(应收金额,MATCH($L883,应收单号,0)),0),2)&gt;0.001),"★指定冲销超过那张单的应收","OK"))))))))</f>
        <v/>
      </c>
    </row>
    <row r="884" customFormat="false" ht="15" hidden="false" customHeight="false" outlineLevel="0" collapsed="false">
      <c r="A884" s="29" t="str">
        <f aca="false">IF($C884="","",ROW()-4)</f>
        <v/>
      </c>
      <c r="B884" s="35" t="str">
        <f aca="false">IF($C884="","","SK"&amp;TEXT($C884,"yyyymm")&amp;"-"&amp;TEXT(ROW()-4,"0000"))</f>
        <v/>
      </c>
      <c r="C884" s="33"/>
      <c r="D884" s="24"/>
      <c r="E884" s="30" t="str">
        <f aca="false">IF($D884="","",IFERROR(INDEX(合同单位,MATCH($D884,合同键,0)),IFERROR(TRIM(LEFT($D884,FIND("｜",$D884)-1)),$D884)))</f>
        <v/>
      </c>
      <c r="F884" s="30" t="str">
        <f aca="false">IF($D884="","",IFERROR(INDEX(合同项目,MATCH($D884,合同键,0)),IFERROR(TRIM(MID($D884,FIND("｜",$D884)+1,99)),"")))</f>
        <v/>
      </c>
      <c r="G884" s="39"/>
      <c r="H884" s="25"/>
      <c r="I884" s="35" t="str">
        <f aca="false">IF($H884="","",IFERROR(INDEX(票据归类表,MATCH($H884,票据类型表,0)),"现金无票"))</f>
        <v/>
      </c>
      <c r="J884" s="25"/>
      <c r="K884" s="25"/>
      <c r="L884" s="31"/>
      <c r="M884" s="29" t="str">
        <f aca="false">IF($C884="","",YEAR($C884))</f>
        <v/>
      </c>
      <c r="N884" s="24"/>
      <c r="O884" s="35" t="str">
        <f aca="false">IF($C884="","",IF($D884="","★没选客户项目",IF(COUNTIF(合同键,$D884)=0,"★《维保合同》里没这个项目",IF(N($G884)&lt;=0,"★收款金额要填",IF($H884="","★票据类型要选",IF(AND($L884&lt;&gt;"",COUNTIF(应收单号,$L884)=0),"★关联的应收单号不存在",IF(AND($L884&lt;&gt;"",IFERROR(INDEX(应收键,MATCH($L884,应收单号,0)),"")&lt;&gt;$D884),"★关联单号不是这个客户的",IF(AND($L884&lt;&gt;"",ROUND(SUMIF(收款关联,$L884,收款金额)-IFERROR(INDEX(应收金额,MATCH($L884,应收单号,0)),0),2)&gt;0.001),"★指定冲销超过那张单的应收","OK"))))))))</f>
        <v/>
      </c>
    </row>
    <row r="885" customFormat="false" ht="15" hidden="false" customHeight="false" outlineLevel="0" collapsed="false">
      <c r="A885" s="29" t="str">
        <f aca="false">IF($C885="","",ROW()-4)</f>
        <v/>
      </c>
      <c r="B885" s="35" t="str">
        <f aca="false">IF($C885="","","SK"&amp;TEXT($C885,"yyyymm")&amp;"-"&amp;TEXT(ROW()-4,"0000"))</f>
        <v/>
      </c>
      <c r="C885" s="33"/>
      <c r="D885" s="24"/>
      <c r="E885" s="30" t="str">
        <f aca="false">IF($D885="","",IFERROR(INDEX(合同单位,MATCH($D885,合同键,0)),IFERROR(TRIM(LEFT($D885,FIND("｜",$D885)-1)),$D885)))</f>
        <v/>
      </c>
      <c r="F885" s="30" t="str">
        <f aca="false">IF($D885="","",IFERROR(INDEX(合同项目,MATCH($D885,合同键,0)),IFERROR(TRIM(MID($D885,FIND("｜",$D885)+1,99)),"")))</f>
        <v/>
      </c>
      <c r="G885" s="39"/>
      <c r="H885" s="25"/>
      <c r="I885" s="35" t="str">
        <f aca="false">IF($H885="","",IFERROR(INDEX(票据归类表,MATCH($H885,票据类型表,0)),"现金无票"))</f>
        <v/>
      </c>
      <c r="J885" s="25"/>
      <c r="K885" s="25"/>
      <c r="L885" s="31"/>
      <c r="M885" s="29" t="str">
        <f aca="false">IF($C885="","",YEAR($C885))</f>
        <v/>
      </c>
      <c r="N885" s="24"/>
      <c r="O885" s="35" t="str">
        <f aca="false">IF($C885="","",IF($D885="","★没选客户项目",IF(COUNTIF(合同键,$D885)=0,"★《维保合同》里没这个项目",IF(N($G885)&lt;=0,"★收款金额要填",IF($H885="","★票据类型要选",IF(AND($L885&lt;&gt;"",COUNTIF(应收单号,$L885)=0),"★关联的应收单号不存在",IF(AND($L885&lt;&gt;"",IFERROR(INDEX(应收键,MATCH($L885,应收单号,0)),"")&lt;&gt;$D885),"★关联单号不是这个客户的",IF(AND($L885&lt;&gt;"",ROUND(SUMIF(收款关联,$L885,收款金额)-IFERROR(INDEX(应收金额,MATCH($L885,应收单号,0)),0),2)&gt;0.001),"★指定冲销超过那张单的应收","OK"))))))))</f>
        <v/>
      </c>
    </row>
    <row r="886" customFormat="false" ht="15" hidden="false" customHeight="false" outlineLevel="0" collapsed="false">
      <c r="A886" s="29" t="str">
        <f aca="false">IF($C886="","",ROW()-4)</f>
        <v/>
      </c>
      <c r="B886" s="35" t="str">
        <f aca="false">IF($C886="","","SK"&amp;TEXT($C886,"yyyymm")&amp;"-"&amp;TEXT(ROW()-4,"0000"))</f>
        <v/>
      </c>
      <c r="C886" s="33"/>
      <c r="D886" s="24"/>
      <c r="E886" s="30" t="str">
        <f aca="false">IF($D886="","",IFERROR(INDEX(合同单位,MATCH($D886,合同键,0)),IFERROR(TRIM(LEFT($D886,FIND("｜",$D886)-1)),$D886)))</f>
        <v/>
      </c>
      <c r="F886" s="30" t="str">
        <f aca="false">IF($D886="","",IFERROR(INDEX(合同项目,MATCH($D886,合同键,0)),IFERROR(TRIM(MID($D886,FIND("｜",$D886)+1,99)),"")))</f>
        <v/>
      </c>
      <c r="G886" s="39"/>
      <c r="H886" s="25"/>
      <c r="I886" s="35" t="str">
        <f aca="false">IF($H886="","",IFERROR(INDEX(票据归类表,MATCH($H886,票据类型表,0)),"现金无票"))</f>
        <v/>
      </c>
      <c r="J886" s="25"/>
      <c r="K886" s="25"/>
      <c r="L886" s="31"/>
      <c r="M886" s="29" t="str">
        <f aca="false">IF($C886="","",YEAR($C886))</f>
        <v/>
      </c>
      <c r="N886" s="24"/>
      <c r="O886" s="35" t="str">
        <f aca="false">IF($C886="","",IF($D886="","★没选客户项目",IF(COUNTIF(合同键,$D886)=0,"★《维保合同》里没这个项目",IF(N($G886)&lt;=0,"★收款金额要填",IF($H886="","★票据类型要选",IF(AND($L886&lt;&gt;"",COUNTIF(应收单号,$L886)=0),"★关联的应收单号不存在",IF(AND($L886&lt;&gt;"",IFERROR(INDEX(应收键,MATCH($L886,应收单号,0)),"")&lt;&gt;$D886),"★关联单号不是这个客户的",IF(AND($L886&lt;&gt;"",ROUND(SUMIF(收款关联,$L886,收款金额)-IFERROR(INDEX(应收金额,MATCH($L886,应收单号,0)),0),2)&gt;0.001),"★指定冲销超过那张单的应收","OK"))))))))</f>
        <v/>
      </c>
    </row>
    <row r="887" customFormat="false" ht="15" hidden="false" customHeight="false" outlineLevel="0" collapsed="false">
      <c r="A887" s="29" t="str">
        <f aca="false">IF($C887="","",ROW()-4)</f>
        <v/>
      </c>
      <c r="B887" s="35" t="str">
        <f aca="false">IF($C887="","","SK"&amp;TEXT($C887,"yyyymm")&amp;"-"&amp;TEXT(ROW()-4,"0000"))</f>
        <v/>
      </c>
      <c r="C887" s="33"/>
      <c r="D887" s="24"/>
      <c r="E887" s="30" t="str">
        <f aca="false">IF($D887="","",IFERROR(INDEX(合同单位,MATCH($D887,合同键,0)),IFERROR(TRIM(LEFT($D887,FIND("｜",$D887)-1)),$D887)))</f>
        <v/>
      </c>
      <c r="F887" s="30" t="str">
        <f aca="false">IF($D887="","",IFERROR(INDEX(合同项目,MATCH($D887,合同键,0)),IFERROR(TRIM(MID($D887,FIND("｜",$D887)+1,99)),"")))</f>
        <v/>
      </c>
      <c r="G887" s="39"/>
      <c r="H887" s="25"/>
      <c r="I887" s="35" t="str">
        <f aca="false">IF($H887="","",IFERROR(INDEX(票据归类表,MATCH($H887,票据类型表,0)),"现金无票"))</f>
        <v/>
      </c>
      <c r="J887" s="25"/>
      <c r="K887" s="25"/>
      <c r="L887" s="31"/>
      <c r="M887" s="29" t="str">
        <f aca="false">IF($C887="","",YEAR($C887))</f>
        <v/>
      </c>
      <c r="N887" s="24"/>
      <c r="O887" s="35" t="str">
        <f aca="false">IF($C887="","",IF($D887="","★没选客户项目",IF(COUNTIF(合同键,$D887)=0,"★《维保合同》里没这个项目",IF(N($G887)&lt;=0,"★收款金额要填",IF($H887="","★票据类型要选",IF(AND($L887&lt;&gt;"",COUNTIF(应收单号,$L887)=0),"★关联的应收单号不存在",IF(AND($L887&lt;&gt;"",IFERROR(INDEX(应收键,MATCH($L887,应收单号,0)),"")&lt;&gt;$D887),"★关联单号不是这个客户的",IF(AND($L887&lt;&gt;"",ROUND(SUMIF(收款关联,$L887,收款金额)-IFERROR(INDEX(应收金额,MATCH($L887,应收单号,0)),0),2)&gt;0.001),"★指定冲销超过那张单的应收","OK"))))))))</f>
        <v/>
      </c>
    </row>
    <row r="888" customFormat="false" ht="15" hidden="false" customHeight="false" outlineLevel="0" collapsed="false">
      <c r="A888" s="29" t="str">
        <f aca="false">IF($C888="","",ROW()-4)</f>
        <v/>
      </c>
      <c r="B888" s="35" t="str">
        <f aca="false">IF($C888="","","SK"&amp;TEXT($C888,"yyyymm")&amp;"-"&amp;TEXT(ROW()-4,"0000"))</f>
        <v/>
      </c>
      <c r="C888" s="33"/>
      <c r="D888" s="24"/>
      <c r="E888" s="30" t="str">
        <f aca="false">IF($D888="","",IFERROR(INDEX(合同单位,MATCH($D888,合同键,0)),IFERROR(TRIM(LEFT($D888,FIND("｜",$D888)-1)),$D888)))</f>
        <v/>
      </c>
      <c r="F888" s="30" t="str">
        <f aca="false">IF($D888="","",IFERROR(INDEX(合同项目,MATCH($D888,合同键,0)),IFERROR(TRIM(MID($D888,FIND("｜",$D888)+1,99)),"")))</f>
        <v/>
      </c>
      <c r="G888" s="39"/>
      <c r="H888" s="25"/>
      <c r="I888" s="35" t="str">
        <f aca="false">IF($H888="","",IFERROR(INDEX(票据归类表,MATCH($H888,票据类型表,0)),"现金无票"))</f>
        <v/>
      </c>
      <c r="J888" s="25"/>
      <c r="K888" s="25"/>
      <c r="L888" s="31"/>
      <c r="M888" s="29" t="str">
        <f aca="false">IF($C888="","",YEAR($C888))</f>
        <v/>
      </c>
      <c r="N888" s="24"/>
      <c r="O888" s="35" t="str">
        <f aca="false">IF($C888="","",IF($D888="","★没选客户项目",IF(COUNTIF(合同键,$D888)=0,"★《维保合同》里没这个项目",IF(N($G888)&lt;=0,"★收款金额要填",IF($H888="","★票据类型要选",IF(AND($L888&lt;&gt;"",COUNTIF(应收单号,$L888)=0),"★关联的应收单号不存在",IF(AND($L888&lt;&gt;"",IFERROR(INDEX(应收键,MATCH($L888,应收单号,0)),"")&lt;&gt;$D888),"★关联单号不是这个客户的",IF(AND($L888&lt;&gt;"",ROUND(SUMIF(收款关联,$L888,收款金额)-IFERROR(INDEX(应收金额,MATCH($L888,应收单号,0)),0),2)&gt;0.001),"★指定冲销超过那张单的应收","OK"))))))))</f>
        <v/>
      </c>
    </row>
    <row r="889" customFormat="false" ht="15" hidden="false" customHeight="false" outlineLevel="0" collapsed="false">
      <c r="A889" s="29" t="str">
        <f aca="false">IF($C889="","",ROW()-4)</f>
        <v/>
      </c>
      <c r="B889" s="35" t="str">
        <f aca="false">IF($C889="","","SK"&amp;TEXT($C889,"yyyymm")&amp;"-"&amp;TEXT(ROW()-4,"0000"))</f>
        <v/>
      </c>
      <c r="C889" s="33"/>
      <c r="D889" s="24"/>
      <c r="E889" s="30" t="str">
        <f aca="false">IF($D889="","",IFERROR(INDEX(合同单位,MATCH($D889,合同键,0)),IFERROR(TRIM(LEFT($D889,FIND("｜",$D889)-1)),$D889)))</f>
        <v/>
      </c>
      <c r="F889" s="30" t="str">
        <f aca="false">IF($D889="","",IFERROR(INDEX(合同项目,MATCH($D889,合同键,0)),IFERROR(TRIM(MID($D889,FIND("｜",$D889)+1,99)),"")))</f>
        <v/>
      </c>
      <c r="G889" s="39"/>
      <c r="H889" s="25"/>
      <c r="I889" s="35" t="str">
        <f aca="false">IF($H889="","",IFERROR(INDEX(票据归类表,MATCH($H889,票据类型表,0)),"现金无票"))</f>
        <v/>
      </c>
      <c r="J889" s="25"/>
      <c r="K889" s="25"/>
      <c r="L889" s="31"/>
      <c r="M889" s="29" t="str">
        <f aca="false">IF($C889="","",YEAR($C889))</f>
        <v/>
      </c>
      <c r="N889" s="24"/>
      <c r="O889" s="35" t="str">
        <f aca="false">IF($C889="","",IF($D889="","★没选客户项目",IF(COUNTIF(合同键,$D889)=0,"★《维保合同》里没这个项目",IF(N($G889)&lt;=0,"★收款金额要填",IF($H889="","★票据类型要选",IF(AND($L889&lt;&gt;"",COUNTIF(应收单号,$L889)=0),"★关联的应收单号不存在",IF(AND($L889&lt;&gt;"",IFERROR(INDEX(应收键,MATCH($L889,应收单号,0)),"")&lt;&gt;$D889),"★关联单号不是这个客户的",IF(AND($L889&lt;&gt;"",ROUND(SUMIF(收款关联,$L889,收款金额)-IFERROR(INDEX(应收金额,MATCH($L889,应收单号,0)),0),2)&gt;0.001),"★指定冲销超过那张单的应收","OK"))))))))</f>
        <v/>
      </c>
    </row>
    <row r="890" customFormat="false" ht="15" hidden="false" customHeight="false" outlineLevel="0" collapsed="false">
      <c r="A890" s="29" t="str">
        <f aca="false">IF($C890="","",ROW()-4)</f>
        <v/>
      </c>
      <c r="B890" s="35" t="str">
        <f aca="false">IF($C890="","","SK"&amp;TEXT($C890,"yyyymm")&amp;"-"&amp;TEXT(ROW()-4,"0000"))</f>
        <v/>
      </c>
      <c r="C890" s="33"/>
      <c r="D890" s="24"/>
      <c r="E890" s="30" t="str">
        <f aca="false">IF($D890="","",IFERROR(INDEX(合同单位,MATCH($D890,合同键,0)),IFERROR(TRIM(LEFT($D890,FIND("｜",$D890)-1)),$D890)))</f>
        <v/>
      </c>
      <c r="F890" s="30" t="str">
        <f aca="false">IF($D890="","",IFERROR(INDEX(合同项目,MATCH($D890,合同键,0)),IFERROR(TRIM(MID($D890,FIND("｜",$D890)+1,99)),"")))</f>
        <v/>
      </c>
      <c r="G890" s="39"/>
      <c r="H890" s="25"/>
      <c r="I890" s="35" t="str">
        <f aca="false">IF($H890="","",IFERROR(INDEX(票据归类表,MATCH($H890,票据类型表,0)),"现金无票"))</f>
        <v/>
      </c>
      <c r="J890" s="25"/>
      <c r="K890" s="25"/>
      <c r="L890" s="31"/>
      <c r="M890" s="29" t="str">
        <f aca="false">IF($C890="","",YEAR($C890))</f>
        <v/>
      </c>
      <c r="N890" s="24"/>
      <c r="O890" s="35" t="str">
        <f aca="false">IF($C890="","",IF($D890="","★没选客户项目",IF(COUNTIF(合同键,$D890)=0,"★《维保合同》里没这个项目",IF(N($G890)&lt;=0,"★收款金额要填",IF($H890="","★票据类型要选",IF(AND($L890&lt;&gt;"",COUNTIF(应收单号,$L890)=0),"★关联的应收单号不存在",IF(AND($L890&lt;&gt;"",IFERROR(INDEX(应收键,MATCH($L890,应收单号,0)),"")&lt;&gt;$D890),"★关联单号不是这个客户的",IF(AND($L890&lt;&gt;"",ROUND(SUMIF(收款关联,$L890,收款金额)-IFERROR(INDEX(应收金额,MATCH($L890,应收单号,0)),0),2)&gt;0.001),"★指定冲销超过那张单的应收","OK"))))))))</f>
        <v/>
      </c>
    </row>
    <row r="891" customFormat="false" ht="15" hidden="false" customHeight="false" outlineLevel="0" collapsed="false">
      <c r="A891" s="29" t="str">
        <f aca="false">IF($C891="","",ROW()-4)</f>
        <v/>
      </c>
      <c r="B891" s="35" t="str">
        <f aca="false">IF($C891="","","SK"&amp;TEXT($C891,"yyyymm")&amp;"-"&amp;TEXT(ROW()-4,"0000"))</f>
        <v/>
      </c>
      <c r="C891" s="33"/>
      <c r="D891" s="24"/>
      <c r="E891" s="30" t="str">
        <f aca="false">IF($D891="","",IFERROR(INDEX(合同单位,MATCH($D891,合同键,0)),IFERROR(TRIM(LEFT($D891,FIND("｜",$D891)-1)),$D891)))</f>
        <v/>
      </c>
      <c r="F891" s="30" t="str">
        <f aca="false">IF($D891="","",IFERROR(INDEX(合同项目,MATCH($D891,合同键,0)),IFERROR(TRIM(MID($D891,FIND("｜",$D891)+1,99)),"")))</f>
        <v/>
      </c>
      <c r="G891" s="39"/>
      <c r="H891" s="25"/>
      <c r="I891" s="35" t="str">
        <f aca="false">IF($H891="","",IFERROR(INDEX(票据归类表,MATCH($H891,票据类型表,0)),"现金无票"))</f>
        <v/>
      </c>
      <c r="J891" s="25"/>
      <c r="K891" s="25"/>
      <c r="L891" s="31"/>
      <c r="M891" s="29" t="str">
        <f aca="false">IF($C891="","",YEAR($C891))</f>
        <v/>
      </c>
      <c r="N891" s="24"/>
      <c r="O891" s="35" t="str">
        <f aca="false">IF($C891="","",IF($D891="","★没选客户项目",IF(COUNTIF(合同键,$D891)=0,"★《维保合同》里没这个项目",IF(N($G891)&lt;=0,"★收款金额要填",IF($H891="","★票据类型要选",IF(AND($L891&lt;&gt;"",COUNTIF(应收单号,$L891)=0),"★关联的应收单号不存在",IF(AND($L891&lt;&gt;"",IFERROR(INDEX(应收键,MATCH($L891,应收单号,0)),"")&lt;&gt;$D891),"★关联单号不是这个客户的",IF(AND($L891&lt;&gt;"",ROUND(SUMIF(收款关联,$L891,收款金额)-IFERROR(INDEX(应收金额,MATCH($L891,应收单号,0)),0),2)&gt;0.001),"★指定冲销超过那张单的应收","OK"))))))))</f>
        <v/>
      </c>
    </row>
    <row r="892" customFormat="false" ht="15" hidden="false" customHeight="false" outlineLevel="0" collapsed="false">
      <c r="A892" s="29" t="str">
        <f aca="false">IF($C892="","",ROW()-4)</f>
        <v/>
      </c>
      <c r="B892" s="35" t="str">
        <f aca="false">IF($C892="","","SK"&amp;TEXT($C892,"yyyymm")&amp;"-"&amp;TEXT(ROW()-4,"0000"))</f>
        <v/>
      </c>
      <c r="C892" s="33"/>
      <c r="D892" s="24"/>
      <c r="E892" s="30" t="str">
        <f aca="false">IF($D892="","",IFERROR(INDEX(合同单位,MATCH($D892,合同键,0)),IFERROR(TRIM(LEFT($D892,FIND("｜",$D892)-1)),$D892)))</f>
        <v/>
      </c>
      <c r="F892" s="30" t="str">
        <f aca="false">IF($D892="","",IFERROR(INDEX(合同项目,MATCH($D892,合同键,0)),IFERROR(TRIM(MID($D892,FIND("｜",$D892)+1,99)),"")))</f>
        <v/>
      </c>
      <c r="G892" s="39"/>
      <c r="H892" s="25"/>
      <c r="I892" s="35" t="str">
        <f aca="false">IF($H892="","",IFERROR(INDEX(票据归类表,MATCH($H892,票据类型表,0)),"现金无票"))</f>
        <v/>
      </c>
      <c r="J892" s="25"/>
      <c r="K892" s="25"/>
      <c r="L892" s="31"/>
      <c r="M892" s="29" t="str">
        <f aca="false">IF($C892="","",YEAR($C892))</f>
        <v/>
      </c>
      <c r="N892" s="24"/>
      <c r="O892" s="35" t="str">
        <f aca="false">IF($C892="","",IF($D892="","★没选客户项目",IF(COUNTIF(合同键,$D892)=0,"★《维保合同》里没这个项目",IF(N($G892)&lt;=0,"★收款金额要填",IF($H892="","★票据类型要选",IF(AND($L892&lt;&gt;"",COUNTIF(应收单号,$L892)=0),"★关联的应收单号不存在",IF(AND($L892&lt;&gt;"",IFERROR(INDEX(应收键,MATCH($L892,应收单号,0)),"")&lt;&gt;$D892),"★关联单号不是这个客户的",IF(AND($L892&lt;&gt;"",ROUND(SUMIF(收款关联,$L892,收款金额)-IFERROR(INDEX(应收金额,MATCH($L892,应收单号,0)),0),2)&gt;0.001),"★指定冲销超过那张单的应收","OK"))))))))</f>
        <v/>
      </c>
    </row>
    <row r="893" customFormat="false" ht="15" hidden="false" customHeight="false" outlineLevel="0" collapsed="false">
      <c r="A893" s="29" t="str">
        <f aca="false">IF($C893="","",ROW()-4)</f>
        <v/>
      </c>
      <c r="B893" s="35" t="str">
        <f aca="false">IF($C893="","","SK"&amp;TEXT($C893,"yyyymm")&amp;"-"&amp;TEXT(ROW()-4,"0000"))</f>
        <v/>
      </c>
      <c r="C893" s="33"/>
      <c r="D893" s="24"/>
      <c r="E893" s="30" t="str">
        <f aca="false">IF($D893="","",IFERROR(INDEX(合同单位,MATCH($D893,合同键,0)),IFERROR(TRIM(LEFT($D893,FIND("｜",$D893)-1)),$D893)))</f>
        <v/>
      </c>
      <c r="F893" s="30" t="str">
        <f aca="false">IF($D893="","",IFERROR(INDEX(合同项目,MATCH($D893,合同键,0)),IFERROR(TRIM(MID($D893,FIND("｜",$D893)+1,99)),"")))</f>
        <v/>
      </c>
      <c r="G893" s="39"/>
      <c r="H893" s="25"/>
      <c r="I893" s="35" t="str">
        <f aca="false">IF($H893="","",IFERROR(INDEX(票据归类表,MATCH($H893,票据类型表,0)),"现金无票"))</f>
        <v/>
      </c>
      <c r="J893" s="25"/>
      <c r="K893" s="25"/>
      <c r="L893" s="31"/>
      <c r="M893" s="29" t="str">
        <f aca="false">IF($C893="","",YEAR($C893))</f>
        <v/>
      </c>
      <c r="N893" s="24"/>
      <c r="O893" s="35" t="str">
        <f aca="false">IF($C893="","",IF($D893="","★没选客户项目",IF(COUNTIF(合同键,$D893)=0,"★《维保合同》里没这个项目",IF(N($G893)&lt;=0,"★收款金额要填",IF($H893="","★票据类型要选",IF(AND($L893&lt;&gt;"",COUNTIF(应收单号,$L893)=0),"★关联的应收单号不存在",IF(AND($L893&lt;&gt;"",IFERROR(INDEX(应收键,MATCH($L893,应收单号,0)),"")&lt;&gt;$D893),"★关联单号不是这个客户的",IF(AND($L893&lt;&gt;"",ROUND(SUMIF(收款关联,$L893,收款金额)-IFERROR(INDEX(应收金额,MATCH($L893,应收单号,0)),0),2)&gt;0.001),"★指定冲销超过那张单的应收","OK"))))))))</f>
        <v/>
      </c>
    </row>
    <row r="894" customFormat="false" ht="15" hidden="false" customHeight="false" outlineLevel="0" collapsed="false">
      <c r="A894" s="29" t="str">
        <f aca="false">IF($C894="","",ROW()-4)</f>
        <v/>
      </c>
      <c r="B894" s="35" t="str">
        <f aca="false">IF($C894="","","SK"&amp;TEXT($C894,"yyyymm")&amp;"-"&amp;TEXT(ROW()-4,"0000"))</f>
        <v/>
      </c>
      <c r="C894" s="33"/>
      <c r="D894" s="24"/>
      <c r="E894" s="30" t="str">
        <f aca="false">IF($D894="","",IFERROR(INDEX(合同单位,MATCH($D894,合同键,0)),IFERROR(TRIM(LEFT($D894,FIND("｜",$D894)-1)),$D894)))</f>
        <v/>
      </c>
      <c r="F894" s="30" t="str">
        <f aca="false">IF($D894="","",IFERROR(INDEX(合同项目,MATCH($D894,合同键,0)),IFERROR(TRIM(MID($D894,FIND("｜",$D894)+1,99)),"")))</f>
        <v/>
      </c>
      <c r="G894" s="39"/>
      <c r="H894" s="25"/>
      <c r="I894" s="35" t="str">
        <f aca="false">IF($H894="","",IFERROR(INDEX(票据归类表,MATCH($H894,票据类型表,0)),"现金无票"))</f>
        <v/>
      </c>
      <c r="J894" s="25"/>
      <c r="K894" s="25"/>
      <c r="L894" s="31"/>
      <c r="M894" s="29" t="str">
        <f aca="false">IF($C894="","",YEAR($C894))</f>
        <v/>
      </c>
      <c r="N894" s="24"/>
      <c r="O894" s="35" t="str">
        <f aca="false">IF($C894="","",IF($D894="","★没选客户项目",IF(COUNTIF(合同键,$D894)=0,"★《维保合同》里没这个项目",IF(N($G894)&lt;=0,"★收款金额要填",IF($H894="","★票据类型要选",IF(AND($L894&lt;&gt;"",COUNTIF(应收单号,$L894)=0),"★关联的应收单号不存在",IF(AND($L894&lt;&gt;"",IFERROR(INDEX(应收键,MATCH($L894,应收单号,0)),"")&lt;&gt;$D894),"★关联单号不是这个客户的",IF(AND($L894&lt;&gt;"",ROUND(SUMIF(收款关联,$L894,收款金额)-IFERROR(INDEX(应收金额,MATCH($L894,应收单号,0)),0),2)&gt;0.001),"★指定冲销超过那张单的应收","OK"))))))))</f>
        <v/>
      </c>
    </row>
    <row r="895" customFormat="false" ht="15" hidden="false" customHeight="false" outlineLevel="0" collapsed="false">
      <c r="A895" s="29" t="str">
        <f aca="false">IF($C895="","",ROW()-4)</f>
        <v/>
      </c>
      <c r="B895" s="35" t="str">
        <f aca="false">IF($C895="","","SK"&amp;TEXT($C895,"yyyymm")&amp;"-"&amp;TEXT(ROW()-4,"0000"))</f>
        <v/>
      </c>
      <c r="C895" s="33"/>
      <c r="D895" s="24"/>
      <c r="E895" s="30" t="str">
        <f aca="false">IF($D895="","",IFERROR(INDEX(合同单位,MATCH($D895,合同键,0)),IFERROR(TRIM(LEFT($D895,FIND("｜",$D895)-1)),$D895)))</f>
        <v/>
      </c>
      <c r="F895" s="30" t="str">
        <f aca="false">IF($D895="","",IFERROR(INDEX(合同项目,MATCH($D895,合同键,0)),IFERROR(TRIM(MID($D895,FIND("｜",$D895)+1,99)),"")))</f>
        <v/>
      </c>
      <c r="G895" s="39"/>
      <c r="H895" s="25"/>
      <c r="I895" s="35" t="str">
        <f aca="false">IF($H895="","",IFERROR(INDEX(票据归类表,MATCH($H895,票据类型表,0)),"现金无票"))</f>
        <v/>
      </c>
      <c r="J895" s="25"/>
      <c r="K895" s="25"/>
      <c r="L895" s="31"/>
      <c r="M895" s="29" t="str">
        <f aca="false">IF($C895="","",YEAR($C895))</f>
        <v/>
      </c>
      <c r="N895" s="24"/>
      <c r="O895" s="35" t="str">
        <f aca="false">IF($C895="","",IF($D895="","★没选客户项目",IF(COUNTIF(合同键,$D895)=0,"★《维保合同》里没这个项目",IF(N($G895)&lt;=0,"★收款金额要填",IF($H895="","★票据类型要选",IF(AND($L895&lt;&gt;"",COUNTIF(应收单号,$L895)=0),"★关联的应收单号不存在",IF(AND($L895&lt;&gt;"",IFERROR(INDEX(应收键,MATCH($L895,应收单号,0)),"")&lt;&gt;$D895),"★关联单号不是这个客户的",IF(AND($L895&lt;&gt;"",ROUND(SUMIF(收款关联,$L895,收款金额)-IFERROR(INDEX(应收金额,MATCH($L895,应收单号,0)),0),2)&gt;0.001),"★指定冲销超过那张单的应收","OK"))))))))</f>
        <v/>
      </c>
    </row>
    <row r="896" customFormat="false" ht="15" hidden="false" customHeight="false" outlineLevel="0" collapsed="false">
      <c r="A896" s="29" t="str">
        <f aca="false">IF($C896="","",ROW()-4)</f>
        <v/>
      </c>
      <c r="B896" s="35" t="str">
        <f aca="false">IF($C896="","","SK"&amp;TEXT($C896,"yyyymm")&amp;"-"&amp;TEXT(ROW()-4,"0000"))</f>
        <v/>
      </c>
      <c r="C896" s="33"/>
      <c r="D896" s="24"/>
      <c r="E896" s="30" t="str">
        <f aca="false">IF($D896="","",IFERROR(INDEX(合同单位,MATCH($D896,合同键,0)),IFERROR(TRIM(LEFT($D896,FIND("｜",$D896)-1)),$D896)))</f>
        <v/>
      </c>
      <c r="F896" s="30" t="str">
        <f aca="false">IF($D896="","",IFERROR(INDEX(合同项目,MATCH($D896,合同键,0)),IFERROR(TRIM(MID($D896,FIND("｜",$D896)+1,99)),"")))</f>
        <v/>
      </c>
      <c r="G896" s="39"/>
      <c r="H896" s="25"/>
      <c r="I896" s="35" t="str">
        <f aca="false">IF($H896="","",IFERROR(INDEX(票据归类表,MATCH($H896,票据类型表,0)),"现金无票"))</f>
        <v/>
      </c>
      <c r="J896" s="25"/>
      <c r="K896" s="25"/>
      <c r="L896" s="31"/>
      <c r="M896" s="29" t="str">
        <f aca="false">IF($C896="","",YEAR($C896))</f>
        <v/>
      </c>
      <c r="N896" s="24"/>
      <c r="O896" s="35" t="str">
        <f aca="false">IF($C896="","",IF($D896="","★没选客户项目",IF(COUNTIF(合同键,$D896)=0,"★《维保合同》里没这个项目",IF(N($G896)&lt;=0,"★收款金额要填",IF($H896="","★票据类型要选",IF(AND($L896&lt;&gt;"",COUNTIF(应收单号,$L896)=0),"★关联的应收单号不存在",IF(AND($L896&lt;&gt;"",IFERROR(INDEX(应收键,MATCH($L896,应收单号,0)),"")&lt;&gt;$D896),"★关联单号不是这个客户的",IF(AND($L896&lt;&gt;"",ROUND(SUMIF(收款关联,$L896,收款金额)-IFERROR(INDEX(应收金额,MATCH($L896,应收单号,0)),0),2)&gt;0.001),"★指定冲销超过那张单的应收","OK"))))))))</f>
        <v/>
      </c>
    </row>
    <row r="897" customFormat="false" ht="15" hidden="false" customHeight="false" outlineLevel="0" collapsed="false">
      <c r="A897" s="29" t="str">
        <f aca="false">IF($C897="","",ROW()-4)</f>
        <v/>
      </c>
      <c r="B897" s="35" t="str">
        <f aca="false">IF($C897="","","SK"&amp;TEXT($C897,"yyyymm")&amp;"-"&amp;TEXT(ROW()-4,"0000"))</f>
        <v/>
      </c>
      <c r="C897" s="33"/>
      <c r="D897" s="24"/>
      <c r="E897" s="30" t="str">
        <f aca="false">IF($D897="","",IFERROR(INDEX(合同单位,MATCH($D897,合同键,0)),IFERROR(TRIM(LEFT($D897,FIND("｜",$D897)-1)),$D897)))</f>
        <v/>
      </c>
      <c r="F897" s="30" t="str">
        <f aca="false">IF($D897="","",IFERROR(INDEX(合同项目,MATCH($D897,合同键,0)),IFERROR(TRIM(MID($D897,FIND("｜",$D897)+1,99)),"")))</f>
        <v/>
      </c>
      <c r="G897" s="39"/>
      <c r="H897" s="25"/>
      <c r="I897" s="35" t="str">
        <f aca="false">IF($H897="","",IFERROR(INDEX(票据归类表,MATCH($H897,票据类型表,0)),"现金无票"))</f>
        <v/>
      </c>
      <c r="J897" s="25"/>
      <c r="K897" s="25"/>
      <c r="L897" s="31"/>
      <c r="M897" s="29" t="str">
        <f aca="false">IF($C897="","",YEAR($C897))</f>
        <v/>
      </c>
      <c r="N897" s="24"/>
      <c r="O897" s="35" t="str">
        <f aca="false">IF($C897="","",IF($D897="","★没选客户项目",IF(COUNTIF(合同键,$D897)=0,"★《维保合同》里没这个项目",IF(N($G897)&lt;=0,"★收款金额要填",IF($H897="","★票据类型要选",IF(AND($L897&lt;&gt;"",COUNTIF(应收单号,$L897)=0),"★关联的应收单号不存在",IF(AND($L897&lt;&gt;"",IFERROR(INDEX(应收键,MATCH($L897,应收单号,0)),"")&lt;&gt;$D897),"★关联单号不是这个客户的",IF(AND($L897&lt;&gt;"",ROUND(SUMIF(收款关联,$L897,收款金额)-IFERROR(INDEX(应收金额,MATCH($L897,应收单号,0)),0),2)&gt;0.001),"★指定冲销超过那张单的应收","OK"))))))))</f>
        <v/>
      </c>
    </row>
    <row r="898" customFormat="false" ht="15" hidden="false" customHeight="false" outlineLevel="0" collapsed="false">
      <c r="A898" s="29" t="str">
        <f aca="false">IF($C898="","",ROW()-4)</f>
        <v/>
      </c>
      <c r="B898" s="35" t="str">
        <f aca="false">IF($C898="","","SK"&amp;TEXT($C898,"yyyymm")&amp;"-"&amp;TEXT(ROW()-4,"0000"))</f>
        <v/>
      </c>
      <c r="C898" s="33"/>
      <c r="D898" s="24"/>
      <c r="E898" s="30" t="str">
        <f aca="false">IF($D898="","",IFERROR(INDEX(合同单位,MATCH($D898,合同键,0)),IFERROR(TRIM(LEFT($D898,FIND("｜",$D898)-1)),$D898)))</f>
        <v/>
      </c>
      <c r="F898" s="30" t="str">
        <f aca="false">IF($D898="","",IFERROR(INDEX(合同项目,MATCH($D898,合同键,0)),IFERROR(TRIM(MID($D898,FIND("｜",$D898)+1,99)),"")))</f>
        <v/>
      </c>
      <c r="G898" s="39"/>
      <c r="H898" s="25"/>
      <c r="I898" s="35" t="str">
        <f aca="false">IF($H898="","",IFERROR(INDEX(票据归类表,MATCH($H898,票据类型表,0)),"现金无票"))</f>
        <v/>
      </c>
      <c r="J898" s="25"/>
      <c r="K898" s="25"/>
      <c r="L898" s="31"/>
      <c r="M898" s="29" t="str">
        <f aca="false">IF($C898="","",YEAR($C898))</f>
        <v/>
      </c>
      <c r="N898" s="24"/>
      <c r="O898" s="35" t="str">
        <f aca="false">IF($C898="","",IF($D898="","★没选客户项目",IF(COUNTIF(合同键,$D898)=0,"★《维保合同》里没这个项目",IF(N($G898)&lt;=0,"★收款金额要填",IF($H898="","★票据类型要选",IF(AND($L898&lt;&gt;"",COUNTIF(应收单号,$L898)=0),"★关联的应收单号不存在",IF(AND($L898&lt;&gt;"",IFERROR(INDEX(应收键,MATCH($L898,应收单号,0)),"")&lt;&gt;$D898),"★关联单号不是这个客户的",IF(AND($L898&lt;&gt;"",ROUND(SUMIF(收款关联,$L898,收款金额)-IFERROR(INDEX(应收金额,MATCH($L898,应收单号,0)),0),2)&gt;0.001),"★指定冲销超过那张单的应收","OK"))))))))</f>
        <v/>
      </c>
    </row>
    <row r="899" customFormat="false" ht="15" hidden="false" customHeight="false" outlineLevel="0" collapsed="false">
      <c r="A899" s="29" t="str">
        <f aca="false">IF($C899="","",ROW()-4)</f>
        <v/>
      </c>
      <c r="B899" s="35" t="str">
        <f aca="false">IF($C899="","","SK"&amp;TEXT($C899,"yyyymm")&amp;"-"&amp;TEXT(ROW()-4,"0000"))</f>
        <v/>
      </c>
      <c r="C899" s="33"/>
      <c r="D899" s="24"/>
      <c r="E899" s="30" t="str">
        <f aca="false">IF($D899="","",IFERROR(INDEX(合同单位,MATCH($D899,合同键,0)),IFERROR(TRIM(LEFT($D899,FIND("｜",$D899)-1)),$D899)))</f>
        <v/>
      </c>
      <c r="F899" s="30" t="str">
        <f aca="false">IF($D899="","",IFERROR(INDEX(合同项目,MATCH($D899,合同键,0)),IFERROR(TRIM(MID($D899,FIND("｜",$D899)+1,99)),"")))</f>
        <v/>
      </c>
      <c r="G899" s="39"/>
      <c r="H899" s="25"/>
      <c r="I899" s="35" t="str">
        <f aca="false">IF($H899="","",IFERROR(INDEX(票据归类表,MATCH($H899,票据类型表,0)),"现金无票"))</f>
        <v/>
      </c>
      <c r="J899" s="25"/>
      <c r="K899" s="25"/>
      <c r="L899" s="31"/>
      <c r="M899" s="29" t="str">
        <f aca="false">IF($C899="","",YEAR($C899))</f>
        <v/>
      </c>
      <c r="N899" s="24"/>
      <c r="O899" s="35" t="str">
        <f aca="false">IF($C899="","",IF($D899="","★没选客户项目",IF(COUNTIF(合同键,$D899)=0,"★《维保合同》里没这个项目",IF(N($G899)&lt;=0,"★收款金额要填",IF($H899="","★票据类型要选",IF(AND($L899&lt;&gt;"",COUNTIF(应收单号,$L899)=0),"★关联的应收单号不存在",IF(AND($L899&lt;&gt;"",IFERROR(INDEX(应收键,MATCH($L899,应收单号,0)),"")&lt;&gt;$D899),"★关联单号不是这个客户的",IF(AND($L899&lt;&gt;"",ROUND(SUMIF(收款关联,$L899,收款金额)-IFERROR(INDEX(应收金额,MATCH($L899,应收单号,0)),0),2)&gt;0.001),"★指定冲销超过那张单的应收","OK"))))))))</f>
        <v/>
      </c>
    </row>
    <row r="900" customFormat="false" ht="15" hidden="false" customHeight="false" outlineLevel="0" collapsed="false">
      <c r="A900" s="29" t="str">
        <f aca="false">IF($C900="","",ROW()-4)</f>
        <v/>
      </c>
      <c r="B900" s="35" t="str">
        <f aca="false">IF($C900="","","SK"&amp;TEXT($C900,"yyyymm")&amp;"-"&amp;TEXT(ROW()-4,"0000"))</f>
        <v/>
      </c>
      <c r="C900" s="33"/>
      <c r="D900" s="24"/>
      <c r="E900" s="30" t="str">
        <f aca="false">IF($D900="","",IFERROR(INDEX(合同单位,MATCH($D900,合同键,0)),IFERROR(TRIM(LEFT($D900,FIND("｜",$D900)-1)),$D900)))</f>
        <v/>
      </c>
      <c r="F900" s="30" t="str">
        <f aca="false">IF($D900="","",IFERROR(INDEX(合同项目,MATCH($D900,合同键,0)),IFERROR(TRIM(MID($D900,FIND("｜",$D900)+1,99)),"")))</f>
        <v/>
      </c>
      <c r="G900" s="39"/>
      <c r="H900" s="25"/>
      <c r="I900" s="35" t="str">
        <f aca="false">IF($H900="","",IFERROR(INDEX(票据归类表,MATCH($H900,票据类型表,0)),"现金无票"))</f>
        <v/>
      </c>
      <c r="J900" s="25"/>
      <c r="K900" s="25"/>
      <c r="L900" s="31"/>
      <c r="M900" s="29" t="str">
        <f aca="false">IF($C900="","",YEAR($C900))</f>
        <v/>
      </c>
      <c r="N900" s="24"/>
      <c r="O900" s="35" t="str">
        <f aca="false">IF($C900="","",IF($D900="","★没选客户项目",IF(COUNTIF(合同键,$D900)=0,"★《维保合同》里没这个项目",IF(N($G900)&lt;=0,"★收款金额要填",IF($H900="","★票据类型要选",IF(AND($L900&lt;&gt;"",COUNTIF(应收单号,$L900)=0),"★关联的应收单号不存在",IF(AND($L900&lt;&gt;"",IFERROR(INDEX(应收键,MATCH($L900,应收单号,0)),"")&lt;&gt;$D900),"★关联单号不是这个客户的",IF(AND($L900&lt;&gt;"",ROUND(SUMIF(收款关联,$L900,收款金额)-IFERROR(INDEX(应收金额,MATCH($L900,应收单号,0)),0),2)&gt;0.001),"★指定冲销超过那张单的应收","OK"))))))))</f>
        <v/>
      </c>
    </row>
    <row r="901" customFormat="false" ht="15" hidden="false" customHeight="false" outlineLevel="0" collapsed="false">
      <c r="A901" s="29" t="str">
        <f aca="false">IF($C901="","",ROW()-4)</f>
        <v/>
      </c>
      <c r="B901" s="35" t="str">
        <f aca="false">IF($C901="","","SK"&amp;TEXT($C901,"yyyymm")&amp;"-"&amp;TEXT(ROW()-4,"0000"))</f>
        <v/>
      </c>
      <c r="C901" s="33"/>
      <c r="D901" s="24"/>
      <c r="E901" s="30" t="str">
        <f aca="false">IF($D901="","",IFERROR(INDEX(合同单位,MATCH($D901,合同键,0)),IFERROR(TRIM(LEFT($D901,FIND("｜",$D901)-1)),$D901)))</f>
        <v/>
      </c>
      <c r="F901" s="30" t="str">
        <f aca="false">IF($D901="","",IFERROR(INDEX(合同项目,MATCH($D901,合同键,0)),IFERROR(TRIM(MID($D901,FIND("｜",$D901)+1,99)),"")))</f>
        <v/>
      </c>
      <c r="G901" s="39"/>
      <c r="H901" s="25"/>
      <c r="I901" s="35" t="str">
        <f aca="false">IF($H901="","",IFERROR(INDEX(票据归类表,MATCH($H901,票据类型表,0)),"现金无票"))</f>
        <v/>
      </c>
      <c r="J901" s="25"/>
      <c r="K901" s="25"/>
      <c r="L901" s="31"/>
      <c r="M901" s="29" t="str">
        <f aca="false">IF($C901="","",YEAR($C901))</f>
        <v/>
      </c>
      <c r="N901" s="24"/>
      <c r="O901" s="35" t="str">
        <f aca="false">IF($C901="","",IF($D901="","★没选客户项目",IF(COUNTIF(合同键,$D901)=0,"★《维保合同》里没这个项目",IF(N($G901)&lt;=0,"★收款金额要填",IF($H901="","★票据类型要选",IF(AND($L901&lt;&gt;"",COUNTIF(应收单号,$L901)=0),"★关联的应收单号不存在",IF(AND($L901&lt;&gt;"",IFERROR(INDEX(应收键,MATCH($L901,应收单号,0)),"")&lt;&gt;$D901),"★关联单号不是这个客户的",IF(AND($L901&lt;&gt;"",ROUND(SUMIF(收款关联,$L901,收款金额)-IFERROR(INDEX(应收金额,MATCH($L901,应收单号,0)),0),2)&gt;0.001),"★指定冲销超过那张单的应收","OK"))))))))</f>
        <v/>
      </c>
    </row>
    <row r="902" customFormat="false" ht="15" hidden="false" customHeight="false" outlineLevel="0" collapsed="false">
      <c r="A902" s="29" t="str">
        <f aca="false">IF($C902="","",ROW()-4)</f>
        <v/>
      </c>
      <c r="B902" s="35" t="str">
        <f aca="false">IF($C902="","","SK"&amp;TEXT($C902,"yyyymm")&amp;"-"&amp;TEXT(ROW()-4,"0000"))</f>
        <v/>
      </c>
      <c r="C902" s="33"/>
      <c r="D902" s="24"/>
      <c r="E902" s="30" t="str">
        <f aca="false">IF($D902="","",IFERROR(INDEX(合同单位,MATCH($D902,合同键,0)),IFERROR(TRIM(LEFT($D902,FIND("｜",$D902)-1)),$D902)))</f>
        <v/>
      </c>
      <c r="F902" s="30" t="str">
        <f aca="false">IF($D902="","",IFERROR(INDEX(合同项目,MATCH($D902,合同键,0)),IFERROR(TRIM(MID($D902,FIND("｜",$D902)+1,99)),"")))</f>
        <v/>
      </c>
      <c r="G902" s="39"/>
      <c r="H902" s="25"/>
      <c r="I902" s="35" t="str">
        <f aca="false">IF($H902="","",IFERROR(INDEX(票据归类表,MATCH($H902,票据类型表,0)),"现金无票"))</f>
        <v/>
      </c>
      <c r="J902" s="25"/>
      <c r="K902" s="25"/>
      <c r="L902" s="31"/>
      <c r="M902" s="29" t="str">
        <f aca="false">IF($C902="","",YEAR($C902))</f>
        <v/>
      </c>
      <c r="N902" s="24"/>
      <c r="O902" s="35" t="str">
        <f aca="false">IF($C902="","",IF($D902="","★没选客户项目",IF(COUNTIF(合同键,$D902)=0,"★《维保合同》里没这个项目",IF(N($G902)&lt;=0,"★收款金额要填",IF($H902="","★票据类型要选",IF(AND($L902&lt;&gt;"",COUNTIF(应收单号,$L902)=0),"★关联的应收单号不存在",IF(AND($L902&lt;&gt;"",IFERROR(INDEX(应收键,MATCH($L902,应收单号,0)),"")&lt;&gt;$D902),"★关联单号不是这个客户的",IF(AND($L902&lt;&gt;"",ROUND(SUMIF(收款关联,$L902,收款金额)-IFERROR(INDEX(应收金额,MATCH($L902,应收单号,0)),0),2)&gt;0.001),"★指定冲销超过那张单的应收","OK"))))))))</f>
        <v/>
      </c>
    </row>
    <row r="903" customFormat="false" ht="15" hidden="false" customHeight="false" outlineLevel="0" collapsed="false">
      <c r="A903" s="29" t="str">
        <f aca="false">IF($C903="","",ROW()-4)</f>
        <v/>
      </c>
      <c r="B903" s="35" t="str">
        <f aca="false">IF($C903="","","SK"&amp;TEXT($C903,"yyyymm")&amp;"-"&amp;TEXT(ROW()-4,"0000"))</f>
        <v/>
      </c>
      <c r="C903" s="33"/>
      <c r="D903" s="24"/>
      <c r="E903" s="30" t="str">
        <f aca="false">IF($D903="","",IFERROR(INDEX(合同单位,MATCH($D903,合同键,0)),IFERROR(TRIM(LEFT($D903,FIND("｜",$D903)-1)),$D903)))</f>
        <v/>
      </c>
      <c r="F903" s="30" t="str">
        <f aca="false">IF($D903="","",IFERROR(INDEX(合同项目,MATCH($D903,合同键,0)),IFERROR(TRIM(MID($D903,FIND("｜",$D903)+1,99)),"")))</f>
        <v/>
      </c>
      <c r="G903" s="39"/>
      <c r="H903" s="25"/>
      <c r="I903" s="35" t="str">
        <f aca="false">IF($H903="","",IFERROR(INDEX(票据归类表,MATCH($H903,票据类型表,0)),"现金无票"))</f>
        <v/>
      </c>
      <c r="J903" s="25"/>
      <c r="K903" s="25"/>
      <c r="L903" s="31"/>
      <c r="M903" s="29" t="str">
        <f aca="false">IF($C903="","",YEAR($C903))</f>
        <v/>
      </c>
      <c r="N903" s="24"/>
      <c r="O903" s="35" t="str">
        <f aca="false">IF($C903="","",IF($D903="","★没选客户项目",IF(COUNTIF(合同键,$D903)=0,"★《维保合同》里没这个项目",IF(N($G903)&lt;=0,"★收款金额要填",IF($H903="","★票据类型要选",IF(AND($L903&lt;&gt;"",COUNTIF(应收单号,$L903)=0),"★关联的应收单号不存在",IF(AND($L903&lt;&gt;"",IFERROR(INDEX(应收键,MATCH($L903,应收单号,0)),"")&lt;&gt;$D903),"★关联单号不是这个客户的",IF(AND($L903&lt;&gt;"",ROUND(SUMIF(收款关联,$L903,收款金额)-IFERROR(INDEX(应收金额,MATCH($L903,应收单号,0)),0),2)&gt;0.001),"★指定冲销超过那张单的应收","OK"))))))))</f>
        <v/>
      </c>
    </row>
    <row r="904" customFormat="false" ht="15" hidden="false" customHeight="false" outlineLevel="0" collapsed="false">
      <c r="A904" s="29" t="str">
        <f aca="false">IF($C904="","",ROW()-4)</f>
        <v/>
      </c>
      <c r="B904" s="35" t="str">
        <f aca="false">IF($C904="","","SK"&amp;TEXT($C904,"yyyymm")&amp;"-"&amp;TEXT(ROW()-4,"0000"))</f>
        <v/>
      </c>
      <c r="C904" s="33"/>
      <c r="D904" s="24"/>
      <c r="E904" s="30" t="str">
        <f aca="false">IF($D904="","",IFERROR(INDEX(合同单位,MATCH($D904,合同键,0)),IFERROR(TRIM(LEFT($D904,FIND("｜",$D904)-1)),$D904)))</f>
        <v/>
      </c>
      <c r="F904" s="30" t="str">
        <f aca="false">IF($D904="","",IFERROR(INDEX(合同项目,MATCH($D904,合同键,0)),IFERROR(TRIM(MID($D904,FIND("｜",$D904)+1,99)),"")))</f>
        <v/>
      </c>
      <c r="G904" s="39"/>
      <c r="H904" s="25"/>
      <c r="I904" s="35" t="str">
        <f aca="false">IF($H904="","",IFERROR(INDEX(票据归类表,MATCH($H904,票据类型表,0)),"现金无票"))</f>
        <v/>
      </c>
      <c r="J904" s="25"/>
      <c r="K904" s="25"/>
      <c r="L904" s="31"/>
      <c r="M904" s="29" t="str">
        <f aca="false">IF($C904="","",YEAR($C904))</f>
        <v/>
      </c>
      <c r="N904" s="24"/>
      <c r="O904" s="35" t="str">
        <f aca="false">IF($C904="","",IF($D904="","★没选客户项目",IF(COUNTIF(合同键,$D904)=0,"★《维保合同》里没这个项目",IF(N($G904)&lt;=0,"★收款金额要填",IF($H904="","★票据类型要选",IF(AND($L904&lt;&gt;"",COUNTIF(应收单号,$L904)=0),"★关联的应收单号不存在",IF(AND($L904&lt;&gt;"",IFERROR(INDEX(应收键,MATCH($L904,应收单号,0)),"")&lt;&gt;$D904),"★关联单号不是这个客户的",IF(AND($L904&lt;&gt;"",ROUND(SUMIF(收款关联,$L904,收款金额)-IFERROR(INDEX(应收金额,MATCH($L904,应收单号,0)),0),2)&gt;0.001),"★指定冲销超过那张单的应收","OK"))))))))</f>
        <v/>
      </c>
    </row>
    <row r="905" customFormat="false" ht="15" hidden="false" customHeight="false" outlineLevel="0" collapsed="false">
      <c r="A905" s="29" t="str">
        <f aca="false">IF($C905="","",ROW()-4)</f>
        <v/>
      </c>
      <c r="B905" s="35" t="str">
        <f aca="false">IF($C905="","","SK"&amp;TEXT($C905,"yyyymm")&amp;"-"&amp;TEXT(ROW()-4,"0000"))</f>
        <v/>
      </c>
      <c r="C905" s="33"/>
      <c r="D905" s="24"/>
      <c r="E905" s="30" t="str">
        <f aca="false">IF($D905="","",IFERROR(INDEX(合同单位,MATCH($D905,合同键,0)),IFERROR(TRIM(LEFT($D905,FIND("｜",$D905)-1)),$D905)))</f>
        <v/>
      </c>
      <c r="F905" s="30" t="str">
        <f aca="false">IF($D905="","",IFERROR(INDEX(合同项目,MATCH($D905,合同键,0)),IFERROR(TRIM(MID($D905,FIND("｜",$D905)+1,99)),"")))</f>
        <v/>
      </c>
      <c r="G905" s="39"/>
      <c r="H905" s="25"/>
      <c r="I905" s="35" t="str">
        <f aca="false">IF($H905="","",IFERROR(INDEX(票据归类表,MATCH($H905,票据类型表,0)),"现金无票"))</f>
        <v/>
      </c>
      <c r="J905" s="25"/>
      <c r="K905" s="25"/>
      <c r="L905" s="31"/>
      <c r="M905" s="29" t="str">
        <f aca="false">IF($C905="","",YEAR($C905))</f>
        <v/>
      </c>
      <c r="N905" s="24"/>
      <c r="O905" s="35" t="str">
        <f aca="false">IF($C905="","",IF($D905="","★没选客户项目",IF(COUNTIF(合同键,$D905)=0,"★《维保合同》里没这个项目",IF(N($G905)&lt;=0,"★收款金额要填",IF($H905="","★票据类型要选",IF(AND($L905&lt;&gt;"",COUNTIF(应收单号,$L905)=0),"★关联的应收单号不存在",IF(AND($L905&lt;&gt;"",IFERROR(INDEX(应收键,MATCH($L905,应收单号,0)),"")&lt;&gt;$D905),"★关联单号不是这个客户的",IF(AND($L905&lt;&gt;"",ROUND(SUMIF(收款关联,$L905,收款金额)-IFERROR(INDEX(应收金额,MATCH($L905,应收单号,0)),0),2)&gt;0.001),"★指定冲销超过那张单的应收","OK"))))))))</f>
        <v/>
      </c>
    </row>
    <row r="906" customFormat="false" ht="15" hidden="false" customHeight="false" outlineLevel="0" collapsed="false">
      <c r="A906" s="29" t="str">
        <f aca="false">IF($C906="","",ROW()-4)</f>
        <v/>
      </c>
      <c r="B906" s="35" t="str">
        <f aca="false">IF($C906="","","SK"&amp;TEXT($C906,"yyyymm")&amp;"-"&amp;TEXT(ROW()-4,"0000"))</f>
        <v/>
      </c>
      <c r="C906" s="33"/>
      <c r="D906" s="24"/>
      <c r="E906" s="30" t="str">
        <f aca="false">IF($D906="","",IFERROR(INDEX(合同单位,MATCH($D906,合同键,0)),IFERROR(TRIM(LEFT($D906,FIND("｜",$D906)-1)),$D906)))</f>
        <v/>
      </c>
      <c r="F906" s="30" t="str">
        <f aca="false">IF($D906="","",IFERROR(INDEX(合同项目,MATCH($D906,合同键,0)),IFERROR(TRIM(MID($D906,FIND("｜",$D906)+1,99)),"")))</f>
        <v/>
      </c>
      <c r="G906" s="39"/>
      <c r="H906" s="25"/>
      <c r="I906" s="35" t="str">
        <f aca="false">IF($H906="","",IFERROR(INDEX(票据归类表,MATCH($H906,票据类型表,0)),"现金无票"))</f>
        <v/>
      </c>
      <c r="J906" s="25"/>
      <c r="K906" s="25"/>
      <c r="L906" s="31"/>
      <c r="M906" s="29" t="str">
        <f aca="false">IF($C906="","",YEAR($C906))</f>
        <v/>
      </c>
      <c r="N906" s="24"/>
      <c r="O906" s="35" t="str">
        <f aca="false">IF($C906="","",IF($D906="","★没选客户项目",IF(COUNTIF(合同键,$D906)=0,"★《维保合同》里没这个项目",IF(N($G906)&lt;=0,"★收款金额要填",IF($H906="","★票据类型要选",IF(AND($L906&lt;&gt;"",COUNTIF(应收单号,$L906)=0),"★关联的应收单号不存在",IF(AND($L906&lt;&gt;"",IFERROR(INDEX(应收键,MATCH($L906,应收单号,0)),"")&lt;&gt;$D906),"★关联单号不是这个客户的",IF(AND($L906&lt;&gt;"",ROUND(SUMIF(收款关联,$L906,收款金额)-IFERROR(INDEX(应收金额,MATCH($L906,应收单号,0)),0),2)&gt;0.001),"★指定冲销超过那张单的应收","OK"))))))))</f>
        <v/>
      </c>
    </row>
    <row r="907" customFormat="false" ht="15" hidden="false" customHeight="false" outlineLevel="0" collapsed="false">
      <c r="A907" s="29" t="str">
        <f aca="false">IF($C907="","",ROW()-4)</f>
        <v/>
      </c>
      <c r="B907" s="35" t="str">
        <f aca="false">IF($C907="","","SK"&amp;TEXT($C907,"yyyymm")&amp;"-"&amp;TEXT(ROW()-4,"0000"))</f>
        <v/>
      </c>
      <c r="C907" s="33"/>
      <c r="D907" s="24"/>
      <c r="E907" s="30" t="str">
        <f aca="false">IF($D907="","",IFERROR(INDEX(合同单位,MATCH($D907,合同键,0)),IFERROR(TRIM(LEFT($D907,FIND("｜",$D907)-1)),$D907)))</f>
        <v/>
      </c>
      <c r="F907" s="30" t="str">
        <f aca="false">IF($D907="","",IFERROR(INDEX(合同项目,MATCH($D907,合同键,0)),IFERROR(TRIM(MID($D907,FIND("｜",$D907)+1,99)),"")))</f>
        <v/>
      </c>
      <c r="G907" s="39"/>
      <c r="H907" s="25"/>
      <c r="I907" s="35" t="str">
        <f aca="false">IF($H907="","",IFERROR(INDEX(票据归类表,MATCH($H907,票据类型表,0)),"现金无票"))</f>
        <v/>
      </c>
      <c r="J907" s="25"/>
      <c r="K907" s="25"/>
      <c r="L907" s="31"/>
      <c r="M907" s="29" t="str">
        <f aca="false">IF($C907="","",YEAR($C907))</f>
        <v/>
      </c>
      <c r="N907" s="24"/>
      <c r="O907" s="35" t="str">
        <f aca="false">IF($C907="","",IF($D907="","★没选客户项目",IF(COUNTIF(合同键,$D907)=0,"★《维保合同》里没这个项目",IF(N($G907)&lt;=0,"★收款金额要填",IF($H907="","★票据类型要选",IF(AND($L907&lt;&gt;"",COUNTIF(应收单号,$L907)=0),"★关联的应收单号不存在",IF(AND($L907&lt;&gt;"",IFERROR(INDEX(应收键,MATCH($L907,应收单号,0)),"")&lt;&gt;$D907),"★关联单号不是这个客户的",IF(AND($L907&lt;&gt;"",ROUND(SUMIF(收款关联,$L907,收款金额)-IFERROR(INDEX(应收金额,MATCH($L907,应收单号,0)),0),2)&gt;0.001),"★指定冲销超过那张单的应收","OK"))))))))</f>
        <v/>
      </c>
    </row>
    <row r="908" customFormat="false" ht="15" hidden="false" customHeight="false" outlineLevel="0" collapsed="false">
      <c r="A908" s="29" t="str">
        <f aca="false">IF($C908="","",ROW()-4)</f>
        <v/>
      </c>
      <c r="B908" s="35" t="str">
        <f aca="false">IF($C908="","","SK"&amp;TEXT($C908,"yyyymm")&amp;"-"&amp;TEXT(ROW()-4,"0000"))</f>
        <v/>
      </c>
      <c r="C908" s="33"/>
      <c r="D908" s="24"/>
      <c r="E908" s="30" t="str">
        <f aca="false">IF($D908="","",IFERROR(INDEX(合同单位,MATCH($D908,合同键,0)),IFERROR(TRIM(LEFT($D908,FIND("｜",$D908)-1)),$D908)))</f>
        <v/>
      </c>
      <c r="F908" s="30" t="str">
        <f aca="false">IF($D908="","",IFERROR(INDEX(合同项目,MATCH($D908,合同键,0)),IFERROR(TRIM(MID($D908,FIND("｜",$D908)+1,99)),"")))</f>
        <v/>
      </c>
      <c r="G908" s="39"/>
      <c r="H908" s="25"/>
      <c r="I908" s="35" t="str">
        <f aca="false">IF($H908="","",IFERROR(INDEX(票据归类表,MATCH($H908,票据类型表,0)),"现金无票"))</f>
        <v/>
      </c>
      <c r="J908" s="25"/>
      <c r="K908" s="25"/>
      <c r="L908" s="31"/>
      <c r="M908" s="29" t="str">
        <f aca="false">IF($C908="","",YEAR($C908))</f>
        <v/>
      </c>
      <c r="N908" s="24"/>
      <c r="O908" s="35" t="str">
        <f aca="false">IF($C908="","",IF($D908="","★没选客户项目",IF(COUNTIF(合同键,$D908)=0,"★《维保合同》里没这个项目",IF(N($G908)&lt;=0,"★收款金额要填",IF($H908="","★票据类型要选",IF(AND($L908&lt;&gt;"",COUNTIF(应收单号,$L908)=0),"★关联的应收单号不存在",IF(AND($L908&lt;&gt;"",IFERROR(INDEX(应收键,MATCH($L908,应收单号,0)),"")&lt;&gt;$D908),"★关联单号不是这个客户的",IF(AND($L908&lt;&gt;"",ROUND(SUMIF(收款关联,$L908,收款金额)-IFERROR(INDEX(应收金额,MATCH($L908,应收单号,0)),0),2)&gt;0.001),"★指定冲销超过那张单的应收","OK"))))))))</f>
        <v/>
      </c>
    </row>
    <row r="909" customFormat="false" ht="15" hidden="false" customHeight="false" outlineLevel="0" collapsed="false">
      <c r="A909" s="29" t="str">
        <f aca="false">IF($C909="","",ROW()-4)</f>
        <v/>
      </c>
      <c r="B909" s="35" t="str">
        <f aca="false">IF($C909="","","SK"&amp;TEXT($C909,"yyyymm")&amp;"-"&amp;TEXT(ROW()-4,"0000"))</f>
        <v/>
      </c>
      <c r="C909" s="33"/>
      <c r="D909" s="24"/>
      <c r="E909" s="30" t="str">
        <f aca="false">IF($D909="","",IFERROR(INDEX(合同单位,MATCH($D909,合同键,0)),IFERROR(TRIM(LEFT($D909,FIND("｜",$D909)-1)),$D909)))</f>
        <v/>
      </c>
      <c r="F909" s="30" t="str">
        <f aca="false">IF($D909="","",IFERROR(INDEX(合同项目,MATCH($D909,合同键,0)),IFERROR(TRIM(MID($D909,FIND("｜",$D909)+1,99)),"")))</f>
        <v/>
      </c>
      <c r="G909" s="39"/>
      <c r="H909" s="25"/>
      <c r="I909" s="35" t="str">
        <f aca="false">IF($H909="","",IFERROR(INDEX(票据归类表,MATCH($H909,票据类型表,0)),"现金无票"))</f>
        <v/>
      </c>
      <c r="J909" s="25"/>
      <c r="K909" s="25"/>
      <c r="L909" s="31"/>
      <c r="M909" s="29" t="str">
        <f aca="false">IF($C909="","",YEAR($C909))</f>
        <v/>
      </c>
      <c r="N909" s="24"/>
      <c r="O909" s="35" t="str">
        <f aca="false">IF($C909="","",IF($D909="","★没选客户项目",IF(COUNTIF(合同键,$D909)=0,"★《维保合同》里没这个项目",IF(N($G909)&lt;=0,"★收款金额要填",IF($H909="","★票据类型要选",IF(AND($L909&lt;&gt;"",COUNTIF(应收单号,$L909)=0),"★关联的应收单号不存在",IF(AND($L909&lt;&gt;"",IFERROR(INDEX(应收键,MATCH($L909,应收单号,0)),"")&lt;&gt;$D909),"★关联单号不是这个客户的",IF(AND($L909&lt;&gt;"",ROUND(SUMIF(收款关联,$L909,收款金额)-IFERROR(INDEX(应收金额,MATCH($L909,应收单号,0)),0),2)&gt;0.001),"★指定冲销超过那张单的应收","OK"))))))))</f>
        <v/>
      </c>
    </row>
    <row r="910" customFormat="false" ht="15" hidden="false" customHeight="false" outlineLevel="0" collapsed="false">
      <c r="A910" s="29" t="str">
        <f aca="false">IF($C910="","",ROW()-4)</f>
        <v/>
      </c>
      <c r="B910" s="35" t="str">
        <f aca="false">IF($C910="","","SK"&amp;TEXT($C910,"yyyymm")&amp;"-"&amp;TEXT(ROW()-4,"0000"))</f>
        <v/>
      </c>
      <c r="C910" s="33"/>
      <c r="D910" s="24"/>
      <c r="E910" s="30" t="str">
        <f aca="false">IF($D910="","",IFERROR(INDEX(合同单位,MATCH($D910,合同键,0)),IFERROR(TRIM(LEFT($D910,FIND("｜",$D910)-1)),$D910)))</f>
        <v/>
      </c>
      <c r="F910" s="30" t="str">
        <f aca="false">IF($D910="","",IFERROR(INDEX(合同项目,MATCH($D910,合同键,0)),IFERROR(TRIM(MID($D910,FIND("｜",$D910)+1,99)),"")))</f>
        <v/>
      </c>
      <c r="G910" s="39"/>
      <c r="H910" s="25"/>
      <c r="I910" s="35" t="str">
        <f aca="false">IF($H910="","",IFERROR(INDEX(票据归类表,MATCH($H910,票据类型表,0)),"现金无票"))</f>
        <v/>
      </c>
      <c r="J910" s="25"/>
      <c r="K910" s="25"/>
      <c r="L910" s="31"/>
      <c r="M910" s="29" t="str">
        <f aca="false">IF($C910="","",YEAR($C910))</f>
        <v/>
      </c>
      <c r="N910" s="24"/>
      <c r="O910" s="35" t="str">
        <f aca="false">IF($C910="","",IF($D910="","★没选客户项目",IF(COUNTIF(合同键,$D910)=0,"★《维保合同》里没这个项目",IF(N($G910)&lt;=0,"★收款金额要填",IF($H910="","★票据类型要选",IF(AND($L910&lt;&gt;"",COUNTIF(应收单号,$L910)=0),"★关联的应收单号不存在",IF(AND($L910&lt;&gt;"",IFERROR(INDEX(应收键,MATCH($L910,应收单号,0)),"")&lt;&gt;$D910),"★关联单号不是这个客户的",IF(AND($L910&lt;&gt;"",ROUND(SUMIF(收款关联,$L910,收款金额)-IFERROR(INDEX(应收金额,MATCH($L910,应收单号,0)),0),2)&gt;0.001),"★指定冲销超过那张单的应收","OK"))))))))</f>
        <v/>
      </c>
    </row>
    <row r="911" customFormat="false" ht="15" hidden="false" customHeight="false" outlineLevel="0" collapsed="false">
      <c r="A911" s="29" t="str">
        <f aca="false">IF($C911="","",ROW()-4)</f>
        <v/>
      </c>
      <c r="B911" s="35" t="str">
        <f aca="false">IF($C911="","","SK"&amp;TEXT($C911,"yyyymm")&amp;"-"&amp;TEXT(ROW()-4,"0000"))</f>
        <v/>
      </c>
      <c r="C911" s="33"/>
      <c r="D911" s="24"/>
      <c r="E911" s="30" t="str">
        <f aca="false">IF($D911="","",IFERROR(INDEX(合同单位,MATCH($D911,合同键,0)),IFERROR(TRIM(LEFT($D911,FIND("｜",$D911)-1)),$D911)))</f>
        <v/>
      </c>
      <c r="F911" s="30" t="str">
        <f aca="false">IF($D911="","",IFERROR(INDEX(合同项目,MATCH($D911,合同键,0)),IFERROR(TRIM(MID($D911,FIND("｜",$D911)+1,99)),"")))</f>
        <v/>
      </c>
      <c r="G911" s="39"/>
      <c r="H911" s="25"/>
      <c r="I911" s="35" t="str">
        <f aca="false">IF($H911="","",IFERROR(INDEX(票据归类表,MATCH($H911,票据类型表,0)),"现金无票"))</f>
        <v/>
      </c>
      <c r="J911" s="25"/>
      <c r="K911" s="25"/>
      <c r="L911" s="31"/>
      <c r="M911" s="29" t="str">
        <f aca="false">IF($C911="","",YEAR($C911))</f>
        <v/>
      </c>
      <c r="N911" s="24"/>
      <c r="O911" s="35" t="str">
        <f aca="false">IF($C911="","",IF($D911="","★没选客户项目",IF(COUNTIF(合同键,$D911)=0,"★《维保合同》里没这个项目",IF(N($G911)&lt;=0,"★收款金额要填",IF($H911="","★票据类型要选",IF(AND($L911&lt;&gt;"",COUNTIF(应收单号,$L911)=0),"★关联的应收单号不存在",IF(AND($L911&lt;&gt;"",IFERROR(INDEX(应收键,MATCH($L911,应收单号,0)),"")&lt;&gt;$D911),"★关联单号不是这个客户的",IF(AND($L911&lt;&gt;"",ROUND(SUMIF(收款关联,$L911,收款金额)-IFERROR(INDEX(应收金额,MATCH($L911,应收单号,0)),0),2)&gt;0.001),"★指定冲销超过那张单的应收","OK"))))))))</f>
        <v/>
      </c>
    </row>
    <row r="912" customFormat="false" ht="15" hidden="false" customHeight="false" outlineLevel="0" collapsed="false">
      <c r="A912" s="29" t="str">
        <f aca="false">IF($C912="","",ROW()-4)</f>
        <v/>
      </c>
      <c r="B912" s="35" t="str">
        <f aca="false">IF($C912="","","SK"&amp;TEXT($C912,"yyyymm")&amp;"-"&amp;TEXT(ROW()-4,"0000"))</f>
        <v/>
      </c>
      <c r="C912" s="33"/>
      <c r="D912" s="24"/>
      <c r="E912" s="30" t="str">
        <f aca="false">IF($D912="","",IFERROR(INDEX(合同单位,MATCH($D912,合同键,0)),IFERROR(TRIM(LEFT($D912,FIND("｜",$D912)-1)),$D912)))</f>
        <v/>
      </c>
      <c r="F912" s="30" t="str">
        <f aca="false">IF($D912="","",IFERROR(INDEX(合同项目,MATCH($D912,合同键,0)),IFERROR(TRIM(MID($D912,FIND("｜",$D912)+1,99)),"")))</f>
        <v/>
      </c>
      <c r="G912" s="39"/>
      <c r="H912" s="25"/>
      <c r="I912" s="35" t="str">
        <f aca="false">IF($H912="","",IFERROR(INDEX(票据归类表,MATCH($H912,票据类型表,0)),"现金无票"))</f>
        <v/>
      </c>
      <c r="J912" s="25"/>
      <c r="K912" s="25"/>
      <c r="L912" s="31"/>
      <c r="M912" s="29" t="str">
        <f aca="false">IF($C912="","",YEAR($C912))</f>
        <v/>
      </c>
      <c r="N912" s="24"/>
      <c r="O912" s="35" t="str">
        <f aca="false">IF($C912="","",IF($D912="","★没选客户项目",IF(COUNTIF(合同键,$D912)=0,"★《维保合同》里没这个项目",IF(N($G912)&lt;=0,"★收款金额要填",IF($H912="","★票据类型要选",IF(AND($L912&lt;&gt;"",COUNTIF(应收单号,$L912)=0),"★关联的应收单号不存在",IF(AND($L912&lt;&gt;"",IFERROR(INDEX(应收键,MATCH($L912,应收单号,0)),"")&lt;&gt;$D912),"★关联单号不是这个客户的",IF(AND($L912&lt;&gt;"",ROUND(SUMIF(收款关联,$L912,收款金额)-IFERROR(INDEX(应收金额,MATCH($L912,应收单号,0)),0),2)&gt;0.001),"★指定冲销超过那张单的应收","OK"))))))))</f>
        <v/>
      </c>
    </row>
    <row r="913" customFormat="false" ht="15" hidden="false" customHeight="false" outlineLevel="0" collapsed="false">
      <c r="A913" s="29" t="str">
        <f aca="false">IF($C913="","",ROW()-4)</f>
        <v/>
      </c>
      <c r="B913" s="35" t="str">
        <f aca="false">IF($C913="","","SK"&amp;TEXT($C913,"yyyymm")&amp;"-"&amp;TEXT(ROW()-4,"0000"))</f>
        <v/>
      </c>
      <c r="C913" s="33"/>
      <c r="D913" s="24"/>
      <c r="E913" s="30" t="str">
        <f aca="false">IF($D913="","",IFERROR(INDEX(合同单位,MATCH($D913,合同键,0)),IFERROR(TRIM(LEFT($D913,FIND("｜",$D913)-1)),$D913)))</f>
        <v/>
      </c>
      <c r="F913" s="30" t="str">
        <f aca="false">IF($D913="","",IFERROR(INDEX(合同项目,MATCH($D913,合同键,0)),IFERROR(TRIM(MID($D913,FIND("｜",$D913)+1,99)),"")))</f>
        <v/>
      </c>
      <c r="G913" s="39"/>
      <c r="H913" s="25"/>
      <c r="I913" s="35" t="str">
        <f aca="false">IF($H913="","",IFERROR(INDEX(票据归类表,MATCH($H913,票据类型表,0)),"现金无票"))</f>
        <v/>
      </c>
      <c r="J913" s="25"/>
      <c r="K913" s="25"/>
      <c r="L913" s="31"/>
      <c r="M913" s="29" t="str">
        <f aca="false">IF($C913="","",YEAR($C913))</f>
        <v/>
      </c>
      <c r="N913" s="24"/>
      <c r="O913" s="35" t="str">
        <f aca="false">IF($C913="","",IF($D913="","★没选客户项目",IF(COUNTIF(合同键,$D913)=0,"★《维保合同》里没这个项目",IF(N($G913)&lt;=0,"★收款金额要填",IF($H913="","★票据类型要选",IF(AND($L913&lt;&gt;"",COUNTIF(应收单号,$L913)=0),"★关联的应收单号不存在",IF(AND($L913&lt;&gt;"",IFERROR(INDEX(应收键,MATCH($L913,应收单号,0)),"")&lt;&gt;$D913),"★关联单号不是这个客户的",IF(AND($L913&lt;&gt;"",ROUND(SUMIF(收款关联,$L913,收款金额)-IFERROR(INDEX(应收金额,MATCH($L913,应收单号,0)),0),2)&gt;0.001),"★指定冲销超过那张单的应收","OK"))))))))</f>
        <v/>
      </c>
    </row>
    <row r="914" customFormat="false" ht="15" hidden="false" customHeight="false" outlineLevel="0" collapsed="false">
      <c r="A914" s="29" t="str">
        <f aca="false">IF($C914="","",ROW()-4)</f>
        <v/>
      </c>
      <c r="B914" s="35" t="str">
        <f aca="false">IF($C914="","","SK"&amp;TEXT($C914,"yyyymm")&amp;"-"&amp;TEXT(ROW()-4,"0000"))</f>
        <v/>
      </c>
      <c r="C914" s="33"/>
      <c r="D914" s="24"/>
      <c r="E914" s="30" t="str">
        <f aca="false">IF($D914="","",IFERROR(INDEX(合同单位,MATCH($D914,合同键,0)),IFERROR(TRIM(LEFT($D914,FIND("｜",$D914)-1)),$D914)))</f>
        <v/>
      </c>
      <c r="F914" s="30" t="str">
        <f aca="false">IF($D914="","",IFERROR(INDEX(合同项目,MATCH($D914,合同键,0)),IFERROR(TRIM(MID($D914,FIND("｜",$D914)+1,99)),"")))</f>
        <v/>
      </c>
      <c r="G914" s="39"/>
      <c r="H914" s="25"/>
      <c r="I914" s="35" t="str">
        <f aca="false">IF($H914="","",IFERROR(INDEX(票据归类表,MATCH($H914,票据类型表,0)),"现金无票"))</f>
        <v/>
      </c>
      <c r="J914" s="25"/>
      <c r="K914" s="25"/>
      <c r="L914" s="31"/>
      <c r="M914" s="29" t="str">
        <f aca="false">IF($C914="","",YEAR($C914))</f>
        <v/>
      </c>
      <c r="N914" s="24"/>
      <c r="O914" s="35" t="str">
        <f aca="false">IF($C914="","",IF($D914="","★没选客户项目",IF(COUNTIF(合同键,$D914)=0,"★《维保合同》里没这个项目",IF(N($G914)&lt;=0,"★收款金额要填",IF($H914="","★票据类型要选",IF(AND($L914&lt;&gt;"",COUNTIF(应收单号,$L914)=0),"★关联的应收单号不存在",IF(AND($L914&lt;&gt;"",IFERROR(INDEX(应收键,MATCH($L914,应收单号,0)),"")&lt;&gt;$D914),"★关联单号不是这个客户的",IF(AND($L914&lt;&gt;"",ROUND(SUMIF(收款关联,$L914,收款金额)-IFERROR(INDEX(应收金额,MATCH($L914,应收单号,0)),0),2)&gt;0.001),"★指定冲销超过那张单的应收","OK"))))))))</f>
        <v/>
      </c>
    </row>
    <row r="915" customFormat="false" ht="15" hidden="false" customHeight="false" outlineLevel="0" collapsed="false">
      <c r="A915" s="29" t="str">
        <f aca="false">IF($C915="","",ROW()-4)</f>
        <v/>
      </c>
      <c r="B915" s="35" t="str">
        <f aca="false">IF($C915="","","SK"&amp;TEXT($C915,"yyyymm")&amp;"-"&amp;TEXT(ROW()-4,"0000"))</f>
        <v/>
      </c>
      <c r="C915" s="33"/>
      <c r="D915" s="24"/>
      <c r="E915" s="30" t="str">
        <f aca="false">IF($D915="","",IFERROR(INDEX(合同单位,MATCH($D915,合同键,0)),IFERROR(TRIM(LEFT($D915,FIND("｜",$D915)-1)),$D915)))</f>
        <v/>
      </c>
      <c r="F915" s="30" t="str">
        <f aca="false">IF($D915="","",IFERROR(INDEX(合同项目,MATCH($D915,合同键,0)),IFERROR(TRIM(MID($D915,FIND("｜",$D915)+1,99)),"")))</f>
        <v/>
      </c>
      <c r="G915" s="39"/>
      <c r="H915" s="25"/>
      <c r="I915" s="35" t="str">
        <f aca="false">IF($H915="","",IFERROR(INDEX(票据归类表,MATCH($H915,票据类型表,0)),"现金无票"))</f>
        <v/>
      </c>
      <c r="J915" s="25"/>
      <c r="K915" s="25"/>
      <c r="L915" s="31"/>
      <c r="M915" s="29" t="str">
        <f aca="false">IF($C915="","",YEAR($C915))</f>
        <v/>
      </c>
      <c r="N915" s="24"/>
      <c r="O915" s="35" t="str">
        <f aca="false">IF($C915="","",IF($D915="","★没选客户项目",IF(COUNTIF(合同键,$D915)=0,"★《维保合同》里没这个项目",IF(N($G915)&lt;=0,"★收款金额要填",IF($H915="","★票据类型要选",IF(AND($L915&lt;&gt;"",COUNTIF(应收单号,$L915)=0),"★关联的应收单号不存在",IF(AND($L915&lt;&gt;"",IFERROR(INDEX(应收键,MATCH($L915,应收单号,0)),"")&lt;&gt;$D915),"★关联单号不是这个客户的",IF(AND($L915&lt;&gt;"",ROUND(SUMIF(收款关联,$L915,收款金额)-IFERROR(INDEX(应收金额,MATCH($L915,应收单号,0)),0),2)&gt;0.001),"★指定冲销超过那张单的应收","OK"))))))))</f>
        <v/>
      </c>
    </row>
    <row r="916" customFormat="false" ht="15" hidden="false" customHeight="false" outlineLevel="0" collapsed="false">
      <c r="A916" s="29" t="str">
        <f aca="false">IF($C916="","",ROW()-4)</f>
        <v/>
      </c>
      <c r="B916" s="35" t="str">
        <f aca="false">IF($C916="","","SK"&amp;TEXT($C916,"yyyymm")&amp;"-"&amp;TEXT(ROW()-4,"0000"))</f>
        <v/>
      </c>
      <c r="C916" s="33"/>
      <c r="D916" s="24"/>
      <c r="E916" s="30" t="str">
        <f aca="false">IF($D916="","",IFERROR(INDEX(合同单位,MATCH($D916,合同键,0)),IFERROR(TRIM(LEFT($D916,FIND("｜",$D916)-1)),$D916)))</f>
        <v/>
      </c>
      <c r="F916" s="30" t="str">
        <f aca="false">IF($D916="","",IFERROR(INDEX(合同项目,MATCH($D916,合同键,0)),IFERROR(TRIM(MID($D916,FIND("｜",$D916)+1,99)),"")))</f>
        <v/>
      </c>
      <c r="G916" s="39"/>
      <c r="H916" s="25"/>
      <c r="I916" s="35" t="str">
        <f aca="false">IF($H916="","",IFERROR(INDEX(票据归类表,MATCH($H916,票据类型表,0)),"现金无票"))</f>
        <v/>
      </c>
      <c r="J916" s="25"/>
      <c r="K916" s="25"/>
      <c r="L916" s="31"/>
      <c r="M916" s="29" t="str">
        <f aca="false">IF($C916="","",YEAR($C916))</f>
        <v/>
      </c>
      <c r="N916" s="24"/>
      <c r="O916" s="35" t="str">
        <f aca="false">IF($C916="","",IF($D916="","★没选客户项目",IF(COUNTIF(合同键,$D916)=0,"★《维保合同》里没这个项目",IF(N($G916)&lt;=0,"★收款金额要填",IF($H916="","★票据类型要选",IF(AND($L916&lt;&gt;"",COUNTIF(应收单号,$L916)=0),"★关联的应收单号不存在",IF(AND($L916&lt;&gt;"",IFERROR(INDEX(应收键,MATCH($L916,应收单号,0)),"")&lt;&gt;$D916),"★关联单号不是这个客户的",IF(AND($L916&lt;&gt;"",ROUND(SUMIF(收款关联,$L916,收款金额)-IFERROR(INDEX(应收金额,MATCH($L916,应收单号,0)),0),2)&gt;0.001),"★指定冲销超过那张单的应收","OK"))))))))</f>
        <v/>
      </c>
    </row>
    <row r="917" customFormat="false" ht="15" hidden="false" customHeight="false" outlineLevel="0" collapsed="false">
      <c r="A917" s="29" t="str">
        <f aca="false">IF($C917="","",ROW()-4)</f>
        <v/>
      </c>
      <c r="B917" s="35" t="str">
        <f aca="false">IF($C917="","","SK"&amp;TEXT($C917,"yyyymm")&amp;"-"&amp;TEXT(ROW()-4,"0000"))</f>
        <v/>
      </c>
      <c r="C917" s="33"/>
      <c r="D917" s="24"/>
      <c r="E917" s="30" t="str">
        <f aca="false">IF($D917="","",IFERROR(INDEX(合同单位,MATCH($D917,合同键,0)),IFERROR(TRIM(LEFT($D917,FIND("｜",$D917)-1)),$D917)))</f>
        <v/>
      </c>
      <c r="F917" s="30" t="str">
        <f aca="false">IF($D917="","",IFERROR(INDEX(合同项目,MATCH($D917,合同键,0)),IFERROR(TRIM(MID($D917,FIND("｜",$D917)+1,99)),"")))</f>
        <v/>
      </c>
      <c r="G917" s="39"/>
      <c r="H917" s="25"/>
      <c r="I917" s="35" t="str">
        <f aca="false">IF($H917="","",IFERROR(INDEX(票据归类表,MATCH($H917,票据类型表,0)),"现金无票"))</f>
        <v/>
      </c>
      <c r="J917" s="25"/>
      <c r="K917" s="25"/>
      <c r="L917" s="31"/>
      <c r="M917" s="29" t="str">
        <f aca="false">IF($C917="","",YEAR($C917))</f>
        <v/>
      </c>
      <c r="N917" s="24"/>
      <c r="O917" s="35" t="str">
        <f aca="false">IF($C917="","",IF($D917="","★没选客户项目",IF(COUNTIF(合同键,$D917)=0,"★《维保合同》里没这个项目",IF(N($G917)&lt;=0,"★收款金额要填",IF($H917="","★票据类型要选",IF(AND($L917&lt;&gt;"",COUNTIF(应收单号,$L917)=0),"★关联的应收单号不存在",IF(AND($L917&lt;&gt;"",IFERROR(INDEX(应收键,MATCH($L917,应收单号,0)),"")&lt;&gt;$D917),"★关联单号不是这个客户的",IF(AND($L917&lt;&gt;"",ROUND(SUMIF(收款关联,$L917,收款金额)-IFERROR(INDEX(应收金额,MATCH($L917,应收单号,0)),0),2)&gt;0.001),"★指定冲销超过那张单的应收","OK"))))))))</f>
        <v/>
      </c>
    </row>
    <row r="918" customFormat="false" ht="15" hidden="false" customHeight="false" outlineLevel="0" collapsed="false">
      <c r="A918" s="29" t="str">
        <f aca="false">IF($C918="","",ROW()-4)</f>
        <v/>
      </c>
      <c r="B918" s="35" t="str">
        <f aca="false">IF($C918="","","SK"&amp;TEXT($C918,"yyyymm")&amp;"-"&amp;TEXT(ROW()-4,"0000"))</f>
        <v/>
      </c>
      <c r="C918" s="33"/>
      <c r="D918" s="24"/>
      <c r="E918" s="30" t="str">
        <f aca="false">IF($D918="","",IFERROR(INDEX(合同单位,MATCH($D918,合同键,0)),IFERROR(TRIM(LEFT($D918,FIND("｜",$D918)-1)),$D918)))</f>
        <v/>
      </c>
      <c r="F918" s="30" t="str">
        <f aca="false">IF($D918="","",IFERROR(INDEX(合同项目,MATCH($D918,合同键,0)),IFERROR(TRIM(MID($D918,FIND("｜",$D918)+1,99)),"")))</f>
        <v/>
      </c>
      <c r="G918" s="39"/>
      <c r="H918" s="25"/>
      <c r="I918" s="35" t="str">
        <f aca="false">IF($H918="","",IFERROR(INDEX(票据归类表,MATCH($H918,票据类型表,0)),"现金无票"))</f>
        <v/>
      </c>
      <c r="J918" s="25"/>
      <c r="K918" s="25"/>
      <c r="L918" s="31"/>
      <c r="M918" s="29" t="str">
        <f aca="false">IF($C918="","",YEAR($C918))</f>
        <v/>
      </c>
      <c r="N918" s="24"/>
      <c r="O918" s="35" t="str">
        <f aca="false">IF($C918="","",IF($D918="","★没选客户项目",IF(COUNTIF(合同键,$D918)=0,"★《维保合同》里没这个项目",IF(N($G918)&lt;=0,"★收款金额要填",IF($H918="","★票据类型要选",IF(AND($L918&lt;&gt;"",COUNTIF(应收单号,$L918)=0),"★关联的应收单号不存在",IF(AND($L918&lt;&gt;"",IFERROR(INDEX(应收键,MATCH($L918,应收单号,0)),"")&lt;&gt;$D918),"★关联单号不是这个客户的",IF(AND($L918&lt;&gt;"",ROUND(SUMIF(收款关联,$L918,收款金额)-IFERROR(INDEX(应收金额,MATCH($L918,应收单号,0)),0),2)&gt;0.001),"★指定冲销超过那张单的应收","OK"))))))))</f>
        <v/>
      </c>
    </row>
    <row r="919" customFormat="false" ht="15" hidden="false" customHeight="false" outlineLevel="0" collapsed="false">
      <c r="A919" s="29" t="str">
        <f aca="false">IF($C919="","",ROW()-4)</f>
        <v/>
      </c>
      <c r="B919" s="35" t="str">
        <f aca="false">IF($C919="","","SK"&amp;TEXT($C919,"yyyymm")&amp;"-"&amp;TEXT(ROW()-4,"0000"))</f>
        <v/>
      </c>
      <c r="C919" s="33"/>
      <c r="D919" s="24"/>
      <c r="E919" s="30" t="str">
        <f aca="false">IF($D919="","",IFERROR(INDEX(合同单位,MATCH($D919,合同键,0)),IFERROR(TRIM(LEFT($D919,FIND("｜",$D919)-1)),$D919)))</f>
        <v/>
      </c>
      <c r="F919" s="30" t="str">
        <f aca="false">IF($D919="","",IFERROR(INDEX(合同项目,MATCH($D919,合同键,0)),IFERROR(TRIM(MID($D919,FIND("｜",$D919)+1,99)),"")))</f>
        <v/>
      </c>
      <c r="G919" s="39"/>
      <c r="H919" s="25"/>
      <c r="I919" s="35" t="str">
        <f aca="false">IF($H919="","",IFERROR(INDEX(票据归类表,MATCH($H919,票据类型表,0)),"现金无票"))</f>
        <v/>
      </c>
      <c r="J919" s="25"/>
      <c r="K919" s="25"/>
      <c r="L919" s="31"/>
      <c r="M919" s="29" t="str">
        <f aca="false">IF($C919="","",YEAR($C919))</f>
        <v/>
      </c>
      <c r="N919" s="24"/>
      <c r="O919" s="35" t="str">
        <f aca="false">IF($C919="","",IF($D919="","★没选客户项目",IF(COUNTIF(合同键,$D919)=0,"★《维保合同》里没这个项目",IF(N($G919)&lt;=0,"★收款金额要填",IF($H919="","★票据类型要选",IF(AND($L919&lt;&gt;"",COUNTIF(应收单号,$L919)=0),"★关联的应收单号不存在",IF(AND($L919&lt;&gt;"",IFERROR(INDEX(应收键,MATCH($L919,应收单号,0)),"")&lt;&gt;$D919),"★关联单号不是这个客户的",IF(AND($L919&lt;&gt;"",ROUND(SUMIF(收款关联,$L919,收款金额)-IFERROR(INDEX(应收金额,MATCH($L919,应收单号,0)),0),2)&gt;0.001),"★指定冲销超过那张单的应收","OK"))))))))</f>
        <v/>
      </c>
    </row>
    <row r="920" customFormat="false" ht="15" hidden="false" customHeight="false" outlineLevel="0" collapsed="false">
      <c r="A920" s="29" t="str">
        <f aca="false">IF($C920="","",ROW()-4)</f>
        <v/>
      </c>
      <c r="B920" s="35" t="str">
        <f aca="false">IF($C920="","","SK"&amp;TEXT($C920,"yyyymm")&amp;"-"&amp;TEXT(ROW()-4,"0000"))</f>
        <v/>
      </c>
      <c r="C920" s="33"/>
      <c r="D920" s="24"/>
      <c r="E920" s="30" t="str">
        <f aca="false">IF($D920="","",IFERROR(INDEX(合同单位,MATCH($D920,合同键,0)),IFERROR(TRIM(LEFT($D920,FIND("｜",$D920)-1)),$D920)))</f>
        <v/>
      </c>
      <c r="F920" s="30" t="str">
        <f aca="false">IF($D920="","",IFERROR(INDEX(合同项目,MATCH($D920,合同键,0)),IFERROR(TRIM(MID($D920,FIND("｜",$D920)+1,99)),"")))</f>
        <v/>
      </c>
      <c r="G920" s="39"/>
      <c r="H920" s="25"/>
      <c r="I920" s="35" t="str">
        <f aca="false">IF($H920="","",IFERROR(INDEX(票据归类表,MATCH($H920,票据类型表,0)),"现金无票"))</f>
        <v/>
      </c>
      <c r="J920" s="25"/>
      <c r="K920" s="25"/>
      <c r="L920" s="31"/>
      <c r="M920" s="29" t="str">
        <f aca="false">IF($C920="","",YEAR($C920))</f>
        <v/>
      </c>
      <c r="N920" s="24"/>
      <c r="O920" s="35" t="str">
        <f aca="false">IF($C920="","",IF($D920="","★没选客户项目",IF(COUNTIF(合同键,$D920)=0,"★《维保合同》里没这个项目",IF(N($G920)&lt;=0,"★收款金额要填",IF($H920="","★票据类型要选",IF(AND($L920&lt;&gt;"",COUNTIF(应收单号,$L920)=0),"★关联的应收单号不存在",IF(AND($L920&lt;&gt;"",IFERROR(INDEX(应收键,MATCH($L920,应收单号,0)),"")&lt;&gt;$D920),"★关联单号不是这个客户的",IF(AND($L920&lt;&gt;"",ROUND(SUMIF(收款关联,$L920,收款金额)-IFERROR(INDEX(应收金额,MATCH($L920,应收单号,0)),0),2)&gt;0.001),"★指定冲销超过那张单的应收","OK"))))))))</f>
        <v/>
      </c>
    </row>
    <row r="921" customFormat="false" ht="15" hidden="false" customHeight="false" outlineLevel="0" collapsed="false">
      <c r="A921" s="29" t="str">
        <f aca="false">IF($C921="","",ROW()-4)</f>
        <v/>
      </c>
      <c r="B921" s="35" t="str">
        <f aca="false">IF($C921="","","SK"&amp;TEXT($C921,"yyyymm")&amp;"-"&amp;TEXT(ROW()-4,"0000"))</f>
        <v/>
      </c>
      <c r="C921" s="33"/>
      <c r="D921" s="24"/>
      <c r="E921" s="30" t="str">
        <f aca="false">IF($D921="","",IFERROR(INDEX(合同单位,MATCH($D921,合同键,0)),IFERROR(TRIM(LEFT($D921,FIND("｜",$D921)-1)),$D921)))</f>
        <v/>
      </c>
      <c r="F921" s="30" t="str">
        <f aca="false">IF($D921="","",IFERROR(INDEX(合同项目,MATCH($D921,合同键,0)),IFERROR(TRIM(MID($D921,FIND("｜",$D921)+1,99)),"")))</f>
        <v/>
      </c>
      <c r="G921" s="39"/>
      <c r="H921" s="25"/>
      <c r="I921" s="35" t="str">
        <f aca="false">IF($H921="","",IFERROR(INDEX(票据归类表,MATCH($H921,票据类型表,0)),"现金无票"))</f>
        <v/>
      </c>
      <c r="J921" s="25"/>
      <c r="K921" s="25"/>
      <c r="L921" s="31"/>
      <c r="M921" s="29" t="str">
        <f aca="false">IF($C921="","",YEAR($C921))</f>
        <v/>
      </c>
      <c r="N921" s="24"/>
      <c r="O921" s="35" t="str">
        <f aca="false">IF($C921="","",IF($D921="","★没选客户项目",IF(COUNTIF(合同键,$D921)=0,"★《维保合同》里没这个项目",IF(N($G921)&lt;=0,"★收款金额要填",IF($H921="","★票据类型要选",IF(AND($L921&lt;&gt;"",COUNTIF(应收单号,$L921)=0),"★关联的应收单号不存在",IF(AND($L921&lt;&gt;"",IFERROR(INDEX(应收键,MATCH($L921,应收单号,0)),"")&lt;&gt;$D921),"★关联单号不是这个客户的",IF(AND($L921&lt;&gt;"",ROUND(SUMIF(收款关联,$L921,收款金额)-IFERROR(INDEX(应收金额,MATCH($L921,应收单号,0)),0),2)&gt;0.001),"★指定冲销超过那张单的应收","OK"))))))))</f>
        <v/>
      </c>
    </row>
    <row r="922" customFormat="false" ht="15" hidden="false" customHeight="false" outlineLevel="0" collapsed="false">
      <c r="A922" s="29" t="str">
        <f aca="false">IF($C922="","",ROW()-4)</f>
        <v/>
      </c>
      <c r="B922" s="35" t="str">
        <f aca="false">IF($C922="","","SK"&amp;TEXT($C922,"yyyymm")&amp;"-"&amp;TEXT(ROW()-4,"0000"))</f>
        <v/>
      </c>
      <c r="C922" s="33"/>
      <c r="D922" s="24"/>
      <c r="E922" s="30" t="str">
        <f aca="false">IF($D922="","",IFERROR(INDEX(合同单位,MATCH($D922,合同键,0)),IFERROR(TRIM(LEFT($D922,FIND("｜",$D922)-1)),$D922)))</f>
        <v/>
      </c>
      <c r="F922" s="30" t="str">
        <f aca="false">IF($D922="","",IFERROR(INDEX(合同项目,MATCH($D922,合同键,0)),IFERROR(TRIM(MID($D922,FIND("｜",$D922)+1,99)),"")))</f>
        <v/>
      </c>
      <c r="G922" s="39"/>
      <c r="H922" s="25"/>
      <c r="I922" s="35" t="str">
        <f aca="false">IF($H922="","",IFERROR(INDEX(票据归类表,MATCH($H922,票据类型表,0)),"现金无票"))</f>
        <v/>
      </c>
      <c r="J922" s="25"/>
      <c r="K922" s="25"/>
      <c r="L922" s="31"/>
      <c r="M922" s="29" t="str">
        <f aca="false">IF($C922="","",YEAR($C922))</f>
        <v/>
      </c>
      <c r="N922" s="24"/>
      <c r="O922" s="35" t="str">
        <f aca="false">IF($C922="","",IF($D922="","★没选客户项目",IF(COUNTIF(合同键,$D922)=0,"★《维保合同》里没这个项目",IF(N($G922)&lt;=0,"★收款金额要填",IF($H922="","★票据类型要选",IF(AND($L922&lt;&gt;"",COUNTIF(应收单号,$L922)=0),"★关联的应收单号不存在",IF(AND($L922&lt;&gt;"",IFERROR(INDEX(应收键,MATCH($L922,应收单号,0)),"")&lt;&gt;$D922),"★关联单号不是这个客户的",IF(AND($L922&lt;&gt;"",ROUND(SUMIF(收款关联,$L922,收款金额)-IFERROR(INDEX(应收金额,MATCH($L922,应收单号,0)),0),2)&gt;0.001),"★指定冲销超过那张单的应收","OK"))))))))</f>
        <v/>
      </c>
    </row>
    <row r="923" customFormat="false" ht="15" hidden="false" customHeight="false" outlineLevel="0" collapsed="false">
      <c r="A923" s="29" t="str">
        <f aca="false">IF($C923="","",ROW()-4)</f>
        <v/>
      </c>
      <c r="B923" s="35" t="str">
        <f aca="false">IF($C923="","","SK"&amp;TEXT($C923,"yyyymm")&amp;"-"&amp;TEXT(ROW()-4,"0000"))</f>
        <v/>
      </c>
      <c r="C923" s="33"/>
      <c r="D923" s="24"/>
      <c r="E923" s="30" t="str">
        <f aca="false">IF($D923="","",IFERROR(INDEX(合同单位,MATCH($D923,合同键,0)),IFERROR(TRIM(LEFT($D923,FIND("｜",$D923)-1)),$D923)))</f>
        <v/>
      </c>
      <c r="F923" s="30" t="str">
        <f aca="false">IF($D923="","",IFERROR(INDEX(合同项目,MATCH($D923,合同键,0)),IFERROR(TRIM(MID($D923,FIND("｜",$D923)+1,99)),"")))</f>
        <v/>
      </c>
      <c r="G923" s="39"/>
      <c r="H923" s="25"/>
      <c r="I923" s="35" t="str">
        <f aca="false">IF($H923="","",IFERROR(INDEX(票据归类表,MATCH($H923,票据类型表,0)),"现金无票"))</f>
        <v/>
      </c>
      <c r="J923" s="25"/>
      <c r="K923" s="25"/>
      <c r="L923" s="31"/>
      <c r="M923" s="29" t="str">
        <f aca="false">IF($C923="","",YEAR($C923))</f>
        <v/>
      </c>
      <c r="N923" s="24"/>
      <c r="O923" s="35" t="str">
        <f aca="false">IF($C923="","",IF($D923="","★没选客户项目",IF(COUNTIF(合同键,$D923)=0,"★《维保合同》里没这个项目",IF(N($G923)&lt;=0,"★收款金额要填",IF($H923="","★票据类型要选",IF(AND($L923&lt;&gt;"",COUNTIF(应收单号,$L923)=0),"★关联的应收单号不存在",IF(AND($L923&lt;&gt;"",IFERROR(INDEX(应收键,MATCH($L923,应收单号,0)),"")&lt;&gt;$D923),"★关联单号不是这个客户的",IF(AND($L923&lt;&gt;"",ROUND(SUMIF(收款关联,$L923,收款金额)-IFERROR(INDEX(应收金额,MATCH($L923,应收单号,0)),0),2)&gt;0.001),"★指定冲销超过那张单的应收","OK"))))))))</f>
        <v/>
      </c>
    </row>
    <row r="924" customFormat="false" ht="15" hidden="false" customHeight="false" outlineLevel="0" collapsed="false">
      <c r="A924" s="29" t="str">
        <f aca="false">IF($C924="","",ROW()-4)</f>
        <v/>
      </c>
      <c r="B924" s="35" t="str">
        <f aca="false">IF($C924="","","SK"&amp;TEXT($C924,"yyyymm")&amp;"-"&amp;TEXT(ROW()-4,"0000"))</f>
        <v/>
      </c>
      <c r="C924" s="33"/>
      <c r="D924" s="24"/>
      <c r="E924" s="30" t="str">
        <f aca="false">IF($D924="","",IFERROR(INDEX(合同单位,MATCH($D924,合同键,0)),IFERROR(TRIM(LEFT($D924,FIND("｜",$D924)-1)),$D924)))</f>
        <v/>
      </c>
      <c r="F924" s="30" t="str">
        <f aca="false">IF($D924="","",IFERROR(INDEX(合同项目,MATCH($D924,合同键,0)),IFERROR(TRIM(MID($D924,FIND("｜",$D924)+1,99)),"")))</f>
        <v/>
      </c>
      <c r="G924" s="39"/>
      <c r="H924" s="25"/>
      <c r="I924" s="35" t="str">
        <f aca="false">IF($H924="","",IFERROR(INDEX(票据归类表,MATCH($H924,票据类型表,0)),"现金无票"))</f>
        <v/>
      </c>
      <c r="J924" s="25"/>
      <c r="K924" s="25"/>
      <c r="L924" s="31"/>
      <c r="M924" s="29" t="str">
        <f aca="false">IF($C924="","",YEAR($C924))</f>
        <v/>
      </c>
      <c r="N924" s="24"/>
      <c r="O924" s="35" t="str">
        <f aca="false">IF($C924="","",IF($D924="","★没选客户项目",IF(COUNTIF(合同键,$D924)=0,"★《维保合同》里没这个项目",IF(N($G924)&lt;=0,"★收款金额要填",IF($H924="","★票据类型要选",IF(AND($L924&lt;&gt;"",COUNTIF(应收单号,$L924)=0),"★关联的应收单号不存在",IF(AND($L924&lt;&gt;"",IFERROR(INDEX(应收键,MATCH($L924,应收单号,0)),"")&lt;&gt;$D924),"★关联单号不是这个客户的",IF(AND($L924&lt;&gt;"",ROUND(SUMIF(收款关联,$L924,收款金额)-IFERROR(INDEX(应收金额,MATCH($L924,应收单号,0)),0),2)&gt;0.001),"★指定冲销超过那张单的应收","OK"))))))))</f>
        <v/>
      </c>
    </row>
    <row r="925" customFormat="false" ht="15" hidden="false" customHeight="false" outlineLevel="0" collapsed="false">
      <c r="A925" s="29" t="str">
        <f aca="false">IF($C925="","",ROW()-4)</f>
        <v/>
      </c>
      <c r="B925" s="35" t="str">
        <f aca="false">IF($C925="","","SK"&amp;TEXT($C925,"yyyymm")&amp;"-"&amp;TEXT(ROW()-4,"0000"))</f>
        <v/>
      </c>
      <c r="C925" s="33"/>
      <c r="D925" s="24"/>
      <c r="E925" s="30" t="str">
        <f aca="false">IF($D925="","",IFERROR(INDEX(合同单位,MATCH($D925,合同键,0)),IFERROR(TRIM(LEFT($D925,FIND("｜",$D925)-1)),$D925)))</f>
        <v/>
      </c>
      <c r="F925" s="30" t="str">
        <f aca="false">IF($D925="","",IFERROR(INDEX(合同项目,MATCH($D925,合同键,0)),IFERROR(TRIM(MID($D925,FIND("｜",$D925)+1,99)),"")))</f>
        <v/>
      </c>
      <c r="G925" s="39"/>
      <c r="H925" s="25"/>
      <c r="I925" s="35" t="str">
        <f aca="false">IF($H925="","",IFERROR(INDEX(票据归类表,MATCH($H925,票据类型表,0)),"现金无票"))</f>
        <v/>
      </c>
      <c r="J925" s="25"/>
      <c r="K925" s="25"/>
      <c r="L925" s="31"/>
      <c r="M925" s="29" t="str">
        <f aca="false">IF($C925="","",YEAR($C925))</f>
        <v/>
      </c>
      <c r="N925" s="24"/>
      <c r="O925" s="35" t="str">
        <f aca="false">IF($C925="","",IF($D925="","★没选客户项目",IF(COUNTIF(合同键,$D925)=0,"★《维保合同》里没这个项目",IF(N($G925)&lt;=0,"★收款金额要填",IF($H925="","★票据类型要选",IF(AND($L925&lt;&gt;"",COUNTIF(应收单号,$L925)=0),"★关联的应收单号不存在",IF(AND($L925&lt;&gt;"",IFERROR(INDEX(应收键,MATCH($L925,应收单号,0)),"")&lt;&gt;$D925),"★关联单号不是这个客户的",IF(AND($L925&lt;&gt;"",ROUND(SUMIF(收款关联,$L925,收款金额)-IFERROR(INDEX(应收金额,MATCH($L925,应收单号,0)),0),2)&gt;0.001),"★指定冲销超过那张单的应收","OK"))))))))</f>
        <v/>
      </c>
    </row>
    <row r="926" customFormat="false" ht="15" hidden="false" customHeight="false" outlineLevel="0" collapsed="false">
      <c r="A926" s="29" t="str">
        <f aca="false">IF($C926="","",ROW()-4)</f>
        <v/>
      </c>
      <c r="B926" s="35" t="str">
        <f aca="false">IF($C926="","","SK"&amp;TEXT($C926,"yyyymm")&amp;"-"&amp;TEXT(ROW()-4,"0000"))</f>
        <v/>
      </c>
      <c r="C926" s="33"/>
      <c r="D926" s="24"/>
      <c r="E926" s="30" t="str">
        <f aca="false">IF($D926="","",IFERROR(INDEX(合同单位,MATCH($D926,合同键,0)),IFERROR(TRIM(LEFT($D926,FIND("｜",$D926)-1)),$D926)))</f>
        <v/>
      </c>
      <c r="F926" s="30" t="str">
        <f aca="false">IF($D926="","",IFERROR(INDEX(合同项目,MATCH($D926,合同键,0)),IFERROR(TRIM(MID($D926,FIND("｜",$D926)+1,99)),"")))</f>
        <v/>
      </c>
      <c r="G926" s="39"/>
      <c r="H926" s="25"/>
      <c r="I926" s="35" t="str">
        <f aca="false">IF($H926="","",IFERROR(INDEX(票据归类表,MATCH($H926,票据类型表,0)),"现金无票"))</f>
        <v/>
      </c>
      <c r="J926" s="25"/>
      <c r="K926" s="25"/>
      <c r="L926" s="31"/>
      <c r="M926" s="29" t="str">
        <f aca="false">IF($C926="","",YEAR($C926))</f>
        <v/>
      </c>
      <c r="N926" s="24"/>
      <c r="O926" s="35" t="str">
        <f aca="false">IF($C926="","",IF($D926="","★没选客户项目",IF(COUNTIF(合同键,$D926)=0,"★《维保合同》里没这个项目",IF(N($G926)&lt;=0,"★收款金额要填",IF($H926="","★票据类型要选",IF(AND($L926&lt;&gt;"",COUNTIF(应收单号,$L926)=0),"★关联的应收单号不存在",IF(AND($L926&lt;&gt;"",IFERROR(INDEX(应收键,MATCH($L926,应收单号,0)),"")&lt;&gt;$D926),"★关联单号不是这个客户的",IF(AND($L926&lt;&gt;"",ROUND(SUMIF(收款关联,$L926,收款金额)-IFERROR(INDEX(应收金额,MATCH($L926,应收单号,0)),0),2)&gt;0.001),"★指定冲销超过那张单的应收","OK"))))))))</f>
        <v/>
      </c>
    </row>
    <row r="927" customFormat="false" ht="15" hidden="false" customHeight="false" outlineLevel="0" collapsed="false">
      <c r="A927" s="29" t="str">
        <f aca="false">IF($C927="","",ROW()-4)</f>
        <v/>
      </c>
      <c r="B927" s="35" t="str">
        <f aca="false">IF($C927="","","SK"&amp;TEXT($C927,"yyyymm")&amp;"-"&amp;TEXT(ROW()-4,"0000"))</f>
        <v/>
      </c>
      <c r="C927" s="33"/>
      <c r="D927" s="24"/>
      <c r="E927" s="30" t="str">
        <f aca="false">IF($D927="","",IFERROR(INDEX(合同单位,MATCH($D927,合同键,0)),IFERROR(TRIM(LEFT($D927,FIND("｜",$D927)-1)),$D927)))</f>
        <v/>
      </c>
      <c r="F927" s="30" t="str">
        <f aca="false">IF($D927="","",IFERROR(INDEX(合同项目,MATCH($D927,合同键,0)),IFERROR(TRIM(MID($D927,FIND("｜",$D927)+1,99)),"")))</f>
        <v/>
      </c>
      <c r="G927" s="39"/>
      <c r="H927" s="25"/>
      <c r="I927" s="35" t="str">
        <f aca="false">IF($H927="","",IFERROR(INDEX(票据归类表,MATCH($H927,票据类型表,0)),"现金无票"))</f>
        <v/>
      </c>
      <c r="J927" s="25"/>
      <c r="K927" s="25"/>
      <c r="L927" s="31"/>
      <c r="M927" s="29" t="str">
        <f aca="false">IF($C927="","",YEAR($C927))</f>
        <v/>
      </c>
      <c r="N927" s="24"/>
      <c r="O927" s="35" t="str">
        <f aca="false">IF($C927="","",IF($D927="","★没选客户项目",IF(COUNTIF(合同键,$D927)=0,"★《维保合同》里没这个项目",IF(N($G927)&lt;=0,"★收款金额要填",IF($H927="","★票据类型要选",IF(AND($L927&lt;&gt;"",COUNTIF(应收单号,$L927)=0),"★关联的应收单号不存在",IF(AND($L927&lt;&gt;"",IFERROR(INDEX(应收键,MATCH($L927,应收单号,0)),"")&lt;&gt;$D927),"★关联单号不是这个客户的",IF(AND($L927&lt;&gt;"",ROUND(SUMIF(收款关联,$L927,收款金额)-IFERROR(INDEX(应收金额,MATCH($L927,应收单号,0)),0),2)&gt;0.001),"★指定冲销超过那张单的应收","OK"))))))))</f>
        <v/>
      </c>
    </row>
    <row r="928" customFormat="false" ht="15" hidden="false" customHeight="false" outlineLevel="0" collapsed="false">
      <c r="A928" s="29" t="str">
        <f aca="false">IF($C928="","",ROW()-4)</f>
        <v/>
      </c>
      <c r="B928" s="35" t="str">
        <f aca="false">IF($C928="","","SK"&amp;TEXT($C928,"yyyymm")&amp;"-"&amp;TEXT(ROW()-4,"0000"))</f>
        <v/>
      </c>
      <c r="C928" s="33"/>
      <c r="D928" s="24"/>
      <c r="E928" s="30" t="str">
        <f aca="false">IF($D928="","",IFERROR(INDEX(合同单位,MATCH($D928,合同键,0)),IFERROR(TRIM(LEFT($D928,FIND("｜",$D928)-1)),$D928)))</f>
        <v/>
      </c>
      <c r="F928" s="30" t="str">
        <f aca="false">IF($D928="","",IFERROR(INDEX(合同项目,MATCH($D928,合同键,0)),IFERROR(TRIM(MID($D928,FIND("｜",$D928)+1,99)),"")))</f>
        <v/>
      </c>
      <c r="G928" s="39"/>
      <c r="H928" s="25"/>
      <c r="I928" s="35" t="str">
        <f aca="false">IF($H928="","",IFERROR(INDEX(票据归类表,MATCH($H928,票据类型表,0)),"现金无票"))</f>
        <v/>
      </c>
      <c r="J928" s="25"/>
      <c r="K928" s="25"/>
      <c r="L928" s="31"/>
      <c r="M928" s="29" t="str">
        <f aca="false">IF($C928="","",YEAR($C928))</f>
        <v/>
      </c>
      <c r="N928" s="24"/>
      <c r="O928" s="35" t="str">
        <f aca="false">IF($C928="","",IF($D928="","★没选客户项目",IF(COUNTIF(合同键,$D928)=0,"★《维保合同》里没这个项目",IF(N($G928)&lt;=0,"★收款金额要填",IF($H928="","★票据类型要选",IF(AND($L928&lt;&gt;"",COUNTIF(应收单号,$L928)=0),"★关联的应收单号不存在",IF(AND($L928&lt;&gt;"",IFERROR(INDEX(应收键,MATCH($L928,应收单号,0)),"")&lt;&gt;$D928),"★关联单号不是这个客户的",IF(AND($L928&lt;&gt;"",ROUND(SUMIF(收款关联,$L928,收款金额)-IFERROR(INDEX(应收金额,MATCH($L928,应收单号,0)),0),2)&gt;0.001),"★指定冲销超过那张单的应收","OK"))))))))</f>
        <v/>
      </c>
    </row>
    <row r="929" customFormat="false" ht="15" hidden="false" customHeight="false" outlineLevel="0" collapsed="false">
      <c r="A929" s="29" t="str">
        <f aca="false">IF($C929="","",ROW()-4)</f>
        <v/>
      </c>
      <c r="B929" s="35" t="str">
        <f aca="false">IF($C929="","","SK"&amp;TEXT($C929,"yyyymm")&amp;"-"&amp;TEXT(ROW()-4,"0000"))</f>
        <v/>
      </c>
      <c r="C929" s="33"/>
      <c r="D929" s="24"/>
      <c r="E929" s="30" t="str">
        <f aca="false">IF($D929="","",IFERROR(INDEX(合同单位,MATCH($D929,合同键,0)),IFERROR(TRIM(LEFT($D929,FIND("｜",$D929)-1)),$D929)))</f>
        <v/>
      </c>
      <c r="F929" s="30" t="str">
        <f aca="false">IF($D929="","",IFERROR(INDEX(合同项目,MATCH($D929,合同键,0)),IFERROR(TRIM(MID($D929,FIND("｜",$D929)+1,99)),"")))</f>
        <v/>
      </c>
      <c r="G929" s="39"/>
      <c r="H929" s="25"/>
      <c r="I929" s="35" t="str">
        <f aca="false">IF($H929="","",IFERROR(INDEX(票据归类表,MATCH($H929,票据类型表,0)),"现金无票"))</f>
        <v/>
      </c>
      <c r="J929" s="25"/>
      <c r="K929" s="25"/>
      <c r="L929" s="31"/>
      <c r="M929" s="29" t="str">
        <f aca="false">IF($C929="","",YEAR($C929))</f>
        <v/>
      </c>
      <c r="N929" s="24"/>
      <c r="O929" s="35" t="str">
        <f aca="false">IF($C929="","",IF($D929="","★没选客户项目",IF(COUNTIF(合同键,$D929)=0,"★《维保合同》里没这个项目",IF(N($G929)&lt;=0,"★收款金额要填",IF($H929="","★票据类型要选",IF(AND($L929&lt;&gt;"",COUNTIF(应收单号,$L929)=0),"★关联的应收单号不存在",IF(AND($L929&lt;&gt;"",IFERROR(INDEX(应收键,MATCH($L929,应收单号,0)),"")&lt;&gt;$D929),"★关联单号不是这个客户的",IF(AND($L929&lt;&gt;"",ROUND(SUMIF(收款关联,$L929,收款金额)-IFERROR(INDEX(应收金额,MATCH($L929,应收单号,0)),0),2)&gt;0.001),"★指定冲销超过那张单的应收","OK"))))))))</f>
        <v/>
      </c>
    </row>
    <row r="930" customFormat="false" ht="15" hidden="false" customHeight="false" outlineLevel="0" collapsed="false">
      <c r="A930" s="29" t="str">
        <f aca="false">IF($C930="","",ROW()-4)</f>
        <v/>
      </c>
      <c r="B930" s="35" t="str">
        <f aca="false">IF($C930="","","SK"&amp;TEXT($C930,"yyyymm")&amp;"-"&amp;TEXT(ROW()-4,"0000"))</f>
        <v/>
      </c>
      <c r="C930" s="33"/>
      <c r="D930" s="24"/>
      <c r="E930" s="30" t="str">
        <f aca="false">IF($D930="","",IFERROR(INDEX(合同单位,MATCH($D930,合同键,0)),IFERROR(TRIM(LEFT($D930,FIND("｜",$D930)-1)),$D930)))</f>
        <v/>
      </c>
      <c r="F930" s="30" t="str">
        <f aca="false">IF($D930="","",IFERROR(INDEX(合同项目,MATCH($D930,合同键,0)),IFERROR(TRIM(MID($D930,FIND("｜",$D930)+1,99)),"")))</f>
        <v/>
      </c>
      <c r="G930" s="39"/>
      <c r="H930" s="25"/>
      <c r="I930" s="35" t="str">
        <f aca="false">IF($H930="","",IFERROR(INDEX(票据归类表,MATCH($H930,票据类型表,0)),"现金无票"))</f>
        <v/>
      </c>
      <c r="J930" s="25"/>
      <c r="K930" s="25"/>
      <c r="L930" s="31"/>
      <c r="M930" s="29" t="str">
        <f aca="false">IF($C930="","",YEAR($C930))</f>
        <v/>
      </c>
      <c r="N930" s="24"/>
      <c r="O930" s="35" t="str">
        <f aca="false">IF($C930="","",IF($D930="","★没选客户项目",IF(COUNTIF(合同键,$D930)=0,"★《维保合同》里没这个项目",IF(N($G930)&lt;=0,"★收款金额要填",IF($H930="","★票据类型要选",IF(AND($L930&lt;&gt;"",COUNTIF(应收单号,$L930)=0),"★关联的应收单号不存在",IF(AND($L930&lt;&gt;"",IFERROR(INDEX(应收键,MATCH($L930,应收单号,0)),"")&lt;&gt;$D930),"★关联单号不是这个客户的",IF(AND($L930&lt;&gt;"",ROUND(SUMIF(收款关联,$L930,收款金额)-IFERROR(INDEX(应收金额,MATCH($L930,应收单号,0)),0),2)&gt;0.001),"★指定冲销超过那张单的应收","OK"))))))))</f>
        <v/>
      </c>
    </row>
    <row r="931" customFormat="false" ht="15" hidden="false" customHeight="false" outlineLevel="0" collapsed="false">
      <c r="A931" s="29" t="str">
        <f aca="false">IF($C931="","",ROW()-4)</f>
        <v/>
      </c>
      <c r="B931" s="35" t="str">
        <f aca="false">IF($C931="","","SK"&amp;TEXT($C931,"yyyymm")&amp;"-"&amp;TEXT(ROW()-4,"0000"))</f>
        <v/>
      </c>
      <c r="C931" s="33"/>
      <c r="D931" s="24"/>
      <c r="E931" s="30" t="str">
        <f aca="false">IF($D931="","",IFERROR(INDEX(合同单位,MATCH($D931,合同键,0)),IFERROR(TRIM(LEFT($D931,FIND("｜",$D931)-1)),$D931)))</f>
        <v/>
      </c>
      <c r="F931" s="30" t="str">
        <f aca="false">IF($D931="","",IFERROR(INDEX(合同项目,MATCH($D931,合同键,0)),IFERROR(TRIM(MID($D931,FIND("｜",$D931)+1,99)),"")))</f>
        <v/>
      </c>
      <c r="G931" s="39"/>
      <c r="H931" s="25"/>
      <c r="I931" s="35" t="str">
        <f aca="false">IF($H931="","",IFERROR(INDEX(票据归类表,MATCH($H931,票据类型表,0)),"现金无票"))</f>
        <v/>
      </c>
      <c r="J931" s="25"/>
      <c r="K931" s="25"/>
      <c r="L931" s="31"/>
      <c r="M931" s="29" t="str">
        <f aca="false">IF($C931="","",YEAR($C931))</f>
        <v/>
      </c>
      <c r="N931" s="24"/>
      <c r="O931" s="35" t="str">
        <f aca="false">IF($C931="","",IF($D931="","★没选客户项目",IF(COUNTIF(合同键,$D931)=0,"★《维保合同》里没这个项目",IF(N($G931)&lt;=0,"★收款金额要填",IF($H931="","★票据类型要选",IF(AND($L931&lt;&gt;"",COUNTIF(应收单号,$L931)=0),"★关联的应收单号不存在",IF(AND($L931&lt;&gt;"",IFERROR(INDEX(应收键,MATCH($L931,应收单号,0)),"")&lt;&gt;$D931),"★关联单号不是这个客户的",IF(AND($L931&lt;&gt;"",ROUND(SUMIF(收款关联,$L931,收款金额)-IFERROR(INDEX(应收金额,MATCH($L931,应收单号,0)),0),2)&gt;0.001),"★指定冲销超过那张单的应收","OK"))))))))</f>
        <v/>
      </c>
    </row>
    <row r="932" customFormat="false" ht="15" hidden="false" customHeight="false" outlineLevel="0" collapsed="false">
      <c r="A932" s="29" t="str">
        <f aca="false">IF($C932="","",ROW()-4)</f>
        <v/>
      </c>
      <c r="B932" s="35" t="str">
        <f aca="false">IF($C932="","","SK"&amp;TEXT($C932,"yyyymm")&amp;"-"&amp;TEXT(ROW()-4,"0000"))</f>
        <v/>
      </c>
      <c r="C932" s="33"/>
      <c r="D932" s="24"/>
      <c r="E932" s="30" t="str">
        <f aca="false">IF($D932="","",IFERROR(INDEX(合同单位,MATCH($D932,合同键,0)),IFERROR(TRIM(LEFT($D932,FIND("｜",$D932)-1)),$D932)))</f>
        <v/>
      </c>
      <c r="F932" s="30" t="str">
        <f aca="false">IF($D932="","",IFERROR(INDEX(合同项目,MATCH($D932,合同键,0)),IFERROR(TRIM(MID($D932,FIND("｜",$D932)+1,99)),"")))</f>
        <v/>
      </c>
      <c r="G932" s="39"/>
      <c r="H932" s="25"/>
      <c r="I932" s="35" t="str">
        <f aca="false">IF($H932="","",IFERROR(INDEX(票据归类表,MATCH($H932,票据类型表,0)),"现金无票"))</f>
        <v/>
      </c>
      <c r="J932" s="25"/>
      <c r="K932" s="25"/>
      <c r="L932" s="31"/>
      <c r="M932" s="29" t="str">
        <f aca="false">IF($C932="","",YEAR($C932))</f>
        <v/>
      </c>
      <c r="N932" s="24"/>
      <c r="O932" s="35" t="str">
        <f aca="false">IF($C932="","",IF($D932="","★没选客户项目",IF(COUNTIF(合同键,$D932)=0,"★《维保合同》里没这个项目",IF(N($G932)&lt;=0,"★收款金额要填",IF($H932="","★票据类型要选",IF(AND($L932&lt;&gt;"",COUNTIF(应收单号,$L932)=0),"★关联的应收单号不存在",IF(AND($L932&lt;&gt;"",IFERROR(INDEX(应收键,MATCH($L932,应收单号,0)),"")&lt;&gt;$D932),"★关联单号不是这个客户的",IF(AND($L932&lt;&gt;"",ROUND(SUMIF(收款关联,$L932,收款金额)-IFERROR(INDEX(应收金额,MATCH($L932,应收单号,0)),0),2)&gt;0.001),"★指定冲销超过那张单的应收","OK"))))))))</f>
        <v/>
      </c>
    </row>
    <row r="933" customFormat="false" ht="15" hidden="false" customHeight="false" outlineLevel="0" collapsed="false">
      <c r="A933" s="29" t="str">
        <f aca="false">IF($C933="","",ROW()-4)</f>
        <v/>
      </c>
      <c r="B933" s="35" t="str">
        <f aca="false">IF($C933="","","SK"&amp;TEXT($C933,"yyyymm")&amp;"-"&amp;TEXT(ROW()-4,"0000"))</f>
        <v/>
      </c>
      <c r="C933" s="33"/>
      <c r="D933" s="24"/>
      <c r="E933" s="30" t="str">
        <f aca="false">IF($D933="","",IFERROR(INDEX(合同单位,MATCH($D933,合同键,0)),IFERROR(TRIM(LEFT($D933,FIND("｜",$D933)-1)),$D933)))</f>
        <v/>
      </c>
      <c r="F933" s="30" t="str">
        <f aca="false">IF($D933="","",IFERROR(INDEX(合同项目,MATCH($D933,合同键,0)),IFERROR(TRIM(MID($D933,FIND("｜",$D933)+1,99)),"")))</f>
        <v/>
      </c>
      <c r="G933" s="39"/>
      <c r="H933" s="25"/>
      <c r="I933" s="35" t="str">
        <f aca="false">IF($H933="","",IFERROR(INDEX(票据归类表,MATCH($H933,票据类型表,0)),"现金无票"))</f>
        <v/>
      </c>
      <c r="J933" s="25"/>
      <c r="K933" s="25"/>
      <c r="L933" s="31"/>
      <c r="M933" s="29" t="str">
        <f aca="false">IF($C933="","",YEAR($C933))</f>
        <v/>
      </c>
      <c r="N933" s="24"/>
      <c r="O933" s="35" t="str">
        <f aca="false">IF($C933="","",IF($D933="","★没选客户项目",IF(COUNTIF(合同键,$D933)=0,"★《维保合同》里没这个项目",IF(N($G933)&lt;=0,"★收款金额要填",IF($H933="","★票据类型要选",IF(AND($L933&lt;&gt;"",COUNTIF(应收单号,$L933)=0),"★关联的应收单号不存在",IF(AND($L933&lt;&gt;"",IFERROR(INDEX(应收键,MATCH($L933,应收单号,0)),"")&lt;&gt;$D933),"★关联单号不是这个客户的",IF(AND($L933&lt;&gt;"",ROUND(SUMIF(收款关联,$L933,收款金额)-IFERROR(INDEX(应收金额,MATCH($L933,应收单号,0)),0),2)&gt;0.001),"★指定冲销超过那张单的应收","OK"))))))))</f>
        <v/>
      </c>
    </row>
    <row r="934" customFormat="false" ht="15" hidden="false" customHeight="false" outlineLevel="0" collapsed="false">
      <c r="A934" s="29" t="str">
        <f aca="false">IF($C934="","",ROW()-4)</f>
        <v/>
      </c>
      <c r="B934" s="35" t="str">
        <f aca="false">IF($C934="","","SK"&amp;TEXT($C934,"yyyymm")&amp;"-"&amp;TEXT(ROW()-4,"0000"))</f>
        <v/>
      </c>
      <c r="C934" s="33"/>
      <c r="D934" s="24"/>
      <c r="E934" s="30" t="str">
        <f aca="false">IF($D934="","",IFERROR(INDEX(合同单位,MATCH($D934,合同键,0)),IFERROR(TRIM(LEFT($D934,FIND("｜",$D934)-1)),$D934)))</f>
        <v/>
      </c>
      <c r="F934" s="30" t="str">
        <f aca="false">IF($D934="","",IFERROR(INDEX(合同项目,MATCH($D934,合同键,0)),IFERROR(TRIM(MID($D934,FIND("｜",$D934)+1,99)),"")))</f>
        <v/>
      </c>
      <c r="G934" s="39"/>
      <c r="H934" s="25"/>
      <c r="I934" s="35" t="str">
        <f aca="false">IF($H934="","",IFERROR(INDEX(票据归类表,MATCH($H934,票据类型表,0)),"现金无票"))</f>
        <v/>
      </c>
      <c r="J934" s="25"/>
      <c r="K934" s="25"/>
      <c r="L934" s="31"/>
      <c r="M934" s="29" t="str">
        <f aca="false">IF($C934="","",YEAR($C934))</f>
        <v/>
      </c>
      <c r="N934" s="24"/>
      <c r="O934" s="35" t="str">
        <f aca="false">IF($C934="","",IF($D934="","★没选客户项目",IF(COUNTIF(合同键,$D934)=0,"★《维保合同》里没这个项目",IF(N($G934)&lt;=0,"★收款金额要填",IF($H934="","★票据类型要选",IF(AND($L934&lt;&gt;"",COUNTIF(应收单号,$L934)=0),"★关联的应收单号不存在",IF(AND($L934&lt;&gt;"",IFERROR(INDEX(应收键,MATCH($L934,应收单号,0)),"")&lt;&gt;$D934),"★关联单号不是这个客户的",IF(AND($L934&lt;&gt;"",ROUND(SUMIF(收款关联,$L934,收款金额)-IFERROR(INDEX(应收金额,MATCH($L934,应收单号,0)),0),2)&gt;0.001),"★指定冲销超过那张单的应收","OK"))))))))</f>
        <v/>
      </c>
    </row>
    <row r="935" customFormat="false" ht="15" hidden="false" customHeight="false" outlineLevel="0" collapsed="false">
      <c r="A935" s="29" t="str">
        <f aca="false">IF($C935="","",ROW()-4)</f>
        <v/>
      </c>
      <c r="B935" s="35" t="str">
        <f aca="false">IF($C935="","","SK"&amp;TEXT($C935,"yyyymm")&amp;"-"&amp;TEXT(ROW()-4,"0000"))</f>
        <v/>
      </c>
      <c r="C935" s="33"/>
      <c r="D935" s="24"/>
      <c r="E935" s="30" t="str">
        <f aca="false">IF($D935="","",IFERROR(INDEX(合同单位,MATCH($D935,合同键,0)),IFERROR(TRIM(LEFT($D935,FIND("｜",$D935)-1)),$D935)))</f>
        <v/>
      </c>
      <c r="F935" s="30" t="str">
        <f aca="false">IF($D935="","",IFERROR(INDEX(合同项目,MATCH($D935,合同键,0)),IFERROR(TRIM(MID($D935,FIND("｜",$D935)+1,99)),"")))</f>
        <v/>
      </c>
      <c r="G935" s="39"/>
      <c r="H935" s="25"/>
      <c r="I935" s="35" t="str">
        <f aca="false">IF($H935="","",IFERROR(INDEX(票据归类表,MATCH($H935,票据类型表,0)),"现金无票"))</f>
        <v/>
      </c>
      <c r="J935" s="25"/>
      <c r="K935" s="25"/>
      <c r="L935" s="31"/>
      <c r="M935" s="29" t="str">
        <f aca="false">IF($C935="","",YEAR($C935))</f>
        <v/>
      </c>
      <c r="N935" s="24"/>
      <c r="O935" s="35" t="str">
        <f aca="false">IF($C935="","",IF($D935="","★没选客户项目",IF(COUNTIF(合同键,$D935)=0,"★《维保合同》里没这个项目",IF(N($G935)&lt;=0,"★收款金额要填",IF($H935="","★票据类型要选",IF(AND($L935&lt;&gt;"",COUNTIF(应收单号,$L935)=0),"★关联的应收单号不存在",IF(AND($L935&lt;&gt;"",IFERROR(INDEX(应收键,MATCH($L935,应收单号,0)),"")&lt;&gt;$D935),"★关联单号不是这个客户的",IF(AND($L935&lt;&gt;"",ROUND(SUMIF(收款关联,$L935,收款金额)-IFERROR(INDEX(应收金额,MATCH($L935,应收单号,0)),0),2)&gt;0.001),"★指定冲销超过那张单的应收","OK"))))))))</f>
        <v/>
      </c>
    </row>
    <row r="936" customFormat="false" ht="15" hidden="false" customHeight="false" outlineLevel="0" collapsed="false">
      <c r="A936" s="29" t="str">
        <f aca="false">IF($C936="","",ROW()-4)</f>
        <v/>
      </c>
      <c r="B936" s="35" t="str">
        <f aca="false">IF($C936="","","SK"&amp;TEXT($C936,"yyyymm")&amp;"-"&amp;TEXT(ROW()-4,"0000"))</f>
        <v/>
      </c>
      <c r="C936" s="33"/>
      <c r="D936" s="24"/>
      <c r="E936" s="30" t="str">
        <f aca="false">IF($D936="","",IFERROR(INDEX(合同单位,MATCH($D936,合同键,0)),IFERROR(TRIM(LEFT($D936,FIND("｜",$D936)-1)),$D936)))</f>
        <v/>
      </c>
      <c r="F936" s="30" t="str">
        <f aca="false">IF($D936="","",IFERROR(INDEX(合同项目,MATCH($D936,合同键,0)),IFERROR(TRIM(MID($D936,FIND("｜",$D936)+1,99)),"")))</f>
        <v/>
      </c>
      <c r="G936" s="39"/>
      <c r="H936" s="25"/>
      <c r="I936" s="35" t="str">
        <f aca="false">IF($H936="","",IFERROR(INDEX(票据归类表,MATCH($H936,票据类型表,0)),"现金无票"))</f>
        <v/>
      </c>
      <c r="J936" s="25"/>
      <c r="K936" s="25"/>
      <c r="L936" s="31"/>
      <c r="M936" s="29" t="str">
        <f aca="false">IF($C936="","",YEAR($C936))</f>
        <v/>
      </c>
      <c r="N936" s="24"/>
      <c r="O936" s="35" t="str">
        <f aca="false">IF($C936="","",IF($D936="","★没选客户项目",IF(COUNTIF(合同键,$D936)=0,"★《维保合同》里没这个项目",IF(N($G936)&lt;=0,"★收款金额要填",IF($H936="","★票据类型要选",IF(AND($L936&lt;&gt;"",COUNTIF(应收单号,$L936)=0),"★关联的应收单号不存在",IF(AND($L936&lt;&gt;"",IFERROR(INDEX(应收键,MATCH($L936,应收单号,0)),"")&lt;&gt;$D936),"★关联单号不是这个客户的",IF(AND($L936&lt;&gt;"",ROUND(SUMIF(收款关联,$L936,收款金额)-IFERROR(INDEX(应收金额,MATCH($L936,应收单号,0)),0),2)&gt;0.001),"★指定冲销超过那张单的应收","OK"))))))))</f>
        <v/>
      </c>
    </row>
    <row r="937" customFormat="false" ht="15" hidden="false" customHeight="false" outlineLevel="0" collapsed="false">
      <c r="A937" s="29" t="str">
        <f aca="false">IF($C937="","",ROW()-4)</f>
        <v/>
      </c>
      <c r="B937" s="35" t="str">
        <f aca="false">IF($C937="","","SK"&amp;TEXT($C937,"yyyymm")&amp;"-"&amp;TEXT(ROW()-4,"0000"))</f>
        <v/>
      </c>
      <c r="C937" s="33"/>
      <c r="D937" s="24"/>
      <c r="E937" s="30" t="str">
        <f aca="false">IF($D937="","",IFERROR(INDEX(合同单位,MATCH($D937,合同键,0)),IFERROR(TRIM(LEFT($D937,FIND("｜",$D937)-1)),$D937)))</f>
        <v/>
      </c>
      <c r="F937" s="30" t="str">
        <f aca="false">IF($D937="","",IFERROR(INDEX(合同项目,MATCH($D937,合同键,0)),IFERROR(TRIM(MID($D937,FIND("｜",$D937)+1,99)),"")))</f>
        <v/>
      </c>
      <c r="G937" s="39"/>
      <c r="H937" s="25"/>
      <c r="I937" s="35" t="str">
        <f aca="false">IF($H937="","",IFERROR(INDEX(票据归类表,MATCH($H937,票据类型表,0)),"现金无票"))</f>
        <v/>
      </c>
      <c r="J937" s="25"/>
      <c r="K937" s="25"/>
      <c r="L937" s="31"/>
      <c r="M937" s="29" t="str">
        <f aca="false">IF($C937="","",YEAR($C937))</f>
        <v/>
      </c>
      <c r="N937" s="24"/>
      <c r="O937" s="35" t="str">
        <f aca="false">IF($C937="","",IF($D937="","★没选客户项目",IF(COUNTIF(合同键,$D937)=0,"★《维保合同》里没这个项目",IF(N($G937)&lt;=0,"★收款金额要填",IF($H937="","★票据类型要选",IF(AND($L937&lt;&gt;"",COUNTIF(应收单号,$L937)=0),"★关联的应收单号不存在",IF(AND($L937&lt;&gt;"",IFERROR(INDEX(应收键,MATCH($L937,应收单号,0)),"")&lt;&gt;$D937),"★关联单号不是这个客户的",IF(AND($L937&lt;&gt;"",ROUND(SUMIF(收款关联,$L937,收款金额)-IFERROR(INDEX(应收金额,MATCH($L937,应收单号,0)),0),2)&gt;0.001),"★指定冲销超过那张单的应收","OK"))))))))</f>
        <v/>
      </c>
    </row>
    <row r="938" customFormat="false" ht="15" hidden="false" customHeight="false" outlineLevel="0" collapsed="false">
      <c r="A938" s="29" t="str">
        <f aca="false">IF($C938="","",ROW()-4)</f>
        <v/>
      </c>
      <c r="B938" s="35" t="str">
        <f aca="false">IF($C938="","","SK"&amp;TEXT($C938,"yyyymm")&amp;"-"&amp;TEXT(ROW()-4,"0000"))</f>
        <v/>
      </c>
      <c r="C938" s="33"/>
      <c r="D938" s="24"/>
      <c r="E938" s="30" t="str">
        <f aca="false">IF($D938="","",IFERROR(INDEX(合同单位,MATCH($D938,合同键,0)),IFERROR(TRIM(LEFT($D938,FIND("｜",$D938)-1)),$D938)))</f>
        <v/>
      </c>
      <c r="F938" s="30" t="str">
        <f aca="false">IF($D938="","",IFERROR(INDEX(合同项目,MATCH($D938,合同键,0)),IFERROR(TRIM(MID($D938,FIND("｜",$D938)+1,99)),"")))</f>
        <v/>
      </c>
      <c r="G938" s="39"/>
      <c r="H938" s="25"/>
      <c r="I938" s="35" t="str">
        <f aca="false">IF($H938="","",IFERROR(INDEX(票据归类表,MATCH($H938,票据类型表,0)),"现金无票"))</f>
        <v/>
      </c>
      <c r="J938" s="25"/>
      <c r="K938" s="25"/>
      <c r="L938" s="31"/>
      <c r="M938" s="29" t="str">
        <f aca="false">IF($C938="","",YEAR($C938))</f>
        <v/>
      </c>
      <c r="N938" s="24"/>
      <c r="O938" s="35" t="str">
        <f aca="false">IF($C938="","",IF($D938="","★没选客户项目",IF(COUNTIF(合同键,$D938)=0,"★《维保合同》里没这个项目",IF(N($G938)&lt;=0,"★收款金额要填",IF($H938="","★票据类型要选",IF(AND($L938&lt;&gt;"",COUNTIF(应收单号,$L938)=0),"★关联的应收单号不存在",IF(AND($L938&lt;&gt;"",IFERROR(INDEX(应收键,MATCH($L938,应收单号,0)),"")&lt;&gt;$D938),"★关联单号不是这个客户的",IF(AND($L938&lt;&gt;"",ROUND(SUMIF(收款关联,$L938,收款金额)-IFERROR(INDEX(应收金额,MATCH($L938,应收单号,0)),0),2)&gt;0.001),"★指定冲销超过那张单的应收","OK"))))))))</f>
        <v/>
      </c>
    </row>
    <row r="939" customFormat="false" ht="15" hidden="false" customHeight="false" outlineLevel="0" collapsed="false">
      <c r="A939" s="29" t="str">
        <f aca="false">IF($C939="","",ROW()-4)</f>
        <v/>
      </c>
      <c r="B939" s="35" t="str">
        <f aca="false">IF($C939="","","SK"&amp;TEXT($C939,"yyyymm")&amp;"-"&amp;TEXT(ROW()-4,"0000"))</f>
        <v/>
      </c>
      <c r="C939" s="33"/>
      <c r="D939" s="24"/>
      <c r="E939" s="30" t="str">
        <f aca="false">IF($D939="","",IFERROR(INDEX(合同单位,MATCH($D939,合同键,0)),IFERROR(TRIM(LEFT($D939,FIND("｜",$D939)-1)),$D939)))</f>
        <v/>
      </c>
      <c r="F939" s="30" t="str">
        <f aca="false">IF($D939="","",IFERROR(INDEX(合同项目,MATCH($D939,合同键,0)),IFERROR(TRIM(MID($D939,FIND("｜",$D939)+1,99)),"")))</f>
        <v/>
      </c>
      <c r="G939" s="39"/>
      <c r="H939" s="25"/>
      <c r="I939" s="35" t="str">
        <f aca="false">IF($H939="","",IFERROR(INDEX(票据归类表,MATCH($H939,票据类型表,0)),"现金无票"))</f>
        <v/>
      </c>
      <c r="J939" s="25"/>
      <c r="K939" s="25"/>
      <c r="L939" s="31"/>
      <c r="M939" s="29" t="str">
        <f aca="false">IF($C939="","",YEAR($C939))</f>
        <v/>
      </c>
      <c r="N939" s="24"/>
      <c r="O939" s="35" t="str">
        <f aca="false">IF($C939="","",IF($D939="","★没选客户项目",IF(COUNTIF(合同键,$D939)=0,"★《维保合同》里没这个项目",IF(N($G939)&lt;=0,"★收款金额要填",IF($H939="","★票据类型要选",IF(AND($L939&lt;&gt;"",COUNTIF(应收单号,$L939)=0),"★关联的应收单号不存在",IF(AND($L939&lt;&gt;"",IFERROR(INDEX(应收键,MATCH($L939,应收单号,0)),"")&lt;&gt;$D939),"★关联单号不是这个客户的",IF(AND($L939&lt;&gt;"",ROUND(SUMIF(收款关联,$L939,收款金额)-IFERROR(INDEX(应收金额,MATCH($L939,应收单号,0)),0),2)&gt;0.001),"★指定冲销超过那张单的应收","OK"))))))))</f>
        <v/>
      </c>
    </row>
    <row r="940" customFormat="false" ht="15" hidden="false" customHeight="false" outlineLevel="0" collapsed="false">
      <c r="A940" s="29" t="str">
        <f aca="false">IF($C940="","",ROW()-4)</f>
        <v/>
      </c>
      <c r="B940" s="35" t="str">
        <f aca="false">IF($C940="","","SK"&amp;TEXT($C940,"yyyymm")&amp;"-"&amp;TEXT(ROW()-4,"0000"))</f>
        <v/>
      </c>
      <c r="C940" s="33"/>
      <c r="D940" s="24"/>
      <c r="E940" s="30" t="str">
        <f aca="false">IF($D940="","",IFERROR(INDEX(合同单位,MATCH($D940,合同键,0)),IFERROR(TRIM(LEFT($D940,FIND("｜",$D940)-1)),$D940)))</f>
        <v/>
      </c>
      <c r="F940" s="30" t="str">
        <f aca="false">IF($D940="","",IFERROR(INDEX(合同项目,MATCH($D940,合同键,0)),IFERROR(TRIM(MID($D940,FIND("｜",$D940)+1,99)),"")))</f>
        <v/>
      </c>
      <c r="G940" s="39"/>
      <c r="H940" s="25"/>
      <c r="I940" s="35" t="str">
        <f aca="false">IF($H940="","",IFERROR(INDEX(票据归类表,MATCH($H940,票据类型表,0)),"现金无票"))</f>
        <v/>
      </c>
      <c r="J940" s="25"/>
      <c r="K940" s="25"/>
      <c r="L940" s="31"/>
      <c r="M940" s="29" t="str">
        <f aca="false">IF($C940="","",YEAR($C940))</f>
        <v/>
      </c>
      <c r="N940" s="24"/>
      <c r="O940" s="35" t="str">
        <f aca="false">IF($C940="","",IF($D940="","★没选客户项目",IF(COUNTIF(合同键,$D940)=0,"★《维保合同》里没这个项目",IF(N($G940)&lt;=0,"★收款金额要填",IF($H940="","★票据类型要选",IF(AND($L940&lt;&gt;"",COUNTIF(应收单号,$L940)=0),"★关联的应收单号不存在",IF(AND($L940&lt;&gt;"",IFERROR(INDEX(应收键,MATCH($L940,应收单号,0)),"")&lt;&gt;$D940),"★关联单号不是这个客户的",IF(AND($L940&lt;&gt;"",ROUND(SUMIF(收款关联,$L940,收款金额)-IFERROR(INDEX(应收金额,MATCH($L940,应收单号,0)),0),2)&gt;0.001),"★指定冲销超过那张单的应收","OK"))))))))</f>
        <v/>
      </c>
    </row>
    <row r="941" customFormat="false" ht="15" hidden="false" customHeight="false" outlineLevel="0" collapsed="false">
      <c r="A941" s="29" t="str">
        <f aca="false">IF($C941="","",ROW()-4)</f>
        <v/>
      </c>
      <c r="B941" s="35" t="str">
        <f aca="false">IF($C941="","","SK"&amp;TEXT($C941,"yyyymm")&amp;"-"&amp;TEXT(ROW()-4,"0000"))</f>
        <v/>
      </c>
      <c r="C941" s="33"/>
      <c r="D941" s="24"/>
      <c r="E941" s="30" t="str">
        <f aca="false">IF($D941="","",IFERROR(INDEX(合同单位,MATCH($D941,合同键,0)),IFERROR(TRIM(LEFT($D941,FIND("｜",$D941)-1)),$D941)))</f>
        <v/>
      </c>
      <c r="F941" s="30" t="str">
        <f aca="false">IF($D941="","",IFERROR(INDEX(合同项目,MATCH($D941,合同键,0)),IFERROR(TRIM(MID($D941,FIND("｜",$D941)+1,99)),"")))</f>
        <v/>
      </c>
      <c r="G941" s="39"/>
      <c r="H941" s="25"/>
      <c r="I941" s="35" t="str">
        <f aca="false">IF($H941="","",IFERROR(INDEX(票据归类表,MATCH($H941,票据类型表,0)),"现金无票"))</f>
        <v/>
      </c>
      <c r="J941" s="25"/>
      <c r="K941" s="25"/>
      <c r="L941" s="31"/>
      <c r="M941" s="29" t="str">
        <f aca="false">IF($C941="","",YEAR($C941))</f>
        <v/>
      </c>
      <c r="N941" s="24"/>
      <c r="O941" s="35" t="str">
        <f aca="false">IF($C941="","",IF($D941="","★没选客户项目",IF(COUNTIF(合同键,$D941)=0,"★《维保合同》里没这个项目",IF(N($G941)&lt;=0,"★收款金额要填",IF($H941="","★票据类型要选",IF(AND($L941&lt;&gt;"",COUNTIF(应收单号,$L941)=0),"★关联的应收单号不存在",IF(AND($L941&lt;&gt;"",IFERROR(INDEX(应收键,MATCH($L941,应收单号,0)),"")&lt;&gt;$D941),"★关联单号不是这个客户的",IF(AND($L941&lt;&gt;"",ROUND(SUMIF(收款关联,$L941,收款金额)-IFERROR(INDEX(应收金额,MATCH($L941,应收单号,0)),0),2)&gt;0.001),"★指定冲销超过那张单的应收","OK"))))))))</f>
        <v/>
      </c>
    </row>
    <row r="942" customFormat="false" ht="15" hidden="false" customHeight="false" outlineLevel="0" collapsed="false">
      <c r="A942" s="29" t="str">
        <f aca="false">IF($C942="","",ROW()-4)</f>
        <v/>
      </c>
      <c r="B942" s="35" t="str">
        <f aca="false">IF($C942="","","SK"&amp;TEXT($C942,"yyyymm")&amp;"-"&amp;TEXT(ROW()-4,"0000"))</f>
        <v/>
      </c>
      <c r="C942" s="33"/>
      <c r="D942" s="24"/>
      <c r="E942" s="30" t="str">
        <f aca="false">IF($D942="","",IFERROR(INDEX(合同单位,MATCH($D942,合同键,0)),IFERROR(TRIM(LEFT($D942,FIND("｜",$D942)-1)),$D942)))</f>
        <v/>
      </c>
      <c r="F942" s="30" t="str">
        <f aca="false">IF($D942="","",IFERROR(INDEX(合同项目,MATCH($D942,合同键,0)),IFERROR(TRIM(MID($D942,FIND("｜",$D942)+1,99)),"")))</f>
        <v/>
      </c>
      <c r="G942" s="39"/>
      <c r="H942" s="25"/>
      <c r="I942" s="35" t="str">
        <f aca="false">IF($H942="","",IFERROR(INDEX(票据归类表,MATCH($H942,票据类型表,0)),"现金无票"))</f>
        <v/>
      </c>
      <c r="J942" s="25"/>
      <c r="K942" s="25"/>
      <c r="L942" s="31"/>
      <c r="M942" s="29" t="str">
        <f aca="false">IF($C942="","",YEAR($C942))</f>
        <v/>
      </c>
      <c r="N942" s="24"/>
      <c r="O942" s="35" t="str">
        <f aca="false">IF($C942="","",IF($D942="","★没选客户项目",IF(COUNTIF(合同键,$D942)=0,"★《维保合同》里没这个项目",IF(N($G942)&lt;=0,"★收款金额要填",IF($H942="","★票据类型要选",IF(AND($L942&lt;&gt;"",COUNTIF(应收单号,$L942)=0),"★关联的应收单号不存在",IF(AND($L942&lt;&gt;"",IFERROR(INDEX(应收键,MATCH($L942,应收单号,0)),"")&lt;&gt;$D942),"★关联单号不是这个客户的",IF(AND($L942&lt;&gt;"",ROUND(SUMIF(收款关联,$L942,收款金额)-IFERROR(INDEX(应收金额,MATCH($L942,应收单号,0)),0),2)&gt;0.001),"★指定冲销超过那张单的应收","OK"))))))))</f>
        <v/>
      </c>
    </row>
    <row r="943" customFormat="false" ht="15" hidden="false" customHeight="false" outlineLevel="0" collapsed="false">
      <c r="A943" s="29" t="str">
        <f aca="false">IF($C943="","",ROW()-4)</f>
        <v/>
      </c>
      <c r="B943" s="35" t="str">
        <f aca="false">IF($C943="","","SK"&amp;TEXT($C943,"yyyymm")&amp;"-"&amp;TEXT(ROW()-4,"0000"))</f>
        <v/>
      </c>
      <c r="C943" s="33"/>
      <c r="D943" s="24"/>
      <c r="E943" s="30" t="str">
        <f aca="false">IF($D943="","",IFERROR(INDEX(合同单位,MATCH($D943,合同键,0)),IFERROR(TRIM(LEFT($D943,FIND("｜",$D943)-1)),$D943)))</f>
        <v/>
      </c>
      <c r="F943" s="30" t="str">
        <f aca="false">IF($D943="","",IFERROR(INDEX(合同项目,MATCH($D943,合同键,0)),IFERROR(TRIM(MID($D943,FIND("｜",$D943)+1,99)),"")))</f>
        <v/>
      </c>
      <c r="G943" s="39"/>
      <c r="H943" s="25"/>
      <c r="I943" s="35" t="str">
        <f aca="false">IF($H943="","",IFERROR(INDEX(票据归类表,MATCH($H943,票据类型表,0)),"现金无票"))</f>
        <v/>
      </c>
      <c r="J943" s="25"/>
      <c r="K943" s="25"/>
      <c r="L943" s="31"/>
      <c r="M943" s="29" t="str">
        <f aca="false">IF($C943="","",YEAR($C943))</f>
        <v/>
      </c>
      <c r="N943" s="24"/>
      <c r="O943" s="35" t="str">
        <f aca="false">IF($C943="","",IF($D943="","★没选客户项目",IF(COUNTIF(合同键,$D943)=0,"★《维保合同》里没这个项目",IF(N($G943)&lt;=0,"★收款金额要填",IF($H943="","★票据类型要选",IF(AND($L943&lt;&gt;"",COUNTIF(应收单号,$L943)=0),"★关联的应收单号不存在",IF(AND($L943&lt;&gt;"",IFERROR(INDEX(应收键,MATCH($L943,应收单号,0)),"")&lt;&gt;$D943),"★关联单号不是这个客户的",IF(AND($L943&lt;&gt;"",ROUND(SUMIF(收款关联,$L943,收款金额)-IFERROR(INDEX(应收金额,MATCH($L943,应收单号,0)),0),2)&gt;0.001),"★指定冲销超过那张单的应收","OK"))))))))</f>
        <v/>
      </c>
    </row>
    <row r="944" customFormat="false" ht="15" hidden="false" customHeight="false" outlineLevel="0" collapsed="false">
      <c r="A944" s="29" t="str">
        <f aca="false">IF($C944="","",ROW()-4)</f>
        <v/>
      </c>
      <c r="B944" s="35" t="str">
        <f aca="false">IF($C944="","","SK"&amp;TEXT($C944,"yyyymm")&amp;"-"&amp;TEXT(ROW()-4,"0000"))</f>
        <v/>
      </c>
      <c r="C944" s="33"/>
      <c r="D944" s="24"/>
      <c r="E944" s="30" t="str">
        <f aca="false">IF($D944="","",IFERROR(INDEX(合同单位,MATCH($D944,合同键,0)),IFERROR(TRIM(LEFT($D944,FIND("｜",$D944)-1)),$D944)))</f>
        <v/>
      </c>
      <c r="F944" s="30" t="str">
        <f aca="false">IF($D944="","",IFERROR(INDEX(合同项目,MATCH($D944,合同键,0)),IFERROR(TRIM(MID($D944,FIND("｜",$D944)+1,99)),"")))</f>
        <v/>
      </c>
      <c r="G944" s="39"/>
      <c r="H944" s="25"/>
      <c r="I944" s="35" t="str">
        <f aca="false">IF($H944="","",IFERROR(INDEX(票据归类表,MATCH($H944,票据类型表,0)),"现金无票"))</f>
        <v/>
      </c>
      <c r="J944" s="25"/>
      <c r="K944" s="25"/>
      <c r="L944" s="31"/>
      <c r="M944" s="29" t="str">
        <f aca="false">IF($C944="","",YEAR($C944))</f>
        <v/>
      </c>
      <c r="N944" s="24"/>
      <c r="O944" s="35" t="str">
        <f aca="false">IF($C944="","",IF($D944="","★没选客户项目",IF(COUNTIF(合同键,$D944)=0,"★《维保合同》里没这个项目",IF(N($G944)&lt;=0,"★收款金额要填",IF($H944="","★票据类型要选",IF(AND($L944&lt;&gt;"",COUNTIF(应收单号,$L944)=0),"★关联的应收单号不存在",IF(AND($L944&lt;&gt;"",IFERROR(INDEX(应收键,MATCH($L944,应收单号,0)),"")&lt;&gt;$D944),"★关联单号不是这个客户的",IF(AND($L944&lt;&gt;"",ROUND(SUMIF(收款关联,$L944,收款金额)-IFERROR(INDEX(应收金额,MATCH($L944,应收单号,0)),0),2)&gt;0.001),"★指定冲销超过那张单的应收","OK"))))))))</f>
        <v/>
      </c>
    </row>
    <row r="945" customFormat="false" ht="15" hidden="false" customHeight="false" outlineLevel="0" collapsed="false">
      <c r="A945" s="29" t="str">
        <f aca="false">IF($C945="","",ROW()-4)</f>
        <v/>
      </c>
      <c r="B945" s="35" t="str">
        <f aca="false">IF($C945="","","SK"&amp;TEXT($C945,"yyyymm")&amp;"-"&amp;TEXT(ROW()-4,"0000"))</f>
        <v/>
      </c>
      <c r="C945" s="33"/>
      <c r="D945" s="24"/>
      <c r="E945" s="30" t="str">
        <f aca="false">IF($D945="","",IFERROR(INDEX(合同单位,MATCH($D945,合同键,0)),IFERROR(TRIM(LEFT($D945,FIND("｜",$D945)-1)),$D945)))</f>
        <v/>
      </c>
      <c r="F945" s="30" t="str">
        <f aca="false">IF($D945="","",IFERROR(INDEX(合同项目,MATCH($D945,合同键,0)),IFERROR(TRIM(MID($D945,FIND("｜",$D945)+1,99)),"")))</f>
        <v/>
      </c>
      <c r="G945" s="39"/>
      <c r="H945" s="25"/>
      <c r="I945" s="35" t="str">
        <f aca="false">IF($H945="","",IFERROR(INDEX(票据归类表,MATCH($H945,票据类型表,0)),"现金无票"))</f>
        <v/>
      </c>
      <c r="J945" s="25"/>
      <c r="K945" s="25"/>
      <c r="L945" s="31"/>
      <c r="M945" s="29" t="str">
        <f aca="false">IF($C945="","",YEAR($C945))</f>
        <v/>
      </c>
      <c r="N945" s="24"/>
      <c r="O945" s="35" t="str">
        <f aca="false">IF($C945="","",IF($D945="","★没选客户项目",IF(COUNTIF(合同键,$D945)=0,"★《维保合同》里没这个项目",IF(N($G945)&lt;=0,"★收款金额要填",IF($H945="","★票据类型要选",IF(AND($L945&lt;&gt;"",COUNTIF(应收单号,$L945)=0),"★关联的应收单号不存在",IF(AND($L945&lt;&gt;"",IFERROR(INDEX(应收键,MATCH($L945,应收单号,0)),"")&lt;&gt;$D945),"★关联单号不是这个客户的",IF(AND($L945&lt;&gt;"",ROUND(SUMIF(收款关联,$L945,收款金额)-IFERROR(INDEX(应收金额,MATCH($L945,应收单号,0)),0),2)&gt;0.001),"★指定冲销超过那张单的应收","OK"))))))))</f>
        <v/>
      </c>
    </row>
    <row r="946" customFormat="false" ht="15" hidden="false" customHeight="false" outlineLevel="0" collapsed="false">
      <c r="A946" s="29" t="str">
        <f aca="false">IF($C946="","",ROW()-4)</f>
        <v/>
      </c>
      <c r="B946" s="35" t="str">
        <f aca="false">IF($C946="","","SK"&amp;TEXT($C946,"yyyymm")&amp;"-"&amp;TEXT(ROW()-4,"0000"))</f>
        <v/>
      </c>
      <c r="C946" s="33"/>
      <c r="D946" s="24"/>
      <c r="E946" s="30" t="str">
        <f aca="false">IF($D946="","",IFERROR(INDEX(合同单位,MATCH($D946,合同键,0)),IFERROR(TRIM(LEFT($D946,FIND("｜",$D946)-1)),$D946)))</f>
        <v/>
      </c>
      <c r="F946" s="30" t="str">
        <f aca="false">IF($D946="","",IFERROR(INDEX(合同项目,MATCH($D946,合同键,0)),IFERROR(TRIM(MID($D946,FIND("｜",$D946)+1,99)),"")))</f>
        <v/>
      </c>
      <c r="G946" s="39"/>
      <c r="H946" s="25"/>
      <c r="I946" s="35" t="str">
        <f aca="false">IF($H946="","",IFERROR(INDEX(票据归类表,MATCH($H946,票据类型表,0)),"现金无票"))</f>
        <v/>
      </c>
      <c r="J946" s="25"/>
      <c r="K946" s="25"/>
      <c r="L946" s="31"/>
      <c r="M946" s="29" t="str">
        <f aca="false">IF($C946="","",YEAR($C946))</f>
        <v/>
      </c>
      <c r="N946" s="24"/>
      <c r="O946" s="35" t="str">
        <f aca="false">IF($C946="","",IF($D946="","★没选客户项目",IF(COUNTIF(合同键,$D946)=0,"★《维保合同》里没这个项目",IF(N($G946)&lt;=0,"★收款金额要填",IF($H946="","★票据类型要选",IF(AND($L946&lt;&gt;"",COUNTIF(应收单号,$L946)=0),"★关联的应收单号不存在",IF(AND($L946&lt;&gt;"",IFERROR(INDEX(应收键,MATCH($L946,应收单号,0)),"")&lt;&gt;$D946),"★关联单号不是这个客户的",IF(AND($L946&lt;&gt;"",ROUND(SUMIF(收款关联,$L946,收款金额)-IFERROR(INDEX(应收金额,MATCH($L946,应收单号,0)),0),2)&gt;0.001),"★指定冲销超过那张单的应收","OK"))))))))</f>
        <v/>
      </c>
    </row>
    <row r="947" customFormat="false" ht="15" hidden="false" customHeight="false" outlineLevel="0" collapsed="false">
      <c r="A947" s="29" t="str">
        <f aca="false">IF($C947="","",ROW()-4)</f>
        <v/>
      </c>
      <c r="B947" s="35" t="str">
        <f aca="false">IF($C947="","","SK"&amp;TEXT($C947,"yyyymm")&amp;"-"&amp;TEXT(ROW()-4,"0000"))</f>
        <v/>
      </c>
      <c r="C947" s="33"/>
      <c r="D947" s="24"/>
      <c r="E947" s="30" t="str">
        <f aca="false">IF($D947="","",IFERROR(INDEX(合同单位,MATCH($D947,合同键,0)),IFERROR(TRIM(LEFT($D947,FIND("｜",$D947)-1)),$D947)))</f>
        <v/>
      </c>
      <c r="F947" s="30" t="str">
        <f aca="false">IF($D947="","",IFERROR(INDEX(合同项目,MATCH($D947,合同键,0)),IFERROR(TRIM(MID($D947,FIND("｜",$D947)+1,99)),"")))</f>
        <v/>
      </c>
      <c r="G947" s="39"/>
      <c r="H947" s="25"/>
      <c r="I947" s="35" t="str">
        <f aca="false">IF($H947="","",IFERROR(INDEX(票据归类表,MATCH($H947,票据类型表,0)),"现金无票"))</f>
        <v/>
      </c>
      <c r="J947" s="25"/>
      <c r="K947" s="25"/>
      <c r="L947" s="31"/>
      <c r="M947" s="29" t="str">
        <f aca="false">IF($C947="","",YEAR($C947))</f>
        <v/>
      </c>
      <c r="N947" s="24"/>
      <c r="O947" s="35" t="str">
        <f aca="false">IF($C947="","",IF($D947="","★没选客户项目",IF(COUNTIF(合同键,$D947)=0,"★《维保合同》里没这个项目",IF(N($G947)&lt;=0,"★收款金额要填",IF($H947="","★票据类型要选",IF(AND($L947&lt;&gt;"",COUNTIF(应收单号,$L947)=0),"★关联的应收单号不存在",IF(AND($L947&lt;&gt;"",IFERROR(INDEX(应收键,MATCH($L947,应收单号,0)),"")&lt;&gt;$D947),"★关联单号不是这个客户的",IF(AND($L947&lt;&gt;"",ROUND(SUMIF(收款关联,$L947,收款金额)-IFERROR(INDEX(应收金额,MATCH($L947,应收单号,0)),0),2)&gt;0.001),"★指定冲销超过那张单的应收","OK"))))))))</f>
        <v/>
      </c>
    </row>
    <row r="948" customFormat="false" ht="15" hidden="false" customHeight="false" outlineLevel="0" collapsed="false">
      <c r="A948" s="29" t="str">
        <f aca="false">IF($C948="","",ROW()-4)</f>
        <v/>
      </c>
      <c r="B948" s="35" t="str">
        <f aca="false">IF($C948="","","SK"&amp;TEXT($C948,"yyyymm")&amp;"-"&amp;TEXT(ROW()-4,"0000"))</f>
        <v/>
      </c>
      <c r="C948" s="33"/>
      <c r="D948" s="24"/>
      <c r="E948" s="30" t="str">
        <f aca="false">IF($D948="","",IFERROR(INDEX(合同单位,MATCH($D948,合同键,0)),IFERROR(TRIM(LEFT($D948,FIND("｜",$D948)-1)),$D948)))</f>
        <v/>
      </c>
      <c r="F948" s="30" t="str">
        <f aca="false">IF($D948="","",IFERROR(INDEX(合同项目,MATCH($D948,合同键,0)),IFERROR(TRIM(MID($D948,FIND("｜",$D948)+1,99)),"")))</f>
        <v/>
      </c>
      <c r="G948" s="39"/>
      <c r="H948" s="25"/>
      <c r="I948" s="35" t="str">
        <f aca="false">IF($H948="","",IFERROR(INDEX(票据归类表,MATCH($H948,票据类型表,0)),"现金无票"))</f>
        <v/>
      </c>
      <c r="J948" s="25"/>
      <c r="K948" s="25"/>
      <c r="L948" s="31"/>
      <c r="M948" s="29" t="str">
        <f aca="false">IF($C948="","",YEAR($C948))</f>
        <v/>
      </c>
      <c r="N948" s="24"/>
      <c r="O948" s="35" t="str">
        <f aca="false">IF($C948="","",IF($D948="","★没选客户项目",IF(COUNTIF(合同键,$D948)=0,"★《维保合同》里没这个项目",IF(N($G948)&lt;=0,"★收款金额要填",IF($H948="","★票据类型要选",IF(AND($L948&lt;&gt;"",COUNTIF(应收单号,$L948)=0),"★关联的应收单号不存在",IF(AND($L948&lt;&gt;"",IFERROR(INDEX(应收键,MATCH($L948,应收单号,0)),"")&lt;&gt;$D948),"★关联单号不是这个客户的",IF(AND($L948&lt;&gt;"",ROUND(SUMIF(收款关联,$L948,收款金额)-IFERROR(INDEX(应收金额,MATCH($L948,应收单号,0)),0),2)&gt;0.001),"★指定冲销超过那张单的应收","OK"))))))))</f>
        <v/>
      </c>
    </row>
    <row r="949" customFormat="false" ht="15" hidden="false" customHeight="false" outlineLevel="0" collapsed="false">
      <c r="A949" s="29" t="str">
        <f aca="false">IF($C949="","",ROW()-4)</f>
        <v/>
      </c>
      <c r="B949" s="35" t="str">
        <f aca="false">IF($C949="","","SK"&amp;TEXT($C949,"yyyymm")&amp;"-"&amp;TEXT(ROW()-4,"0000"))</f>
        <v/>
      </c>
      <c r="C949" s="33"/>
      <c r="D949" s="24"/>
      <c r="E949" s="30" t="str">
        <f aca="false">IF($D949="","",IFERROR(INDEX(合同单位,MATCH($D949,合同键,0)),IFERROR(TRIM(LEFT($D949,FIND("｜",$D949)-1)),$D949)))</f>
        <v/>
      </c>
      <c r="F949" s="30" t="str">
        <f aca="false">IF($D949="","",IFERROR(INDEX(合同项目,MATCH($D949,合同键,0)),IFERROR(TRIM(MID($D949,FIND("｜",$D949)+1,99)),"")))</f>
        <v/>
      </c>
      <c r="G949" s="39"/>
      <c r="H949" s="25"/>
      <c r="I949" s="35" t="str">
        <f aca="false">IF($H949="","",IFERROR(INDEX(票据归类表,MATCH($H949,票据类型表,0)),"现金无票"))</f>
        <v/>
      </c>
      <c r="J949" s="25"/>
      <c r="K949" s="25"/>
      <c r="L949" s="31"/>
      <c r="M949" s="29" t="str">
        <f aca="false">IF($C949="","",YEAR($C949))</f>
        <v/>
      </c>
      <c r="N949" s="24"/>
      <c r="O949" s="35" t="str">
        <f aca="false">IF($C949="","",IF($D949="","★没选客户项目",IF(COUNTIF(合同键,$D949)=0,"★《维保合同》里没这个项目",IF(N($G949)&lt;=0,"★收款金额要填",IF($H949="","★票据类型要选",IF(AND($L949&lt;&gt;"",COUNTIF(应收单号,$L949)=0),"★关联的应收单号不存在",IF(AND($L949&lt;&gt;"",IFERROR(INDEX(应收键,MATCH($L949,应收单号,0)),"")&lt;&gt;$D949),"★关联单号不是这个客户的",IF(AND($L949&lt;&gt;"",ROUND(SUMIF(收款关联,$L949,收款金额)-IFERROR(INDEX(应收金额,MATCH($L949,应收单号,0)),0),2)&gt;0.001),"★指定冲销超过那张单的应收","OK"))))))))</f>
        <v/>
      </c>
    </row>
    <row r="950" customFormat="false" ht="15" hidden="false" customHeight="false" outlineLevel="0" collapsed="false">
      <c r="A950" s="29" t="str">
        <f aca="false">IF($C950="","",ROW()-4)</f>
        <v/>
      </c>
      <c r="B950" s="35" t="str">
        <f aca="false">IF($C950="","","SK"&amp;TEXT($C950,"yyyymm")&amp;"-"&amp;TEXT(ROW()-4,"0000"))</f>
        <v/>
      </c>
      <c r="C950" s="33"/>
      <c r="D950" s="24"/>
      <c r="E950" s="30" t="str">
        <f aca="false">IF($D950="","",IFERROR(INDEX(合同单位,MATCH($D950,合同键,0)),IFERROR(TRIM(LEFT($D950,FIND("｜",$D950)-1)),$D950)))</f>
        <v/>
      </c>
      <c r="F950" s="30" t="str">
        <f aca="false">IF($D950="","",IFERROR(INDEX(合同项目,MATCH($D950,合同键,0)),IFERROR(TRIM(MID($D950,FIND("｜",$D950)+1,99)),"")))</f>
        <v/>
      </c>
      <c r="G950" s="39"/>
      <c r="H950" s="25"/>
      <c r="I950" s="35" t="str">
        <f aca="false">IF($H950="","",IFERROR(INDEX(票据归类表,MATCH($H950,票据类型表,0)),"现金无票"))</f>
        <v/>
      </c>
      <c r="J950" s="25"/>
      <c r="K950" s="25"/>
      <c r="L950" s="31"/>
      <c r="M950" s="29" t="str">
        <f aca="false">IF($C950="","",YEAR($C950))</f>
        <v/>
      </c>
      <c r="N950" s="24"/>
      <c r="O950" s="35" t="str">
        <f aca="false">IF($C950="","",IF($D950="","★没选客户项目",IF(COUNTIF(合同键,$D950)=0,"★《维保合同》里没这个项目",IF(N($G950)&lt;=0,"★收款金额要填",IF($H950="","★票据类型要选",IF(AND($L950&lt;&gt;"",COUNTIF(应收单号,$L950)=0),"★关联的应收单号不存在",IF(AND($L950&lt;&gt;"",IFERROR(INDEX(应收键,MATCH($L950,应收单号,0)),"")&lt;&gt;$D950),"★关联单号不是这个客户的",IF(AND($L950&lt;&gt;"",ROUND(SUMIF(收款关联,$L950,收款金额)-IFERROR(INDEX(应收金额,MATCH($L950,应收单号,0)),0),2)&gt;0.001),"★指定冲销超过那张单的应收","OK"))))))))</f>
        <v/>
      </c>
    </row>
    <row r="951" customFormat="false" ht="15" hidden="false" customHeight="false" outlineLevel="0" collapsed="false">
      <c r="A951" s="29" t="str">
        <f aca="false">IF($C951="","",ROW()-4)</f>
        <v/>
      </c>
      <c r="B951" s="35" t="str">
        <f aca="false">IF($C951="","","SK"&amp;TEXT($C951,"yyyymm")&amp;"-"&amp;TEXT(ROW()-4,"0000"))</f>
        <v/>
      </c>
      <c r="C951" s="33"/>
      <c r="D951" s="24"/>
      <c r="E951" s="30" t="str">
        <f aca="false">IF($D951="","",IFERROR(INDEX(合同单位,MATCH($D951,合同键,0)),IFERROR(TRIM(LEFT($D951,FIND("｜",$D951)-1)),$D951)))</f>
        <v/>
      </c>
      <c r="F951" s="30" t="str">
        <f aca="false">IF($D951="","",IFERROR(INDEX(合同项目,MATCH($D951,合同键,0)),IFERROR(TRIM(MID($D951,FIND("｜",$D951)+1,99)),"")))</f>
        <v/>
      </c>
      <c r="G951" s="39"/>
      <c r="H951" s="25"/>
      <c r="I951" s="35" t="str">
        <f aca="false">IF($H951="","",IFERROR(INDEX(票据归类表,MATCH($H951,票据类型表,0)),"现金无票"))</f>
        <v/>
      </c>
      <c r="J951" s="25"/>
      <c r="K951" s="25"/>
      <c r="L951" s="31"/>
      <c r="M951" s="29" t="str">
        <f aca="false">IF($C951="","",YEAR($C951))</f>
        <v/>
      </c>
      <c r="N951" s="24"/>
      <c r="O951" s="35" t="str">
        <f aca="false">IF($C951="","",IF($D951="","★没选客户项目",IF(COUNTIF(合同键,$D951)=0,"★《维保合同》里没这个项目",IF(N($G951)&lt;=0,"★收款金额要填",IF($H951="","★票据类型要选",IF(AND($L951&lt;&gt;"",COUNTIF(应收单号,$L951)=0),"★关联的应收单号不存在",IF(AND($L951&lt;&gt;"",IFERROR(INDEX(应收键,MATCH($L951,应收单号,0)),"")&lt;&gt;$D951),"★关联单号不是这个客户的",IF(AND($L951&lt;&gt;"",ROUND(SUMIF(收款关联,$L951,收款金额)-IFERROR(INDEX(应收金额,MATCH($L951,应收单号,0)),0),2)&gt;0.001),"★指定冲销超过那张单的应收","OK"))))))))</f>
        <v/>
      </c>
    </row>
    <row r="952" customFormat="false" ht="15" hidden="false" customHeight="false" outlineLevel="0" collapsed="false">
      <c r="A952" s="29" t="str">
        <f aca="false">IF($C952="","",ROW()-4)</f>
        <v/>
      </c>
      <c r="B952" s="35" t="str">
        <f aca="false">IF($C952="","","SK"&amp;TEXT($C952,"yyyymm")&amp;"-"&amp;TEXT(ROW()-4,"0000"))</f>
        <v/>
      </c>
      <c r="C952" s="33"/>
      <c r="D952" s="24"/>
      <c r="E952" s="30" t="str">
        <f aca="false">IF($D952="","",IFERROR(INDEX(合同单位,MATCH($D952,合同键,0)),IFERROR(TRIM(LEFT($D952,FIND("｜",$D952)-1)),$D952)))</f>
        <v/>
      </c>
      <c r="F952" s="30" t="str">
        <f aca="false">IF($D952="","",IFERROR(INDEX(合同项目,MATCH($D952,合同键,0)),IFERROR(TRIM(MID($D952,FIND("｜",$D952)+1,99)),"")))</f>
        <v/>
      </c>
      <c r="G952" s="39"/>
      <c r="H952" s="25"/>
      <c r="I952" s="35" t="str">
        <f aca="false">IF($H952="","",IFERROR(INDEX(票据归类表,MATCH($H952,票据类型表,0)),"现金无票"))</f>
        <v/>
      </c>
      <c r="J952" s="25"/>
      <c r="K952" s="25"/>
      <c r="L952" s="31"/>
      <c r="M952" s="29" t="str">
        <f aca="false">IF($C952="","",YEAR($C952))</f>
        <v/>
      </c>
      <c r="N952" s="24"/>
      <c r="O952" s="35" t="str">
        <f aca="false">IF($C952="","",IF($D952="","★没选客户项目",IF(COUNTIF(合同键,$D952)=0,"★《维保合同》里没这个项目",IF(N($G952)&lt;=0,"★收款金额要填",IF($H952="","★票据类型要选",IF(AND($L952&lt;&gt;"",COUNTIF(应收单号,$L952)=0),"★关联的应收单号不存在",IF(AND($L952&lt;&gt;"",IFERROR(INDEX(应收键,MATCH($L952,应收单号,0)),"")&lt;&gt;$D952),"★关联单号不是这个客户的",IF(AND($L952&lt;&gt;"",ROUND(SUMIF(收款关联,$L952,收款金额)-IFERROR(INDEX(应收金额,MATCH($L952,应收单号,0)),0),2)&gt;0.001),"★指定冲销超过那张单的应收","OK"))))))))</f>
        <v/>
      </c>
    </row>
    <row r="953" customFormat="false" ht="15" hidden="false" customHeight="false" outlineLevel="0" collapsed="false">
      <c r="A953" s="29" t="str">
        <f aca="false">IF($C953="","",ROW()-4)</f>
        <v/>
      </c>
      <c r="B953" s="35" t="str">
        <f aca="false">IF($C953="","","SK"&amp;TEXT($C953,"yyyymm")&amp;"-"&amp;TEXT(ROW()-4,"0000"))</f>
        <v/>
      </c>
      <c r="C953" s="33"/>
      <c r="D953" s="24"/>
      <c r="E953" s="30" t="str">
        <f aca="false">IF($D953="","",IFERROR(INDEX(合同单位,MATCH($D953,合同键,0)),IFERROR(TRIM(LEFT($D953,FIND("｜",$D953)-1)),$D953)))</f>
        <v/>
      </c>
      <c r="F953" s="30" t="str">
        <f aca="false">IF($D953="","",IFERROR(INDEX(合同项目,MATCH($D953,合同键,0)),IFERROR(TRIM(MID($D953,FIND("｜",$D953)+1,99)),"")))</f>
        <v/>
      </c>
      <c r="G953" s="39"/>
      <c r="H953" s="25"/>
      <c r="I953" s="35" t="str">
        <f aca="false">IF($H953="","",IFERROR(INDEX(票据归类表,MATCH($H953,票据类型表,0)),"现金无票"))</f>
        <v/>
      </c>
      <c r="J953" s="25"/>
      <c r="K953" s="25"/>
      <c r="L953" s="31"/>
      <c r="M953" s="29" t="str">
        <f aca="false">IF($C953="","",YEAR($C953))</f>
        <v/>
      </c>
      <c r="N953" s="24"/>
      <c r="O953" s="35" t="str">
        <f aca="false">IF($C953="","",IF($D953="","★没选客户项目",IF(COUNTIF(合同键,$D953)=0,"★《维保合同》里没这个项目",IF(N($G953)&lt;=0,"★收款金额要填",IF($H953="","★票据类型要选",IF(AND($L953&lt;&gt;"",COUNTIF(应收单号,$L953)=0),"★关联的应收单号不存在",IF(AND($L953&lt;&gt;"",IFERROR(INDEX(应收键,MATCH($L953,应收单号,0)),"")&lt;&gt;$D953),"★关联单号不是这个客户的",IF(AND($L953&lt;&gt;"",ROUND(SUMIF(收款关联,$L953,收款金额)-IFERROR(INDEX(应收金额,MATCH($L953,应收单号,0)),0),2)&gt;0.001),"★指定冲销超过那张单的应收","OK"))))))))</f>
        <v/>
      </c>
    </row>
    <row r="954" customFormat="false" ht="15" hidden="false" customHeight="false" outlineLevel="0" collapsed="false">
      <c r="A954" s="29" t="str">
        <f aca="false">IF($C954="","",ROW()-4)</f>
        <v/>
      </c>
      <c r="B954" s="35" t="str">
        <f aca="false">IF($C954="","","SK"&amp;TEXT($C954,"yyyymm")&amp;"-"&amp;TEXT(ROW()-4,"0000"))</f>
        <v/>
      </c>
      <c r="C954" s="33"/>
      <c r="D954" s="24"/>
      <c r="E954" s="30" t="str">
        <f aca="false">IF($D954="","",IFERROR(INDEX(合同单位,MATCH($D954,合同键,0)),IFERROR(TRIM(LEFT($D954,FIND("｜",$D954)-1)),$D954)))</f>
        <v/>
      </c>
      <c r="F954" s="30" t="str">
        <f aca="false">IF($D954="","",IFERROR(INDEX(合同项目,MATCH($D954,合同键,0)),IFERROR(TRIM(MID($D954,FIND("｜",$D954)+1,99)),"")))</f>
        <v/>
      </c>
      <c r="G954" s="39"/>
      <c r="H954" s="25"/>
      <c r="I954" s="35" t="str">
        <f aca="false">IF($H954="","",IFERROR(INDEX(票据归类表,MATCH($H954,票据类型表,0)),"现金无票"))</f>
        <v/>
      </c>
      <c r="J954" s="25"/>
      <c r="K954" s="25"/>
      <c r="L954" s="31"/>
      <c r="M954" s="29" t="str">
        <f aca="false">IF($C954="","",YEAR($C954))</f>
        <v/>
      </c>
      <c r="N954" s="24"/>
      <c r="O954" s="35" t="str">
        <f aca="false">IF($C954="","",IF($D954="","★没选客户项目",IF(COUNTIF(合同键,$D954)=0,"★《维保合同》里没这个项目",IF(N($G954)&lt;=0,"★收款金额要填",IF($H954="","★票据类型要选",IF(AND($L954&lt;&gt;"",COUNTIF(应收单号,$L954)=0),"★关联的应收单号不存在",IF(AND($L954&lt;&gt;"",IFERROR(INDEX(应收键,MATCH($L954,应收单号,0)),"")&lt;&gt;$D954),"★关联单号不是这个客户的",IF(AND($L954&lt;&gt;"",ROUND(SUMIF(收款关联,$L954,收款金额)-IFERROR(INDEX(应收金额,MATCH($L954,应收单号,0)),0),2)&gt;0.001),"★指定冲销超过那张单的应收","OK"))))))))</f>
        <v/>
      </c>
    </row>
    <row r="955" customFormat="false" ht="15" hidden="false" customHeight="false" outlineLevel="0" collapsed="false">
      <c r="A955" s="29" t="str">
        <f aca="false">IF($C955="","",ROW()-4)</f>
        <v/>
      </c>
      <c r="B955" s="35" t="str">
        <f aca="false">IF($C955="","","SK"&amp;TEXT($C955,"yyyymm")&amp;"-"&amp;TEXT(ROW()-4,"0000"))</f>
        <v/>
      </c>
      <c r="C955" s="33"/>
      <c r="D955" s="24"/>
      <c r="E955" s="30" t="str">
        <f aca="false">IF($D955="","",IFERROR(INDEX(合同单位,MATCH($D955,合同键,0)),IFERROR(TRIM(LEFT($D955,FIND("｜",$D955)-1)),$D955)))</f>
        <v/>
      </c>
      <c r="F955" s="30" t="str">
        <f aca="false">IF($D955="","",IFERROR(INDEX(合同项目,MATCH($D955,合同键,0)),IFERROR(TRIM(MID($D955,FIND("｜",$D955)+1,99)),"")))</f>
        <v/>
      </c>
      <c r="G955" s="39"/>
      <c r="H955" s="25"/>
      <c r="I955" s="35" t="str">
        <f aca="false">IF($H955="","",IFERROR(INDEX(票据归类表,MATCH($H955,票据类型表,0)),"现金无票"))</f>
        <v/>
      </c>
      <c r="J955" s="25"/>
      <c r="K955" s="25"/>
      <c r="L955" s="31"/>
      <c r="M955" s="29" t="str">
        <f aca="false">IF($C955="","",YEAR($C955))</f>
        <v/>
      </c>
      <c r="N955" s="24"/>
      <c r="O955" s="35" t="str">
        <f aca="false">IF($C955="","",IF($D955="","★没选客户项目",IF(COUNTIF(合同键,$D955)=0,"★《维保合同》里没这个项目",IF(N($G955)&lt;=0,"★收款金额要填",IF($H955="","★票据类型要选",IF(AND($L955&lt;&gt;"",COUNTIF(应收单号,$L955)=0),"★关联的应收单号不存在",IF(AND($L955&lt;&gt;"",IFERROR(INDEX(应收键,MATCH($L955,应收单号,0)),"")&lt;&gt;$D955),"★关联单号不是这个客户的",IF(AND($L955&lt;&gt;"",ROUND(SUMIF(收款关联,$L955,收款金额)-IFERROR(INDEX(应收金额,MATCH($L955,应收单号,0)),0),2)&gt;0.001),"★指定冲销超过那张单的应收","OK"))))))))</f>
        <v/>
      </c>
    </row>
    <row r="956" customFormat="false" ht="15" hidden="false" customHeight="false" outlineLevel="0" collapsed="false">
      <c r="A956" s="29" t="str">
        <f aca="false">IF($C956="","",ROW()-4)</f>
        <v/>
      </c>
      <c r="B956" s="35" t="str">
        <f aca="false">IF($C956="","","SK"&amp;TEXT($C956,"yyyymm")&amp;"-"&amp;TEXT(ROW()-4,"0000"))</f>
        <v/>
      </c>
      <c r="C956" s="33"/>
      <c r="D956" s="24"/>
      <c r="E956" s="30" t="str">
        <f aca="false">IF($D956="","",IFERROR(INDEX(合同单位,MATCH($D956,合同键,0)),IFERROR(TRIM(LEFT($D956,FIND("｜",$D956)-1)),$D956)))</f>
        <v/>
      </c>
      <c r="F956" s="30" t="str">
        <f aca="false">IF($D956="","",IFERROR(INDEX(合同项目,MATCH($D956,合同键,0)),IFERROR(TRIM(MID($D956,FIND("｜",$D956)+1,99)),"")))</f>
        <v/>
      </c>
      <c r="G956" s="39"/>
      <c r="H956" s="25"/>
      <c r="I956" s="35" t="str">
        <f aca="false">IF($H956="","",IFERROR(INDEX(票据归类表,MATCH($H956,票据类型表,0)),"现金无票"))</f>
        <v/>
      </c>
      <c r="J956" s="25"/>
      <c r="K956" s="25"/>
      <c r="L956" s="31"/>
      <c r="M956" s="29" t="str">
        <f aca="false">IF($C956="","",YEAR($C956))</f>
        <v/>
      </c>
      <c r="N956" s="24"/>
      <c r="O956" s="35" t="str">
        <f aca="false">IF($C956="","",IF($D956="","★没选客户项目",IF(COUNTIF(合同键,$D956)=0,"★《维保合同》里没这个项目",IF(N($G956)&lt;=0,"★收款金额要填",IF($H956="","★票据类型要选",IF(AND($L956&lt;&gt;"",COUNTIF(应收单号,$L956)=0),"★关联的应收单号不存在",IF(AND($L956&lt;&gt;"",IFERROR(INDEX(应收键,MATCH($L956,应收单号,0)),"")&lt;&gt;$D956),"★关联单号不是这个客户的",IF(AND($L956&lt;&gt;"",ROUND(SUMIF(收款关联,$L956,收款金额)-IFERROR(INDEX(应收金额,MATCH($L956,应收单号,0)),0),2)&gt;0.001),"★指定冲销超过那张单的应收","OK"))))))))</f>
        <v/>
      </c>
    </row>
    <row r="957" customFormat="false" ht="15" hidden="false" customHeight="false" outlineLevel="0" collapsed="false">
      <c r="A957" s="29" t="str">
        <f aca="false">IF($C957="","",ROW()-4)</f>
        <v/>
      </c>
      <c r="B957" s="35" t="str">
        <f aca="false">IF($C957="","","SK"&amp;TEXT($C957,"yyyymm")&amp;"-"&amp;TEXT(ROW()-4,"0000"))</f>
        <v/>
      </c>
      <c r="C957" s="33"/>
      <c r="D957" s="24"/>
      <c r="E957" s="30" t="str">
        <f aca="false">IF($D957="","",IFERROR(INDEX(合同单位,MATCH($D957,合同键,0)),IFERROR(TRIM(LEFT($D957,FIND("｜",$D957)-1)),$D957)))</f>
        <v/>
      </c>
      <c r="F957" s="30" t="str">
        <f aca="false">IF($D957="","",IFERROR(INDEX(合同项目,MATCH($D957,合同键,0)),IFERROR(TRIM(MID($D957,FIND("｜",$D957)+1,99)),"")))</f>
        <v/>
      </c>
      <c r="G957" s="39"/>
      <c r="H957" s="25"/>
      <c r="I957" s="35" t="str">
        <f aca="false">IF($H957="","",IFERROR(INDEX(票据归类表,MATCH($H957,票据类型表,0)),"现金无票"))</f>
        <v/>
      </c>
      <c r="J957" s="25"/>
      <c r="K957" s="25"/>
      <c r="L957" s="31"/>
      <c r="M957" s="29" t="str">
        <f aca="false">IF($C957="","",YEAR($C957))</f>
        <v/>
      </c>
      <c r="N957" s="24"/>
      <c r="O957" s="35" t="str">
        <f aca="false">IF($C957="","",IF($D957="","★没选客户项目",IF(COUNTIF(合同键,$D957)=0,"★《维保合同》里没这个项目",IF(N($G957)&lt;=0,"★收款金额要填",IF($H957="","★票据类型要选",IF(AND($L957&lt;&gt;"",COUNTIF(应收单号,$L957)=0),"★关联的应收单号不存在",IF(AND($L957&lt;&gt;"",IFERROR(INDEX(应收键,MATCH($L957,应收单号,0)),"")&lt;&gt;$D957),"★关联单号不是这个客户的",IF(AND($L957&lt;&gt;"",ROUND(SUMIF(收款关联,$L957,收款金额)-IFERROR(INDEX(应收金额,MATCH($L957,应收单号,0)),0),2)&gt;0.001),"★指定冲销超过那张单的应收","OK"))))))))</f>
        <v/>
      </c>
    </row>
    <row r="958" customFormat="false" ht="15" hidden="false" customHeight="false" outlineLevel="0" collapsed="false">
      <c r="A958" s="29" t="str">
        <f aca="false">IF($C958="","",ROW()-4)</f>
        <v/>
      </c>
      <c r="B958" s="35" t="str">
        <f aca="false">IF($C958="","","SK"&amp;TEXT($C958,"yyyymm")&amp;"-"&amp;TEXT(ROW()-4,"0000"))</f>
        <v/>
      </c>
      <c r="C958" s="33"/>
      <c r="D958" s="24"/>
      <c r="E958" s="30" t="str">
        <f aca="false">IF($D958="","",IFERROR(INDEX(合同单位,MATCH($D958,合同键,0)),IFERROR(TRIM(LEFT($D958,FIND("｜",$D958)-1)),$D958)))</f>
        <v/>
      </c>
      <c r="F958" s="30" t="str">
        <f aca="false">IF($D958="","",IFERROR(INDEX(合同项目,MATCH($D958,合同键,0)),IFERROR(TRIM(MID($D958,FIND("｜",$D958)+1,99)),"")))</f>
        <v/>
      </c>
      <c r="G958" s="39"/>
      <c r="H958" s="25"/>
      <c r="I958" s="35" t="str">
        <f aca="false">IF($H958="","",IFERROR(INDEX(票据归类表,MATCH($H958,票据类型表,0)),"现金无票"))</f>
        <v/>
      </c>
      <c r="J958" s="25"/>
      <c r="K958" s="25"/>
      <c r="L958" s="31"/>
      <c r="M958" s="29" t="str">
        <f aca="false">IF($C958="","",YEAR($C958))</f>
        <v/>
      </c>
      <c r="N958" s="24"/>
      <c r="O958" s="35" t="str">
        <f aca="false">IF($C958="","",IF($D958="","★没选客户项目",IF(COUNTIF(合同键,$D958)=0,"★《维保合同》里没这个项目",IF(N($G958)&lt;=0,"★收款金额要填",IF($H958="","★票据类型要选",IF(AND($L958&lt;&gt;"",COUNTIF(应收单号,$L958)=0),"★关联的应收单号不存在",IF(AND($L958&lt;&gt;"",IFERROR(INDEX(应收键,MATCH($L958,应收单号,0)),"")&lt;&gt;$D958),"★关联单号不是这个客户的",IF(AND($L958&lt;&gt;"",ROUND(SUMIF(收款关联,$L958,收款金额)-IFERROR(INDEX(应收金额,MATCH($L958,应收单号,0)),0),2)&gt;0.001),"★指定冲销超过那张单的应收","OK"))))))))</f>
        <v/>
      </c>
    </row>
    <row r="959" customFormat="false" ht="15" hidden="false" customHeight="false" outlineLevel="0" collapsed="false">
      <c r="A959" s="29" t="str">
        <f aca="false">IF($C959="","",ROW()-4)</f>
        <v/>
      </c>
      <c r="B959" s="35" t="str">
        <f aca="false">IF($C959="","","SK"&amp;TEXT($C959,"yyyymm")&amp;"-"&amp;TEXT(ROW()-4,"0000"))</f>
        <v/>
      </c>
      <c r="C959" s="33"/>
      <c r="D959" s="24"/>
      <c r="E959" s="30" t="str">
        <f aca="false">IF($D959="","",IFERROR(INDEX(合同单位,MATCH($D959,合同键,0)),IFERROR(TRIM(LEFT($D959,FIND("｜",$D959)-1)),$D959)))</f>
        <v/>
      </c>
      <c r="F959" s="30" t="str">
        <f aca="false">IF($D959="","",IFERROR(INDEX(合同项目,MATCH($D959,合同键,0)),IFERROR(TRIM(MID($D959,FIND("｜",$D959)+1,99)),"")))</f>
        <v/>
      </c>
      <c r="G959" s="39"/>
      <c r="H959" s="25"/>
      <c r="I959" s="35" t="str">
        <f aca="false">IF($H959="","",IFERROR(INDEX(票据归类表,MATCH($H959,票据类型表,0)),"现金无票"))</f>
        <v/>
      </c>
      <c r="J959" s="25"/>
      <c r="K959" s="25"/>
      <c r="L959" s="31"/>
      <c r="M959" s="29" t="str">
        <f aca="false">IF($C959="","",YEAR($C959))</f>
        <v/>
      </c>
      <c r="N959" s="24"/>
      <c r="O959" s="35" t="str">
        <f aca="false">IF($C959="","",IF($D959="","★没选客户项目",IF(COUNTIF(合同键,$D959)=0,"★《维保合同》里没这个项目",IF(N($G959)&lt;=0,"★收款金额要填",IF($H959="","★票据类型要选",IF(AND($L959&lt;&gt;"",COUNTIF(应收单号,$L959)=0),"★关联的应收单号不存在",IF(AND($L959&lt;&gt;"",IFERROR(INDEX(应收键,MATCH($L959,应收单号,0)),"")&lt;&gt;$D959),"★关联单号不是这个客户的",IF(AND($L959&lt;&gt;"",ROUND(SUMIF(收款关联,$L959,收款金额)-IFERROR(INDEX(应收金额,MATCH($L959,应收单号,0)),0),2)&gt;0.001),"★指定冲销超过那张单的应收","OK"))))))))</f>
        <v/>
      </c>
    </row>
    <row r="960" customFormat="false" ht="15" hidden="false" customHeight="false" outlineLevel="0" collapsed="false">
      <c r="A960" s="29" t="str">
        <f aca="false">IF($C960="","",ROW()-4)</f>
        <v/>
      </c>
      <c r="B960" s="35" t="str">
        <f aca="false">IF($C960="","","SK"&amp;TEXT($C960,"yyyymm")&amp;"-"&amp;TEXT(ROW()-4,"0000"))</f>
        <v/>
      </c>
      <c r="C960" s="33"/>
      <c r="D960" s="24"/>
      <c r="E960" s="30" t="str">
        <f aca="false">IF($D960="","",IFERROR(INDEX(合同单位,MATCH($D960,合同键,0)),IFERROR(TRIM(LEFT($D960,FIND("｜",$D960)-1)),$D960)))</f>
        <v/>
      </c>
      <c r="F960" s="30" t="str">
        <f aca="false">IF($D960="","",IFERROR(INDEX(合同项目,MATCH($D960,合同键,0)),IFERROR(TRIM(MID($D960,FIND("｜",$D960)+1,99)),"")))</f>
        <v/>
      </c>
      <c r="G960" s="39"/>
      <c r="H960" s="25"/>
      <c r="I960" s="35" t="str">
        <f aca="false">IF($H960="","",IFERROR(INDEX(票据归类表,MATCH($H960,票据类型表,0)),"现金无票"))</f>
        <v/>
      </c>
      <c r="J960" s="25"/>
      <c r="K960" s="25"/>
      <c r="L960" s="31"/>
      <c r="M960" s="29" t="str">
        <f aca="false">IF($C960="","",YEAR($C960))</f>
        <v/>
      </c>
      <c r="N960" s="24"/>
      <c r="O960" s="35" t="str">
        <f aca="false">IF($C960="","",IF($D960="","★没选客户项目",IF(COUNTIF(合同键,$D960)=0,"★《维保合同》里没这个项目",IF(N($G960)&lt;=0,"★收款金额要填",IF($H960="","★票据类型要选",IF(AND($L960&lt;&gt;"",COUNTIF(应收单号,$L960)=0),"★关联的应收单号不存在",IF(AND($L960&lt;&gt;"",IFERROR(INDEX(应收键,MATCH($L960,应收单号,0)),"")&lt;&gt;$D960),"★关联单号不是这个客户的",IF(AND($L960&lt;&gt;"",ROUND(SUMIF(收款关联,$L960,收款金额)-IFERROR(INDEX(应收金额,MATCH($L960,应收单号,0)),0),2)&gt;0.001),"★指定冲销超过那张单的应收","OK"))))))))</f>
        <v/>
      </c>
    </row>
    <row r="961" customFormat="false" ht="15" hidden="false" customHeight="false" outlineLevel="0" collapsed="false">
      <c r="A961" s="29" t="str">
        <f aca="false">IF($C961="","",ROW()-4)</f>
        <v/>
      </c>
      <c r="B961" s="35" t="str">
        <f aca="false">IF($C961="","","SK"&amp;TEXT($C961,"yyyymm")&amp;"-"&amp;TEXT(ROW()-4,"0000"))</f>
        <v/>
      </c>
      <c r="C961" s="33"/>
      <c r="D961" s="24"/>
      <c r="E961" s="30" t="str">
        <f aca="false">IF($D961="","",IFERROR(INDEX(合同单位,MATCH($D961,合同键,0)),IFERROR(TRIM(LEFT($D961,FIND("｜",$D961)-1)),$D961)))</f>
        <v/>
      </c>
      <c r="F961" s="30" t="str">
        <f aca="false">IF($D961="","",IFERROR(INDEX(合同项目,MATCH($D961,合同键,0)),IFERROR(TRIM(MID($D961,FIND("｜",$D961)+1,99)),"")))</f>
        <v/>
      </c>
      <c r="G961" s="39"/>
      <c r="H961" s="25"/>
      <c r="I961" s="35" t="str">
        <f aca="false">IF($H961="","",IFERROR(INDEX(票据归类表,MATCH($H961,票据类型表,0)),"现金无票"))</f>
        <v/>
      </c>
      <c r="J961" s="25"/>
      <c r="K961" s="25"/>
      <c r="L961" s="31"/>
      <c r="M961" s="29" t="str">
        <f aca="false">IF($C961="","",YEAR($C961))</f>
        <v/>
      </c>
      <c r="N961" s="24"/>
      <c r="O961" s="35" t="str">
        <f aca="false">IF($C961="","",IF($D961="","★没选客户项目",IF(COUNTIF(合同键,$D961)=0,"★《维保合同》里没这个项目",IF(N($G961)&lt;=0,"★收款金额要填",IF($H961="","★票据类型要选",IF(AND($L961&lt;&gt;"",COUNTIF(应收单号,$L961)=0),"★关联的应收单号不存在",IF(AND($L961&lt;&gt;"",IFERROR(INDEX(应收键,MATCH($L961,应收单号,0)),"")&lt;&gt;$D961),"★关联单号不是这个客户的",IF(AND($L961&lt;&gt;"",ROUND(SUMIF(收款关联,$L961,收款金额)-IFERROR(INDEX(应收金额,MATCH($L961,应收单号,0)),0),2)&gt;0.001),"★指定冲销超过那张单的应收","OK"))))))))</f>
        <v/>
      </c>
    </row>
    <row r="962" customFormat="false" ht="15" hidden="false" customHeight="false" outlineLevel="0" collapsed="false">
      <c r="A962" s="29" t="str">
        <f aca="false">IF($C962="","",ROW()-4)</f>
        <v/>
      </c>
      <c r="B962" s="35" t="str">
        <f aca="false">IF($C962="","","SK"&amp;TEXT($C962,"yyyymm")&amp;"-"&amp;TEXT(ROW()-4,"0000"))</f>
        <v/>
      </c>
      <c r="C962" s="33"/>
      <c r="D962" s="24"/>
      <c r="E962" s="30" t="str">
        <f aca="false">IF($D962="","",IFERROR(INDEX(合同单位,MATCH($D962,合同键,0)),IFERROR(TRIM(LEFT($D962,FIND("｜",$D962)-1)),$D962)))</f>
        <v/>
      </c>
      <c r="F962" s="30" t="str">
        <f aca="false">IF($D962="","",IFERROR(INDEX(合同项目,MATCH($D962,合同键,0)),IFERROR(TRIM(MID($D962,FIND("｜",$D962)+1,99)),"")))</f>
        <v/>
      </c>
      <c r="G962" s="39"/>
      <c r="H962" s="25"/>
      <c r="I962" s="35" t="str">
        <f aca="false">IF($H962="","",IFERROR(INDEX(票据归类表,MATCH($H962,票据类型表,0)),"现金无票"))</f>
        <v/>
      </c>
      <c r="J962" s="25"/>
      <c r="K962" s="25"/>
      <c r="L962" s="31"/>
      <c r="M962" s="29" t="str">
        <f aca="false">IF($C962="","",YEAR($C962))</f>
        <v/>
      </c>
      <c r="N962" s="24"/>
      <c r="O962" s="35" t="str">
        <f aca="false">IF($C962="","",IF($D962="","★没选客户项目",IF(COUNTIF(合同键,$D962)=0,"★《维保合同》里没这个项目",IF(N($G962)&lt;=0,"★收款金额要填",IF($H962="","★票据类型要选",IF(AND($L962&lt;&gt;"",COUNTIF(应收单号,$L962)=0),"★关联的应收单号不存在",IF(AND($L962&lt;&gt;"",IFERROR(INDEX(应收键,MATCH($L962,应收单号,0)),"")&lt;&gt;$D962),"★关联单号不是这个客户的",IF(AND($L962&lt;&gt;"",ROUND(SUMIF(收款关联,$L962,收款金额)-IFERROR(INDEX(应收金额,MATCH($L962,应收单号,0)),0),2)&gt;0.001),"★指定冲销超过那张单的应收","OK"))))))))</f>
        <v/>
      </c>
    </row>
    <row r="963" customFormat="false" ht="15" hidden="false" customHeight="false" outlineLevel="0" collapsed="false">
      <c r="A963" s="29" t="str">
        <f aca="false">IF($C963="","",ROW()-4)</f>
        <v/>
      </c>
      <c r="B963" s="35" t="str">
        <f aca="false">IF($C963="","","SK"&amp;TEXT($C963,"yyyymm")&amp;"-"&amp;TEXT(ROW()-4,"0000"))</f>
        <v/>
      </c>
      <c r="C963" s="33"/>
      <c r="D963" s="24"/>
      <c r="E963" s="30" t="str">
        <f aca="false">IF($D963="","",IFERROR(INDEX(合同单位,MATCH($D963,合同键,0)),IFERROR(TRIM(LEFT($D963,FIND("｜",$D963)-1)),$D963)))</f>
        <v/>
      </c>
      <c r="F963" s="30" t="str">
        <f aca="false">IF($D963="","",IFERROR(INDEX(合同项目,MATCH($D963,合同键,0)),IFERROR(TRIM(MID($D963,FIND("｜",$D963)+1,99)),"")))</f>
        <v/>
      </c>
      <c r="G963" s="39"/>
      <c r="H963" s="25"/>
      <c r="I963" s="35" t="str">
        <f aca="false">IF($H963="","",IFERROR(INDEX(票据归类表,MATCH($H963,票据类型表,0)),"现金无票"))</f>
        <v/>
      </c>
      <c r="J963" s="25"/>
      <c r="K963" s="25"/>
      <c r="L963" s="31"/>
      <c r="M963" s="29" t="str">
        <f aca="false">IF($C963="","",YEAR($C963))</f>
        <v/>
      </c>
      <c r="N963" s="24"/>
      <c r="O963" s="35" t="str">
        <f aca="false">IF($C963="","",IF($D963="","★没选客户项目",IF(COUNTIF(合同键,$D963)=0,"★《维保合同》里没这个项目",IF(N($G963)&lt;=0,"★收款金额要填",IF($H963="","★票据类型要选",IF(AND($L963&lt;&gt;"",COUNTIF(应收单号,$L963)=0),"★关联的应收单号不存在",IF(AND($L963&lt;&gt;"",IFERROR(INDEX(应收键,MATCH($L963,应收单号,0)),"")&lt;&gt;$D963),"★关联单号不是这个客户的",IF(AND($L963&lt;&gt;"",ROUND(SUMIF(收款关联,$L963,收款金额)-IFERROR(INDEX(应收金额,MATCH($L963,应收单号,0)),0),2)&gt;0.001),"★指定冲销超过那张单的应收","OK"))))))))</f>
        <v/>
      </c>
    </row>
    <row r="964" customFormat="false" ht="15" hidden="false" customHeight="false" outlineLevel="0" collapsed="false">
      <c r="A964" s="29" t="str">
        <f aca="false">IF($C964="","",ROW()-4)</f>
        <v/>
      </c>
      <c r="B964" s="35" t="str">
        <f aca="false">IF($C964="","","SK"&amp;TEXT($C964,"yyyymm")&amp;"-"&amp;TEXT(ROW()-4,"0000"))</f>
        <v/>
      </c>
      <c r="C964" s="33"/>
      <c r="D964" s="24"/>
      <c r="E964" s="30" t="str">
        <f aca="false">IF($D964="","",IFERROR(INDEX(合同单位,MATCH($D964,合同键,0)),IFERROR(TRIM(LEFT($D964,FIND("｜",$D964)-1)),$D964)))</f>
        <v/>
      </c>
      <c r="F964" s="30" t="str">
        <f aca="false">IF($D964="","",IFERROR(INDEX(合同项目,MATCH($D964,合同键,0)),IFERROR(TRIM(MID($D964,FIND("｜",$D964)+1,99)),"")))</f>
        <v/>
      </c>
      <c r="G964" s="39"/>
      <c r="H964" s="25"/>
      <c r="I964" s="35" t="str">
        <f aca="false">IF($H964="","",IFERROR(INDEX(票据归类表,MATCH($H964,票据类型表,0)),"现金无票"))</f>
        <v/>
      </c>
      <c r="J964" s="25"/>
      <c r="K964" s="25"/>
      <c r="L964" s="31"/>
      <c r="M964" s="29" t="str">
        <f aca="false">IF($C964="","",YEAR($C964))</f>
        <v/>
      </c>
      <c r="N964" s="24"/>
      <c r="O964" s="35" t="str">
        <f aca="false">IF($C964="","",IF($D964="","★没选客户项目",IF(COUNTIF(合同键,$D964)=0,"★《维保合同》里没这个项目",IF(N($G964)&lt;=0,"★收款金额要填",IF($H964="","★票据类型要选",IF(AND($L964&lt;&gt;"",COUNTIF(应收单号,$L964)=0),"★关联的应收单号不存在",IF(AND($L964&lt;&gt;"",IFERROR(INDEX(应收键,MATCH($L964,应收单号,0)),"")&lt;&gt;$D964),"★关联单号不是这个客户的",IF(AND($L964&lt;&gt;"",ROUND(SUMIF(收款关联,$L964,收款金额)-IFERROR(INDEX(应收金额,MATCH($L964,应收单号,0)),0),2)&gt;0.001),"★指定冲销超过那张单的应收","OK"))))))))</f>
        <v/>
      </c>
    </row>
    <row r="965" customFormat="false" ht="15" hidden="false" customHeight="false" outlineLevel="0" collapsed="false">
      <c r="A965" s="29" t="str">
        <f aca="false">IF($C965="","",ROW()-4)</f>
        <v/>
      </c>
      <c r="B965" s="35" t="str">
        <f aca="false">IF($C965="","","SK"&amp;TEXT($C965,"yyyymm")&amp;"-"&amp;TEXT(ROW()-4,"0000"))</f>
        <v/>
      </c>
      <c r="C965" s="33"/>
      <c r="D965" s="24"/>
      <c r="E965" s="30" t="str">
        <f aca="false">IF($D965="","",IFERROR(INDEX(合同单位,MATCH($D965,合同键,0)),IFERROR(TRIM(LEFT($D965,FIND("｜",$D965)-1)),$D965)))</f>
        <v/>
      </c>
      <c r="F965" s="30" t="str">
        <f aca="false">IF($D965="","",IFERROR(INDEX(合同项目,MATCH($D965,合同键,0)),IFERROR(TRIM(MID($D965,FIND("｜",$D965)+1,99)),"")))</f>
        <v/>
      </c>
      <c r="G965" s="39"/>
      <c r="H965" s="25"/>
      <c r="I965" s="35" t="str">
        <f aca="false">IF($H965="","",IFERROR(INDEX(票据归类表,MATCH($H965,票据类型表,0)),"现金无票"))</f>
        <v/>
      </c>
      <c r="J965" s="25"/>
      <c r="K965" s="25"/>
      <c r="L965" s="31"/>
      <c r="M965" s="29" t="str">
        <f aca="false">IF($C965="","",YEAR($C965))</f>
        <v/>
      </c>
      <c r="N965" s="24"/>
      <c r="O965" s="35" t="str">
        <f aca="false">IF($C965="","",IF($D965="","★没选客户项目",IF(COUNTIF(合同键,$D965)=0,"★《维保合同》里没这个项目",IF(N($G965)&lt;=0,"★收款金额要填",IF($H965="","★票据类型要选",IF(AND($L965&lt;&gt;"",COUNTIF(应收单号,$L965)=0),"★关联的应收单号不存在",IF(AND($L965&lt;&gt;"",IFERROR(INDEX(应收键,MATCH($L965,应收单号,0)),"")&lt;&gt;$D965),"★关联单号不是这个客户的",IF(AND($L965&lt;&gt;"",ROUND(SUMIF(收款关联,$L965,收款金额)-IFERROR(INDEX(应收金额,MATCH($L965,应收单号,0)),0),2)&gt;0.001),"★指定冲销超过那张单的应收","OK"))))))))</f>
        <v/>
      </c>
    </row>
    <row r="966" customFormat="false" ht="15" hidden="false" customHeight="false" outlineLevel="0" collapsed="false">
      <c r="A966" s="29" t="str">
        <f aca="false">IF($C966="","",ROW()-4)</f>
        <v/>
      </c>
      <c r="B966" s="35" t="str">
        <f aca="false">IF($C966="","","SK"&amp;TEXT($C966,"yyyymm")&amp;"-"&amp;TEXT(ROW()-4,"0000"))</f>
        <v/>
      </c>
      <c r="C966" s="33"/>
      <c r="D966" s="24"/>
      <c r="E966" s="30" t="str">
        <f aca="false">IF($D966="","",IFERROR(INDEX(合同单位,MATCH($D966,合同键,0)),IFERROR(TRIM(LEFT($D966,FIND("｜",$D966)-1)),$D966)))</f>
        <v/>
      </c>
      <c r="F966" s="30" t="str">
        <f aca="false">IF($D966="","",IFERROR(INDEX(合同项目,MATCH($D966,合同键,0)),IFERROR(TRIM(MID($D966,FIND("｜",$D966)+1,99)),"")))</f>
        <v/>
      </c>
      <c r="G966" s="39"/>
      <c r="H966" s="25"/>
      <c r="I966" s="35" t="str">
        <f aca="false">IF($H966="","",IFERROR(INDEX(票据归类表,MATCH($H966,票据类型表,0)),"现金无票"))</f>
        <v/>
      </c>
      <c r="J966" s="25"/>
      <c r="K966" s="25"/>
      <c r="L966" s="31"/>
      <c r="M966" s="29" t="str">
        <f aca="false">IF($C966="","",YEAR($C966))</f>
        <v/>
      </c>
      <c r="N966" s="24"/>
      <c r="O966" s="35" t="str">
        <f aca="false">IF($C966="","",IF($D966="","★没选客户项目",IF(COUNTIF(合同键,$D966)=0,"★《维保合同》里没这个项目",IF(N($G966)&lt;=0,"★收款金额要填",IF($H966="","★票据类型要选",IF(AND($L966&lt;&gt;"",COUNTIF(应收单号,$L966)=0),"★关联的应收单号不存在",IF(AND($L966&lt;&gt;"",IFERROR(INDEX(应收键,MATCH($L966,应收单号,0)),"")&lt;&gt;$D966),"★关联单号不是这个客户的",IF(AND($L966&lt;&gt;"",ROUND(SUMIF(收款关联,$L966,收款金额)-IFERROR(INDEX(应收金额,MATCH($L966,应收单号,0)),0),2)&gt;0.001),"★指定冲销超过那张单的应收","OK"))))))))</f>
        <v/>
      </c>
    </row>
    <row r="967" customFormat="false" ht="15" hidden="false" customHeight="false" outlineLevel="0" collapsed="false">
      <c r="A967" s="29" t="str">
        <f aca="false">IF($C967="","",ROW()-4)</f>
        <v/>
      </c>
      <c r="B967" s="35" t="str">
        <f aca="false">IF($C967="","","SK"&amp;TEXT($C967,"yyyymm")&amp;"-"&amp;TEXT(ROW()-4,"0000"))</f>
        <v/>
      </c>
      <c r="C967" s="33"/>
      <c r="D967" s="24"/>
      <c r="E967" s="30" t="str">
        <f aca="false">IF($D967="","",IFERROR(INDEX(合同单位,MATCH($D967,合同键,0)),IFERROR(TRIM(LEFT($D967,FIND("｜",$D967)-1)),$D967)))</f>
        <v/>
      </c>
      <c r="F967" s="30" t="str">
        <f aca="false">IF($D967="","",IFERROR(INDEX(合同项目,MATCH($D967,合同键,0)),IFERROR(TRIM(MID($D967,FIND("｜",$D967)+1,99)),"")))</f>
        <v/>
      </c>
      <c r="G967" s="39"/>
      <c r="H967" s="25"/>
      <c r="I967" s="35" t="str">
        <f aca="false">IF($H967="","",IFERROR(INDEX(票据归类表,MATCH($H967,票据类型表,0)),"现金无票"))</f>
        <v/>
      </c>
      <c r="J967" s="25"/>
      <c r="K967" s="25"/>
      <c r="L967" s="31"/>
      <c r="M967" s="29" t="str">
        <f aca="false">IF($C967="","",YEAR($C967))</f>
        <v/>
      </c>
      <c r="N967" s="24"/>
      <c r="O967" s="35" t="str">
        <f aca="false">IF($C967="","",IF($D967="","★没选客户项目",IF(COUNTIF(合同键,$D967)=0,"★《维保合同》里没这个项目",IF(N($G967)&lt;=0,"★收款金额要填",IF($H967="","★票据类型要选",IF(AND($L967&lt;&gt;"",COUNTIF(应收单号,$L967)=0),"★关联的应收单号不存在",IF(AND($L967&lt;&gt;"",IFERROR(INDEX(应收键,MATCH($L967,应收单号,0)),"")&lt;&gt;$D967),"★关联单号不是这个客户的",IF(AND($L967&lt;&gt;"",ROUND(SUMIF(收款关联,$L967,收款金额)-IFERROR(INDEX(应收金额,MATCH($L967,应收单号,0)),0),2)&gt;0.001),"★指定冲销超过那张单的应收","OK"))))))))</f>
        <v/>
      </c>
    </row>
    <row r="968" customFormat="false" ht="15" hidden="false" customHeight="false" outlineLevel="0" collapsed="false">
      <c r="A968" s="29" t="str">
        <f aca="false">IF($C968="","",ROW()-4)</f>
        <v/>
      </c>
      <c r="B968" s="35" t="str">
        <f aca="false">IF($C968="","","SK"&amp;TEXT($C968,"yyyymm")&amp;"-"&amp;TEXT(ROW()-4,"0000"))</f>
        <v/>
      </c>
      <c r="C968" s="33"/>
      <c r="D968" s="24"/>
      <c r="E968" s="30" t="str">
        <f aca="false">IF($D968="","",IFERROR(INDEX(合同单位,MATCH($D968,合同键,0)),IFERROR(TRIM(LEFT($D968,FIND("｜",$D968)-1)),$D968)))</f>
        <v/>
      </c>
      <c r="F968" s="30" t="str">
        <f aca="false">IF($D968="","",IFERROR(INDEX(合同项目,MATCH($D968,合同键,0)),IFERROR(TRIM(MID($D968,FIND("｜",$D968)+1,99)),"")))</f>
        <v/>
      </c>
      <c r="G968" s="39"/>
      <c r="H968" s="25"/>
      <c r="I968" s="35" t="str">
        <f aca="false">IF($H968="","",IFERROR(INDEX(票据归类表,MATCH($H968,票据类型表,0)),"现金无票"))</f>
        <v/>
      </c>
      <c r="J968" s="25"/>
      <c r="K968" s="25"/>
      <c r="L968" s="31"/>
      <c r="M968" s="29" t="str">
        <f aca="false">IF($C968="","",YEAR($C968))</f>
        <v/>
      </c>
      <c r="N968" s="24"/>
      <c r="O968" s="35" t="str">
        <f aca="false">IF($C968="","",IF($D968="","★没选客户项目",IF(COUNTIF(合同键,$D968)=0,"★《维保合同》里没这个项目",IF(N($G968)&lt;=0,"★收款金额要填",IF($H968="","★票据类型要选",IF(AND($L968&lt;&gt;"",COUNTIF(应收单号,$L968)=0),"★关联的应收单号不存在",IF(AND($L968&lt;&gt;"",IFERROR(INDEX(应收键,MATCH($L968,应收单号,0)),"")&lt;&gt;$D968),"★关联单号不是这个客户的",IF(AND($L968&lt;&gt;"",ROUND(SUMIF(收款关联,$L968,收款金额)-IFERROR(INDEX(应收金额,MATCH($L968,应收单号,0)),0),2)&gt;0.001),"★指定冲销超过那张单的应收","OK"))))))))</f>
        <v/>
      </c>
    </row>
    <row r="969" customFormat="false" ht="15" hidden="false" customHeight="false" outlineLevel="0" collapsed="false">
      <c r="A969" s="29" t="str">
        <f aca="false">IF($C969="","",ROW()-4)</f>
        <v/>
      </c>
      <c r="B969" s="35" t="str">
        <f aca="false">IF($C969="","","SK"&amp;TEXT($C969,"yyyymm")&amp;"-"&amp;TEXT(ROW()-4,"0000"))</f>
        <v/>
      </c>
      <c r="C969" s="33"/>
      <c r="D969" s="24"/>
      <c r="E969" s="30" t="str">
        <f aca="false">IF($D969="","",IFERROR(INDEX(合同单位,MATCH($D969,合同键,0)),IFERROR(TRIM(LEFT($D969,FIND("｜",$D969)-1)),$D969)))</f>
        <v/>
      </c>
      <c r="F969" s="30" t="str">
        <f aca="false">IF($D969="","",IFERROR(INDEX(合同项目,MATCH($D969,合同键,0)),IFERROR(TRIM(MID($D969,FIND("｜",$D969)+1,99)),"")))</f>
        <v/>
      </c>
      <c r="G969" s="39"/>
      <c r="H969" s="25"/>
      <c r="I969" s="35" t="str">
        <f aca="false">IF($H969="","",IFERROR(INDEX(票据归类表,MATCH($H969,票据类型表,0)),"现金无票"))</f>
        <v/>
      </c>
      <c r="J969" s="25"/>
      <c r="K969" s="25"/>
      <c r="L969" s="31"/>
      <c r="M969" s="29" t="str">
        <f aca="false">IF($C969="","",YEAR($C969))</f>
        <v/>
      </c>
      <c r="N969" s="24"/>
      <c r="O969" s="35" t="str">
        <f aca="false">IF($C969="","",IF($D969="","★没选客户项目",IF(COUNTIF(合同键,$D969)=0,"★《维保合同》里没这个项目",IF(N($G969)&lt;=0,"★收款金额要填",IF($H969="","★票据类型要选",IF(AND($L969&lt;&gt;"",COUNTIF(应收单号,$L969)=0),"★关联的应收单号不存在",IF(AND($L969&lt;&gt;"",IFERROR(INDEX(应收键,MATCH($L969,应收单号,0)),"")&lt;&gt;$D969),"★关联单号不是这个客户的",IF(AND($L969&lt;&gt;"",ROUND(SUMIF(收款关联,$L969,收款金额)-IFERROR(INDEX(应收金额,MATCH($L969,应收单号,0)),0),2)&gt;0.001),"★指定冲销超过那张单的应收","OK"))))))))</f>
        <v/>
      </c>
    </row>
    <row r="970" customFormat="false" ht="15" hidden="false" customHeight="false" outlineLevel="0" collapsed="false">
      <c r="A970" s="29" t="str">
        <f aca="false">IF($C970="","",ROW()-4)</f>
        <v/>
      </c>
      <c r="B970" s="35" t="str">
        <f aca="false">IF($C970="","","SK"&amp;TEXT($C970,"yyyymm")&amp;"-"&amp;TEXT(ROW()-4,"0000"))</f>
        <v/>
      </c>
      <c r="C970" s="33"/>
      <c r="D970" s="24"/>
      <c r="E970" s="30" t="str">
        <f aca="false">IF($D970="","",IFERROR(INDEX(合同单位,MATCH($D970,合同键,0)),IFERROR(TRIM(LEFT($D970,FIND("｜",$D970)-1)),$D970)))</f>
        <v/>
      </c>
      <c r="F970" s="30" t="str">
        <f aca="false">IF($D970="","",IFERROR(INDEX(合同项目,MATCH($D970,合同键,0)),IFERROR(TRIM(MID($D970,FIND("｜",$D970)+1,99)),"")))</f>
        <v/>
      </c>
      <c r="G970" s="39"/>
      <c r="H970" s="25"/>
      <c r="I970" s="35" t="str">
        <f aca="false">IF($H970="","",IFERROR(INDEX(票据归类表,MATCH($H970,票据类型表,0)),"现金无票"))</f>
        <v/>
      </c>
      <c r="J970" s="25"/>
      <c r="K970" s="25"/>
      <c r="L970" s="31"/>
      <c r="M970" s="29" t="str">
        <f aca="false">IF($C970="","",YEAR($C970))</f>
        <v/>
      </c>
      <c r="N970" s="24"/>
      <c r="O970" s="35" t="str">
        <f aca="false">IF($C970="","",IF($D970="","★没选客户项目",IF(COUNTIF(合同键,$D970)=0,"★《维保合同》里没这个项目",IF(N($G970)&lt;=0,"★收款金额要填",IF($H970="","★票据类型要选",IF(AND($L970&lt;&gt;"",COUNTIF(应收单号,$L970)=0),"★关联的应收单号不存在",IF(AND($L970&lt;&gt;"",IFERROR(INDEX(应收键,MATCH($L970,应收单号,0)),"")&lt;&gt;$D970),"★关联单号不是这个客户的",IF(AND($L970&lt;&gt;"",ROUND(SUMIF(收款关联,$L970,收款金额)-IFERROR(INDEX(应收金额,MATCH($L970,应收单号,0)),0),2)&gt;0.001),"★指定冲销超过那张单的应收","OK"))))))))</f>
        <v/>
      </c>
    </row>
    <row r="971" customFormat="false" ht="15" hidden="false" customHeight="false" outlineLevel="0" collapsed="false">
      <c r="A971" s="29" t="str">
        <f aca="false">IF($C971="","",ROW()-4)</f>
        <v/>
      </c>
      <c r="B971" s="35" t="str">
        <f aca="false">IF($C971="","","SK"&amp;TEXT($C971,"yyyymm")&amp;"-"&amp;TEXT(ROW()-4,"0000"))</f>
        <v/>
      </c>
      <c r="C971" s="33"/>
      <c r="D971" s="24"/>
      <c r="E971" s="30" t="str">
        <f aca="false">IF($D971="","",IFERROR(INDEX(合同单位,MATCH($D971,合同键,0)),IFERROR(TRIM(LEFT($D971,FIND("｜",$D971)-1)),$D971)))</f>
        <v/>
      </c>
      <c r="F971" s="30" t="str">
        <f aca="false">IF($D971="","",IFERROR(INDEX(合同项目,MATCH($D971,合同键,0)),IFERROR(TRIM(MID($D971,FIND("｜",$D971)+1,99)),"")))</f>
        <v/>
      </c>
      <c r="G971" s="39"/>
      <c r="H971" s="25"/>
      <c r="I971" s="35" t="str">
        <f aca="false">IF($H971="","",IFERROR(INDEX(票据归类表,MATCH($H971,票据类型表,0)),"现金无票"))</f>
        <v/>
      </c>
      <c r="J971" s="25"/>
      <c r="K971" s="25"/>
      <c r="L971" s="31"/>
      <c r="M971" s="29" t="str">
        <f aca="false">IF($C971="","",YEAR($C971))</f>
        <v/>
      </c>
      <c r="N971" s="24"/>
      <c r="O971" s="35" t="str">
        <f aca="false">IF($C971="","",IF($D971="","★没选客户项目",IF(COUNTIF(合同键,$D971)=0,"★《维保合同》里没这个项目",IF(N($G971)&lt;=0,"★收款金额要填",IF($H971="","★票据类型要选",IF(AND($L971&lt;&gt;"",COUNTIF(应收单号,$L971)=0),"★关联的应收单号不存在",IF(AND($L971&lt;&gt;"",IFERROR(INDEX(应收键,MATCH($L971,应收单号,0)),"")&lt;&gt;$D971),"★关联单号不是这个客户的",IF(AND($L971&lt;&gt;"",ROUND(SUMIF(收款关联,$L971,收款金额)-IFERROR(INDEX(应收金额,MATCH($L971,应收单号,0)),0),2)&gt;0.001),"★指定冲销超过那张单的应收","OK"))))))))</f>
        <v/>
      </c>
    </row>
    <row r="972" customFormat="false" ht="15" hidden="false" customHeight="false" outlineLevel="0" collapsed="false">
      <c r="A972" s="29" t="str">
        <f aca="false">IF($C972="","",ROW()-4)</f>
        <v/>
      </c>
      <c r="B972" s="35" t="str">
        <f aca="false">IF($C972="","","SK"&amp;TEXT($C972,"yyyymm")&amp;"-"&amp;TEXT(ROW()-4,"0000"))</f>
        <v/>
      </c>
      <c r="C972" s="33"/>
      <c r="D972" s="24"/>
      <c r="E972" s="30" t="str">
        <f aca="false">IF($D972="","",IFERROR(INDEX(合同单位,MATCH($D972,合同键,0)),IFERROR(TRIM(LEFT($D972,FIND("｜",$D972)-1)),$D972)))</f>
        <v/>
      </c>
      <c r="F972" s="30" t="str">
        <f aca="false">IF($D972="","",IFERROR(INDEX(合同项目,MATCH($D972,合同键,0)),IFERROR(TRIM(MID($D972,FIND("｜",$D972)+1,99)),"")))</f>
        <v/>
      </c>
      <c r="G972" s="39"/>
      <c r="H972" s="25"/>
      <c r="I972" s="35" t="str">
        <f aca="false">IF($H972="","",IFERROR(INDEX(票据归类表,MATCH($H972,票据类型表,0)),"现金无票"))</f>
        <v/>
      </c>
      <c r="J972" s="25"/>
      <c r="K972" s="25"/>
      <c r="L972" s="31"/>
      <c r="M972" s="29" t="str">
        <f aca="false">IF($C972="","",YEAR($C972))</f>
        <v/>
      </c>
      <c r="N972" s="24"/>
      <c r="O972" s="35" t="str">
        <f aca="false">IF($C972="","",IF($D972="","★没选客户项目",IF(COUNTIF(合同键,$D972)=0,"★《维保合同》里没这个项目",IF(N($G972)&lt;=0,"★收款金额要填",IF($H972="","★票据类型要选",IF(AND($L972&lt;&gt;"",COUNTIF(应收单号,$L972)=0),"★关联的应收单号不存在",IF(AND($L972&lt;&gt;"",IFERROR(INDEX(应收键,MATCH($L972,应收单号,0)),"")&lt;&gt;$D972),"★关联单号不是这个客户的",IF(AND($L972&lt;&gt;"",ROUND(SUMIF(收款关联,$L972,收款金额)-IFERROR(INDEX(应收金额,MATCH($L972,应收单号,0)),0),2)&gt;0.001),"★指定冲销超过那张单的应收","OK"))))))))</f>
        <v/>
      </c>
    </row>
    <row r="973" customFormat="false" ht="15" hidden="false" customHeight="false" outlineLevel="0" collapsed="false">
      <c r="A973" s="29" t="str">
        <f aca="false">IF($C973="","",ROW()-4)</f>
        <v/>
      </c>
      <c r="B973" s="35" t="str">
        <f aca="false">IF($C973="","","SK"&amp;TEXT($C973,"yyyymm")&amp;"-"&amp;TEXT(ROW()-4,"0000"))</f>
        <v/>
      </c>
      <c r="C973" s="33"/>
      <c r="D973" s="24"/>
      <c r="E973" s="30" t="str">
        <f aca="false">IF($D973="","",IFERROR(INDEX(合同单位,MATCH($D973,合同键,0)),IFERROR(TRIM(LEFT($D973,FIND("｜",$D973)-1)),$D973)))</f>
        <v/>
      </c>
      <c r="F973" s="30" t="str">
        <f aca="false">IF($D973="","",IFERROR(INDEX(合同项目,MATCH($D973,合同键,0)),IFERROR(TRIM(MID($D973,FIND("｜",$D973)+1,99)),"")))</f>
        <v/>
      </c>
      <c r="G973" s="39"/>
      <c r="H973" s="25"/>
      <c r="I973" s="35" t="str">
        <f aca="false">IF($H973="","",IFERROR(INDEX(票据归类表,MATCH($H973,票据类型表,0)),"现金无票"))</f>
        <v/>
      </c>
      <c r="J973" s="25"/>
      <c r="K973" s="25"/>
      <c r="L973" s="31"/>
      <c r="M973" s="29" t="str">
        <f aca="false">IF($C973="","",YEAR($C973))</f>
        <v/>
      </c>
      <c r="N973" s="24"/>
      <c r="O973" s="35" t="str">
        <f aca="false">IF($C973="","",IF($D973="","★没选客户项目",IF(COUNTIF(合同键,$D973)=0,"★《维保合同》里没这个项目",IF(N($G973)&lt;=0,"★收款金额要填",IF($H973="","★票据类型要选",IF(AND($L973&lt;&gt;"",COUNTIF(应收单号,$L973)=0),"★关联的应收单号不存在",IF(AND($L973&lt;&gt;"",IFERROR(INDEX(应收键,MATCH($L973,应收单号,0)),"")&lt;&gt;$D973),"★关联单号不是这个客户的",IF(AND($L973&lt;&gt;"",ROUND(SUMIF(收款关联,$L973,收款金额)-IFERROR(INDEX(应收金额,MATCH($L973,应收单号,0)),0),2)&gt;0.001),"★指定冲销超过那张单的应收","OK"))))))))</f>
        <v/>
      </c>
    </row>
    <row r="974" customFormat="false" ht="15" hidden="false" customHeight="false" outlineLevel="0" collapsed="false">
      <c r="A974" s="29" t="str">
        <f aca="false">IF($C974="","",ROW()-4)</f>
        <v/>
      </c>
      <c r="B974" s="35" t="str">
        <f aca="false">IF($C974="","","SK"&amp;TEXT($C974,"yyyymm")&amp;"-"&amp;TEXT(ROW()-4,"0000"))</f>
        <v/>
      </c>
      <c r="C974" s="33"/>
      <c r="D974" s="24"/>
      <c r="E974" s="30" t="str">
        <f aca="false">IF($D974="","",IFERROR(INDEX(合同单位,MATCH($D974,合同键,0)),IFERROR(TRIM(LEFT($D974,FIND("｜",$D974)-1)),$D974)))</f>
        <v/>
      </c>
      <c r="F974" s="30" t="str">
        <f aca="false">IF($D974="","",IFERROR(INDEX(合同项目,MATCH($D974,合同键,0)),IFERROR(TRIM(MID($D974,FIND("｜",$D974)+1,99)),"")))</f>
        <v/>
      </c>
      <c r="G974" s="39"/>
      <c r="H974" s="25"/>
      <c r="I974" s="35" t="str">
        <f aca="false">IF($H974="","",IFERROR(INDEX(票据归类表,MATCH($H974,票据类型表,0)),"现金无票"))</f>
        <v/>
      </c>
      <c r="J974" s="25"/>
      <c r="K974" s="25"/>
      <c r="L974" s="31"/>
      <c r="M974" s="29" t="str">
        <f aca="false">IF($C974="","",YEAR($C974))</f>
        <v/>
      </c>
      <c r="N974" s="24"/>
      <c r="O974" s="35" t="str">
        <f aca="false">IF($C974="","",IF($D974="","★没选客户项目",IF(COUNTIF(合同键,$D974)=0,"★《维保合同》里没这个项目",IF(N($G974)&lt;=0,"★收款金额要填",IF($H974="","★票据类型要选",IF(AND($L974&lt;&gt;"",COUNTIF(应收单号,$L974)=0),"★关联的应收单号不存在",IF(AND($L974&lt;&gt;"",IFERROR(INDEX(应收键,MATCH($L974,应收单号,0)),"")&lt;&gt;$D974),"★关联单号不是这个客户的",IF(AND($L974&lt;&gt;"",ROUND(SUMIF(收款关联,$L974,收款金额)-IFERROR(INDEX(应收金额,MATCH($L974,应收单号,0)),0),2)&gt;0.001),"★指定冲销超过那张单的应收","OK"))))))))</f>
        <v/>
      </c>
    </row>
    <row r="975" customFormat="false" ht="15" hidden="false" customHeight="false" outlineLevel="0" collapsed="false">
      <c r="A975" s="29" t="str">
        <f aca="false">IF($C975="","",ROW()-4)</f>
        <v/>
      </c>
      <c r="B975" s="35" t="str">
        <f aca="false">IF($C975="","","SK"&amp;TEXT($C975,"yyyymm")&amp;"-"&amp;TEXT(ROW()-4,"0000"))</f>
        <v/>
      </c>
      <c r="C975" s="33"/>
      <c r="D975" s="24"/>
      <c r="E975" s="30" t="str">
        <f aca="false">IF($D975="","",IFERROR(INDEX(合同单位,MATCH($D975,合同键,0)),IFERROR(TRIM(LEFT($D975,FIND("｜",$D975)-1)),$D975)))</f>
        <v/>
      </c>
      <c r="F975" s="30" t="str">
        <f aca="false">IF($D975="","",IFERROR(INDEX(合同项目,MATCH($D975,合同键,0)),IFERROR(TRIM(MID($D975,FIND("｜",$D975)+1,99)),"")))</f>
        <v/>
      </c>
      <c r="G975" s="39"/>
      <c r="H975" s="25"/>
      <c r="I975" s="35" t="str">
        <f aca="false">IF($H975="","",IFERROR(INDEX(票据归类表,MATCH($H975,票据类型表,0)),"现金无票"))</f>
        <v/>
      </c>
      <c r="J975" s="25"/>
      <c r="K975" s="25"/>
      <c r="L975" s="31"/>
      <c r="M975" s="29" t="str">
        <f aca="false">IF($C975="","",YEAR($C975))</f>
        <v/>
      </c>
      <c r="N975" s="24"/>
      <c r="O975" s="35" t="str">
        <f aca="false">IF($C975="","",IF($D975="","★没选客户项目",IF(COUNTIF(合同键,$D975)=0,"★《维保合同》里没这个项目",IF(N($G975)&lt;=0,"★收款金额要填",IF($H975="","★票据类型要选",IF(AND($L975&lt;&gt;"",COUNTIF(应收单号,$L975)=0),"★关联的应收单号不存在",IF(AND($L975&lt;&gt;"",IFERROR(INDEX(应收键,MATCH($L975,应收单号,0)),"")&lt;&gt;$D975),"★关联单号不是这个客户的",IF(AND($L975&lt;&gt;"",ROUND(SUMIF(收款关联,$L975,收款金额)-IFERROR(INDEX(应收金额,MATCH($L975,应收单号,0)),0),2)&gt;0.001),"★指定冲销超过那张单的应收","OK"))))))))</f>
        <v/>
      </c>
    </row>
    <row r="976" customFormat="false" ht="15" hidden="false" customHeight="false" outlineLevel="0" collapsed="false">
      <c r="A976" s="29" t="str">
        <f aca="false">IF($C976="","",ROW()-4)</f>
        <v/>
      </c>
      <c r="B976" s="35" t="str">
        <f aca="false">IF($C976="","","SK"&amp;TEXT($C976,"yyyymm")&amp;"-"&amp;TEXT(ROW()-4,"0000"))</f>
        <v/>
      </c>
      <c r="C976" s="33"/>
      <c r="D976" s="24"/>
      <c r="E976" s="30" t="str">
        <f aca="false">IF($D976="","",IFERROR(INDEX(合同单位,MATCH($D976,合同键,0)),IFERROR(TRIM(LEFT($D976,FIND("｜",$D976)-1)),$D976)))</f>
        <v/>
      </c>
      <c r="F976" s="30" t="str">
        <f aca="false">IF($D976="","",IFERROR(INDEX(合同项目,MATCH($D976,合同键,0)),IFERROR(TRIM(MID($D976,FIND("｜",$D976)+1,99)),"")))</f>
        <v/>
      </c>
      <c r="G976" s="39"/>
      <c r="H976" s="25"/>
      <c r="I976" s="35" t="str">
        <f aca="false">IF($H976="","",IFERROR(INDEX(票据归类表,MATCH($H976,票据类型表,0)),"现金无票"))</f>
        <v/>
      </c>
      <c r="J976" s="25"/>
      <c r="K976" s="25"/>
      <c r="L976" s="31"/>
      <c r="M976" s="29" t="str">
        <f aca="false">IF($C976="","",YEAR($C976))</f>
        <v/>
      </c>
      <c r="N976" s="24"/>
      <c r="O976" s="35" t="str">
        <f aca="false">IF($C976="","",IF($D976="","★没选客户项目",IF(COUNTIF(合同键,$D976)=0,"★《维保合同》里没这个项目",IF(N($G976)&lt;=0,"★收款金额要填",IF($H976="","★票据类型要选",IF(AND($L976&lt;&gt;"",COUNTIF(应收单号,$L976)=0),"★关联的应收单号不存在",IF(AND($L976&lt;&gt;"",IFERROR(INDEX(应收键,MATCH($L976,应收单号,0)),"")&lt;&gt;$D976),"★关联单号不是这个客户的",IF(AND($L976&lt;&gt;"",ROUND(SUMIF(收款关联,$L976,收款金额)-IFERROR(INDEX(应收金额,MATCH($L976,应收单号,0)),0),2)&gt;0.001),"★指定冲销超过那张单的应收","OK"))))))))</f>
        <v/>
      </c>
    </row>
    <row r="977" customFormat="false" ht="15" hidden="false" customHeight="false" outlineLevel="0" collapsed="false">
      <c r="A977" s="29" t="str">
        <f aca="false">IF($C977="","",ROW()-4)</f>
        <v/>
      </c>
      <c r="B977" s="35" t="str">
        <f aca="false">IF($C977="","","SK"&amp;TEXT($C977,"yyyymm")&amp;"-"&amp;TEXT(ROW()-4,"0000"))</f>
        <v/>
      </c>
      <c r="C977" s="33"/>
      <c r="D977" s="24"/>
      <c r="E977" s="30" t="str">
        <f aca="false">IF($D977="","",IFERROR(INDEX(合同单位,MATCH($D977,合同键,0)),IFERROR(TRIM(LEFT($D977,FIND("｜",$D977)-1)),$D977)))</f>
        <v/>
      </c>
      <c r="F977" s="30" t="str">
        <f aca="false">IF($D977="","",IFERROR(INDEX(合同项目,MATCH($D977,合同键,0)),IFERROR(TRIM(MID($D977,FIND("｜",$D977)+1,99)),"")))</f>
        <v/>
      </c>
      <c r="G977" s="39"/>
      <c r="H977" s="25"/>
      <c r="I977" s="35" t="str">
        <f aca="false">IF($H977="","",IFERROR(INDEX(票据归类表,MATCH($H977,票据类型表,0)),"现金无票"))</f>
        <v/>
      </c>
      <c r="J977" s="25"/>
      <c r="K977" s="25"/>
      <c r="L977" s="31"/>
      <c r="M977" s="29" t="str">
        <f aca="false">IF($C977="","",YEAR($C977))</f>
        <v/>
      </c>
      <c r="N977" s="24"/>
      <c r="O977" s="35" t="str">
        <f aca="false">IF($C977="","",IF($D977="","★没选客户项目",IF(COUNTIF(合同键,$D977)=0,"★《维保合同》里没这个项目",IF(N($G977)&lt;=0,"★收款金额要填",IF($H977="","★票据类型要选",IF(AND($L977&lt;&gt;"",COUNTIF(应收单号,$L977)=0),"★关联的应收单号不存在",IF(AND($L977&lt;&gt;"",IFERROR(INDEX(应收键,MATCH($L977,应收单号,0)),"")&lt;&gt;$D977),"★关联单号不是这个客户的",IF(AND($L977&lt;&gt;"",ROUND(SUMIF(收款关联,$L977,收款金额)-IFERROR(INDEX(应收金额,MATCH($L977,应收单号,0)),0),2)&gt;0.001),"★指定冲销超过那张单的应收","OK"))))))))</f>
        <v/>
      </c>
    </row>
    <row r="978" customFormat="false" ht="15" hidden="false" customHeight="false" outlineLevel="0" collapsed="false">
      <c r="A978" s="29" t="str">
        <f aca="false">IF($C978="","",ROW()-4)</f>
        <v/>
      </c>
      <c r="B978" s="35" t="str">
        <f aca="false">IF($C978="","","SK"&amp;TEXT($C978,"yyyymm")&amp;"-"&amp;TEXT(ROW()-4,"0000"))</f>
        <v/>
      </c>
      <c r="C978" s="33"/>
      <c r="D978" s="24"/>
      <c r="E978" s="30" t="str">
        <f aca="false">IF($D978="","",IFERROR(INDEX(合同单位,MATCH($D978,合同键,0)),IFERROR(TRIM(LEFT($D978,FIND("｜",$D978)-1)),$D978)))</f>
        <v/>
      </c>
      <c r="F978" s="30" t="str">
        <f aca="false">IF($D978="","",IFERROR(INDEX(合同项目,MATCH($D978,合同键,0)),IFERROR(TRIM(MID($D978,FIND("｜",$D978)+1,99)),"")))</f>
        <v/>
      </c>
      <c r="G978" s="39"/>
      <c r="H978" s="25"/>
      <c r="I978" s="35" t="str">
        <f aca="false">IF($H978="","",IFERROR(INDEX(票据归类表,MATCH($H978,票据类型表,0)),"现金无票"))</f>
        <v/>
      </c>
      <c r="J978" s="25"/>
      <c r="K978" s="25"/>
      <c r="L978" s="31"/>
      <c r="M978" s="29" t="str">
        <f aca="false">IF($C978="","",YEAR($C978))</f>
        <v/>
      </c>
      <c r="N978" s="24"/>
      <c r="O978" s="35" t="str">
        <f aca="false">IF($C978="","",IF($D978="","★没选客户项目",IF(COUNTIF(合同键,$D978)=0,"★《维保合同》里没这个项目",IF(N($G978)&lt;=0,"★收款金额要填",IF($H978="","★票据类型要选",IF(AND($L978&lt;&gt;"",COUNTIF(应收单号,$L978)=0),"★关联的应收单号不存在",IF(AND($L978&lt;&gt;"",IFERROR(INDEX(应收键,MATCH($L978,应收单号,0)),"")&lt;&gt;$D978),"★关联单号不是这个客户的",IF(AND($L978&lt;&gt;"",ROUND(SUMIF(收款关联,$L978,收款金额)-IFERROR(INDEX(应收金额,MATCH($L978,应收单号,0)),0),2)&gt;0.001),"★指定冲销超过那张单的应收","OK"))))))))</f>
        <v/>
      </c>
    </row>
    <row r="979" customFormat="false" ht="15" hidden="false" customHeight="false" outlineLevel="0" collapsed="false">
      <c r="A979" s="29" t="str">
        <f aca="false">IF($C979="","",ROW()-4)</f>
        <v/>
      </c>
      <c r="B979" s="35" t="str">
        <f aca="false">IF($C979="","","SK"&amp;TEXT($C979,"yyyymm")&amp;"-"&amp;TEXT(ROW()-4,"0000"))</f>
        <v/>
      </c>
      <c r="C979" s="33"/>
      <c r="D979" s="24"/>
      <c r="E979" s="30" t="str">
        <f aca="false">IF($D979="","",IFERROR(INDEX(合同单位,MATCH($D979,合同键,0)),IFERROR(TRIM(LEFT($D979,FIND("｜",$D979)-1)),$D979)))</f>
        <v/>
      </c>
      <c r="F979" s="30" t="str">
        <f aca="false">IF($D979="","",IFERROR(INDEX(合同项目,MATCH($D979,合同键,0)),IFERROR(TRIM(MID($D979,FIND("｜",$D979)+1,99)),"")))</f>
        <v/>
      </c>
      <c r="G979" s="39"/>
      <c r="H979" s="25"/>
      <c r="I979" s="35" t="str">
        <f aca="false">IF($H979="","",IFERROR(INDEX(票据归类表,MATCH($H979,票据类型表,0)),"现金无票"))</f>
        <v/>
      </c>
      <c r="J979" s="25"/>
      <c r="K979" s="25"/>
      <c r="L979" s="31"/>
      <c r="M979" s="29" t="str">
        <f aca="false">IF($C979="","",YEAR($C979))</f>
        <v/>
      </c>
      <c r="N979" s="24"/>
      <c r="O979" s="35" t="str">
        <f aca="false">IF($C979="","",IF($D979="","★没选客户项目",IF(COUNTIF(合同键,$D979)=0,"★《维保合同》里没这个项目",IF(N($G979)&lt;=0,"★收款金额要填",IF($H979="","★票据类型要选",IF(AND($L979&lt;&gt;"",COUNTIF(应收单号,$L979)=0),"★关联的应收单号不存在",IF(AND($L979&lt;&gt;"",IFERROR(INDEX(应收键,MATCH($L979,应收单号,0)),"")&lt;&gt;$D979),"★关联单号不是这个客户的",IF(AND($L979&lt;&gt;"",ROUND(SUMIF(收款关联,$L979,收款金额)-IFERROR(INDEX(应收金额,MATCH($L979,应收单号,0)),0),2)&gt;0.001),"★指定冲销超过那张单的应收","OK"))))))))</f>
        <v/>
      </c>
    </row>
    <row r="980" customFormat="false" ht="15" hidden="false" customHeight="false" outlineLevel="0" collapsed="false">
      <c r="A980" s="29" t="str">
        <f aca="false">IF($C980="","",ROW()-4)</f>
        <v/>
      </c>
      <c r="B980" s="35" t="str">
        <f aca="false">IF($C980="","","SK"&amp;TEXT($C980,"yyyymm")&amp;"-"&amp;TEXT(ROW()-4,"0000"))</f>
        <v/>
      </c>
      <c r="C980" s="33"/>
      <c r="D980" s="24"/>
      <c r="E980" s="30" t="str">
        <f aca="false">IF($D980="","",IFERROR(INDEX(合同单位,MATCH($D980,合同键,0)),IFERROR(TRIM(LEFT($D980,FIND("｜",$D980)-1)),$D980)))</f>
        <v/>
      </c>
      <c r="F980" s="30" t="str">
        <f aca="false">IF($D980="","",IFERROR(INDEX(合同项目,MATCH($D980,合同键,0)),IFERROR(TRIM(MID($D980,FIND("｜",$D980)+1,99)),"")))</f>
        <v/>
      </c>
      <c r="G980" s="39"/>
      <c r="H980" s="25"/>
      <c r="I980" s="35" t="str">
        <f aca="false">IF($H980="","",IFERROR(INDEX(票据归类表,MATCH($H980,票据类型表,0)),"现金无票"))</f>
        <v/>
      </c>
      <c r="J980" s="25"/>
      <c r="K980" s="25"/>
      <c r="L980" s="31"/>
      <c r="M980" s="29" t="str">
        <f aca="false">IF($C980="","",YEAR($C980))</f>
        <v/>
      </c>
      <c r="N980" s="24"/>
      <c r="O980" s="35" t="str">
        <f aca="false">IF($C980="","",IF($D980="","★没选客户项目",IF(COUNTIF(合同键,$D980)=0,"★《维保合同》里没这个项目",IF(N($G980)&lt;=0,"★收款金额要填",IF($H980="","★票据类型要选",IF(AND($L980&lt;&gt;"",COUNTIF(应收单号,$L980)=0),"★关联的应收单号不存在",IF(AND($L980&lt;&gt;"",IFERROR(INDEX(应收键,MATCH($L980,应收单号,0)),"")&lt;&gt;$D980),"★关联单号不是这个客户的",IF(AND($L980&lt;&gt;"",ROUND(SUMIF(收款关联,$L980,收款金额)-IFERROR(INDEX(应收金额,MATCH($L980,应收单号,0)),0),2)&gt;0.001),"★指定冲销超过那张单的应收","OK"))))))))</f>
        <v/>
      </c>
    </row>
    <row r="981" customFormat="false" ht="15" hidden="false" customHeight="false" outlineLevel="0" collapsed="false">
      <c r="A981" s="29" t="str">
        <f aca="false">IF($C981="","",ROW()-4)</f>
        <v/>
      </c>
      <c r="B981" s="35" t="str">
        <f aca="false">IF($C981="","","SK"&amp;TEXT($C981,"yyyymm")&amp;"-"&amp;TEXT(ROW()-4,"0000"))</f>
        <v/>
      </c>
      <c r="C981" s="33"/>
      <c r="D981" s="24"/>
      <c r="E981" s="30" t="str">
        <f aca="false">IF($D981="","",IFERROR(INDEX(合同单位,MATCH($D981,合同键,0)),IFERROR(TRIM(LEFT($D981,FIND("｜",$D981)-1)),$D981)))</f>
        <v/>
      </c>
      <c r="F981" s="30" t="str">
        <f aca="false">IF($D981="","",IFERROR(INDEX(合同项目,MATCH($D981,合同键,0)),IFERROR(TRIM(MID($D981,FIND("｜",$D981)+1,99)),"")))</f>
        <v/>
      </c>
      <c r="G981" s="39"/>
      <c r="H981" s="25"/>
      <c r="I981" s="35" t="str">
        <f aca="false">IF($H981="","",IFERROR(INDEX(票据归类表,MATCH($H981,票据类型表,0)),"现金无票"))</f>
        <v/>
      </c>
      <c r="J981" s="25"/>
      <c r="K981" s="25"/>
      <c r="L981" s="31"/>
      <c r="M981" s="29" t="str">
        <f aca="false">IF($C981="","",YEAR($C981))</f>
        <v/>
      </c>
      <c r="N981" s="24"/>
      <c r="O981" s="35" t="str">
        <f aca="false">IF($C981="","",IF($D981="","★没选客户项目",IF(COUNTIF(合同键,$D981)=0,"★《维保合同》里没这个项目",IF(N($G981)&lt;=0,"★收款金额要填",IF($H981="","★票据类型要选",IF(AND($L981&lt;&gt;"",COUNTIF(应收单号,$L981)=0),"★关联的应收单号不存在",IF(AND($L981&lt;&gt;"",IFERROR(INDEX(应收键,MATCH($L981,应收单号,0)),"")&lt;&gt;$D981),"★关联单号不是这个客户的",IF(AND($L981&lt;&gt;"",ROUND(SUMIF(收款关联,$L981,收款金额)-IFERROR(INDEX(应收金额,MATCH($L981,应收单号,0)),0),2)&gt;0.001),"★指定冲销超过那张单的应收","OK"))))))))</f>
        <v/>
      </c>
    </row>
    <row r="982" customFormat="false" ht="15" hidden="false" customHeight="false" outlineLevel="0" collapsed="false">
      <c r="A982" s="29" t="str">
        <f aca="false">IF($C982="","",ROW()-4)</f>
        <v/>
      </c>
      <c r="B982" s="35" t="str">
        <f aca="false">IF($C982="","","SK"&amp;TEXT($C982,"yyyymm")&amp;"-"&amp;TEXT(ROW()-4,"0000"))</f>
        <v/>
      </c>
      <c r="C982" s="33"/>
      <c r="D982" s="24"/>
      <c r="E982" s="30" t="str">
        <f aca="false">IF($D982="","",IFERROR(INDEX(合同单位,MATCH($D982,合同键,0)),IFERROR(TRIM(LEFT($D982,FIND("｜",$D982)-1)),$D982)))</f>
        <v/>
      </c>
      <c r="F982" s="30" t="str">
        <f aca="false">IF($D982="","",IFERROR(INDEX(合同项目,MATCH($D982,合同键,0)),IFERROR(TRIM(MID($D982,FIND("｜",$D982)+1,99)),"")))</f>
        <v/>
      </c>
      <c r="G982" s="39"/>
      <c r="H982" s="25"/>
      <c r="I982" s="35" t="str">
        <f aca="false">IF($H982="","",IFERROR(INDEX(票据归类表,MATCH($H982,票据类型表,0)),"现金无票"))</f>
        <v/>
      </c>
      <c r="J982" s="25"/>
      <c r="K982" s="25"/>
      <c r="L982" s="31"/>
      <c r="M982" s="29" t="str">
        <f aca="false">IF($C982="","",YEAR($C982))</f>
        <v/>
      </c>
      <c r="N982" s="24"/>
      <c r="O982" s="35" t="str">
        <f aca="false">IF($C982="","",IF($D982="","★没选客户项目",IF(COUNTIF(合同键,$D982)=0,"★《维保合同》里没这个项目",IF(N($G982)&lt;=0,"★收款金额要填",IF($H982="","★票据类型要选",IF(AND($L982&lt;&gt;"",COUNTIF(应收单号,$L982)=0),"★关联的应收单号不存在",IF(AND($L982&lt;&gt;"",IFERROR(INDEX(应收键,MATCH($L982,应收单号,0)),"")&lt;&gt;$D982),"★关联单号不是这个客户的",IF(AND($L982&lt;&gt;"",ROUND(SUMIF(收款关联,$L982,收款金额)-IFERROR(INDEX(应收金额,MATCH($L982,应收单号,0)),0),2)&gt;0.001),"★指定冲销超过那张单的应收","OK"))))))))</f>
        <v/>
      </c>
    </row>
    <row r="983" customFormat="false" ht="15" hidden="false" customHeight="false" outlineLevel="0" collapsed="false">
      <c r="A983" s="29" t="str">
        <f aca="false">IF($C983="","",ROW()-4)</f>
        <v/>
      </c>
      <c r="B983" s="35" t="str">
        <f aca="false">IF($C983="","","SK"&amp;TEXT($C983,"yyyymm")&amp;"-"&amp;TEXT(ROW()-4,"0000"))</f>
        <v/>
      </c>
      <c r="C983" s="33"/>
      <c r="D983" s="24"/>
      <c r="E983" s="30" t="str">
        <f aca="false">IF($D983="","",IFERROR(INDEX(合同单位,MATCH($D983,合同键,0)),IFERROR(TRIM(LEFT($D983,FIND("｜",$D983)-1)),$D983)))</f>
        <v/>
      </c>
      <c r="F983" s="30" t="str">
        <f aca="false">IF($D983="","",IFERROR(INDEX(合同项目,MATCH($D983,合同键,0)),IFERROR(TRIM(MID($D983,FIND("｜",$D983)+1,99)),"")))</f>
        <v/>
      </c>
      <c r="G983" s="39"/>
      <c r="H983" s="25"/>
      <c r="I983" s="35" t="str">
        <f aca="false">IF($H983="","",IFERROR(INDEX(票据归类表,MATCH($H983,票据类型表,0)),"现金无票"))</f>
        <v/>
      </c>
      <c r="J983" s="25"/>
      <c r="K983" s="25"/>
      <c r="L983" s="31"/>
      <c r="M983" s="29" t="str">
        <f aca="false">IF($C983="","",YEAR($C983))</f>
        <v/>
      </c>
      <c r="N983" s="24"/>
      <c r="O983" s="35" t="str">
        <f aca="false">IF($C983="","",IF($D983="","★没选客户项目",IF(COUNTIF(合同键,$D983)=0,"★《维保合同》里没这个项目",IF(N($G983)&lt;=0,"★收款金额要填",IF($H983="","★票据类型要选",IF(AND($L983&lt;&gt;"",COUNTIF(应收单号,$L983)=0),"★关联的应收单号不存在",IF(AND($L983&lt;&gt;"",IFERROR(INDEX(应收键,MATCH($L983,应收单号,0)),"")&lt;&gt;$D983),"★关联单号不是这个客户的",IF(AND($L983&lt;&gt;"",ROUND(SUMIF(收款关联,$L983,收款金额)-IFERROR(INDEX(应收金额,MATCH($L983,应收单号,0)),0),2)&gt;0.001),"★指定冲销超过那张单的应收","OK"))))))))</f>
        <v/>
      </c>
    </row>
    <row r="984" customFormat="false" ht="15" hidden="false" customHeight="false" outlineLevel="0" collapsed="false">
      <c r="A984" s="29" t="str">
        <f aca="false">IF($C984="","",ROW()-4)</f>
        <v/>
      </c>
      <c r="B984" s="35" t="str">
        <f aca="false">IF($C984="","","SK"&amp;TEXT($C984,"yyyymm")&amp;"-"&amp;TEXT(ROW()-4,"0000"))</f>
        <v/>
      </c>
      <c r="C984" s="33"/>
      <c r="D984" s="24"/>
      <c r="E984" s="30" t="str">
        <f aca="false">IF($D984="","",IFERROR(INDEX(合同单位,MATCH($D984,合同键,0)),IFERROR(TRIM(LEFT($D984,FIND("｜",$D984)-1)),$D984)))</f>
        <v/>
      </c>
      <c r="F984" s="30" t="str">
        <f aca="false">IF($D984="","",IFERROR(INDEX(合同项目,MATCH($D984,合同键,0)),IFERROR(TRIM(MID($D984,FIND("｜",$D984)+1,99)),"")))</f>
        <v/>
      </c>
      <c r="G984" s="39"/>
      <c r="H984" s="25"/>
      <c r="I984" s="35" t="str">
        <f aca="false">IF($H984="","",IFERROR(INDEX(票据归类表,MATCH($H984,票据类型表,0)),"现金无票"))</f>
        <v/>
      </c>
      <c r="J984" s="25"/>
      <c r="K984" s="25"/>
      <c r="L984" s="31"/>
      <c r="M984" s="29" t="str">
        <f aca="false">IF($C984="","",YEAR($C984))</f>
        <v/>
      </c>
      <c r="N984" s="24"/>
      <c r="O984" s="35" t="str">
        <f aca="false">IF($C984="","",IF($D984="","★没选客户项目",IF(COUNTIF(合同键,$D984)=0,"★《维保合同》里没这个项目",IF(N($G984)&lt;=0,"★收款金额要填",IF($H984="","★票据类型要选",IF(AND($L984&lt;&gt;"",COUNTIF(应收单号,$L984)=0),"★关联的应收单号不存在",IF(AND($L984&lt;&gt;"",IFERROR(INDEX(应收键,MATCH($L984,应收单号,0)),"")&lt;&gt;$D984),"★关联单号不是这个客户的",IF(AND($L984&lt;&gt;"",ROUND(SUMIF(收款关联,$L984,收款金额)-IFERROR(INDEX(应收金额,MATCH($L984,应收单号,0)),0),2)&gt;0.001),"★指定冲销超过那张单的应收","OK"))))))))</f>
        <v/>
      </c>
    </row>
    <row r="985" customFormat="false" ht="15" hidden="false" customHeight="false" outlineLevel="0" collapsed="false">
      <c r="A985" s="29" t="str">
        <f aca="false">IF($C985="","",ROW()-4)</f>
        <v/>
      </c>
      <c r="B985" s="35" t="str">
        <f aca="false">IF($C985="","","SK"&amp;TEXT($C985,"yyyymm")&amp;"-"&amp;TEXT(ROW()-4,"0000"))</f>
        <v/>
      </c>
      <c r="C985" s="33"/>
      <c r="D985" s="24"/>
      <c r="E985" s="30" t="str">
        <f aca="false">IF($D985="","",IFERROR(INDEX(合同单位,MATCH($D985,合同键,0)),IFERROR(TRIM(LEFT($D985,FIND("｜",$D985)-1)),$D985)))</f>
        <v/>
      </c>
      <c r="F985" s="30" t="str">
        <f aca="false">IF($D985="","",IFERROR(INDEX(合同项目,MATCH($D985,合同键,0)),IFERROR(TRIM(MID($D985,FIND("｜",$D985)+1,99)),"")))</f>
        <v/>
      </c>
      <c r="G985" s="39"/>
      <c r="H985" s="25"/>
      <c r="I985" s="35" t="str">
        <f aca="false">IF($H985="","",IFERROR(INDEX(票据归类表,MATCH($H985,票据类型表,0)),"现金无票"))</f>
        <v/>
      </c>
      <c r="J985" s="25"/>
      <c r="K985" s="25"/>
      <c r="L985" s="31"/>
      <c r="M985" s="29" t="str">
        <f aca="false">IF($C985="","",YEAR($C985))</f>
        <v/>
      </c>
      <c r="N985" s="24"/>
      <c r="O985" s="35" t="str">
        <f aca="false">IF($C985="","",IF($D985="","★没选客户项目",IF(COUNTIF(合同键,$D985)=0,"★《维保合同》里没这个项目",IF(N($G985)&lt;=0,"★收款金额要填",IF($H985="","★票据类型要选",IF(AND($L985&lt;&gt;"",COUNTIF(应收单号,$L985)=0),"★关联的应收单号不存在",IF(AND($L985&lt;&gt;"",IFERROR(INDEX(应收键,MATCH($L985,应收单号,0)),"")&lt;&gt;$D985),"★关联单号不是这个客户的",IF(AND($L985&lt;&gt;"",ROUND(SUMIF(收款关联,$L985,收款金额)-IFERROR(INDEX(应收金额,MATCH($L985,应收单号,0)),0),2)&gt;0.001),"★指定冲销超过那张单的应收","OK"))))))))</f>
        <v/>
      </c>
    </row>
    <row r="986" customFormat="false" ht="15" hidden="false" customHeight="false" outlineLevel="0" collapsed="false">
      <c r="A986" s="29" t="str">
        <f aca="false">IF($C986="","",ROW()-4)</f>
        <v/>
      </c>
      <c r="B986" s="35" t="str">
        <f aca="false">IF($C986="","","SK"&amp;TEXT($C986,"yyyymm")&amp;"-"&amp;TEXT(ROW()-4,"0000"))</f>
        <v/>
      </c>
      <c r="C986" s="33"/>
      <c r="D986" s="24"/>
      <c r="E986" s="30" t="str">
        <f aca="false">IF($D986="","",IFERROR(INDEX(合同单位,MATCH($D986,合同键,0)),IFERROR(TRIM(LEFT($D986,FIND("｜",$D986)-1)),$D986)))</f>
        <v/>
      </c>
      <c r="F986" s="30" t="str">
        <f aca="false">IF($D986="","",IFERROR(INDEX(合同项目,MATCH($D986,合同键,0)),IFERROR(TRIM(MID($D986,FIND("｜",$D986)+1,99)),"")))</f>
        <v/>
      </c>
      <c r="G986" s="39"/>
      <c r="H986" s="25"/>
      <c r="I986" s="35" t="str">
        <f aca="false">IF($H986="","",IFERROR(INDEX(票据归类表,MATCH($H986,票据类型表,0)),"现金无票"))</f>
        <v/>
      </c>
      <c r="J986" s="25"/>
      <c r="K986" s="25"/>
      <c r="L986" s="31"/>
      <c r="M986" s="29" t="str">
        <f aca="false">IF($C986="","",YEAR($C986))</f>
        <v/>
      </c>
      <c r="N986" s="24"/>
      <c r="O986" s="35" t="str">
        <f aca="false">IF($C986="","",IF($D986="","★没选客户项目",IF(COUNTIF(合同键,$D986)=0,"★《维保合同》里没这个项目",IF(N($G986)&lt;=0,"★收款金额要填",IF($H986="","★票据类型要选",IF(AND($L986&lt;&gt;"",COUNTIF(应收单号,$L986)=0),"★关联的应收单号不存在",IF(AND($L986&lt;&gt;"",IFERROR(INDEX(应收键,MATCH($L986,应收单号,0)),"")&lt;&gt;$D986),"★关联单号不是这个客户的",IF(AND($L986&lt;&gt;"",ROUND(SUMIF(收款关联,$L986,收款金额)-IFERROR(INDEX(应收金额,MATCH($L986,应收单号,0)),0),2)&gt;0.001),"★指定冲销超过那张单的应收","OK"))))))))</f>
        <v/>
      </c>
    </row>
    <row r="987" customFormat="false" ht="15" hidden="false" customHeight="false" outlineLevel="0" collapsed="false">
      <c r="A987" s="29" t="str">
        <f aca="false">IF($C987="","",ROW()-4)</f>
        <v/>
      </c>
      <c r="B987" s="35" t="str">
        <f aca="false">IF($C987="","","SK"&amp;TEXT($C987,"yyyymm")&amp;"-"&amp;TEXT(ROW()-4,"0000"))</f>
        <v/>
      </c>
      <c r="C987" s="33"/>
      <c r="D987" s="24"/>
      <c r="E987" s="30" t="str">
        <f aca="false">IF($D987="","",IFERROR(INDEX(合同单位,MATCH($D987,合同键,0)),IFERROR(TRIM(LEFT($D987,FIND("｜",$D987)-1)),$D987)))</f>
        <v/>
      </c>
      <c r="F987" s="30" t="str">
        <f aca="false">IF($D987="","",IFERROR(INDEX(合同项目,MATCH($D987,合同键,0)),IFERROR(TRIM(MID($D987,FIND("｜",$D987)+1,99)),"")))</f>
        <v/>
      </c>
      <c r="G987" s="39"/>
      <c r="H987" s="25"/>
      <c r="I987" s="35" t="str">
        <f aca="false">IF($H987="","",IFERROR(INDEX(票据归类表,MATCH($H987,票据类型表,0)),"现金无票"))</f>
        <v/>
      </c>
      <c r="J987" s="25"/>
      <c r="K987" s="25"/>
      <c r="L987" s="31"/>
      <c r="M987" s="29" t="str">
        <f aca="false">IF($C987="","",YEAR($C987))</f>
        <v/>
      </c>
      <c r="N987" s="24"/>
      <c r="O987" s="35" t="str">
        <f aca="false">IF($C987="","",IF($D987="","★没选客户项目",IF(COUNTIF(合同键,$D987)=0,"★《维保合同》里没这个项目",IF(N($G987)&lt;=0,"★收款金额要填",IF($H987="","★票据类型要选",IF(AND($L987&lt;&gt;"",COUNTIF(应收单号,$L987)=0),"★关联的应收单号不存在",IF(AND($L987&lt;&gt;"",IFERROR(INDEX(应收键,MATCH($L987,应收单号,0)),"")&lt;&gt;$D987),"★关联单号不是这个客户的",IF(AND($L987&lt;&gt;"",ROUND(SUMIF(收款关联,$L987,收款金额)-IFERROR(INDEX(应收金额,MATCH($L987,应收单号,0)),0),2)&gt;0.001),"★指定冲销超过那张单的应收","OK"))))))))</f>
        <v/>
      </c>
    </row>
    <row r="988" customFormat="false" ht="15" hidden="false" customHeight="false" outlineLevel="0" collapsed="false">
      <c r="A988" s="29" t="str">
        <f aca="false">IF($C988="","",ROW()-4)</f>
        <v/>
      </c>
      <c r="B988" s="35" t="str">
        <f aca="false">IF($C988="","","SK"&amp;TEXT($C988,"yyyymm")&amp;"-"&amp;TEXT(ROW()-4,"0000"))</f>
        <v/>
      </c>
      <c r="C988" s="33"/>
      <c r="D988" s="24"/>
      <c r="E988" s="30" t="str">
        <f aca="false">IF($D988="","",IFERROR(INDEX(合同单位,MATCH($D988,合同键,0)),IFERROR(TRIM(LEFT($D988,FIND("｜",$D988)-1)),$D988)))</f>
        <v/>
      </c>
      <c r="F988" s="30" t="str">
        <f aca="false">IF($D988="","",IFERROR(INDEX(合同项目,MATCH($D988,合同键,0)),IFERROR(TRIM(MID($D988,FIND("｜",$D988)+1,99)),"")))</f>
        <v/>
      </c>
      <c r="G988" s="39"/>
      <c r="H988" s="25"/>
      <c r="I988" s="35" t="str">
        <f aca="false">IF($H988="","",IFERROR(INDEX(票据归类表,MATCH($H988,票据类型表,0)),"现金无票"))</f>
        <v/>
      </c>
      <c r="J988" s="25"/>
      <c r="K988" s="25"/>
      <c r="L988" s="31"/>
      <c r="M988" s="29" t="str">
        <f aca="false">IF($C988="","",YEAR($C988))</f>
        <v/>
      </c>
      <c r="N988" s="24"/>
      <c r="O988" s="35" t="str">
        <f aca="false">IF($C988="","",IF($D988="","★没选客户项目",IF(COUNTIF(合同键,$D988)=0,"★《维保合同》里没这个项目",IF(N($G988)&lt;=0,"★收款金额要填",IF($H988="","★票据类型要选",IF(AND($L988&lt;&gt;"",COUNTIF(应收单号,$L988)=0),"★关联的应收单号不存在",IF(AND($L988&lt;&gt;"",IFERROR(INDEX(应收键,MATCH($L988,应收单号,0)),"")&lt;&gt;$D988),"★关联单号不是这个客户的",IF(AND($L988&lt;&gt;"",ROUND(SUMIF(收款关联,$L988,收款金额)-IFERROR(INDEX(应收金额,MATCH($L988,应收单号,0)),0),2)&gt;0.001),"★指定冲销超过那张单的应收","OK"))))))))</f>
        <v/>
      </c>
    </row>
    <row r="989" customFormat="false" ht="15" hidden="false" customHeight="false" outlineLevel="0" collapsed="false">
      <c r="A989" s="29" t="str">
        <f aca="false">IF($C989="","",ROW()-4)</f>
        <v/>
      </c>
      <c r="B989" s="35" t="str">
        <f aca="false">IF($C989="","","SK"&amp;TEXT($C989,"yyyymm")&amp;"-"&amp;TEXT(ROW()-4,"0000"))</f>
        <v/>
      </c>
      <c r="C989" s="33"/>
      <c r="D989" s="24"/>
      <c r="E989" s="30" t="str">
        <f aca="false">IF($D989="","",IFERROR(INDEX(合同单位,MATCH($D989,合同键,0)),IFERROR(TRIM(LEFT($D989,FIND("｜",$D989)-1)),$D989)))</f>
        <v/>
      </c>
      <c r="F989" s="30" t="str">
        <f aca="false">IF($D989="","",IFERROR(INDEX(合同项目,MATCH($D989,合同键,0)),IFERROR(TRIM(MID($D989,FIND("｜",$D989)+1,99)),"")))</f>
        <v/>
      </c>
      <c r="G989" s="39"/>
      <c r="H989" s="25"/>
      <c r="I989" s="35" t="str">
        <f aca="false">IF($H989="","",IFERROR(INDEX(票据归类表,MATCH($H989,票据类型表,0)),"现金无票"))</f>
        <v/>
      </c>
      <c r="J989" s="25"/>
      <c r="K989" s="25"/>
      <c r="L989" s="31"/>
      <c r="M989" s="29" t="str">
        <f aca="false">IF($C989="","",YEAR($C989))</f>
        <v/>
      </c>
      <c r="N989" s="24"/>
      <c r="O989" s="35" t="str">
        <f aca="false">IF($C989="","",IF($D989="","★没选客户项目",IF(COUNTIF(合同键,$D989)=0,"★《维保合同》里没这个项目",IF(N($G989)&lt;=0,"★收款金额要填",IF($H989="","★票据类型要选",IF(AND($L989&lt;&gt;"",COUNTIF(应收单号,$L989)=0),"★关联的应收单号不存在",IF(AND($L989&lt;&gt;"",IFERROR(INDEX(应收键,MATCH($L989,应收单号,0)),"")&lt;&gt;$D989),"★关联单号不是这个客户的",IF(AND($L989&lt;&gt;"",ROUND(SUMIF(收款关联,$L989,收款金额)-IFERROR(INDEX(应收金额,MATCH($L989,应收单号,0)),0),2)&gt;0.001),"★指定冲销超过那张单的应收","OK"))))))))</f>
        <v/>
      </c>
    </row>
    <row r="990" customFormat="false" ht="15" hidden="false" customHeight="false" outlineLevel="0" collapsed="false">
      <c r="A990" s="29" t="str">
        <f aca="false">IF($C990="","",ROW()-4)</f>
        <v/>
      </c>
      <c r="B990" s="35" t="str">
        <f aca="false">IF($C990="","","SK"&amp;TEXT($C990,"yyyymm")&amp;"-"&amp;TEXT(ROW()-4,"0000"))</f>
        <v/>
      </c>
      <c r="C990" s="33"/>
      <c r="D990" s="24"/>
      <c r="E990" s="30" t="str">
        <f aca="false">IF($D990="","",IFERROR(INDEX(合同单位,MATCH($D990,合同键,0)),IFERROR(TRIM(LEFT($D990,FIND("｜",$D990)-1)),$D990)))</f>
        <v/>
      </c>
      <c r="F990" s="30" t="str">
        <f aca="false">IF($D990="","",IFERROR(INDEX(合同项目,MATCH($D990,合同键,0)),IFERROR(TRIM(MID($D990,FIND("｜",$D990)+1,99)),"")))</f>
        <v/>
      </c>
      <c r="G990" s="39"/>
      <c r="H990" s="25"/>
      <c r="I990" s="35" t="str">
        <f aca="false">IF($H990="","",IFERROR(INDEX(票据归类表,MATCH($H990,票据类型表,0)),"现金无票"))</f>
        <v/>
      </c>
      <c r="J990" s="25"/>
      <c r="K990" s="25"/>
      <c r="L990" s="31"/>
      <c r="M990" s="29" t="str">
        <f aca="false">IF($C990="","",YEAR($C990))</f>
        <v/>
      </c>
      <c r="N990" s="24"/>
      <c r="O990" s="35" t="str">
        <f aca="false">IF($C990="","",IF($D990="","★没选客户项目",IF(COUNTIF(合同键,$D990)=0,"★《维保合同》里没这个项目",IF(N($G990)&lt;=0,"★收款金额要填",IF($H990="","★票据类型要选",IF(AND($L990&lt;&gt;"",COUNTIF(应收单号,$L990)=0),"★关联的应收单号不存在",IF(AND($L990&lt;&gt;"",IFERROR(INDEX(应收键,MATCH($L990,应收单号,0)),"")&lt;&gt;$D990),"★关联单号不是这个客户的",IF(AND($L990&lt;&gt;"",ROUND(SUMIF(收款关联,$L990,收款金额)-IFERROR(INDEX(应收金额,MATCH($L990,应收单号,0)),0),2)&gt;0.001),"★指定冲销超过那张单的应收","OK"))))))))</f>
        <v/>
      </c>
    </row>
    <row r="991" customFormat="false" ht="15" hidden="false" customHeight="false" outlineLevel="0" collapsed="false">
      <c r="A991" s="29" t="str">
        <f aca="false">IF($C991="","",ROW()-4)</f>
        <v/>
      </c>
      <c r="B991" s="35" t="str">
        <f aca="false">IF($C991="","","SK"&amp;TEXT($C991,"yyyymm")&amp;"-"&amp;TEXT(ROW()-4,"0000"))</f>
        <v/>
      </c>
      <c r="C991" s="33"/>
      <c r="D991" s="24"/>
      <c r="E991" s="30" t="str">
        <f aca="false">IF($D991="","",IFERROR(INDEX(合同单位,MATCH($D991,合同键,0)),IFERROR(TRIM(LEFT($D991,FIND("｜",$D991)-1)),$D991)))</f>
        <v/>
      </c>
      <c r="F991" s="30" t="str">
        <f aca="false">IF($D991="","",IFERROR(INDEX(合同项目,MATCH($D991,合同键,0)),IFERROR(TRIM(MID($D991,FIND("｜",$D991)+1,99)),"")))</f>
        <v/>
      </c>
      <c r="G991" s="39"/>
      <c r="H991" s="25"/>
      <c r="I991" s="35" t="str">
        <f aca="false">IF($H991="","",IFERROR(INDEX(票据归类表,MATCH($H991,票据类型表,0)),"现金无票"))</f>
        <v/>
      </c>
      <c r="J991" s="25"/>
      <c r="K991" s="25"/>
      <c r="L991" s="31"/>
      <c r="M991" s="29" t="str">
        <f aca="false">IF($C991="","",YEAR($C991))</f>
        <v/>
      </c>
      <c r="N991" s="24"/>
      <c r="O991" s="35" t="str">
        <f aca="false">IF($C991="","",IF($D991="","★没选客户项目",IF(COUNTIF(合同键,$D991)=0,"★《维保合同》里没这个项目",IF(N($G991)&lt;=0,"★收款金额要填",IF($H991="","★票据类型要选",IF(AND($L991&lt;&gt;"",COUNTIF(应收单号,$L991)=0),"★关联的应收单号不存在",IF(AND($L991&lt;&gt;"",IFERROR(INDEX(应收键,MATCH($L991,应收单号,0)),"")&lt;&gt;$D991),"★关联单号不是这个客户的",IF(AND($L991&lt;&gt;"",ROUND(SUMIF(收款关联,$L991,收款金额)-IFERROR(INDEX(应收金额,MATCH($L991,应收单号,0)),0),2)&gt;0.001),"★指定冲销超过那张单的应收","OK"))))))))</f>
        <v/>
      </c>
    </row>
    <row r="992" customFormat="false" ht="15" hidden="false" customHeight="false" outlineLevel="0" collapsed="false">
      <c r="A992" s="29" t="str">
        <f aca="false">IF($C992="","",ROW()-4)</f>
        <v/>
      </c>
      <c r="B992" s="35" t="str">
        <f aca="false">IF($C992="","","SK"&amp;TEXT($C992,"yyyymm")&amp;"-"&amp;TEXT(ROW()-4,"0000"))</f>
        <v/>
      </c>
      <c r="C992" s="33"/>
      <c r="D992" s="24"/>
      <c r="E992" s="30" t="str">
        <f aca="false">IF($D992="","",IFERROR(INDEX(合同单位,MATCH($D992,合同键,0)),IFERROR(TRIM(LEFT($D992,FIND("｜",$D992)-1)),$D992)))</f>
        <v/>
      </c>
      <c r="F992" s="30" t="str">
        <f aca="false">IF($D992="","",IFERROR(INDEX(合同项目,MATCH($D992,合同键,0)),IFERROR(TRIM(MID($D992,FIND("｜",$D992)+1,99)),"")))</f>
        <v/>
      </c>
      <c r="G992" s="39"/>
      <c r="H992" s="25"/>
      <c r="I992" s="35" t="str">
        <f aca="false">IF($H992="","",IFERROR(INDEX(票据归类表,MATCH($H992,票据类型表,0)),"现金无票"))</f>
        <v/>
      </c>
      <c r="J992" s="25"/>
      <c r="K992" s="25"/>
      <c r="L992" s="31"/>
      <c r="M992" s="29" t="str">
        <f aca="false">IF($C992="","",YEAR($C992))</f>
        <v/>
      </c>
      <c r="N992" s="24"/>
      <c r="O992" s="35" t="str">
        <f aca="false">IF($C992="","",IF($D992="","★没选客户项目",IF(COUNTIF(合同键,$D992)=0,"★《维保合同》里没这个项目",IF(N($G992)&lt;=0,"★收款金额要填",IF($H992="","★票据类型要选",IF(AND($L992&lt;&gt;"",COUNTIF(应收单号,$L992)=0),"★关联的应收单号不存在",IF(AND($L992&lt;&gt;"",IFERROR(INDEX(应收键,MATCH($L992,应收单号,0)),"")&lt;&gt;$D992),"★关联单号不是这个客户的",IF(AND($L992&lt;&gt;"",ROUND(SUMIF(收款关联,$L992,收款金额)-IFERROR(INDEX(应收金额,MATCH($L992,应收单号,0)),0),2)&gt;0.001),"★指定冲销超过那张单的应收","OK"))))))))</f>
        <v/>
      </c>
    </row>
    <row r="993" customFormat="false" ht="15" hidden="false" customHeight="false" outlineLevel="0" collapsed="false">
      <c r="A993" s="29" t="str">
        <f aca="false">IF($C993="","",ROW()-4)</f>
        <v/>
      </c>
      <c r="B993" s="35" t="str">
        <f aca="false">IF($C993="","","SK"&amp;TEXT($C993,"yyyymm")&amp;"-"&amp;TEXT(ROW()-4,"0000"))</f>
        <v/>
      </c>
      <c r="C993" s="33"/>
      <c r="D993" s="24"/>
      <c r="E993" s="30" t="str">
        <f aca="false">IF($D993="","",IFERROR(INDEX(合同单位,MATCH($D993,合同键,0)),IFERROR(TRIM(LEFT($D993,FIND("｜",$D993)-1)),$D993)))</f>
        <v/>
      </c>
      <c r="F993" s="30" t="str">
        <f aca="false">IF($D993="","",IFERROR(INDEX(合同项目,MATCH($D993,合同键,0)),IFERROR(TRIM(MID($D993,FIND("｜",$D993)+1,99)),"")))</f>
        <v/>
      </c>
      <c r="G993" s="39"/>
      <c r="H993" s="25"/>
      <c r="I993" s="35" t="str">
        <f aca="false">IF($H993="","",IFERROR(INDEX(票据归类表,MATCH($H993,票据类型表,0)),"现金无票"))</f>
        <v/>
      </c>
      <c r="J993" s="25"/>
      <c r="K993" s="25"/>
      <c r="L993" s="31"/>
      <c r="M993" s="29" t="str">
        <f aca="false">IF($C993="","",YEAR($C993))</f>
        <v/>
      </c>
      <c r="N993" s="24"/>
      <c r="O993" s="35" t="str">
        <f aca="false">IF($C993="","",IF($D993="","★没选客户项目",IF(COUNTIF(合同键,$D993)=0,"★《维保合同》里没这个项目",IF(N($G993)&lt;=0,"★收款金额要填",IF($H993="","★票据类型要选",IF(AND($L993&lt;&gt;"",COUNTIF(应收单号,$L993)=0),"★关联的应收单号不存在",IF(AND($L993&lt;&gt;"",IFERROR(INDEX(应收键,MATCH($L993,应收单号,0)),"")&lt;&gt;$D993),"★关联单号不是这个客户的",IF(AND($L993&lt;&gt;"",ROUND(SUMIF(收款关联,$L993,收款金额)-IFERROR(INDEX(应收金额,MATCH($L993,应收单号,0)),0),2)&gt;0.001),"★指定冲销超过那张单的应收","OK"))))))))</f>
        <v/>
      </c>
    </row>
    <row r="994" customFormat="false" ht="15" hidden="false" customHeight="false" outlineLevel="0" collapsed="false">
      <c r="A994" s="29" t="str">
        <f aca="false">IF($C994="","",ROW()-4)</f>
        <v/>
      </c>
      <c r="B994" s="35" t="str">
        <f aca="false">IF($C994="","","SK"&amp;TEXT($C994,"yyyymm")&amp;"-"&amp;TEXT(ROW()-4,"0000"))</f>
        <v/>
      </c>
      <c r="C994" s="33"/>
      <c r="D994" s="24"/>
      <c r="E994" s="30" t="str">
        <f aca="false">IF($D994="","",IFERROR(INDEX(合同单位,MATCH($D994,合同键,0)),IFERROR(TRIM(LEFT($D994,FIND("｜",$D994)-1)),$D994)))</f>
        <v/>
      </c>
      <c r="F994" s="30" t="str">
        <f aca="false">IF($D994="","",IFERROR(INDEX(合同项目,MATCH($D994,合同键,0)),IFERROR(TRIM(MID($D994,FIND("｜",$D994)+1,99)),"")))</f>
        <v/>
      </c>
      <c r="G994" s="39"/>
      <c r="H994" s="25"/>
      <c r="I994" s="35" t="str">
        <f aca="false">IF($H994="","",IFERROR(INDEX(票据归类表,MATCH($H994,票据类型表,0)),"现金无票"))</f>
        <v/>
      </c>
      <c r="J994" s="25"/>
      <c r="K994" s="25"/>
      <c r="L994" s="31"/>
      <c r="M994" s="29" t="str">
        <f aca="false">IF($C994="","",YEAR($C994))</f>
        <v/>
      </c>
      <c r="N994" s="24"/>
      <c r="O994" s="35" t="str">
        <f aca="false">IF($C994="","",IF($D994="","★没选客户项目",IF(COUNTIF(合同键,$D994)=0,"★《维保合同》里没这个项目",IF(N($G994)&lt;=0,"★收款金额要填",IF($H994="","★票据类型要选",IF(AND($L994&lt;&gt;"",COUNTIF(应收单号,$L994)=0),"★关联的应收单号不存在",IF(AND($L994&lt;&gt;"",IFERROR(INDEX(应收键,MATCH($L994,应收单号,0)),"")&lt;&gt;$D994),"★关联单号不是这个客户的",IF(AND($L994&lt;&gt;"",ROUND(SUMIF(收款关联,$L994,收款金额)-IFERROR(INDEX(应收金额,MATCH($L994,应收单号,0)),0),2)&gt;0.001),"★指定冲销超过那张单的应收","OK"))))))))</f>
        <v/>
      </c>
    </row>
    <row r="995" customFormat="false" ht="15" hidden="false" customHeight="false" outlineLevel="0" collapsed="false">
      <c r="A995" s="29" t="str">
        <f aca="false">IF($C995="","",ROW()-4)</f>
        <v/>
      </c>
      <c r="B995" s="35" t="str">
        <f aca="false">IF($C995="","","SK"&amp;TEXT($C995,"yyyymm")&amp;"-"&amp;TEXT(ROW()-4,"0000"))</f>
        <v/>
      </c>
      <c r="C995" s="33"/>
      <c r="D995" s="24"/>
      <c r="E995" s="30" t="str">
        <f aca="false">IF($D995="","",IFERROR(INDEX(合同单位,MATCH($D995,合同键,0)),IFERROR(TRIM(LEFT($D995,FIND("｜",$D995)-1)),$D995)))</f>
        <v/>
      </c>
      <c r="F995" s="30" t="str">
        <f aca="false">IF($D995="","",IFERROR(INDEX(合同项目,MATCH($D995,合同键,0)),IFERROR(TRIM(MID($D995,FIND("｜",$D995)+1,99)),"")))</f>
        <v/>
      </c>
      <c r="G995" s="39"/>
      <c r="H995" s="25"/>
      <c r="I995" s="35" t="str">
        <f aca="false">IF($H995="","",IFERROR(INDEX(票据归类表,MATCH($H995,票据类型表,0)),"现金无票"))</f>
        <v/>
      </c>
      <c r="J995" s="25"/>
      <c r="K995" s="25"/>
      <c r="L995" s="31"/>
      <c r="M995" s="29" t="str">
        <f aca="false">IF($C995="","",YEAR($C995))</f>
        <v/>
      </c>
      <c r="N995" s="24"/>
      <c r="O995" s="35" t="str">
        <f aca="false">IF($C995="","",IF($D995="","★没选客户项目",IF(COUNTIF(合同键,$D995)=0,"★《维保合同》里没这个项目",IF(N($G995)&lt;=0,"★收款金额要填",IF($H995="","★票据类型要选",IF(AND($L995&lt;&gt;"",COUNTIF(应收单号,$L995)=0),"★关联的应收单号不存在",IF(AND($L995&lt;&gt;"",IFERROR(INDEX(应收键,MATCH($L995,应收单号,0)),"")&lt;&gt;$D995),"★关联单号不是这个客户的",IF(AND($L995&lt;&gt;"",ROUND(SUMIF(收款关联,$L995,收款金额)-IFERROR(INDEX(应收金额,MATCH($L995,应收单号,0)),0),2)&gt;0.001),"★指定冲销超过那张单的应收","OK"))))))))</f>
        <v/>
      </c>
    </row>
    <row r="996" customFormat="false" ht="15" hidden="false" customHeight="false" outlineLevel="0" collapsed="false">
      <c r="A996" s="29" t="str">
        <f aca="false">IF($C996="","",ROW()-4)</f>
        <v/>
      </c>
      <c r="B996" s="35" t="str">
        <f aca="false">IF($C996="","","SK"&amp;TEXT($C996,"yyyymm")&amp;"-"&amp;TEXT(ROW()-4,"0000"))</f>
        <v/>
      </c>
      <c r="C996" s="33"/>
      <c r="D996" s="24"/>
      <c r="E996" s="30" t="str">
        <f aca="false">IF($D996="","",IFERROR(INDEX(合同单位,MATCH($D996,合同键,0)),IFERROR(TRIM(LEFT($D996,FIND("｜",$D996)-1)),$D996)))</f>
        <v/>
      </c>
      <c r="F996" s="30" t="str">
        <f aca="false">IF($D996="","",IFERROR(INDEX(合同项目,MATCH($D996,合同键,0)),IFERROR(TRIM(MID($D996,FIND("｜",$D996)+1,99)),"")))</f>
        <v/>
      </c>
      <c r="G996" s="39"/>
      <c r="H996" s="25"/>
      <c r="I996" s="35" t="str">
        <f aca="false">IF($H996="","",IFERROR(INDEX(票据归类表,MATCH($H996,票据类型表,0)),"现金无票"))</f>
        <v/>
      </c>
      <c r="J996" s="25"/>
      <c r="K996" s="25"/>
      <c r="L996" s="31"/>
      <c r="M996" s="29" t="str">
        <f aca="false">IF($C996="","",YEAR($C996))</f>
        <v/>
      </c>
      <c r="N996" s="24"/>
      <c r="O996" s="35" t="str">
        <f aca="false">IF($C996="","",IF($D996="","★没选客户项目",IF(COUNTIF(合同键,$D996)=0,"★《维保合同》里没这个项目",IF(N($G996)&lt;=0,"★收款金额要填",IF($H996="","★票据类型要选",IF(AND($L996&lt;&gt;"",COUNTIF(应收单号,$L996)=0),"★关联的应收单号不存在",IF(AND($L996&lt;&gt;"",IFERROR(INDEX(应收键,MATCH($L996,应收单号,0)),"")&lt;&gt;$D996),"★关联单号不是这个客户的",IF(AND($L996&lt;&gt;"",ROUND(SUMIF(收款关联,$L996,收款金额)-IFERROR(INDEX(应收金额,MATCH($L996,应收单号,0)),0),2)&gt;0.001),"★指定冲销超过那张单的应收","OK"))))))))</f>
        <v/>
      </c>
    </row>
    <row r="997" customFormat="false" ht="15" hidden="false" customHeight="false" outlineLevel="0" collapsed="false">
      <c r="A997" s="29" t="str">
        <f aca="false">IF($C997="","",ROW()-4)</f>
        <v/>
      </c>
      <c r="B997" s="35" t="str">
        <f aca="false">IF($C997="","","SK"&amp;TEXT($C997,"yyyymm")&amp;"-"&amp;TEXT(ROW()-4,"0000"))</f>
        <v/>
      </c>
      <c r="C997" s="33"/>
      <c r="D997" s="24"/>
      <c r="E997" s="30" t="str">
        <f aca="false">IF($D997="","",IFERROR(INDEX(合同单位,MATCH($D997,合同键,0)),IFERROR(TRIM(LEFT($D997,FIND("｜",$D997)-1)),$D997)))</f>
        <v/>
      </c>
      <c r="F997" s="30" t="str">
        <f aca="false">IF($D997="","",IFERROR(INDEX(合同项目,MATCH($D997,合同键,0)),IFERROR(TRIM(MID($D997,FIND("｜",$D997)+1,99)),"")))</f>
        <v/>
      </c>
      <c r="G997" s="39"/>
      <c r="H997" s="25"/>
      <c r="I997" s="35" t="str">
        <f aca="false">IF($H997="","",IFERROR(INDEX(票据归类表,MATCH($H997,票据类型表,0)),"现金无票"))</f>
        <v/>
      </c>
      <c r="J997" s="25"/>
      <c r="K997" s="25"/>
      <c r="L997" s="31"/>
      <c r="M997" s="29" t="str">
        <f aca="false">IF($C997="","",YEAR($C997))</f>
        <v/>
      </c>
      <c r="N997" s="24"/>
      <c r="O997" s="35" t="str">
        <f aca="false">IF($C997="","",IF($D997="","★没选客户项目",IF(COUNTIF(合同键,$D997)=0,"★《维保合同》里没这个项目",IF(N($G997)&lt;=0,"★收款金额要填",IF($H997="","★票据类型要选",IF(AND($L997&lt;&gt;"",COUNTIF(应收单号,$L997)=0),"★关联的应收单号不存在",IF(AND($L997&lt;&gt;"",IFERROR(INDEX(应收键,MATCH($L997,应收单号,0)),"")&lt;&gt;$D997),"★关联单号不是这个客户的",IF(AND($L997&lt;&gt;"",ROUND(SUMIF(收款关联,$L997,收款金额)-IFERROR(INDEX(应收金额,MATCH($L997,应收单号,0)),0),2)&gt;0.001),"★指定冲销超过那张单的应收","OK"))))))))</f>
        <v/>
      </c>
    </row>
    <row r="998" customFormat="false" ht="15" hidden="false" customHeight="false" outlineLevel="0" collapsed="false">
      <c r="A998" s="29" t="str">
        <f aca="false">IF($C998="","",ROW()-4)</f>
        <v/>
      </c>
      <c r="B998" s="35" t="str">
        <f aca="false">IF($C998="","","SK"&amp;TEXT($C998,"yyyymm")&amp;"-"&amp;TEXT(ROW()-4,"0000"))</f>
        <v/>
      </c>
      <c r="C998" s="33"/>
      <c r="D998" s="24"/>
      <c r="E998" s="30" t="str">
        <f aca="false">IF($D998="","",IFERROR(INDEX(合同单位,MATCH($D998,合同键,0)),IFERROR(TRIM(LEFT($D998,FIND("｜",$D998)-1)),$D998)))</f>
        <v/>
      </c>
      <c r="F998" s="30" t="str">
        <f aca="false">IF($D998="","",IFERROR(INDEX(合同项目,MATCH($D998,合同键,0)),IFERROR(TRIM(MID($D998,FIND("｜",$D998)+1,99)),"")))</f>
        <v/>
      </c>
      <c r="G998" s="39"/>
      <c r="H998" s="25"/>
      <c r="I998" s="35" t="str">
        <f aca="false">IF($H998="","",IFERROR(INDEX(票据归类表,MATCH($H998,票据类型表,0)),"现金无票"))</f>
        <v/>
      </c>
      <c r="J998" s="25"/>
      <c r="K998" s="25"/>
      <c r="L998" s="31"/>
      <c r="M998" s="29" t="str">
        <f aca="false">IF($C998="","",YEAR($C998))</f>
        <v/>
      </c>
      <c r="N998" s="24"/>
      <c r="O998" s="35" t="str">
        <f aca="false">IF($C998="","",IF($D998="","★没选客户项目",IF(COUNTIF(合同键,$D998)=0,"★《维保合同》里没这个项目",IF(N($G998)&lt;=0,"★收款金额要填",IF($H998="","★票据类型要选",IF(AND($L998&lt;&gt;"",COUNTIF(应收单号,$L998)=0),"★关联的应收单号不存在",IF(AND($L998&lt;&gt;"",IFERROR(INDEX(应收键,MATCH($L998,应收单号,0)),"")&lt;&gt;$D998),"★关联单号不是这个客户的",IF(AND($L998&lt;&gt;"",ROUND(SUMIF(收款关联,$L998,收款金额)-IFERROR(INDEX(应收金额,MATCH($L998,应收单号,0)),0),2)&gt;0.001),"★指定冲销超过那张单的应收","OK"))))))))</f>
        <v/>
      </c>
    </row>
    <row r="999" customFormat="false" ht="15" hidden="false" customHeight="false" outlineLevel="0" collapsed="false">
      <c r="A999" s="29" t="str">
        <f aca="false">IF($C999="","",ROW()-4)</f>
        <v/>
      </c>
      <c r="B999" s="35" t="str">
        <f aca="false">IF($C999="","","SK"&amp;TEXT($C999,"yyyymm")&amp;"-"&amp;TEXT(ROW()-4,"0000"))</f>
        <v/>
      </c>
      <c r="C999" s="33"/>
      <c r="D999" s="24"/>
      <c r="E999" s="30" t="str">
        <f aca="false">IF($D999="","",IFERROR(INDEX(合同单位,MATCH($D999,合同键,0)),IFERROR(TRIM(LEFT($D999,FIND("｜",$D999)-1)),$D999)))</f>
        <v/>
      </c>
      <c r="F999" s="30" t="str">
        <f aca="false">IF($D999="","",IFERROR(INDEX(合同项目,MATCH($D999,合同键,0)),IFERROR(TRIM(MID($D999,FIND("｜",$D999)+1,99)),"")))</f>
        <v/>
      </c>
      <c r="G999" s="39"/>
      <c r="H999" s="25"/>
      <c r="I999" s="35" t="str">
        <f aca="false">IF($H999="","",IFERROR(INDEX(票据归类表,MATCH($H999,票据类型表,0)),"现金无票"))</f>
        <v/>
      </c>
      <c r="J999" s="25"/>
      <c r="K999" s="25"/>
      <c r="L999" s="31"/>
      <c r="M999" s="29" t="str">
        <f aca="false">IF($C999="","",YEAR($C999))</f>
        <v/>
      </c>
      <c r="N999" s="24"/>
      <c r="O999" s="35" t="str">
        <f aca="false">IF($C999="","",IF($D999="","★没选客户项目",IF(COUNTIF(合同键,$D999)=0,"★《维保合同》里没这个项目",IF(N($G999)&lt;=0,"★收款金额要填",IF($H999="","★票据类型要选",IF(AND($L999&lt;&gt;"",COUNTIF(应收单号,$L999)=0),"★关联的应收单号不存在",IF(AND($L999&lt;&gt;"",IFERROR(INDEX(应收键,MATCH($L999,应收单号,0)),"")&lt;&gt;$D999),"★关联单号不是这个客户的",IF(AND($L999&lt;&gt;"",ROUND(SUMIF(收款关联,$L999,收款金额)-IFERROR(INDEX(应收金额,MATCH($L999,应收单号,0)),0),2)&gt;0.001),"★指定冲销超过那张单的应收","OK"))))))))</f>
        <v/>
      </c>
    </row>
    <row r="1000" customFormat="false" ht="15" hidden="false" customHeight="false" outlineLevel="0" collapsed="false">
      <c r="A1000" s="29" t="str">
        <f aca="false">IF($C1000="","",ROW()-4)</f>
        <v/>
      </c>
      <c r="B1000" s="35" t="str">
        <f aca="false">IF($C1000="","","SK"&amp;TEXT($C1000,"yyyymm")&amp;"-"&amp;TEXT(ROW()-4,"0000"))</f>
        <v/>
      </c>
      <c r="C1000" s="33"/>
      <c r="D1000" s="24"/>
      <c r="E1000" s="30" t="str">
        <f aca="false">IF($D1000="","",IFERROR(INDEX(合同单位,MATCH($D1000,合同键,0)),IFERROR(TRIM(LEFT($D1000,FIND("｜",$D1000)-1)),$D1000)))</f>
        <v/>
      </c>
      <c r="F1000" s="30" t="str">
        <f aca="false">IF($D1000="","",IFERROR(INDEX(合同项目,MATCH($D1000,合同键,0)),IFERROR(TRIM(MID($D1000,FIND("｜",$D1000)+1,99)),"")))</f>
        <v/>
      </c>
      <c r="G1000" s="39"/>
      <c r="H1000" s="25"/>
      <c r="I1000" s="35" t="str">
        <f aca="false">IF($H1000="","",IFERROR(INDEX(票据归类表,MATCH($H1000,票据类型表,0)),"现金无票"))</f>
        <v/>
      </c>
      <c r="J1000" s="25"/>
      <c r="K1000" s="25"/>
      <c r="L1000" s="31"/>
      <c r="M1000" s="29" t="str">
        <f aca="false">IF($C1000="","",YEAR($C1000))</f>
        <v/>
      </c>
      <c r="N1000" s="24"/>
      <c r="O1000" s="35" t="str">
        <f aca="false">IF($C1000="","",IF($D1000="","★没选客户项目",IF(COUNTIF(合同键,$D1000)=0,"★《维保合同》里没这个项目",IF(N($G1000)&lt;=0,"★收款金额要填",IF($H1000="","★票据类型要选",IF(AND($L1000&lt;&gt;"",COUNTIF(应收单号,$L1000)=0),"★关联的应收单号不存在",IF(AND($L1000&lt;&gt;"",IFERROR(INDEX(应收键,MATCH($L1000,应收单号,0)),"")&lt;&gt;$D1000),"★关联单号不是这个客户的",IF(AND($L1000&lt;&gt;"",ROUND(SUMIF(收款关联,$L1000,收款金额)-IFERROR(INDEX(应收金额,MATCH($L1000,应收单号,0)),0),2)&gt;0.001),"★指定冲销超过那张单的应收","OK"))))))))</f>
        <v/>
      </c>
    </row>
    <row r="1001" customFormat="false" ht="15" hidden="false" customHeight="false" outlineLevel="0" collapsed="false">
      <c r="A1001" s="29" t="str">
        <f aca="false">IF($C1001="","",ROW()-4)</f>
        <v/>
      </c>
      <c r="B1001" s="35" t="str">
        <f aca="false">IF($C1001="","","SK"&amp;TEXT($C1001,"yyyymm")&amp;"-"&amp;TEXT(ROW()-4,"0000"))</f>
        <v/>
      </c>
      <c r="C1001" s="33"/>
      <c r="D1001" s="24"/>
      <c r="E1001" s="30" t="str">
        <f aca="false">IF($D1001="","",IFERROR(INDEX(合同单位,MATCH($D1001,合同键,0)),IFERROR(TRIM(LEFT($D1001,FIND("｜",$D1001)-1)),$D1001)))</f>
        <v/>
      </c>
      <c r="F1001" s="30" t="str">
        <f aca="false">IF($D1001="","",IFERROR(INDEX(合同项目,MATCH($D1001,合同键,0)),IFERROR(TRIM(MID($D1001,FIND("｜",$D1001)+1,99)),"")))</f>
        <v/>
      </c>
      <c r="G1001" s="39"/>
      <c r="H1001" s="25"/>
      <c r="I1001" s="35" t="str">
        <f aca="false">IF($H1001="","",IFERROR(INDEX(票据归类表,MATCH($H1001,票据类型表,0)),"现金无票"))</f>
        <v/>
      </c>
      <c r="J1001" s="25"/>
      <c r="K1001" s="25"/>
      <c r="L1001" s="31"/>
      <c r="M1001" s="29" t="str">
        <f aca="false">IF($C1001="","",YEAR($C1001))</f>
        <v/>
      </c>
      <c r="N1001" s="24"/>
      <c r="O1001" s="35" t="str">
        <f aca="false">IF($C1001="","",IF($D1001="","★没选客户项目",IF(COUNTIF(合同键,$D1001)=0,"★《维保合同》里没这个项目",IF(N($G1001)&lt;=0,"★收款金额要填",IF($H1001="","★票据类型要选",IF(AND($L1001&lt;&gt;"",COUNTIF(应收单号,$L1001)=0),"★关联的应收单号不存在",IF(AND($L1001&lt;&gt;"",IFERROR(INDEX(应收键,MATCH($L1001,应收单号,0)),"")&lt;&gt;$D1001),"★关联单号不是这个客户的",IF(AND($L1001&lt;&gt;"",ROUND(SUMIF(收款关联,$L1001,收款金额)-IFERROR(INDEX(应收金额,MATCH($L1001,应收单号,0)),0),2)&gt;0.001),"★指定冲销超过那张单的应收","OK"))))))))</f>
        <v/>
      </c>
    </row>
    <row r="1002" customFormat="false" ht="15" hidden="false" customHeight="false" outlineLevel="0" collapsed="false">
      <c r="A1002" s="29" t="str">
        <f aca="false">IF($C1002="","",ROW()-4)</f>
        <v/>
      </c>
      <c r="B1002" s="35" t="str">
        <f aca="false">IF($C1002="","","SK"&amp;TEXT($C1002,"yyyymm")&amp;"-"&amp;TEXT(ROW()-4,"0000"))</f>
        <v/>
      </c>
      <c r="C1002" s="33"/>
      <c r="D1002" s="24"/>
      <c r="E1002" s="30" t="str">
        <f aca="false">IF($D1002="","",IFERROR(INDEX(合同单位,MATCH($D1002,合同键,0)),IFERROR(TRIM(LEFT($D1002,FIND("｜",$D1002)-1)),$D1002)))</f>
        <v/>
      </c>
      <c r="F1002" s="30" t="str">
        <f aca="false">IF($D1002="","",IFERROR(INDEX(合同项目,MATCH($D1002,合同键,0)),IFERROR(TRIM(MID($D1002,FIND("｜",$D1002)+1,99)),"")))</f>
        <v/>
      </c>
      <c r="G1002" s="39"/>
      <c r="H1002" s="25"/>
      <c r="I1002" s="35" t="str">
        <f aca="false">IF($H1002="","",IFERROR(INDEX(票据归类表,MATCH($H1002,票据类型表,0)),"现金无票"))</f>
        <v/>
      </c>
      <c r="J1002" s="25"/>
      <c r="K1002" s="25"/>
      <c r="L1002" s="31"/>
      <c r="M1002" s="29" t="str">
        <f aca="false">IF($C1002="","",YEAR($C1002))</f>
        <v/>
      </c>
      <c r="N1002" s="24"/>
      <c r="O1002" s="35" t="str">
        <f aca="false">IF($C1002="","",IF($D1002="","★没选客户项目",IF(COUNTIF(合同键,$D1002)=0,"★《维保合同》里没这个项目",IF(N($G1002)&lt;=0,"★收款金额要填",IF($H1002="","★票据类型要选",IF(AND($L1002&lt;&gt;"",COUNTIF(应收单号,$L1002)=0),"★关联的应收单号不存在",IF(AND($L1002&lt;&gt;"",IFERROR(INDEX(应收键,MATCH($L1002,应收单号,0)),"")&lt;&gt;$D1002),"★关联单号不是这个客户的",IF(AND($L1002&lt;&gt;"",ROUND(SUMIF(收款关联,$L1002,收款金额)-IFERROR(INDEX(应收金额,MATCH($L1002,应收单号,0)),0),2)&gt;0.001),"★指定冲销超过那张单的应收","OK"))))))))</f>
        <v/>
      </c>
    </row>
    <row r="1003" customFormat="false" ht="15" hidden="false" customHeight="false" outlineLevel="0" collapsed="false">
      <c r="A1003" s="29" t="str">
        <f aca="false">IF($C1003="","",ROW()-4)</f>
        <v/>
      </c>
      <c r="B1003" s="35" t="str">
        <f aca="false">IF($C1003="","","SK"&amp;TEXT($C1003,"yyyymm")&amp;"-"&amp;TEXT(ROW()-4,"0000"))</f>
        <v/>
      </c>
      <c r="C1003" s="33"/>
      <c r="D1003" s="24"/>
      <c r="E1003" s="30" t="str">
        <f aca="false">IF($D1003="","",IFERROR(INDEX(合同单位,MATCH($D1003,合同键,0)),IFERROR(TRIM(LEFT($D1003,FIND("｜",$D1003)-1)),$D1003)))</f>
        <v/>
      </c>
      <c r="F1003" s="30" t="str">
        <f aca="false">IF($D1003="","",IFERROR(INDEX(合同项目,MATCH($D1003,合同键,0)),IFERROR(TRIM(MID($D1003,FIND("｜",$D1003)+1,99)),"")))</f>
        <v/>
      </c>
      <c r="G1003" s="39"/>
      <c r="H1003" s="25"/>
      <c r="I1003" s="35" t="str">
        <f aca="false">IF($H1003="","",IFERROR(INDEX(票据归类表,MATCH($H1003,票据类型表,0)),"现金无票"))</f>
        <v/>
      </c>
      <c r="J1003" s="25"/>
      <c r="K1003" s="25"/>
      <c r="L1003" s="31"/>
      <c r="M1003" s="29" t="str">
        <f aca="false">IF($C1003="","",YEAR($C1003))</f>
        <v/>
      </c>
      <c r="N1003" s="24"/>
      <c r="O1003" s="35" t="str">
        <f aca="false">IF($C1003="","",IF($D1003="","★没选客户项目",IF(COUNTIF(合同键,$D1003)=0,"★《维保合同》里没这个项目",IF(N($G1003)&lt;=0,"★收款金额要填",IF($H1003="","★票据类型要选",IF(AND($L1003&lt;&gt;"",COUNTIF(应收单号,$L1003)=0),"★关联的应收单号不存在",IF(AND($L1003&lt;&gt;"",IFERROR(INDEX(应收键,MATCH($L1003,应收单号,0)),"")&lt;&gt;$D1003),"★关联单号不是这个客户的",IF(AND($L1003&lt;&gt;"",ROUND(SUMIF(收款关联,$L1003,收款金额)-IFERROR(INDEX(应收金额,MATCH($L1003,应收单号,0)),0),2)&gt;0.001),"★指定冲销超过那张单的应收","OK"))))))))</f>
        <v/>
      </c>
    </row>
    <row r="1004" customFormat="false" ht="15" hidden="false" customHeight="false" outlineLevel="0" collapsed="false">
      <c r="A1004" s="29" t="str">
        <f aca="false">IF($C1004="","",ROW()-4)</f>
        <v/>
      </c>
      <c r="B1004" s="35" t="str">
        <f aca="false">IF($C1004="","","SK"&amp;TEXT($C1004,"yyyymm")&amp;"-"&amp;TEXT(ROW()-4,"0000"))</f>
        <v/>
      </c>
      <c r="C1004" s="33"/>
      <c r="D1004" s="24"/>
      <c r="E1004" s="30" t="str">
        <f aca="false">IF($D1004="","",IFERROR(INDEX(合同单位,MATCH($D1004,合同键,0)),IFERROR(TRIM(LEFT($D1004,FIND("｜",$D1004)-1)),$D1004)))</f>
        <v/>
      </c>
      <c r="F1004" s="30" t="str">
        <f aca="false">IF($D1004="","",IFERROR(INDEX(合同项目,MATCH($D1004,合同键,0)),IFERROR(TRIM(MID($D1004,FIND("｜",$D1004)+1,99)),"")))</f>
        <v/>
      </c>
      <c r="G1004" s="39"/>
      <c r="H1004" s="25"/>
      <c r="I1004" s="35" t="str">
        <f aca="false">IF($H1004="","",IFERROR(INDEX(票据归类表,MATCH($H1004,票据类型表,0)),"现金无票"))</f>
        <v/>
      </c>
      <c r="J1004" s="25"/>
      <c r="K1004" s="25"/>
      <c r="L1004" s="31"/>
      <c r="M1004" s="29" t="str">
        <f aca="false">IF($C1004="","",YEAR($C1004))</f>
        <v/>
      </c>
      <c r="N1004" s="24"/>
      <c r="O1004" s="35" t="str">
        <f aca="false">IF($C1004="","",IF($D1004="","★没选客户项目",IF(COUNTIF(合同键,$D1004)=0,"★《维保合同》里没这个项目",IF(N($G1004)&lt;=0,"★收款金额要填",IF($H1004="","★票据类型要选",IF(AND($L1004&lt;&gt;"",COUNTIF(应收单号,$L1004)=0),"★关联的应收单号不存在",IF(AND($L1004&lt;&gt;"",IFERROR(INDEX(应收键,MATCH($L1004,应收单号,0)),"")&lt;&gt;$D1004),"★关联单号不是这个客户的",IF(AND($L1004&lt;&gt;"",ROUND(SUMIF(收款关联,$L1004,收款金额)-IFERROR(INDEX(应收金额,MATCH($L1004,应收单号,0)),0),2)&gt;0.001),"★指定冲销超过那张单的应收","OK"))))))))</f>
        <v/>
      </c>
    </row>
    <row r="1005" customFormat="false" ht="15" hidden="false" customHeight="false" outlineLevel="0" collapsed="false">
      <c r="A1005" s="29" t="str">
        <f aca="false">IF($C1005="","",ROW()-4)</f>
        <v/>
      </c>
      <c r="B1005" s="35" t="str">
        <f aca="false">IF($C1005="","","SK"&amp;TEXT($C1005,"yyyymm")&amp;"-"&amp;TEXT(ROW()-4,"0000"))</f>
        <v/>
      </c>
      <c r="C1005" s="33"/>
      <c r="D1005" s="24"/>
      <c r="E1005" s="30" t="str">
        <f aca="false">IF($D1005="","",IFERROR(INDEX(合同单位,MATCH($D1005,合同键,0)),IFERROR(TRIM(LEFT($D1005,FIND("｜",$D1005)-1)),$D1005)))</f>
        <v/>
      </c>
      <c r="F1005" s="30" t="str">
        <f aca="false">IF($D1005="","",IFERROR(INDEX(合同项目,MATCH($D1005,合同键,0)),IFERROR(TRIM(MID($D1005,FIND("｜",$D1005)+1,99)),"")))</f>
        <v/>
      </c>
      <c r="G1005" s="39"/>
      <c r="H1005" s="25"/>
      <c r="I1005" s="35" t="str">
        <f aca="false">IF($H1005="","",IFERROR(INDEX(票据归类表,MATCH($H1005,票据类型表,0)),"现金无票"))</f>
        <v/>
      </c>
      <c r="J1005" s="25"/>
      <c r="K1005" s="25"/>
      <c r="L1005" s="31"/>
      <c r="M1005" s="29" t="str">
        <f aca="false">IF($C1005="","",YEAR($C1005))</f>
        <v/>
      </c>
      <c r="N1005" s="24"/>
      <c r="O1005" s="35" t="str">
        <f aca="false">IF($C1005="","",IF($D1005="","★没选客户项目",IF(COUNTIF(合同键,$D1005)=0,"★《维保合同》里没这个项目",IF(N($G1005)&lt;=0,"★收款金额要填",IF($H1005="","★票据类型要选",IF(AND($L1005&lt;&gt;"",COUNTIF(应收单号,$L1005)=0),"★关联的应收单号不存在",IF(AND($L1005&lt;&gt;"",IFERROR(INDEX(应收键,MATCH($L1005,应收单号,0)),"")&lt;&gt;$D1005),"★关联单号不是这个客户的",IF(AND($L1005&lt;&gt;"",ROUND(SUMIF(收款关联,$L1005,收款金额)-IFERROR(INDEX(应收金额,MATCH($L1005,应收单号,0)),0),2)&gt;0.001),"★指定冲销超过那张单的应收","OK"))))))))</f>
        <v/>
      </c>
    </row>
    <row r="1006" customFormat="false" ht="15" hidden="false" customHeight="false" outlineLevel="0" collapsed="false">
      <c r="A1006" s="29" t="str">
        <f aca="false">IF($C1006="","",ROW()-4)</f>
        <v/>
      </c>
      <c r="B1006" s="35" t="str">
        <f aca="false">IF($C1006="","","SK"&amp;TEXT($C1006,"yyyymm")&amp;"-"&amp;TEXT(ROW()-4,"0000"))</f>
        <v/>
      </c>
      <c r="C1006" s="33"/>
      <c r="D1006" s="24"/>
      <c r="E1006" s="30" t="str">
        <f aca="false">IF($D1006="","",IFERROR(INDEX(合同单位,MATCH($D1006,合同键,0)),IFERROR(TRIM(LEFT($D1006,FIND("｜",$D1006)-1)),$D1006)))</f>
        <v/>
      </c>
      <c r="F1006" s="30" t="str">
        <f aca="false">IF($D1006="","",IFERROR(INDEX(合同项目,MATCH($D1006,合同键,0)),IFERROR(TRIM(MID($D1006,FIND("｜",$D1006)+1,99)),"")))</f>
        <v/>
      </c>
      <c r="G1006" s="39"/>
      <c r="H1006" s="25"/>
      <c r="I1006" s="35" t="str">
        <f aca="false">IF($H1006="","",IFERROR(INDEX(票据归类表,MATCH($H1006,票据类型表,0)),"现金无票"))</f>
        <v/>
      </c>
      <c r="J1006" s="25"/>
      <c r="K1006" s="25"/>
      <c r="L1006" s="31"/>
      <c r="M1006" s="29" t="str">
        <f aca="false">IF($C1006="","",YEAR($C1006))</f>
        <v/>
      </c>
      <c r="N1006" s="24"/>
      <c r="O1006" s="35" t="str">
        <f aca="false">IF($C1006="","",IF($D1006="","★没选客户项目",IF(COUNTIF(合同键,$D1006)=0,"★《维保合同》里没这个项目",IF(N($G1006)&lt;=0,"★收款金额要填",IF($H1006="","★票据类型要选",IF(AND($L1006&lt;&gt;"",COUNTIF(应收单号,$L1006)=0),"★关联的应收单号不存在",IF(AND($L1006&lt;&gt;"",IFERROR(INDEX(应收键,MATCH($L1006,应收单号,0)),"")&lt;&gt;$D1006),"★关联单号不是这个客户的",IF(AND($L1006&lt;&gt;"",ROUND(SUMIF(收款关联,$L1006,收款金额)-IFERROR(INDEX(应收金额,MATCH($L1006,应收单号,0)),0),2)&gt;0.001),"★指定冲销超过那张单的应收","OK"))))))))</f>
        <v/>
      </c>
    </row>
    <row r="1007" customFormat="false" ht="15" hidden="false" customHeight="false" outlineLevel="0" collapsed="false">
      <c r="A1007" s="29" t="str">
        <f aca="false">IF($C1007="","",ROW()-4)</f>
        <v/>
      </c>
      <c r="B1007" s="35" t="str">
        <f aca="false">IF($C1007="","","SK"&amp;TEXT($C1007,"yyyymm")&amp;"-"&amp;TEXT(ROW()-4,"0000"))</f>
        <v/>
      </c>
      <c r="C1007" s="33"/>
      <c r="D1007" s="24"/>
      <c r="E1007" s="30" t="str">
        <f aca="false">IF($D1007="","",IFERROR(INDEX(合同单位,MATCH($D1007,合同键,0)),IFERROR(TRIM(LEFT($D1007,FIND("｜",$D1007)-1)),$D1007)))</f>
        <v/>
      </c>
      <c r="F1007" s="30" t="str">
        <f aca="false">IF($D1007="","",IFERROR(INDEX(合同项目,MATCH($D1007,合同键,0)),IFERROR(TRIM(MID($D1007,FIND("｜",$D1007)+1,99)),"")))</f>
        <v/>
      </c>
      <c r="G1007" s="39"/>
      <c r="H1007" s="25"/>
      <c r="I1007" s="35" t="str">
        <f aca="false">IF($H1007="","",IFERROR(INDEX(票据归类表,MATCH($H1007,票据类型表,0)),"现金无票"))</f>
        <v/>
      </c>
      <c r="J1007" s="25"/>
      <c r="K1007" s="25"/>
      <c r="L1007" s="31"/>
      <c r="M1007" s="29" t="str">
        <f aca="false">IF($C1007="","",YEAR($C1007))</f>
        <v/>
      </c>
      <c r="N1007" s="24"/>
      <c r="O1007" s="35" t="str">
        <f aca="false">IF($C1007="","",IF($D1007="","★没选客户项目",IF(COUNTIF(合同键,$D1007)=0,"★《维保合同》里没这个项目",IF(N($G1007)&lt;=0,"★收款金额要填",IF($H1007="","★票据类型要选",IF(AND($L1007&lt;&gt;"",COUNTIF(应收单号,$L1007)=0),"★关联的应收单号不存在",IF(AND($L1007&lt;&gt;"",IFERROR(INDEX(应收键,MATCH($L1007,应收单号,0)),"")&lt;&gt;$D1007),"★关联单号不是这个客户的",IF(AND($L1007&lt;&gt;"",ROUND(SUMIF(收款关联,$L1007,收款金额)-IFERROR(INDEX(应收金额,MATCH($L1007,应收单号,0)),0),2)&gt;0.001),"★指定冲销超过那张单的应收","OK"))))))))</f>
        <v/>
      </c>
    </row>
    <row r="1008" customFormat="false" ht="15" hidden="false" customHeight="false" outlineLevel="0" collapsed="false">
      <c r="A1008" s="29" t="str">
        <f aca="false">IF($C1008="","",ROW()-4)</f>
        <v/>
      </c>
      <c r="B1008" s="35" t="str">
        <f aca="false">IF($C1008="","","SK"&amp;TEXT($C1008,"yyyymm")&amp;"-"&amp;TEXT(ROW()-4,"0000"))</f>
        <v/>
      </c>
      <c r="C1008" s="33"/>
      <c r="D1008" s="24"/>
      <c r="E1008" s="30" t="str">
        <f aca="false">IF($D1008="","",IFERROR(INDEX(合同单位,MATCH($D1008,合同键,0)),IFERROR(TRIM(LEFT($D1008,FIND("｜",$D1008)-1)),$D1008)))</f>
        <v/>
      </c>
      <c r="F1008" s="30" t="str">
        <f aca="false">IF($D1008="","",IFERROR(INDEX(合同项目,MATCH($D1008,合同键,0)),IFERROR(TRIM(MID($D1008,FIND("｜",$D1008)+1,99)),"")))</f>
        <v/>
      </c>
      <c r="G1008" s="39"/>
      <c r="H1008" s="25"/>
      <c r="I1008" s="35" t="str">
        <f aca="false">IF($H1008="","",IFERROR(INDEX(票据归类表,MATCH($H1008,票据类型表,0)),"现金无票"))</f>
        <v/>
      </c>
      <c r="J1008" s="25"/>
      <c r="K1008" s="25"/>
      <c r="L1008" s="31"/>
      <c r="M1008" s="29" t="str">
        <f aca="false">IF($C1008="","",YEAR($C1008))</f>
        <v/>
      </c>
      <c r="N1008" s="24"/>
      <c r="O1008" s="35" t="str">
        <f aca="false">IF($C1008="","",IF($D1008="","★没选客户项目",IF(COUNTIF(合同键,$D1008)=0,"★《维保合同》里没这个项目",IF(N($G1008)&lt;=0,"★收款金额要填",IF($H1008="","★票据类型要选",IF(AND($L1008&lt;&gt;"",COUNTIF(应收单号,$L1008)=0),"★关联的应收单号不存在",IF(AND($L1008&lt;&gt;"",IFERROR(INDEX(应收键,MATCH($L1008,应收单号,0)),"")&lt;&gt;$D1008),"★关联单号不是这个客户的",IF(AND($L1008&lt;&gt;"",ROUND(SUMIF(收款关联,$L1008,收款金额)-IFERROR(INDEX(应收金额,MATCH($L1008,应收单号,0)),0),2)&gt;0.001),"★指定冲销超过那张单的应收","OK"))))))))</f>
        <v/>
      </c>
    </row>
    <row r="1009" customFormat="false" ht="15" hidden="false" customHeight="false" outlineLevel="0" collapsed="false">
      <c r="A1009" s="29" t="str">
        <f aca="false">IF($C1009="","",ROW()-4)</f>
        <v/>
      </c>
      <c r="B1009" s="35" t="str">
        <f aca="false">IF($C1009="","","SK"&amp;TEXT($C1009,"yyyymm")&amp;"-"&amp;TEXT(ROW()-4,"0000"))</f>
        <v/>
      </c>
      <c r="C1009" s="33"/>
      <c r="D1009" s="24"/>
      <c r="E1009" s="30" t="str">
        <f aca="false">IF($D1009="","",IFERROR(INDEX(合同单位,MATCH($D1009,合同键,0)),IFERROR(TRIM(LEFT($D1009,FIND("｜",$D1009)-1)),$D1009)))</f>
        <v/>
      </c>
      <c r="F1009" s="30" t="str">
        <f aca="false">IF($D1009="","",IFERROR(INDEX(合同项目,MATCH($D1009,合同键,0)),IFERROR(TRIM(MID($D1009,FIND("｜",$D1009)+1,99)),"")))</f>
        <v/>
      </c>
      <c r="G1009" s="39"/>
      <c r="H1009" s="25"/>
      <c r="I1009" s="35" t="str">
        <f aca="false">IF($H1009="","",IFERROR(INDEX(票据归类表,MATCH($H1009,票据类型表,0)),"现金无票"))</f>
        <v/>
      </c>
      <c r="J1009" s="25"/>
      <c r="K1009" s="25"/>
      <c r="L1009" s="31"/>
      <c r="M1009" s="29" t="str">
        <f aca="false">IF($C1009="","",YEAR($C1009))</f>
        <v/>
      </c>
      <c r="N1009" s="24"/>
      <c r="O1009" s="35" t="str">
        <f aca="false">IF($C1009="","",IF($D1009="","★没选客户项目",IF(COUNTIF(合同键,$D1009)=0,"★《维保合同》里没这个项目",IF(N($G1009)&lt;=0,"★收款金额要填",IF($H1009="","★票据类型要选",IF(AND($L1009&lt;&gt;"",COUNTIF(应收单号,$L1009)=0),"★关联的应收单号不存在",IF(AND($L1009&lt;&gt;"",IFERROR(INDEX(应收键,MATCH($L1009,应收单号,0)),"")&lt;&gt;$D1009),"★关联单号不是这个客户的",IF(AND($L1009&lt;&gt;"",ROUND(SUMIF(收款关联,$L1009,收款金额)-IFERROR(INDEX(应收金额,MATCH($L1009,应收单号,0)),0),2)&gt;0.001),"★指定冲销超过那张单的应收","OK"))))))))</f>
        <v/>
      </c>
    </row>
    <row r="1010" customFormat="false" ht="15" hidden="false" customHeight="false" outlineLevel="0" collapsed="false">
      <c r="A1010" s="29" t="str">
        <f aca="false">IF($C1010="","",ROW()-4)</f>
        <v/>
      </c>
      <c r="B1010" s="35" t="str">
        <f aca="false">IF($C1010="","","SK"&amp;TEXT($C1010,"yyyymm")&amp;"-"&amp;TEXT(ROW()-4,"0000"))</f>
        <v/>
      </c>
      <c r="C1010" s="33"/>
      <c r="D1010" s="24"/>
      <c r="E1010" s="30" t="str">
        <f aca="false">IF($D1010="","",IFERROR(INDEX(合同单位,MATCH($D1010,合同键,0)),IFERROR(TRIM(LEFT($D1010,FIND("｜",$D1010)-1)),$D1010)))</f>
        <v/>
      </c>
      <c r="F1010" s="30" t="str">
        <f aca="false">IF($D1010="","",IFERROR(INDEX(合同项目,MATCH($D1010,合同键,0)),IFERROR(TRIM(MID($D1010,FIND("｜",$D1010)+1,99)),"")))</f>
        <v/>
      </c>
      <c r="G1010" s="39"/>
      <c r="H1010" s="25"/>
      <c r="I1010" s="35" t="str">
        <f aca="false">IF($H1010="","",IFERROR(INDEX(票据归类表,MATCH($H1010,票据类型表,0)),"现金无票"))</f>
        <v/>
      </c>
      <c r="J1010" s="25"/>
      <c r="K1010" s="25"/>
      <c r="L1010" s="31"/>
      <c r="M1010" s="29" t="str">
        <f aca="false">IF($C1010="","",YEAR($C1010))</f>
        <v/>
      </c>
      <c r="N1010" s="24"/>
      <c r="O1010" s="35" t="str">
        <f aca="false">IF($C1010="","",IF($D1010="","★没选客户项目",IF(COUNTIF(合同键,$D1010)=0,"★《维保合同》里没这个项目",IF(N($G1010)&lt;=0,"★收款金额要填",IF($H1010="","★票据类型要选",IF(AND($L1010&lt;&gt;"",COUNTIF(应收单号,$L1010)=0),"★关联的应收单号不存在",IF(AND($L1010&lt;&gt;"",IFERROR(INDEX(应收键,MATCH($L1010,应收单号,0)),"")&lt;&gt;$D1010),"★关联单号不是这个客户的",IF(AND($L1010&lt;&gt;"",ROUND(SUMIF(收款关联,$L1010,收款金额)-IFERROR(INDEX(应收金额,MATCH($L1010,应收单号,0)),0),2)&gt;0.001),"★指定冲销超过那张单的应收","OK"))))))))</f>
        <v/>
      </c>
    </row>
    <row r="1011" customFormat="false" ht="15" hidden="false" customHeight="false" outlineLevel="0" collapsed="false">
      <c r="A1011" s="29" t="str">
        <f aca="false">IF($C1011="","",ROW()-4)</f>
        <v/>
      </c>
      <c r="B1011" s="35" t="str">
        <f aca="false">IF($C1011="","","SK"&amp;TEXT($C1011,"yyyymm")&amp;"-"&amp;TEXT(ROW()-4,"0000"))</f>
        <v/>
      </c>
      <c r="C1011" s="33"/>
      <c r="D1011" s="24"/>
      <c r="E1011" s="30" t="str">
        <f aca="false">IF($D1011="","",IFERROR(INDEX(合同单位,MATCH($D1011,合同键,0)),IFERROR(TRIM(LEFT($D1011,FIND("｜",$D1011)-1)),$D1011)))</f>
        <v/>
      </c>
      <c r="F1011" s="30" t="str">
        <f aca="false">IF($D1011="","",IFERROR(INDEX(合同项目,MATCH($D1011,合同键,0)),IFERROR(TRIM(MID($D1011,FIND("｜",$D1011)+1,99)),"")))</f>
        <v/>
      </c>
      <c r="G1011" s="39"/>
      <c r="H1011" s="25"/>
      <c r="I1011" s="35" t="str">
        <f aca="false">IF($H1011="","",IFERROR(INDEX(票据归类表,MATCH($H1011,票据类型表,0)),"现金无票"))</f>
        <v/>
      </c>
      <c r="J1011" s="25"/>
      <c r="K1011" s="25"/>
      <c r="L1011" s="31"/>
      <c r="M1011" s="29" t="str">
        <f aca="false">IF($C1011="","",YEAR($C1011))</f>
        <v/>
      </c>
      <c r="N1011" s="24"/>
      <c r="O1011" s="35" t="str">
        <f aca="false">IF($C1011="","",IF($D1011="","★没选客户项目",IF(COUNTIF(合同键,$D1011)=0,"★《维保合同》里没这个项目",IF(N($G1011)&lt;=0,"★收款金额要填",IF($H1011="","★票据类型要选",IF(AND($L1011&lt;&gt;"",COUNTIF(应收单号,$L1011)=0),"★关联的应收单号不存在",IF(AND($L1011&lt;&gt;"",IFERROR(INDEX(应收键,MATCH($L1011,应收单号,0)),"")&lt;&gt;$D1011),"★关联单号不是这个客户的",IF(AND($L1011&lt;&gt;"",ROUND(SUMIF(收款关联,$L1011,收款金额)-IFERROR(INDEX(应收金额,MATCH($L1011,应收单号,0)),0),2)&gt;0.001),"★指定冲销超过那张单的应收","OK"))))))))</f>
        <v/>
      </c>
    </row>
    <row r="1012" customFormat="false" ht="15" hidden="false" customHeight="false" outlineLevel="0" collapsed="false">
      <c r="A1012" s="29" t="str">
        <f aca="false">IF($C1012="","",ROW()-4)</f>
        <v/>
      </c>
      <c r="B1012" s="35" t="str">
        <f aca="false">IF($C1012="","","SK"&amp;TEXT($C1012,"yyyymm")&amp;"-"&amp;TEXT(ROW()-4,"0000"))</f>
        <v/>
      </c>
      <c r="C1012" s="33"/>
      <c r="D1012" s="24"/>
      <c r="E1012" s="30" t="str">
        <f aca="false">IF($D1012="","",IFERROR(INDEX(合同单位,MATCH($D1012,合同键,0)),IFERROR(TRIM(LEFT($D1012,FIND("｜",$D1012)-1)),$D1012)))</f>
        <v/>
      </c>
      <c r="F1012" s="30" t="str">
        <f aca="false">IF($D1012="","",IFERROR(INDEX(合同项目,MATCH($D1012,合同键,0)),IFERROR(TRIM(MID($D1012,FIND("｜",$D1012)+1,99)),"")))</f>
        <v/>
      </c>
      <c r="G1012" s="39"/>
      <c r="H1012" s="25"/>
      <c r="I1012" s="35" t="str">
        <f aca="false">IF($H1012="","",IFERROR(INDEX(票据归类表,MATCH($H1012,票据类型表,0)),"现金无票"))</f>
        <v/>
      </c>
      <c r="J1012" s="25"/>
      <c r="K1012" s="25"/>
      <c r="L1012" s="31"/>
      <c r="M1012" s="29" t="str">
        <f aca="false">IF($C1012="","",YEAR($C1012))</f>
        <v/>
      </c>
      <c r="N1012" s="24"/>
      <c r="O1012" s="35" t="str">
        <f aca="false">IF($C1012="","",IF($D1012="","★没选客户项目",IF(COUNTIF(合同键,$D1012)=0,"★《维保合同》里没这个项目",IF(N($G1012)&lt;=0,"★收款金额要填",IF($H1012="","★票据类型要选",IF(AND($L1012&lt;&gt;"",COUNTIF(应收单号,$L1012)=0),"★关联的应收单号不存在",IF(AND($L1012&lt;&gt;"",IFERROR(INDEX(应收键,MATCH($L1012,应收单号,0)),"")&lt;&gt;$D1012),"★关联单号不是这个客户的",IF(AND($L1012&lt;&gt;"",ROUND(SUMIF(收款关联,$L1012,收款金额)-IFERROR(INDEX(应收金额,MATCH($L1012,应收单号,0)),0),2)&gt;0.001),"★指定冲销超过那张单的应收","OK"))))))))</f>
        <v/>
      </c>
    </row>
    <row r="1013" customFormat="false" ht="15" hidden="false" customHeight="false" outlineLevel="0" collapsed="false">
      <c r="A1013" s="29" t="str">
        <f aca="false">IF($C1013="","",ROW()-4)</f>
        <v/>
      </c>
      <c r="B1013" s="35" t="str">
        <f aca="false">IF($C1013="","","SK"&amp;TEXT($C1013,"yyyymm")&amp;"-"&amp;TEXT(ROW()-4,"0000"))</f>
        <v/>
      </c>
      <c r="C1013" s="33"/>
      <c r="D1013" s="24"/>
      <c r="E1013" s="30" t="str">
        <f aca="false">IF($D1013="","",IFERROR(INDEX(合同单位,MATCH($D1013,合同键,0)),IFERROR(TRIM(LEFT($D1013,FIND("｜",$D1013)-1)),$D1013)))</f>
        <v/>
      </c>
      <c r="F1013" s="30" t="str">
        <f aca="false">IF($D1013="","",IFERROR(INDEX(合同项目,MATCH($D1013,合同键,0)),IFERROR(TRIM(MID($D1013,FIND("｜",$D1013)+1,99)),"")))</f>
        <v/>
      </c>
      <c r="G1013" s="39"/>
      <c r="H1013" s="25"/>
      <c r="I1013" s="35" t="str">
        <f aca="false">IF($H1013="","",IFERROR(INDEX(票据归类表,MATCH($H1013,票据类型表,0)),"现金无票"))</f>
        <v/>
      </c>
      <c r="J1013" s="25"/>
      <c r="K1013" s="25"/>
      <c r="L1013" s="31"/>
      <c r="M1013" s="29" t="str">
        <f aca="false">IF($C1013="","",YEAR($C1013))</f>
        <v/>
      </c>
      <c r="N1013" s="24"/>
      <c r="O1013" s="35" t="str">
        <f aca="false">IF($C1013="","",IF($D1013="","★没选客户项目",IF(COUNTIF(合同键,$D1013)=0,"★《维保合同》里没这个项目",IF(N($G1013)&lt;=0,"★收款金额要填",IF($H1013="","★票据类型要选",IF(AND($L1013&lt;&gt;"",COUNTIF(应收单号,$L1013)=0),"★关联的应收单号不存在",IF(AND($L1013&lt;&gt;"",IFERROR(INDEX(应收键,MATCH($L1013,应收单号,0)),"")&lt;&gt;$D1013),"★关联单号不是这个客户的",IF(AND($L1013&lt;&gt;"",ROUND(SUMIF(收款关联,$L1013,收款金额)-IFERROR(INDEX(应收金额,MATCH($L1013,应收单号,0)),0),2)&gt;0.001),"★指定冲销超过那张单的应收","OK"))))))))</f>
        <v/>
      </c>
    </row>
    <row r="1014" customFormat="false" ht="15" hidden="false" customHeight="false" outlineLevel="0" collapsed="false">
      <c r="A1014" s="29" t="str">
        <f aca="false">IF($C1014="","",ROW()-4)</f>
        <v/>
      </c>
      <c r="B1014" s="35" t="str">
        <f aca="false">IF($C1014="","","SK"&amp;TEXT($C1014,"yyyymm")&amp;"-"&amp;TEXT(ROW()-4,"0000"))</f>
        <v/>
      </c>
      <c r="C1014" s="33"/>
      <c r="D1014" s="24"/>
      <c r="E1014" s="30" t="str">
        <f aca="false">IF($D1014="","",IFERROR(INDEX(合同单位,MATCH($D1014,合同键,0)),IFERROR(TRIM(LEFT($D1014,FIND("｜",$D1014)-1)),$D1014)))</f>
        <v/>
      </c>
      <c r="F1014" s="30" t="str">
        <f aca="false">IF($D1014="","",IFERROR(INDEX(合同项目,MATCH($D1014,合同键,0)),IFERROR(TRIM(MID($D1014,FIND("｜",$D1014)+1,99)),"")))</f>
        <v/>
      </c>
      <c r="G1014" s="39"/>
      <c r="H1014" s="25"/>
      <c r="I1014" s="35" t="str">
        <f aca="false">IF($H1014="","",IFERROR(INDEX(票据归类表,MATCH($H1014,票据类型表,0)),"现金无票"))</f>
        <v/>
      </c>
      <c r="J1014" s="25"/>
      <c r="K1014" s="25"/>
      <c r="L1014" s="31"/>
      <c r="M1014" s="29" t="str">
        <f aca="false">IF($C1014="","",YEAR($C1014))</f>
        <v/>
      </c>
      <c r="N1014" s="24"/>
      <c r="O1014" s="35" t="str">
        <f aca="false">IF($C1014="","",IF($D1014="","★没选客户项目",IF(COUNTIF(合同键,$D1014)=0,"★《维保合同》里没这个项目",IF(N($G1014)&lt;=0,"★收款金额要填",IF($H1014="","★票据类型要选",IF(AND($L1014&lt;&gt;"",COUNTIF(应收单号,$L1014)=0),"★关联的应收单号不存在",IF(AND($L1014&lt;&gt;"",IFERROR(INDEX(应收键,MATCH($L1014,应收单号,0)),"")&lt;&gt;$D1014),"★关联单号不是这个客户的",IF(AND($L1014&lt;&gt;"",ROUND(SUMIF(收款关联,$L1014,收款金额)-IFERROR(INDEX(应收金额,MATCH($L1014,应收单号,0)),0),2)&gt;0.001),"★指定冲销超过那张单的应收","OK"))))))))</f>
        <v/>
      </c>
    </row>
    <row r="1015" customFormat="false" ht="15" hidden="false" customHeight="false" outlineLevel="0" collapsed="false">
      <c r="A1015" s="29" t="str">
        <f aca="false">IF($C1015="","",ROW()-4)</f>
        <v/>
      </c>
      <c r="B1015" s="35" t="str">
        <f aca="false">IF($C1015="","","SK"&amp;TEXT($C1015,"yyyymm")&amp;"-"&amp;TEXT(ROW()-4,"0000"))</f>
        <v/>
      </c>
      <c r="C1015" s="33"/>
      <c r="D1015" s="24"/>
      <c r="E1015" s="30" t="str">
        <f aca="false">IF($D1015="","",IFERROR(INDEX(合同单位,MATCH($D1015,合同键,0)),IFERROR(TRIM(LEFT($D1015,FIND("｜",$D1015)-1)),$D1015)))</f>
        <v/>
      </c>
      <c r="F1015" s="30" t="str">
        <f aca="false">IF($D1015="","",IFERROR(INDEX(合同项目,MATCH($D1015,合同键,0)),IFERROR(TRIM(MID($D1015,FIND("｜",$D1015)+1,99)),"")))</f>
        <v/>
      </c>
      <c r="G1015" s="39"/>
      <c r="H1015" s="25"/>
      <c r="I1015" s="35" t="str">
        <f aca="false">IF($H1015="","",IFERROR(INDEX(票据归类表,MATCH($H1015,票据类型表,0)),"现金无票"))</f>
        <v/>
      </c>
      <c r="J1015" s="25"/>
      <c r="K1015" s="25"/>
      <c r="L1015" s="31"/>
      <c r="M1015" s="29" t="str">
        <f aca="false">IF($C1015="","",YEAR($C1015))</f>
        <v/>
      </c>
      <c r="N1015" s="24"/>
      <c r="O1015" s="35" t="str">
        <f aca="false">IF($C1015="","",IF($D1015="","★没选客户项目",IF(COUNTIF(合同键,$D1015)=0,"★《维保合同》里没这个项目",IF(N($G1015)&lt;=0,"★收款金额要填",IF($H1015="","★票据类型要选",IF(AND($L1015&lt;&gt;"",COUNTIF(应收单号,$L1015)=0),"★关联的应收单号不存在",IF(AND($L1015&lt;&gt;"",IFERROR(INDEX(应收键,MATCH($L1015,应收单号,0)),"")&lt;&gt;$D1015),"★关联单号不是这个客户的",IF(AND($L1015&lt;&gt;"",ROUND(SUMIF(收款关联,$L1015,收款金额)-IFERROR(INDEX(应收金额,MATCH($L1015,应收单号,0)),0),2)&gt;0.001),"★指定冲销超过那张单的应收","OK"))))))))</f>
        <v/>
      </c>
    </row>
    <row r="1016" customFormat="false" ht="15" hidden="false" customHeight="false" outlineLevel="0" collapsed="false">
      <c r="A1016" s="29" t="str">
        <f aca="false">IF($C1016="","",ROW()-4)</f>
        <v/>
      </c>
      <c r="B1016" s="35" t="str">
        <f aca="false">IF($C1016="","","SK"&amp;TEXT($C1016,"yyyymm")&amp;"-"&amp;TEXT(ROW()-4,"0000"))</f>
        <v/>
      </c>
      <c r="C1016" s="33"/>
      <c r="D1016" s="24"/>
      <c r="E1016" s="30" t="str">
        <f aca="false">IF($D1016="","",IFERROR(INDEX(合同单位,MATCH($D1016,合同键,0)),IFERROR(TRIM(LEFT($D1016,FIND("｜",$D1016)-1)),$D1016)))</f>
        <v/>
      </c>
      <c r="F1016" s="30" t="str">
        <f aca="false">IF($D1016="","",IFERROR(INDEX(合同项目,MATCH($D1016,合同键,0)),IFERROR(TRIM(MID($D1016,FIND("｜",$D1016)+1,99)),"")))</f>
        <v/>
      </c>
      <c r="G1016" s="39"/>
      <c r="H1016" s="25"/>
      <c r="I1016" s="35" t="str">
        <f aca="false">IF($H1016="","",IFERROR(INDEX(票据归类表,MATCH($H1016,票据类型表,0)),"现金无票"))</f>
        <v/>
      </c>
      <c r="J1016" s="25"/>
      <c r="K1016" s="25"/>
      <c r="L1016" s="31"/>
      <c r="M1016" s="29" t="str">
        <f aca="false">IF($C1016="","",YEAR($C1016))</f>
        <v/>
      </c>
      <c r="N1016" s="24"/>
      <c r="O1016" s="35" t="str">
        <f aca="false">IF($C1016="","",IF($D1016="","★没选客户项目",IF(COUNTIF(合同键,$D1016)=0,"★《维保合同》里没这个项目",IF(N($G1016)&lt;=0,"★收款金额要填",IF($H1016="","★票据类型要选",IF(AND($L1016&lt;&gt;"",COUNTIF(应收单号,$L1016)=0),"★关联的应收单号不存在",IF(AND($L1016&lt;&gt;"",IFERROR(INDEX(应收键,MATCH($L1016,应收单号,0)),"")&lt;&gt;$D1016),"★关联单号不是这个客户的",IF(AND($L1016&lt;&gt;"",ROUND(SUMIF(收款关联,$L1016,收款金额)-IFERROR(INDEX(应收金额,MATCH($L1016,应收单号,0)),0),2)&gt;0.001),"★指定冲销超过那张单的应收","OK"))))))))</f>
        <v/>
      </c>
    </row>
    <row r="1017" customFormat="false" ht="15" hidden="false" customHeight="false" outlineLevel="0" collapsed="false">
      <c r="A1017" s="29" t="str">
        <f aca="false">IF($C1017="","",ROW()-4)</f>
        <v/>
      </c>
      <c r="B1017" s="35" t="str">
        <f aca="false">IF($C1017="","","SK"&amp;TEXT($C1017,"yyyymm")&amp;"-"&amp;TEXT(ROW()-4,"0000"))</f>
        <v/>
      </c>
      <c r="C1017" s="33"/>
      <c r="D1017" s="24"/>
      <c r="E1017" s="30" t="str">
        <f aca="false">IF($D1017="","",IFERROR(INDEX(合同单位,MATCH($D1017,合同键,0)),IFERROR(TRIM(LEFT($D1017,FIND("｜",$D1017)-1)),$D1017)))</f>
        <v/>
      </c>
      <c r="F1017" s="30" t="str">
        <f aca="false">IF($D1017="","",IFERROR(INDEX(合同项目,MATCH($D1017,合同键,0)),IFERROR(TRIM(MID($D1017,FIND("｜",$D1017)+1,99)),"")))</f>
        <v/>
      </c>
      <c r="G1017" s="39"/>
      <c r="H1017" s="25"/>
      <c r="I1017" s="35" t="str">
        <f aca="false">IF($H1017="","",IFERROR(INDEX(票据归类表,MATCH($H1017,票据类型表,0)),"现金无票"))</f>
        <v/>
      </c>
      <c r="J1017" s="25"/>
      <c r="K1017" s="25"/>
      <c r="L1017" s="31"/>
      <c r="M1017" s="29" t="str">
        <f aca="false">IF($C1017="","",YEAR($C1017))</f>
        <v/>
      </c>
      <c r="N1017" s="24"/>
      <c r="O1017" s="35" t="str">
        <f aca="false">IF($C1017="","",IF($D1017="","★没选客户项目",IF(COUNTIF(合同键,$D1017)=0,"★《维保合同》里没这个项目",IF(N($G1017)&lt;=0,"★收款金额要填",IF($H1017="","★票据类型要选",IF(AND($L1017&lt;&gt;"",COUNTIF(应收单号,$L1017)=0),"★关联的应收单号不存在",IF(AND($L1017&lt;&gt;"",IFERROR(INDEX(应收键,MATCH($L1017,应收单号,0)),"")&lt;&gt;$D1017),"★关联单号不是这个客户的",IF(AND($L1017&lt;&gt;"",ROUND(SUMIF(收款关联,$L1017,收款金额)-IFERROR(INDEX(应收金额,MATCH($L1017,应收单号,0)),0),2)&gt;0.001),"★指定冲销超过那张单的应收","OK"))))))))</f>
        <v/>
      </c>
    </row>
    <row r="1018" customFormat="false" ht="15" hidden="false" customHeight="false" outlineLevel="0" collapsed="false">
      <c r="A1018" s="29" t="str">
        <f aca="false">IF($C1018="","",ROW()-4)</f>
        <v/>
      </c>
      <c r="B1018" s="35" t="str">
        <f aca="false">IF($C1018="","","SK"&amp;TEXT($C1018,"yyyymm")&amp;"-"&amp;TEXT(ROW()-4,"0000"))</f>
        <v/>
      </c>
      <c r="C1018" s="33"/>
      <c r="D1018" s="24"/>
      <c r="E1018" s="30" t="str">
        <f aca="false">IF($D1018="","",IFERROR(INDEX(合同单位,MATCH($D1018,合同键,0)),IFERROR(TRIM(LEFT($D1018,FIND("｜",$D1018)-1)),$D1018)))</f>
        <v/>
      </c>
      <c r="F1018" s="30" t="str">
        <f aca="false">IF($D1018="","",IFERROR(INDEX(合同项目,MATCH($D1018,合同键,0)),IFERROR(TRIM(MID($D1018,FIND("｜",$D1018)+1,99)),"")))</f>
        <v/>
      </c>
      <c r="G1018" s="39"/>
      <c r="H1018" s="25"/>
      <c r="I1018" s="35" t="str">
        <f aca="false">IF($H1018="","",IFERROR(INDEX(票据归类表,MATCH($H1018,票据类型表,0)),"现金无票"))</f>
        <v/>
      </c>
      <c r="J1018" s="25"/>
      <c r="K1018" s="25"/>
      <c r="L1018" s="31"/>
      <c r="M1018" s="29" t="str">
        <f aca="false">IF($C1018="","",YEAR($C1018))</f>
        <v/>
      </c>
      <c r="N1018" s="24"/>
      <c r="O1018" s="35" t="str">
        <f aca="false">IF($C1018="","",IF($D1018="","★没选客户项目",IF(COUNTIF(合同键,$D1018)=0,"★《维保合同》里没这个项目",IF(N($G1018)&lt;=0,"★收款金额要填",IF($H1018="","★票据类型要选",IF(AND($L1018&lt;&gt;"",COUNTIF(应收单号,$L1018)=0),"★关联的应收单号不存在",IF(AND($L1018&lt;&gt;"",IFERROR(INDEX(应收键,MATCH($L1018,应收单号,0)),"")&lt;&gt;$D1018),"★关联单号不是这个客户的",IF(AND($L1018&lt;&gt;"",ROUND(SUMIF(收款关联,$L1018,收款金额)-IFERROR(INDEX(应收金额,MATCH($L1018,应收单号,0)),0),2)&gt;0.001),"★指定冲销超过那张单的应收","OK"))))))))</f>
        <v/>
      </c>
    </row>
    <row r="1019" customFormat="false" ht="15" hidden="false" customHeight="false" outlineLevel="0" collapsed="false">
      <c r="A1019" s="29" t="str">
        <f aca="false">IF($C1019="","",ROW()-4)</f>
        <v/>
      </c>
      <c r="B1019" s="35" t="str">
        <f aca="false">IF($C1019="","","SK"&amp;TEXT($C1019,"yyyymm")&amp;"-"&amp;TEXT(ROW()-4,"0000"))</f>
        <v/>
      </c>
      <c r="C1019" s="33"/>
      <c r="D1019" s="24"/>
      <c r="E1019" s="30" t="str">
        <f aca="false">IF($D1019="","",IFERROR(INDEX(合同单位,MATCH($D1019,合同键,0)),IFERROR(TRIM(LEFT($D1019,FIND("｜",$D1019)-1)),$D1019)))</f>
        <v/>
      </c>
      <c r="F1019" s="30" t="str">
        <f aca="false">IF($D1019="","",IFERROR(INDEX(合同项目,MATCH($D1019,合同键,0)),IFERROR(TRIM(MID($D1019,FIND("｜",$D1019)+1,99)),"")))</f>
        <v/>
      </c>
      <c r="G1019" s="39"/>
      <c r="H1019" s="25"/>
      <c r="I1019" s="35" t="str">
        <f aca="false">IF($H1019="","",IFERROR(INDEX(票据归类表,MATCH($H1019,票据类型表,0)),"现金无票"))</f>
        <v/>
      </c>
      <c r="J1019" s="25"/>
      <c r="K1019" s="25"/>
      <c r="L1019" s="31"/>
      <c r="M1019" s="29" t="str">
        <f aca="false">IF($C1019="","",YEAR($C1019))</f>
        <v/>
      </c>
      <c r="N1019" s="24"/>
      <c r="O1019" s="35" t="str">
        <f aca="false">IF($C1019="","",IF($D1019="","★没选客户项目",IF(COUNTIF(合同键,$D1019)=0,"★《维保合同》里没这个项目",IF(N($G1019)&lt;=0,"★收款金额要填",IF($H1019="","★票据类型要选",IF(AND($L1019&lt;&gt;"",COUNTIF(应收单号,$L1019)=0),"★关联的应收单号不存在",IF(AND($L1019&lt;&gt;"",IFERROR(INDEX(应收键,MATCH($L1019,应收单号,0)),"")&lt;&gt;$D1019),"★关联单号不是这个客户的",IF(AND($L1019&lt;&gt;"",ROUND(SUMIF(收款关联,$L1019,收款金额)-IFERROR(INDEX(应收金额,MATCH($L1019,应收单号,0)),0),2)&gt;0.001),"★指定冲销超过那张单的应收","OK"))))))))</f>
        <v/>
      </c>
    </row>
    <row r="1020" customFormat="false" ht="15" hidden="false" customHeight="false" outlineLevel="0" collapsed="false">
      <c r="A1020" s="29" t="str">
        <f aca="false">IF($C1020="","",ROW()-4)</f>
        <v/>
      </c>
      <c r="B1020" s="35" t="str">
        <f aca="false">IF($C1020="","","SK"&amp;TEXT($C1020,"yyyymm")&amp;"-"&amp;TEXT(ROW()-4,"0000"))</f>
        <v/>
      </c>
      <c r="C1020" s="33"/>
      <c r="D1020" s="24"/>
      <c r="E1020" s="30" t="str">
        <f aca="false">IF($D1020="","",IFERROR(INDEX(合同单位,MATCH($D1020,合同键,0)),IFERROR(TRIM(LEFT($D1020,FIND("｜",$D1020)-1)),$D1020)))</f>
        <v/>
      </c>
      <c r="F1020" s="30" t="str">
        <f aca="false">IF($D1020="","",IFERROR(INDEX(合同项目,MATCH($D1020,合同键,0)),IFERROR(TRIM(MID($D1020,FIND("｜",$D1020)+1,99)),"")))</f>
        <v/>
      </c>
      <c r="G1020" s="39"/>
      <c r="H1020" s="25"/>
      <c r="I1020" s="35" t="str">
        <f aca="false">IF($H1020="","",IFERROR(INDEX(票据归类表,MATCH($H1020,票据类型表,0)),"现金无票"))</f>
        <v/>
      </c>
      <c r="J1020" s="25"/>
      <c r="K1020" s="25"/>
      <c r="L1020" s="31"/>
      <c r="M1020" s="29" t="str">
        <f aca="false">IF($C1020="","",YEAR($C1020))</f>
        <v/>
      </c>
      <c r="N1020" s="24"/>
      <c r="O1020" s="35" t="str">
        <f aca="false">IF($C1020="","",IF($D1020="","★没选客户项目",IF(COUNTIF(合同键,$D1020)=0,"★《维保合同》里没这个项目",IF(N($G1020)&lt;=0,"★收款金额要填",IF($H1020="","★票据类型要选",IF(AND($L1020&lt;&gt;"",COUNTIF(应收单号,$L1020)=0),"★关联的应收单号不存在",IF(AND($L1020&lt;&gt;"",IFERROR(INDEX(应收键,MATCH($L1020,应收单号,0)),"")&lt;&gt;$D1020),"★关联单号不是这个客户的",IF(AND($L1020&lt;&gt;"",ROUND(SUMIF(收款关联,$L1020,收款金额)-IFERROR(INDEX(应收金额,MATCH($L1020,应收单号,0)),0),2)&gt;0.001),"★指定冲销超过那张单的应收","OK"))))))))</f>
        <v/>
      </c>
    </row>
    <row r="1021" customFormat="false" ht="15" hidden="false" customHeight="false" outlineLevel="0" collapsed="false">
      <c r="A1021" s="29" t="str">
        <f aca="false">IF($C1021="","",ROW()-4)</f>
        <v/>
      </c>
      <c r="B1021" s="35" t="str">
        <f aca="false">IF($C1021="","","SK"&amp;TEXT($C1021,"yyyymm")&amp;"-"&amp;TEXT(ROW()-4,"0000"))</f>
        <v/>
      </c>
      <c r="C1021" s="33"/>
      <c r="D1021" s="24"/>
      <c r="E1021" s="30" t="str">
        <f aca="false">IF($D1021="","",IFERROR(INDEX(合同单位,MATCH($D1021,合同键,0)),IFERROR(TRIM(LEFT($D1021,FIND("｜",$D1021)-1)),$D1021)))</f>
        <v/>
      </c>
      <c r="F1021" s="30" t="str">
        <f aca="false">IF($D1021="","",IFERROR(INDEX(合同项目,MATCH($D1021,合同键,0)),IFERROR(TRIM(MID($D1021,FIND("｜",$D1021)+1,99)),"")))</f>
        <v/>
      </c>
      <c r="G1021" s="39"/>
      <c r="H1021" s="25"/>
      <c r="I1021" s="35" t="str">
        <f aca="false">IF($H1021="","",IFERROR(INDEX(票据归类表,MATCH($H1021,票据类型表,0)),"现金无票"))</f>
        <v/>
      </c>
      <c r="J1021" s="25"/>
      <c r="K1021" s="25"/>
      <c r="L1021" s="31"/>
      <c r="M1021" s="29" t="str">
        <f aca="false">IF($C1021="","",YEAR($C1021))</f>
        <v/>
      </c>
      <c r="N1021" s="24"/>
      <c r="O1021" s="35" t="str">
        <f aca="false">IF($C1021="","",IF($D1021="","★没选客户项目",IF(COUNTIF(合同键,$D1021)=0,"★《维保合同》里没这个项目",IF(N($G1021)&lt;=0,"★收款金额要填",IF($H1021="","★票据类型要选",IF(AND($L1021&lt;&gt;"",COUNTIF(应收单号,$L1021)=0),"★关联的应收单号不存在",IF(AND($L1021&lt;&gt;"",IFERROR(INDEX(应收键,MATCH($L1021,应收单号,0)),"")&lt;&gt;$D1021),"★关联单号不是这个客户的",IF(AND($L1021&lt;&gt;"",ROUND(SUMIF(收款关联,$L1021,收款金额)-IFERROR(INDEX(应收金额,MATCH($L1021,应收单号,0)),0),2)&gt;0.001),"★指定冲销超过那张单的应收","OK"))))))))</f>
        <v/>
      </c>
    </row>
    <row r="1022" customFormat="false" ht="15" hidden="false" customHeight="false" outlineLevel="0" collapsed="false">
      <c r="A1022" s="29" t="str">
        <f aca="false">IF($C1022="","",ROW()-4)</f>
        <v/>
      </c>
      <c r="B1022" s="35" t="str">
        <f aca="false">IF($C1022="","","SK"&amp;TEXT($C1022,"yyyymm")&amp;"-"&amp;TEXT(ROW()-4,"0000"))</f>
        <v/>
      </c>
      <c r="C1022" s="33"/>
      <c r="D1022" s="24"/>
      <c r="E1022" s="30" t="str">
        <f aca="false">IF($D1022="","",IFERROR(INDEX(合同单位,MATCH($D1022,合同键,0)),IFERROR(TRIM(LEFT($D1022,FIND("｜",$D1022)-1)),$D1022)))</f>
        <v/>
      </c>
      <c r="F1022" s="30" t="str">
        <f aca="false">IF($D1022="","",IFERROR(INDEX(合同项目,MATCH($D1022,合同键,0)),IFERROR(TRIM(MID($D1022,FIND("｜",$D1022)+1,99)),"")))</f>
        <v/>
      </c>
      <c r="G1022" s="39"/>
      <c r="H1022" s="25"/>
      <c r="I1022" s="35" t="str">
        <f aca="false">IF($H1022="","",IFERROR(INDEX(票据归类表,MATCH($H1022,票据类型表,0)),"现金无票"))</f>
        <v/>
      </c>
      <c r="J1022" s="25"/>
      <c r="K1022" s="25"/>
      <c r="L1022" s="31"/>
      <c r="M1022" s="29" t="str">
        <f aca="false">IF($C1022="","",YEAR($C1022))</f>
        <v/>
      </c>
      <c r="N1022" s="24"/>
      <c r="O1022" s="35" t="str">
        <f aca="false">IF($C1022="","",IF($D1022="","★没选客户项目",IF(COUNTIF(合同键,$D1022)=0,"★《维保合同》里没这个项目",IF(N($G1022)&lt;=0,"★收款金额要填",IF($H1022="","★票据类型要选",IF(AND($L1022&lt;&gt;"",COUNTIF(应收单号,$L1022)=0),"★关联的应收单号不存在",IF(AND($L1022&lt;&gt;"",IFERROR(INDEX(应收键,MATCH($L1022,应收单号,0)),"")&lt;&gt;$D1022),"★关联单号不是这个客户的",IF(AND($L1022&lt;&gt;"",ROUND(SUMIF(收款关联,$L1022,收款金额)-IFERROR(INDEX(应收金额,MATCH($L1022,应收单号,0)),0),2)&gt;0.001),"★指定冲销超过那张单的应收","OK"))))))))</f>
        <v/>
      </c>
    </row>
    <row r="1023" customFormat="false" ht="15" hidden="false" customHeight="false" outlineLevel="0" collapsed="false">
      <c r="A1023" s="29" t="str">
        <f aca="false">IF($C1023="","",ROW()-4)</f>
        <v/>
      </c>
      <c r="B1023" s="35" t="str">
        <f aca="false">IF($C1023="","","SK"&amp;TEXT($C1023,"yyyymm")&amp;"-"&amp;TEXT(ROW()-4,"0000"))</f>
        <v/>
      </c>
      <c r="C1023" s="33"/>
      <c r="D1023" s="24"/>
      <c r="E1023" s="30" t="str">
        <f aca="false">IF($D1023="","",IFERROR(INDEX(合同单位,MATCH($D1023,合同键,0)),IFERROR(TRIM(LEFT($D1023,FIND("｜",$D1023)-1)),$D1023)))</f>
        <v/>
      </c>
      <c r="F1023" s="30" t="str">
        <f aca="false">IF($D1023="","",IFERROR(INDEX(合同项目,MATCH($D1023,合同键,0)),IFERROR(TRIM(MID($D1023,FIND("｜",$D1023)+1,99)),"")))</f>
        <v/>
      </c>
      <c r="G1023" s="39"/>
      <c r="H1023" s="25"/>
      <c r="I1023" s="35" t="str">
        <f aca="false">IF($H1023="","",IFERROR(INDEX(票据归类表,MATCH($H1023,票据类型表,0)),"现金无票"))</f>
        <v/>
      </c>
      <c r="J1023" s="25"/>
      <c r="K1023" s="25"/>
      <c r="L1023" s="31"/>
      <c r="M1023" s="29" t="str">
        <f aca="false">IF($C1023="","",YEAR($C1023))</f>
        <v/>
      </c>
      <c r="N1023" s="24"/>
      <c r="O1023" s="35" t="str">
        <f aca="false">IF($C1023="","",IF($D1023="","★没选客户项目",IF(COUNTIF(合同键,$D1023)=0,"★《维保合同》里没这个项目",IF(N($G1023)&lt;=0,"★收款金额要填",IF($H1023="","★票据类型要选",IF(AND($L1023&lt;&gt;"",COUNTIF(应收单号,$L1023)=0),"★关联的应收单号不存在",IF(AND($L1023&lt;&gt;"",IFERROR(INDEX(应收键,MATCH($L1023,应收单号,0)),"")&lt;&gt;$D1023),"★关联单号不是这个客户的",IF(AND($L1023&lt;&gt;"",ROUND(SUMIF(收款关联,$L1023,收款金额)-IFERROR(INDEX(应收金额,MATCH($L1023,应收单号,0)),0),2)&gt;0.001),"★指定冲销超过那张单的应收","OK"))))))))</f>
        <v/>
      </c>
    </row>
    <row r="1024" customFormat="false" ht="15" hidden="false" customHeight="false" outlineLevel="0" collapsed="false">
      <c r="A1024" s="29" t="str">
        <f aca="false">IF($C1024="","",ROW()-4)</f>
        <v/>
      </c>
      <c r="B1024" s="35" t="str">
        <f aca="false">IF($C1024="","","SK"&amp;TEXT($C1024,"yyyymm")&amp;"-"&amp;TEXT(ROW()-4,"0000"))</f>
        <v/>
      </c>
      <c r="C1024" s="33"/>
      <c r="D1024" s="24"/>
      <c r="E1024" s="30" t="str">
        <f aca="false">IF($D1024="","",IFERROR(INDEX(合同单位,MATCH($D1024,合同键,0)),IFERROR(TRIM(LEFT($D1024,FIND("｜",$D1024)-1)),$D1024)))</f>
        <v/>
      </c>
      <c r="F1024" s="30" t="str">
        <f aca="false">IF($D1024="","",IFERROR(INDEX(合同项目,MATCH($D1024,合同键,0)),IFERROR(TRIM(MID($D1024,FIND("｜",$D1024)+1,99)),"")))</f>
        <v/>
      </c>
      <c r="G1024" s="39"/>
      <c r="H1024" s="25"/>
      <c r="I1024" s="35" t="str">
        <f aca="false">IF($H1024="","",IFERROR(INDEX(票据归类表,MATCH($H1024,票据类型表,0)),"现金无票"))</f>
        <v/>
      </c>
      <c r="J1024" s="25"/>
      <c r="K1024" s="25"/>
      <c r="L1024" s="31"/>
      <c r="M1024" s="29" t="str">
        <f aca="false">IF($C1024="","",YEAR($C1024))</f>
        <v/>
      </c>
      <c r="N1024" s="24"/>
      <c r="O1024" s="35" t="str">
        <f aca="false">IF($C1024="","",IF($D1024="","★没选客户项目",IF(COUNTIF(合同键,$D1024)=0,"★《维保合同》里没这个项目",IF(N($G1024)&lt;=0,"★收款金额要填",IF($H1024="","★票据类型要选",IF(AND($L1024&lt;&gt;"",COUNTIF(应收单号,$L1024)=0),"★关联的应收单号不存在",IF(AND($L1024&lt;&gt;"",IFERROR(INDEX(应收键,MATCH($L1024,应收单号,0)),"")&lt;&gt;$D1024),"★关联单号不是这个客户的",IF(AND($L1024&lt;&gt;"",ROUND(SUMIF(收款关联,$L1024,收款金额)-IFERROR(INDEX(应收金额,MATCH($L1024,应收单号,0)),0),2)&gt;0.001),"★指定冲销超过那张单的应收","OK"))))))))</f>
        <v/>
      </c>
    </row>
    <row r="1025" customFormat="false" ht="15" hidden="false" customHeight="false" outlineLevel="0" collapsed="false">
      <c r="A1025" s="29" t="str">
        <f aca="false">IF($C1025="","",ROW()-4)</f>
        <v/>
      </c>
      <c r="B1025" s="35" t="str">
        <f aca="false">IF($C1025="","","SK"&amp;TEXT($C1025,"yyyymm")&amp;"-"&amp;TEXT(ROW()-4,"0000"))</f>
        <v/>
      </c>
      <c r="C1025" s="33"/>
      <c r="D1025" s="24"/>
      <c r="E1025" s="30" t="str">
        <f aca="false">IF($D1025="","",IFERROR(INDEX(合同单位,MATCH($D1025,合同键,0)),IFERROR(TRIM(LEFT($D1025,FIND("｜",$D1025)-1)),$D1025)))</f>
        <v/>
      </c>
      <c r="F1025" s="30" t="str">
        <f aca="false">IF($D1025="","",IFERROR(INDEX(合同项目,MATCH($D1025,合同键,0)),IFERROR(TRIM(MID($D1025,FIND("｜",$D1025)+1,99)),"")))</f>
        <v/>
      </c>
      <c r="G1025" s="39"/>
      <c r="H1025" s="25"/>
      <c r="I1025" s="35" t="str">
        <f aca="false">IF($H1025="","",IFERROR(INDEX(票据归类表,MATCH($H1025,票据类型表,0)),"现金无票"))</f>
        <v/>
      </c>
      <c r="J1025" s="25"/>
      <c r="K1025" s="25"/>
      <c r="L1025" s="31"/>
      <c r="M1025" s="29" t="str">
        <f aca="false">IF($C1025="","",YEAR($C1025))</f>
        <v/>
      </c>
      <c r="N1025" s="24"/>
      <c r="O1025" s="35" t="str">
        <f aca="false">IF($C1025="","",IF($D1025="","★没选客户项目",IF(COUNTIF(合同键,$D1025)=0,"★《维保合同》里没这个项目",IF(N($G1025)&lt;=0,"★收款金额要填",IF($H1025="","★票据类型要选",IF(AND($L1025&lt;&gt;"",COUNTIF(应收单号,$L1025)=0),"★关联的应收单号不存在",IF(AND($L1025&lt;&gt;"",IFERROR(INDEX(应收键,MATCH($L1025,应收单号,0)),"")&lt;&gt;$D1025),"★关联单号不是这个客户的",IF(AND($L1025&lt;&gt;"",ROUND(SUMIF(收款关联,$L1025,收款金额)-IFERROR(INDEX(应收金额,MATCH($L1025,应收单号,0)),0),2)&gt;0.001),"★指定冲销超过那张单的应收","OK"))))))))</f>
        <v/>
      </c>
    </row>
    <row r="1026" customFormat="false" ht="15" hidden="false" customHeight="false" outlineLevel="0" collapsed="false">
      <c r="A1026" s="29" t="str">
        <f aca="false">IF($C1026="","",ROW()-4)</f>
        <v/>
      </c>
      <c r="B1026" s="35" t="str">
        <f aca="false">IF($C1026="","","SK"&amp;TEXT($C1026,"yyyymm")&amp;"-"&amp;TEXT(ROW()-4,"0000"))</f>
        <v/>
      </c>
      <c r="C1026" s="33"/>
      <c r="D1026" s="24"/>
      <c r="E1026" s="30" t="str">
        <f aca="false">IF($D1026="","",IFERROR(INDEX(合同单位,MATCH($D1026,合同键,0)),IFERROR(TRIM(LEFT($D1026,FIND("｜",$D1026)-1)),$D1026)))</f>
        <v/>
      </c>
      <c r="F1026" s="30" t="str">
        <f aca="false">IF($D1026="","",IFERROR(INDEX(合同项目,MATCH($D1026,合同键,0)),IFERROR(TRIM(MID($D1026,FIND("｜",$D1026)+1,99)),"")))</f>
        <v/>
      </c>
      <c r="G1026" s="39"/>
      <c r="H1026" s="25"/>
      <c r="I1026" s="35" t="str">
        <f aca="false">IF($H1026="","",IFERROR(INDEX(票据归类表,MATCH($H1026,票据类型表,0)),"现金无票"))</f>
        <v/>
      </c>
      <c r="J1026" s="25"/>
      <c r="K1026" s="25"/>
      <c r="L1026" s="31"/>
      <c r="M1026" s="29" t="str">
        <f aca="false">IF($C1026="","",YEAR($C1026))</f>
        <v/>
      </c>
      <c r="N1026" s="24"/>
      <c r="O1026" s="35" t="str">
        <f aca="false">IF($C1026="","",IF($D1026="","★没选客户项目",IF(COUNTIF(合同键,$D1026)=0,"★《维保合同》里没这个项目",IF(N($G1026)&lt;=0,"★收款金额要填",IF($H1026="","★票据类型要选",IF(AND($L1026&lt;&gt;"",COUNTIF(应收单号,$L1026)=0),"★关联的应收单号不存在",IF(AND($L1026&lt;&gt;"",IFERROR(INDEX(应收键,MATCH($L1026,应收单号,0)),"")&lt;&gt;$D1026),"★关联单号不是这个客户的",IF(AND($L1026&lt;&gt;"",ROUND(SUMIF(收款关联,$L1026,收款金额)-IFERROR(INDEX(应收金额,MATCH($L1026,应收单号,0)),0),2)&gt;0.001),"★指定冲销超过那张单的应收","OK"))))))))</f>
        <v/>
      </c>
    </row>
    <row r="1027" customFormat="false" ht="15" hidden="false" customHeight="false" outlineLevel="0" collapsed="false">
      <c r="A1027" s="29" t="str">
        <f aca="false">IF($C1027="","",ROW()-4)</f>
        <v/>
      </c>
      <c r="B1027" s="35" t="str">
        <f aca="false">IF($C1027="","","SK"&amp;TEXT($C1027,"yyyymm")&amp;"-"&amp;TEXT(ROW()-4,"0000"))</f>
        <v/>
      </c>
      <c r="C1027" s="33"/>
      <c r="D1027" s="24"/>
      <c r="E1027" s="30" t="str">
        <f aca="false">IF($D1027="","",IFERROR(INDEX(合同单位,MATCH($D1027,合同键,0)),IFERROR(TRIM(LEFT($D1027,FIND("｜",$D1027)-1)),$D1027)))</f>
        <v/>
      </c>
      <c r="F1027" s="30" t="str">
        <f aca="false">IF($D1027="","",IFERROR(INDEX(合同项目,MATCH($D1027,合同键,0)),IFERROR(TRIM(MID($D1027,FIND("｜",$D1027)+1,99)),"")))</f>
        <v/>
      </c>
      <c r="G1027" s="39"/>
      <c r="H1027" s="25"/>
      <c r="I1027" s="35" t="str">
        <f aca="false">IF($H1027="","",IFERROR(INDEX(票据归类表,MATCH($H1027,票据类型表,0)),"现金无票"))</f>
        <v/>
      </c>
      <c r="J1027" s="25"/>
      <c r="K1027" s="25"/>
      <c r="L1027" s="31"/>
      <c r="M1027" s="29" t="str">
        <f aca="false">IF($C1027="","",YEAR($C1027))</f>
        <v/>
      </c>
      <c r="N1027" s="24"/>
      <c r="O1027" s="35" t="str">
        <f aca="false">IF($C1027="","",IF($D1027="","★没选客户项目",IF(COUNTIF(合同键,$D1027)=0,"★《维保合同》里没这个项目",IF(N($G1027)&lt;=0,"★收款金额要填",IF($H1027="","★票据类型要选",IF(AND($L1027&lt;&gt;"",COUNTIF(应收单号,$L1027)=0),"★关联的应收单号不存在",IF(AND($L1027&lt;&gt;"",IFERROR(INDEX(应收键,MATCH($L1027,应收单号,0)),"")&lt;&gt;$D1027),"★关联单号不是这个客户的",IF(AND($L1027&lt;&gt;"",ROUND(SUMIF(收款关联,$L1027,收款金额)-IFERROR(INDEX(应收金额,MATCH($L1027,应收单号,0)),0),2)&gt;0.001),"★指定冲销超过那张单的应收","OK"))))))))</f>
        <v/>
      </c>
    </row>
    <row r="1028" customFormat="false" ht="15" hidden="false" customHeight="false" outlineLevel="0" collapsed="false">
      <c r="A1028" s="29" t="str">
        <f aca="false">IF($C1028="","",ROW()-4)</f>
        <v/>
      </c>
      <c r="B1028" s="35" t="str">
        <f aca="false">IF($C1028="","","SK"&amp;TEXT($C1028,"yyyymm")&amp;"-"&amp;TEXT(ROW()-4,"0000"))</f>
        <v/>
      </c>
      <c r="C1028" s="33"/>
      <c r="D1028" s="24"/>
      <c r="E1028" s="30" t="str">
        <f aca="false">IF($D1028="","",IFERROR(INDEX(合同单位,MATCH($D1028,合同键,0)),IFERROR(TRIM(LEFT($D1028,FIND("｜",$D1028)-1)),$D1028)))</f>
        <v/>
      </c>
      <c r="F1028" s="30" t="str">
        <f aca="false">IF($D1028="","",IFERROR(INDEX(合同项目,MATCH($D1028,合同键,0)),IFERROR(TRIM(MID($D1028,FIND("｜",$D1028)+1,99)),"")))</f>
        <v/>
      </c>
      <c r="G1028" s="39"/>
      <c r="H1028" s="25"/>
      <c r="I1028" s="35" t="str">
        <f aca="false">IF($H1028="","",IFERROR(INDEX(票据归类表,MATCH($H1028,票据类型表,0)),"现金无票"))</f>
        <v/>
      </c>
      <c r="J1028" s="25"/>
      <c r="K1028" s="25"/>
      <c r="L1028" s="31"/>
      <c r="M1028" s="29" t="str">
        <f aca="false">IF($C1028="","",YEAR($C1028))</f>
        <v/>
      </c>
      <c r="N1028" s="24"/>
      <c r="O1028" s="35" t="str">
        <f aca="false">IF($C1028="","",IF($D1028="","★没选客户项目",IF(COUNTIF(合同键,$D1028)=0,"★《维保合同》里没这个项目",IF(N($G1028)&lt;=0,"★收款金额要填",IF($H1028="","★票据类型要选",IF(AND($L1028&lt;&gt;"",COUNTIF(应收单号,$L1028)=0),"★关联的应收单号不存在",IF(AND($L1028&lt;&gt;"",IFERROR(INDEX(应收键,MATCH($L1028,应收单号,0)),"")&lt;&gt;$D1028),"★关联单号不是这个客户的",IF(AND($L1028&lt;&gt;"",ROUND(SUMIF(收款关联,$L1028,收款金额)-IFERROR(INDEX(应收金额,MATCH($L1028,应收单号,0)),0),2)&gt;0.001),"★指定冲销超过那张单的应收","OK"))))))))</f>
        <v/>
      </c>
    </row>
    <row r="1029" customFormat="false" ht="15" hidden="false" customHeight="false" outlineLevel="0" collapsed="false">
      <c r="A1029" s="29" t="str">
        <f aca="false">IF($C1029="","",ROW()-4)</f>
        <v/>
      </c>
      <c r="B1029" s="35" t="str">
        <f aca="false">IF($C1029="","","SK"&amp;TEXT($C1029,"yyyymm")&amp;"-"&amp;TEXT(ROW()-4,"0000"))</f>
        <v/>
      </c>
      <c r="C1029" s="33"/>
      <c r="D1029" s="24"/>
      <c r="E1029" s="30" t="str">
        <f aca="false">IF($D1029="","",IFERROR(INDEX(合同单位,MATCH($D1029,合同键,0)),IFERROR(TRIM(LEFT($D1029,FIND("｜",$D1029)-1)),$D1029)))</f>
        <v/>
      </c>
      <c r="F1029" s="30" t="str">
        <f aca="false">IF($D1029="","",IFERROR(INDEX(合同项目,MATCH($D1029,合同键,0)),IFERROR(TRIM(MID($D1029,FIND("｜",$D1029)+1,99)),"")))</f>
        <v/>
      </c>
      <c r="G1029" s="39"/>
      <c r="H1029" s="25"/>
      <c r="I1029" s="35" t="str">
        <f aca="false">IF($H1029="","",IFERROR(INDEX(票据归类表,MATCH($H1029,票据类型表,0)),"现金无票"))</f>
        <v/>
      </c>
      <c r="J1029" s="25"/>
      <c r="K1029" s="25"/>
      <c r="L1029" s="31"/>
      <c r="M1029" s="29" t="str">
        <f aca="false">IF($C1029="","",YEAR($C1029))</f>
        <v/>
      </c>
      <c r="N1029" s="24"/>
      <c r="O1029" s="35" t="str">
        <f aca="false">IF($C1029="","",IF($D1029="","★没选客户项目",IF(COUNTIF(合同键,$D1029)=0,"★《维保合同》里没这个项目",IF(N($G1029)&lt;=0,"★收款金额要填",IF($H1029="","★票据类型要选",IF(AND($L1029&lt;&gt;"",COUNTIF(应收单号,$L1029)=0),"★关联的应收单号不存在",IF(AND($L1029&lt;&gt;"",IFERROR(INDEX(应收键,MATCH($L1029,应收单号,0)),"")&lt;&gt;$D1029),"★关联单号不是这个客户的",IF(AND($L1029&lt;&gt;"",ROUND(SUMIF(收款关联,$L1029,收款金额)-IFERROR(INDEX(应收金额,MATCH($L1029,应收单号,0)),0),2)&gt;0.001),"★指定冲销超过那张单的应收","OK"))))))))</f>
        <v/>
      </c>
    </row>
    <row r="1030" customFormat="false" ht="15" hidden="false" customHeight="false" outlineLevel="0" collapsed="false">
      <c r="A1030" s="29" t="str">
        <f aca="false">IF($C1030="","",ROW()-4)</f>
        <v/>
      </c>
      <c r="B1030" s="35" t="str">
        <f aca="false">IF($C1030="","","SK"&amp;TEXT($C1030,"yyyymm")&amp;"-"&amp;TEXT(ROW()-4,"0000"))</f>
        <v/>
      </c>
      <c r="C1030" s="33"/>
      <c r="D1030" s="24"/>
      <c r="E1030" s="30" t="str">
        <f aca="false">IF($D1030="","",IFERROR(INDEX(合同单位,MATCH($D1030,合同键,0)),IFERROR(TRIM(LEFT($D1030,FIND("｜",$D1030)-1)),$D1030)))</f>
        <v/>
      </c>
      <c r="F1030" s="30" t="str">
        <f aca="false">IF($D1030="","",IFERROR(INDEX(合同项目,MATCH($D1030,合同键,0)),IFERROR(TRIM(MID($D1030,FIND("｜",$D1030)+1,99)),"")))</f>
        <v/>
      </c>
      <c r="G1030" s="39"/>
      <c r="H1030" s="25"/>
      <c r="I1030" s="35" t="str">
        <f aca="false">IF($H1030="","",IFERROR(INDEX(票据归类表,MATCH($H1030,票据类型表,0)),"现金无票"))</f>
        <v/>
      </c>
      <c r="J1030" s="25"/>
      <c r="K1030" s="25"/>
      <c r="L1030" s="31"/>
      <c r="M1030" s="29" t="str">
        <f aca="false">IF($C1030="","",YEAR($C1030))</f>
        <v/>
      </c>
      <c r="N1030" s="24"/>
      <c r="O1030" s="35" t="str">
        <f aca="false">IF($C1030="","",IF($D1030="","★没选客户项目",IF(COUNTIF(合同键,$D1030)=0,"★《维保合同》里没这个项目",IF(N($G1030)&lt;=0,"★收款金额要填",IF($H1030="","★票据类型要选",IF(AND($L1030&lt;&gt;"",COUNTIF(应收单号,$L1030)=0),"★关联的应收单号不存在",IF(AND($L1030&lt;&gt;"",IFERROR(INDEX(应收键,MATCH($L1030,应收单号,0)),"")&lt;&gt;$D1030),"★关联单号不是这个客户的",IF(AND($L1030&lt;&gt;"",ROUND(SUMIF(收款关联,$L1030,收款金额)-IFERROR(INDEX(应收金额,MATCH($L1030,应收单号,0)),0),2)&gt;0.001),"★指定冲销超过那张单的应收","OK"))))))))</f>
        <v/>
      </c>
    </row>
    <row r="1031" customFormat="false" ht="15" hidden="false" customHeight="false" outlineLevel="0" collapsed="false">
      <c r="A1031" s="29" t="str">
        <f aca="false">IF($C1031="","",ROW()-4)</f>
        <v/>
      </c>
      <c r="B1031" s="35" t="str">
        <f aca="false">IF($C1031="","","SK"&amp;TEXT($C1031,"yyyymm")&amp;"-"&amp;TEXT(ROW()-4,"0000"))</f>
        <v/>
      </c>
      <c r="C1031" s="33"/>
      <c r="D1031" s="24"/>
      <c r="E1031" s="30" t="str">
        <f aca="false">IF($D1031="","",IFERROR(INDEX(合同单位,MATCH($D1031,合同键,0)),IFERROR(TRIM(LEFT($D1031,FIND("｜",$D1031)-1)),$D1031)))</f>
        <v/>
      </c>
      <c r="F1031" s="30" t="str">
        <f aca="false">IF($D1031="","",IFERROR(INDEX(合同项目,MATCH($D1031,合同键,0)),IFERROR(TRIM(MID($D1031,FIND("｜",$D1031)+1,99)),"")))</f>
        <v/>
      </c>
      <c r="G1031" s="39"/>
      <c r="H1031" s="25"/>
      <c r="I1031" s="35" t="str">
        <f aca="false">IF($H1031="","",IFERROR(INDEX(票据归类表,MATCH($H1031,票据类型表,0)),"现金无票"))</f>
        <v/>
      </c>
      <c r="J1031" s="25"/>
      <c r="K1031" s="25"/>
      <c r="L1031" s="31"/>
      <c r="M1031" s="29" t="str">
        <f aca="false">IF($C1031="","",YEAR($C1031))</f>
        <v/>
      </c>
      <c r="N1031" s="24"/>
      <c r="O1031" s="35" t="str">
        <f aca="false">IF($C1031="","",IF($D1031="","★没选客户项目",IF(COUNTIF(合同键,$D1031)=0,"★《维保合同》里没这个项目",IF(N($G1031)&lt;=0,"★收款金额要填",IF($H1031="","★票据类型要选",IF(AND($L1031&lt;&gt;"",COUNTIF(应收单号,$L1031)=0),"★关联的应收单号不存在",IF(AND($L1031&lt;&gt;"",IFERROR(INDEX(应收键,MATCH($L1031,应收单号,0)),"")&lt;&gt;$D1031),"★关联单号不是这个客户的",IF(AND($L1031&lt;&gt;"",ROUND(SUMIF(收款关联,$L1031,收款金额)-IFERROR(INDEX(应收金额,MATCH($L1031,应收单号,0)),0),2)&gt;0.001),"★指定冲销超过那张单的应收","OK"))))))))</f>
        <v/>
      </c>
    </row>
    <row r="1032" customFormat="false" ht="15" hidden="false" customHeight="false" outlineLevel="0" collapsed="false">
      <c r="A1032" s="29" t="str">
        <f aca="false">IF($C1032="","",ROW()-4)</f>
        <v/>
      </c>
      <c r="B1032" s="35" t="str">
        <f aca="false">IF($C1032="","","SK"&amp;TEXT($C1032,"yyyymm")&amp;"-"&amp;TEXT(ROW()-4,"0000"))</f>
        <v/>
      </c>
      <c r="C1032" s="33"/>
      <c r="D1032" s="24"/>
      <c r="E1032" s="30" t="str">
        <f aca="false">IF($D1032="","",IFERROR(INDEX(合同单位,MATCH($D1032,合同键,0)),IFERROR(TRIM(LEFT($D1032,FIND("｜",$D1032)-1)),$D1032)))</f>
        <v/>
      </c>
      <c r="F1032" s="30" t="str">
        <f aca="false">IF($D1032="","",IFERROR(INDEX(合同项目,MATCH($D1032,合同键,0)),IFERROR(TRIM(MID($D1032,FIND("｜",$D1032)+1,99)),"")))</f>
        <v/>
      </c>
      <c r="G1032" s="39"/>
      <c r="H1032" s="25"/>
      <c r="I1032" s="35" t="str">
        <f aca="false">IF($H1032="","",IFERROR(INDEX(票据归类表,MATCH($H1032,票据类型表,0)),"现金无票"))</f>
        <v/>
      </c>
      <c r="J1032" s="25"/>
      <c r="K1032" s="25"/>
      <c r="L1032" s="31"/>
      <c r="M1032" s="29" t="str">
        <f aca="false">IF($C1032="","",YEAR($C1032))</f>
        <v/>
      </c>
      <c r="N1032" s="24"/>
      <c r="O1032" s="35" t="str">
        <f aca="false">IF($C1032="","",IF($D1032="","★没选客户项目",IF(COUNTIF(合同键,$D1032)=0,"★《维保合同》里没这个项目",IF(N($G1032)&lt;=0,"★收款金额要填",IF($H1032="","★票据类型要选",IF(AND($L1032&lt;&gt;"",COUNTIF(应收单号,$L1032)=0),"★关联的应收单号不存在",IF(AND($L1032&lt;&gt;"",IFERROR(INDEX(应收键,MATCH($L1032,应收单号,0)),"")&lt;&gt;$D1032),"★关联单号不是这个客户的",IF(AND($L1032&lt;&gt;"",ROUND(SUMIF(收款关联,$L1032,收款金额)-IFERROR(INDEX(应收金额,MATCH($L1032,应收单号,0)),0),2)&gt;0.001),"★指定冲销超过那张单的应收","OK"))))))))</f>
        <v/>
      </c>
    </row>
    <row r="1033" customFormat="false" ht="15" hidden="false" customHeight="false" outlineLevel="0" collapsed="false">
      <c r="A1033" s="29" t="str">
        <f aca="false">IF($C1033="","",ROW()-4)</f>
        <v/>
      </c>
      <c r="B1033" s="35" t="str">
        <f aca="false">IF($C1033="","","SK"&amp;TEXT($C1033,"yyyymm")&amp;"-"&amp;TEXT(ROW()-4,"0000"))</f>
        <v/>
      </c>
      <c r="C1033" s="33"/>
      <c r="D1033" s="24"/>
      <c r="E1033" s="30" t="str">
        <f aca="false">IF($D1033="","",IFERROR(INDEX(合同单位,MATCH($D1033,合同键,0)),IFERROR(TRIM(LEFT($D1033,FIND("｜",$D1033)-1)),$D1033)))</f>
        <v/>
      </c>
      <c r="F1033" s="30" t="str">
        <f aca="false">IF($D1033="","",IFERROR(INDEX(合同项目,MATCH($D1033,合同键,0)),IFERROR(TRIM(MID($D1033,FIND("｜",$D1033)+1,99)),"")))</f>
        <v/>
      </c>
      <c r="G1033" s="39"/>
      <c r="H1033" s="25"/>
      <c r="I1033" s="35" t="str">
        <f aca="false">IF($H1033="","",IFERROR(INDEX(票据归类表,MATCH($H1033,票据类型表,0)),"现金无票"))</f>
        <v/>
      </c>
      <c r="J1033" s="25"/>
      <c r="K1033" s="25"/>
      <c r="L1033" s="31"/>
      <c r="M1033" s="29" t="str">
        <f aca="false">IF($C1033="","",YEAR($C1033))</f>
        <v/>
      </c>
      <c r="N1033" s="24"/>
      <c r="O1033" s="35" t="str">
        <f aca="false">IF($C1033="","",IF($D1033="","★没选客户项目",IF(COUNTIF(合同键,$D1033)=0,"★《维保合同》里没这个项目",IF(N($G1033)&lt;=0,"★收款金额要填",IF($H1033="","★票据类型要选",IF(AND($L1033&lt;&gt;"",COUNTIF(应收单号,$L1033)=0),"★关联的应收单号不存在",IF(AND($L1033&lt;&gt;"",IFERROR(INDEX(应收键,MATCH($L1033,应收单号,0)),"")&lt;&gt;$D1033),"★关联单号不是这个客户的",IF(AND($L1033&lt;&gt;"",ROUND(SUMIF(收款关联,$L1033,收款金额)-IFERROR(INDEX(应收金额,MATCH($L1033,应收单号,0)),0),2)&gt;0.001),"★指定冲销超过那张单的应收","OK"))))))))</f>
        <v/>
      </c>
    </row>
    <row r="1034" customFormat="false" ht="15" hidden="false" customHeight="false" outlineLevel="0" collapsed="false">
      <c r="A1034" s="29" t="str">
        <f aca="false">IF($C1034="","",ROW()-4)</f>
        <v/>
      </c>
      <c r="B1034" s="35" t="str">
        <f aca="false">IF($C1034="","","SK"&amp;TEXT($C1034,"yyyymm")&amp;"-"&amp;TEXT(ROW()-4,"0000"))</f>
        <v/>
      </c>
      <c r="C1034" s="33"/>
      <c r="D1034" s="24"/>
      <c r="E1034" s="30" t="str">
        <f aca="false">IF($D1034="","",IFERROR(INDEX(合同单位,MATCH($D1034,合同键,0)),IFERROR(TRIM(LEFT($D1034,FIND("｜",$D1034)-1)),$D1034)))</f>
        <v/>
      </c>
      <c r="F1034" s="30" t="str">
        <f aca="false">IF($D1034="","",IFERROR(INDEX(合同项目,MATCH($D1034,合同键,0)),IFERROR(TRIM(MID($D1034,FIND("｜",$D1034)+1,99)),"")))</f>
        <v/>
      </c>
      <c r="G1034" s="39"/>
      <c r="H1034" s="25"/>
      <c r="I1034" s="35" t="str">
        <f aca="false">IF($H1034="","",IFERROR(INDEX(票据归类表,MATCH($H1034,票据类型表,0)),"现金无票"))</f>
        <v/>
      </c>
      <c r="J1034" s="25"/>
      <c r="K1034" s="25"/>
      <c r="L1034" s="31"/>
      <c r="M1034" s="29" t="str">
        <f aca="false">IF($C1034="","",YEAR($C1034))</f>
        <v/>
      </c>
      <c r="N1034" s="24"/>
      <c r="O1034" s="35" t="str">
        <f aca="false">IF($C1034="","",IF($D1034="","★没选客户项目",IF(COUNTIF(合同键,$D1034)=0,"★《维保合同》里没这个项目",IF(N($G1034)&lt;=0,"★收款金额要填",IF($H1034="","★票据类型要选",IF(AND($L1034&lt;&gt;"",COUNTIF(应收单号,$L1034)=0),"★关联的应收单号不存在",IF(AND($L1034&lt;&gt;"",IFERROR(INDEX(应收键,MATCH($L1034,应收单号,0)),"")&lt;&gt;$D1034),"★关联单号不是这个客户的",IF(AND($L1034&lt;&gt;"",ROUND(SUMIF(收款关联,$L1034,收款金额)-IFERROR(INDEX(应收金额,MATCH($L1034,应收单号,0)),0),2)&gt;0.001),"★指定冲销超过那张单的应收","OK"))))))))</f>
        <v/>
      </c>
    </row>
    <row r="1035" customFormat="false" ht="15" hidden="false" customHeight="false" outlineLevel="0" collapsed="false">
      <c r="A1035" s="29" t="str">
        <f aca="false">IF($C1035="","",ROW()-4)</f>
        <v/>
      </c>
      <c r="B1035" s="35" t="str">
        <f aca="false">IF($C1035="","","SK"&amp;TEXT($C1035,"yyyymm")&amp;"-"&amp;TEXT(ROW()-4,"0000"))</f>
        <v/>
      </c>
      <c r="C1035" s="33"/>
      <c r="D1035" s="24"/>
      <c r="E1035" s="30" t="str">
        <f aca="false">IF($D1035="","",IFERROR(INDEX(合同单位,MATCH($D1035,合同键,0)),IFERROR(TRIM(LEFT($D1035,FIND("｜",$D1035)-1)),$D1035)))</f>
        <v/>
      </c>
      <c r="F1035" s="30" t="str">
        <f aca="false">IF($D1035="","",IFERROR(INDEX(合同项目,MATCH($D1035,合同键,0)),IFERROR(TRIM(MID($D1035,FIND("｜",$D1035)+1,99)),"")))</f>
        <v/>
      </c>
      <c r="G1035" s="39"/>
      <c r="H1035" s="25"/>
      <c r="I1035" s="35" t="str">
        <f aca="false">IF($H1035="","",IFERROR(INDEX(票据归类表,MATCH($H1035,票据类型表,0)),"现金无票"))</f>
        <v/>
      </c>
      <c r="J1035" s="25"/>
      <c r="K1035" s="25"/>
      <c r="L1035" s="31"/>
      <c r="M1035" s="29" t="str">
        <f aca="false">IF($C1035="","",YEAR($C1035))</f>
        <v/>
      </c>
      <c r="N1035" s="24"/>
      <c r="O1035" s="35" t="str">
        <f aca="false">IF($C1035="","",IF($D1035="","★没选客户项目",IF(COUNTIF(合同键,$D1035)=0,"★《维保合同》里没这个项目",IF(N($G1035)&lt;=0,"★收款金额要填",IF($H1035="","★票据类型要选",IF(AND($L1035&lt;&gt;"",COUNTIF(应收单号,$L1035)=0),"★关联的应收单号不存在",IF(AND($L1035&lt;&gt;"",IFERROR(INDEX(应收键,MATCH($L1035,应收单号,0)),"")&lt;&gt;$D1035),"★关联单号不是这个客户的",IF(AND($L1035&lt;&gt;"",ROUND(SUMIF(收款关联,$L1035,收款金额)-IFERROR(INDEX(应收金额,MATCH($L1035,应收单号,0)),0),2)&gt;0.001),"★指定冲销超过那张单的应收","OK"))))))))</f>
        <v/>
      </c>
    </row>
    <row r="1036" customFormat="false" ht="15" hidden="false" customHeight="false" outlineLevel="0" collapsed="false">
      <c r="A1036" s="29" t="str">
        <f aca="false">IF($C1036="","",ROW()-4)</f>
        <v/>
      </c>
      <c r="B1036" s="35" t="str">
        <f aca="false">IF($C1036="","","SK"&amp;TEXT($C1036,"yyyymm")&amp;"-"&amp;TEXT(ROW()-4,"0000"))</f>
        <v/>
      </c>
      <c r="C1036" s="33"/>
      <c r="D1036" s="24"/>
      <c r="E1036" s="30" t="str">
        <f aca="false">IF($D1036="","",IFERROR(INDEX(合同单位,MATCH($D1036,合同键,0)),IFERROR(TRIM(LEFT($D1036,FIND("｜",$D1036)-1)),$D1036)))</f>
        <v/>
      </c>
      <c r="F1036" s="30" t="str">
        <f aca="false">IF($D1036="","",IFERROR(INDEX(合同项目,MATCH($D1036,合同键,0)),IFERROR(TRIM(MID($D1036,FIND("｜",$D1036)+1,99)),"")))</f>
        <v/>
      </c>
      <c r="G1036" s="39"/>
      <c r="H1036" s="25"/>
      <c r="I1036" s="35" t="str">
        <f aca="false">IF($H1036="","",IFERROR(INDEX(票据归类表,MATCH($H1036,票据类型表,0)),"现金无票"))</f>
        <v/>
      </c>
      <c r="J1036" s="25"/>
      <c r="K1036" s="25"/>
      <c r="L1036" s="31"/>
      <c r="M1036" s="29" t="str">
        <f aca="false">IF($C1036="","",YEAR($C1036))</f>
        <v/>
      </c>
      <c r="N1036" s="24"/>
      <c r="O1036" s="35" t="str">
        <f aca="false">IF($C1036="","",IF($D1036="","★没选客户项目",IF(COUNTIF(合同键,$D1036)=0,"★《维保合同》里没这个项目",IF(N($G1036)&lt;=0,"★收款金额要填",IF($H1036="","★票据类型要选",IF(AND($L1036&lt;&gt;"",COUNTIF(应收单号,$L1036)=0),"★关联的应收单号不存在",IF(AND($L1036&lt;&gt;"",IFERROR(INDEX(应收键,MATCH($L1036,应收单号,0)),"")&lt;&gt;$D1036),"★关联单号不是这个客户的",IF(AND($L1036&lt;&gt;"",ROUND(SUMIF(收款关联,$L1036,收款金额)-IFERROR(INDEX(应收金额,MATCH($L1036,应收单号,0)),0),2)&gt;0.001),"★指定冲销超过那张单的应收","OK"))))))))</f>
        <v/>
      </c>
    </row>
    <row r="1037" customFormat="false" ht="15" hidden="false" customHeight="false" outlineLevel="0" collapsed="false">
      <c r="A1037" s="29" t="str">
        <f aca="false">IF($C1037="","",ROW()-4)</f>
        <v/>
      </c>
      <c r="B1037" s="35" t="str">
        <f aca="false">IF($C1037="","","SK"&amp;TEXT($C1037,"yyyymm")&amp;"-"&amp;TEXT(ROW()-4,"0000"))</f>
        <v/>
      </c>
      <c r="C1037" s="33"/>
      <c r="D1037" s="24"/>
      <c r="E1037" s="30" t="str">
        <f aca="false">IF($D1037="","",IFERROR(INDEX(合同单位,MATCH($D1037,合同键,0)),IFERROR(TRIM(LEFT($D1037,FIND("｜",$D1037)-1)),$D1037)))</f>
        <v/>
      </c>
      <c r="F1037" s="30" t="str">
        <f aca="false">IF($D1037="","",IFERROR(INDEX(合同项目,MATCH($D1037,合同键,0)),IFERROR(TRIM(MID($D1037,FIND("｜",$D1037)+1,99)),"")))</f>
        <v/>
      </c>
      <c r="G1037" s="39"/>
      <c r="H1037" s="25"/>
      <c r="I1037" s="35" t="str">
        <f aca="false">IF($H1037="","",IFERROR(INDEX(票据归类表,MATCH($H1037,票据类型表,0)),"现金无票"))</f>
        <v/>
      </c>
      <c r="J1037" s="25"/>
      <c r="K1037" s="25"/>
      <c r="L1037" s="31"/>
      <c r="M1037" s="29" t="str">
        <f aca="false">IF($C1037="","",YEAR($C1037))</f>
        <v/>
      </c>
      <c r="N1037" s="24"/>
      <c r="O1037" s="35" t="str">
        <f aca="false">IF($C1037="","",IF($D1037="","★没选客户项目",IF(COUNTIF(合同键,$D1037)=0,"★《维保合同》里没这个项目",IF(N($G1037)&lt;=0,"★收款金额要填",IF($H1037="","★票据类型要选",IF(AND($L1037&lt;&gt;"",COUNTIF(应收单号,$L1037)=0),"★关联的应收单号不存在",IF(AND($L1037&lt;&gt;"",IFERROR(INDEX(应收键,MATCH($L1037,应收单号,0)),"")&lt;&gt;$D1037),"★关联单号不是这个客户的",IF(AND($L1037&lt;&gt;"",ROUND(SUMIF(收款关联,$L1037,收款金额)-IFERROR(INDEX(应收金额,MATCH($L1037,应收单号,0)),0),2)&gt;0.001),"★指定冲销超过那张单的应收","OK"))))))))</f>
        <v/>
      </c>
    </row>
    <row r="1038" customFormat="false" ht="15" hidden="false" customHeight="false" outlineLevel="0" collapsed="false">
      <c r="A1038" s="29" t="str">
        <f aca="false">IF($C1038="","",ROW()-4)</f>
        <v/>
      </c>
      <c r="B1038" s="35" t="str">
        <f aca="false">IF($C1038="","","SK"&amp;TEXT($C1038,"yyyymm")&amp;"-"&amp;TEXT(ROW()-4,"0000"))</f>
        <v/>
      </c>
      <c r="C1038" s="33"/>
      <c r="D1038" s="24"/>
      <c r="E1038" s="30" t="str">
        <f aca="false">IF($D1038="","",IFERROR(INDEX(合同单位,MATCH($D1038,合同键,0)),IFERROR(TRIM(LEFT($D1038,FIND("｜",$D1038)-1)),$D1038)))</f>
        <v/>
      </c>
      <c r="F1038" s="30" t="str">
        <f aca="false">IF($D1038="","",IFERROR(INDEX(合同项目,MATCH($D1038,合同键,0)),IFERROR(TRIM(MID($D1038,FIND("｜",$D1038)+1,99)),"")))</f>
        <v/>
      </c>
      <c r="G1038" s="39"/>
      <c r="H1038" s="25"/>
      <c r="I1038" s="35" t="str">
        <f aca="false">IF($H1038="","",IFERROR(INDEX(票据归类表,MATCH($H1038,票据类型表,0)),"现金无票"))</f>
        <v/>
      </c>
      <c r="J1038" s="25"/>
      <c r="K1038" s="25"/>
      <c r="L1038" s="31"/>
      <c r="M1038" s="29" t="str">
        <f aca="false">IF($C1038="","",YEAR($C1038))</f>
        <v/>
      </c>
      <c r="N1038" s="24"/>
      <c r="O1038" s="35" t="str">
        <f aca="false">IF($C1038="","",IF($D1038="","★没选客户项目",IF(COUNTIF(合同键,$D1038)=0,"★《维保合同》里没这个项目",IF(N($G1038)&lt;=0,"★收款金额要填",IF($H1038="","★票据类型要选",IF(AND($L1038&lt;&gt;"",COUNTIF(应收单号,$L1038)=0),"★关联的应收单号不存在",IF(AND($L1038&lt;&gt;"",IFERROR(INDEX(应收键,MATCH($L1038,应收单号,0)),"")&lt;&gt;$D1038),"★关联单号不是这个客户的",IF(AND($L1038&lt;&gt;"",ROUND(SUMIF(收款关联,$L1038,收款金额)-IFERROR(INDEX(应收金额,MATCH($L1038,应收单号,0)),0),2)&gt;0.001),"★指定冲销超过那张单的应收","OK"))))))))</f>
        <v/>
      </c>
    </row>
    <row r="1039" customFormat="false" ht="15" hidden="false" customHeight="false" outlineLevel="0" collapsed="false">
      <c r="A1039" s="29" t="str">
        <f aca="false">IF($C1039="","",ROW()-4)</f>
        <v/>
      </c>
      <c r="B1039" s="35" t="str">
        <f aca="false">IF($C1039="","","SK"&amp;TEXT($C1039,"yyyymm")&amp;"-"&amp;TEXT(ROW()-4,"0000"))</f>
        <v/>
      </c>
      <c r="C1039" s="33"/>
      <c r="D1039" s="24"/>
      <c r="E1039" s="30" t="str">
        <f aca="false">IF($D1039="","",IFERROR(INDEX(合同单位,MATCH($D1039,合同键,0)),IFERROR(TRIM(LEFT($D1039,FIND("｜",$D1039)-1)),$D1039)))</f>
        <v/>
      </c>
      <c r="F1039" s="30" t="str">
        <f aca="false">IF($D1039="","",IFERROR(INDEX(合同项目,MATCH($D1039,合同键,0)),IFERROR(TRIM(MID($D1039,FIND("｜",$D1039)+1,99)),"")))</f>
        <v/>
      </c>
      <c r="G1039" s="39"/>
      <c r="H1039" s="25"/>
      <c r="I1039" s="35" t="str">
        <f aca="false">IF($H1039="","",IFERROR(INDEX(票据归类表,MATCH($H1039,票据类型表,0)),"现金无票"))</f>
        <v/>
      </c>
      <c r="J1039" s="25"/>
      <c r="K1039" s="25"/>
      <c r="L1039" s="31"/>
      <c r="M1039" s="29" t="str">
        <f aca="false">IF($C1039="","",YEAR($C1039))</f>
        <v/>
      </c>
      <c r="N1039" s="24"/>
      <c r="O1039" s="35" t="str">
        <f aca="false">IF($C1039="","",IF($D1039="","★没选客户项目",IF(COUNTIF(合同键,$D1039)=0,"★《维保合同》里没这个项目",IF(N($G1039)&lt;=0,"★收款金额要填",IF($H1039="","★票据类型要选",IF(AND($L1039&lt;&gt;"",COUNTIF(应收单号,$L1039)=0),"★关联的应收单号不存在",IF(AND($L1039&lt;&gt;"",IFERROR(INDEX(应收键,MATCH($L1039,应收单号,0)),"")&lt;&gt;$D1039),"★关联单号不是这个客户的",IF(AND($L1039&lt;&gt;"",ROUND(SUMIF(收款关联,$L1039,收款金额)-IFERROR(INDEX(应收金额,MATCH($L1039,应收单号,0)),0),2)&gt;0.001),"★指定冲销超过那张单的应收","OK"))))))))</f>
        <v/>
      </c>
    </row>
    <row r="1040" customFormat="false" ht="15" hidden="false" customHeight="false" outlineLevel="0" collapsed="false">
      <c r="A1040" s="29" t="str">
        <f aca="false">IF($C1040="","",ROW()-4)</f>
        <v/>
      </c>
      <c r="B1040" s="35" t="str">
        <f aca="false">IF($C1040="","","SK"&amp;TEXT($C1040,"yyyymm")&amp;"-"&amp;TEXT(ROW()-4,"0000"))</f>
        <v/>
      </c>
      <c r="C1040" s="33"/>
      <c r="D1040" s="24"/>
      <c r="E1040" s="30" t="str">
        <f aca="false">IF($D1040="","",IFERROR(INDEX(合同单位,MATCH($D1040,合同键,0)),IFERROR(TRIM(LEFT($D1040,FIND("｜",$D1040)-1)),$D1040)))</f>
        <v/>
      </c>
      <c r="F1040" s="30" t="str">
        <f aca="false">IF($D1040="","",IFERROR(INDEX(合同项目,MATCH($D1040,合同键,0)),IFERROR(TRIM(MID($D1040,FIND("｜",$D1040)+1,99)),"")))</f>
        <v/>
      </c>
      <c r="G1040" s="39"/>
      <c r="H1040" s="25"/>
      <c r="I1040" s="35" t="str">
        <f aca="false">IF($H1040="","",IFERROR(INDEX(票据归类表,MATCH($H1040,票据类型表,0)),"现金无票"))</f>
        <v/>
      </c>
      <c r="J1040" s="25"/>
      <c r="K1040" s="25"/>
      <c r="L1040" s="31"/>
      <c r="M1040" s="29" t="str">
        <f aca="false">IF($C1040="","",YEAR($C1040))</f>
        <v/>
      </c>
      <c r="N1040" s="24"/>
      <c r="O1040" s="35" t="str">
        <f aca="false">IF($C1040="","",IF($D1040="","★没选客户项目",IF(COUNTIF(合同键,$D1040)=0,"★《维保合同》里没这个项目",IF(N($G1040)&lt;=0,"★收款金额要填",IF($H1040="","★票据类型要选",IF(AND($L1040&lt;&gt;"",COUNTIF(应收单号,$L1040)=0),"★关联的应收单号不存在",IF(AND($L1040&lt;&gt;"",IFERROR(INDEX(应收键,MATCH($L1040,应收单号,0)),"")&lt;&gt;$D1040),"★关联单号不是这个客户的",IF(AND($L1040&lt;&gt;"",ROUND(SUMIF(收款关联,$L1040,收款金额)-IFERROR(INDEX(应收金额,MATCH($L1040,应收单号,0)),0),2)&gt;0.001),"★指定冲销超过那张单的应收","OK"))))))))</f>
        <v/>
      </c>
    </row>
    <row r="1041" customFormat="false" ht="15" hidden="false" customHeight="false" outlineLevel="0" collapsed="false">
      <c r="A1041" s="29" t="str">
        <f aca="false">IF($C1041="","",ROW()-4)</f>
        <v/>
      </c>
      <c r="B1041" s="35" t="str">
        <f aca="false">IF($C1041="","","SK"&amp;TEXT($C1041,"yyyymm")&amp;"-"&amp;TEXT(ROW()-4,"0000"))</f>
        <v/>
      </c>
      <c r="C1041" s="33"/>
      <c r="D1041" s="24"/>
      <c r="E1041" s="30" t="str">
        <f aca="false">IF($D1041="","",IFERROR(INDEX(合同单位,MATCH($D1041,合同键,0)),IFERROR(TRIM(LEFT($D1041,FIND("｜",$D1041)-1)),$D1041)))</f>
        <v/>
      </c>
      <c r="F1041" s="30" t="str">
        <f aca="false">IF($D1041="","",IFERROR(INDEX(合同项目,MATCH($D1041,合同键,0)),IFERROR(TRIM(MID($D1041,FIND("｜",$D1041)+1,99)),"")))</f>
        <v/>
      </c>
      <c r="G1041" s="39"/>
      <c r="H1041" s="25"/>
      <c r="I1041" s="35" t="str">
        <f aca="false">IF($H1041="","",IFERROR(INDEX(票据归类表,MATCH($H1041,票据类型表,0)),"现金无票"))</f>
        <v/>
      </c>
      <c r="J1041" s="25"/>
      <c r="K1041" s="25"/>
      <c r="L1041" s="31"/>
      <c r="M1041" s="29" t="str">
        <f aca="false">IF($C1041="","",YEAR($C1041))</f>
        <v/>
      </c>
      <c r="N1041" s="24"/>
      <c r="O1041" s="35" t="str">
        <f aca="false">IF($C1041="","",IF($D1041="","★没选客户项目",IF(COUNTIF(合同键,$D1041)=0,"★《维保合同》里没这个项目",IF(N($G1041)&lt;=0,"★收款金额要填",IF($H1041="","★票据类型要选",IF(AND($L1041&lt;&gt;"",COUNTIF(应收单号,$L1041)=0),"★关联的应收单号不存在",IF(AND($L1041&lt;&gt;"",IFERROR(INDEX(应收键,MATCH($L1041,应收单号,0)),"")&lt;&gt;$D1041),"★关联单号不是这个客户的",IF(AND($L1041&lt;&gt;"",ROUND(SUMIF(收款关联,$L1041,收款金额)-IFERROR(INDEX(应收金额,MATCH($L1041,应收单号,0)),0),2)&gt;0.001),"★指定冲销超过那张单的应收","OK"))))))))</f>
        <v/>
      </c>
    </row>
    <row r="1042" customFormat="false" ht="15" hidden="false" customHeight="false" outlineLevel="0" collapsed="false">
      <c r="A1042" s="29" t="str">
        <f aca="false">IF($C1042="","",ROW()-4)</f>
        <v/>
      </c>
      <c r="B1042" s="35" t="str">
        <f aca="false">IF($C1042="","","SK"&amp;TEXT($C1042,"yyyymm")&amp;"-"&amp;TEXT(ROW()-4,"0000"))</f>
        <v/>
      </c>
      <c r="C1042" s="33"/>
      <c r="D1042" s="24"/>
      <c r="E1042" s="30" t="str">
        <f aca="false">IF($D1042="","",IFERROR(INDEX(合同单位,MATCH($D1042,合同键,0)),IFERROR(TRIM(LEFT($D1042,FIND("｜",$D1042)-1)),$D1042)))</f>
        <v/>
      </c>
      <c r="F1042" s="30" t="str">
        <f aca="false">IF($D1042="","",IFERROR(INDEX(合同项目,MATCH($D1042,合同键,0)),IFERROR(TRIM(MID($D1042,FIND("｜",$D1042)+1,99)),"")))</f>
        <v/>
      </c>
      <c r="G1042" s="39"/>
      <c r="H1042" s="25"/>
      <c r="I1042" s="35" t="str">
        <f aca="false">IF($H1042="","",IFERROR(INDEX(票据归类表,MATCH($H1042,票据类型表,0)),"现金无票"))</f>
        <v/>
      </c>
      <c r="J1042" s="25"/>
      <c r="K1042" s="25"/>
      <c r="L1042" s="31"/>
      <c r="M1042" s="29" t="str">
        <f aca="false">IF($C1042="","",YEAR($C1042))</f>
        <v/>
      </c>
      <c r="N1042" s="24"/>
      <c r="O1042" s="35" t="str">
        <f aca="false">IF($C1042="","",IF($D1042="","★没选客户项目",IF(COUNTIF(合同键,$D1042)=0,"★《维保合同》里没这个项目",IF(N($G1042)&lt;=0,"★收款金额要填",IF($H1042="","★票据类型要选",IF(AND($L1042&lt;&gt;"",COUNTIF(应收单号,$L1042)=0),"★关联的应收单号不存在",IF(AND($L1042&lt;&gt;"",IFERROR(INDEX(应收键,MATCH($L1042,应收单号,0)),"")&lt;&gt;$D1042),"★关联单号不是这个客户的",IF(AND($L1042&lt;&gt;"",ROUND(SUMIF(收款关联,$L1042,收款金额)-IFERROR(INDEX(应收金额,MATCH($L1042,应收单号,0)),0),2)&gt;0.001),"★指定冲销超过那张单的应收","OK"))))))))</f>
        <v/>
      </c>
    </row>
    <row r="1043" customFormat="false" ht="15" hidden="false" customHeight="false" outlineLevel="0" collapsed="false">
      <c r="A1043" s="29" t="str">
        <f aca="false">IF($C1043="","",ROW()-4)</f>
        <v/>
      </c>
      <c r="B1043" s="35" t="str">
        <f aca="false">IF($C1043="","","SK"&amp;TEXT($C1043,"yyyymm")&amp;"-"&amp;TEXT(ROW()-4,"0000"))</f>
        <v/>
      </c>
      <c r="C1043" s="33"/>
      <c r="D1043" s="24"/>
      <c r="E1043" s="30" t="str">
        <f aca="false">IF($D1043="","",IFERROR(INDEX(合同单位,MATCH($D1043,合同键,0)),IFERROR(TRIM(LEFT($D1043,FIND("｜",$D1043)-1)),$D1043)))</f>
        <v/>
      </c>
      <c r="F1043" s="30" t="str">
        <f aca="false">IF($D1043="","",IFERROR(INDEX(合同项目,MATCH($D1043,合同键,0)),IFERROR(TRIM(MID($D1043,FIND("｜",$D1043)+1,99)),"")))</f>
        <v/>
      </c>
      <c r="G1043" s="39"/>
      <c r="H1043" s="25"/>
      <c r="I1043" s="35" t="str">
        <f aca="false">IF($H1043="","",IFERROR(INDEX(票据归类表,MATCH($H1043,票据类型表,0)),"现金无票"))</f>
        <v/>
      </c>
      <c r="J1043" s="25"/>
      <c r="K1043" s="25"/>
      <c r="L1043" s="31"/>
      <c r="M1043" s="29" t="str">
        <f aca="false">IF($C1043="","",YEAR($C1043))</f>
        <v/>
      </c>
      <c r="N1043" s="24"/>
      <c r="O1043" s="35" t="str">
        <f aca="false">IF($C1043="","",IF($D1043="","★没选客户项目",IF(COUNTIF(合同键,$D1043)=0,"★《维保合同》里没这个项目",IF(N($G1043)&lt;=0,"★收款金额要填",IF($H1043="","★票据类型要选",IF(AND($L1043&lt;&gt;"",COUNTIF(应收单号,$L1043)=0),"★关联的应收单号不存在",IF(AND($L1043&lt;&gt;"",IFERROR(INDEX(应收键,MATCH($L1043,应收单号,0)),"")&lt;&gt;$D1043),"★关联单号不是这个客户的",IF(AND($L1043&lt;&gt;"",ROUND(SUMIF(收款关联,$L1043,收款金额)-IFERROR(INDEX(应收金额,MATCH($L1043,应收单号,0)),0),2)&gt;0.001),"★指定冲销超过那张单的应收","OK"))))))))</f>
        <v/>
      </c>
    </row>
    <row r="1044" customFormat="false" ht="15" hidden="false" customHeight="false" outlineLevel="0" collapsed="false">
      <c r="A1044" s="29" t="str">
        <f aca="false">IF($C1044="","",ROW()-4)</f>
        <v/>
      </c>
      <c r="B1044" s="35" t="str">
        <f aca="false">IF($C1044="","","SK"&amp;TEXT($C1044,"yyyymm")&amp;"-"&amp;TEXT(ROW()-4,"0000"))</f>
        <v/>
      </c>
      <c r="C1044" s="33"/>
      <c r="D1044" s="24"/>
      <c r="E1044" s="30" t="str">
        <f aca="false">IF($D1044="","",IFERROR(INDEX(合同单位,MATCH($D1044,合同键,0)),IFERROR(TRIM(LEFT($D1044,FIND("｜",$D1044)-1)),$D1044)))</f>
        <v/>
      </c>
      <c r="F1044" s="30" t="str">
        <f aca="false">IF($D1044="","",IFERROR(INDEX(合同项目,MATCH($D1044,合同键,0)),IFERROR(TRIM(MID($D1044,FIND("｜",$D1044)+1,99)),"")))</f>
        <v/>
      </c>
      <c r="G1044" s="39"/>
      <c r="H1044" s="25"/>
      <c r="I1044" s="35" t="str">
        <f aca="false">IF($H1044="","",IFERROR(INDEX(票据归类表,MATCH($H1044,票据类型表,0)),"现金无票"))</f>
        <v/>
      </c>
      <c r="J1044" s="25"/>
      <c r="K1044" s="25"/>
      <c r="L1044" s="31"/>
      <c r="M1044" s="29" t="str">
        <f aca="false">IF($C1044="","",YEAR($C1044))</f>
        <v/>
      </c>
      <c r="N1044" s="24"/>
      <c r="O1044" s="35" t="str">
        <f aca="false">IF($C1044="","",IF($D1044="","★没选客户项目",IF(COUNTIF(合同键,$D1044)=0,"★《维保合同》里没这个项目",IF(N($G1044)&lt;=0,"★收款金额要填",IF($H1044="","★票据类型要选",IF(AND($L1044&lt;&gt;"",COUNTIF(应收单号,$L1044)=0),"★关联的应收单号不存在",IF(AND($L1044&lt;&gt;"",IFERROR(INDEX(应收键,MATCH($L1044,应收单号,0)),"")&lt;&gt;$D1044),"★关联单号不是这个客户的",IF(AND($L1044&lt;&gt;"",ROUND(SUMIF(收款关联,$L1044,收款金额)-IFERROR(INDEX(应收金额,MATCH($L1044,应收单号,0)),0),2)&gt;0.001),"★指定冲销超过那张单的应收","OK"))))))))</f>
        <v/>
      </c>
    </row>
    <row r="1045" customFormat="false" ht="15" hidden="false" customHeight="false" outlineLevel="0" collapsed="false">
      <c r="A1045" s="29" t="str">
        <f aca="false">IF($C1045="","",ROW()-4)</f>
        <v/>
      </c>
      <c r="B1045" s="35" t="str">
        <f aca="false">IF($C1045="","","SK"&amp;TEXT($C1045,"yyyymm")&amp;"-"&amp;TEXT(ROW()-4,"0000"))</f>
        <v/>
      </c>
      <c r="C1045" s="33"/>
      <c r="D1045" s="24"/>
      <c r="E1045" s="30" t="str">
        <f aca="false">IF($D1045="","",IFERROR(INDEX(合同单位,MATCH($D1045,合同键,0)),IFERROR(TRIM(LEFT($D1045,FIND("｜",$D1045)-1)),$D1045)))</f>
        <v/>
      </c>
      <c r="F1045" s="30" t="str">
        <f aca="false">IF($D1045="","",IFERROR(INDEX(合同项目,MATCH($D1045,合同键,0)),IFERROR(TRIM(MID($D1045,FIND("｜",$D1045)+1,99)),"")))</f>
        <v/>
      </c>
      <c r="G1045" s="39"/>
      <c r="H1045" s="25"/>
      <c r="I1045" s="35" t="str">
        <f aca="false">IF($H1045="","",IFERROR(INDEX(票据归类表,MATCH($H1045,票据类型表,0)),"现金无票"))</f>
        <v/>
      </c>
      <c r="J1045" s="25"/>
      <c r="K1045" s="25"/>
      <c r="L1045" s="31"/>
      <c r="M1045" s="29" t="str">
        <f aca="false">IF($C1045="","",YEAR($C1045))</f>
        <v/>
      </c>
      <c r="N1045" s="24"/>
      <c r="O1045" s="35" t="str">
        <f aca="false">IF($C1045="","",IF($D1045="","★没选客户项目",IF(COUNTIF(合同键,$D1045)=0,"★《维保合同》里没这个项目",IF(N($G1045)&lt;=0,"★收款金额要填",IF($H1045="","★票据类型要选",IF(AND($L1045&lt;&gt;"",COUNTIF(应收单号,$L1045)=0),"★关联的应收单号不存在",IF(AND($L1045&lt;&gt;"",IFERROR(INDEX(应收键,MATCH($L1045,应收单号,0)),"")&lt;&gt;$D1045),"★关联单号不是这个客户的",IF(AND($L1045&lt;&gt;"",ROUND(SUMIF(收款关联,$L1045,收款金额)-IFERROR(INDEX(应收金额,MATCH($L1045,应收单号,0)),0),2)&gt;0.001),"★指定冲销超过那张单的应收","OK"))))))))</f>
        <v/>
      </c>
    </row>
    <row r="1046" customFormat="false" ht="15" hidden="false" customHeight="false" outlineLevel="0" collapsed="false">
      <c r="A1046" s="29" t="str">
        <f aca="false">IF($C1046="","",ROW()-4)</f>
        <v/>
      </c>
      <c r="B1046" s="35" t="str">
        <f aca="false">IF($C1046="","","SK"&amp;TEXT($C1046,"yyyymm")&amp;"-"&amp;TEXT(ROW()-4,"0000"))</f>
        <v/>
      </c>
      <c r="C1046" s="33"/>
      <c r="D1046" s="24"/>
      <c r="E1046" s="30" t="str">
        <f aca="false">IF($D1046="","",IFERROR(INDEX(合同单位,MATCH($D1046,合同键,0)),IFERROR(TRIM(LEFT($D1046,FIND("｜",$D1046)-1)),$D1046)))</f>
        <v/>
      </c>
      <c r="F1046" s="30" t="str">
        <f aca="false">IF($D1046="","",IFERROR(INDEX(合同项目,MATCH($D1046,合同键,0)),IFERROR(TRIM(MID($D1046,FIND("｜",$D1046)+1,99)),"")))</f>
        <v/>
      </c>
      <c r="G1046" s="39"/>
      <c r="H1046" s="25"/>
      <c r="I1046" s="35" t="str">
        <f aca="false">IF($H1046="","",IFERROR(INDEX(票据归类表,MATCH($H1046,票据类型表,0)),"现金无票"))</f>
        <v/>
      </c>
      <c r="J1046" s="25"/>
      <c r="K1046" s="25"/>
      <c r="L1046" s="31"/>
      <c r="M1046" s="29" t="str">
        <f aca="false">IF($C1046="","",YEAR($C1046))</f>
        <v/>
      </c>
      <c r="N1046" s="24"/>
      <c r="O1046" s="35" t="str">
        <f aca="false">IF($C1046="","",IF($D1046="","★没选客户项目",IF(COUNTIF(合同键,$D1046)=0,"★《维保合同》里没这个项目",IF(N($G1046)&lt;=0,"★收款金额要填",IF($H1046="","★票据类型要选",IF(AND($L1046&lt;&gt;"",COUNTIF(应收单号,$L1046)=0),"★关联的应收单号不存在",IF(AND($L1046&lt;&gt;"",IFERROR(INDEX(应收键,MATCH($L1046,应收单号,0)),"")&lt;&gt;$D1046),"★关联单号不是这个客户的",IF(AND($L1046&lt;&gt;"",ROUND(SUMIF(收款关联,$L1046,收款金额)-IFERROR(INDEX(应收金额,MATCH($L1046,应收单号,0)),0),2)&gt;0.001),"★指定冲销超过那张单的应收","OK"))))))))</f>
        <v/>
      </c>
    </row>
    <row r="1047" customFormat="false" ht="15" hidden="false" customHeight="false" outlineLevel="0" collapsed="false">
      <c r="A1047" s="29" t="str">
        <f aca="false">IF($C1047="","",ROW()-4)</f>
        <v/>
      </c>
      <c r="B1047" s="35" t="str">
        <f aca="false">IF($C1047="","","SK"&amp;TEXT($C1047,"yyyymm")&amp;"-"&amp;TEXT(ROW()-4,"0000"))</f>
        <v/>
      </c>
      <c r="C1047" s="33"/>
      <c r="D1047" s="24"/>
      <c r="E1047" s="30" t="str">
        <f aca="false">IF($D1047="","",IFERROR(INDEX(合同单位,MATCH($D1047,合同键,0)),IFERROR(TRIM(LEFT($D1047,FIND("｜",$D1047)-1)),$D1047)))</f>
        <v/>
      </c>
      <c r="F1047" s="30" t="str">
        <f aca="false">IF($D1047="","",IFERROR(INDEX(合同项目,MATCH($D1047,合同键,0)),IFERROR(TRIM(MID($D1047,FIND("｜",$D1047)+1,99)),"")))</f>
        <v/>
      </c>
      <c r="G1047" s="39"/>
      <c r="H1047" s="25"/>
      <c r="I1047" s="35" t="str">
        <f aca="false">IF($H1047="","",IFERROR(INDEX(票据归类表,MATCH($H1047,票据类型表,0)),"现金无票"))</f>
        <v/>
      </c>
      <c r="J1047" s="25"/>
      <c r="K1047" s="25"/>
      <c r="L1047" s="31"/>
      <c r="M1047" s="29" t="str">
        <f aca="false">IF($C1047="","",YEAR($C1047))</f>
        <v/>
      </c>
      <c r="N1047" s="24"/>
      <c r="O1047" s="35" t="str">
        <f aca="false">IF($C1047="","",IF($D1047="","★没选客户项目",IF(COUNTIF(合同键,$D1047)=0,"★《维保合同》里没这个项目",IF(N($G1047)&lt;=0,"★收款金额要填",IF($H1047="","★票据类型要选",IF(AND($L1047&lt;&gt;"",COUNTIF(应收单号,$L1047)=0),"★关联的应收单号不存在",IF(AND($L1047&lt;&gt;"",IFERROR(INDEX(应收键,MATCH($L1047,应收单号,0)),"")&lt;&gt;$D1047),"★关联单号不是这个客户的",IF(AND($L1047&lt;&gt;"",ROUND(SUMIF(收款关联,$L1047,收款金额)-IFERROR(INDEX(应收金额,MATCH($L1047,应收单号,0)),0),2)&gt;0.001),"★指定冲销超过那张单的应收","OK"))))))))</f>
        <v/>
      </c>
    </row>
    <row r="1048" customFormat="false" ht="15" hidden="false" customHeight="false" outlineLevel="0" collapsed="false">
      <c r="A1048" s="29" t="str">
        <f aca="false">IF($C1048="","",ROW()-4)</f>
        <v/>
      </c>
      <c r="B1048" s="35" t="str">
        <f aca="false">IF($C1048="","","SK"&amp;TEXT($C1048,"yyyymm")&amp;"-"&amp;TEXT(ROW()-4,"0000"))</f>
        <v/>
      </c>
      <c r="C1048" s="33"/>
      <c r="D1048" s="24"/>
      <c r="E1048" s="30" t="str">
        <f aca="false">IF($D1048="","",IFERROR(INDEX(合同单位,MATCH($D1048,合同键,0)),IFERROR(TRIM(LEFT($D1048,FIND("｜",$D1048)-1)),$D1048)))</f>
        <v/>
      </c>
      <c r="F1048" s="30" t="str">
        <f aca="false">IF($D1048="","",IFERROR(INDEX(合同项目,MATCH($D1048,合同键,0)),IFERROR(TRIM(MID($D1048,FIND("｜",$D1048)+1,99)),"")))</f>
        <v/>
      </c>
      <c r="G1048" s="39"/>
      <c r="H1048" s="25"/>
      <c r="I1048" s="35" t="str">
        <f aca="false">IF($H1048="","",IFERROR(INDEX(票据归类表,MATCH($H1048,票据类型表,0)),"现金无票"))</f>
        <v/>
      </c>
      <c r="J1048" s="25"/>
      <c r="K1048" s="25"/>
      <c r="L1048" s="31"/>
      <c r="M1048" s="29" t="str">
        <f aca="false">IF($C1048="","",YEAR($C1048))</f>
        <v/>
      </c>
      <c r="N1048" s="24"/>
      <c r="O1048" s="35" t="str">
        <f aca="false">IF($C1048="","",IF($D1048="","★没选客户项目",IF(COUNTIF(合同键,$D1048)=0,"★《维保合同》里没这个项目",IF(N($G1048)&lt;=0,"★收款金额要填",IF($H1048="","★票据类型要选",IF(AND($L1048&lt;&gt;"",COUNTIF(应收单号,$L1048)=0),"★关联的应收单号不存在",IF(AND($L1048&lt;&gt;"",IFERROR(INDEX(应收键,MATCH($L1048,应收单号,0)),"")&lt;&gt;$D1048),"★关联单号不是这个客户的",IF(AND($L1048&lt;&gt;"",ROUND(SUMIF(收款关联,$L1048,收款金额)-IFERROR(INDEX(应收金额,MATCH($L1048,应收单号,0)),0),2)&gt;0.001),"★指定冲销超过那张单的应收","OK"))))))))</f>
        <v/>
      </c>
    </row>
    <row r="1049" customFormat="false" ht="15" hidden="false" customHeight="false" outlineLevel="0" collapsed="false">
      <c r="A1049" s="29" t="str">
        <f aca="false">IF($C1049="","",ROW()-4)</f>
        <v/>
      </c>
      <c r="B1049" s="35" t="str">
        <f aca="false">IF($C1049="","","SK"&amp;TEXT($C1049,"yyyymm")&amp;"-"&amp;TEXT(ROW()-4,"0000"))</f>
        <v/>
      </c>
      <c r="C1049" s="33"/>
      <c r="D1049" s="24"/>
      <c r="E1049" s="30" t="str">
        <f aca="false">IF($D1049="","",IFERROR(INDEX(合同单位,MATCH($D1049,合同键,0)),IFERROR(TRIM(LEFT($D1049,FIND("｜",$D1049)-1)),$D1049)))</f>
        <v/>
      </c>
      <c r="F1049" s="30" t="str">
        <f aca="false">IF($D1049="","",IFERROR(INDEX(合同项目,MATCH($D1049,合同键,0)),IFERROR(TRIM(MID($D1049,FIND("｜",$D1049)+1,99)),"")))</f>
        <v/>
      </c>
      <c r="G1049" s="39"/>
      <c r="H1049" s="25"/>
      <c r="I1049" s="35" t="str">
        <f aca="false">IF($H1049="","",IFERROR(INDEX(票据归类表,MATCH($H1049,票据类型表,0)),"现金无票"))</f>
        <v/>
      </c>
      <c r="J1049" s="25"/>
      <c r="K1049" s="25"/>
      <c r="L1049" s="31"/>
      <c r="M1049" s="29" t="str">
        <f aca="false">IF($C1049="","",YEAR($C1049))</f>
        <v/>
      </c>
      <c r="N1049" s="24"/>
      <c r="O1049" s="35" t="str">
        <f aca="false">IF($C1049="","",IF($D1049="","★没选客户项目",IF(COUNTIF(合同键,$D1049)=0,"★《维保合同》里没这个项目",IF(N($G1049)&lt;=0,"★收款金额要填",IF($H1049="","★票据类型要选",IF(AND($L1049&lt;&gt;"",COUNTIF(应收单号,$L1049)=0),"★关联的应收单号不存在",IF(AND($L1049&lt;&gt;"",IFERROR(INDEX(应收键,MATCH($L1049,应收单号,0)),"")&lt;&gt;$D1049),"★关联单号不是这个客户的",IF(AND($L1049&lt;&gt;"",ROUND(SUMIF(收款关联,$L1049,收款金额)-IFERROR(INDEX(应收金额,MATCH($L1049,应收单号,0)),0),2)&gt;0.001),"★指定冲销超过那张单的应收","OK"))))))))</f>
        <v/>
      </c>
    </row>
    <row r="1050" customFormat="false" ht="15" hidden="false" customHeight="false" outlineLevel="0" collapsed="false">
      <c r="A1050" s="29" t="str">
        <f aca="false">IF($C1050="","",ROW()-4)</f>
        <v/>
      </c>
      <c r="B1050" s="35" t="str">
        <f aca="false">IF($C1050="","","SK"&amp;TEXT($C1050,"yyyymm")&amp;"-"&amp;TEXT(ROW()-4,"0000"))</f>
        <v/>
      </c>
      <c r="C1050" s="33"/>
      <c r="D1050" s="24"/>
      <c r="E1050" s="30" t="str">
        <f aca="false">IF($D1050="","",IFERROR(INDEX(合同单位,MATCH($D1050,合同键,0)),IFERROR(TRIM(LEFT($D1050,FIND("｜",$D1050)-1)),$D1050)))</f>
        <v/>
      </c>
      <c r="F1050" s="30" t="str">
        <f aca="false">IF($D1050="","",IFERROR(INDEX(合同项目,MATCH($D1050,合同键,0)),IFERROR(TRIM(MID($D1050,FIND("｜",$D1050)+1,99)),"")))</f>
        <v/>
      </c>
      <c r="G1050" s="39"/>
      <c r="H1050" s="25"/>
      <c r="I1050" s="35" t="str">
        <f aca="false">IF($H1050="","",IFERROR(INDEX(票据归类表,MATCH($H1050,票据类型表,0)),"现金无票"))</f>
        <v/>
      </c>
      <c r="J1050" s="25"/>
      <c r="K1050" s="25"/>
      <c r="L1050" s="31"/>
      <c r="M1050" s="29" t="str">
        <f aca="false">IF($C1050="","",YEAR($C1050))</f>
        <v/>
      </c>
      <c r="N1050" s="24"/>
      <c r="O1050" s="35" t="str">
        <f aca="false">IF($C1050="","",IF($D1050="","★没选客户项目",IF(COUNTIF(合同键,$D1050)=0,"★《维保合同》里没这个项目",IF(N($G1050)&lt;=0,"★收款金额要填",IF($H1050="","★票据类型要选",IF(AND($L1050&lt;&gt;"",COUNTIF(应收单号,$L1050)=0),"★关联的应收单号不存在",IF(AND($L1050&lt;&gt;"",IFERROR(INDEX(应收键,MATCH($L1050,应收单号,0)),"")&lt;&gt;$D1050),"★关联单号不是这个客户的",IF(AND($L1050&lt;&gt;"",ROUND(SUMIF(收款关联,$L1050,收款金额)-IFERROR(INDEX(应收金额,MATCH($L1050,应收单号,0)),0),2)&gt;0.001),"★指定冲销超过那张单的应收","OK"))))))))</f>
        <v/>
      </c>
    </row>
    <row r="1051" customFormat="false" ht="15" hidden="false" customHeight="false" outlineLevel="0" collapsed="false">
      <c r="A1051" s="29" t="str">
        <f aca="false">IF($C1051="","",ROW()-4)</f>
        <v/>
      </c>
      <c r="B1051" s="35" t="str">
        <f aca="false">IF($C1051="","","SK"&amp;TEXT($C1051,"yyyymm")&amp;"-"&amp;TEXT(ROW()-4,"0000"))</f>
        <v/>
      </c>
      <c r="C1051" s="33"/>
      <c r="D1051" s="24"/>
      <c r="E1051" s="30" t="str">
        <f aca="false">IF($D1051="","",IFERROR(INDEX(合同单位,MATCH($D1051,合同键,0)),IFERROR(TRIM(LEFT($D1051,FIND("｜",$D1051)-1)),$D1051)))</f>
        <v/>
      </c>
      <c r="F1051" s="30" t="str">
        <f aca="false">IF($D1051="","",IFERROR(INDEX(合同项目,MATCH($D1051,合同键,0)),IFERROR(TRIM(MID($D1051,FIND("｜",$D1051)+1,99)),"")))</f>
        <v/>
      </c>
      <c r="G1051" s="39"/>
      <c r="H1051" s="25"/>
      <c r="I1051" s="35" t="str">
        <f aca="false">IF($H1051="","",IFERROR(INDEX(票据归类表,MATCH($H1051,票据类型表,0)),"现金无票"))</f>
        <v/>
      </c>
      <c r="J1051" s="25"/>
      <c r="K1051" s="25"/>
      <c r="L1051" s="31"/>
      <c r="M1051" s="29" t="str">
        <f aca="false">IF($C1051="","",YEAR($C1051))</f>
        <v/>
      </c>
      <c r="N1051" s="24"/>
      <c r="O1051" s="35" t="str">
        <f aca="false">IF($C1051="","",IF($D1051="","★没选客户项目",IF(COUNTIF(合同键,$D1051)=0,"★《维保合同》里没这个项目",IF(N($G1051)&lt;=0,"★收款金额要填",IF($H1051="","★票据类型要选",IF(AND($L1051&lt;&gt;"",COUNTIF(应收单号,$L1051)=0),"★关联的应收单号不存在",IF(AND($L1051&lt;&gt;"",IFERROR(INDEX(应收键,MATCH($L1051,应收单号,0)),"")&lt;&gt;$D1051),"★关联单号不是这个客户的",IF(AND($L1051&lt;&gt;"",ROUND(SUMIF(收款关联,$L1051,收款金额)-IFERROR(INDEX(应收金额,MATCH($L1051,应收单号,0)),0),2)&gt;0.001),"★指定冲销超过那张单的应收","OK"))))))))</f>
        <v/>
      </c>
    </row>
    <row r="1052" customFormat="false" ht="15" hidden="false" customHeight="false" outlineLevel="0" collapsed="false">
      <c r="A1052" s="29" t="str">
        <f aca="false">IF($C1052="","",ROW()-4)</f>
        <v/>
      </c>
      <c r="B1052" s="35" t="str">
        <f aca="false">IF($C1052="","","SK"&amp;TEXT($C1052,"yyyymm")&amp;"-"&amp;TEXT(ROW()-4,"0000"))</f>
        <v/>
      </c>
      <c r="C1052" s="33"/>
      <c r="D1052" s="24"/>
      <c r="E1052" s="30" t="str">
        <f aca="false">IF($D1052="","",IFERROR(INDEX(合同单位,MATCH($D1052,合同键,0)),IFERROR(TRIM(LEFT($D1052,FIND("｜",$D1052)-1)),$D1052)))</f>
        <v/>
      </c>
      <c r="F1052" s="30" t="str">
        <f aca="false">IF($D1052="","",IFERROR(INDEX(合同项目,MATCH($D1052,合同键,0)),IFERROR(TRIM(MID($D1052,FIND("｜",$D1052)+1,99)),"")))</f>
        <v/>
      </c>
      <c r="G1052" s="39"/>
      <c r="H1052" s="25"/>
      <c r="I1052" s="35" t="str">
        <f aca="false">IF($H1052="","",IFERROR(INDEX(票据归类表,MATCH($H1052,票据类型表,0)),"现金无票"))</f>
        <v/>
      </c>
      <c r="J1052" s="25"/>
      <c r="K1052" s="25"/>
      <c r="L1052" s="31"/>
      <c r="M1052" s="29" t="str">
        <f aca="false">IF($C1052="","",YEAR($C1052))</f>
        <v/>
      </c>
      <c r="N1052" s="24"/>
      <c r="O1052" s="35" t="str">
        <f aca="false">IF($C1052="","",IF($D1052="","★没选客户项目",IF(COUNTIF(合同键,$D1052)=0,"★《维保合同》里没这个项目",IF(N($G1052)&lt;=0,"★收款金额要填",IF($H1052="","★票据类型要选",IF(AND($L1052&lt;&gt;"",COUNTIF(应收单号,$L1052)=0),"★关联的应收单号不存在",IF(AND($L1052&lt;&gt;"",IFERROR(INDEX(应收键,MATCH($L1052,应收单号,0)),"")&lt;&gt;$D1052),"★关联单号不是这个客户的",IF(AND($L1052&lt;&gt;"",ROUND(SUMIF(收款关联,$L1052,收款金额)-IFERROR(INDEX(应收金额,MATCH($L1052,应收单号,0)),0),2)&gt;0.001),"★指定冲销超过那张单的应收","OK"))))))))</f>
        <v/>
      </c>
    </row>
    <row r="1053" customFormat="false" ht="15" hidden="false" customHeight="false" outlineLevel="0" collapsed="false">
      <c r="A1053" s="29" t="str">
        <f aca="false">IF($C1053="","",ROW()-4)</f>
        <v/>
      </c>
      <c r="B1053" s="35" t="str">
        <f aca="false">IF($C1053="","","SK"&amp;TEXT($C1053,"yyyymm")&amp;"-"&amp;TEXT(ROW()-4,"0000"))</f>
        <v/>
      </c>
      <c r="C1053" s="33"/>
      <c r="D1053" s="24"/>
      <c r="E1053" s="30" t="str">
        <f aca="false">IF($D1053="","",IFERROR(INDEX(合同单位,MATCH($D1053,合同键,0)),IFERROR(TRIM(LEFT($D1053,FIND("｜",$D1053)-1)),$D1053)))</f>
        <v/>
      </c>
      <c r="F1053" s="30" t="str">
        <f aca="false">IF($D1053="","",IFERROR(INDEX(合同项目,MATCH($D1053,合同键,0)),IFERROR(TRIM(MID($D1053,FIND("｜",$D1053)+1,99)),"")))</f>
        <v/>
      </c>
      <c r="G1053" s="39"/>
      <c r="H1053" s="25"/>
      <c r="I1053" s="35" t="str">
        <f aca="false">IF($H1053="","",IFERROR(INDEX(票据归类表,MATCH($H1053,票据类型表,0)),"现金无票"))</f>
        <v/>
      </c>
      <c r="J1053" s="25"/>
      <c r="K1053" s="25"/>
      <c r="L1053" s="31"/>
      <c r="M1053" s="29" t="str">
        <f aca="false">IF($C1053="","",YEAR($C1053))</f>
        <v/>
      </c>
      <c r="N1053" s="24"/>
      <c r="O1053" s="35" t="str">
        <f aca="false">IF($C1053="","",IF($D1053="","★没选客户项目",IF(COUNTIF(合同键,$D1053)=0,"★《维保合同》里没这个项目",IF(N($G1053)&lt;=0,"★收款金额要填",IF($H1053="","★票据类型要选",IF(AND($L1053&lt;&gt;"",COUNTIF(应收单号,$L1053)=0),"★关联的应收单号不存在",IF(AND($L1053&lt;&gt;"",IFERROR(INDEX(应收键,MATCH($L1053,应收单号,0)),"")&lt;&gt;$D1053),"★关联单号不是这个客户的",IF(AND($L1053&lt;&gt;"",ROUND(SUMIF(收款关联,$L1053,收款金额)-IFERROR(INDEX(应收金额,MATCH($L1053,应收单号,0)),0),2)&gt;0.001),"★指定冲销超过那张单的应收","OK"))))))))</f>
        <v/>
      </c>
    </row>
    <row r="1054" customFormat="false" ht="15" hidden="false" customHeight="false" outlineLevel="0" collapsed="false">
      <c r="A1054" s="29" t="str">
        <f aca="false">IF($C1054="","",ROW()-4)</f>
        <v/>
      </c>
      <c r="B1054" s="35" t="str">
        <f aca="false">IF($C1054="","","SK"&amp;TEXT($C1054,"yyyymm")&amp;"-"&amp;TEXT(ROW()-4,"0000"))</f>
        <v/>
      </c>
      <c r="C1054" s="33"/>
      <c r="D1054" s="24"/>
      <c r="E1054" s="30" t="str">
        <f aca="false">IF($D1054="","",IFERROR(INDEX(合同单位,MATCH($D1054,合同键,0)),IFERROR(TRIM(LEFT($D1054,FIND("｜",$D1054)-1)),$D1054)))</f>
        <v/>
      </c>
      <c r="F1054" s="30" t="str">
        <f aca="false">IF($D1054="","",IFERROR(INDEX(合同项目,MATCH($D1054,合同键,0)),IFERROR(TRIM(MID($D1054,FIND("｜",$D1054)+1,99)),"")))</f>
        <v/>
      </c>
      <c r="G1054" s="39"/>
      <c r="H1054" s="25"/>
      <c r="I1054" s="35" t="str">
        <f aca="false">IF($H1054="","",IFERROR(INDEX(票据归类表,MATCH($H1054,票据类型表,0)),"现金无票"))</f>
        <v/>
      </c>
      <c r="J1054" s="25"/>
      <c r="K1054" s="25"/>
      <c r="L1054" s="31"/>
      <c r="M1054" s="29" t="str">
        <f aca="false">IF($C1054="","",YEAR($C1054))</f>
        <v/>
      </c>
      <c r="N1054" s="24"/>
      <c r="O1054" s="35" t="str">
        <f aca="false">IF($C1054="","",IF($D1054="","★没选客户项目",IF(COUNTIF(合同键,$D1054)=0,"★《维保合同》里没这个项目",IF(N($G1054)&lt;=0,"★收款金额要填",IF($H1054="","★票据类型要选",IF(AND($L1054&lt;&gt;"",COUNTIF(应收单号,$L1054)=0),"★关联的应收单号不存在",IF(AND($L1054&lt;&gt;"",IFERROR(INDEX(应收键,MATCH($L1054,应收单号,0)),"")&lt;&gt;$D1054),"★关联单号不是这个客户的",IF(AND($L1054&lt;&gt;"",ROUND(SUMIF(收款关联,$L1054,收款金额)-IFERROR(INDEX(应收金额,MATCH($L1054,应收单号,0)),0),2)&gt;0.001),"★指定冲销超过那张单的应收","OK"))))))))</f>
        <v/>
      </c>
    </row>
    <row r="1055" customFormat="false" ht="15" hidden="false" customHeight="false" outlineLevel="0" collapsed="false">
      <c r="A1055" s="29" t="str">
        <f aca="false">IF($C1055="","",ROW()-4)</f>
        <v/>
      </c>
      <c r="B1055" s="35" t="str">
        <f aca="false">IF($C1055="","","SK"&amp;TEXT($C1055,"yyyymm")&amp;"-"&amp;TEXT(ROW()-4,"0000"))</f>
        <v/>
      </c>
      <c r="C1055" s="33"/>
      <c r="D1055" s="24"/>
      <c r="E1055" s="30" t="str">
        <f aca="false">IF($D1055="","",IFERROR(INDEX(合同单位,MATCH($D1055,合同键,0)),IFERROR(TRIM(LEFT($D1055,FIND("｜",$D1055)-1)),$D1055)))</f>
        <v/>
      </c>
      <c r="F1055" s="30" t="str">
        <f aca="false">IF($D1055="","",IFERROR(INDEX(合同项目,MATCH($D1055,合同键,0)),IFERROR(TRIM(MID($D1055,FIND("｜",$D1055)+1,99)),"")))</f>
        <v/>
      </c>
      <c r="G1055" s="39"/>
      <c r="H1055" s="25"/>
      <c r="I1055" s="35" t="str">
        <f aca="false">IF($H1055="","",IFERROR(INDEX(票据归类表,MATCH($H1055,票据类型表,0)),"现金无票"))</f>
        <v/>
      </c>
      <c r="J1055" s="25"/>
      <c r="K1055" s="25"/>
      <c r="L1055" s="31"/>
      <c r="M1055" s="29" t="str">
        <f aca="false">IF($C1055="","",YEAR($C1055))</f>
        <v/>
      </c>
      <c r="N1055" s="24"/>
      <c r="O1055" s="35" t="str">
        <f aca="false">IF($C1055="","",IF($D1055="","★没选客户项目",IF(COUNTIF(合同键,$D1055)=0,"★《维保合同》里没这个项目",IF(N($G1055)&lt;=0,"★收款金额要填",IF($H1055="","★票据类型要选",IF(AND($L1055&lt;&gt;"",COUNTIF(应收单号,$L1055)=0),"★关联的应收单号不存在",IF(AND($L1055&lt;&gt;"",IFERROR(INDEX(应收键,MATCH($L1055,应收单号,0)),"")&lt;&gt;$D1055),"★关联单号不是这个客户的",IF(AND($L1055&lt;&gt;"",ROUND(SUMIF(收款关联,$L1055,收款金额)-IFERROR(INDEX(应收金额,MATCH($L1055,应收单号,0)),0),2)&gt;0.001),"★指定冲销超过那张单的应收","OK"))))))))</f>
        <v/>
      </c>
    </row>
    <row r="1056" customFormat="false" ht="15" hidden="false" customHeight="false" outlineLevel="0" collapsed="false">
      <c r="A1056" s="29" t="str">
        <f aca="false">IF($C1056="","",ROW()-4)</f>
        <v/>
      </c>
      <c r="B1056" s="35" t="str">
        <f aca="false">IF($C1056="","","SK"&amp;TEXT($C1056,"yyyymm")&amp;"-"&amp;TEXT(ROW()-4,"0000"))</f>
        <v/>
      </c>
      <c r="C1056" s="33"/>
      <c r="D1056" s="24"/>
      <c r="E1056" s="30" t="str">
        <f aca="false">IF($D1056="","",IFERROR(INDEX(合同单位,MATCH($D1056,合同键,0)),IFERROR(TRIM(LEFT($D1056,FIND("｜",$D1056)-1)),$D1056)))</f>
        <v/>
      </c>
      <c r="F1056" s="30" t="str">
        <f aca="false">IF($D1056="","",IFERROR(INDEX(合同项目,MATCH($D1056,合同键,0)),IFERROR(TRIM(MID($D1056,FIND("｜",$D1056)+1,99)),"")))</f>
        <v/>
      </c>
      <c r="G1056" s="39"/>
      <c r="H1056" s="25"/>
      <c r="I1056" s="35" t="str">
        <f aca="false">IF($H1056="","",IFERROR(INDEX(票据归类表,MATCH($H1056,票据类型表,0)),"现金无票"))</f>
        <v/>
      </c>
      <c r="J1056" s="25"/>
      <c r="K1056" s="25"/>
      <c r="L1056" s="31"/>
      <c r="M1056" s="29" t="str">
        <f aca="false">IF($C1056="","",YEAR($C1056))</f>
        <v/>
      </c>
      <c r="N1056" s="24"/>
      <c r="O1056" s="35" t="str">
        <f aca="false">IF($C1056="","",IF($D1056="","★没选客户项目",IF(COUNTIF(合同键,$D1056)=0,"★《维保合同》里没这个项目",IF(N($G1056)&lt;=0,"★收款金额要填",IF($H1056="","★票据类型要选",IF(AND($L1056&lt;&gt;"",COUNTIF(应收单号,$L1056)=0),"★关联的应收单号不存在",IF(AND($L1056&lt;&gt;"",IFERROR(INDEX(应收键,MATCH($L1056,应收单号,0)),"")&lt;&gt;$D1056),"★关联单号不是这个客户的",IF(AND($L1056&lt;&gt;"",ROUND(SUMIF(收款关联,$L1056,收款金额)-IFERROR(INDEX(应收金额,MATCH($L1056,应收单号,0)),0),2)&gt;0.001),"★指定冲销超过那张单的应收","OK"))))))))</f>
        <v/>
      </c>
    </row>
    <row r="1057" customFormat="false" ht="15" hidden="false" customHeight="false" outlineLevel="0" collapsed="false">
      <c r="A1057" s="29" t="str">
        <f aca="false">IF($C1057="","",ROW()-4)</f>
        <v/>
      </c>
      <c r="B1057" s="35" t="str">
        <f aca="false">IF($C1057="","","SK"&amp;TEXT($C1057,"yyyymm")&amp;"-"&amp;TEXT(ROW()-4,"0000"))</f>
        <v/>
      </c>
      <c r="C1057" s="33"/>
      <c r="D1057" s="24"/>
      <c r="E1057" s="30" t="str">
        <f aca="false">IF($D1057="","",IFERROR(INDEX(合同单位,MATCH($D1057,合同键,0)),IFERROR(TRIM(LEFT($D1057,FIND("｜",$D1057)-1)),$D1057)))</f>
        <v/>
      </c>
      <c r="F1057" s="30" t="str">
        <f aca="false">IF($D1057="","",IFERROR(INDEX(合同项目,MATCH($D1057,合同键,0)),IFERROR(TRIM(MID($D1057,FIND("｜",$D1057)+1,99)),"")))</f>
        <v/>
      </c>
      <c r="G1057" s="39"/>
      <c r="H1057" s="25"/>
      <c r="I1057" s="35" t="str">
        <f aca="false">IF($H1057="","",IFERROR(INDEX(票据归类表,MATCH($H1057,票据类型表,0)),"现金无票"))</f>
        <v/>
      </c>
      <c r="J1057" s="25"/>
      <c r="K1057" s="25"/>
      <c r="L1057" s="31"/>
      <c r="M1057" s="29" t="str">
        <f aca="false">IF($C1057="","",YEAR($C1057))</f>
        <v/>
      </c>
      <c r="N1057" s="24"/>
      <c r="O1057" s="35" t="str">
        <f aca="false">IF($C1057="","",IF($D1057="","★没选客户项目",IF(COUNTIF(合同键,$D1057)=0,"★《维保合同》里没这个项目",IF(N($G1057)&lt;=0,"★收款金额要填",IF($H1057="","★票据类型要选",IF(AND($L1057&lt;&gt;"",COUNTIF(应收单号,$L1057)=0),"★关联的应收单号不存在",IF(AND($L1057&lt;&gt;"",IFERROR(INDEX(应收键,MATCH($L1057,应收单号,0)),"")&lt;&gt;$D1057),"★关联单号不是这个客户的",IF(AND($L1057&lt;&gt;"",ROUND(SUMIF(收款关联,$L1057,收款金额)-IFERROR(INDEX(应收金额,MATCH($L1057,应收单号,0)),0),2)&gt;0.001),"★指定冲销超过那张单的应收","OK"))))))))</f>
        <v/>
      </c>
    </row>
    <row r="1058" customFormat="false" ht="15" hidden="false" customHeight="false" outlineLevel="0" collapsed="false">
      <c r="A1058" s="29" t="str">
        <f aca="false">IF($C1058="","",ROW()-4)</f>
        <v/>
      </c>
      <c r="B1058" s="35" t="str">
        <f aca="false">IF($C1058="","","SK"&amp;TEXT($C1058,"yyyymm")&amp;"-"&amp;TEXT(ROW()-4,"0000"))</f>
        <v/>
      </c>
      <c r="C1058" s="33"/>
      <c r="D1058" s="24"/>
      <c r="E1058" s="30" t="str">
        <f aca="false">IF($D1058="","",IFERROR(INDEX(合同单位,MATCH($D1058,合同键,0)),IFERROR(TRIM(LEFT($D1058,FIND("｜",$D1058)-1)),$D1058)))</f>
        <v/>
      </c>
      <c r="F1058" s="30" t="str">
        <f aca="false">IF($D1058="","",IFERROR(INDEX(合同项目,MATCH($D1058,合同键,0)),IFERROR(TRIM(MID($D1058,FIND("｜",$D1058)+1,99)),"")))</f>
        <v/>
      </c>
      <c r="G1058" s="39"/>
      <c r="H1058" s="25"/>
      <c r="I1058" s="35" t="str">
        <f aca="false">IF($H1058="","",IFERROR(INDEX(票据归类表,MATCH($H1058,票据类型表,0)),"现金无票"))</f>
        <v/>
      </c>
      <c r="J1058" s="25"/>
      <c r="K1058" s="25"/>
      <c r="L1058" s="31"/>
      <c r="M1058" s="29" t="str">
        <f aca="false">IF($C1058="","",YEAR($C1058))</f>
        <v/>
      </c>
      <c r="N1058" s="24"/>
      <c r="O1058" s="35" t="str">
        <f aca="false">IF($C1058="","",IF($D1058="","★没选客户项目",IF(COUNTIF(合同键,$D1058)=0,"★《维保合同》里没这个项目",IF(N($G1058)&lt;=0,"★收款金额要填",IF($H1058="","★票据类型要选",IF(AND($L1058&lt;&gt;"",COUNTIF(应收单号,$L1058)=0),"★关联的应收单号不存在",IF(AND($L1058&lt;&gt;"",IFERROR(INDEX(应收键,MATCH($L1058,应收单号,0)),"")&lt;&gt;$D1058),"★关联单号不是这个客户的",IF(AND($L1058&lt;&gt;"",ROUND(SUMIF(收款关联,$L1058,收款金额)-IFERROR(INDEX(应收金额,MATCH($L1058,应收单号,0)),0),2)&gt;0.001),"★指定冲销超过那张单的应收","OK"))))))))</f>
        <v/>
      </c>
    </row>
    <row r="1059" customFormat="false" ht="15" hidden="false" customHeight="false" outlineLevel="0" collapsed="false">
      <c r="A1059" s="29" t="str">
        <f aca="false">IF($C1059="","",ROW()-4)</f>
        <v/>
      </c>
      <c r="B1059" s="35" t="str">
        <f aca="false">IF($C1059="","","SK"&amp;TEXT($C1059,"yyyymm")&amp;"-"&amp;TEXT(ROW()-4,"0000"))</f>
        <v/>
      </c>
      <c r="C1059" s="33"/>
      <c r="D1059" s="24"/>
      <c r="E1059" s="30" t="str">
        <f aca="false">IF($D1059="","",IFERROR(INDEX(合同单位,MATCH($D1059,合同键,0)),IFERROR(TRIM(LEFT($D1059,FIND("｜",$D1059)-1)),$D1059)))</f>
        <v/>
      </c>
      <c r="F1059" s="30" t="str">
        <f aca="false">IF($D1059="","",IFERROR(INDEX(合同项目,MATCH($D1059,合同键,0)),IFERROR(TRIM(MID($D1059,FIND("｜",$D1059)+1,99)),"")))</f>
        <v/>
      </c>
      <c r="G1059" s="39"/>
      <c r="H1059" s="25"/>
      <c r="I1059" s="35" t="str">
        <f aca="false">IF($H1059="","",IFERROR(INDEX(票据归类表,MATCH($H1059,票据类型表,0)),"现金无票"))</f>
        <v/>
      </c>
      <c r="J1059" s="25"/>
      <c r="K1059" s="25"/>
      <c r="L1059" s="31"/>
      <c r="M1059" s="29" t="str">
        <f aca="false">IF($C1059="","",YEAR($C1059))</f>
        <v/>
      </c>
      <c r="N1059" s="24"/>
      <c r="O1059" s="35" t="str">
        <f aca="false">IF($C1059="","",IF($D1059="","★没选客户项目",IF(COUNTIF(合同键,$D1059)=0,"★《维保合同》里没这个项目",IF(N($G1059)&lt;=0,"★收款金额要填",IF($H1059="","★票据类型要选",IF(AND($L1059&lt;&gt;"",COUNTIF(应收单号,$L1059)=0),"★关联的应收单号不存在",IF(AND($L1059&lt;&gt;"",IFERROR(INDEX(应收键,MATCH($L1059,应收单号,0)),"")&lt;&gt;$D1059),"★关联单号不是这个客户的",IF(AND($L1059&lt;&gt;"",ROUND(SUMIF(收款关联,$L1059,收款金额)-IFERROR(INDEX(应收金额,MATCH($L1059,应收单号,0)),0),2)&gt;0.001),"★指定冲销超过那张单的应收","OK"))))))))</f>
        <v/>
      </c>
    </row>
    <row r="1060" customFormat="false" ht="15" hidden="false" customHeight="false" outlineLevel="0" collapsed="false">
      <c r="A1060" s="29" t="str">
        <f aca="false">IF($C1060="","",ROW()-4)</f>
        <v/>
      </c>
      <c r="B1060" s="35" t="str">
        <f aca="false">IF($C1060="","","SK"&amp;TEXT($C1060,"yyyymm")&amp;"-"&amp;TEXT(ROW()-4,"0000"))</f>
        <v/>
      </c>
      <c r="C1060" s="33"/>
      <c r="D1060" s="24"/>
      <c r="E1060" s="30" t="str">
        <f aca="false">IF($D1060="","",IFERROR(INDEX(合同单位,MATCH($D1060,合同键,0)),IFERROR(TRIM(LEFT($D1060,FIND("｜",$D1060)-1)),$D1060)))</f>
        <v/>
      </c>
      <c r="F1060" s="30" t="str">
        <f aca="false">IF($D1060="","",IFERROR(INDEX(合同项目,MATCH($D1060,合同键,0)),IFERROR(TRIM(MID($D1060,FIND("｜",$D1060)+1,99)),"")))</f>
        <v/>
      </c>
      <c r="G1060" s="39"/>
      <c r="H1060" s="25"/>
      <c r="I1060" s="35" t="str">
        <f aca="false">IF($H1060="","",IFERROR(INDEX(票据归类表,MATCH($H1060,票据类型表,0)),"现金无票"))</f>
        <v/>
      </c>
      <c r="J1060" s="25"/>
      <c r="K1060" s="25"/>
      <c r="L1060" s="31"/>
      <c r="M1060" s="29" t="str">
        <f aca="false">IF($C1060="","",YEAR($C1060))</f>
        <v/>
      </c>
      <c r="N1060" s="24"/>
      <c r="O1060" s="35" t="str">
        <f aca="false">IF($C1060="","",IF($D1060="","★没选客户项目",IF(COUNTIF(合同键,$D1060)=0,"★《维保合同》里没这个项目",IF(N($G1060)&lt;=0,"★收款金额要填",IF($H1060="","★票据类型要选",IF(AND($L1060&lt;&gt;"",COUNTIF(应收单号,$L1060)=0),"★关联的应收单号不存在",IF(AND($L1060&lt;&gt;"",IFERROR(INDEX(应收键,MATCH($L1060,应收单号,0)),"")&lt;&gt;$D1060),"★关联单号不是这个客户的",IF(AND($L1060&lt;&gt;"",ROUND(SUMIF(收款关联,$L1060,收款金额)-IFERROR(INDEX(应收金额,MATCH($L1060,应收单号,0)),0),2)&gt;0.001),"★指定冲销超过那张单的应收","OK"))))))))</f>
        <v/>
      </c>
    </row>
    <row r="1061" customFormat="false" ht="15" hidden="false" customHeight="false" outlineLevel="0" collapsed="false">
      <c r="A1061" s="29" t="str">
        <f aca="false">IF($C1061="","",ROW()-4)</f>
        <v/>
      </c>
      <c r="B1061" s="35" t="str">
        <f aca="false">IF($C1061="","","SK"&amp;TEXT($C1061,"yyyymm")&amp;"-"&amp;TEXT(ROW()-4,"0000"))</f>
        <v/>
      </c>
      <c r="C1061" s="33"/>
      <c r="D1061" s="24"/>
      <c r="E1061" s="30" t="str">
        <f aca="false">IF($D1061="","",IFERROR(INDEX(合同单位,MATCH($D1061,合同键,0)),IFERROR(TRIM(LEFT($D1061,FIND("｜",$D1061)-1)),$D1061)))</f>
        <v/>
      </c>
      <c r="F1061" s="30" t="str">
        <f aca="false">IF($D1061="","",IFERROR(INDEX(合同项目,MATCH($D1061,合同键,0)),IFERROR(TRIM(MID($D1061,FIND("｜",$D1061)+1,99)),"")))</f>
        <v/>
      </c>
      <c r="G1061" s="39"/>
      <c r="H1061" s="25"/>
      <c r="I1061" s="35" t="str">
        <f aca="false">IF($H1061="","",IFERROR(INDEX(票据归类表,MATCH($H1061,票据类型表,0)),"现金无票"))</f>
        <v/>
      </c>
      <c r="J1061" s="25"/>
      <c r="K1061" s="25"/>
      <c r="L1061" s="31"/>
      <c r="M1061" s="29" t="str">
        <f aca="false">IF($C1061="","",YEAR($C1061))</f>
        <v/>
      </c>
      <c r="N1061" s="24"/>
      <c r="O1061" s="35" t="str">
        <f aca="false">IF($C1061="","",IF($D1061="","★没选客户项目",IF(COUNTIF(合同键,$D1061)=0,"★《维保合同》里没这个项目",IF(N($G1061)&lt;=0,"★收款金额要填",IF($H1061="","★票据类型要选",IF(AND($L1061&lt;&gt;"",COUNTIF(应收单号,$L1061)=0),"★关联的应收单号不存在",IF(AND($L1061&lt;&gt;"",IFERROR(INDEX(应收键,MATCH($L1061,应收单号,0)),"")&lt;&gt;$D1061),"★关联单号不是这个客户的",IF(AND($L1061&lt;&gt;"",ROUND(SUMIF(收款关联,$L1061,收款金额)-IFERROR(INDEX(应收金额,MATCH($L1061,应收单号,0)),0),2)&gt;0.001),"★指定冲销超过那张单的应收","OK"))))))))</f>
        <v/>
      </c>
    </row>
    <row r="1062" customFormat="false" ht="15" hidden="false" customHeight="false" outlineLevel="0" collapsed="false">
      <c r="A1062" s="29" t="str">
        <f aca="false">IF($C1062="","",ROW()-4)</f>
        <v/>
      </c>
      <c r="B1062" s="35" t="str">
        <f aca="false">IF($C1062="","","SK"&amp;TEXT($C1062,"yyyymm")&amp;"-"&amp;TEXT(ROW()-4,"0000"))</f>
        <v/>
      </c>
      <c r="C1062" s="33"/>
      <c r="D1062" s="24"/>
      <c r="E1062" s="30" t="str">
        <f aca="false">IF($D1062="","",IFERROR(INDEX(合同单位,MATCH($D1062,合同键,0)),IFERROR(TRIM(LEFT($D1062,FIND("｜",$D1062)-1)),$D1062)))</f>
        <v/>
      </c>
      <c r="F1062" s="30" t="str">
        <f aca="false">IF($D1062="","",IFERROR(INDEX(合同项目,MATCH($D1062,合同键,0)),IFERROR(TRIM(MID($D1062,FIND("｜",$D1062)+1,99)),"")))</f>
        <v/>
      </c>
      <c r="G1062" s="39"/>
      <c r="H1062" s="25"/>
      <c r="I1062" s="35" t="str">
        <f aca="false">IF($H1062="","",IFERROR(INDEX(票据归类表,MATCH($H1062,票据类型表,0)),"现金无票"))</f>
        <v/>
      </c>
      <c r="J1062" s="25"/>
      <c r="K1062" s="25"/>
      <c r="L1062" s="31"/>
      <c r="M1062" s="29" t="str">
        <f aca="false">IF($C1062="","",YEAR($C1062))</f>
        <v/>
      </c>
      <c r="N1062" s="24"/>
      <c r="O1062" s="35" t="str">
        <f aca="false">IF($C1062="","",IF($D1062="","★没选客户项目",IF(COUNTIF(合同键,$D1062)=0,"★《维保合同》里没这个项目",IF(N($G1062)&lt;=0,"★收款金额要填",IF($H1062="","★票据类型要选",IF(AND($L1062&lt;&gt;"",COUNTIF(应收单号,$L1062)=0),"★关联的应收单号不存在",IF(AND($L1062&lt;&gt;"",IFERROR(INDEX(应收键,MATCH($L1062,应收单号,0)),"")&lt;&gt;$D1062),"★关联单号不是这个客户的",IF(AND($L1062&lt;&gt;"",ROUND(SUMIF(收款关联,$L1062,收款金额)-IFERROR(INDEX(应收金额,MATCH($L1062,应收单号,0)),0),2)&gt;0.001),"★指定冲销超过那张单的应收","OK"))))))))</f>
        <v/>
      </c>
    </row>
    <row r="1063" customFormat="false" ht="15" hidden="false" customHeight="false" outlineLevel="0" collapsed="false">
      <c r="A1063" s="29" t="str">
        <f aca="false">IF($C1063="","",ROW()-4)</f>
        <v/>
      </c>
      <c r="B1063" s="35" t="str">
        <f aca="false">IF($C1063="","","SK"&amp;TEXT($C1063,"yyyymm")&amp;"-"&amp;TEXT(ROW()-4,"0000"))</f>
        <v/>
      </c>
      <c r="C1063" s="33"/>
      <c r="D1063" s="24"/>
      <c r="E1063" s="30" t="str">
        <f aca="false">IF($D1063="","",IFERROR(INDEX(合同单位,MATCH($D1063,合同键,0)),IFERROR(TRIM(LEFT($D1063,FIND("｜",$D1063)-1)),$D1063)))</f>
        <v/>
      </c>
      <c r="F1063" s="30" t="str">
        <f aca="false">IF($D1063="","",IFERROR(INDEX(合同项目,MATCH($D1063,合同键,0)),IFERROR(TRIM(MID($D1063,FIND("｜",$D1063)+1,99)),"")))</f>
        <v/>
      </c>
      <c r="G1063" s="39"/>
      <c r="H1063" s="25"/>
      <c r="I1063" s="35" t="str">
        <f aca="false">IF($H1063="","",IFERROR(INDEX(票据归类表,MATCH($H1063,票据类型表,0)),"现金无票"))</f>
        <v/>
      </c>
      <c r="J1063" s="25"/>
      <c r="K1063" s="25"/>
      <c r="L1063" s="31"/>
      <c r="M1063" s="29" t="str">
        <f aca="false">IF($C1063="","",YEAR($C1063))</f>
        <v/>
      </c>
      <c r="N1063" s="24"/>
      <c r="O1063" s="35" t="str">
        <f aca="false">IF($C1063="","",IF($D1063="","★没选客户项目",IF(COUNTIF(合同键,$D1063)=0,"★《维保合同》里没这个项目",IF(N($G1063)&lt;=0,"★收款金额要填",IF($H1063="","★票据类型要选",IF(AND($L1063&lt;&gt;"",COUNTIF(应收单号,$L1063)=0),"★关联的应收单号不存在",IF(AND($L1063&lt;&gt;"",IFERROR(INDEX(应收键,MATCH($L1063,应收单号,0)),"")&lt;&gt;$D1063),"★关联单号不是这个客户的",IF(AND($L1063&lt;&gt;"",ROUND(SUMIF(收款关联,$L1063,收款金额)-IFERROR(INDEX(应收金额,MATCH($L1063,应收单号,0)),0),2)&gt;0.001),"★指定冲销超过那张单的应收","OK"))))))))</f>
        <v/>
      </c>
    </row>
    <row r="1064" customFormat="false" ht="15" hidden="false" customHeight="false" outlineLevel="0" collapsed="false">
      <c r="A1064" s="29" t="str">
        <f aca="false">IF($C1064="","",ROW()-4)</f>
        <v/>
      </c>
      <c r="B1064" s="35" t="str">
        <f aca="false">IF($C1064="","","SK"&amp;TEXT($C1064,"yyyymm")&amp;"-"&amp;TEXT(ROW()-4,"0000"))</f>
        <v/>
      </c>
      <c r="C1064" s="33"/>
      <c r="D1064" s="24"/>
      <c r="E1064" s="30" t="str">
        <f aca="false">IF($D1064="","",IFERROR(INDEX(合同单位,MATCH($D1064,合同键,0)),IFERROR(TRIM(LEFT($D1064,FIND("｜",$D1064)-1)),$D1064)))</f>
        <v/>
      </c>
      <c r="F1064" s="30" t="str">
        <f aca="false">IF($D1064="","",IFERROR(INDEX(合同项目,MATCH($D1064,合同键,0)),IFERROR(TRIM(MID($D1064,FIND("｜",$D1064)+1,99)),"")))</f>
        <v/>
      </c>
      <c r="G1064" s="39"/>
      <c r="H1064" s="25"/>
      <c r="I1064" s="35" t="str">
        <f aca="false">IF($H1064="","",IFERROR(INDEX(票据归类表,MATCH($H1064,票据类型表,0)),"现金无票"))</f>
        <v/>
      </c>
      <c r="J1064" s="25"/>
      <c r="K1064" s="25"/>
      <c r="L1064" s="31"/>
      <c r="M1064" s="29" t="str">
        <f aca="false">IF($C1064="","",YEAR($C1064))</f>
        <v/>
      </c>
      <c r="N1064" s="24"/>
      <c r="O1064" s="35" t="str">
        <f aca="false">IF($C1064="","",IF($D1064="","★没选客户项目",IF(COUNTIF(合同键,$D1064)=0,"★《维保合同》里没这个项目",IF(N($G1064)&lt;=0,"★收款金额要填",IF($H1064="","★票据类型要选",IF(AND($L1064&lt;&gt;"",COUNTIF(应收单号,$L1064)=0),"★关联的应收单号不存在",IF(AND($L1064&lt;&gt;"",IFERROR(INDEX(应收键,MATCH($L1064,应收单号,0)),"")&lt;&gt;$D1064),"★关联单号不是这个客户的",IF(AND($L1064&lt;&gt;"",ROUND(SUMIF(收款关联,$L1064,收款金额)-IFERROR(INDEX(应收金额,MATCH($L1064,应收单号,0)),0),2)&gt;0.001),"★指定冲销超过那张单的应收","OK"))))))))</f>
        <v/>
      </c>
    </row>
    <row r="1065" customFormat="false" ht="15" hidden="false" customHeight="false" outlineLevel="0" collapsed="false">
      <c r="A1065" s="29" t="str">
        <f aca="false">IF($C1065="","",ROW()-4)</f>
        <v/>
      </c>
      <c r="B1065" s="35" t="str">
        <f aca="false">IF($C1065="","","SK"&amp;TEXT($C1065,"yyyymm")&amp;"-"&amp;TEXT(ROW()-4,"0000"))</f>
        <v/>
      </c>
      <c r="C1065" s="33"/>
      <c r="D1065" s="24"/>
      <c r="E1065" s="30" t="str">
        <f aca="false">IF($D1065="","",IFERROR(INDEX(合同单位,MATCH($D1065,合同键,0)),IFERROR(TRIM(LEFT($D1065,FIND("｜",$D1065)-1)),$D1065)))</f>
        <v/>
      </c>
      <c r="F1065" s="30" t="str">
        <f aca="false">IF($D1065="","",IFERROR(INDEX(合同项目,MATCH($D1065,合同键,0)),IFERROR(TRIM(MID($D1065,FIND("｜",$D1065)+1,99)),"")))</f>
        <v/>
      </c>
      <c r="G1065" s="39"/>
      <c r="H1065" s="25"/>
      <c r="I1065" s="35" t="str">
        <f aca="false">IF($H1065="","",IFERROR(INDEX(票据归类表,MATCH($H1065,票据类型表,0)),"现金无票"))</f>
        <v/>
      </c>
      <c r="J1065" s="25"/>
      <c r="K1065" s="25"/>
      <c r="L1065" s="31"/>
      <c r="M1065" s="29" t="str">
        <f aca="false">IF($C1065="","",YEAR($C1065))</f>
        <v/>
      </c>
      <c r="N1065" s="24"/>
      <c r="O1065" s="35" t="str">
        <f aca="false">IF($C1065="","",IF($D1065="","★没选客户项目",IF(COUNTIF(合同键,$D1065)=0,"★《维保合同》里没这个项目",IF(N($G1065)&lt;=0,"★收款金额要填",IF($H1065="","★票据类型要选",IF(AND($L1065&lt;&gt;"",COUNTIF(应收单号,$L1065)=0),"★关联的应收单号不存在",IF(AND($L1065&lt;&gt;"",IFERROR(INDEX(应收键,MATCH($L1065,应收单号,0)),"")&lt;&gt;$D1065),"★关联单号不是这个客户的",IF(AND($L1065&lt;&gt;"",ROUND(SUMIF(收款关联,$L1065,收款金额)-IFERROR(INDEX(应收金额,MATCH($L1065,应收单号,0)),0),2)&gt;0.001),"★指定冲销超过那张单的应收","OK"))))))))</f>
        <v/>
      </c>
    </row>
    <row r="1066" customFormat="false" ht="15" hidden="false" customHeight="false" outlineLevel="0" collapsed="false">
      <c r="A1066" s="29" t="str">
        <f aca="false">IF($C1066="","",ROW()-4)</f>
        <v/>
      </c>
      <c r="B1066" s="35" t="str">
        <f aca="false">IF($C1066="","","SK"&amp;TEXT($C1066,"yyyymm")&amp;"-"&amp;TEXT(ROW()-4,"0000"))</f>
        <v/>
      </c>
      <c r="C1066" s="33"/>
      <c r="D1066" s="24"/>
      <c r="E1066" s="30" t="str">
        <f aca="false">IF($D1066="","",IFERROR(INDEX(合同单位,MATCH($D1066,合同键,0)),IFERROR(TRIM(LEFT($D1066,FIND("｜",$D1066)-1)),$D1066)))</f>
        <v/>
      </c>
      <c r="F1066" s="30" t="str">
        <f aca="false">IF($D1066="","",IFERROR(INDEX(合同项目,MATCH($D1066,合同键,0)),IFERROR(TRIM(MID($D1066,FIND("｜",$D1066)+1,99)),"")))</f>
        <v/>
      </c>
      <c r="G1066" s="39"/>
      <c r="H1066" s="25"/>
      <c r="I1066" s="35" t="str">
        <f aca="false">IF($H1066="","",IFERROR(INDEX(票据归类表,MATCH($H1066,票据类型表,0)),"现金无票"))</f>
        <v/>
      </c>
      <c r="J1066" s="25"/>
      <c r="K1066" s="25"/>
      <c r="L1066" s="31"/>
      <c r="M1066" s="29" t="str">
        <f aca="false">IF($C1066="","",YEAR($C1066))</f>
        <v/>
      </c>
      <c r="N1066" s="24"/>
      <c r="O1066" s="35" t="str">
        <f aca="false">IF($C1066="","",IF($D1066="","★没选客户项目",IF(COUNTIF(合同键,$D1066)=0,"★《维保合同》里没这个项目",IF(N($G1066)&lt;=0,"★收款金额要填",IF($H1066="","★票据类型要选",IF(AND($L1066&lt;&gt;"",COUNTIF(应收单号,$L1066)=0),"★关联的应收单号不存在",IF(AND($L1066&lt;&gt;"",IFERROR(INDEX(应收键,MATCH($L1066,应收单号,0)),"")&lt;&gt;$D1066),"★关联单号不是这个客户的",IF(AND($L1066&lt;&gt;"",ROUND(SUMIF(收款关联,$L1066,收款金额)-IFERROR(INDEX(应收金额,MATCH($L1066,应收单号,0)),0),2)&gt;0.001),"★指定冲销超过那张单的应收","OK"))))))))</f>
        <v/>
      </c>
    </row>
    <row r="1067" customFormat="false" ht="15" hidden="false" customHeight="false" outlineLevel="0" collapsed="false">
      <c r="A1067" s="29" t="str">
        <f aca="false">IF($C1067="","",ROW()-4)</f>
        <v/>
      </c>
      <c r="B1067" s="35" t="str">
        <f aca="false">IF($C1067="","","SK"&amp;TEXT($C1067,"yyyymm")&amp;"-"&amp;TEXT(ROW()-4,"0000"))</f>
        <v/>
      </c>
      <c r="C1067" s="33"/>
      <c r="D1067" s="24"/>
      <c r="E1067" s="30" t="str">
        <f aca="false">IF($D1067="","",IFERROR(INDEX(合同单位,MATCH($D1067,合同键,0)),IFERROR(TRIM(LEFT($D1067,FIND("｜",$D1067)-1)),$D1067)))</f>
        <v/>
      </c>
      <c r="F1067" s="30" t="str">
        <f aca="false">IF($D1067="","",IFERROR(INDEX(合同项目,MATCH($D1067,合同键,0)),IFERROR(TRIM(MID($D1067,FIND("｜",$D1067)+1,99)),"")))</f>
        <v/>
      </c>
      <c r="G1067" s="39"/>
      <c r="H1067" s="25"/>
      <c r="I1067" s="35" t="str">
        <f aca="false">IF($H1067="","",IFERROR(INDEX(票据归类表,MATCH($H1067,票据类型表,0)),"现金无票"))</f>
        <v/>
      </c>
      <c r="J1067" s="25"/>
      <c r="K1067" s="25"/>
      <c r="L1067" s="31"/>
      <c r="M1067" s="29" t="str">
        <f aca="false">IF($C1067="","",YEAR($C1067))</f>
        <v/>
      </c>
      <c r="N1067" s="24"/>
      <c r="O1067" s="35" t="str">
        <f aca="false">IF($C1067="","",IF($D1067="","★没选客户项目",IF(COUNTIF(合同键,$D1067)=0,"★《维保合同》里没这个项目",IF(N($G1067)&lt;=0,"★收款金额要填",IF($H1067="","★票据类型要选",IF(AND($L1067&lt;&gt;"",COUNTIF(应收单号,$L1067)=0),"★关联的应收单号不存在",IF(AND($L1067&lt;&gt;"",IFERROR(INDEX(应收键,MATCH($L1067,应收单号,0)),"")&lt;&gt;$D1067),"★关联单号不是这个客户的",IF(AND($L1067&lt;&gt;"",ROUND(SUMIF(收款关联,$L1067,收款金额)-IFERROR(INDEX(应收金额,MATCH($L1067,应收单号,0)),0),2)&gt;0.001),"★指定冲销超过那张单的应收","OK"))))))))</f>
        <v/>
      </c>
    </row>
    <row r="1068" customFormat="false" ht="15" hidden="false" customHeight="false" outlineLevel="0" collapsed="false">
      <c r="A1068" s="29" t="str">
        <f aca="false">IF($C1068="","",ROW()-4)</f>
        <v/>
      </c>
      <c r="B1068" s="35" t="str">
        <f aca="false">IF($C1068="","","SK"&amp;TEXT($C1068,"yyyymm")&amp;"-"&amp;TEXT(ROW()-4,"0000"))</f>
        <v/>
      </c>
      <c r="C1068" s="33"/>
      <c r="D1068" s="24"/>
      <c r="E1068" s="30" t="str">
        <f aca="false">IF($D1068="","",IFERROR(INDEX(合同单位,MATCH($D1068,合同键,0)),IFERROR(TRIM(LEFT($D1068,FIND("｜",$D1068)-1)),$D1068)))</f>
        <v/>
      </c>
      <c r="F1068" s="30" t="str">
        <f aca="false">IF($D1068="","",IFERROR(INDEX(合同项目,MATCH($D1068,合同键,0)),IFERROR(TRIM(MID($D1068,FIND("｜",$D1068)+1,99)),"")))</f>
        <v/>
      </c>
      <c r="G1068" s="39"/>
      <c r="H1068" s="25"/>
      <c r="I1068" s="35" t="str">
        <f aca="false">IF($H1068="","",IFERROR(INDEX(票据归类表,MATCH($H1068,票据类型表,0)),"现金无票"))</f>
        <v/>
      </c>
      <c r="J1068" s="25"/>
      <c r="K1068" s="25"/>
      <c r="L1068" s="31"/>
      <c r="M1068" s="29" t="str">
        <f aca="false">IF($C1068="","",YEAR($C1068))</f>
        <v/>
      </c>
      <c r="N1068" s="24"/>
      <c r="O1068" s="35" t="str">
        <f aca="false">IF($C1068="","",IF($D1068="","★没选客户项目",IF(COUNTIF(合同键,$D1068)=0,"★《维保合同》里没这个项目",IF(N($G1068)&lt;=0,"★收款金额要填",IF($H1068="","★票据类型要选",IF(AND($L1068&lt;&gt;"",COUNTIF(应收单号,$L1068)=0),"★关联的应收单号不存在",IF(AND($L1068&lt;&gt;"",IFERROR(INDEX(应收键,MATCH($L1068,应收单号,0)),"")&lt;&gt;$D1068),"★关联单号不是这个客户的",IF(AND($L1068&lt;&gt;"",ROUND(SUMIF(收款关联,$L1068,收款金额)-IFERROR(INDEX(应收金额,MATCH($L1068,应收单号,0)),0),2)&gt;0.001),"★指定冲销超过那张单的应收","OK"))))))))</f>
        <v/>
      </c>
    </row>
    <row r="1069" customFormat="false" ht="15" hidden="false" customHeight="false" outlineLevel="0" collapsed="false">
      <c r="A1069" s="29" t="str">
        <f aca="false">IF($C1069="","",ROW()-4)</f>
        <v/>
      </c>
      <c r="B1069" s="35" t="str">
        <f aca="false">IF($C1069="","","SK"&amp;TEXT($C1069,"yyyymm")&amp;"-"&amp;TEXT(ROW()-4,"0000"))</f>
        <v/>
      </c>
      <c r="C1069" s="33"/>
      <c r="D1069" s="24"/>
      <c r="E1069" s="30" t="str">
        <f aca="false">IF($D1069="","",IFERROR(INDEX(合同单位,MATCH($D1069,合同键,0)),IFERROR(TRIM(LEFT($D1069,FIND("｜",$D1069)-1)),$D1069)))</f>
        <v/>
      </c>
      <c r="F1069" s="30" t="str">
        <f aca="false">IF($D1069="","",IFERROR(INDEX(合同项目,MATCH($D1069,合同键,0)),IFERROR(TRIM(MID($D1069,FIND("｜",$D1069)+1,99)),"")))</f>
        <v/>
      </c>
      <c r="G1069" s="39"/>
      <c r="H1069" s="25"/>
      <c r="I1069" s="35" t="str">
        <f aca="false">IF($H1069="","",IFERROR(INDEX(票据归类表,MATCH($H1069,票据类型表,0)),"现金无票"))</f>
        <v/>
      </c>
      <c r="J1069" s="25"/>
      <c r="K1069" s="25"/>
      <c r="L1069" s="31"/>
      <c r="M1069" s="29" t="str">
        <f aca="false">IF($C1069="","",YEAR($C1069))</f>
        <v/>
      </c>
      <c r="N1069" s="24"/>
      <c r="O1069" s="35" t="str">
        <f aca="false">IF($C1069="","",IF($D1069="","★没选客户项目",IF(COUNTIF(合同键,$D1069)=0,"★《维保合同》里没这个项目",IF(N($G1069)&lt;=0,"★收款金额要填",IF($H1069="","★票据类型要选",IF(AND($L1069&lt;&gt;"",COUNTIF(应收单号,$L1069)=0),"★关联的应收单号不存在",IF(AND($L1069&lt;&gt;"",IFERROR(INDEX(应收键,MATCH($L1069,应收单号,0)),"")&lt;&gt;$D1069),"★关联单号不是这个客户的",IF(AND($L1069&lt;&gt;"",ROUND(SUMIF(收款关联,$L1069,收款金额)-IFERROR(INDEX(应收金额,MATCH($L1069,应收单号,0)),0),2)&gt;0.001),"★指定冲销超过那张单的应收","OK"))))))))</f>
        <v/>
      </c>
    </row>
    <row r="1070" customFormat="false" ht="15" hidden="false" customHeight="false" outlineLevel="0" collapsed="false">
      <c r="A1070" s="29" t="str">
        <f aca="false">IF($C1070="","",ROW()-4)</f>
        <v/>
      </c>
      <c r="B1070" s="35" t="str">
        <f aca="false">IF($C1070="","","SK"&amp;TEXT($C1070,"yyyymm")&amp;"-"&amp;TEXT(ROW()-4,"0000"))</f>
        <v/>
      </c>
      <c r="C1070" s="33"/>
      <c r="D1070" s="24"/>
      <c r="E1070" s="30" t="str">
        <f aca="false">IF($D1070="","",IFERROR(INDEX(合同单位,MATCH($D1070,合同键,0)),IFERROR(TRIM(LEFT($D1070,FIND("｜",$D1070)-1)),$D1070)))</f>
        <v/>
      </c>
      <c r="F1070" s="30" t="str">
        <f aca="false">IF($D1070="","",IFERROR(INDEX(合同项目,MATCH($D1070,合同键,0)),IFERROR(TRIM(MID($D1070,FIND("｜",$D1070)+1,99)),"")))</f>
        <v/>
      </c>
      <c r="G1070" s="39"/>
      <c r="H1070" s="25"/>
      <c r="I1070" s="35" t="str">
        <f aca="false">IF($H1070="","",IFERROR(INDEX(票据归类表,MATCH($H1070,票据类型表,0)),"现金无票"))</f>
        <v/>
      </c>
      <c r="J1070" s="25"/>
      <c r="K1070" s="25"/>
      <c r="L1070" s="31"/>
      <c r="M1070" s="29" t="str">
        <f aca="false">IF($C1070="","",YEAR($C1070))</f>
        <v/>
      </c>
      <c r="N1070" s="24"/>
      <c r="O1070" s="35" t="str">
        <f aca="false">IF($C1070="","",IF($D1070="","★没选客户项目",IF(COUNTIF(合同键,$D1070)=0,"★《维保合同》里没这个项目",IF(N($G1070)&lt;=0,"★收款金额要填",IF($H1070="","★票据类型要选",IF(AND($L1070&lt;&gt;"",COUNTIF(应收单号,$L1070)=0),"★关联的应收单号不存在",IF(AND($L1070&lt;&gt;"",IFERROR(INDEX(应收键,MATCH($L1070,应收单号,0)),"")&lt;&gt;$D1070),"★关联单号不是这个客户的",IF(AND($L1070&lt;&gt;"",ROUND(SUMIF(收款关联,$L1070,收款金额)-IFERROR(INDEX(应收金额,MATCH($L1070,应收单号,0)),0),2)&gt;0.001),"★指定冲销超过那张单的应收","OK"))))))))</f>
        <v/>
      </c>
    </row>
    <row r="1071" customFormat="false" ht="15" hidden="false" customHeight="false" outlineLevel="0" collapsed="false">
      <c r="A1071" s="29" t="str">
        <f aca="false">IF($C1071="","",ROW()-4)</f>
        <v/>
      </c>
      <c r="B1071" s="35" t="str">
        <f aca="false">IF($C1071="","","SK"&amp;TEXT($C1071,"yyyymm")&amp;"-"&amp;TEXT(ROW()-4,"0000"))</f>
        <v/>
      </c>
      <c r="C1071" s="33"/>
      <c r="D1071" s="24"/>
      <c r="E1071" s="30" t="str">
        <f aca="false">IF($D1071="","",IFERROR(INDEX(合同单位,MATCH($D1071,合同键,0)),IFERROR(TRIM(LEFT($D1071,FIND("｜",$D1071)-1)),$D1071)))</f>
        <v/>
      </c>
      <c r="F1071" s="30" t="str">
        <f aca="false">IF($D1071="","",IFERROR(INDEX(合同项目,MATCH($D1071,合同键,0)),IFERROR(TRIM(MID($D1071,FIND("｜",$D1071)+1,99)),"")))</f>
        <v/>
      </c>
      <c r="G1071" s="39"/>
      <c r="H1071" s="25"/>
      <c r="I1071" s="35" t="str">
        <f aca="false">IF($H1071="","",IFERROR(INDEX(票据归类表,MATCH($H1071,票据类型表,0)),"现金无票"))</f>
        <v/>
      </c>
      <c r="J1071" s="25"/>
      <c r="K1071" s="25"/>
      <c r="L1071" s="31"/>
      <c r="M1071" s="29" t="str">
        <f aca="false">IF($C1071="","",YEAR($C1071))</f>
        <v/>
      </c>
      <c r="N1071" s="24"/>
      <c r="O1071" s="35" t="str">
        <f aca="false">IF($C1071="","",IF($D1071="","★没选客户项目",IF(COUNTIF(合同键,$D1071)=0,"★《维保合同》里没这个项目",IF(N($G1071)&lt;=0,"★收款金额要填",IF($H1071="","★票据类型要选",IF(AND($L1071&lt;&gt;"",COUNTIF(应收单号,$L1071)=0),"★关联的应收单号不存在",IF(AND($L1071&lt;&gt;"",IFERROR(INDEX(应收键,MATCH($L1071,应收单号,0)),"")&lt;&gt;$D1071),"★关联单号不是这个客户的",IF(AND($L1071&lt;&gt;"",ROUND(SUMIF(收款关联,$L1071,收款金额)-IFERROR(INDEX(应收金额,MATCH($L1071,应收单号,0)),0),2)&gt;0.001),"★指定冲销超过那张单的应收","OK"))))))))</f>
        <v/>
      </c>
    </row>
    <row r="1072" customFormat="false" ht="15" hidden="false" customHeight="false" outlineLevel="0" collapsed="false">
      <c r="A1072" s="29" t="str">
        <f aca="false">IF($C1072="","",ROW()-4)</f>
        <v/>
      </c>
      <c r="B1072" s="35" t="str">
        <f aca="false">IF($C1072="","","SK"&amp;TEXT($C1072,"yyyymm")&amp;"-"&amp;TEXT(ROW()-4,"0000"))</f>
        <v/>
      </c>
      <c r="C1072" s="33"/>
      <c r="D1072" s="24"/>
      <c r="E1072" s="30" t="str">
        <f aca="false">IF($D1072="","",IFERROR(INDEX(合同单位,MATCH($D1072,合同键,0)),IFERROR(TRIM(LEFT($D1072,FIND("｜",$D1072)-1)),$D1072)))</f>
        <v/>
      </c>
      <c r="F1072" s="30" t="str">
        <f aca="false">IF($D1072="","",IFERROR(INDEX(合同项目,MATCH($D1072,合同键,0)),IFERROR(TRIM(MID($D1072,FIND("｜",$D1072)+1,99)),"")))</f>
        <v/>
      </c>
      <c r="G1072" s="39"/>
      <c r="H1072" s="25"/>
      <c r="I1072" s="35" t="str">
        <f aca="false">IF($H1072="","",IFERROR(INDEX(票据归类表,MATCH($H1072,票据类型表,0)),"现金无票"))</f>
        <v/>
      </c>
      <c r="J1072" s="25"/>
      <c r="K1072" s="25"/>
      <c r="L1072" s="31"/>
      <c r="M1072" s="29" t="str">
        <f aca="false">IF($C1072="","",YEAR($C1072))</f>
        <v/>
      </c>
      <c r="N1072" s="24"/>
      <c r="O1072" s="35" t="str">
        <f aca="false">IF($C1072="","",IF($D1072="","★没选客户项目",IF(COUNTIF(合同键,$D1072)=0,"★《维保合同》里没这个项目",IF(N($G1072)&lt;=0,"★收款金额要填",IF($H1072="","★票据类型要选",IF(AND($L1072&lt;&gt;"",COUNTIF(应收单号,$L1072)=0),"★关联的应收单号不存在",IF(AND($L1072&lt;&gt;"",IFERROR(INDEX(应收键,MATCH($L1072,应收单号,0)),"")&lt;&gt;$D1072),"★关联单号不是这个客户的",IF(AND($L1072&lt;&gt;"",ROUND(SUMIF(收款关联,$L1072,收款金额)-IFERROR(INDEX(应收金额,MATCH($L1072,应收单号,0)),0),2)&gt;0.001),"★指定冲销超过那张单的应收","OK"))))))))</f>
        <v/>
      </c>
    </row>
    <row r="1073" customFormat="false" ht="15" hidden="false" customHeight="false" outlineLevel="0" collapsed="false">
      <c r="A1073" s="29" t="str">
        <f aca="false">IF($C1073="","",ROW()-4)</f>
        <v/>
      </c>
      <c r="B1073" s="35" t="str">
        <f aca="false">IF($C1073="","","SK"&amp;TEXT($C1073,"yyyymm")&amp;"-"&amp;TEXT(ROW()-4,"0000"))</f>
        <v/>
      </c>
      <c r="C1073" s="33"/>
      <c r="D1073" s="24"/>
      <c r="E1073" s="30" t="str">
        <f aca="false">IF($D1073="","",IFERROR(INDEX(合同单位,MATCH($D1073,合同键,0)),IFERROR(TRIM(LEFT($D1073,FIND("｜",$D1073)-1)),$D1073)))</f>
        <v/>
      </c>
      <c r="F1073" s="30" t="str">
        <f aca="false">IF($D1073="","",IFERROR(INDEX(合同项目,MATCH($D1073,合同键,0)),IFERROR(TRIM(MID($D1073,FIND("｜",$D1073)+1,99)),"")))</f>
        <v/>
      </c>
      <c r="G1073" s="39"/>
      <c r="H1073" s="25"/>
      <c r="I1073" s="35" t="str">
        <f aca="false">IF($H1073="","",IFERROR(INDEX(票据归类表,MATCH($H1073,票据类型表,0)),"现金无票"))</f>
        <v/>
      </c>
      <c r="J1073" s="25"/>
      <c r="K1073" s="25"/>
      <c r="L1073" s="31"/>
      <c r="M1073" s="29" t="str">
        <f aca="false">IF($C1073="","",YEAR($C1073))</f>
        <v/>
      </c>
      <c r="N1073" s="24"/>
      <c r="O1073" s="35" t="str">
        <f aca="false">IF($C1073="","",IF($D1073="","★没选客户项目",IF(COUNTIF(合同键,$D1073)=0,"★《维保合同》里没这个项目",IF(N($G1073)&lt;=0,"★收款金额要填",IF($H1073="","★票据类型要选",IF(AND($L1073&lt;&gt;"",COUNTIF(应收单号,$L1073)=0),"★关联的应收单号不存在",IF(AND($L1073&lt;&gt;"",IFERROR(INDEX(应收键,MATCH($L1073,应收单号,0)),"")&lt;&gt;$D1073),"★关联单号不是这个客户的",IF(AND($L1073&lt;&gt;"",ROUND(SUMIF(收款关联,$L1073,收款金额)-IFERROR(INDEX(应收金额,MATCH($L1073,应收单号,0)),0),2)&gt;0.001),"★指定冲销超过那张单的应收","OK"))))))))</f>
        <v/>
      </c>
    </row>
    <row r="1074" customFormat="false" ht="15" hidden="false" customHeight="false" outlineLevel="0" collapsed="false">
      <c r="A1074" s="29" t="str">
        <f aca="false">IF($C1074="","",ROW()-4)</f>
        <v/>
      </c>
      <c r="B1074" s="35" t="str">
        <f aca="false">IF($C1074="","","SK"&amp;TEXT($C1074,"yyyymm")&amp;"-"&amp;TEXT(ROW()-4,"0000"))</f>
        <v/>
      </c>
      <c r="C1074" s="33"/>
      <c r="D1074" s="24"/>
      <c r="E1074" s="30" t="str">
        <f aca="false">IF($D1074="","",IFERROR(INDEX(合同单位,MATCH($D1074,合同键,0)),IFERROR(TRIM(LEFT($D1074,FIND("｜",$D1074)-1)),$D1074)))</f>
        <v/>
      </c>
      <c r="F1074" s="30" t="str">
        <f aca="false">IF($D1074="","",IFERROR(INDEX(合同项目,MATCH($D1074,合同键,0)),IFERROR(TRIM(MID($D1074,FIND("｜",$D1074)+1,99)),"")))</f>
        <v/>
      </c>
      <c r="G1074" s="39"/>
      <c r="H1074" s="25"/>
      <c r="I1074" s="35" t="str">
        <f aca="false">IF($H1074="","",IFERROR(INDEX(票据归类表,MATCH($H1074,票据类型表,0)),"现金无票"))</f>
        <v/>
      </c>
      <c r="J1074" s="25"/>
      <c r="K1074" s="25"/>
      <c r="L1074" s="31"/>
      <c r="M1074" s="29" t="str">
        <f aca="false">IF($C1074="","",YEAR($C1074))</f>
        <v/>
      </c>
      <c r="N1074" s="24"/>
      <c r="O1074" s="35" t="str">
        <f aca="false">IF($C1074="","",IF($D1074="","★没选客户项目",IF(COUNTIF(合同键,$D1074)=0,"★《维保合同》里没这个项目",IF(N($G1074)&lt;=0,"★收款金额要填",IF($H1074="","★票据类型要选",IF(AND($L1074&lt;&gt;"",COUNTIF(应收单号,$L1074)=0),"★关联的应收单号不存在",IF(AND($L1074&lt;&gt;"",IFERROR(INDEX(应收键,MATCH($L1074,应收单号,0)),"")&lt;&gt;$D1074),"★关联单号不是这个客户的",IF(AND($L1074&lt;&gt;"",ROUND(SUMIF(收款关联,$L1074,收款金额)-IFERROR(INDEX(应收金额,MATCH($L1074,应收单号,0)),0),2)&gt;0.001),"★指定冲销超过那张单的应收","OK"))))))))</f>
        <v/>
      </c>
    </row>
    <row r="1075" customFormat="false" ht="15" hidden="false" customHeight="false" outlineLevel="0" collapsed="false">
      <c r="A1075" s="29" t="str">
        <f aca="false">IF($C1075="","",ROW()-4)</f>
        <v/>
      </c>
      <c r="B1075" s="35" t="str">
        <f aca="false">IF($C1075="","","SK"&amp;TEXT($C1075,"yyyymm")&amp;"-"&amp;TEXT(ROW()-4,"0000"))</f>
        <v/>
      </c>
      <c r="C1075" s="33"/>
      <c r="D1075" s="24"/>
      <c r="E1075" s="30" t="str">
        <f aca="false">IF($D1075="","",IFERROR(INDEX(合同单位,MATCH($D1075,合同键,0)),IFERROR(TRIM(LEFT($D1075,FIND("｜",$D1075)-1)),$D1075)))</f>
        <v/>
      </c>
      <c r="F1075" s="30" t="str">
        <f aca="false">IF($D1075="","",IFERROR(INDEX(合同项目,MATCH($D1075,合同键,0)),IFERROR(TRIM(MID($D1075,FIND("｜",$D1075)+1,99)),"")))</f>
        <v/>
      </c>
      <c r="G1075" s="39"/>
      <c r="H1075" s="25"/>
      <c r="I1075" s="35" t="str">
        <f aca="false">IF($H1075="","",IFERROR(INDEX(票据归类表,MATCH($H1075,票据类型表,0)),"现金无票"))</f>
        <v/>
      </c>
      <c r="J1075" s="25"/>
      <c r="K1075" s="25"/>
      <c r="L1075" s="31"/>
      <c r="M1075" s="29" t="str">
        <f aca="false">IF($C1075="","",YEAR($C1075))</f>
        <v/>
      </c>
      <c r="N1075" s="24"/>
      <c r="O1075" s="35" t="str">
        <f aca="false">IF($C1075="","",IF($D1075="","★没选客户项目",IF(COUNTIF(合同键,$D1075)=0,"★《维保合同》里没这个项目",IF(N($G1075)&lt;=0,"★收款金额要填",IF($H1075="","★票据类型要选",IF(AND($L1075&lt;&gt;"",COUNTIF(应收单号,$L1075)=0),"★关联的应收单号不存在",IF(AND($L1075&lt;&gt;"",IFERROR(INDEX(应收键,MATCH($L1075,应收单号,0)),"")&lt;&gt;$D1075),"★关联单号不是这个客户的",IF(AND($L1075&lt;&gt;"",ROUND(SUMIF(收款关联,$L1075,收款金额)-IFERROR(INDEX(应收金额,MATCH($L1075,应收单号,0)),0),2)&gt;0.001),"★指定冲销超过那张单的应收","OK"))))))))</f>
        <v/>
      </c>
    </row>
    <row r="1076" customFormat="false" ht="15" hidden="false" customHeight="false" outlineLevel="0" collapsed="false">
      <c r="A1076" s="29" t="str">
        <f aca="false">IF($C1076="","",ROW()-4)</f>
        <v/>
      </c>
      <c r="B1076" s="35" t="str">
        <f aca="false">IF($C1076="","","SK"&amp;TEXT($C1076,"yyyymm")&amp;"-"&amp;TEXT(ROW()-4,"0000"))</f>
        <v/>
      </c>
      <c r="C1076" s="33"/>
      <c r="D1076" s="24"/>
      <c r="E1076" s="30" t="str">
        <f aca="false">IF($D1076="","",IFERROR(INDEX(合同单位,MATCH($D1076,合同键,0)),IFERROR(TRIM(LEFT($D1076,FIND("｜",$D1076)-1)),$D1076)))</f>
        <v/>
      </c>
      <c r="F1076" s="30" t="str">
        <f aca="false">IF($D1076="","",IFERROR(INDEX(合同项目,MATCH($D1076,合同键,0)),IFERROR(TRIM(MID($D1076,FIND("｜",$D1076)+1,99)),"")))</f>
        <v/>
      </c>
      <c r="G1076" s="39"/>
      <c r="H1076" s="25"/>
      <c r="I1076" s="35" t="str">
        <f aca="false">IF($H1076="","",IFERROR(INDEX(票据归类表,MATCH($H1076,票据类型表,0)),"现金无票"))</f>
        <v/>
      </c>
      <c r="J1076" s="25"/>
      <c r="K1076" s="25"/>
      <c r="L1076" s="31"/>
      <c r="M1076" s="29" t="str">
        <f aca="false">IF($C1076="","",YEAR($C1076))</f>
        <v/>
      </c>
      <c r="N1076" s="24"/>
      <c r="O1076" s="35" t="str">
        <f aca="false">IF($C1076="","",IF($D1076="","★没选客户项目",IF(COUNTIF(合同键,$D1076)=0,"★《维保合同》里没这个项目",IF(N($G1076)&lt;=0,"★收款金额要填",IF($H1076="","★票据类型要选",IF(AND($L1076&lt;&gt;"",COUNTIF(应收单号,$L1076)=0),"★关联的应收单号不存在",IF(AND($L1076&lt;&gt;"",IFERROR(INDEX(应收键,MATCH($L1076,应收单号,0)),"")&lt;&gt;$D1076),"★关联单号不是这个客户的",IF(AND($L1076&lt;&gt;"",ROUND(SUMIF(收款关联,$L1076,收款金额)-IFERROR(INDEX(应收金额,MATCH($L1076,应收单号,0)),0),2)&gt;0.001),"★指定冲销超过那张单的应收","OK"))))))))</f>
        <v/>
      </c>
    </row>
    <row r="1077" customFormat="false" ht="15" hidden="false" customHeight="false" outlineLevel="0" collapsed="false">
      <c r="A1077" s="29" t="str">
        <f aca="false">IF($C1077="","",ROW()-4)</f>
        <v/>
      </c>
      <c r="B1077" s="35" t="str">
        <f aca="false">IF($C1077="","","SK"&amp;TEXT($C1077,"yyyymm")&amp;"-"&amp;TEXT(ROW()-4,"0000"))</f>
        <v/>
      </c>
      <c r="C1077" s="33"/>
      <c r="D1077" s="24"/>
      <c r="E1077" s="30" t="str">
        <f aca="false">IF($D1077="","",IFERROR(INDEX(合同单位,MATCH($D1077,合同键,0)),IFERROR(TRIM(LEFT($D1077,FIND("｜",$D1077)-1)),$D1077)))</f>
        <v/>
      </c>
      <c r="F1077" s="30" t="str">
        <f aca="false">IF($D1077="","",IFERROR(INDEX(合同项目,MATCH($D1077,合同键,0)),IFERROR(TRIM(MID($D1077,FIND("｜",$D1077)+1,99)),"")))</f>
        <v/>
      </c>
      <c r="G1077" s="39"/>
      <c r="H1077" s="25"/>
      <c r="I1077" s="35" t="str">
        <f aca="false">IF($H1077="","",IFERROR(INDEX(票据归类表,MATCH($H1077,票据类型表,0)),"现金无票"))</f>
        <v/>
      </c>
      <c r="J1077" s="25"/>
      <c r="K1077" s="25"/>
      <c r="L1077" s="31"/>
      <c r="M1077" s="29" t="str">
        <f aca="false">IF($C1077="","",YEAR($C1077))</f>
        <v/>
      </c>
      <c r="N1077" s="24"/>
      <c r="O1077" s="35" t="str">
        <f aca="false">IF($C1077="","",IF($D1077="","★没选客户项目",IF(COUNTIF(合同键,$D1077)=0,"★《维保合同》里没这个项目",IF(N($G1077)&lt;=0,"★收款金额要填",IF($H1077="","★票据类型要选",IF(AND($L1077&lt;&gt;"",COUNTIF(应收单号,$L1077)=0),"★关联的应收单号不存在",IF(AND($L1077&lt;&gt;"",IFERROR(INDEX(应收键,MATCH($L1077,应收单号,0)),"")&lt;&gt;$D1077),"★关联单号不是这个客户的",IF(AND($L1077&lt;&gt;"",ROUND(SUMIF(收款关联,$L1077,收款金额)-IFERROR(INDEX(应收金额,MATCH($L1077,应收单号,0)),0),2)&gt;0.001),"★指定冲销超过那张单的应收","OK"))))))))</f>
        <v/>
      </c>
    </row>
    <row r="1078" customFormat="false" ht="15" hidden="false" customHeight="false" outlineLevel="0" collapsed="false">
      <c r="A1078" s="29" t="str">
        <f aca="false">IF($C1078="","",ROW()-4)</f>
        <v/>
      </c>
      <c r="B1078" s="35" t="str">
        <f aca="false">IF($C1078="","","SK"&amp;TEXT($C1078,"yyyymm")&amp;"-"&amp;TEXT(ROW()-4,"0000"))</f>
        <v/>
      </c>
      <c r="C1078" s="33"/>
      <c r="D1078" s="24"/>
      <c r="E1078" s="30" t="str">
        <f aca="false">IF($D1078="","",IFERROR(INDEX(合同单位,MATCH($D1078,合同键,0)),IFERROR(TRIM(LEFT($D1078,FIND("｜",$D1078)-1)),$D1078)))</f>
        <v/>
      </c>
      <c r="F1078" s="30" t="str">
        <f aca="false">IF($D1078="","",IFERROR(INDEX(合同项目,MATCH($D1078,合同键,0)),IFERROR(TRIM(MID($D1078,FIND("｜",$D1078)+1,99)),"")))</f>
        <v/>
      </c>
      <c r="G1078" s="39"/>
      <c r="H1078" s="25"/>
      <c r="I1078" s="35" t="str">
        <f aca="false">IF($H1078="","",IFERROR(INDEX(票据归类表,MATCH($H1078,票据类型表,0)),"现金无票"))</f>
        <v/>
      </c>
      <c r="J1078" s="25"/>
      <c r="K1078" s="25"/>
      <c r="L1078" s="31"/>
      <c r="M1078" s="29" t="str">
        <f aca="false">IF($C1078="","",YEAR($C1078))</f>
        <v/>
      </c>
      <c r="N1078" s="24"/>
      <c r="O1078" s="35" t="str">
        <f aca="false">IF($C1078="","",IF($D1078="","★没选客户项目",IF(COUNTIF(合同键,$D1078)=0,"★《维保合同》里没这个项目",IF(N($G1078)&lt;=0,"★收款金额要填",IF($H1078="","★票据类型要选",IF(AND($L1078&lt;&gt;"",COUNTIF(应收单号,$L1078)=0),"★关联的应收单号不存在",IF(AND($L1078&lt;&gt;"",IFERROR(INDEX(应收键,MATCH($L1078,应收单号,0)),"")&lt;&gt;$D1078),"★关联单号不是这个客户的",IF(AND($L1078&lt;&gt;"",ROUND(SUMIF(收款关联,$L1078,收款金额)-IFERROR(INDEX(应收金额,MATCH($L1078,应收单号,0)),0),2)&gt;0.001),"★指定冲销超过那张单的应收","OK"))))))))</f>
        <v/>
      </c>
    </row>
    <row r="1079" customFormat="false" ht="15" hidden="false" customHeight="false" outlineLevel="0" collapsed="false">
      <c r="A1079" s="29" t="str">
        <f aca="false">IF($C1079="","",ROW()-4)</f>
        <v/>
      </c>
      <c r="B1079" s="35" t="str">
        <f aca="false">IF($C1079="","","SK"&amp;TEXT($C1079,"yyyymm")&amp;"-"&amp;TEXT(ROW()-4,"0000"))</f>
        <v/>
      </c>
      <c r="C1079" s="33"/>
      <c r="D1079" s="24"/>
      <c r="E1079" s="30" t="str">
        <f aca="false">IF($D1079="","",IFERROR(INDEX(合同单位,MATCH($D1079,合同键,0)),IFERROR(TRIM(LEFT($D1079,FIND("｜",$D1079)-1)),$D1079)))</f>
        <v/>
      </c>
      <c r="F1079" s="30" t="str">
        <f aca="false">IF($D1079="","",IFERROR(INDEX(合同项目,MATCH($D1079,合同键,0)),IFERROR(TRIM(MID($D1079,FIND("｜",$D1079)+1,99)),"")))</f>
        <v/>
      </c>
      <c r="G1079" s="39"/>
      <c r="H1079" s="25"/>
      <c r="I1079" s="35" t="str">
        <f aca="false">IF($H1079="","",IFERROR(INDEX(票据归类表,MATCH($H1079,票据类型表,0)),"现金无票"))</f>
        <v/>
      </c>
      <c r="J1079" s="25"/>
      <c r="K1079" s="25"/>
      <c r="L1079" s="31"/>
      <c r="M1079" s="29" t="str">
        <f aca="false">IF($C1079="","",YEAR($C1079))</f>
        <v/>
      </c>
      <c r="N1079" s="24"/>
      <c r="O1079" s="35" t="str">
        <f aca="false">IF($C1079="","",IF($D1079="","★没选客户项目",IF(COUNTIF(合同键,$D1079)=0,"★《维保合同》里没这个项目",IF(N($G1079)&lt;=0,"★收款金额要填",IF($H1079="","★票据类型要选",IF(AND($L1079&lt;&gt;"",COUNTIF(应收单号,$L1079)=0),"★关联的应收单号不存在",IF(AND($L1079&lt;&gt;"",IFERROR(INDEX(应收键,MATCH($L1079,应收单号,0)),"")&lt;&gt;$D1079),"★关联单号不是这个客户的",IF(AND($L1079&lt;&gt;"",ROUND(SUMIF(收款关联,$L1079,收款金额)-IFERROR(INDEX(应收金额,MATCH($L1079,应收单号,0)),0),2)&gt;0.001),"★指定冲销超过那张单的应收","OK"))))))))</f>
        <v/>
      </c>
    </row>
    <row r="1080" customFormat="false" ht="15" hidden="false" customHeight="false" outlineLevel="0" collapsed="false">
      <c r="A1080" s="29" t="str">
        <f aca="false">IF($C1080="","",ROW()-4)</f>
        <v/>
      </c>
      <c r="B1080" s="35" t="str">
        <f aca="false">IF($C1080="","","SK"&amp;TEXT($C1080,"yyyymm")&amp;"-"&amp;TEXT(ROW()-4,"0000"))</f>
        <v/>
      </c>
      <c r="C1080" s="33"/>
      <c r="D1080" s="24"/>
      <c r="E1080" s="30" t="str">
        <f aca="false">IF($D1080="","",IFERROR(INDEX(合同单位,MATCH($D1080,合同键,0)),IFERROR(TRIM(LEFT($D1080,FIND("｜",$D1080)-1)),$D1080)))</f>
        <v/>
      </c>
      <c r="F1080" s="30" t="str">
        <f aca="false">IF($D1080="","",IFERROR(INDEX(合同项目,MATCH($D1080,合同键,0)),IFERROR(TRIM(MID($D1080,FIND("｜",$D1080)+1,99)),"")))</f>
        <v/>
      </c>
      <c r="G1080" s="39"/>
      <c r="H1080" s="25"/>
      <c r="I1080" s="35" t="str">
        <f aca="false">IF($H1080="","",IFERROR(INDEX(票据归类表,MATCH($H1080,票据类型表,0)),"现金无票"))</f>
        <v/>
      </c>
      <c r="J1080" s="25"/>
      <c r="K1080" s="25"/>
      <c r="L1080" s="31"/>
      <c r="M1080" s="29" t="str">
        <f aca="false">IF($C1080="","",YEAR($C1080))</f>
        <v/>
      </c>
      <c r="N1080" s="24"/>
      <c r="O1080" s="35" t="str">
        <f aca="false">IF($C1080="","",IF($D1080="","★没选客户项目",IF(COUNTIF(合同键,$D1080)=0,"★《维保合同》里没这个项目",IF(N($G1080)&lt;=0,"★收款金额要填",IF($H1080="","★票据类型要选",IF(AND($L1080&lt;&gt;"",COUNTIF(应收单号,$L1080)=0),"★关联的应收单号不存在",IF(AND($L1080&lt;&gt;"",IFERROR(INDEX(应收键,MATCH($L1080,应收单号,0)),"")&lt;&gt;$D1080),"★关联单号不是这个客户的",IF(AND($L1080&lt;&gt;"",ROUND(SUMIF(收款关联,$L1080,收款金额)-IFERROR(INDEX(应收金额,MATCH($L1080,应收单号,0)),0),2)&gt;0.001),"★指定冲销超过那张单的应收","OK"))))))))</f>
        <v/>
      </c>
    </row>
    <row r="1081" customFormat="false" ht="15" hidden="false" customHeight="false" outlineLevel="0" collapsed="false">
      <c r="A1081" s="29" t="str">
        <f aca="false">IF($C1081="","",ROW()-4)</f>
        <v/>
      </c>
      <c r="B1081" s="35" t="str">
        <f aca="false">IF($C1081="","","SK"&amp;TEXT($C1081,"yyyymm")&amp;"-"&amp;TEXT(ROW()-4,"0000"))</f>
        <v/>
      </c>
      <c r="C1081" s="33"/>
      <c r="D1081" s="24"/>
      <c r="E1081" s="30" t="str">
        <f aca="false">IF($D1081="","",IFERROR(INDEX(合同单位,MATCH($D1081,合同键,0)),IFERROR(TRIM(LEFT($D1081,FIND("｜",$D1081)-1)),$D1081)))</f>
        <v/>
      </c>
      <c r="F1081" s="30" t="str">
        <f aca="false">IF($D1081="","",IFERROR(INDEX(合同项目,MATCH($D1081,合同键,0)),IFERROR(TRIM(MID($D1081,FIND("｜",$D1081)+1,99)),"")))</f>
        <v/>
      </c>
      <c r="G1081" s="39"/>
      <c r="H1081" s="25"/>
      <c r="I1081" s="35" t="str">
        <f aca="false">IF($H1081="","",IFERROR(INDEX(票据归类表,MATCH($H1081,票据类型表,0)),"现金无票"))</f>
        <v/>
      </c>
      <c r="J1081" s="25"/>
      <c r="K1081" s="25"/>
      <c r="L1081" s="31"/>
      <c r="M1081" s="29" t="str">
        <f aca="false">IF($C1081="","",YEAR($C1081))</f>
        <v/>
      </c>
      <c r="N1081" s="24"/>
      <c r="O1081" s="35" t="str">
        <f aca="false">IF($C1081="","",IF($D1081="","★没选客户项目",IF(COUNTIF(合同键,$D1081)=0,"★《维保合同》里没这个项目",IF(N($G1081)&lt;=0,"★收款金额要填",IF($H1081="","★票据类型要选",IF(AND($L1081&lt;&gt;"",COUNTIF(应收单号,$L1081)=0),"★关联的应收单号不存在",IF(AND($L1081&lt;&gt;"",IFERROR(INDEX(应收键,MATCH($L1081,应收单号,0)),"")&lt;&gt;$D1081),"★关联单号不是这个客户的",IF(AND($L1081&lt;&gt;"",ROUND(SUMIF(收款关联,$L1081,收款金额)-IFERROR(INDEX(应收金额,MATCH($L1081,应收单号,0)),0),2)&gt;0.001),"★指定冲销超过那张单的应收","OK"))))))))</f>
        <v/>
      </c>
    </row>
    <row r="1082" customFormat="false" ht="15" hidden="false" customHeight="false" outlineLevel="0" collapsed="false">
      <c r="A1082" s="29" t="str">
        <f aca="false">IF($C1082="","",ROW()-4)</f>
        <v/>
      </c>
      <c r="B1082" s="35" t="str">
        <f aca="false">IF($C1082="","","SK"&amp;TEXT($C1082,"yyyymm")&amp;"-"&amp;TEXT(ROW()-4,"0000"))</f>
        <v/>
      </c>
      <c r="C1082" s="33"/>
      <c r="D1082" s="24"/>
      <c r="E1082" s="30" t="str">
        <f aca="false">IF($D1082="","",IFERROR(INDEX(合同单位,MATCH($D1082,合同键,0)),IFERROR(TRIM(LEFT($D1082,FIND("｜",$D1082)-1)),$D1082)))</f>
        <v/>
      </c>
      <c r="F1082" s="30" t="str">
        <f aca="false">IF($D1082="","",IFERROR(INDEX(合同项目,MATCH($D1082,合同键,0)),IFERROR(TRIM(MID($D1082,FIND("｜",$D1082)+1,99)),"")))</f>
        <v/>
      </c>
      <c r="G1082" s="39"/>
      <c r="H1082" s="25"/>
      <c r="I1082" s="35" t="str">
        <f aca="false">IF($H1082="","",IFERROR(INDEX(票据归类表,MATCH($H1082,票据类型表,0)),"现金无票"))</f>
        <v/>
      </c>
      <c r="J1082" s="25"/>
      <c r="K1082" s="25"/>
      <c r="L1082" s="31"/>
      <c r="M1082" s="29" t="str">
        <f aca="false">IF($C1082="","",YEAR($C1082))</f>
        <v/>
      </c>
      <c r="N1082" s="24"/>
      <c r="O1082" s="35" t="str">
        <f aca="false">IF($C1082="","",IF($D1082="","★没选客户项目",IF(COUNTIF(合同键,$D1082)=0,"★《维保合同》里没这个项目",IF(N($G1082)&lt;=0,"★收款金额要填",IF($H1082="","★票据类型要选",IF(AND($L1082&lt;&gt;"",COUNTIF(应收单号,$L1082)=0),"★关联的应收单号不存在",IF(AND($L1082&lt;&gt;"",IFERROR(INDEX(应收键,MATCH($L1082,应收单号,0)),"")&lt;&gt;$D1082),"★关联单号不是这个客户的",IF(AND($L1082&lt;&gt;"",ROUND(SUMIF(收款关联,$L1082,收款金额)-IFERROR(INDEX(应收金额,MATCH($L1082,应收单号,0)),0),2)&gt;0.001),"★指定冲销超过那张单的应收","OK"))))))))</f>
        <v/>
      </c>
    </row>
    <row r="1083" customFormat="false" ht="15" hidden="false" customHeight="false" outlineLevel="0" collapsed="false">
      <c r="A1083" s="29" t="str">
        <f aca="false">IF($C1083="","",ROW()-4)</f>
        <v/>
      </c>
      <c r="B1083" s="35" t="str">
        <f aca="false">IF($C1083="","","SK"&amp;TEXT($C1083,"yyyymm")&amp;"-"&amp;TEXT(ROW()-4,"0000"))</f>
        <v/>
      </c>
      <c r="C1083" s="33"/>
      <c r="D1083" s="24"/>
      <c r="E1083" s="30" t="str">
        <f aca="false">IF($D1083="","",IFERROR(INDEX(合同单位,MATCH($D1083,合同键,0)),IFERROR(TRIM(LEFT($D1083,FIND("｜",$D1083)-1)),$D1083)))</f>
        <v/>
      </c>
      <c r="F1083" s="30" t="str">
        <f aca="false">IF($D1083="","",IFERROR(INDEX(合同项目,MATCH($D1083,合同键,0)),IFERROR(TRIM(MID($D1083,FIND("｜",$D1083)+1,99)),"")))</f>
        <v/>
      </c>
      <c r="G1083" s="39"/>
      <c r="H1083" s="25"/>
      <c r="I1083" s="35" t="str">
        <f aca="false">IF($H1083="","",IFERROR(INDEX(票据归类表,MATCH($H1083,票据类型表,0)),"现金无票"))</f>
        <v/>
      </c>
      <c r="J1083" s="25"/>
      <c r="K1083" s="25"/>
      <c r="L1083" s="31"/>
      <c r="M1083" s="29" t="str">
        <f aca="false">IF($C1083="","",YEAR($C1083))</f>
        <v/>
      </c>
      <c r="N1083" s="24"/>
      <c r="O1083" s="35" t="str">
        <f aca="false">IF($C1083="","",IF($D1083="","★没选客户项目",IF(COUNTIF(合同键,$D1083)=0,"★《维保合同》里没这个项目",IF(N($G1083)&lt;=0,"★收款金额要填",IF($H1083="","★票据类型要选",IF(AND($L1083&lt;&gt;"",COUNTIF(应收单号,$L1083)=0),"★关联的应收单号不存在",IF(AND($L1083&lt;&gt;"",IFERROR(INDEX(应收键,MATCH($L1083,应收单号,0)),"")&lt;&gt;$D1083),"★关联单号不是这个客户的",IF(AND($L1083&lt;&gt;"",ROUND(SUMIF(收款关联,$L1083,收款金额)-IFERROR(INDEX(应收金额,MATCH($L1083,应收单号,0)),0),2)&gt;0.001),"★指定冲销超过那张单的应收","OK"))))))))</f>
        <v/>
      </c>
    </row>
    <row r="1084" customFormat="false" ht="15" hidden="false" customHeight="false" outlineLevel="0" collapsed="false">
      <c r="A1084" s="29" t="str">
        <f aca="false">IF($C1084="","",ROW()-4)</f>
        <v/>
      </c>
      <c r="B1084" s="35" t="str">
        <f aca="false">IF($C1084="","","SK"&amp;TEXT($C1084,"yyyymm")&amp;"-"&amp;TEXT(ROW()-4,"0000"))</f>
        <v/>
      </c>
      <c r="C1084" s="33"/>
      <c r="D1084" s="24"/>
      <c r="E1084" s="30" t="str">
        <f aca="false">IF($D1084="","",IFERROR(INDEX(合同单位,MATCH($D1084,合同键,0)),IFERROR(TRIM(LEFT($D1084,FIND("｜",$D1084)-1)),$D1084)))</f>
        <v/>
      </c>
      <c r="F1084" s="30" t="str">
        <f aca="false">IF($D1084="","",IFERROR(INDEX(合同项目,MATCH($D1084,合同键,0)),IFERROR(TRIM(MID($D1084,FIND("｜",$D1084)+1,99)),"")))</f>
        <v/>
      </c>
      <c r="G1084" s="39"/>
      <c r="H1084" s="25"/>
      <c r="I1084" s="35" t="str">
        <f aca="false">IF($H1084="","",IFERROR(INDEX(票据归类表,MATCH($H1084,票据类型表,0)),"现金无票"))</f>
        <v/>
      </c>
      <c r="J1084" s="25"/>
      <c r="K1084" s="25"/>
      <c r="L1084" s="31"/>
      <c r="M1084" s="29" t="str">
        <f aca="false">IF($C1084="","",YEAR($C1084))</f>
        <v/>
      </c>
      <c r="N1084" s="24"/>
      <c r="O1084" s="35" t="str">
        <f aca="false">IF($C1084="","",IF($D1084="","★没选客户项目",IF(COUNTIF(合同键,$D1084)=0,"★《维保合同》里没这个项目",IF(N($G1084)&lt;=0,"★收款金额要填",IF($H1084="","★票据类型要选",IF(AND($L1084&lt;&gt;"",COUNTIF(应收单号,$L1084)=0),"★关联的应收单号不存在",IF(AND($L1084&lt;&gt;"",IFERROR(INDEX(应收键,MATCH($L1084,应收单号,0)),"")&lt;&gt;$D1084),"★关联单号不是这个客户的",IF(AND($L1084&lt;&gt;"",ROUND(SUMIF(收款关联,$L1084,收款金额)-IFERROR(INDEX(应收金额,MATCH($L1084,应收单号,0)),0),2)&gt;0.001),"★指定冲销超过那张单的应收","OK"))))))))</f>
        <v/>
      </c>
    </row>
    <row r="1085" customFormat="false" ht="15" hidden="false" customHeight="false" outlineLevel="0" collapsed="false">
      <c r="A1085" s="29" t="str">
        <f aca="false">IF($C1085="","",ROW()-4)</f>
        <v/>
      </c>
      <c r="B1085" s="35" t="str">
        <f aca="false">IF($C1085="","","SK"&amp;TEXT($C1085,"yyyymm")&amp;"-"&amp;TEXT(ROW()-4,"0000"))</f>
        <v/>
      </c>
      <c r="C1085" s="33"/>
      <c r="D1085" s="24"/>
      <c r="E1085" s="30" t="str">
        <f aca="false">IF($D1085="","",IFERROR(INDEX(合同单位,MATCH($D1085,合同键,0)),IFERROR(TRIM(LEFT($D1085,FIND("｜",$D1085)-1)),$D1085)))</f>
        <v/>
      </c>
      <c r="F1085" s="30" t="str">
        <f aca="false">IF($D1085="","",IFERROR(INDEX(合同项目,MATCH($D1085,合同键,0)),IFERROR(TRIM(MID($D1085,FIND("｜",$D1085)+1,99)),"")))</f>
        <v/>
      </c>
      <c r="G1085" s="39"/>
      <c r="H1085" s="25"/>
      <c r="I1085" s="35" t="str">
        <f aca="false">IF($H1085="","",IFERROR(INDEX(票据归类表,MATCH($H1085,票据类型表,0)),"现金无票"))</f>
        <v/>
      </c>
      <c r="J1085" s="25"/>
      <c r="K1085" s="25"/>
      <c r="L1085" s="31"/>
      <c r="M1085" s="29" t="str">
        <f aca="false">IF($C1085="","",YEAR($C1085))</f>
        <v/>
      </c>
      <c r="N1085" s="24"/>
      <c r="O1085" s="35" t="str">
        <f aca="false">IF($C1085="","",IF($D1085="","★没选客户项目",IF(COUNTIF(合同键,$D1085)=0,"★《维保合同》里没这个项目",IF(N($G1085)&lt;=0,"★收款金额要填",IF($H1085="","★票据类型要选",IF(AND($L1085&lt;&gt;"",COUNTIF(应收单号,$L1085)=0),"★关联的应收单号不存在",IF(AND($L1085&lt;&gt;"",IFERROR(INDEX(应收键,MATCH($L1085,应收单号,0)),"")&lt;&gt;$D1085),"★关联单号不是这个客户的",IF(AND($L1085&lt;&gt;"",ROUND(SUMIF(收款关联,$L1085,收款金额)-IFERROR(INDEX(应收金额,MATCH($L1085,应收单号,0)),0),2)&gt;0.001),"★指定冲销超过那张单的应收","OK"))))))))</f>
        <v/>
      </c>
    </row>
    <row r="1086" customFormat="false" ht="15" hidden="false" customHeight="false" outlineLevel="0" collapsed="false">
      <c r="A1086" s="29" t="str">
        <f aca="false">IF($C1086="","",ROW()-4)</f>
        <v/>
      </c>
      <c r="B1086" s="35" t="str">
        <f aca="false">IF($C1086="","","SK"&amp;TEXT($C1086,"yyyymm")&amp;"-"&amp;TEXT(ROW()-4,"0000"))</f>
        <v/>
      </c>
      <c r="C1086" s="33"/>
      <c r="D1086" s="24"/>
      <c r="E1086" s="30" t="str">
        <f aca="false">IF($D1086="","",IFERROR(INDEX(合同单位,MATCH($D1086,合同键,0)),IFERROR(TRIM(LEFT($D1086,FIND("｜",$D1086)-1)),$D1086)))</f>
        <v/>
      </c>
      <c r="F1086" s="30" t="str">
        <f aca="false">IF($D1086="","",IFERROR(INDEX(合同项目,MATCH($D1086,合同键,0)),IFERROR(TRIM(MID($D1086,FIND("｜",$D1086)+1,99)),"")))</f>
        <v/>
      </c>
      <c r="G1086" s="39"/>
      <c r="H1086" s="25"/>
      <c r="I1086" s="35" t="str">
        <f aca="false">IF($H1086="","",IFERROR(INDEX(票据归类表,MATCH($H1086,票据类型表,0)),"现金无票"))</f>
        <v/>
      </c>
      <c r="J1086" s="25"/>
      <c r="K1086" s="25"/>
      <c r="L1086" s="31"/>
      <c r="M1086" s="29" t="str">
        <f aca="false">IF($C1086="","",YEAR($C1086))</f>
        <v/>
      </c>
      <c r="N1086" s="24"/>
      <c r="O1086" s="35" t="str">
        <f aca="false">IF($C1086="","",IF($D1086="","★没选客户项目",IF(COUNTIF(合同键,$D1086)=0,"★《维保合同》里没这个项目",IF(N($G1086)&lt;=0,"★收款金额要填",IF($H1086="","★票据类型要选",IF(AND($L1086&lt;&gt;"",COUNTIF(应收单号,$L1086)=0),"★关联的应收单号不存在",IF(AND($L1086&lt;&gt;"",IFERROR(INDEX(应收键,MATCH($L1086,应收单号,0)),"")&lt;&gt;$D1086),"★关联单号不是这个客户的",IF(AND($L1086&lt;&gt;"",ROUND(SUMIF(收款关联,$L1086,收款金额)-IFERROR(INDEX(应收金额,MATCH($L1086,应收单号,0)),0),2)&gt;0.001),"★指定冲销超过那张单的应收","OK"))))))))</f>
        <v/>
      </c>
    </row>
    <row r="1087" customFormat="false" ht="15" hidden="false" customHeight="false" outlineLevel="0" collapsed="false">
      <c r="A1087" s="29" t="str">
        <f aca="false">IF($C1087="","",ROW()-4)</f>
        <v/>
      </c>
      <c r="B1087" s="35" t="str">
        <f aca="false">IF($C1087="","","SK"&amp;TEXT($C1087,"yyyymm")&amp;"-"&amp;TEXT(ROW()-4,"0000"))</f>
        <v/>
      </c>
      <c r="C1087" s="33"/>
      <c r="D1087" s="24"/>
      <c r="E1087" s="30" t="str">
        <f aca="false">IF($D1087="","",IFERROR(INDEX(合同单位,MATCH($D1087,合同键,0)),IFERROR(TRIM(LEFT($D1087,FIND("｜",$D1087)-1)),$D1087)))</f>
        <v/>
      </c>
      <c r="F1087" s="30" t="str">
        <f aca="false">IF($D1087="","",IFERROR(INDEX(合同项目,MATCH($D1087,合同键,0)),IFERROR(TRIM(MID($D1087,FIND("｜",$D1087)+1,99)),"")))</f>
        <v/>
      </c>
      <c r="G1087" s="39"/>
      <c r="H1087" s="25"/>
      <c r="I1087" s="35" t="str">
        <f aca="false">IF($H1087="","",IFERROR(INDEX(票据归类表,MATCH($H1087,票据类型表,0)),"现金无票"))</f>
        <v/>
      </c>
      <c r="J1087" s="25"/>
      <c r="K1087" s="25"/>
      <c r="L1087" s="31"/>
      <c r="M1087" s="29" t="str">
        <f aca="false">IF($C1087="","",YEAR($C1087))</f>
        <v/>
      </c>
      <c r="N1087" s="24"/>
      <c r="O1087" s="35" t="str">
        <f aca="false">IF($C1087="","",IF($D1087="","★没选客户项目",IF(COUNTIF(合同键,$D1087)=0,"★《维保合同》里没这个项目",IF(N($G1087)&lt;=0,"★收款金额要填",IF($H1087="","★票据类型要选",IF(AND($L1087&lt;&gt;"",COUNTIF(应收单号,$L1087)=0),"★关联的应收单号不存在",IF(AND($L1087&lt;&gt;"",IFERROR(INDEX(应收键,MATCH($L1087,应收单号,0)),"")&lt;&gt;$D1087),"★关联单号不是这个客户的",IF(AND($L1087&lt;&gt;"",ROUND(SUMIF(收款关联,$L1087,收款金额)-IFERROR(INDEX(应收金额,MATCH($L1087,应收单号,0)),0),2)&gt;0.001),"★指定冲销超过那张单的应收","OK"))))))))</f>
        <v/>
      </c>
    </row>
    <row r="1088" customFormat="false" ht="15" hidden="false" customHeight="false" outlineLevel="0" collapsed="false">
      <c r="A1088" s="29" t="str">
        <f aca="false">IF($C1088="","",ROW()-4)</f>
        <v/>
      </c>
      <c r="B1088" s="35" t="str">
        <f aca="false">IF($C1088="","","SK"&amp;TEXT($C1088,"yyyymm")&amp;"-"&amp;TEXT(ROW()-4,"0000"))</f>
        <v/>
      </c>
      <c r="C1088" s="33"/>
      <c r="D1088" s="24"/>
      <c r="E1088" s="30" t="str">
        <f aca="false">IF($D1088="","",IFERROR(INDEX(合同单位,MATCH($D1088,合同键,0)),IFERROR(TRIM(LEFT($D1088,FIND("｜",$D1088)-1)),$D1088)))</f>
        <v/>
      </c>
      <c r="F1088" s="30" t="str">
        <f aca="false">IF($D1088="","",IFERROR(INDEX(合同项目,MATCH($D1088,合同键,0)),IFERROR(TRIM(MID($D1088,FIND("｜",$D1088)+1,99)),"")))</f>
        <v/>
      </c>
      <c r="G1088" s="39"/>
      <c r="H1088" s="25"/>
      <c r="I1088" s="35" t="str">
        <f aca="false">IF($H1088="","",IFERROR(INDEX(票据归类表,MATCH($H1088,票据类型表,0)),"现金无票"))</f>
        <v/>
      </c>
      <c r="J1088" s="25"/>
      <c r="K1088" s="25"/>
      <c r="L1088" s="31"/>
      <c r="M1088" s="29" t="str">
        <f aca="false">IF($C1088="","",YEAR($C1088))</f>
        <v/>
      </c>
      <c r="N1088" s="24"/>
      <c r="O1088" s="35" t="str">
        <f aca="false">IF($C1088="","",IF($D1088="","★没选客户项目",IF(COUNTIF(合同键,$D1088)=0,"★《维保合同》里没这个项目",IF(N($G1088)&lt;=0,"★收款金额要填",IF($H1088="","★票据类型要选",IF(AND($L1088&lt;&gt;"",COUNTIF(应收单号,$L1088)=0),"★关联的应收单号不存在",IF(AND($L1088&lt;&gt;"",IFERROR(INDEX(应收键,MATCH($L1088,应收单号,0)),"")&lt;&gt;$D1088),"★关联单号不是这个客户的",IF(AND($L1088&lt;&gt;"",ROUND(SUMIF(收款关联,$L1088,收款金额)-IFERROR(INDEX(应收金额,MATCH($L1088,应收单号,0)),0),2)&gt;0.001),"★指定冲销超过那张单的应收","OK"))))))))</f>
        <v/>
      </c>
    </row>
    <row r="1089" customFormat="false" ht="15" hidden="false" customHeight="false" outlineLevel="0" collapsed="false">
      <c r="A1089" s="29" t="str">
        <f aca="false">IF($C1089="","",ROW()-4)</f>
        <v/>
      </c>
      <c r="B1089" s="35" t="str">
        <f aca="false">IF($C1089="","","SK"&amp;TEXT($C1089,"yyyymm")&amp;"-"&amp;TEXT(ROW()-4,"0000"))</f>
        <v/>
      </c>
      <c r="C1089" s="33"/>
      <c r="D1089" s="24"/>
      <c r="E1089" s="30" t="str">
        <f aca="false">IF($D1089="","",IFERROR(INDEX(合同单位,MATCH($D1089,合同键,0)),IFERROR(TRIM(LEFT($D1089,FIND("｜",$D1089)-1)),$D1089)))</f>
        <v/>
      </c>
      <c r="F1089" s="30" t="str">
        <f aca="false">IF($D1089="","",IFERROR(INDEX(合同项目,MATCH($D1089,合同键,0)),IFERROR(TRIM(MID($D1089,FIND("｜",$D1089)+1,99)),"")))</f>
        <v/>
      </c>
      <c r="G1089" s="39"/>
      <c r="H1089" s="25"/>
      <c r="I1089" s="35" t="str">
        <f aca="false">IF($H1089="","",IFERROR(INDEX(票据归类表,MATCH($H1089,票据类型表,0)),"现金无票"))</f>
        <v/>
      </c>
      <c r="J1089" s="25"/>
      <c r="K1089" s="25"/>
      <c r="L1089" s="31"/>
      <c r="M1089" s="29" t="str">
        <f aca="false">IF($C1089="","",YEAR($C1089))</f>
        <v/>
      </c>
      <c r="N1089" s="24"/>
      <c r="O1089" s="35" t="str">
        <f aca="false">IF($C1089="","",IF($D1089="","★没选客户项目",IF(COUNTIF(合同键,$D1089)=0,"★《维保合同》里没这个项目",IF(N($G1089)&lt;=0,"★收款金额要填",IF($H1089="","★票据类型要选",IF(AND($L1089&lt;&gt;"",COUNTIF(应收单号,$L1089)=0),"★关联的应收单号不存在",IF(AND($L1089&lt;&gt;"",IFERROR(INDEX(应收键,MATCH($L1089,应收单号,0)),"")&lt;&gt;$D1089),"★关联单号不是这个客户的",IF(AND($L1089&lt;&gt;"",ROUND(SUMIF(收款关联,$L1089,收款金额)-IFERROR(INDEX(应收金额,MATCH($L1089,应收单号,0)),0),2)&gt;0.001),"★指定冲销超过那张单的应收","OK"))))))))</f>
        <v/>
      </c>
    </row>
    <row r="1090" customFormat="false" ht="15" hidden="false" customHeight="false" outlineLevel="0" collapsed="false">
      <c r="A1090" s="29" t="str">
        <f aca="false">IF($C1090="","",ROW()-4)</f>
        <v/>
      </c>
      <c r="B1090" s="35" t="str">
        <f aca="false">IF($C1090="","","SK"&amp;TEXT($C1090,"yyyymm")&amp;"-"&amp;TEXT(ROW()-4,"0000"))</f>
        <v/>
      </c>
      <c r="C1090" s="33"/>
      <c r="D1090" s="24"/>
      <c r="E1090" s="30" t="str">
        <f aca="false">IF($D1090="","",IFERROR(INDEX(合同单位,MATCH($D1090,合同键,0)),IFERROR(TRIM(LEFT($D1090,FIND("｜",$D1090)-1)),$D1090)))</f>
        <v/>
      </c>
      <c r="F1090" s="30" t="str">
        <f aca="false">IF($D1090="","",IFERROR(INDEX(合同项目,MATCH($D1090,合同键,0)),IFERROR(TRIM(MID($D1090,FIND("｜",$D1090)+1,99)),"")))</f>
        <v/>
      </c>
      <c r="G1090" s="39"/>
      <c r="H1090" s="25"/>
      <c r="I1090" s="35" t="str">
        <f aca="false">IF($H1090="","",IFERROR(INDEX(票据归类表,MATCH($H1090,票据类型表,0)),"现金无票"))</f>
        <v/>
      </c>
      <c r="J1090" s="25"/>
      <c r="K1090" s="25"/>
      <c r="L1090" s="31"/>
      <c r="M1090" s="29" t="str">
        <f aca="false">IF($C1090="","",YEAR($C1090))</f>
        <v/>
      </c>
      <c r="N1090" s="24"/>
      <c r="O1090" s="35" t="str">
        <f aca="false">IF($C1090="","",IF($D1090="","★没选客户项目",IF(COUNTIF(合同键,$D1090)=0,"★《维保合同》里没这个项目",IF(N($G1090)&lt;=0,"★收款金额要填",IF($H1090="","★票据类型要选",IF(AND($L1090&lt;&gt;"",COUNTIF(应收单号,$L1090)=0),"★关联的应收单号不存在",IF(AND($L1090&lt;&gt;"",IFERROR(INDEX(应收键,MATCH($L1090,应收单号,0)),"")&lt;&gt;$D1090),"★关联单号不是这个客户的",IF(AND($L1090&lt;&gt;"",ROUND(SUMIF(收款关联,$L1090,收款金额)-IFERROR(INDEX(应收金额,MATCH($L1090,应收单号,0)),0),2)&gt;0.001),"★指定冲销超过那张单的应收","OK"))))))))</f>
        <v/>
      </c>
    </row>
    <row r="1091" customFormat="false" ht="15" hidden="false" customHeight="false" outlineLevel="0" collapsed="false">
      <c r="A1091" s="29" t="str">
        <f aca="false">IF($C1091="","",ROW()-4)</f>
        <v/>
      </c>
      <c r="B1091" s="35" t="str">
        <f aca="false">IF($C1091="","","SK"&amp;TEXT($C1091,"yyyymm")&amp;"-"&amp;TEXT(ROW()-4,"0000"))</f>
        <v/>
      </c>
      <c r="C1091" s="33"/>
      <c r="D1091" s="24"/>
      <c r="E1091" s="30" t="str">
        <f aca="false">IF($D1091="","",IFERROR(INDEX(合同单位,MATCH($D1091,合同键,0)),IFERROR(TRIM(LEFT($D1091,FIND("｜",$D1091)-1)),$D1091)))</f>
        <v/>
      </c>
      <c r="F1091" s="30" t="str">
        <f aca="false">IF($D1091="","",IFERROR(INDEX(合同项目,MATCH($D1091,合同键,0)),IFERROR(TRIM(MID($D1091,FIND("｜",$D1091)+1,99)),"")))</f>
        <v/>
      </c>
      <c r="G1091" s="39"/>
      <c r="H1091" s="25"/>
      <c r="I1091" s="35" t="str">
        <f aca="false">IF($H1091="","",IFERROR(INDEX(票据归类表,MATCH($H1091,票据类型表,0)),"现金无票"))</f>
        <v/>
      </c>
      <c r="J1091" s="25"/>
      <c r="K1091" s="25"/>
      <c r="L1091" s="31"/>
      <c r="M1091" s="29" t="str">
        <f aca="false">IF($C1091="","",YEAR($C1091))</f>
        <v/>
      </c>
      <c r="N1091" s="24"/>
      <c r="O1091" s="35" t="str">
        <f aca="false">IF($C1091="","",IF($D1091="","★没选客户项目",IF(COUNTIF(合同键,$D1091)=0,"★《维保合同》里没这个项目",IF(N($G1091)&lt;=0,"★收款金额要填",IF($H1091="","★票据类型要选",IF(AND($L1091&lt;&gt;"",COUNTIF(应收单号,$L1091)=0),"★关联的应收单号不存在",IF(AND($L1091&lt;&gt;"",IFERROR(INDEX(应收键,MATCH($L1091,应收单号,0)),"")&lt;&gt;$D1091),"★关联单号不是这个客户的",IF(AND($L1091&lt;&gt;"",ROUND(SUMIF(收款关联,$L1091,收款金额)-IFERROR(INDEX(应收金额,MATCH($L1091,应收单号,0)),0),2)&gt;0.001),"★指定冲销超过那张单的应收","OK"))))))))</f>
        <v/>
      </c>
    </row>
    <row r="1092" customFormat="false" ht="15" hidden="false" customHeight="false" outlineLevel="0" collapsed="false">
      <c r="A1092" s="29" t="str">
        <f aca="false">IF($C1092="","",ROW()-4)</f>
        <v/>
      </c>
      <c r="B1092" s="35" t="str">
        <f aca="false">IF($C1092="","","SK"&amp;TEXT($C1092,"yyyymm")&amp;"-"&amp;TEXT(ROW()-4,"0000"))</f>
        <v/>
      </c>
      <c r="C1092" s="33"/>
      <c r="D1092" s="24"/>
      <c r="E1092" s="30" t="str">
        <f aca="false">IF($D1092="","",IFERROR(INDEX(合同单位,MATCH($D1092,合同键,0)),IFERROR(TRIM(LEFT($D1092,FIND("｜",$D1092)-1)),$D1092)))</f>
        <v/>
      </c>
      <c r="F1092" s="30" t="str">
        <f aca="false">IF($D1092="","",IFERROR(INDEX(合同项目,MATCH($D1092,合同键,0)),IFERROR(TRIM(MID($D1092,FIND("｜",$D1092)+1,99)),"")))</f>
        <v/>
      </c>
      <c r="G1092" s="39"/>
      <c r="H1092" s="25"/>
      <c r="I1092" s="35" t="str">
        <f aca="false">IF($H1092="","",IFERROR(INDEX(票据归类表,MATCH($H1092,票据类型表,0)),"现金无票"))</f>
        <v/>
      </c>
      <c r="J1092" s="25"/>
      <c r="K1092" s="25"/>
      <c r="L1092" s="31"/>
      <c r="M1092" s="29" t="str">
        <f aca="false">IF($C1092="","",YEAR($C1092))</f>
        <v/>
      </c>
      <c r="N1092" s="24"/>
      <c r="O1092" s="35" t="str">
        <f aca="false">IF($C1092="","",IF($D1092="","★没选客户项目",IF(COUNTIF(合同键,$D1092)=0,"★《维保合同》里没这个项目",IF(N($G1092)&lt;=0,"★收款金额要填",IF($H1092="","★票据类型要选",IF(AND($L1092&lt;&gt;"",COUNTIF(应收单号,$L1092)=0),"★关联的应收单号不存在",IF(AND($L1092&lt;&gt;"",IFERROR(INDEX(应收键,MATCH($L1092,应收单号,0)),"")&lt;&gt;$D1092),"★关联单号不是这个客户的",IF(AND($L1092&lt;&gt;"",ROUND(SUMIF(收款关联,$L1092,收款金额)-IFERROR(INDEX(应收金额,MATCH($L1092,应收单号,0)),0),2)&gt;0.001),"★指定冲销超过那张单的应收","OK"))))))))</f>
        <v/>
      </c>
    </row>
    <row r="1093" customFormat="false" ht="15" hidden="false" customHeight="false" outlineLevel="0" collapsed="false">
      <c r="A1093" s="29" t="str">
        <f aca="false">IF($C1093="","",ROW()-4)</f>
        <v/>
      </c>
      <c r="B1093" s="35" t="str">
        <f aca="false">IF($C1093="","","SK"&amp;TEXT($C1093,"yyyymm")&amp;"-"&amp;TEXT(ROW()-4,"0000"))</f>
        <v/>
      </c>
      <c r="C1093" s="33"/>
      <c r="D1093" s="24"/>
      <c r="E1093" s="30" t="str">
        <f aca="false">IF($D1093="","",IFERROR(INDEX(合同单位,MATCH($D1093,合同键,0)),IFERROR(TRIM(LEFT($D1093,FIND("｜",$D1093)-1)),$D1093)))</f>
        <v/>
      </c>
      <c r="F1093" s="30" t="str">
        <f aca="false">IF($D1093="","",IFERROR(INDEX(合同项目,MATCH($D1093,合同键,0)),IFERROR(TRIM(MID($D1093,FIND("｜",$D1093)+1,99)),"")))</f>
        <v/>
      </c>
      <c r="G1093" s="39"/>
      <c r="H1093" s="25"/>
      <c r="I1093" s="35" t="str">
        <f aca="false">IF($H1093="","",IFERROR(INDEX(票据归类表,MATCH($H1093,票据类型表,0)),"现金无票"))</f>
        <v/>
      </c>
      <c r="J1093" s="25"/>
      <c r="K1093" s="25"/>
      <c r="L1093" s="31"/>
      <c r="M1093" s="29" t="str">
        <f aca="false">IF($C1093="","",YEAR($C1093))</f>
        <v/>
      </c>
      <c r="N1093" s="24"/>
      <c r="O1093" s="35" t="str">
        <f aca="false">IF($C1093="","",IF($D1093="","★没选客户项目",IF(COUNTIF(合同键,$D1093)=0,"★《维保合同》里没这个项目",IF(N($G1093)&lt;=0,"★收款金额要填",IF($H1093="","★票据类型要选",IF(AND($L1093&lt;&gt;"",COUNTIF(应收单号,$L1093)=0),"★关联的应收单号不存在",IF(AND($L1093&lt;&gt;"",IFERROR(INDEX(应收键,MATCH($L1093,应收单号,0)),"")&lt;&gt;$D1093),"★关联单号不是这个客户的",IF(AND($L1093&lt;&gt;"",ROUND(SUMIF(收款关联,$L1093,收款金额)-IFERROR(INDEX(应收金额,MATCH($L1093,应收单号,0)),0),2)&gt;0.001),"★指定冲销超过那张单的应收","OK"))))))))</f>
        <v/>
      </c>
    </row>
    <row r="1094" customFormat="false" ht="15" hidden="false" customHeight="false" outlineLevel="0" collapsed="false">
      <c r="A1094" s="29" t="str">
        <f aca="false">IF($C1094="","",ROW()-4)</f>
        <v/>
      </c>
      <c r="B1094" s="35" t="str">
        <f aca="false">IF($C1094="","","SK"&amp;TEXT($C1094,"yyyymm")&amp;"-"&amp;TEXT(ROW()-4,"0000"))</f>
        <v/>
      </c>
      <c r="C1094" s="33"/>
      <c r="D1094" s="24"/>
      <c r="E1094" s="30" t="str">
        <f aca="false">IF($D1094="","",IFERROR(INDEX(合同单位,MATCH($D1094,合同键,0)),IFERROR(TRIM(LEFT($D1094,FIND("｜",$D1094)-1)),$D1094)))</f>
        <v/>
      </c>
      <c r="F1094" s="30" t="str">
        <f aca="false">IF($D1094="","",IFERROR(INDEX(合同项目,MATCH($D1094,合同键,0)),IFERROR(TRIM(MID($D1094,FIND("｜",$D1094)+1,99)),"")))</f>
        <v/>
      </c>
      <c r="G1094" s="39"/>
      <c r="H1094" s="25"/>
      <c r="I1094" s="35" t="str">
        <f aca="false">IF($H1094="","",IFERROR(INDEX(票据归类表,MATCH($H1094,票据类型表,0)),"现金无票"))</f>
        <v/>
      </c>
      <c r="J1094" s="25"/>
      <c r="K1094" s="25"/>
      <c r="L1094" s="31"/>
      <c r="M1094" s="29" t="str">
        <f aca="false">IF($C1094="","",YEAR($C1094))</f>
        <v/>
      </c>
      <c r="N1094" s="24"/>
      <c r="O1094" s="35" t="str">
        <f aca="false">IF($C1094="","",IF($D1094="","★没选客户项目",IF(COUNTIF(合同键,$D1094)=0,"★《维保合同》里没这个项目",IF(N($G1094)&lt;=0,"★收款金额要填",IF($H1094="","★票据类型要选",IF(AND($L1094&lt;&gt;"",COUNTIF(应收单号,$L1094)=0),"★关联的应收单号不存在",IF(AND($L1094&lt;&gt;"",IFERROR(INDEX(应收键,MATCH($L1094,应收单号,0)),"")&lt;&gt;$D1094),"★关联单号不是这个客户的",IF(AND($L1094&lt;&gt;"",ROUND(SUMIF(收款关联,$L1094,收款金额)-IFERROR(INDEX(应收金额,MATCH($L1094,应收单号,0)),0),2)&gt;0.001),"★指定冲销超过那张单的应收","OK"))))))))</f>
        <v/>
      </c>
    </row>
    <row r="1095" customFormat="false" ht="15" hidden="false" customHeight="false" outlineLevel="0" collapsed="false">
      <c r="A1095" s="29" t="str">
        <f aca="false">IF($C1095="","",ROW()-4)</f>
        <v/>
      </c>
      <c r="B1095" s="35" t="str">
        <f aca="false">IF($C1095="","","SK"&amp;TEXT($C1095,"yyyymm")&amp;"-"&amp;TEXT(ROW()-4,"0000"))</f>
        <v/>
      </c>
      <c r="C1095" s="33"/>
      <c r="D1095" s="24"/>
      <c r="E1095" s="30" t="str">
        <f aca="false">IF($D1095="","",IFERROR(INDEX(合同单位,MATCH($D1095,合同键,0)),IFERROR(TRIM(LEFT($D1095,FIND("｜",$D1095)-1)),$D1095)))</f>
        <v/>
      </c>
      <c r="F1095" s="30" t="str">
        <f aca="false">IF($D1095="","",IFERROR(INDEX(合同项目,MATCH($D1095,合同键,0)),IFERROR(TRIM(MID($D1095,FIND("｜",$D1095)+1,99)),"")))</f>
        <v/>
      </c>
      <c r="G1095" s="39"/>
      <c r="H1095" s="25"/>
      <c r="I1095" s="35" t="str">
        <f aca="false">IF($H1095="","",IFERROR(INDEX(票据归类表,MATCH($H1095,票据类型表,0)),"现金无票"))</f>
        <v/>
      </c>
      <c r="J1095" s="25"/>
      <c r="K1095" s="25"/>
      <c r="L1095" s="31"/>
      <c r="M1095" s="29" t="str">
        <f aca="false">IF($C1095="","",YEAR($C1095))</f>
        <v/>
      </c>
      <c r="N1095" s="24"/>
      <c r="O1095" s="35" t="str">
        <f aca="false">IF($C1095="","",IF($D1095="","★没选客户项目",IF(COUNTIF(合同键,$D1095)=0,"★《维保合同》里没这个项目",IF(N($G1095)&lt;=0,"★收款金额要填",IF($H1095="","★票据类型要选",IF(AND($L1095&lt;&gt;"",COUNTIF(应收单号,$L1095)=0),"★关联的应收单号不存在",IF(AND($L1095&lt;&gt;"",IFERROR(INDEX(应收键,MATCH($L1095,应收单号,0)),"")&lt;&gt;$D1095),"★关联单号不是这个客户的",IF(AND($L1095&lt;&gt;"",ROUND(SUMIF(收款关联,$L1095,收款金额)-IFERROR(INDEX(应收金额,MATCH($L1095,应收单号,0)),0),2)&gt;0.001),"★指定冲销超过那张单的应收","OK"))))))))</f>
        <v/>
      </c>
    </row>
    <row r="1096" customFormat="false" ht="15" hidden="false" customHeight="false" outlineLevel="0" collapsed="false">
      <c r="A1096" s="29" t="str">
        <f aca="false">IF($C1096="","",ROW()-4)</f>
        <v/>
      </c>
      <c r="B1096" s="35" t="str">
        <f aca="false">IF($C1096="","","SK"&amp;TEXT($C1096,"yyyymm")&amp;"-"&amp;TEXT(ROW()-4,"0000"))</f>
        <v/>
      </c>
      <c r="C1096" s="33"/>
      <c r="D1096" s="24"/>
      <c r="E1096" s="30" t="str">
        <f aca="false">IF($D1096="","",IFERROR(INDEX(合同单位,MATCH($D1096,合同键,0)),IFERROR(TRIM(LEFT($D1096,FIND("｜",$D1096)-1)),$D1096)))</f>
        <v/>
      </c>
      <c r="F1096" s="30" t="str">
        <f aca="false">IF($D1096="","",IFERROR(INDEX(合同项目,MATCH($D1096,合同键,0)),IFERROR(TRIM(MID($D1096,FIND("｜",$D1096)+1,99)),"")))</f>
        <v/>
      </c>
      <c r="G1096" s="39"/>
      <c r="H1096" s="25"/>
      <c r="I1096" s="35" t="str">
        <f aca="false">IF($H1096="","",IFERROR(INDEX(票据归类表,MATCH($H1096,票据类型表,0)),"现金无票"))</f>
        <v/>
      </c>
      <c r="J1096" s="25"/>
      <c r="K1096" s="25"/>
      <c r="L1096" s="31"/>
      <c r="M1096" s="29" t="str">
        <f aca="false">IF($C1096="","",YEAR($C1096))</f>
        <v/>
      </c>
      <c r="N1096" s="24"/>
      <c r="O1096" s="35" t="str">
        <f aca="false">IF($C1096="","",IF($D1096="","★没选客户项目",IF(COUNTIF(合同键,$D1096)=0,"★《维保合同》里没这个项目",IF(N($G1096)&lt;=0,"★收款金额要填",IF($H1096="","★票据类型要选",IF(AND($L1096&lt;&gt;"",COUNTIF(应收单号,$L1096)=0),"★关联的应收单号不存在",IF(AND($L1096&lt;&gt;"",IFERROR(INDEX(应收键,MATCH($L1096,应收单号,0)),"")&lt;&gt;$D1096),"★关联单号不是这个客户的",IF(AND($L1096&lt;&gt;"",ROUND(SUMIF(收款关联,$L1096,收款金额)-IFERROR(INDEX(应收金额,MATCH($L1096,应收单号,0)),0),2)&gt;0.001),"★指定冲销超过那张单的应收","OK"))))))))</f>
        <v/>
      </c>
    </row>
    <row r="1097" customFormat="false" ht="15" hidden="false" customHeight="false" outlineLevel="0" collapsed="false">
      <c r="A1097" s="29" t="str">
        <f aca="false">IF($C1097="","",ROW()-4)</f>
        <v/>
      </c>
      <c r="B1097" s="35" t="str">
        <f aca="false">IF($C1097="","","SK"&amp;TEXT($C1097,"yyyymm")&amp;"-"&amp;TEXT(ROW()-4,"0000"))</f>
        <v/>
      </c>
      <c r="C1097" s="33"/>
      <c r="D1097" s="24"/>
      <c r="E1097" s="30" t="str">
        <f aca="false">IF($D1097="","",IFERROR(INDEX(合同单位,MATCH($D1097,合同键,0)),IFERROR(TRIM(LEFT($D1097,FIND("｜",$D1097)-1)),$D1097)))</f>
        <v/>
      </c>
      <c r="F1097" s="30" t="str">
        <f aca="false">IF($D1097="","",IFERROR(INDEX(合同项目,MATCH($D1097,合同键,0)),IFERROR(TRIM(MID($D1097,FIND("｜",$D1097)+1,99)),"")))</f>
        <v/>
      </c>
      <c r="G1097" s="39"/>
      <c r="H1097" s="25"/>
      <c r="I1097" s="35" t="str">
        <f aca="false">IF($H1097="","",IFERROR(INDEX(票据归类表,MATCH($H1097,票据类型表,0)),"现金无票"))</f>
        <v/>
      </c>
      <c r="J1097" s="25"/>
      <c r="K1097" s="25"/>
      <c r="L1097" s="31"/>
      <c r="M1097" s="29" t="str">
        <f aca="false">IF($C1097="","",YEAR($C1097))</f>
        <v/>
      </c>
      <c r="N1097" s="24"/>
      <c r="O1097" s="35" t="str">
        <f aca="false">IF($C1097="","",IF($D1097="","★没选客户项目",IF(COUNTIF(合同键,$D1097)=0,"★《维保合同》里没这个项目",IF(N($G1097)&lt;=0,"★收款金额要填",IF($H1097="","★票据类型要选",IF(AND($L1097&lt;&gt;"",COUNTIF(应收单号,$L1097)=0),"★关联的应收单号不存在",IF(AND($L1097&lt;&gt;"",IFERROR(INDEX(应收键,MATCH($L1097,应收单号,0)),"")&lt;&gt;$D1097),"★关联单号不是这个客户的",IF(AND($L1097&lt;&gt;"",ROUND(SUMIF(收款关联,$L1097,收款金额)-IFERROR(INDEX(应收金额,MATCH($L1097,应收单号,0)),0),2)&gt;0.001),"★指定冲销超过那张单的应收","OK"))))))))</f>
        <v/>
      </c>
    </row>
    <row r="1098" customFormat="false" ht="15" hidden="false" customHeight="false" outlineLevel="0" collapsed="false">
      <c r="A1098" s="29" t="str">
        <f aca="false">IF($C1098="","",ROW()-4)</f>
        <v/>
      </c>
      <c r="B1098" s="35" t="str">
        <f aca="false">IF($C1098="","","SK"&amp;TEXT($C1098,"yyyymm")&amp;"-"&amp;TEXT(ROW()-4,"0000"))</f>
        <v/>
      </c>
      <c r="C1098" s="33"/>
      <c r="D1098" s="24"/>
      <c r="E1098" s="30" t="str">
        <f aca="false">IF($D1098="","",IFERROR(INDEX(合同单位,MATCH($D1098,合同键,0)),IFERROR(TRIM(LEFT($D1098,FIND("｜",$D1098)-1)),$D1098)))</f>
        <v/>
      </c>
      <c r="F1098" s="30" t="str">
        <f aca="false">IF($D1098="","",IFERROR(INDEX(合同项目,MATCH($D1098,合同键,0)),IFERROR(TRIM(MID($D1098,FIND("｜",$D1098)+1,99)),"")))</f>
        <v/>
      </c>
      <c r="G1098" s="39"/>
      <c r="H1098" s="25"/>
      <c r="I1098" s="35" t="str">
        <f aca="false">IF($H1098="","",IFERROR(INDEX(票据归类表,MATCH($H1098,票据类型表,0)),"现金无票"))</f>
        <v/>
      </c>
      <c r="J1098" s="25"/>
      <c r="K1098" s="25"/>
      <c r="L1098" s="31"/>
      <c r="M1098" s="29" t="str">
        <f aca="false">IF($C1098="","",YEAR($C1098))</f>
        <v/>
      </c>
      <c r="N1098" s="24"/>
      <c r="O1098" s="35" t="str">
        <f aca="false">IF($C1098="","",IF($D1098="","★没选客户项目",IF(COUNTIF(合同键,$D1098)=0,"★《维保合同》里没这个项目",IF(N($G1098)&lt;=0,"★收款金额要填",IF($H1098="","★票据类型要选",IF(AND($L1098&lt;&gt;"",COUNTIF(应收单号,$L1098)=0),"★关联的应收单号不存在",IF(AND($L1098&lt;&gt;"",IFERROR(INDEX(应收键,MATCH($L1098,应收单号,0)),"")&lt;&gt;$D1098),"★关联单号不是这个客户的",IF(AND($L1098&lt;&gt;"",ROUND(SUMIF(收款关联,$L1098,收款金额)-IFERROR(INDEX(应收金额,MATCH($L1098,应收单号,0)),0),2)&gt;0.001),"★指定冲销超过那张单的应收","OK"))))))))</f>
        <v/>
      </c>
    </row>
    <row r="1099" customFormat="false" ht="15" hidden="false" customHeight="false" outlineLevel="0" collapsed="false">
      <c r="A1099" s="29" t="str">
        <f aca="false">IF($C1099="","",ROW()-4)</f>
        <v/>
      </c>
      <c r="B1099" s="35" t="str">
        <f aca="false">IF($C1099="","","SK"&amp;TEXT($C1099,"yyyymm")&amp;"-"&amp;TEXT(ROW()-4,"0000"))</f>
        <v/>
      </c>
      <c r="C1099" s="33"/>
      <c r="D1099" s="24"/>
      <c r="E1099" s="30" t="str">
        <f aca="false">IF($D1099="","",IFERROR(INDEX(合同单位,MATCH($D1099,合同键,0)),IFERROR(TRIM(LEFT($D1099,FIND("｜",$D1099)-1)),$D1099)))</f>
        <v/>
      </c>
      <c r="F1099" s="30" t="str">
        <f aca="false">IF($D1099="","",IFERROR(INDEX(合同项目,MATCH($D1099,合同键,0)),IFERROR(TRIM(MID($D1099,FIND("｜",$D1099)+1,99)),"")))</f>
        <v/>
      </c>
      <c r="G1099" s="39"/>
      <c r="H1099" s="25"/>
      <c r="I1099" s="35" t="str">
        <f aca="false">IF($H1099="","",IFERROR(INDEX(票据归类表,MATCH($H1099,票据类型表,0)),"现金无票"))</f>
        <v/>
      </c>
      <c r="J1099" s="25"/>
      <c r="K1099" s="25"/>
      <c r="L1099" s="31"/>
      <c r="M1099" s="29" t="str">
        <f aca="false">IF($C1099="","",YEAR($C1099))</f>
        <v/>
      </c>
      <c r="N1099" s="24"/>
      <c r="O1099" s="35" t="str">
        <f aca="false">IF($C1099="","",IF($D1099="","★没选客户项目",IF(COUNTIF(合同键,$D1099)=0,"★《维保合同》里没这个项目",IF(N($G1099)&lt;=0,"★收款金额要填",IF($H1099="","★票据类型要选",IF(AND($L1099&lt;&gt;"",COUNTIF(应收单号,$L1099)=0),"★关联的应收单号不存在",IF(AND($L1099&lt;&gt;"",IFERROR(INDEX(应收键,MATCH($L1099,应收单号,0)),"")&lt;&gt;$D1099),"★关联单号不是这个客户的",IF(AND($L1099&lt;&gt;"",ROUND(SUMIF(收款关联,$L1099,收款金额)-IFERROR(INDEX(应收金额,MATCH($L1099,应收单号,0)),0),2)&gt;0.001),"★指定冲销超过那张单的应收","OK"))))))))</f>
        <v/>
      </c>
    </row>
    <row r="1100" customFormat="false" ht="15" hidden="false" customHeight="false" outlineLevel="0" collapsed="false">
      <c r="A1100" s="29" t="str">
        <f aca="false">IF($C1100="","",ROW()-4)</f>
        <v/>
      </c>
      <c r="B1100" s="35" t="str">
        <f aca="false">IF($C1100="","","SK"&amp;TEXT($C1100,"yyyymm")&amp;"-"&amp;TEXT(ROW()-4,"0000"))</f>
        <v/>
      </c>
      <c r="C1100" s="33"/>
      <c r="D1100" s="24"/>
      <c r="E1100" s="30" t="str">
        <f aca="false">IF($D1100="","",IFERROR(INDEX(合同单位,MATCH($D1100,合同键,0)),IFERROR(TRIM(LEFT($D1100,FIND("｜",$D1100)-1)),$D1100)))</f>
        <v/>
      </c>
      <c r="F1100" s="30" t="str">
        <f aca="false">IF($D1100="","",IFERROR(INDEX(合同项目,MATCH($D1100,合同键,0)),IFERROR(TRIM(MID($D1100,FIND("｜",$D1100)+1,99)),"")))</f>
        <v/>
      </c>
      <c r="G1100" s="39"/>
      <c r="H1100" s="25"/>
      <c r="I1100" s="35" t="str">
        <f aca="false">IF($H1100="","",IFERROR(INDEX(票据归类表,MATCH($H1100,票据类型表,0)),"现金无票"))</f>
        <v/>
      </c>
      <c r="J1100" s="25"/>
      <c r="K1100" s="25"/>
      <c r="L1100" s="31"/>
      <c r="M1100" s="29" t="str">
        <f aca="false">IF($C1100="","",YEAR($C1100))</f>
        <v/>
      </c>
      <c r="N1100" s="24"/>
      <c r="O1100" s="35" t="str">
        <f aca="false">IF($C1100="","",IF($D1100="","★没选客户项目",IF(COUNTIF(合同键,$D1100)=0,"★《维保合同》里没这个项目",IF(N($G1100)&lt;=0,"★收款金额要填",IF($H1100="","★票据类型要选",IF(AND($L1100&lt;&gt;"",COUNTIF(应收单号,$L1100)=0),"★关联的应收单号不存在",IF(AND($L1100&lt;&gt;"",IFERROR(INDEX(应收键,MATCH($L1100,应收单号,0)),"")&lt;&gt;$D1100),"★关联单号不是这个客户的",IF(AND($L1100&lt;&gt;"",ROUND(SUMIF(收款关联,$L1100,收款金额)-IFERROR(INDEX(应收金额,MATCH($L1100,应收单号,0)),0),2)&gt;0.001),"★指定冲销超过那张单的应收","OK"))))))))</f>
        <v/>
      </c>
    </row>
    <row r="1101" customFormat="false" ht="15" hidden="false" customHeight="false" outlineLevel="0" collapsed="false">
      <c r="A1101" s="29" t="str">
        <f aca="false">IF($C1101="","",ROW()-4)</f>
        <v/>
      </c>
      <c r="B1101" s="35" t="str">
        <f aca="false">IF($C1101="","","SK"&amp;TEXT($C1101,"yyyymm")&amp;"-"&amp;TEXT(ROW()-4,"0000"))</f>
        <v/>
      </c>
      <c r="C1101" s="33"/>
      <c r="D1101" s="24"/>
      <c r="E1101" s="30" t="str">
        <f aca="false">IF($D1101="","",IFERROR(INDEX(合同单位,MATCH($D1101,合同键,0)),IFERROR(TRIM(LEFT($D1101,FIND("｜",$D1101)-1)),$D1101)))</f>
        <v/>
      </c>
      <c r="F1101" s="30" t="str">
        <f aca="false">IF($D1101="","",IFERROR(INDEX(合同项目,MATCH($D1101,合同键,0)),IFERROR(TRIM(MID($D1101,FIND("｜",$D1101)+1,99)),"")))</f>
        <v/>
      </c>
      <c r="G1101" s="39"/>
      <c r="H1101" s="25"/>
      <c r="I1101" s="35" t="str">
        <f aca="false">IF($H1101="","",IFERROR(INDEX(票据归类表,MATCH($H1101,票据类型表,0)),"现金无票"))</f>
        <v/>
      </c>
      <c r="J1101" s="25"/>
      <c r="K1101" s="25"/>
      <c r="L1101" s="31"/>
      <c r="M1101" s="29" t="str">
        <f aca="false">IF($C1101="","",YEAR($C1101))</f>
        <v/>
      </c>
      <c r="N1101" s="24"/>
      <c r="O1101" s="35" t="str">
        <f aca="false">IF($C1101="","",IF($D1101="","★没选客户项目",IF(COUNTIF(合同键,$D1101)=0,"★《维保合同》里没这个项目",IF(N($G1101)&lt;=0,"★收款金额要填",IF($H1101="","★票据类型要选",IF(AND($L1101&lt;&gt;"",COUNTIF(应收单号,$L1101)=0),"★关联的应收单号不存在",IF(AND($L1101&lt;&gt;"",IFERROR(INDEX(应收键,MATCH($L1101,应收单号,0)),"")&lt;&gt;$D1101),"★关联单号不是这个客户的",IF(AND($L1101&lt;&gt;"",ROUND(SUMIF(收款关联,$L1101,收款金额)-IFERROR(INDEX(应收金额,MATCH($L1101,应收单号,0)),0),2)&gt;0.001),"★指定冲销超过那张单的应收","OK"))))))))</f>
        <v/>
      </c>
    </row>
    <row r="1102" customFormat="false" ht="15" hidden="false" customHeight="false" outlineLevel="0" collapsed="false">
      <c r="A1102" s="29" t="str">
        <f aca="false">IF($C1102="","",ROW()-4)</f>
        <v/>
      </c>
      <c r="B1102" s="35" t="str">
        <f aca="false">IF($C1102="","","SK"&amp;TEXT($C1102,"yyyymm")&amp;"-"&amp;TEXT(ROW()-4,"0000"))</f>
        <v/>
      </c>
      <c r="C1102" s="33"/>
      <c r="D1102" s="24"/>
      <c r="E1102" s="30" t="str">
        <f aca="false">IF($D1102="","",IFERROR(INDEX(合同单位,MATCH($D1102,合同键,0)),IFERROR(TRIM(LEFT($D1102,FIND("｜",$D1102)-1)),$D1102)))</f>
        <v/>
      </c>
      <c r="F1102" s="30" t="str">
        <f aca="false">IF($D1102="","",IFERROR(INDEX(合同项目,MATCH($D1102,合同键,0)),IFERROR(TRIM(MID($D1102,FIND("｜",$D1102)+1,99)),"")))</f>
        <v/>
      </c>
      <c r="G1102" s="39"/>
      <c r="H1102" s="25"/>
      <c r="I1102" s="35" t="str">
        <f aca="false">IF($H1102="","",IFERROR(INDEX(票据归类表,MATCH($H1102,票据类型表,0)),"现金无票"))</f>
        <v/>
      </c>
      <c r="J1102" s="25"/>
      <c r="K1102" s="25"/>
      <c r="L1102" s="31"/>
      <c r="M1102" s="29" t="str">
        <f aca="false">IF($C1102="","",YEAR($C1102))</f>
        <v/>
      </c>
      <c r="N1102" s="24"/>
      <c r="O1102" s="35" t="str">
        <f aca="false">IF($C1102="","",IF($D1102="","★没选客户项目",IF(COUNTIF(合同键,$D1102)=0,"★《维保合同》里没这个项目",IF(N($G1102)&lt;=0,"★收款金额要填",IF($H1102="","★票据类型要选",IF(AND($L1102&lt;&gt;"",COUNTIF(应收单号,$L1102)=0),"★关联的应收单号不存在",IF(AND($L1102&lt;&gt;"",IFERROR(INDEX(应收键,MATCH($L1102,应收单号,0)),"")&lt;&gt;$D1102),"★关联单号不是这个客户的",IF(AND($L1102&lt;&gt;"",ROUND(SUMIF(收款关联,$L1102,收款金额)-IFERROR(INDEX(应收金额,MATCH($L1102,应收单号,0)),0),2)&gt;0.001),"★指定冲销超过那张单的应收","OK"))))))))</f>
        <v/>
      </c>
    </row>
    <row r="1103" customFormat="false" ht="15" hidden="false" customHeight="false" outlineLevel="0" collapsed="false">
      <c r="A1103" s="29" t="str">
        <f aca="false">IF($C1103="","",ROW()-4)</f>
        <v/>
      </c>
      <c r="B1103" s="35" t="str">
        <f aca="false">IF($C1103="","","SK"&amp;TEXT($C1103,"yyyymm")&amp;"-"&amp;TEXT(ROW()-4,"0000"))</f>
        <v/>
      </c>
      <c r="C1103" s="33"/>
      <c r="D1103" s="24"/>
      <c r="E1103" s="30" t="str">
        <f aca="false">IF($D1103="","",IFERROR(INDEX(合同单位,MATCH($D1103,合同键,0)),IFERROR(TRIM(LEFT($D1103,FIND("｜",$D1103)-1)),$D1103)))</f>
        <v/>
      </c>
      <c r="F1103" s="30" t="str">
        <f aca="false">IF($D1103="","",IFERROR(INDEX(合同项目,MATCH($D1103,合同键,0)),IFERROR(TRIM(MID($D1103,FIND("｜",$D1103)+1,99)),"")))</f>
        <v/>
      </c>
      <c r="G1103" s="39"/>
      <c r="H1103" s="25"/>
      <c r="I1103" s="35" t="str">
        <f aca="false">IF($H1103="","",IFERROR(INDEX(票据归类表,MATCH($H1103,票据类型表,0)),"现金无票"))</f>
        <v/>
      </c>
      <c r="J1103" s="25"/>
      <c r="K1103" s="25"/>
      <c r="L1103" s="31"/>
      <c r="M1103" s="29" t="str">
        <f aca="false">IF($C1103="","",YEAR($C1103))</f>
        <v/>
      </c>
      <c r="N1103" s="24"/>
      <c r="O1103" s="35" t="str">
        <f aca="false">IF($C1103="","",IF($D1103="","★没选客户项目",IF(COUNTIF(合同键,$D1103)=0,"★《维保合同》里没这个项目",IF(N($G1103)&lt;=0,"★收款金额要填",IF($H1103="","★票据类型要选",IF(AND($L1103&lt;&gt;"",COUNTIF(应收单号,$L1103)=0),"★关联的应收单号不存在",IF(AND($L1103&lt;&gt;"",IFERROR(INDEX(应收键,MATCH($L1103,应收单号,0)),"")&lt;&gt;$D1103),"★关联单号不是这个客户的",IF(AND($L1103&lt;&gt;"",ROUND(SUMIF(收款关联,$L1103,收款金额)-IFERROR(INDEX(应收金额,MATCH($L1103,应收单号,0)),0),2)&gt;0.001),"★指定冲销超过那张单的应收","OK"))))))))</f>
        <v/>
      </c>
    </row>
    <row r="1104" customFormat="false" ht="15" hidden="false" customHeight="false" outlineLevel="0" collapsed="false">
      <c r="A1104" s="29" t="str">
        <f aca="false">IF($C1104="","",ROW()-4)</f>
        <v/>
      </c>
      <c r="B1104" s="35" t="str">
        <f aca="false">IF($C1104="","","SK"&amp;TEXT($C1104,"yyyymm")&amp;"-"&amp;TEXT(ROW()-4,"0000"))</f>
        <v/>
      </c>
      <c r="C1104" s="33"/>
      <c r="D1104" s="24"/>
      <c r="E1104" s="30" t="str">
        <f aca="false">IF($D1104="","",IFERROR(INDEX(合同单位,MATCH($D1104,合同键,0)),IFERROR(TRIM(LEFT($D1104,FIND("｜",$D1104)-1)),$D1104)))</f>
        <v/>
      </c>
      <c r="F1104" s="30" t="str">
        <f aca="false">IF($D1104="","",IFERROR(INDEX(合同项目,MATCH($D1104,合同键,0)),IFERROR(TRIM(MID($D1104,FIND("｜",$D1104)+1,99)),"")))</f>
        <v/>
      </c>
      <c r="G1104" s="39"/>
      <c r="H1104" s="25"/>
      <c r="I1104" s="35" t="str">
        <f aca="false">IF($H1104="","",IFERROR(INDEX(票据归类表,MATCH($H1104,票据类型表,0)),"现金无票"))</f>
        <v/>
      </c>
      <c r="J1104" s="25"/>
      <c r="K1104" s="25"/>
      <c r="L1104" s="31"/>
      <c r="M1104" s="29" t="str">
        <f aca="false">IF($C1104="","",YEAR($C1104))</f>
        <v/>
      </c>
      <c r="N1104" s="24"/>
      <c r="O1104" s="35" t="str">
        <f aca="false">IF($C1104="","",IF($D1104="","★没选客户项目",IF(COUNTIF(合同键,$D1104)=0,"★《维保合同》里没这个项目",IF(N($G1104)&lt;=0,"★收款金额要填",IF($H1104="","★票据类型要选",IF(AND($L1104&lt;&gt;"",COUNTIF(应收单号,$L1104)=0),"★关联的应收单号不存在",IF(AND($L1104&lt;&gt;"",IFERROR(INDEX(应收键,MATCH($L1104,应收单号,0)),"")&lt;&gt;$D1104),"★关联单号不是这个客户的",IF(AND($L1104&lt;&gt;"",ROUND(SUMIF(收款关联,$L1104,收款金额)-IFERROR(INDEX(应收金额,MATCH($L1104,应收单号,0)),0),2)&gt;0.001),"★指定冲销超过那张单的应收","OK"))))))))</f>
        <v/>
      </c>
    </row>
    <row r="1105" customFormat="false" ht="15" hidden="false" customHeight="false" outlineLevel="0" collapsed="false">
      <c r="A1105" s="29" t="str">
        <f aca="false">IF($C1105="","",ROW()-4)</f>
        <v/>
      </c>
      <c r="B1105" s="35" t="str">
        <f aca="false">IF($C1105="","","SK"&amp;TEXT($C1105,"yyyymm")&amp;"-"&amp;TEXT(ROW()-4,"0000"))</f>
        <v/>
      </c>
      <c r="C1105" s="33"/>
      <c r="D1105" s="24"/>
      <c r="E1105" s="30" t="str">
        <f aca="false">IF($D1105="","",IFERROR(INDEX(合同单位,MATCH($D1105,合同键,0)),IFERROR(TRIM(LEFT($D1105,FIND("｜",$D1105)-1)),$D1105)))</f>
        <v/>
      </c>
      <c r="F1105" s="30" t="str">
        <f aca="false">IF($D1105="","",IFERROR(INDEX(合同项目,MATCH($D1105,合同键,0)),IFERROR(TRIM(MID($D1105,FIND("｜",$D1105)+1,99)),"")))</f>
        <v/>
      </c>
      <c r="G1105" s="39"/>
      <c r="H1105" s="25"/>
      <c r="I1105" s="35" t="str">
        <f aca="false">IF($H1105="","",IFERROR(INDEX(票据归类表,MATCH($H1105,票据类型表,0)),"现金无票"))</f>
        <v/>
      </c>
      <c r="J1105" s="25"/>
      <c r="K1105" s="25"/>
      <c r="L1105" s="31"/>
      <c r="M1105" s="29" t="str">
        <f aca="false">IF($C1105="","",YEAR($C1105))</f>
        <v/>
      </c>
      <c r="N1105" s="24"/>
      <c r="O1105" s="35" t="str">
        <f aca="false">IF($C1105="","",IF($D1105="","★没选客户项目",IF(COUNTIF(合同键,$D1105)=0,"★《维保合同》里没这个项目",IF(N($G1105)&lt;=0,"★收款金额要填",IF($H1105="","★票据类型要选",IF(AND($L1105&lt;&gt;"",COUNTIF(应收单号,$L1105)=0),"★关联的应收单号不存在",IF(AND($L1105&lt;&gt;"",IFERROR(INDEX(应收键,MATCH($L1105,应收单号,0)),"")&lt;&gt;$D1105),"★关联单号不是这个客户的",IF(AND($L1105&lt;&gt;"",ROUND(SUMIF(收款关联,$L1105,收款金额)-IFERROR(INDEX(应收金额,MATCH($L1105,应收单号,0)),0),2)&gt;0.001),"★指定冲销超过那张单的应收","OK"))))))))</f>
        <v/>
      </c>
    </row>
    <row r="1106" customFormat="false" ht="15" hidden="false" customHeight="false" outlineLevel="0" collapsed="false">
      <c r="A1106" s="29" t="str">
        <f aca="false">IF($C1106="","",ROW()-4)</f>
        <v/>
      </c>
      <c r="B1106" s="35" t="str">
        <f aca="false">IF($C1106="","","SK"&amp;TEXT($C1106,"yyyymm")&amp;"-"&amp;TEXT(ROW()-4,"0000"))</f>
        <v/>
      </c>
      <c r="C1106" s="33"/>
      <c r="D1106" s="24"/>
      <c r="E1106" s="30" t="str">
        <f aca="false">IF($D1106="","",IFERROR(INDEX(合同单位,MATCH($D1106,合同键,0)),IFERROR(TRIM(LEFT($D1106,FIND("｜",$D1106)-1)),$D1106)))</f>
        <v/>
      </c>
      <c r="F1106" s="30" t="str">
        <f aca="false">IF($D1106="","",IFERROR(INDEX(合同项目,MATCH($D1106,合同键,0)),IFERROR(TRIM(MID($D1106,FIND("｜",$D1106)+1,99)),"")))</f>
        <v/>
      </c>
      <c r="G1106" s="39"/>
      <c r="H1106" s="25"/>
      <c r="I1106" s="35" t="str">
        <f aca="false">IF($H1106="","",IFERROR(INDEX(票据归类表,MATCH($H1106,票据类型表,0)),"现金无票"))</f>
        <v/>
      </c>
      <c r="J1106" s="25"/>
      <c r="K1106" s="25"/>
      <c r="L1106" s="31"/>
      <c r="M1106" s="29" t="str">
        <f aca="false">IF($C1106="","",YEAR($C1106))</f>
        <v/>
      </c>
      <c r="N1106" s="24"/>
      <c r="O1106" s="35" t="str">
        <f aca="false">IF($C1106="","",IF($D1106="","★没选客户项目",IF(COUNTIF(合同键,$D1106)=0,"★《维保合同》里没这个项目",IF(N($G1106)&lt;=0,"★收款金额要填",IF($H1106="","★票据类型要选",IF(AND($L1106&lt;&gt;"",COUNTIF(应收单号,$L1106)=0),"★关联的应收单号不存在",IF(AND($L1106&lt;&gt;"",IFERROR(INDEX(应收键,MATCH($L1106,应收单号,0)),"")&lt;&gt;$D1106),"★关联单号不是这个客户的",IF(AND($L1106&lt;&gt;"",ROUND(SUMIF(收款关联,$L1106,收款金额)-IFERROR(INDEX(应收金额,MATCH($L1106,应收单号,0)),0),2)&gt;0.001),"★指定冲销超过那张单的应收","OK"))))))))</f>
        <v/>
      </c>
    </row>
    <row r="1107" customFormat="false" ht="15" hidden="false" customHeight="false" outlineLevel="0" collapsed="false">
      <c r="A1107" s="29" t="str">
        <f aca="false">IF($C1107="","",ROW()-4)</f>
        <v/>
      </c>
      <c r="B1107" s="35" t="str">
        <f aca="false">IF($C1107="","","SK"&amp;TEXT($C1107,"yyyymm")&amp;"-"&amp;TEXT(ROW()-4,"0000"))</f>
        <v/>
      </c>
      <c r="C1107" s="33"/>
      <c r="D1107" s="24"/>
      <c r="E1107" s="30" t="str">
        <f aca="false">IF($D1107="","",IFERROR(INDEX(合同单位,MATCH($D1107,合同键,0)),IFERROR(TRIM(LEFT($D1107,FIND("｜",$D1107)-1)),$D1107)))</f>
        <v/>
      </c>
      <c r="F1107" s="30" t="str">
        <f aca="false">IF($D1107="","",IFERROR(INDEX(合同项目,MATCH($D1107,合同键,0)),IFERROR(TRIM(MID($D1107,FIND("｜",$D1107)+1,99)),"")))</f>
        <v/>
      </c>
      <c r="G1107" s="39"/>
      <c r="H1107" s="25"/>
      <c r="I1107" s="35" t="str">
        <f aca="false">IF($H1107="","",IFERROR(INDEX(票据归类表,MATCH($H1107,票据类型表,0)),"现金无票"))</f>
        <v/>
      </c>
      <c r="J1107" s="25"/>
      <c r="K1107" s="25"/>
      <c r="L1107" s="31"/>
      <c r="M1107" s="29" t="str">
        <f aca="false">IF($C1107="","",YEAR($C1107))</f>
        <v/>
      </c>
      <c r="N1107" s="24"/>
      <c r="O1107" s="35" t="str">
        <f aca="false">IF($C1107="","",IF($D1107="","★没选客户项目",IF(COUNTIF(合同键,$D1107)=0,"★《维保合同》里没这个项目",IF(N($G1107)&lt;=0,"★收款金额要填",IF($H1107="","★票据类型要选",IF(AND($L1107&lt;&gt;"",COUNTIF(应收单号,$L1107)=0),"★关联的应收单号不存在",IF(AND($L1107&lt;&gt;"",IFERROR(INDEX(应收键,MATCH($L1107,应收单号,0)),"")&lt;&gt;$D1107),"★关联单号不是这个客户的",IF(AND($L1107&lt;&gt;"",ROUND(SUMIF(收款关联,$L1107,收款金额)-IFERROR(INDEX(应收金额,MATCH($L1107,应收单号,0)),0),2)&gt;0.001),"★指定冲销超过那张单的应收","OK"))))))))</f>
        <v/>
      </c>
    </row>
    <row r="1108" customFormat="false" ht="15" hidden="false" customHeight="false" outlineLevel="0" collapsed="false">
      <c r="A1108" s="29" t="str">
        <f aca="false">IF($C1108="","",ROW()-4)</f>
        <v/>
      </c>
      <c r="B1108" s="35" t="str">
        <f aca="false">IF($C1108="","","SK"&amp;TEXT($C1108,"yyyymm")&amp;"-"&amp;TEXT(ROW()-4,"0000"))</f>
        <v/>
      </c>
      <c r="C1108" s="33"/>
      <c r="D1108" s="24"/>
      <c r="E1108" s="30" t="str">
        <f aca="false">IF($D1108="","",IFERROR(INDEX(合同单位,MATCH($D1108,合同键,0)),IFERROR(TRIM(LEFT($D1108,FIND("｜",$D1108)-1)),$D1108)))</f>
        <v/>
      </c>
      <c r="F1108" s="30" t="str">
        <f aca="false">IF($D1108="","",IFERROR(INDEX(合同项目,MATCH($D1108,合同键,0)),IFERROR(TRIM(MID($D1108,FIND("｜",$D1108)+1,99)),"")))</f>
        <v/>
      </c>
      <c r="G1108" s="39"/>
      <c r="H1108" s="25"/>
      <c r="I1108" s="35" t="str">
        <f aca="false">IF($H1108="","",IFERROR(INDEX(票据归类表,MATCH($H1108,票据类型表,0)),"现金无票"))</f>
        <v/>
      </c>
      <c r="J1108" s="25"/>
      <c r="K1108" s="25"/>
      <c r="L1108" s="31"/>
      <c r="M1108" s="29" t="str">
        <f aca="false">IF($C1108="","",YEAR($C1108))</f>
        <v/>
      </c>
      <c r="N1108" s="24"/>
      <c r="O1108" s="35" t="str">
        <f aca="false">IF($C1108="","",IF($D1108="","★没选客户项目",IF(COUNTIF(合同键,$D1108)=0,"★《维保合同》里没这个项目",IF(N($G1108)&lt;=0,"★收款金额要填",IF($H1108="","★票据类型要选",IF(AND($L1108&lt;&gt;"",COUNTIF(应收单号,$L1108)=0),"★关联的应收单号不存在",IF(AND($L1108&lt;&gt;"",IFERROR(INDEX(应收键,MATCH($L1108,应收单号,0)),"")&lt;&gt;$D1108),"★关联单号不是这个客户的",IF(AND($L1108&lt;&gt;"",ROUND(SUMIF(收款关联,$L1108,收款金额)-IFERROR(INDEX(应收金额,MATCH($L1108,应收单号,0)),0),2)&gt;0.001),"★指定冲销超过那张单的应收","OK"))))))))</f>
        <v/>
      </c>
    </row>
    <row r="1109" customFormat="false" ht="15" hidden="false" customHeight="false" outlineLevel="0" collapsed="false">
      <c r="A1109" s="29" t="str">
        <f aca="false">IF($C1109="","",ROW()-4)</f>
        <v/>
      </c>
      <c r="B1109" s="35" t="str">
        <f aca="false">IF($C1109="","","SK"&amp;TEXT($C1109,"yyyymm")&amp;"-"&amp;TEXT(ROW()-4,"0000"))</f>
        <v/>
      </c>
      <c r="C1109" s="33"/>
      <c r="D1109" s="24"/>
      <c r="E1109" s="30" t="str">
        <f aca="false">IF($D1109="","",IFERROR(INDEX(合同单位,MATCH($D1109,合同键,0)),IFERROR(TRIM(LEFT($D1109,FIND("｜",$D1109)-1)),$D1109)))</f>
        <v/>
      </c>
      <c r="F1109" s="30" t="str">
        <f aca="false">IF($D1109="","",IFERROR(INDEX(合同项目,MATCH($D1109,合同键,0)),IFERROR(TRIM(MID($D1109,FIND("｜",$D1109)+1,99)),"")))</f>
        <v/>
      </c>
      <c r="G1109" s="39"/>
      <c r="H1109" s="25"/>
      <c r="I1109" s="35" t="str">
        <f aca="false">IF($H1109="","",IFERROR(INDEX(票据归类表,MATCH($H1109,票据类型表,0)),"现金无票"))</f>
        <v/>
      </c>
      <c r="J1109" s="25"/>
      <c r="K1109" s="25"/>
      <c r="L1109" s="31"/>
      <c r="M1109" s="29" t="str">
        <f aca="false">IF($C1109="","",YEAR($C1109))</f>
        <v/>
      </c>
      <c r="N1109" s="24"/>
      <c r="O1109" s="35" t="str">
        <f aca="false">IF($C1109="","",IF($D1109="","★没选客户项目",IF(COUNTIF(合同键,$D1109)=0,"★《维保合同》里没这个项目",IF(N($G1109)&lt;=0,"★收款金额要填",IF($H1109="","★票据类型要选",IF(AND($L1109&lt;&gt;"",COUNTIF(应收单号,$L1109)=0),"★关联的应收单号不存在",IF(AND($L1109&lt;&gt;"",IFERROR(INDEX(应收键,MATCH($L1109,应收单号,0)),"")&lt;&gt;$D1109),"★关联单号不是这个客户的",IF(AND($L1109&lt;&gt;"",ROUND(SUMIF(收款关联,$L1109,收款金额)-IFERROR(INDEX(应收金额,MATCH($L1109,应收单号,0)),0),2)&gt;0.001),"★指定冲销超过那张单的应收","OK"))))))))</f>
        <v/>
      </c>
    </row>
    <row r="1110" customFormat="false" ht="15" hidden="false" customHeight="false" outlineLevel="0" collapsed="false">
      <c r="A1110" s="29" t="str">
        <f aca="false">IF($C1110="","",ROW()-4)</f>
        <v/>
      </c>
      <c r="B1110" s="35" t="str">
        <f aca="false">IF($C1110="","","SK"&amp;TEXT($C1110,"yyyymm")&amp;"-"&amp;TEXT(ROW()-4,"0000"))</f>
        <v/>
      </c>
      <c r="C1110" s="33"/>
      <c r="D1110" s="24"/>
      <c r="E1110" s="30" t="str">
        <f aca="false">IF($D1110="","",IFERROR(INDEX(合同单位,MATCH($D1110,合同键,0)),IFERROR(TRIM(LEFT($D1110,FIND("｜",$D1110)-1)),$D1110)))</f>
        <v/>
      </c>
      <c r="F1110" s="30" t="str">
        <f aca="false">IF($D1110="","",IFERROR(INDEX(合同项目,MATCH($D1110,合同键,0)),IFERROR(TRIM(MID($D1110,FIND("｜",$D1110)+1,99)),"")))</f>
        <v/>
      </c>
      <c r="G1110" s="39"/>
      <c r="H1110" s="25"/>
      <c r="I1110" s="35" t="str">
        <f aca="false">IF($H1110="","",IFERROR(INDEX(票据归类表,MATCH($H1110,票据类型表,0)),"现金无票"))</f>
        <v/>
      </c>
      <c r="J1110" s="25"/>
      <c r="K1110" s="25"/>
      <c r="L1110" s="31"/>
      <c r="M1110" s="29" t="str">
        <f aca="false">IF($C1110="","",YEAR($C1110))</f>
        <v/>
      </c>
      <c r="N1110" s="24"/>
      <c r="O1110" s="35" t="str">
        <f aca="false">IF($C1110="","",IF($D1110="","★没选客户项目",IF(COUNTIF(合同键,$D1110)=0,"★《维保合同》里没这个项目",IF(N($G1110)&lt;=0,"★收款金额要填",IF($H1110="","★票据类型要选",IF(AND($L1110&lt;&gt;"",COUNTIF(应收单号,$L1110)=0),"★关联的应收单号不存在",IF(AND($L1110&lt;&gt;"",IFERROR(INDEX(应收键,MATCH($L1110,应收单号,0)),"")&lt;&gt;$D1110),"★关联单号不是这个客户的",IF(AND($L1110&lt;&gt;"",ROUND(SUMIF(收款关联,$L1110,收款金额)-IFERROR(INDEX(应收金额,MATCH($L1110,应收单号,0)),0),2)&gt;0.001),"★指定冲销超过那张单的应收","OK"))))))))</f>
        <v/>
      </c>
    </row>
    <row r="1111" customFormat="false" ht="15" hidden="false" customHeight="false" outlineLevel="0" collapsed="false">
      <c r="A1111" s="29" t="str">
        <f aca="false">IF($C1111="","",ROW()-4)</f>
        <v/>
      </c>
      <c r="B1111" s="35" t="str">
        <f aca="false">IF($C1111="","","SK"&amp;TEXT($C1111,"yyyymm")&amp;"-"&amp;TEXT(ROW()-4,"0000"))</f>
        <v/>
      </c>
      <c r="C1111" s="33"/>
      <c r="D1111" s="24"/>
      <c r="E1111" s="30" t="str">
        <f aca="false">IF($D1111="","",IFERROR(INDEX(合同单位,MATCH($D1111,合同键,0)),IFERROR(TRIM(LEFT($D1111,FIND("｜",$D1111)-1)),$D1111)))</f>
        <v/>
      </c>
      <c r="F1111" s="30" t="str">
        <f aca="false">IF($D1111="","",IFERROR(INDEX(合同项目,MATCH($D1111,合同键,0)),IFERROR(TRIM(MID($D1111,FIND("｜",$D1111)+1,99)),"")))</f>
        <v/>
      </c>
      <c r="G1111" s="39"/>
      <c r="H1111" s="25"/>
      <c r="I1111" s="35" t="str">
        <f aca="false">IF($H1111="","",IFERROR(INDEX(票据归类表,MATCH($H1111,票据类型表,0)),"现金无票"))</f>
        <v/>
      </c>
      <c r="J1111" s="25"/>
      <c r="K1111" s="25"/>
      <c r="L1111" s="31"/>
      <c r="M1111" s="29" t="str">
        <f aca="false">IF($C1111="","",YEAR($C1111))</f>
        <v/>
      </c>
      <c r="N1111" s="24"/>
      <c r="O1111" s="35" t="str">
        <f aca="false">IF($C1111="","",IF($D1111="","★没选客户项目",IF(COUNTIF(合同键,$D1111)=0,"★《维保合同》里没这个项目",IF(N($G1111)&lt;=0,"★收款金额要填",IF($H1111="","★票据类型要选",IF(AND($L1111&lt;&gt;"",COUNTIF(应收单号,$L1111)=0),"★关联的应收单号不存在",IF(AND($L1111&lt;&gt;"",IFERROR(INDEX(应收键,MATCH($L1111,应收单号,0)),"")&lt;&gt;$D1111),"★关联单号不是这个客户的",IF(AND($L1111&lt;&gt;"",ROUND(SUMIF(收款关联,$L1111,收款金额)-IFERROR(INDEX(应收金额,MATCH($L1111,应收单号,0)),0),2)&gt;0.001),"★指定冲销超过那张单的应收","OK"))))))))</f>
        <v/>
      </c>
    </row>
    <row r="1112" customFormat="false" ht="15" hidden="false" customHeight="false" outlineLevel="0" collapsed="false">
      <c r="A1112" s="29" t="str">
        <f aca="false">IF($C1112="","",ROW()-4)</f>
        <v/>
      </c>
      <c r="B1112" s="35" t="str">
        <f aca="false">IF($C1112="","","SK"&amp;TEXT($C1112,"yyyymm")&amp;"-"&amp;TEXT(ROW()-4,"0000"))</f>
        <v/>
      </c>
      <c r="C1112" s="33"/>
      <c r="D1112" s="24"/>
      <c r="E1112" s="30" t="str">
        <f aca="false">IF($D1112="","",IFERROR(INDEX(合同单位,MATCH($D1112,合同键,0)),IFERROR(TRIM(LEFT($D1112,FIND("｜",$D1112)-1)),$D1112)))</f>
        <v/>
      </c>
      <c r="F1112" s="30" t="str">
        <f aca="false">IF($D1112="","",IFERROR(INDEX(合同项目,MATCH($D1112,合同键,0)),IFERROR(TRIM(MID($D1112,FIND("｜",$D1112)+1,99)),"")))</f>
        <v/>
      </c>
      <c r="G1112" s="39"/>
      <c r="H1112" s="25"/>
      <c r="I1112" s="35" t="str">
        <f aca="false">IF($H1112="","",IFERROR(INDEX(票据归类表,MATCH($H1112,票据类型表,0)),"现金无票"))</f>
        <v/>
      </c>
      <c r="J1112" s="25"/>
      <c r="K1112" s="25"/>
      <c r="L1112" s="31"/>
      <c r="M1112" s="29" t="str">
        <f aca="false">IF($C1112="","",YEAR($C1112))</f>
        <v/>
      </c>
      <c r="N1112" s="24"/>
      <c r="O1112" s="35" t="str">
        <f aca="false">IF($C1112="","",IF($D1112="","★没选客户项目",IF(COUNTIF(合同键,$D1112)=0,"★《维保合同》里没这个项目",IF(N($G1112)&lt;=0,"★收款金额要填",IF($H1112="","★票据类型要选",IF(AND($L1112&lt;&gt;"",COUNTIF(应收单号,$L1112)=0),"★关联的应收单号不存在",IF(AND($L1112&lt;&gt;"",IFERROR(INDEX(应收键,MATCH($L1112,应收单号,0)),"")&lt;&gt;$D1112),"★关联单号不是这个客户的",IF(AND($L1112&lt;&gt;"",ROUND(SUMIF(收款关联,$L1112,收款金额)-IFERROR(INDEX(应收金额,MATCH($L1112,应收单号,0)),0),2)&gt;0.001),"★指定冲销超过那张单的应收","OK"))))))))</f>
        <v/>
      </c>
    </row>
    <row r="1113" customFormat="false" ht="15" hidden="false" customHeight="false" outlineLevel="0" collapsed="false">
      <c r="A1113" s="29" t="str">
        <f aca="false">IF($C1113="","",ROW()-4)</f>
        <v/>
      </c>
      <c r="B1113" s="35" t="str">
        <f aca="false">IF($C1113="","","SK"&amp;TEXT($C1113,"yyyymm")&amp;"-"&amp;TEXT(ROW()-4,"0000"))</f>
        <v/>
      </c>
      <c r="C1113" s="33"/>
      <c r="D1113" s="24"/>
      <c r="E1113" s="30" t="str">
        <f aca="false">IF($D1113="","",IFERROR(INDEX(合同单位,MATCH($D1113,合同键,0)),IFERROR(TRIM(LEFT($D1113,FIND("｜",$D1113)-1)),$D1113)))</f>
        <v/>
      </c>
      <c r="F1113" s="30" t="str">
        <f aca="false">IF($D1113="","",IFERROR(INDEX(合同项目,MATCH($D1113,合同键,0)),IFERROR(TRIM(MID($D1113,FIND("｜",$D1113)+1,99)),"")))</f>
        <v/>
      </c>
      <c r="G1113" s="39"/>
      <c r="H1113" s="25"/>
      <c r="I1113" s="35" t="str">
        <f aca="false">IF($H1113="","",IFERROR(INDEX(票据归类表,MATCH($H1113,票据类型表,0)),"现金无票"))</f>
        <v/>
      </c>
      <c r="J1113" s="25"/>
      <c r="K1113" s="25"/>
      <c r="L1113" s="31"/>
      <c r="M1113" s="29" t="str">
        <f aca="false">IF($C1113="","",YEAR($C1113))</f>
        <v/>
      </c>
      <c r="N1113" s="24"/>
      <c r="O1113" s="35" t="str">
        <f aca="false">IF($C1113="","",IF($D1113="","★没选客户项目",IF(COUNTIF(合同键,$D1113)=0,"★《维保合同》里没这个项目",IF(N($G1113)&lt;=0,"★收款金额要填",IF($H1113="","★票据类型要选",IF(AND($L1113&lt;&gt;"",COUNTIF(应收单号,$L1113)=0),"★关联的应收单号不存在",IF(AND($L1113&lt;&gt;"",IFERROR(INDEX(应收键,MATCH($L1113,应收单号,0)),"")&lt;&gt;$D1113),"★关联单号不是这个客户的",IF(AND($L1113&lt;&gt;"",ROUND(SUMIF(收款关联,$L1113,收款金额)-IFERROR(INDEX(应收金额,MATCH($L1113,应收单号,0)),0),2)&gt;0.001),"★指定冲销超过那张单的应收","OK"))))))))</f>
        <v/>
      </c>
    </row>
    <row r="1114" customFormat="false" ht="15" hidden="false" customHeight="false" outlineLevel="0" collapsed="false">
      <c r="A1114" s="29" t="str">
        <f aca="false">IF($C1114="","",ROW()-4)</f>
        <v/>
      </c>
      <c r="B1114" s="35" t="str">
        <f aca="false">IF($C1114="","","SK"&amp;TEXT($C1114,"yyyymm")&amp;"-"&amp;TEXT(ROW()-4,"0000"))</f>
        <v/>
      </c>
      <c r="C1114" s="33"/>
      <c r="D1114" s="24"/>
      <c r="E1114" s="30" t="str">
        <f aca="false">IF($D1114="","",IFERROR(INDEX(合同单位,MATCH($D1114,合同键,0)),IFERROR(TRIM(LEFT($D1114,FIND("｜",$D1114)-1)),$D1114)))</f>
        <v/>
      </c>
      <c r="F1114" s="30" t="str">
        <f aca="false">IF($D1114="","",IFERROR(INDEX(合同项目,MATCH($D1114,合同键,0)),IFERROR(TRIM(MID($D1114,FIND("｜",$D1114)+1,99)),"")))</f>
        <v/>
      </c>
      <c r="G1114" s="39"/>
      <c r="H1114" s="25"/>
      <c r="I1114" s="35" t="str">
        <f aca="false">IF($H1114="","",IFERROR(INDEX(票据归类表,MATCH($H1114,票据类型表,0)),"现金无票"))</f>
        <v/>
      </c>
      <c r="J1114" s="25"/>
      <c r="K1114" s="25"/>
      <c r="L1114" s="31"/>
      <c r="M1114" s="29" t="str">
        <f aca="false">IF($C1114="","",YEAR($C1114))</f>
        <v/>
      </c>
      <c r="N1114" s="24"/>
      <c r="O1114" s="35" t="str">
        <f aca="false">IF($C1114="","",IF($D1114="","★没选客户项目",IF(COUNTIF(合同键,$D1114)=0,"★《维保合同》里没这个项目",IF(N($G1114)&lt;=0,"★收款金额要填",IF($H1114="","★票据类型要选",IF(AND($L1114&lt;&gt;"",COUNTIF(应收单号,$L1114)=0),"★关联的应收单号不存在",IF(AND($L1114&lt;&gt;"",IFERROR(INDEX(应收键,MATCH($L1114,应收单号,0)),"")&lt;&gt;$D1114),"★关联单号不是这个客户的",IF(AND($L1114&lt;&gt;"",ROUND(SUMIF(收款关联,$L1114,收款金额)-IFERROR(INDEX(应收金额,MATCH($L1114,应收单号,0)),0),2)&gt;0.001),"★指定冲销超过那张单的应收","OK"))))))))</f>
        <v/>
      </c>
    </row>
    <row r="1115" customFormat="false" ht="15" hidden="false" customHeight="false" outlineLevel="0" collapsed="false">
      <c r="A1115" s="29" t="str">
        <f aca="false">IF($C1115="","",ROW()-4)</f>
        <v/>
      </c>
      <c r="B1115" s="35" t="str">
        <f aca="false">IF($C1115="","","SK"&amp;TEXT($C1115,"yyyymm")&amp;"-"&amp;TEXT(ROW()-4,"0000"))</f>
        <v/>
      </c>
      <c r="C1115" s="33"/>
      <c r="D1115" s="24"/>
      <c r="E1115" s="30" t="str">
        <f aca="false">IF($D1115="","",IFERROR(INDEX(合同单位,MATCH($D1115,合同键,0)),IFERROR(TRIM(LEFT($D1115,FIND("｜",$D1115)-1)),$D1115)))</f>
        <v/>
      </c>
      <c r="F1115" s="30" t="str">
        <f aca="false">IF($D1115="","",IFERROR(INDEX(合同项目,MATCH($D1115,合同键,0)),IFERROR(TRIM(MID($D1115,FIND("｜",$D1115)+1,99)),"")))</f>
        <v/>
      </c>
      <c r="G1115" s="39"/>
      <c r="H1115" s="25"/>
      <c r="I1115" s="35" t="str">
        <f aca="false">IF($H1115="","",IFERROR(INDEX(票据归类表,MATCH($H1115,票据类型表,0)),"现金无票"))</f>
        <v/>
      </c>
      <c r="J1115" s="25"/>
      <c r="K1115" s="25"/>
      <c r="L1115" s="31"/>
      <c r="M1115" s="29" t="str">
        <f aca="false">IF($C1115="","",YEAR($C1115))</f>
        <v/>
      </c>
      <c r="N1115" s="24"/>
      <c r="O1115" s="35" t="str">
        <f aca="false">IF($C1115="","",IF($D1115="","★没选客户项目",IF(COUNTIF(合同键,$D1115)=0,"★《维保合同》里没这个项目",IF(N($G1115)&lt;=0,"★收款金额要填",IF($H1115="","★票据类型要选",IF(AND($L1115&lt;&gt;"",COUNTIF(应收单号,$L1115)=0),"★关联的应收单号不存在",IF(AND($L1115&lt;&gt;"",IFERROR(INDEX(应收键,MATCH($L1115,应收单号,0)),"")&lt;&gt;$D1115),"★关联单号不是这个客户的",IF(AND($L1115&lt;&gt;"",ROUND(SUMIF(收款关联,$L1115,收款金额)-IFERROR(INDEX(应收金额,MATCH($L1115,应收单号,0)),0),2)&gt;0.001),"★指定冲销超过那张单的应收","OK"))))))))</f>
        <v/>
      </c>
    </row>
    <row r="1116" customFormat="false" ht="15" hidden="false" customHeight="false" outlineLevel="0" collapsed="false">
      <c r="A1116" s="29" t="str">
        <f aca="false">IF($C1116="","",ROW()-4)</f>
        <v/>
      </c>
      <c r="B1116" s="35" t="str">
        <f aca="false">IF($C1116="","","SK"&amp;TEXT($C1116,"yyyymm")&amp;"-"&amp;TEXT(ROW()-4,"0000"))</f>
        <v/>
      </c>
      <c r="C1116" s="33"/>
      <c r="D1116" s="24"/>
      <c r="E1116" s="30" t="str">
        <f aca="false">IF($D1116="","",IFERROR(INDEX(合同单位,MATCH($D1116,合同键,0)),IFERROR(TRIM(LEFT($D1116,FIND("｜",$D1116)-1)),$D1116)))</f>
        <v/>
      </c>
      <c r="F1116" s="30" t="str">
        <f aca="false">IF($D1116="","",IFERROR(INDEX(合同项目,MATCH($D1116,合同键,0)),IFERROR(TRIM(MID($D1116,FIND("｜",$D1116)+1,99)),"")))</f>
        <v/>
      </c>
      <c r="G1116" s="39"/>
      <c r="H1116" s="25"/>
      <c r="I1116" s="35" t="str">
        <f aca="false">IF($H1116="","",IFERROR(INDEX(票据归类表,MATCH($H1116,票据类型表,0)),"现金无票"))</f>
        <v/>
      </c>
      <c r="J1116" s="25"/>
      <c r="K1116" s="25"/>
      <c r="L1116" s="31"/>
      <c r="M1116" s="29" t="str">
        <f aca="false">IF($C1116="","",YEAR($C1116))</f>
        <v/>
      </c>
      <c r="N1116" s="24"/>
      <c r="O1116" s="35" t="str">
        <f aca="false">IF($C1116="","",IF($D1116="","★没选客户项目",IF(COUNTIF(合同键,$D1116)=0,"★《维保合同》里没这个项目",IF(N($G1116)&lt;=0,"★收款金额要填",IF($H1116="","★票据类型要选",IF(AND($L1116&lt;&gt;"",COUNTIF(应收单号,$L1116)=0),"★关联的应收单号不存在",IF(AND($L1116&lt;&gt;"",IFERROR(INDEX(应收键,MATCH($L1116,应收单号,0)),"")&lt;&gt;$D1116),"★关联单号不是这个客户的",IF(AND($L1116&lt;&gt;"",ROUND(SUMIF(收款关联,$L1116,收款金额)-IFERROR(INDEX(应收金额,MATCH($L1116,应收单号,0)),0),2)&gt;0.001),"★指定冲销超过那张单的应收","OK"))))))))</f>
        <v/>
      </c>
    </row>
    <row r="1117" customFormat="false" ht="15" hidden="false" customHeight="false" outlineLevel="0" collapsed="false">
      <c r="A1117" s="29" t="str">
        <f aca="false">IF($C1117="","",ROW()-4)</f>
        <v/>
      </c>
      <c r="B1117" s="35" t="str">
        <f aca="false">IF($C1117="","","SK"&amp;TEXT($C1117,"yyyymm")&amp;"-"&amp;TEXT(ROW()-4,"0000"))</f>
        <v/>
      </c>
      <c r="C1117" s="33"/>
      <c r="D1117" s="24"/>
      <c r="E1117" s="30" t="str">
        <f aca="false">IF($D1117="","",IFERROR(INDEX(合同单位,MATCH($D1117,合同键,0)),IFERROR(TRIM(LEFT($D1117,FIND("｜",$D1117)-1)),$D1117)))</f>
        <v/>
      </c>
      <c r="F1117" s="30" t="str">
        <f aca="false">IF($D1117="","",IFERROR(INDEX(合同项目,MATCH($D1117,合同键,0)),IFERROR(TRIM(MID($D1117,FIND("｜",$D1117)+1,99)),"")))</f>
        <v/>
      </c>
      <c r="G1117" s="39"/>
      <c r="H1117" s="25"/>
      <c r="I1117" s="35" t="str">
        <f aca="false">IF($H1117="","",IFERROR(INDEX(票据归类表,MATCH($H1117,票据类型表,0)),"现金无票"))</f>
        <v/>
      </c>
      <c r="J1117" s="25"/>
      <c r="K1117" s="25"/>
      <c r="L1117" s="31"/>
      <c r="M1117" s="29" t="str">
        <f aca="false">IF($C1117="","",YEAR($C1117))</f>
        <v/>
      </c>
      <c r="N1117" s="24"/>
      <c r="O1117" s="35" t="str">
        <f aca="false">IF($C1117="","",IF($D1117="","★没选客户项目",IF(COUNTIF(合同键,$D1117)=0,"★《维保合同》里没这个项目",IF(N($G1117)&lt;=0,"★收款金额要填",IF($H1117="","★票据类型要选",IF(AND($L1117&lt;&gt;"",COUNTIF(应收单号,$L1117)=0),"★关联的应收单号不存在",IF(AND($L1117&lt;&gt;"",IFERROR(INDEX(应收键,MATCH($L1117,应收单号,0)),"")&lt;&gt;$D1117),"★关联单号不是这个客户的",IF(AND($L1117&lt;&gt;"",ROUND(SUMIF(收款关联,$L1117,收款金额)-IFERROR(INDEX(应收金额,MATCH($L1117,应收单号,0)),0),2)&gt;0.001),"★指定冲销超过那张单的应收","OK"))))))))</f>
        <v/>
      </c>
    </row>
    <row r="1118" customFormat="false" ht="15" hidden="false" customHeight="false" outlineLevel="0" collapsed="false">
      <c r="A1118" s="29" t="str">
        <f aca="false">IF($C1118="","",ROW()-4)</f>
        <v/>
      </c>
      <c r="B1118" s="35" t="str">
        <f aca="false">IF($C1118="","","SK"&amp;TEXT($C1118,"yyyymm")&amp;"-"&amp;TEXT(ROW()-4,"0000"))</f>
        <v/>
      </c>
      <c r="C1118" s="33"/>
      <c r="D1118" s="24"/>
      <c r="E1118" s="30" t="str">
        <f aca="false">IF($D1118="","",IFERROR(INDEX(合同单位,MATCH($D1118,合同键,0)),IFERROR(TRIM(LEFT($D1118,FIND("｜",$D1118)-1)),$D1118)))</f>
        <v/>
      </c>
      <c r="F1118" s="30" t="str">
        <f aca="false">IF($D1118="","",IFERROR(INDEX(合同项目,MATCH($D1118,合同键,0)),IFERROR(TRIM(MID($D1118,FIND("｜",$D1118)+1,99)),"")))</f>
        <v/>
      </c>
      <c r="G1118" s="39"/>
      <c r="H1118" s="25"/>
      <c r="I1118" s="35" t="str">
        <f aca="false">IF($H1118="","",IFERROR(INDEX(票据归类表,MATCH($H1118,票据类型表,0)),"现金无票"))</f>
        <v/>
      </c>
      <c r="J1118" s="25"/>
      <c r="K1118" s="25"/>
      <c r="L1118" s="31"/>
      <c r="M1118" s="29" t="str">
        <f aca="false">IF($C1118="","",YEAR($C1118))</f>
        <v/>
      </c>
      <c r="N1118" s="24"/>
      <c r="O1118" s="35" t="str">
        <f aca="false">IF($C1118="","",IF($D1118="","★没选客户项目",IF(COUNTIF(合同键,$D1118)=0,"★《维保合同》里没这个项目",IF(N($G1118)&lt;=0,"★收款金额要填",IF($H1118="","★票据类型要选",IF(AND($L1118&lt;&gt;"",COUNTIF(应收单号,$L1118)=0),"★关联的应收单号不存在",IF(AND($L1118&lt;&gt;"",IFERROR(INDEX(应收键,MATCH($L1118,应收单号,0)),"")&lt;&gt;$D1118),"★关联单号不是这个客户的",IF(AND($L1118&lt;&gt;"",ROUND(SUMIF(收款关联,$L1118,收款金额)-IFERROR(INDEX(应收金额,MATCH($L1118,应收单号,0)),0),2)&gt;0.001),"★指定冲销超过那张单的应收","OK"))))))))</f>
        <v/>
      </c>
    </row>
    <row r="1119" customFormat="false" ht="15" hidden="false" customHeight="false" outlineLevel="0" collapsed="false">
      <c r="A1119" s="29" t="str">
        <f aca="false">IF($C1119="","",ROW()-4)</f>
        <v/>
      </c>
      <c r="B1119" s="35" t="str">
        <f aca="false">IF($C1119="","","SK"&amp;TEXT($C1119,"yyyymm")&amp;"-"&amp;TEXT(ROW()-4,"0000"))</f>
        <v/>
      </c>
      <c r="C1119" s="33"/>
      <c r="D1119" s="24"/>
      <c r="E1119" s="30" t="str">
        <f aca="false">IF($D1119="","",IFERROR(INDEX(合同单位,MATCH($D1119,合同键,0)),IFERROR(TRIM(LEFT($D1119,FIND("｜",$D1119)-1)),$D1119)))</f>
        <v/>
      </c>
      <c r="F1119" s="30" t="str">
        <f aca="false">IF($D1119="","",IFERROR(INDEX(合同项目,MATCH($D1119,合同键,0)),IFERROR(TRIM(MID($D1119,FIND("｜",$D1119)+1,99)),"")))</f>
        <v/>
      </c>
      <c r="G1119" s="39"/>
      <c r="H1119" s="25"/>
      <c r="I1119" s="35" t="str">
        <f aca="false">IF($H1119="","",IFERROR(INDEX(票据归类表,MATCH($H1119,票据类型表,0)),"现金无票"))</f>
        <v/>
      </c>
      <c r="J1119" s="25"/>
      <c r="K1119" s="25"/>
      <c r="L1119" s="31"/>
      <c r="M1119" s="29" t="str">
        <f aca="false">IF($C1119="","",YEAR($C1119))</f>
        <v/>
      </c>
      <c r="N1119" s="24"/>
      <c r="O1119" s="35" t="str">
        <f aca="false">IF($C1119="","",IF($D1119="","★没选客户项目",IF(COUNTIF(合同键,$D1119)=0,"★《维保合同》里没这个项目",IF(N($G1119)&lt;=0,"★收款金额要填",IF($H1119="","★票据类型要选",IF(AND($L1119&lt;&gt;"",COUNTIF(应收单号,$L1119)=0),"★关联的应收单号不存在",IF(AND($L1119&lt;&gt;"",IFERROR(INDEX(应收键,MATCH($L1119,应收单号,0)),"")&lt;&gt;$D1119),"★关联单号不是这个客户的",IF(AND($L1119&lt;&gt;"",ROUND(SUMIF(收款关联,$L1119,收款金额)-IFERROR(INDEX(应收金额,MATCH($L1119,应收单号,0)),0),2)&gt;0.001),"★指定冲销超过那张单的应收","OK"))))))))</f>
        <v/>
      </c>
    </row>
    <row r="1120" customFormat="false" ht="15" hidden="false" customHeight="false" outlineLevel="0" collapsed="false">
      <c r="A1120" s="29" t="str">
        <f aca="false">IF($C1120="","",ROW()-4)</f>
        <v/>
      </c>
      <c r="B1120" s="35" t="str">
        <f aca="false">IF($C1120="","","SK"&amp;TEXT($C1120,"yyyymm")&amp;"-"&amp;TEXT(ROW()-4,"0000"))</f>
        <v/>
      </c>
      <c r="C1120" s="33"/>
      <c r="D1120" s="24"/>
      <c r="E1120" s="30" t="str">
        <f aca="false">IF($D1120="","",IFERROR(INDEX(合同单位,MATCH($D1120,合同键,0)),IFERROR(TRIM(LEFT($D1120,FIND("｜",$D1120)-1)),$D1120)))</f>
        <v/>
      </c>
      <c r="F1120" s="30" t="str">
        <f aca="false">IF($D1120="","",IFERROR(INDEX(合同项目,MATCH($D1120,合同键,0)),IFERROR(TRIM(MID($D1120,FIND("｜",$D1120)+1,99)),"")))</f>
        <v/>
      </c>
      <c r="G1120" s="39"/>
      <c r="H1120" s="25"/>
      <c r="I1120" s="35" t="str">
        <f aca="false">IF($H1120="","",IFERROR(INDEX(票据归类表,MATCH($H1120,票据类型表,0)),"现金无票"))</f>
        <v/>
      </c>
      <c r="J1120" s="25"/>
      <c r="K1120" s="25"/>
      <c r="L1120" s="31"/>
      <c r="M1120" s="29" t="str">
        <f aca="false">IF($C1120="","",YEAR($C1120))</f>
        <v/>
      </c>
      <c r="N1120" s="24"/>
      <c r="O1120" s="35" t="str">
        <f aca="false">IF($C1120="","",IF($D1120="","★没选客户项目",IF(COUNTIF(合同键,$D1120)=0,"★《维保合同》里没这个项目",IF(N($G1120)&lt;=0,"★收款金额要填",IF($H1120="","★票据类型要选",IF(AND($L1120&lt;&gt;"",COUNTIF(应收单号,$L1120)=0),"★关联的应收单号不存在",IF(AND($L1120&lt;&gt;"",IFERROR(INDEX(应收键,MATCH($L1120,应收单号,0)),"")&lt;&gt;$D1120),"★关联单号不是这个客户的",IF(AND($L1120&lt;&gt;"",ROUND(SUMIF(收款关联,$L1120,收款金额)-IFERROR(INDEX(应收金额,MATCH($L1120,应收单号,0)),0),2)&gt;0.001),"★指定冲销超过那张单的应收","OK"))))))))</f>
        <v/>
      </c>
    </row>
    <row r="1121" customFormat="false" ht="15" hidden="false" customHeight="false" outlineLevel="0" collapsed="false">
      <c r="A1121" s="29" t="str">
        <f aca="false">IF($C1121="","",ROW()-4)</f>
        <v/>
      </c>
      <c r="B1121" s="35" t="str">
        <f aca="false">IF($C1121="","","SK"&amp;TEXT($C1121,"yyyymm")&amp;"-"&amp;TEXT(ROW()-4,"0000"))</f>
        <v/>
      </c>
      <c r="C1121" s="33"/>
      <c r="D1121" s="24"/>
      <c r="E1121" s="30" t="str">
        <f aca="false">IF($D1121="","",IFERROR(INDEX(合同单位,MATCH($D1121,合同键,0)),IFERROR(TRIM(LEFT($D1121,FIND("｜",$D1121)-1)),$D1121)))</f>
        <v/>
      </c>
      <c r="F1121" s="30" t="str">
        <f aca="false">IF($D1121="","",IFERROR(INDEX(合同项目,MATCH($D1121,合同键,0)),IFERROR(TRIM(MID($D1121,FIND("｜",$D1121)+1,99)),"")))</f>
        <v/>
      </c>
      <c r="G1121" s="39"/>
      <c r="H1121" s="25"/>
      <c r="I1121" s="35" t="str">
        <f aca="false">IF($H1121="","",IFERROR(INDEX(票据归类表,MATCH($H1121,票据类型表,0)),"现金无票"))</f>
        <v/>
      </c>
      <c r="J1121" s="25"/>
      <c r="K1121" s="25"/>
      <c r="L1121" s="31"/>
      <c r="M1121" s="29" t="str">
        <f aca="false">IF($C1121="","",YEAR($C1121))</f>
        <v/>
      </c>
      <c r="N1121" s="24"/>
      <c r="O1121" s="35" t="str">
        <f aca="false">IF($C1121="","",IF($D1121="","★没选客户项目",IF(COUNTIF(合同键,$D1121)=0,"★《维保合同》里没这个项目",IF(N($G1121)&lt;=0,"★收款金额要填",IF($H1121="","★票据类型要选",IF(AND($L1121&lt;&gt;"",COUNTIF(应收单号,$L1121)=0),"★关联的应收单号不存在",IF(AND($L1121&lt;&gt;"",IFERROR(INDEX(应收键,MATCH($L1121,应收单号,0)),"")&lt;&gt;$D1121),"★关联单号不是这个客户的",IF(AND($L1121&lt;&gt;"",ROUND(SUMIF(收款关联,$L1121,收款金额)-IFERROR(INDEX(应收金额,MATCH($L1121,应收单号,0)),0),2)&gt;0.001),"★指定冲销超过那张单的应收","OK"))))))))</f>
        <v/>
      </c>
    </row>
    <row r="1122" customFormat="false" ht="15" hidden="false" customHeight="false" outlineLevel="0" collapsed="false">
      <c r="A1122" s="29" t="str">
        <f aca="false">IF($C1122="","",ROW()-4)</f>
        <v/>
      </c>
      <c r="B1122" s="35" t="str">
        <f aca="false">IF($C1122="","","SK"&amp;TEXT($C1122,"yyyymm")&amp;"-"&amp;TEXT(ROW()-4,"0000"))</f>
        <v/>
      </c>
      <c r="C1122" s="33"/>
      <c r="D1122" s="24"/>
      <c r="E1122" s="30" t="str">
        <f aca="false">IF($D1122="","",IFERROR(INDEX(合同单位,MATCH($D1122,合同键,0)),IFERROR(TRIM(LEFT($D1122,FIND("｜",$D1122)-1)),$D1122)))</f>
        <v/>
      </c>
      <c r="F1122" s="30" t="str">
        <f aca="false">IF($D1122="","",IFERROR(INDEX(合同项目,MATCH($D1122,合同键,0)),IFERROR(TRIM(MID($D1122,FIND("｜",$D1122)+1,99)),"")))</f>
        <v/>
      </c>
      <c r="G1122" s="39"/>
      <c r="H1122" s="25"/>
      <c r="I1122" s="35" t="str">
        <f aca="false">IF($H1122="","",IFERROR(INDEX(票据归类表,MATCH($H1122,票据类型表,0)),"现金无票"))</f>
        <v/>
      </c>
      <c r="J1122" s="25"/>
      <c r="K1122" s="25"/>
      <c r="L1122" s="31"/>
      <c r="M1122" s="29" t="str">
        <f aca="false">IF($C1122="","",YEAR($C1122))</f>
        <v/>
      </c>
      <c r="N1122" s="24"/>
      <c r="O1122" s="35" t="str">
        <f aca="false">IF($C1122="","",IF($D1122="","★没选客户项目",IF(COUNTIF(合同键,$D1122)=0,"★《维保合同》里没这个项目",IF(N($G1122)&lt;=0,"★收款金额要填",IF($H1122="","★票据类型要选",IF(AND($L1122&lt;&gt;"",COUNTIF(应收单号,$L1122)=0),"★关联的应收单号不存在",IF(AND($L1122&lt;&gt;"",IFERROR(INDEX(应收键,MATCH($L1122,应收单号,0)),"")&lt;&gt;$D1122),"★关联单号不是这个客户的",IF(AND($L1122&lt;&gt;"",ROUND(SUMIF(收款关联,$L1122,收款金额)-IFERROR(INDEX(应收金额,MATCH($L1122,应收单号,0)),0),2)&gt;0.001),"★指定冲销超过那张单的应收","OK"))))))))</f>
        <v/>
      </c>
    </row>
    <row r="1123" customFormat="false" ht="15" hidden="false" customHeight="false" outlineLevel="0" collapsed="false">
      <c r="A1123" s="29" t="str">
        <f aca="false">IF($C1123="","",ROW()-4)</f>
        <v/>
      </c>
      <c r="B1123" s="35" t="str">
        <f aca="false">IF($C1123="","","SK"&amp;TEXT($C1123,"yyyymm")&amp;"-"&amp;TEXT(ROW()-4,"0000"))</f>
        <v/>
      </c>
      <c r="C1123" s="33"/>
      <c r="D1123" s="24"/>
      <c r="E1123" s="30" t="str">
        <f aca="false">IF($D1123="","",IFERROR(INDEX(合同单位,MATCH($D1123,合同键,0)),IFERROR(TRIM(LEFT($D1123,FIND("｜",$D1123)-1)),$D1123)))</f>
        <v/>
      </c>
      <c r="F1123" s="30" t="str">
        <f aca="false">IF($D1123="","",IFERROR(INDEX(合同项目,MATCH($D1123,合同键,0)),IFERROR(TRIM(MID($D1123,FIND("｜",$D1123)+1,99)),"")))</f>
        <v/>
      </c>
      <c r="G1123" s="39"/>
      <c r="H1123" s="25"/>
      <c r="I1123" s="35" t="str">
        <f aca="false">IF($H1123="","",IFERROR(INDEX(票据归类表,MATCH($H1123,票据类型表,0)),"现金无票"))</f>
        <v/>
      </c>
      <c r="J1123" s="25"/>
      <c r="K1123" s="25"/>
      <c r="L1123" s="31"/>
      <c r="M1123" s="29" t="str">
        <f aca="false">IF($C1123="","",YEAR($C1123))</f>
        <v/>
      </c>
      <c r="N1123" s="24"/>
      <c r="O1123" s="35" t="str">
        <f aca="false">IF($C1123="","",IF($D1123="","★没选客户项目",IF(COUNTIF(合同键,$D1123)=0,"★《维保合同》里没这个项目",IF(N($G1123)&lt;=0,"★收款金额要填",IF($H1123="","★票据类型要选",IF(AND($L1123&lt;&gt;"",COUNTIF(应收单号,$L1123)=0),"★关联的应收单号不存在",IF(AND($L1123&lt;&gt;"",IFERROR(INDEX(应收键,MATCH($L1123,应收单号,0)),"")&lt;&gt;$D1123),"★关联单号不是这个客户的",IF(AND($L1123&lt;&gt;"",ROUND(SUMIF(收款关联,$L1123,收款金额)-IFERROR(INDEX(应收金额,MATCH($L1123,应收单号,0)),0),2)&gt;0.001),"★指定冲销超过那张单的应收","OK"))))))))</f>
        <v/>
      </c>
    </row>
    <row r="1124" customFormat="false" ht="15" hidden="false" customHeight="false" outlineLevel="0" collapsed="false">
      <c r="A1124" s="29" t="str">
        <f aca="false">IF($C1124="","",ROW()-4)</f>
        <v/>
      </c>
      <c r="B1124" s="35" t="str">
        <f aca="false">IF($C1124="","","SK"&amp;TEXT($C1124,"yyyymm")&amp;"-"&amp;TEXT(ROW()-4,"0000"))</f>
        <v/>
      </c>
      <c r="C1124" s="33"/>
      <c r="D1124" s="24"/>
      <c r="E1124" s="30" t="str">
        <f aca="false">IF($D1124="","",IFERROR(INDEX(合同单位,MATCH($D1124,合同键,0)),IFERROR(TRIM(LEFT($D1124,FIND("｜",$D1124)-1)),$D1124)))</f>
        <v/>
      </c>
      <c r="F1124" s="30" t="str">
        <f aca="false">IF($D1124="","",IFERROR(INDEX(合同项目,MATCH($D1124,合同键,0)),IFERROR(TRIM(MID($D1124,FIND("｜",$D1124)+1,99)),"")))</f>
        <v/>
      </c>
      <c r="G1124" s="39"/>
      <c r="H1124" s="25"/>
      <c r="I1124" s="35" t="str">
        <f aca="false">IF($H1124="","",IFERROR(INDEX(票据归类表,MATCH($H1124,票据类型表,0)),"现金无票"))</f>
        <v/>
      </c>
      <c r="J1124" s="25"/>
      <c r="K1124" s="25"/>
      <c r="L1124" s="31"/>
      <c r="M1124" s="29" t="str">
        <f aca="false">IF($C1124="","",YEAR($C1124))</f>
        <v/>
      </c>
      <c r="N1124" s="24"/>
      <c r="O1124" s="35" t="str">
        <f aca="false">IF($C1124="","",IF($D1124="","★没选客户项目",IF(COUNTIF(合同键,$D1124)=0,"★《维保合同》里没这个项目",IF(N($G1124)&lt;=0,"★收款金额要填",IF($H1124="","★票据类型要选",IF(AND($L1124&lt;&gt;"",COUNTIF(应收单号,$L1124)=0),"★关联的应收单号不存在",IF(AND($L1124&lt;&gt;"",IFERROR(INDEX(应收键,MATCH($L1124,应收单号,0)),"")&lt;&gt;$D1124),"★关联单号不是这个客户的",IF(AND($L1124&lt;&gt;"",ROUND(SUMIF(收款关联,$L1124,收款金额)-IFERROR(INDEX(应收金额,MATCH($L1124,应收单号,0)),0),2)&gt;0.001),"★指定冲销超过那张单的应收","OK"))))))))</f>
        <v/>
      </c>
    </row>
    <row r="1125" customFormat="false" ht="15" hidden="false" customHeight="false" outlineLevel="0" collapsed="false">
      <c r="A1125" s="29" t="str">
        <f aca="false">IF($C1125="","",ROW()-4)</f>
        <v/>
      </c>
      <c r="B1125" s="35" t="str">
        <f aca="false">IF($C1125="","","SK"&amp;TEXT($C1125,"yyyymm")&amp;"-"&amp;TEXT(ROW()-4,"0000"))</f>
        <v/>
      </c>
      <c r="C1125" s="33"/>
      <c r="D1125" s="24"/>
      <c r="E1125" s="30" t="str">
        <f aca="false">IF($D1125="","",IFERROR(INDEX(合同单位,MATCH($D1125,合同键,0)),IFERROR(TRIM(LEFT($D1125,FIND("｜",$D1125)-1)),$D1125)))</f>
        <v/>
      </c>
      <c r="F1125" s="30" t="str">
        <f aca="false">IF($D1125="","",IFERROR(INDEX(合同项目,MATCH($D1125,合同键,0)),IFERROR(TRIM(MID($D1125,FIND("｜",$D1125)+1,99)),"")))</f>
        <v/>
      </c>
      <c r="G1125" s="39"/>
      <c r="H1125" s="25"/>
      <c r="I1125" s="35" t="str">
        <f aca="false">IF($H1125="","",IFERROR(INDEX(票据归类表,MATCH($H1125,票据类型表,0)),"现金无票"))</f>
        <v/>
      </c>
      <c r="J1125" s="25"/>
      <c r="K1125" s="25"/>
      <c r="L1125" s="31"/>
      <c r="M1125" s="29" t="str">
        <f aca="false">IF($C1125="","",YEAR($C1125))</f>
        <v/>
      </c>
      <c r="N1125" s="24"/>
      <c r="O1125" s="35" t="str">
        <f aca="false">IF($C1125="","",IF($D1125="","★没选客户项目",IF(COUNTIF(合同键,$D1125)=0,"★《维保合同》里没这个项目",IF(N($G1125)&lt;=0,"★收款金额要填",IF($H1125="","★票据类型要选",IF(AND($L1125&lt;&gt;"",COUNTIF(应收单号,$L1125)=0),"★关联的应收单号不存在",IF(AND($L1125&lt;&gt;"",IFERROR(INDEX(应收键,MATCH($L1125,应收单号,0)),"")&lt;&gt;$D1125),"★关联单号不是这个客户的",IF(AND($L1125&lt;&gt;"",ROUND(SUMIF(收款关联,$L1125,收款金额)-IFERROR(INDEX(应收金额,MATCH($L1125,应收单号,0)),0),2)&gt;0.001),"★指定冲销超过那张单的应收","OK"))))))))</f>
        <v/>
      </c>
    </row>
    <row r="1126" customFormat="false" ht="15" hidden="false" customHeight="false" outlineLevel="0" collapsed="false">
      <c r="A1126" s="29" t="str">
        <f aca="false">IF($C1126="","",ROW()-4)</f>
        <v/>
      </c>
      <c r="B1126" s="35" t="str">
        <f aca="false">IF($C1126="","","SK"&amp;TEXT($C1126,"yyyymm")&amp;"-"&amp;TEXT(ROW()-4,"0000"))</f>
        <v/>
      </c>
      <c r="C1126" s="33"/>
      <c r="D1126" s="24"/>
      <c r="E1126" s="30" t="str">
        <f aca="false">IF($D1126="","",IFERROR(INDEX(合同单位,MATCH($D1126,合同键,0)),IFERROR(TRIM(LEFT($D1126,FIND("｜",$D1126)-1)),$D1126)))</f>
        <v/>
      </c>
      <c r="F1126" s="30" t="str">
        <f aca="false">IF($D1126="","",IFERROR(INDEX(合同项目,MATCH($D1126,合同键,0)),IFERROR(TRIM(MID($D1126,FIND("｜",$D1126)+1,99)),"")))</f>
        <v/>
      </c>
      <c r="G1126" s="39"/>
      <c r="H1126" s="25"/>
      <c r="I1126" s="35" t="str">
        <f aca="false">IF($H1126="","",IFERROR(INDEX(票据归类表,MATCH($H1126,票据类型表,0)),"现金无票"))</f>
        <v/>
      </c>
      <c r="J1126" s="25"/>
      <c r="K1126" s="25"/>
      <c r="L1126" s="31"/>
      <c r="M1126" s="29" t="str">
        <f aca="false">IF($C1126="","",YEAR($C1126))</f>
        <v/>
      </c>
      <c r="N1126" s="24"/>
      <c r="O1126" s="35" t="str">
        <f aca="false">IF($C1126="","",IF($D1126="","★没选客户项目",IF(COUNTIF(合同键,$D1126)=0,"★《维保合同》里没这个项目",IF(N($G1126)&lt;=0,"★收款金额要填",IF($H1126="","★票据类型要选",IF(AND($L1126&lt;&gt;"",COUNTIF(应收单号,$L1126)=0),"★关联的应收单号不存在",IF(AND($L1126&lt;&gt;"",IFERROR(INDEX(应收键,MATCH($L1126,应收单号,0)),"")&lt;&gt;$D1126),"★关联单号不是这个客户的",IF(AND($L1126&lt;&gt;"",ROUND(SUMIF(收款关联,$L1126,收款金额)-IFERROR(INDEX(应收金额,MATCH($L1126,应收单号,0)),0),2)&gt;0.001),"★指定冲销超过那张单的应收","OK"))))))))</f>
        <v/>
      </c>
    </row>
    <row r="1127" customFormat="false" ht="15" hidden="false" customHeight="false" outlineLevel="0" collapsed="false">
      <c r="A1127" s="29" t="str">
        <f aca="false">IF($C1127="","",ROW()-4)</f>
        <v/>
      </c>
      <c r="B1127" s="35" t="str">
        <f aca="false">IF($C1127="","","SK"&amp;TEXT($C1127,"yyyymm")&amp;"-"&amp;TEXT(ROW()-4,"0000"))</f>
        <v/>
      </c>
      <c r="C1127" s="33"/>
      <c r="D1127" s="24"/>
      <c r="E1127" s="30" t="str">
        <f aca="false">IF($D1127="","",IFERROR(INDEX(合同单位,MATCH($D1127,合同键,0)),IFERROR(TRIM(LEFT($D1127,FIND("｜",$D1127)-1)),$D1127)))</f>
        <v/>
      </c>
      <c r="F1127" s="30" t="str">
        <f aca="false">IF($D1127="","",IFERROR(INDEX(合同项目,MATCH($D1127,合同键,0)),IFERROR(TRIM(MID($D1127,FIND("｜",$D1127)+1,99)),"")))</f>
        <v/>
      </c>
      <c r="G1127" s="39"/>
      <c r="H1127" s="25"/>
      <c r="I1127" s="35" t="str">
        <f aca="false">IF($H1127="","",IFERROR(INDEX(票据归类表,MATCH($H1127,票据类型表,0)),"现金无票"))</f>
        <v/>
      </c>
      <c r="J1127" s="25"/>
      <c r="K1127" s="25"/>
      <c r="L1127" s="31"/>
      <c r="M1127" s="29" t="str">
        <f aca="false">IF($C1127="","",YEAR($C1127))</f>
        <v/>
      </c>
      <c r="N1127" s="24"/>
      <c r="O1127" s="35" t="str">
        <f aca="false">IF($C1127="","",IF($D1127="","★没选客户项目",IF(COUNTIF(合同键,$D1127)=0,"★《维保合同》里没这个项目",IF(N($G1127)&lt;=0,"★收款金额要填",IF($H1127="","★票据类型要选",IF(AND($L1127&lt;&gt;"",COUNTIF(应收单号,$L1127)=0),"★关联的应收单号不存在",IF(AND($L1127&lt;&gt;"",IFERROR(INDEX(应收键,MATCH($L1127,应收单号,0)),"")&lt;&gt;$D1127),"★关联单号不是这个客户的",IF(AND($L1127&lt;&gt;"",ROUND(SUMIF(收款关联,$L1127,收款金额)-IFERROR(INDEX(应收金额,MATCH($L1127,应收单号,0)),0),2)&gt;0.001),"★指定冲销超过那张单的应收","OK"))))))))</f>
        <v/>
      </c>
    </row>
    <row r="1128" customFormat="false" ht="15" hidden="false" customHeight="false" outlineLevel="0" collapsed="false">
      <c r="A1128" s="29" t="str">
        <f aca="false">IF($C1128="","",ROW()-4)</f>
        <v/>
      </c>
      <c r="B1128" s="35" t="str">
        <f aca="false">IF($C1128="","","SK"&amp;TEXT($C1128,"yyyymm")&amp;"-"&amp;TEXT(ROW()-4,"0000"))</f>
        <v/>
      </c>
      <c r="C1128" s="33"/>
      <c r="D1128" s="24"/>
      <c r="E1128" s="30" t="str">
        <f aca="false">IF($D1128="","",IFERROR(INDEX(合同单位,MATCH($D1128,合同键,0)),IFERROR(TRIM(LEFT($D1128,FIND("｜",$D1128)-1)),$D1128)))</f>
        <v/>
      </c>
      <c r="F1128" s="30" t="str">
        <f aca="false">IF($D1128="","",IFERROR(INDEX(合同项目,MATCH($D1128,合同键,0)),IFERROR(TRIM(MID($D1128,FIND("｜",$D1128)+1,99)),"")))</f>
        <v/>
      </c>
      <c r="G1128" s="39"/>
      <c r="H1128" s="25"/>
      <c r="I1128" s="35" t="str">
        <f aca="false">IF($H1128="","",IFERROR(INDEX(票据归类表,MATCH($H1128,票据类型表,0)),"现金无票"))</f>
        <v/>
      </c>
      <c r="J1128" s="25"/>
      <c r="K1128" s="25"/>
      <c r="L1128" s="31"/>
      <c r="M1128" s="29" t="str">
        <f aca="false">IF($C1128="","",YEAR($C1128))</f>
        <v/>
      </c>
      <c r="N1128" s="24"/>
      <c r="O1128" s="35" t="str">
        <f aca="false">IF($C1128="","",IF($D1128="","★没选客户项目",IF(COUNTIF(合同键,$D1128)=0,"★《维保合同》里没这个项目",IF(N($G1128)&lt;=0,"★收款金额要填",IF($H1128="","★票据类型要选",IF(AND($L1128&lt;&gt;"",COUNTIF(应收单号,$L1128)=0),"★关联的应收单号不存在",IF(AND($L1128&lt;&gt;"",IFERROR(INDEX(应收键,MATCH($L1128,应收单号,0)),"")&lt;&gt;$D1128),"★关联单号不是这个客户的",IF(AND($L1128&lt;&gt;"",ROUND(SUMIF(收款关联,$L1128,收款金额)-IFERROR(INDEX(应收金额,MATCH($L1128,应收单号,0)),0),2)&gt;0.001),"★指定冲销超过那张单的应收","OK"))))))))</f>
        <v/>
      </c>
    </row>
    <row r="1129" customFormat="false" ht="15" hidden="false" customHeight="false" outlineLevel="0" collapsed="false">
      <c r="A1129" s="29" t="str">
        <f aca="false">IF($C1129="","",ROW()-4)</f>
        <v/>
      </c>
      <c r="B1129" s="35" t="str">
        <f aca="false">IF($C1129="","","SK"&amp;TEXT($C1129,"yyyymm")&amp;"-"&amp;TEXT(ROW()-4,"0000"))</f>
        <v/>
      </c>
      <c r="C1129" s="33"/>
      <c r="D1129" s="24"/>
      <c r="E1129" s="30" t="str">
        <f aca="false">IF($D1129="","",IFERROR(INDEX(合同单位,MATCH($D1129,合同键,0)),IFERROR(TRIM(LEFT($D1129,FIND("｜",$D1129)-1)),$D1129)))</f>
        <v/>
      </c>
      <c r="F1129" s="30" t="str">
        <f aca="false">IF($D1129="","",IFERROR(INDEX(合同项目,MATCH($D1129,合同键,0)),IFERROR(TRIM(MID($D1129,FIND("｜",$D1129)+1,99)),"")))</f>
        <v/>
      </c>
      <c r="G1129" s="39"/>
      <c r="H1129" s="25"/>
      <c r="I1129" s="35" t="str">
        <f aca="false">IF($H1129="","",IFERROR(INDEX(票据归类表,MATCH($H1129,票据类型表,0)),"现金无票"))</f>
        <v/>
      </c>
      <c r="J1129" s="25"/>
      <c r="K1129" s="25"/>
      <c r="L1129" s="31"/>
      <c r="M1129" s="29" t="str">
        <f aca="false">IF($C1129="","",YEAR($C1129))</f>
        <v/>
      </c>
      <c r="N1129" s="24"/>
      <c r="O1129" s="35" t="str">
        <f aca="false">IF($C1129="","",IF($D1129="","★没选客户项目",IF(COUNTIF(合同键,$D1129)=0,"★《维保合同》里没这个项目",IF(N($G1129)&lt;=0,"★收款金额要填",IF($H1129="","★票据类型要选",IF(AND($L1129&lt;&gt;"",COUNTIF(应收单号,$L1129)=0),"★关联的应收单号不存在",IF(AND($L1129&lt;&gt;"",IFERROR(INDEX(应收键,MATCH($L1129,应收单号,0)),"")&lt;&gt;$D1129),"★关联单号不是这个客户的",IF(AND($L1129&lt;&gt;"",ROUND(SUMIF(收款关联,$L1129,收款金额)-IFERROR(INDEX(应收金额,MATCH($L1129,应收单号,0)),0),2)&gt;0.001),"★指定冲销超过那张单的应收","OK"))))))))</f>
        <v/>
      </c>
    </row>
    <row r="1130" customFormat="false" ht="15" hidden="false" customHeight="false" outlineLevel="0" collapsed="false">
      <c r="A1130" s="29" t="str">
        <f aca="false">IF($C1130="","",ROW()-4)</f>
        <v/>
      </c>
      <c r="B1130" s="35" t="str">
        <f aca="false">IF($C1130="","","SK"&amp;TEXT($C1130,"yyyymm")&amp;"-"&amp;TEXT(ROW()-4,"0000"))</f>
        <v/>
      </c>
      <c r="C1130" s="33"/>
      <c r="D1130" s="24"/>
      <c r="E1130" s="30" t="str">
        <f aca="false">IF($D1130="","",IFERROR(INDEX(合同单位,MATCH($D1130,合同键,0)),IFERROR(TRIM(LEFT($D1130,FIND("｜",$D1130)-1)),$D1130)))</f>
        <v/>
      </c>
      <c r="F1130" s="30" t="str">
        <f aca="false">IF($D1130="","",IFERROR(INDEX(合同项目,MATCH($D1130,合同键,0)),IFERROR(TRIM(MID($D1130,FIND("｜",$D1130)+1,99)),"")))</f>
        <v/>
      </c>
      <c r="G1130" s="39"/>
      <c r="H1130" s="25"/>
      <c r="I1130" s="35" t="str">
        <f aca="false">IF($H1130="","",IFERROR(INDEX(票据归类表,MATCH($H1130,票据类型表,0)),"现金无票"))</f>
        <v/>
      </c>
      <c r="J1130" s="25"/>
      <c r="K1130" s="25"/>
      <c r="L1130" s="31"/>
      <c r="M1130" s="29" t="str">
        <f aca="false">IF($C1130="","",YEAR($C1130))</f>
        <v/>
      </c>
      <c r="N1130" s="24"/>
      <c r="O1130" s="35" t="str">
        <f aca="false">IF($C1130="","",IF($D1130="","★没选客户项目",IF(COUNTIF(合同键,$D1130)=0,"★《维保合同》里没这个项目",IF(N($G1130)&lt;=0,"★收款金额要填",IF($H1130="","★票据类型要选",IF(AND($L1130&lt;&gt;"",COUNTIF(应收单号,$L1130)=0),"★关联的应收单号不存在",IF(AND($L1130&lt;&gt;"",IFERROR(INDEX(应收键,MATCH($L1130,应收单号,0)),"")&lt;&gt;$D1130),"★关联单号不是这个客户的",IF(AND($L1130&lt;&gt;"",ROUND(SUMIF(收款关联,$L1130,收款金额)-IFERROR(INDEX(应收金额,MATCH($L1130,应收单号,0)),0),2)&gt;0.001),"★指定冲销超过那张单的应收","OK"))))))))</f>
        <v/>
      </c>
    </row>
    <row r="1131" customFormat="false" ht="15" hidden="false" customHeight="false" outlineLevel="0" collapsed="false">
      <c r="A1131" s="29" t="str">
        <f aca="false">IF($C1131="","",ROW()-4)</f>
        <v/>
      </c>
      <c r="B1131" s="35" t="str">
        <f aca="false">IF($C1131="","","SK"&amp;TEXT($C1131,"yyyymm")&amp;"-"&amp;TEXT(ROW()-4,"0000"))</f>
        <v/>
      </c>
      <c r="C1131" s="33"/>
      <c r="D1131" s="24"/>
      <c r="E1131" s="30" t="str">
        <f aca="false">IF($D1131="","",IFERROR(INDEX(合同单位,MATCH($D1131,合同键,0)),IFERROR(TRIM(LEFT($D1131,FIND("｜",$D1131)-1)),$D1131)))</f>
        <v/>
      </c>
      <c r="F1131" s="30" t="str">
        <f aca="false">IF($D1131="","",IFERROR(INDEX(合同项目,MATCH($D1131,合同键,0)),IFERROR(TRIM(MID($D1131,FIND("｜",$D1131)+1,99)),"")))</f>
        <v/>
      </c>
      <c r="G1131" s="39"/>
      <c r="H1131" s="25"/>
      <c r="I1131" s="35" t="str">
        <f aca="false">IF($H1131="","",IFERROR(INDEX(票据归类表,MATCH($H1131,票据类型表,0)),"现金无票"))</f>
        <v/>
      </c>
      <c r="J1131" s="25"/>
      <c r="K1131" s="25"/>
      <c r="L1131" s="31"/>
      <c r="M1131" s="29" t="str">
        <f aca="false">IF($C1131="","",YEAR($C1131))</f>
        <v/>
      </c>
      <c r="N1131" s="24"/>
      <c r="O1131" s="35" t="str">
        <f aca="false">IF($C1131="","",IF($D1131="","★没选客户项目",IF(COUNTIF(合同键,$D1131)=0,"★《维保合同》里没这个项目",IF(N($G1131)&lt;=0,"★收款金额要填",IF($H1131="","★票据类型要选",IF(AND($L1131&lt;&gt;"",COUNTIF(应收单号,$L1131)=0),"★关联的应收单号不存在",IF(AND($L1131&lt;&gt;"",IFERROR(INDEX(应收键,MATCH($L1131,应收单号,0)),"")&lt;&gt;$D1131),"★关联单号不是这个客户的",IF(AND($L1131&lt;&gt;"",ROUND(SUMIF(收款关联,$L1131,收款金额)-IFERROR(INDEX(应收金额,MATCH($L1131,应收单号,0)),0),2)&gt;0.001),"★指定冲销超过那张单的应收","OK"))))))))</f>
        <v/>
      </c>
    </row>
    <row r="1132" customFormat="false" ht="15" hidden="false" customHeight="false" outlineLevel="0" collapsed="false">
      <c r="A1132" s="29" t="str">
        <f aca="false">IF($C1132="","",ROW()-4)</f>
        <v/>
      </c>
      <c r="B1132" s="35" t="str">
        <f aca="false">IF($C1132="","","SK"&amp;TEXT($C1132,"yyyymm")&amp;"-"&amp;TEXT(ROW()-4,"0000"))</f>
        <v/>
      </c>
      <c r="C1132" s="33"/>
      <c r="D1132" s="24"/>
      <c r="E1132" s="30" t="str">
        <f aca="false">IF($D1132="","",IFERROR(INDEX(合同单位,MATCH($D1132,合同键,0)),IFERROR(TRIM(LEFT($D1132,FIND("｜",$D1132)-1)),$D1132)))</f>
        <v/>
      </c>
      <c r="F1132" s="30" t="str">
        <f aca="false">IF($D1132="","",IFERROR(INDEX(合同项目,MATCH($D1132,合同键,0)),IFERROR(TRIM(MID($D1132,FIND("｜",$D1132)+1,99)),"")))</f>
        <v/>
      </c>
      <c r="G1132" s="39"/>
      <c r="H1132" s="25"/>
      <c r="I1132" s="35" t="str">
        <f aca="false">IF($H1132="","",IFERROR(INDEX(票据归类表,MATCH($H1132,票据类型表,0)),"现金无票"))</f>
        <v/>
      </c>
      <c r="J1132" s="25"/>
      <c r="K1132" s="25"/>
      <c r="L1132" s="31"/>
      <c r="M1132" s="29" t="str">
        <f aca="false">IF($C1132="","",YEAR($C1132))</f>
        <v/>
      </c>
      <c r="N1132" s="24"/>
      <c r="O1132" s="35" t="str">
        <f aca="false">IF($C1132="","",IF($D1132="","★没选客户项目",IF(COUNTIF(合同键,$D1132)=0,"★《维保合同》里没这个项目",IF(N($G1132)&lt;=0,"★收款金额要填",IF($H1132="","★票据类型要选",IF(AND($L1132&lt;&gt;"",COUNTIF(应收单号,$L1132)=0),"★关联的应收单号不存在",IF(AND($L1132&lt;&gt;"",IFERROR(INDEX(应收键,MATCH($L1132,应收单号,0)),"")&lt;&gt;$D1132),"★关联单号不是这个客户的",IF(AND($L1132&lt;&gt;"",ROUND(SUMIF(收款关联,$L1132,收款金额)-IFERROR(INDEX(应收金额,MATCH($L1132,应收单号,0)),0),2)&gt;0.001),"★指定冲销超过那张单的应收","OK"))))))))</f>
        <v/>
      </c>
    </row>
    <row r="1133" customFormat="false" ht="15" hidden="false" customHeight="false" outlineLevel="0" collapsed="false">
      <c r="A1133" s="29" t="str">
        <f aca="false">IF($C1133="","",ROW()-4)</f>
        <v/>
      </c>
      <c r="B1133" s="35" t="str">
        <f aca="false">IF($C1133="","","SK"&amp;TEXT($C1133,"yyyymm")&amp;"-"&amp;TEXT(ROW()-4,"0000"))</f>
        <v/>
      </c>
      <c r="C1133" s="33"/>
      <c r="D1133" s="24"/>
      <c r="E1133" s="30" t="str">
        <f aca="false">IF($D1133="","",IFERROR(INDEX(合同单位,MATCH($D1133,合同键,0)),IFERROR(TRIM(LEFT($D1133,FIND("｜",$D1133)-1)),$D1133)))</f>
        <v/>
      </c>
      <c r="F1133" s="30" t="str">
        <f aca="false">IF($D1133="","",IFERROR(INDEX(合同项目,MATCH($D1133,合同键,0)),IFERROR(TRIM(MID($D1133,FIND("｜",$D1133)+1,99)),"")))</f>
        <v/>
      </c>
      <c r="G1133" s="39"/>
      <c r="H1133" s="25"/>
      <c r="I1133" s="35" t="str">
        <f aca="false">IF($H1133="","",IFERROR(INDEX(票据归类表,MATCH($H1133,票据类型表,0)),"现金无票"))</f>
        <v/>
      </c>
      <c r="J1133" s="25"/>
      <c r="K1133" s="25"/>
      <c r="L1133" s="31"/>
      <c r="M1133" s="29" t="str">
        <f aca="false">IF($C1133="","",YEAR($C1133))</f>
        <v/>
      </c>
      <c r="N1133" s="24"/>
      <c r="O1133" s="35" t="str">
        <f aca="false">IF($C1133="","",IF($D1133="","★没选客户项目",IF(COUNTIF(合同键,$D1133)=0,"★《维保合同》里没这个项目",IF(N($G1133)&lt;=0,"★收款金额要填",IF($H1133="","★票据类型要选",IF(AND($L1133&lt;&gt;"",COUNTIF(应收单号,$L1133)=0),"★关联的应收单号不存在",IF(AND($L1133&lt;&gt;"",IFERROR(INDEX(应收键,MATCH($L1133,应收单号,0)),"")&lt;&gt;$D1133),"★关联单号不是这个客户的",IF(AND($L1133&lt;&gt;"",ROUND(SUMIF(收款关联,$L1133,收款金额)-IFERROR(INDEX(应收金额,MATCH($L1133,应收单号,0)),0),2)&gt;0.001),"★指定冲销超过那张单的应收","OK"))))))))</f>
        <v/>
      </c>
    </row>
    <row r="1134" customFormat="false" ht="15" hidden="false" customHeight="false" outlineLevel="0" collapsed="false">
      <c r="A1134" s="29" t="str">
        <f aca="false">IF($C1134="","",ROW()-4)</f>
        <v/>
      </c>
      <c r="B1134" s="35" t="str">
        <f aca="false">IF($C1134="","","SK"&amp;TEXT($C1134,"yyyymm")&amp;"-"&amp;TEXT(ROW()-4,"0000"))</f>
        <v/>
      </c>
      <c r="C1134" s="33"/>
      <c r="D1134" s="24"/>
      <c r="E1134" s="30" t="str">
        <f aca="false">IF($D1134="","",IFERROR(INDEX(合同单位,MATCH($D1134,合同键,0)),IFERROR(TRIM(LEFT($D1134,FIND("｜",$D1134)-1)),$D1134)))</f>
        <v/>
      </c>
      <c r="F1134" s="30" t="str">
        <f aca="false">IF($D1134="","",IFERROR(INDEX(合同项目,MATCH($D1134,合同键,0)),IFERROR(TRIM(MID($D1134,FIND("｜",$D1134)+1,99)),"")))</f>
        <v/>
      </c>
      <c r="G1134" s="39"/>
      <c r="H1134" s="25"/>
      <c r="I1134" s="35" t="str">
        <f aca="false">IF($H1134="","",IFERROR(INDEX(票据归类表,MATCH($H1134,票据类型表,0)),"现金无票"))</f>
        <v/>
      </c>
      <c r="J1134" s="25"/>
      <c r="K1134" s="25"/>
      <c r="L1134" s="31"/>
      <c r="M1134" s="29" t="str">
        <f aca="false">IF($C1134="","",YEAR($C1134))</f>
        <v/>
      </c>
      <c r="N1134" s="24"/>
      <c r="O1134" s="35" t="str">
        <f aca="false">IF($C1134="","",IF($D1134="","★没选客户项目",IF(COUNTIF(合同键,$D1134)=0,"★《维保合同》里没这个项目",IF(N($G1134)&lt;=0,"★收款金额要填",IF($H1134="","★票据类型要选",IF(AND($L1134&lt;&gt;"",COUNTIF(应收单号,$L1134)=0),"★关联的应收单号不存在",IF(AND($L1134&lt;&gt;"",IFERROR(INDEX(应收键,MATCH($L1134,应收单号,0)),"")&lt;&gt;$D1134),"★关联单号不是这个客户的",IF(AND($L1134&lt;&gt;"",ROUND(SUMIF(收款关联,$L1134,收款金额)-IFERROR(INDEX(应收金额,MATCH($L1134,应收单号,0)),0),2)&gt;0.001),"★指定冲销超过那张单的应收","OK"))))))))</f>
        <v/>
      </c>
    </row>
    <row r="1135" customFormat="false" ht="15" hidden="false" customHeight="false" outlineLevel="0" collapsed="false">
      <c r="A1135" s="29" t="str">
        <f aca="false">IF($C1135="","",ROW()-4)</f>
        <v/>
      </c>
      <c r="B1135" s="35" t="str">
        <f aca="false">IF($C1135="","","SK"&amp;TEXT($C1135,"yyyymm")&amp;"-"&amp;TEXT(ROW()-4,"0000"))</f>
        <v/>
      </c>
      <c r="C1135" s="33"/>
      <c r="D1135" s="24"/>
      <c r="E1135" s="30" t="str">
        <f aca="false">IF($D1135="","",IFERROR(INDEX(合同单位,MATCH($D1135,合同键,0)),IFERROR(TRIM(LEFT($D1135,FIND("｜",$D1135)-1)),$D1135)))</f>
        <v/>
      </c>
      <c r="F1135" s="30" t="str">
        <f aca="false">IF($D1135="","",IFERROR(INDEX(合同项目,MATCH($D1135,合同键,0)),IFERROR(TRIM(MID($D1135,FIND("｜",$D1135)+1,99)),"")))</f>
        <v/>
      </c>
      <c r="G1135" s="39"/>
      <c r="H1135" s="25"/>
      <c r="I1135" s="35" t="str">
        <f aca="false">IF($H1135="","",IFERROR(INDEX(票据归类表,MATCH($H1135,票据类型表,0)),"现金无票"))</f>
        <v/>
      </c>
      <c r="J1135" s="25"/>
      <c r="K1135" s="25"/>
      <c r="L1135" s="31"/>
      <c r="M1135" s="29" t="str">
        <f aca="false">IF($C1135="","",YEAR($C1135))</f>
        <v/>
      </c>
      <c r="N1135" s="24"/>
      <c r="O1135" s="35" t="str">
        <f aca="false">IF($C1135="","",IF($D1135="","★没选客户项目",IF(COUNTIF(合同键,$D1135)=0,"★《维保合同》里没这个项目",IF(N($G1135)&lt;=0,"★收款金额要填",IF($H1135="","★票据类型要选",IF(AND($L1135&lt;&gt;"",COUNTIF(应收单号,$L1135)=0),"★关联的应收单号不存在",IF(AND($L1135&lt;&gt;"",IFERROR(INDEX(应收键,MATCH($L1135,应收单号,0)),"")&lt;&gt;$D1135),"★关联单号不是这个客户的",IF(AND($L1135&lt;&gt;"",ROUND(SUMIF(收款关联,$L1135,收款金额)-IFERROR(INDEX(应收金额,MATCH($L1135,应收单号,0)),0),2)&gt;0.001),"★指定冲销超过那张单的应收","OK"))))))))</f>
        <v/>
      </c>
    </row>
    <row r="1136" customFormat="false" ht="15" hidden="false" customHeight="false" outlineLevel="0" collapsed="false">
      <c r="A1136" s="29" t="str">
        <f aca="false">IF($C1136="","",ROW()-4)</f>
        <v/>
      </c>
      <c r="B1136" s="35" t="str">
        <f aca="false">IF($C1136="","","SK"&amp;TEXT($C1136,"yyyymm")&amp;"-"&amp;TEXT(ROW()-4,"0000"))</f>
        <v/>
      </c>
      <c r="C1136" s="33"/>
      <c r="D1136" s="24"/>
      <c r="E1136" s="30" t="str">
        <f aca="false">IF($D1136="","",IFERROR(INDEX(合同单位,MATCH($D1136,合同键,0)),IFERROR(TRIM(LEFT($D1136,FIND("｜",$D1136)-1)),$D1136)))</f>
        <v/>
      </c>
      <c r="F1136" s="30" t="str">
        <f aca="false">IF($D1136="","",IFERROR(INDEX(合同项目,MATCH($D1136,合同键,0)),IFERROR(TRIM(MID($D1136,FIND("｜",$D1136)+1,99)),"")))</f>
        <v/>
      </c>
      <c r="G1136" s="39"/>
      <c r="H1136" s="25"/>
      <c r="I1136" s="35" t="str">
        <f aca="false">IF($H1136="","",IFERROR(INDEX(票据归类表,MATCH($H1136,票据类型表,0)),"现金无票"))</f>
        <v/>
      </c>
      <c r="J1136" s="25"/>
      <c r="K1136" s="25"/>
      <c r="L1136" s="31"/>
      <c r="M1136" s="29" t="str">
        <f aca="false">IF($C1136="","",YEAR($C1136))</f>
        <v/>
      </c>
      <c r="N1136" s="24"/>
      <c r="O1136" s="35" t="str">
        <f aca="false">IF($C1136="","",IF($D1136="","★没选客户项目",IF(COUNTIF(合同键,$D1136)=0,"★《维保合同》里没这个项目",IF(N($G1136)&lt;=0,"★收款金额要填",IF($H1136="","★票据类型要选",IF(AND($L1136&lt;&gt;"",COUNTIF(应收单号,$L1136)=0),"★关联的应收单号不存在",IF(AND($L1136&lt;&gt;"",IFERROR(INDEX(应收键,MATCH($L1136,应收单号,0)),"")&lt;&gt;$D1136),"★关联单号不是这个客户的",IF(AND($L1136&lt;&gt;"",ROUND(SUMIF(收款关联,$L1136,收款金额)-IFERROR(INDEX(应收金额,MATCH($L1136,应收单号,0)),0),2)&gt;0.001),"★指定冲销超过那张单的应收","OK"))))))))</f>
        <v/>
      </c>
    </row>
    <row r="1137" customFormat="false" ht="15" hidden="false" customHeight="false" outlineLevel="0" collapsed="false">
      <c r="A1137" s="29" t="str">
        <f aca="false">IF($C1137="","",ROW()-4)</f>
        <v/>
      </c>
      <c r="B1137" s="35" t="str">
        <f aca="false">IF($C1137="","","SK"&amp;TEXT($C1137,"yyyymm")&amp;"-"&amp;TEXT(ROW()-4,"0000"))</f>
        <v/>
      </c>
      <c r="C1137" s="33"/>
      <c r="D1137" s="24"/>
      <c r="E1137" s="30" t="str">
        <f aca="false">IF($D1137="","",IFERROR(INDEX(合同单位,MATCH($D1137,合同键,0)),IFERROR(TRIM(LEFT($D1137,FIND("｜",$D1137)-1)),$D1137)))</f>
        <v/>
      </c>
      <c r="F1137" s="30" t="str">
        <f aca="false">IF($D1137="","",IFERROR(INDEX(合同项目,MATCH($D1137,合同键,0)),IFERROR(TRIM(MID($D1137,FIND("｜",$D1137)+1,99)),"")))</f>
        <v/>
      </c>
      <c r="G1137" s="39"/>
      <c r="H1137" s="25"/>
      <c r="I1137" s="35" t="str">
        <f aca="false">IF($H1137="","",IFERROR(INDEX(票据归类表,MATCH($H1137,票据类型表,0)),"现金无票"))</f>
        <v/>
      </c>
      <c r="J1137" s="25"/>
      <c r="K1137" s="25"/>
      <c r="L1137" s="31"/>
      <c r="M1137" s="29" t="str">
        <f aca="false">IF($C1137="","",YEAR($C1137))</f>
        <v/>
      </c>
      <c r="N1137" s="24"/>
      <c r="O1137" s="35" t="str">
        <f aca="false">IF($C1137="","",IF($D1137="","★没选客户项目",IF(COUNTIF(合同键,$D1137)=0,"★《维保合同》里没这个项目",IF(N($G1137)&lt;=0,"★收款金额要填",IF($H1137="","★票据类型要选",IF(AND($L1137&lt;&gt;"",COUNTIF(应收单号,$L1137)=0),"★关联的应收单号不存在",IF(AND($L1137&lt;&gt;"",IFERROR(INDEX(应收键,MATCH($L1137,应收单号,0)),"")&lt;&gt;$D1137),"★关联单号不是这个客户的",IF(AND($L1137&lt;&gt;"",ROUND(SUMIF(收款关联,$L1137,收款金额)-IFERROR(INDEX(应收金额,MATCH($L1137,应收单号,0)),0),2)&gt;0.001),"★指定冲销超过那张单的应收","OK"))))))))</f>
        <v/>
      </c>
    </row>
    <row r="1138" customFormat="false" ht="15" hidden="false" customHeight="false" outlineLevel="0" collapsed="false">
      <c r="A1138" s="29" t="str">
        <f aca="false">IF($C1138="","",ROW()-4)</f>
        <v/>
      </c>
      <c r="B1138" s="35" t="str">
        <f aca="false">IF($C1138="","","SK"&amp;TEXT($C1138,"yyyymm")&amp;"-"&amp;TEXT(ROW()-4,"0000"))</f>
        <v/>
      </c>
      <c r="C1138" s="33"/>
      <c r="D1138" s="24"/>
      <c r="E1138" s="30" t="str">
        <f aca="false">IF($D1138="","",IFERROR(INDEX(合同单位,MATCH($D1138,合同键,0)),IFERROR(TRIM(LEFT($D1138,FIND("｜",$D1138)-1)),$D1138)))</f>
        <v/>
      </c>
      <c r="F1138" s="30" t="str">
        <f aca="false">IF($D1138="","",IFERROR(INDEX(合同项目,MATCH($D1138,合同键,0)),IFERROR(TRIM(MID($D1138,FIND("｜",$D1138)+1,99)),"")))</f>
        <v/>
      </c>
      <c r="G1138" s="39"/>
      <c r="H1138" s="25"/>
      <c r="I1138" s="35" t="str">
        <f aca="false">IF($H1138="","",IFERROR(INDEX(票据归类表,MATCH($H1138,票据类型表,0)),"现金无票"))</f>
        <v/>
      </c>
      <c r="J1138" s="25"/>
      <c r="K1138" s="25"/>
      <c r="L1138" s="31"/>
      <c r="M1138" s="29" t="str">
        <f aca="false">IF($C1138="","",YEAR($C1138))</f>
        <v/>
      </c>
      <c r="N1138" s="24"/>
      <c r="O1138" s="35" t="str">
        <f aca="false">IF($C1138="","",IF($D1138="","★没选客户项目",IF(COUNTIF(合同键,$D1138)=0,"★《维保合同》里没这个项目",IF(N($G1138)&lt;=0,"★收款金额要填",IF($H1138="","★票据类型要选",IF(AND($L1138&lt;&gt;"",COUNTIF(应收单号,$L1138)=0),"★关联的应收单号不存在",IF(AND($L1138&lt;&gt;"",IFERROR(INDEX(应收键,MATCH($L1138,应收单号,0)),"")&lt;&gt;$D1138),"★关联单号不是这个客户的",IF(AND($L1138&lt;&gt;"",ROUND(SUMIF(收款关联,$L1138,收款金额)-IFERROR(INDEX(应收金额,MATCH($L1138,应收单号,0)),0),2)&gt;0.001),"★指定冲销超过那张单的应收","OK"))))))))</f>
        <v/>
      </c>
    </row>
    <row r="1139" customFormat="false" ht="15" hidden="false" customHeight="false" outlineLevel="0" collapsed="false">
      <c r="A1139" s="29" t="str">
        <f aca="false">IF($C1139="","",ROW()-4)</f>
        <v/>
      </c>
      <c r="B1139" s="35" t="str">
        <f aca="false">IF($C1139="","","SK"&amp;TEXT($C1139,"yyyymm")&amp;"-"&amp;TEXT(ROW()-4,"0000"))</f>
        <v/>
      </c>
      <c r="C1139" s="33"/>
      <c r="D1139" s="24"/>
      <c r="E1139" s="30" t="str">
        <f aca="false">IF($D1139="","",IFERROR(INDEX(合同单位,MATCH($D1139,合同键,0)),IFERROR(TRIM(LEFT($D1139,FIND("｜",$D1139)-1)),$D1139)))</f>
        <v/>
      </c>
      <c r="F1139" s="30" t="str">
        <f aca="false">IF($D1139="","",IFERROR(INDEX(合同项目,MATCH($D1139,合同键,0)),IFERROR(TRIM(MID($D1139,FIND("｜",$D1139)+1,99)),"")))</f>
        <v/>
      </c>
      <c r="G1139" s="39"/>
      <c r="H1139" s="25"/>
      <c r="I1139" s="35" t="str">
        <f aca="false">IF($H1139="","",IFERROR(INDEX(票据归类表,MATCH($H1139,票据类型表,0)),"现金无票"))</f>
        <v/>
      </c>
      <c r="J1139" s="25"/>
      <c r="K1139" s="25"/>
      <c r="L1139" s="31"/>
      <c r="M1139" s="29" t="str">
        <f aca="false">IF($C1139="","",YEAR($C1139))</f>
        <v/>
      </c>
      <c r="N1139" s="24"/>
      <c r="O1139" s="35" t="str">
        <f aca="false">IF($C1139="","",IF($D1139="","★没选客户项目",IF(COUNTIF(合同键,$D1139)=0,"★《维保合同》里没这个项目",IF(N($G1139)&lt;=0,"★收款金额要填",IF($H1139="","★票据类型要选",IF(AND($L1139&lt;&gt;"",COUNTIF(应收单号,$L1139)=0),"★关联的应收单号不存在",IF(AND($L1139&lt;&gt;"",IFERROR(INDEX(应收键,MATCH($L1139,应收单号,0)),"")&lt;&gt;$D1139),"★关联单号不是这个客户的",IF(AND($L1139&lt;&gt;"",ROUND(SUMIF(收款关联,$L1139,收款金额)-IFERROR(INDEX(应收金额,MATCH($L1139,应收单号,0)),0),2)&gt;0.001),"★指定冲销超过那张单的应收","OK"))))))))</f>
        <v/>
      </c>
    </row>
    <row r="1140" customFormat="false" ht="15" hidden="false" customHeight="false" outlineLevel="0" collapsed="false">
      <c r="A1140" s="29" t="str">
        <f aca="false">IF($C1140="","",ROW()-4)</f>
        <v/>
      </c>
      <c r="B1140" s="35" t="str">
        <f aca="false">IF($C1140="","","SK"&amp;TEXT($C1140,"yyyymm")&amp;"-"&amp;TEXT(ROW()-4,"0000"))</f>
        <v/>
      </c>
      <c r="C1140" s="33"/>
      <c r="D1140" s="24"/>
      <c r="E1140" s="30" t="str">
        <f aca="false">IF($D1140="","",IFERROR(INDEX(合同单位,MATCH($D1140,合同键,0)),IFERROR(TRIM(LEFT($D1140,FIND("｜",$D1140)-1)),$D1140)))</f>
        <v/>
      </c>
      <c r="F1140" s="30" t="str">
        <f aca="false">IF($D1140="","",IFERROR(INDEX(合同项目,MATCH($D1140,合同键,0)),IFERROR(TRIM(MID($D1140,FIND("｜",$D1140)+1,99)),"")))</f>
        <v/>
      </c>
      <c r="G1140" s="39"/>
      <c r="H1140" s="25"/>
      <c r="I1140" s="35" t="str">
        <f aca="false">IF($H1140="","",IFERROR(INDEX(票据归类表,MATCH($H1140,票据类型表,0)),"现金无票"))</f>
        <v/>
      </c>
      <c r="J1140" s="25"/>
      <c r="K1140" s="25"/>
      <c r="L1140" s="31"/>
      <c r="M1140" s="29" t="str">
        <f aca="false">IF($C1140="","",YEAR($C1140))</f>
        <v/>
      </c>
      <c r="N1140" s="24"/>
      <c r="O1140" s="35" t="str">
        <f aca="false">IF($C1140="","",IF($D1140="","★没选客户项目",IF(COUNTIF(合同键,$D1140)=0,"★《维保合同》里没这个项目",IF(N($G1140)&lt;=0,"★收款金额要填",IF($H1140="","★票据类型要选",IF(AND($L1140&lt;&gt;"",COUNTIF(应收单号,$L1140)=0),"★关联的应收单号不存在",IF(AND($L1140&lt;&gt;"",IFERROR(INDEX(应收键,MATCH($L1140,应收单号,0)),"")&lt;&gt;$D1140),"★关联单号不是这个客户的",IF(AND($L1140&lt;&gt;"",ROUND(SUMIF(收款关联,$L1140,收款金额)-IFERROR(INDEX(应收金额,MATCH($L1140,应收单号,0)),0),2)&gt;0.001),"★指定冲销超过那张单的应收","OK"))))))))</f>
        <v/>
      </c>
    </row>
    <row r="1141" customFormat="false" ht="15" hidden="false" customHeight="false" outlineLevel="0" collapsed="false">
      <c r="A1141" s="29" t="str">
        <f aca="false">IF($C1141="","",ROW()-4)</f>
        <v/>
      </c>
      <c r="B1141" s="35" t="str">
        <f aca="false">IF($C1141="","","SK"&amp;TEXT($C1141,"yyyymm")&amp;"-"&amp;TEXT(ROW()-4,"0000"))</f>
        <v/>
      </c>
      <c r="C1141" s="33"/>
      <c r="D1141" s="24"/>
      <c r="E1141" s="30" t="str">
        <f aca="false">IF($D1141="","",IFERROR(INDEX(合同单位,MATCH($D1141,合同键,0)),IFERROR(TRIM(LEFT($D1141,FIND("｜",$D1141)-1)),$D1141)))</f>
        <v/>
      </c>
      <c r="F1141" s="30" t="str">
        <f aca="false">IF($D1141="","",IFERROR(INDEX(合同项目,MATCH($D1141,合同键,0)),IFERROR(TRIM(MID($D1141,FIND("｜",$D1141)+1,99)),"")))</f>
        <v/>
      </c>
      <c r="G1141" s="39"/>
      <c r="H1141" s="25"/>
      <c r="I1141" s="35" t="str">
        <f aca="false">IF($H1141="","",IFERROR(INDEX(票据归类表,MATCH($H1141,票据类型表,0)),"现金无票"))</f>
        <v/>
      </c>
      <c r="J1141" s="25"/>
      <c r="K1141" s="25"/>
      <c r="L1141" s="31"/>
      <c r="M1141" s="29" t="str">
        <f aca="false">IF($C1141="","",YEAR($C1141))</f>
        <v/>
      </c>
      <c r="N1141" s="24"/>
      <c r="O1141" s="35" t="str">
        <f aca="false">IF($C1141="","",IF($D1141="","★没选客户项目",IF(COUNTIF(合同键,$D1141)=0,"★《维保合同》里没这个项目",IF(N($G1141)&lt;=0,"★收款金额要填",IF($H1141="","★票据类型要选",IF(AND($L1141&lt;&gt;"",COUNTIF(应收单号,$L1141)=0),"★关联的应收单号不存在",IF(AND($L1141&lt;&gt;"",IFERROR(INDEX(应收键,MATCH($L1141,应收单号,0)),"")&lt;&gt;$D1141),"★关联单号不是这个客户的",IF(AND($L1141&lt;&gt;"",ROUND(SUMIF(收款关联,$L1141,收款金额)-IFERROR(INDEX(应收金额,MATCH($L1141,应收单号,0)),0),2)&gt;0.001),"★指定冲销超过那张单的应收","OK"))))))))</f>
        <v/>
      </c>
    </row>
    <row r="1142" customFormat="false" ht="15" hidden="false" customHeight="false" outlineLevel="0" collapsed="false">
      <c r="A1142" s="29" t="str">
        <f aca="false">IF($C1142="","",ROW()-4)</f>
        <v/>
      </c>
      <c r="B1142" s="35" t="str">
        <f aca="false">IF($C1142="","","SK"&amp;TEXT($C1142,"yyyymm")&amp;"-"&amp;TEXT(ROW()-4,"0000"))</f>
        <v/>
      </c>
      <c r="C1142" s="33"/>
      <c r="D1142" s="24"/>
      <c r="E1142" s="30" t="str">
        <f aca="false">IF($D1142="","",IFERROR(INDEX(合同单位,MATCH($D1142,合同键,0)),IFERROR(TRIM(LEFT($D1142,FIND("｜",$D1142)-1)),$D1142)))</f>
        <v/>
      </c>
      <c r="F1142" s="30" t="str">
        <f aca="false">IF($D1142="","",IFERROR(INDEX(合同项目,MATCH($D1142,合同键,0)),IFERROR(TRIM(MID($D1142,FIND("｜",$D1142)+1,99)),"")))</f>
        <v/>
      </c>
      <c r="G1142" s="39"/>
      <c r="H1142" s="25"/>
      <c r="I1142" s="35" t="str">
        <f aca="false">IF($H1142="","",IFERROR(INDEX(票据归类表,MATCH($H1142,票据类型表,0)),"现金无票"))</f>
        <v/>
      </c>
      <c r="J1142" s="25"/>
      <c r="K1142" s="25"/>
      <c r="L1142" s="31"/>
      <c r="M1142" s="29" t="str">
        <f aca="false">IF($C1142="","",YEAR($C1142))</f>
        <v/>
      </c>
      <c r="N1142" s="24"/>
      <c r="O1142" s="35" t="str">
        <f aca="false">IF($C1142="","",IF($D1142="","★没选客户项目",IF(COUNTIF(合同键,$D1142)=0,"★《维保合同》里没这个项目",IF(N($G1142)&lt;=0,"★收款金额要填",IF($H1142="","★票据类型要选",IF(AND($L1142&lt;&gt;"",COUNTIF(应收单号,$L1142)=0),"★关联的应收单号不存在",IF(AND($L1142&lt;&gt;"",IFERROR(INDEX(应收键,MATCH($L1142,应收单号,0)),"")&lt;&gt;$D1142),"★关联单号不是这个客户的",IF(AND($L1142&lt;&gt;"",ROUND(SUMIF(收款关联,$L1142,收款金额)-IFERROR(INDEX(应收金额,MATCH($L1142,应收单号,0)),0),2)&gt;0.001),"★指定冲销超过那张单的应收","OK"))))))))</f>
        <v/>
      </c>
    </row>
    <row r="1143" customFormat="false" ht="15" hidden="false" customHeight="false" outlineLevel="0" collapsed="false">
      <c r="A1143" s="29" t="str">
        <f aca="false">IF($C1143="","",ROW()-4)</f>
        <v/>
      </c>
      <c r="B1143" s="35" t="str">
        <f aca="false">IF($C1143="","","SK"&amp;TEXT($C1143,"yyyymm")&amp;"-"&amp;TEXT(ROW()-4,"0000"))</f>
        <v/>
      </c>
      <c r="C1143" s="33"/>
      <c r="D1143" s="24"/>
      <c r="E1143" s="30" t="str">
        <f aca="false">IF($D1143="","",IFERROR(INDEX(合同单位,MATCH($D1143,合同键,0)),IFERROR(TRIM(LEFT($D1143,FIND("｜",$D1143)-1)),$D1143)))</f>
        <v/>
      </c>
      <c r="F1143" s="30" t="str">
        <f aca="false">IF($D1143="","",IFERROR(INDEX(合同项目,MATCH($D1143,合同键,0)),IFERROR(TRIM(MID($D1143,FIND("｜",$D1143)+1,99)),"")))</f>
        <v/>
      </c>
      <c r="G1143" s="39"/>
      <c r="H1143" s="25"/>
      <c r="I1143" s="35" t="str">
        <f aca="false">IF($H1143="","",IFERROR(INDEX(票据归类表,MATCH($H1143,票据类型表,0)),"现金无票"))</f>
        <v/>
      </c>
      <c r="J1143" s="25"/>
      <c r="K1143" s="25"/>
      <c r="L1143" s="31"/>
      <c r="M1143" s="29" t="str">
        <f aca="false">IF($C1143="","",YEAR($C1143))</f>
        <v/>
      </c>
      <c r="N1143" s="24"/>
      <c r="O1143" s="35" t="str">
        <f aca="false">IF($C1143="","",IF($D1143="","★没选客户项目",IF(COUNTIF(合同键,$D1143)=0,"★《维保合同》里没这个项目",IF(N($G1143)&lt;=0,"★收款金额要填",IF($H1143="","★票据类型要选",IF(AND($L1143&lt;&gt;"",COUNTIF(应收单号,$L1143)=0),"★关联的应收单号不存在",IF(AND($L1143&lt;&gt;"",IFERROR(INDEX(应收键,MATCH($L1143,应收单号,0)),"")&lt;&gt;$D1143),"★关联单号不是这个客户的",IF(AND($L1143&lt;&gt;"",ROUND(SUMIF(收款关联,$L1143,收款金额)-IFERROR(INDEX(应收金额,MATCH($L1143,应收单号,0)),0),2)&gt;0.001),"★指定冲销超过那张单的应收","OK"))))))))</f>
        <v/>
      </c>
    </row>
    <row r="1144" customFormat="false" ht="15" hidden="false" customHeight="false" outlineLevel="0" collapsed="false">
      <c r="A1144" s="29" t="str">
        <f aca="false">IF($C1144="","",ROW()-4)</f>
        <v/>
      </c>
      <c r="B1144" s="35" t="str">
        <f aca="false">IF($C1144="","","SK"&amp;TEXT($C1144,"yyyymm")&amp;"-"&amp;TEXT(ROW()-4,"0000"))</f>
        <v/>
      </c>
      <c r="C1144" s="33"/>
      <c r="D1144" s="24"/>
      <c r="E1144" s="30" t="str">
        <f aca="false">IF($D1144="","",IFERROR(INDEX(合同单位,MATCH($D1144,合同键,0)),IFERROR(TRIM(LEFT($D1144,FIND("｜",$D1144)-1)),$D1144)))</f>
        <v/>
      </c>
      <c r="F1144" s="30" t="str">
        <f aca="false">IF($D1144="","",IFERROR(INDEX(合同项目,MATCH($D1144,合同键,0)),IFERROR(TRIM(MID($D1144,FIND("｜",$D1144)+1,99)),"")))</f>
        <v/>
      </c>
      <c r="G1144" s="39"/>
      <c r="H1144" s="25"/>
      <c r="I1144" s="35" t="str">
        <f aca="false">IF($H1144="","",IFERROR(INDEX(票据归类表,MATCH($H1144,票据类型表,0)),"现金无票"))</f>
        <v/>
      </c>
      <c r="J1144" s="25"/>
      <c r="K1144" s="25"/>
      <c r="L1144" s="31"/>
      <c r="M1144" s="29" t="str">
        <f aca="false">IF($C1144="","",YEAR($C1144))</f>
        <v/>
      </c>
      <c r="N1144" s="24"/>
      <c r="O1144" s="35" t="str">
        <f aca="false">IF($C1144="","",IF($D1144="","★没选客户项目",IF(COUNTIF(合同键,$D1144)=0,"★《维保合同》里没这个项目",IF(N($G1144)&lt;=0,"★收款金额要填",IF($H1144="","★票据类型要选",IF(AND($L1144&lt;&gt;"",COUNTIF(应收单号,$L1144)=0),"★关联的应收单号不存在",IF(AND($L1144&lt;&gt;"",IFERROR(INDEX(应收键,MATCH($L1144,应收单号,0)),"")&lt;&gt;$D1144),"★关联单号不是这个客户的",IF(AND($L1144&lt;&gt;"",ROUND(SUMIF(收款关联,$L1144,收款金额)-IFERROR(INDEX(应收金额,MATCH($L1144,应收单号,0)),0),2)&gt;0.001),"★指定冲销超过那张单的应收","OK"))))))))</f>
        <v/>
      </c>
    </row>
    <row r="1145" customFormat="false" ht="15" hidden="false" customHeight="false" outlineLevel="0" collapsed="false">
      <c r="A1145" s="29" t="str">
        <f aca="false">IF($C1145="","",ROW()-4)</f>
        <v/>
      </c>
      <c r="B1145" s="35" t="str">
        <f aca="false">IF($C1145="","","SK"&amp;TEXT($C1145,"yyyymm")&amp;"-"&amp;TEXT(ROW()-4,"0000"))</f>
        <v/>
      </c>
      <c r="C1145" s="33"/>
      <c r="D1145" s="24"/>
      <c r="E1145" s="30" t="str">
        <f aca="false">IF($D1145="","",IFERROR(INDEX(合同单位,MATCH($D1145,合同键,0)),IFERROR(TRIM(LEFT($D1145,FIND("｜",$D1145)-1)),$D1145)))</f>
        <v/>
      </c>
      <c r="F1145" s="30" t="str">
        <f aca="false">IF($D1145="","",IFERROR(INDEX(合同项目,MATCH($D1145,合同键,0)),IFERROR(TRIM(MID($D1145,FIND("｜",$D1145)+1,99)),"")))</f>
        <v/>
      </c>
      <c r="G1145" s="39"/>
      <c r="H1145" s="25"/>
      <c r="I1145" s="35" t="str">
        <f aca="false">IF($H1145="","",IFERROR(INDEX(票据归类表,MATCH($H1145,票据类型表,0)),"现金无票"))</f>
        <v/>
      </c>
      <c r="J1145" s="25"/>
      <c r="K1145" s="25"/>
      <c r="L1145" s="31"/>
      <c r="M1145" s="29" t="str">
        <f aca="false">IF($C1145="","",YEAR($C1145))</f>
        <v/>
      </c>
      <c r="N1145" s="24"/>
      <c r="O1145" s="35" t="str">
        <f aca="false">IF($C1145="","",IF($D1145="","★没选客户项目",IF(COUNTIF(合同键,$D1145)=0,"★《维保合同》里没这个项目",IF(N($G1145)&lt;=0,"★收款金额要填",IF($H1145="","★票据类型要选",IF(AND($L1145&lt;&gt;"",COUNTIF(应收单号,$L1145)=0),"★关联的应收单号不存在",IF(AND($L1145&lt;&gt;"",IFERROR(INDEX(应收键,MATCH($L1145,应收单号,0)),"")&lt;&gt;$D1145),"★关联单号不是这个客户的",IF(AND($L1145&lt;&gt;"",ROUND(SUMIF(收款关联,$L1145,收款金额)-IFERROR(INDEX(应收金额,MATCH($L1145,应收单号,0)),0),2)&gt;0.001),"★指定冲销超过那张单的应收","OK"))))))))</f>
        <v/>
      </c>
    </row>
    <row r="1146" customFormat="false" ht="15" hidden="false" customHeight="false" outlineLevel="0" collapsed="false">
      <c r="A1146" s="29" t="str">
        <f aca="false">IF($C1146="","",ROW()-4)</f>
        <v/>
      </c>
      <c r="B1146" s="35" t="str">
        <f aca="false">IF($C1146="","","SK"&amp;TEXT($C1146,"yyyymm")&amp;"-"&amp;TEXT(ROW()-4,"0000"))</f>
        <v/>
      </c>
      <c r="C1146" s="33"/>
      <c r="D1146" s="24"/>
      <c r="E1146" s="30" t="str">
        <f aca="false">IF($D1146="","",IFERROR(INDEX(合同单位,MATCH($D1146,合同键,0)),IFERROR(TRIM(LEFT($D1146,FIND("｜",$D1146)-1)),$D1146)))</f>
        <v/>
      </c>
      <c r="F1146" s="30" t="str">
        <f aca="false">IF($D1146="","",IFERROR(INDEX(合同项目,MATCH($D1146,合同键,0)),IFERROR(TRIM(MID($D1146,FIND("｜",$D1146)+1,99)),"")))</f>
        <v/>
      </c>
      <c r="G1146" s="39"/>
      <c r="H1146" s="25"/>
      <c r="I1146" s="35" t="str">
        <f aca="false">IF($H1146="","",IFERROR(INDEX(票据归类表,MATCH($H1146,票据类型表,0)),"现金无票"))</f>
        <v/>
      </c>
      <c r="J1146" s="25"/>
      <c r="K1146" s="25"/>
      <c r="L1146" s="31"/>
      <c r="M1146" s="29" t="str">
        <f aca="false">IF($C1146="","",YEAR($C1146))</f>
        <v/>
      </c>
      <c r="N1146" s="24"/>
      <c r="O1146" s="35" t="str">
        <f aca="false">IF($C1146="","",IF($D1146="","★没选客户项目",IF(COUNTIF(合同键,$D1146)=0,"★《维保合同》里没这个项目",IF(N($G1146)&lt;=0,"★收款金额要填",IF($H1146="","★票据类型要选",IF(AND($L1146&lt;&gt;"",COUNTIF(应收单号,$L1146)=0),"★关联的应收单号不存在",IF(AND($L1146&lt;&gt;"",IFERROR(INDEX(应收键,MATCH($L1146,应收单号,0)),"")&lt;&gt;$D1146),"★关联单号不是这个客户的",IF(AND($L1146&lt;&gt;"",ROUND(SUMIF(收款关联,$L1146,收款金额)-IFERROR(INDEX(应收金额,MATCH($L1146,应收单号,0)),0),2)&gt;0.001),"★指定冲销超过那张单的应收","OK"))))))))</f>
        <v/>
      </c>
    </row>
    <row r="1147" customFormat="false" ht="15" hidden="false" customHeight="false" outlineLevel="0" collapsed="false">
      <c r="A1147" s="29" t="str">
        <f aca="false">IF($C1147="","",ROW()-4)</f>
        <v/>
      </c>
      <c r="B1147" s="35" t="str">
        <f aca="false">IF($C1147="","","SK"&amp;TEXT($C1147,"yyyymm")&amp;"-"&amp;TEXT(ROW()-4,"0000"))</f>
        <v/>
      </c>
      <c r="C1147" s="33"/>
      <c r="D1147" s="24"/>
      <c r="E1147" s="30" t="str">
        <f aca="false">IF($D1147="","",IFERROR(INDEX(合同单位,MATCH($D1147,合同键,0)),IFERROR(TRIM(LEFT($D1147,FIND("｜",$D1147)-1)),$D1147)))</f>
        <v/>
      </c>
      <c r="F1147" s="30" t="str">
        <f aca="false">IF($D1147="","",IFERROR(INDEX(合同项目,MATCH($D1147,合同键,0)),IFERROR(TRIM(MID($D1147,FIND("｜",$D1147)+1,99)),"")))</f>
        <v/>
      </c>
      <c r="G1147" s="39"/>
      <c r="H1147" s="25"/>
      <c r="I1147" s="35" t="str">
        <f aca="false">IF($H1147="","",IFERROR(INDEX(票据归类表,MATCH($H1147,票据类型表,0)),"现金无票"))</f>
        <v/>
      </c>
      <c r="J1147" s="25"/>
      <c r="K1147" s="25"/>
      <c r="L1147" s="31"/>
      <c r="M1147" s="29" t="str">
        <f aca="false">IF($C1147="","",YEAR($C1147))</f>
        <v/>
      </c>
      <c r="N1147" s="24"/>
      <c r="O1147" s="35" t="str">
        <f aca="false">IF($C1147="","",IF($D1147="","★没选客户项目",IF(COUNTIF(合同键,$D1147)=0,"★《维保合同》里没这个项目",IF(N($G1147)&lt;=0,"★收款金额要填",IF($H1147="","★票据类型要选",IF(AND($L1147&lt;&gt;"",COUNTIF(应收单号,$L1147)=0),"★关联的应收单号不存在",IF(AND($L1147&lt;&gt;"",IFERROR(INDEX(应收键,MATCH($L1147,应收单号,0)),"")&lt;&gt;$D1147),"★关联单号不是这个客户的",IF(AND($L1147&lt;&gt;"",ROUND(SUMIF(收款关联,$L1147,收款金额)-IFERROR(INDEX(应收金额,MATCH($L1147,应收单号,0)),0),2)&gt;0.001),"★指定冲销超过那张单的应收","OK"))))))))</f>
        <v/>
      </c>
    </row>
    <row r="1148" customFormat="false" ht="15" hidden="false" customHeight="false" outlineLevel="0" collapsed="false">
      <c r="A1148" s="29" t="str">
        <f aca="false">IF($C1148="","",ROW()-4)</f>
        <v/>
      </c>
      <c r="B1148" s="35" t="str">
        <f aca="false">IF($C1148="","","SK"&amp;TEXT($C1148,"yyyymm")&amp;"-"&amp;TEXT(ROW()-4,"0000"))</f>
        <v/>
      </c>
      <c r="C1148" s="33"/>
      <c r="D1148" s="24"/>
      <c r="E1148" s="30" t="str">
        <f aca="false">IF($D1148="","",IFERROR(INDEX(合同单位,MATCH($D1148,合同键,0)),IFERROR(TRIM(LEFT($D1148,FIND("｜",$D1148)-1)),$D1148)))</f>
        <v/>
      </c>
      <c r="F1148" s="30" t="str">
        <f aca="false">IF($D1148="","",IFERROR(INDEX(合同项目,MATCH($D1148,合同键,0)),IFERROR(TRIM(MID($D1148,FIND("｜",$D1148)+1,99)),"")))</f>
        <v/>
      </c>
      <c r="G1148" s="39"/>
      <c r="H1148" s="25"/>
      <c r="I1148" s="35" t="str">
        <f aca="false">IF($H1148="","",IFERROR(INDEX(票据归类表,MATCH($H1148,票据类型表,0)),"现金无票"))</f>
        <v/>
      </c>
      <c r="J1148" s="25"/>
      <c r="K1148" s="25"/>
      <c r="L1148" s="31"/>
      <c r="M1148" s="29" t="str">
        <f aca="false">IF($C1148="","",YEAR($C1148))</f>
        <v/>
      </c>
      <c r="N1148" s="24"/>
      <c r="O1148" s="35" t="str">
        <f aca="false">IF($C1148="","",IF($D1148="","★没选客户项目",IF(COUNTIF(合同键,$D1148)=0,"★《维保合同》里没这个项目",IF(N($G1148)&lt;=0,"★收款金额要填",IF($H1148="","★票据类型要选",IF(AND($L1148&lt;&gt;"",COUNTIF(应收单号,$L1148)=0),"★关联的应收单号不存在",IF(AND($L1148&lt;&gt;"",IFERROR(INDEX(应收键,MATCH($L1148,应收单号,0)),"")&lt;&gt;$D1148),"★关联单号不是这个客户的",IF(AND($L1148&lt;&gt;"",ROUND(SUMIF(收款关联,$L1148,收款金额)-IFERROR(INDEX(应收金额,MATCH($L1148,应收单号,0)),0),2)&gt;0.001),"★指定冲销超过那张单的应收","OK"))))))))</f>
        <v/>
      </c>
    </row>
    <row r="1149" customFormat="false" ht="15" hidden="false" customHeight="false" outlineLevel="0" collapsed="false">
      <c r="A1149" s="29" t="str">
        <f aca="false">IF($C1149="","",ROW()-4)</f>
        <v/>
      </c>
      <c r="B1149" s="35" t="str">
        <f aca="false">IF($C1149="","","SK"&amp;TEXT($C1149,"yyyymm")&amp;"-"&amp;TEXT(ROW()-4,"0000"))</f>
        <v/>
      </c>
      <c r="C1149" s="33"/>
      <c r="D1149" s="24"/>
      <c r="E1149" s="30" t="str">
        <f aca="false">IF($D1149="","",IFERROR(INDEX(合同单位,MATCH($D1149,合同键,0)),IFERROR(TRIM(LEFT($D1149,FIND("｜",$D1149)-1)),$D1149)))</f>
        <v/>
      </c>
      <c r="F1149" s="30" t="str">
        <f aca="false">IF($D1149="","",IFERROR(INDEX(合同项目,MATCH($D1149,合同键,0)),IFERROR(TRIM(MID($D1149,FIND("｜",$D1149)+1,99)),"")))</f>
        <v/>
      </c>
      <c r="G1149" s="39"/>
      <c r="H1149" s="25"/>
      <c r="I1149" s="35" t="str">
        <f aca="false">IF($H1149="","",IFERROR(INDEX(票据归类表,MATCH($H1149,票据类型表,0)),"现金无票"))</f>
        <v/>
      </c>
      <c r="J1149" s="25"/>
      <c r="K1149" s="25"/>
      <c r="L1149" s="31"/>
      <c r="M1149" s="29" t="str">
        <f aca="false">IF($C1149="","",YEAR($C1149))</f>
        <v/>
      </c>
      <c r="N1149" s="24"/>
      <c r="O1149" s="35" t="str">
        <f aca="false">IF($C1149="","",IF($D1149="","★没选客户项目",IF(COUNTIF(合同键,$D1149)=0,"★《维保合同》里没这个项目",IF(N($G1149)&lt;=0,"★收款金额要填",IF($H1149="","★票据类型要选",IF(AND($L1149&lt;&gt;"",COUNTIF(应收单号,$L1149)=0),"★关联的应收单号不存在",IF(AND($L1149&lt;&gt;"",IFERROR(INDEX(应收键,MATCH($L1149,应收单号,0)),"")&lt;&gt;$D1149),"★关联单号不是这个客户的",IF(AND($L1149&lt;&gt;"",ROUND(SUMIF(收款关联,$L1149,收款金额)-IFERROR(INDEX(应收金额,MATCH($L1149,应收单号,0)),0),2)&gt;0.001),"★指定冲销超过那张单的应收","OK"))))))))</f>
        <v/>
      </c>
    </row>
    <row r="1150" customFormat="false" ht="15" hidden="false" customHeight="false" outlineLevel="0" collapsed="false">
      <c r="A1150" s="29" t="str">
        <f aca="false">IF($C1150="","",ROW()-4)</f>
        <v/>
      </c>
      <c r="B1150" s="35" t="str">
        <f aca="false">IF($C1150="","","SK"&amp;TEXT($C1150,"yyyymm")&amp;"-"&amp;TEXT(ROW()-4,"0000"))</f>
        <v/>
      </c>
      <c r="C1150" s="33"/>
      <c r="D1150" s="24"/>
      <c r="E1150" s="30" t="str">
        <f aca="false">IF($D1150="","",IFERROR(INDEX(合同单位,MATCH($D1150,合同键,0)),IFERROR(TRIM(LEFT($D1150,FIND("｜",$D1150)-1)),$D1150)))</f>
        <v/>
      </c>
      <c r="F1150" s="30" t="str">
        <f aca="false">IF($D1150="","",IFERROR(INDEX(合同项目,MATCH($D1150,合同键,0)),IFERROR(TRIM(MID($D1150,FIND("｜",$D1150)+1,99)),"")))</f>
        <v/>
      </c>
      <c r="G1150" s="39"/>
      <c r="H1150" s="25"/>
      <c r="I1150" s="35" t="str">
        <f aca="false">IF($H1150="","",IFERROR(INDEX(票据归类表,MATCH($H1150,票据类型表,0)),"现金无票"))</f>
        <v/>
      </c>
      <c r="J1150" s="25"/>
      <c r="K1150" s="25"/>
      <c r="L1150" s="31"/>
      <c r="M1150" s="29" t="str">
        <f aca="false">IF($C1150="","",YEAR($C1150))</f>
        <v/>
      </c>
      <c r="N1150" s="24"/>
      <c r="O1150" s="35" t="str">
        <f aca="false">IF($C1150="","",IF($D1150="","★没选客户项目",IF(COUNTIF(合同键,$D1150)=0,"★《维保合同》里没这个项目",IF(N($G1150)&lt;=0,"★收款金额要填",IF($H1150="","★票据类型要选",IF(AND($L1150&lt;&gt;"",COUNTIF(应收单号,$L1150)=0),"★关联的应收单号不存在",IF(AND($L1150&lt;&gt;"",IFERROR(INDEX(应收键,MATCH($L1150,应收单号,0)),"")&lt;&gt;$D1150),"★关联单号不是这个客户的",IF(AND($L1150&lt;&gt;"",ROUND(SUMIF(收款关联,$L1150,收款金额)-IFERROR(INDEX(应收金额,MATCH($L1150,应收单号,0)),0),2)&gt;0.001),"★指定冲销超过那张单的应收","OK"))))))))</f>
        <v/>
      </c>
    </row>
    <row r="1151" customFormat="false" ht="15" hidden="false" customHeight="false" outlineLevel="0" collapsed="false">
      <c r="A1151" s="29" t="str">
        <f aca="false">IF($C1151="","",ROW()-4)</f>
        <v/>
      </c>
      <c r="B1151" s="35" t="str">
        <f aca="false">IF($C1151="","","SK"&amp;TEXT($C1151,"yyyymm")&amp;"-"&amp;TEXT(ROW()-4,"0000"))</f>
        <v/>
      </c>
      <c r="C1151" s="33"/>
      <c r="D1151" s="24"/>
      <c r="E1151" s="30" t="str">
        <f aca="false">IF($D1151="","",IFERROR(INDEX(合同单位,MATCH($D1151,合同键,0)),IFERROR(TRIM(LEFT($D1151,FIND("｜",$D1151)-1)),$D1151)))</f>
        <v/>
      </c>
      <c r="F1151" s="30" t="str">
        <f aca="false">IF($D1151="","",IFERROR(INDEX(合同项目,MATCH($D1151,合同键,0)),IFERROR(TRIM(MID($D1151,FIND("｜",$D1151)+1,99)),"")))</f>
        <v/>
      </c>
      <c r="G1151" s="39"/>
      <c r="H1151" s="25"/>
      <c r="I1151" s="35" t="str">
        <f aca="false">IF($H1151="","",IFERROR(INDEX(票据归类表,MATCH($H1151,票据类型表,0)),"现金无票"))</f>
        <v/>
      </c>
      <c r="J1151" s="25"/>
      <c r="K1151" s="25"/>
      <c r="L1151" s="31"/>
      <c r="M1151" s="29" t="str">
        <f aca="false">IF($C1151="","",YEAR($C1151))</f>
        <v/>
      </c>
      <c r="N1151" s="24"/>
      <c r="O1151" s="35" t="str">
        <f aca="false">IF($C1151="","",IF($D1151="","★没选客户项目",IF(COUNTIF(合同键,$D1151)=0,"★《维保合同》里没这个项目",IF(N($G1151)&lt;=0,"★收款金额要填",IF($H1151="","★票据类型要选",IF(AND($L1151&lt;&gt;"",COUNTIF(应收单号,$L1151)=0),"★关联的应收单号不存在",IF(AND($L1151&lt;&gt;"",IFERROR(INDEX(应收键,MATCH($L1151,应收单号,0)),"")&lt;&gt;$D1151),"★关联单号不是这个客户的",IF(AND($L1151&lt;&gt;"",ROUND(SUMIF(收款关联,$L1151,收款金额)-IFERROR(INDEX(应收金额,MATCH($L1151,应收单号,0)),0),2)&gt;0.001),"★指定冲销超过那张单的应收","OK"))))))))</f>
        <v/>
      </c>
    </row>
    <row r="1152" customFormat="false" ht="15" hidden="false" customHeight="false" outlineLevel="0" collapsed="false">
      <c r="A1152" s="29" t="str">
        <f aca="false">IF($C1152="","",ROW()-4)</f>
        <v/>
      </c>
      <c r="B1152" s="35" t="str">
        <f aca="false">IF($C1152="","","SK"&amp;TEXT($C1152,"yyyymm")&amp;"-"&amp;TEXT(ROW()-4,"0000"))</f>
        <v/>
      </c>
      <c r="C1152" s="33"/>
      <c r="D1152" s="24"/>
      <c r="E1152" s="30" t="str">
        <f aca="false">IF($D1152="","",IFERROR(INDEX(合同单位,MATCH($D1152,合同键,0)),IFERROR(TRIM(LEFT($D1152,FIND("｜",$D1152)-1)),$D1152)))</f>
        <v/>
      </c>
      <c r="F1152" s="30" t="str">
        <f aca="false">IF($D1152="","",IFERROR(INDEX(合同项目,MATCH($D1152,合同键,0)),IFERROR(TRIM(MID($D1152,FIND("｜",$D1152)+1,99)),"")))</f>
        <v/>
      </c>
      <c r="G1152" s="39"/>
      <c r="H1152" s="25"/>
      <c r="I1152" s="35" t="str">
        <f aca="false">IF($H1152="","",IFERROR(INDEX(票据归类表,MATCH($H1152,票据类型表,0)),"现金无票"))</f>
        <v/>
      </c>
      <c r="J1152" s="25"/>
      <c r="K1152" s="25"/>
      <c r="L1152" s="31"/>
      <c r="M1152" s="29" t="str">
        <f aca="false">IF($C1152="","",YEAR($C1152))</f>
        <v/>
      </c>
      <c r="N1152" s="24"/>
      <c r="O1152" s="35" t="str">
        <f aca="false">IF($C1152="","",IF($D1152="","★没选客户项目",IF(COUNTIF(合同键,$D1152)=0,"★《维保合同》里没这个项目",IF(N($G1152)&lt;=0,"★收款金额要填",IF($H1152="","★票据类型要选",IF(AND($L1152&lt;&gt;"",COUNTIF(应收单号,$L1152)=0),"★关联的应收单号不存在",IF(AND($L1152&lt;&gt;"",IFERROR(INDEX(应收键,MATCH($L1152,应收单号,0)),"")&lt;&gt;$D1152),"★关联单号不是这个客户的",IF(AND($L1152&lt;&gt;"",ROUND(SUMIF(收款关联,$L1152,收款金额)-IFERROR(INDEX(应收金额,MATCH($L1152,应收单号,0)),0),2)&gt;0.001),"★指定冲销超过那张单的应收","OK"))))))))</f>
        <v/>
      </c>
    </row>
    <row r="1153" customFormat="false" ht="15" hidden="false" customHeight="false" outlineLevel="0" collapsed="false">
      <c r="A1153" s="29" t="str">
        <f aca="false">IF($C1153="","",ROW()-4)</f>
        <v/>
      </c>
      <c r="B1153" s="35" t="str">
        <f aca="false">IF($C1153="","","SK"&amp;TEXT($C1153,"yyyymm")&amp;"-"&amp;TEXT(ROW()-4,"0000"))</f>
        <v/>
      </c>
      <c r="C1153" s="33"/>
      <c r="D1153" s="24"/>
      <c r="E1153" s="30" t="str">
        <f aca="false">IF($D1153="","",IFERROR(INDEX(合同单位,MATCH($D1153,合同键,0)),IFERROR(TRIM(LEFT($D1153,FIND("｜",$D1153)-1)),$D1153)))</f>
        <v/>
      </c>
      <c r="F1153" s="30" t="str">
        <f aca="false">IF($D1153="","",IFERROR(INDEX(合同项目,MATCH($D1153,合同键,0)),IFERROR(TRIM(MID($D1153,FIND("｜",$D1153)+1,99)),"")))</f>
        <v/>
      </c>
      <c r="G1153" s="39"/>
      <c r="H1153" s="25"/>
      <c r="I1153" s="35" t="str">
        <f aca="false">IF($H1153="","",IFERROR(INDEX(票据归类表,MATCH($H1153,票据类型表,0)),"现金无票"))</f>
        <v/>
      </c>
      <c r="J1153" s="25"/>
      <c r="K1153" s="25"/>
      <c r="L1153" s="31"/>
      <c r="M1153" s="29" t="str">
        <f aca="false">IF($C1153="","",YEAR($C1153))</f>
        <v/>
      </c>
      <c r="N1153" s="24"/>
      <c r="O1153" s="35" t="str">
        <f aca="false">IF($C1153="","",IF($D1153="","★没选客户项目",IF(COUNTIF(合同键,$D1153)=0,"★《维保合同》里没这个项目",IF(N($G1153)&lt;=0,"★收款金额要填",IF($H1153="","★票据类型要选",IF(AND($L1153&lt;&gt;"",COUNTIF(应收单号,$L1153)=0),"★关联的应收单号不存在",IF(AND($L1153&lt;&gt;"",IFERROR(INDEX(应收键,MATCH($L1153,应收单号,0)),"")&lt;&gt;$D1153),"★关联单号不是这个客户的",IF(AND($L1153&lt;&gt;"",ROUND(SUMIF(收款关联,$L1153,收款金额)-IFERROR(INDEX(应收金额,MATCH($L1153,应收单号,0)),0),2)&gt;0.001),"★指定冲销超过那张单的应收","OK"))))))))</f>
        <v/>
      </c>
    </row>
    <row r="1154" customFormat="false" ht="15" hidden="false" customHeight="false" outlineLevel="0" collapsed="false">
      <c r="A1154" s="29" t="str">
        <f aca="false">IF($C1154="","",ROW()-4)</f>
        <v/>
      </c>
      <c r="B1154" s="35" t="str">
        <f aca="false">IF($C1154="","","SK"&amp;TEXT($C1154,"yyyymm")&amp;"-"&amp;TEXT(ROW()-4,"0000"))</f>
        <v/>
      </c>
      <c r="C1154" s="33"/>
      <c r="D1154" s="24"/>
      <c r="E1154" s="30" t="str">
        <f aca="false">IF($D1154="","",IFERROR(INDEX(合同单位,MATCH($D1154,合同键,0)),IFERROR(TRIM(LEFT($D1154,FIND("｜",$D1154)-1)),$D1154)))</f>
        <v/>
      </c>
      <c r="F1154" s="30" t="str">
        <f aca="false">IF($D1154="","",IFERROR(INDEX(合同项目,MATCH($D1154,合同键,0)),IFERROR(TRIM(MID($D1154,FIND("｜",$D1154)+1,99)),"")))</f>
        <v/>
      </c>
      <c r="G1154" s="39"/>
      <c r="H1154" s="25"/>
      <c r="I1154" s="35" t="str">
        <f aca="false">IF($H1154="","",IFERROR(INDEX(票据归类表,MATCH($H1154,票据类型表,0)),"现金无票"))</f>
        <v/>
      </c>
      <c r="J1154" s="25"/>
      <c r="K1154" s="25"/>
      <c r="L1154" s="31"/>
      <c r="M1154" s="29" t="str">
        <f aca="false">IF($C1154="","",YEAR($C1154))</f>
        <v/>
      </c>
      <c r="N1154" s="24"/>
      <c r="O1154" s="35" t="str">
        <f aca="false">IF($C1154="","",IF($D1154="","★没选客户项目",IF(COUNTIF(合同键,$D1154)=0,"★《维保合同》里没这个项目",IF(N($G1154)&lt;=0,"★收款金额要填",IF($H1154="","★票据类型要选",IF(AND($L1154&lt;&gt;"",COUNTIF(应收单号,$L1154)=0),"★关联的应收单号不存在",IF(AND($L1154&lt;&gt;"",IFERROR(INDEX(应收键,MATCH($L1154,应收单号,0)),"")&lt;&gt;$D1154),"★关联单号不是这个客户的",IF(AND($L1154&lt;&gt;"",ROUND(SUMIF(收款关联,$L1154,收款金额)-IFERROR(INDEX(应收金额,MATCH($L1154,应收单号,0)),0),2)&gt;0.001),"★指定冲销超过那张单的应收","OK"))))))))</f>
        <v/>
      </c>
    </row>
    <row r="1155" customFormat="false" ht="15" hidden="false" customHeight="false" outlineLevel="0" collapsed="false">
      <c r="A1155" s="29" t="str">
        <f aca="false">IF($C1155="","",ROW()-4)</f>
        <v/>
      </c>
      <c r="B1155" s="35" t="str">
        <f aca="false">IF($C1155="","","SK"&amp;TEXT($C1155,"yyyymm")&amp;"-"&amp;TEXT(ROW()-4,"0000"))</f>
        <v/>
      </c>
      <c r="C1155" s="33"/>
      <c r="D1155" s="24"/>
      <c r="E1155" s="30" t="str">
        <f aca="false">IF($D1155="","",IFERROR(INDEX(合同单位,MATCH($D1155,合同键,0)),IFERROR(TRIM(LEFT($D1155,FIND("｜",$D1155)-1)),$D1155)))</f>
        <v/>
      </c>
      <c r="F1155" s="30" t="str">
        <f aca="false">IF($D1155="","",IFERROR(INDEX(合同项目,MATCH($D1155,合同键,0)),IFERROR(TRIM(MID($D1155,FIND("｜",$D1155)+1,99)),"")))</f>
        <v/>
      </c>
      <c r="G1155" s="39"/>
      <c r="H1155" s="25"/>
      <c r="I1155" s="35" t="str">
        <f aca="false">IF($H1155="","",IFERROR(INDEX(票据归类表,MATCH($H1155,票据类型表,0)),"现金无票"))</f>
        <v/>
      </c>
      <c r="J1155" s="25"/>
      <c r="K1155" s="25"/>
      <c r="L1155" s="31"/>
      <c r="M1155" s="29" t="str">
        <f aca="false">IF($C1155="","",YEAR($C1155))</f>
        <v/>
      </c>
      <c r="N1155" s="24"/>
      <c r="O1155" s="35" t="str">
        <f aca="false">IF($C1155="","",IF($D1155="","★没选客户项目",IF(COUNTIF(合同键,$D1155)=0,"★《维保合同》里没这个项目",IF(N($G1155)&lt;=0,"★收款金额要填",IF($H1155="","★票据类型要选",IF(AND($L1155&lt;&gt;"",COUNTIF(应收单号,$L1155)=0),"★关联的应收单号不存在",IF(AND($L1155&lt;&gt;"",IFERROR(INDEX(应收键,MATCH($L1155,应收单号,0)),"")&lt;&gt;$D1155),"★关联单号不是这个客户的",IF(AND($L1155&lt;&gt;"",ROUND(SUMIF(收款关联,$L1155,收款金额)-IFERROR(INDEX(应收金额,MATCH($L1155,应收单号,0)),0),2)&gt;0.001),"★指定冲销超过那张单的应收","OK"))))))))</f>
        <v/>
      </c>
    </row>
    <row r="1156" customFormat="false" ht="15" hidden="false" customHeight="false" outlineLevel="0" collapsed="false">
      <c r="A1156" s="29" t="str">
        <f aca="false">IF($C1156="","",ROW()-4)</f>
        <v/>
      </c>
      <c r="B1156" s="35" t="str">
        <f aca="false">IF($C1156="","","SK"&amp;TEXT($C1156,"yyyymm")&amp;"-"&amp;TEXT(ROW()-4,"0000"))</f>
        <v/>
      </c>
      <c r="C1156" s="33"/>
      <c r="D1156" s="24"/>
      <c r="E1156" s="30" t="str">
        <f aca="false">IF($D1156="","",IFERROR(INDEX(合同单位,MATCH($D1156,合同键,0)),IFERROR(TRIM(LEFT($D1156,FIND("｜",$D1156)-1)),$D1156)))</f>
        <v/>
      </c>
      <c r="F1156" s="30" t="str">
        <f aca="false">IF($D1156="","",IFERROR(INDEX(合同项目,MATCH($D1156,合同键,0)),IFERROR(TRIM(MID($D1156,FIND("｜",$D1156)+1,99)),"")))</f>
        <v/>
      </c>
      <c r="G1156" s="39"/>
      <c r="H1156" s="25"/>
      <c r="I1156" s="35" t="str">
        <f aca="false">IF($H1156="","",IFERROR(INDEX(票据归类表,MATCH($H1156,票据类型表,0)),"现金无票"))</f>
        <v/>
      </c>
      <c r="J1156" s="25"/>
      <c r="K1156" s="25"/>
      <c r="L1156" s="31"/>
      <c r="M1156" s="29" t="str">
        <f aca="false">IF($C1156="","",YEAR($C1156))</f>
        <v/>
      </c>
      <c r="N1156" s="24"/>
      <c r="O1156" s="35" t="str">
        <f aca="false">IF($C1156="","",IF($D1156="","★没选客户项目",IF(COUNTIF(合同键,$D1156)=0,"★《维保合同》里没这个项目",IF(N($G1156)&lt;=0,"★收款金额要填",IF($H1156="","★票据类型要选",IF(AND($L1156&lt;&gt;"",COUNTIF(应收单号,$L1156)=0),"★关联的应收单号不存在",IF(AND($L1156&lt;&gt;"",IFERROR(INDEX(应收键,MATCH($L1156,应收单号,0)),"")&lt;&gt;$D1156),"★关联单号不是这个客户的",IF(AND($L1156&lt;&gt;"",ROUND(SUMIF(收款关联,$L1156,收款金额)-IFERROR(INDEX(应收金额,MATCH($L1156,应收单号,0)),0),2)&gt;0.001),"★指定冲销超过那张单的应收","OK"))))))))</f>
        <v/>
      </c>
    </row>
    <row r="1157" customFormat="false" ht="15" hidden="false" customHeight="false" outlineLevel="0" collapsed="false">
      <c r="A1157" s="29" t="str">
        <f aca="false">IF($C1157="","",ROW()-4)</f>
        <v/>
      </c>
      <c r="B1157" s="35" t="str">
        <f aca="false">IF($C1157="","","SK"&amp;TEXT($C1157,"yyyymm")&amp;"-"&amp;TEXT(ROW()-4,"0000"))</f>
        <v/>
      </c>
      <c r="C1157" s="33"/>
      <c r="D1157" s="24"/>
      <c r="E1157" s="30" t="str">
        <f aca="false">IF($D1157="","",IFERROR(INDEX(合同单位,MATCH($D1157,合同键,0)),IFERROR(TRIM(LEFT($D1157,FIND("｜",$D1157)-1)),$D1157)))</f>
        <v/>
      </c>
      <c r="F1157" s="30" t="str">
        <f aca="false">IF($D1157="","",IFERROR(INDEX(合同项目,MATCH($D1157,合同键,0)),IFERROR(TRIM(MID($D1157,FIND("｜",$D1157)+1,99)),"")))</f>
        <v/>
      </c>
      <c r="G1157" s="39"/>
      <c r="H1157" s="25"/>
      <c r="I1157" s="35" t="str">
        <f aca="false">IF($H1157="","",IFERROR(INDEX(票据归类表,MATCH($H1157,票据类型表,0)),"现金无票"))</f>
        <v/>
      </c>
      <c r="J1157" s="25"/>
      <c r="K1157" s="25"/>
      <c r="L1157" s="31"/>
      <c r="M1157" s="29" t="str">
        <f aca="false">IF($C1157="","",YEAR($C1157))</f>
        <v/>
      </c>
      <c r="N1157" s="24"/>
      <c r="O1157" s="35" t="str">
        <f aca="false">IF($C1157="","",IF($D1157="","★没选客户项目",IF(COUNTIF(合同键,$D1157)=0,"★《维保合同》里没这个项目",IF(N($G1157)&lt;=0,"★收款金额要填",IF($H1157="","★票据类型要选",IF(AND($L1157&lt;&gt;"",COUNTIF(应收单号,$L1157)=0),"★关联的应收单号不存在",IF(AND($L1157&lt;&gt;"",IFERROR(INDEX(应收键,MATCH($L1157,应收单号,0)),"")&lt;&gt;$D1157),"★关联单号不是这个客户的",IF(AND($L1157&lt;&gt;"",ROUND(SUMIF(收款关联,$L1157,收款金额)-IFERROR(INDEX(应收金额,MATCH($L1157,应收单号,0)),0),2)&gt;0.001),"★指定冲销超过那张单的应收","OK"))))))))</f>
        <v/>
      </c>
    </row>
    <row r="1158" customFormat="false" ht="15" hidden="false" customHeight="false" outlineLevel="0" collapsed="false">
      <c r="A1158" s="29" t="str">
        <f aca="false">IF($C1158="","",ROW()-4)</f>
        <v/>
      </c>
      <c r="B1158" s="35" t="str">
        <f aca="false">IF($C1158="","","SK"&amp;TEXT($C1158,"yyyymm")&amp;"-"&amp;TEXT(ROW()-4,"0000"))</f>
        <v/>
      </c>
      <c r="C1158" s="33"/>
      <c r="D1158" s="24"/>
      <c r="E1158" s="30" t="str">
        <f aca="false">IF($D1158="","",IFERROR(INDEX(合同单位,MATCH($D1158,合同键,0)),IFERROR(TRIM(LEFT($D1158,FIND("｜",$D1158)-1)),$D1158)))</f>
        <v/>
      </c>
      <c r="F1158" s="30" t="str">
        <f aca="false">IF($D1158="","",IFERROR(INDEX(合同项目,MATCH($D1158,合同键,0)),IFERROR(TRIM(MID($D1158,FIND("｜",$D1158)+1,99)),"")))</f>
        <v/>
      </c>
      <c r="G1158" s="39"/>
      <c r="H1158" s="25"/>
      <c r="I1158" s="35" t="str">
        <f aca="false">IF($H1158="","",IFERROR(INDEX(票据归类表,MATCH($H1158,票据类型表,0)),"现金无票"))</f>
        <v/>
      </c>
      <c r="J1158" s="25"/>
      <c r="K1158" s="25"/>
      <c r="L1158" s="31"/>
      <c r="M1158" s="29" t="str">
        <f aca="false">IF($C1158="","",YEAR($C1158))</f>
        <v/>
      </c>
      <c r="N1158" s="24"/>
      <c r="O1158" s="35" t="str">
        <f aca="false">IF($C1158="","",IF($D1158="","★没选客户项目",IF(COUNTIF(合同键,$D1158)=0,"★《维保合同》里没这个项目",IF(N($G1158)&lt;=0,"★收款金额要填",IF($H1158="","★票据类型要选",IF(AND($L1158&lt;&gt;"",COUNTIF(应收单号,$L1158)=0),"★关联的应收单号不存在",IF(AND($L1158&lt;&gt;"",IFERROR(INDEX(应收键,MATCH($L1158,应收单号,0)),"")&lt;&gt;$D1158),"★关联单号不是这个客户的",IF(AND($L1158&lt;&gt;"",ROUND(SUMIF(收款关联,$L1158,收款金额)-IFERROR(INDEX(应收金额,MATCH($L1158,应收单号,0)),0),2)&gt;0.001),"★指定冲销超过那张单的应收","OK"))))))))</f>
        <v/>
      </c>
    </row>
    <row r="1159" customFormat="false" ht="15" hidden="false" customHeight="false" outlineLevel="0" collapsed="false">
      <c r="A1159" s="29" t="str">
        <f aca="false">IF($C1159="","",ROW()-4)</f>
        <v/>
      </c>
      <c r="B1159" s="35" t="str">
        <f aca="false">IF($C1159="","","SK"&amp;TEXT($C1159,"yyyymm")&amp;"-"&amp;TEXT(ROW()-4,"0000"))</f>
        <v/>
      </c>
      <c r="C1159" s="33"/>
      <c r="D1159" s="24"/>
      <c r="E1159" s="30" t="str">
        <f aca="false">IF($D1159="","",IFERROR(INDEX(合同单位,MATCH($D1159,合同键,0)),IFERROR(TRIM(LEFT($D1159,FIND("｜",$D1159)-1)),$D1159)))</f>
        <v/>
      </c>
      <c r="F1159" s="30" t="str">
        <f aca="false">IF($D1159="","",IFERROR(INDEX(合同项目,MATCH($D1159,合同键,0)),IFERROR(TRIM(MID($D1159,FIND("｜",$D1159)+1,99)),"")))</f>
        <v/>
      </c>
      <c r="G1159" s="39"/>
      <c r="H1159" s="25"/>
      <c r="I1159" s="35" t="str">
        <f aca="false">IF($H1159="","",IFERROR(INDEX(票据归类表,MATCH($H1159,票据类型表,0)),"现金无票"))</f>
        <v/>
      </c>
      <c r="J1159" s="25"/>
      <c r="K1159" s="25"/>
      <c r="L1159" s="31"/>
      <c r="M1159" s="29" t="str">
        <f aca="false">IF($C1159="","",YEAR($C1159))</f>
        <v/>
      </c>
      <c r="N1159" s="24"/>
      <c r="O1159" s="35" t="str">
        <f aca="false">IF($C1159="","",IF($D1159="","★没选客户项目",IF(COUNTIF(合同键,$D1159)=0,"★《维保合同》里没这个项目",IF(N($G1159)&lt;=0,"★收款金额要填",IF($H1159="","★票据类型要选",IF(AND($L1159&lt;&gt;"",COUNTIF(应收单号,$L1159)=0),"★关联的应收单号不存在",IF(AND($L1159&lt;&gt;"",IFERROR(INDEX(应收键,MATCH($L1159,应收单号,0)),"")&lt;&gt;$D1159),"★关联单号不是这个客户的",IF(AND($L1159&lt;&gt;"",ROUND(SUMIF(收款关联,$L1159,收款金额)-IFERROR(INDEX(应收金额,MATCH($L1159,应收单号,0)),0),2)&gt;0.001),"★指定冲销超过那张单的应收","OK"))))))))</f>
        <v/>
      </c>
    </row>
    <row r="1160" customFormat="false" ht="15" hidden="false" customHeight="false" outlineLevel="0" collapsed="false">
      <c r="A1160" s="29" t="str">
        <f aca="false">IF($C1160="","",ROW()-4)</f>
        <v/>
      </c>
      <c r="B1160" s="35" t="str">
        <f aca="false">IF($C1160="","","SK"&amp;TEXT($C1160,"yyyymm")&amp;"-"&amp;TEXT(ROW()-4,"0000"))</f>
        <v/>
      </c>
      <c r="C1160" s="33"/>
      <c r="D1160" s="24"/>
      <c r="E1160" s="30" t="str">
        <f aca="false">IF($D1160="","",IFERROR(INDEX(合同单位,MATCH($D1160,合同键,0)),IFERROR(TRIM(LEFT($D1160,FIND("｜",$D1160)-1)),$D1160)))</f>
        <v/>
      </c>
      <c r="F1160" s="30" t="str">
        <f aca="false">IF($D1160="","",IFERROR(INDEX(合同项目,MATCH($D1160,合同键,0)),IFERROR(TRIM(MID($D1160,FIND("｜",$D1160)+1,99)),"")))</f>
        <v/>
      </c>
      <c r="G1160" s="39"/>
      <c r="H1160" s="25"/>
      <c r="I1160" s="35" t="str">
        <f aca="false">IF($H1160="","",IFERROR(INDEX(票据归类表,MATCH($H1160,票据类型表,0)),"现金无票"))</f>
        <v/>
      </c>
      <c r="J1160" s="25"/>
      <c r="K1160" s="25"/>
      <c r="L1160" s="31"/>
      <c r="M1160" s="29" t="str">
        <f aca="false">IF($C1160="","",YEAR($C1160))</f>
        <v/>
      </c>
      <c r="N1160" s="24"/>
      <c r="O1160" s="35" t="str">
        <f aca="false">IF($C1160="","",IF($D1160="","★没选客户项目",IF(COUNTIF(合同键,$D1160)=0,"★《维保合同》里没这个项目",IF(N($G1160)&lt;=0,"★收款金额要填",IF($H1160="","★票据类型要选",IF(AND($L1160&lt;&gt;"",COUNTIF(应收单号,$L1160)=0),"★关联的应收单号不存在",IF(AND($L1160&lt;&gt;"",IFERROR(INDEX(应收键,MATCH($L1160,应收单号,0)),"")&lt;&gt;$D1160),"★关联单号不是这个客户的",IF(AND($L1160&lt;&gt;"",ROUND(SUMIF(收款关联,$L1160,收款金额)-IFERROR(INDEX(应收金额,MATCH($L1160,应收单号,0)),0),2)&gt;0.001),"★指定冲销超过那张单的应收","OK"))))))))</f>
        <v/>
      </c>
    </row>
    <row r="1161" customFormat="false" ht="15" hidden="false" customHeight="false" outlineLevel="0" collapsed="false">
      <c r="A1161" s="29" t="str">
        <f aca="false">IF($C1161="","",ROW()-4)</f>
        <v/>
      </c>
      <c r="B1161" s="35" t="str">
        <f aca="false">IF($C1161="","","SK"&amp;TEXT($C1161,"yyyymm")&amp;"-"&amp;TEXT(ROW()-4,"0000"))</f>
        <v/>
      </c>
      <c r="C1161" s="33"/>
      <c r="D1161" s="24"/>
      <c r="E1161" s="30" t="str">
        <f aca="false">IF($D1161="","",IFERROR(INDEX(合同单位,MATCH($D1161,合同键,0)),IFERROR(TRIM(LEFT($D1161,FIND("｜",$D1161)-1)),$D1161)))</f>
        <v/>
      </c>
      <c r="F1161" s="30" t="str">
        <f aca="false">IF($D1161="","",IFERROR(INDEX(合同项目,MATCH($D1161,合同键,0)),IFERROR(TRIM(MID($D1161,FIND("｜",$D1161)+1,99)),"")))</f>
        <v/>
      </c>
      <c r="G1161" s="39"/>
      <c r="H1161" s="25"/>
      <c r="I1161" s="35" t="str">
        <f aca="false">IF($H1161="","",IFERROR(INDEX(票据归类表,MATCH($H1161,票据类型表,0)),"现金无票"))</f>
        <v/>
      </c>
      <c r="J1161" s="25"/>
      <c r="K1161" s="25"/>
      <c r="L1161" s="31"/>
      <c r="M1161" s="29" t="str">
        <f aca="false">IF($C1161="","",YEAR($C1161))</f>
        <v/>
      </c>
      <c r="N1161" s="24"/>
      <c r="O1161" s="35" t="str">
        <f aca="false">IF($C1161="","",IF($D1161="","★没选客户项目",IF(COUNTIF(合同键,$D1161)=0,"★《维保合同》里没这个项目",IF(N($G1161)&lt;=0,"★收款金额要填",IF($H1161="","★票据类型要选",IF(AND($L1161&lt;&gt;"",COUNTIF(应收单号,$L1161)=0),"★关联的应收单号不存在",IF(AND($L1161&lt;&gt;"",IFERROR(INDEX(应收键,MATCH($L1161,应收单号,0)),"")&lt;&gt;$D1161),"★关联单号不是这个客户的",IF(AND($L1161&lt;&gt;"",ROUND(SUMIF(收款关联,$L1161,收款金额)-IFERROR(INDEX(应收金额,MATCH($L1161,应收单号,0)),0),2)&gt;0.001),"★指定冲销超过那张单的应收","OK"))))))))</f>
        <v/>
      </c>
    </row>
    <row r="1162" customFormat="false" ht="15" hidden="false" customHeight="false" outlineLevel="0" collapsed="false">
      <c r="A1162" s="29" t="str">
        <f aca="false">IF($C1162="","",ROW()-4)</f>
        <v/>
      </c>
      <c r="B1162" s="35" t="str">
        <f aca="false">IF($C1162="","","SK"&amp;TEXT($C1162,"yyyymm")&amp;"-"&amp;TEXT(ROW()-4,"0000"))</f>
        <v/>
      </c>
      <c r="C1162" s="33"/>
      <c r="D1162" s="24"/>
      <c r="E1162" s="30" t="str">
        <f aca="false">IF($D1162="","",IFERROR(INDEX(合同单位,MATCH($D1162,合同键,0)),IFERROR(TRIM(LEFT($D1162,FIND("｜",$D1162)-1)),$D1162)))</f>
        <v/>
      </c>
      <c r="F1162" s="30" t="str">
        <f aca="false">IF($D1162="","",IFERROR(INDEX(合同项目,MATCH($D1162,合同键,0)),IFERROR(TRIM(MID($D1162,FIND("｜",$D1162)+1,99)),"")))</f>
        <v/>
      </c>
      <c r="G1162" s="39"/>
      <c r="H1162" s="25"/>
      <c r="I1162" s="35" t="str">
        <f aca="false">IF($H1162="","",IFERROR(INDEX(票据归类表,MATCH($H1162,票据类型表,0)),"现金无票"))</f>
        <v/>
      </c>
      <c r="J1162" s="25"/>
      <c r="K1162" s="25"/>
      <c r="L1162" s="31"/>
      <c r="M1162" s="29" t="str">
        <f aca="false">IF($C1162="","",YEAR($C1162))</f>
        <v/>
      </c>
      <c r="N1162" s="24"/>
      <c r="O1162" s="35" t="str">
        <f aca="false">IF($C1162="","",IF($D1162="","★没选客户项目",IF(COUNTIF(合同键,$D1162)=0,"★《维保合同》里没这个项目",IF(N($G1162)&lt;=0,"★收款金额要填",IF($H1162="","★票据类型要选",IF(AND($L1162&lt;&gt;"",COUNTIF(应收单号,$L1162)=0),"★关联的应收单号不存在",IF(AND($L1162&lt;&gt;"",IFERROR(INDEX(应收键,MATCH($L1162,应收单号,0)),"")&lt;&gt;$D1162),"★关联单号不是这个客户的",IF(AND($L1162&lt;&gt;"",ROUND(SUMIF(收款关联,$L1162,收款金额)-IFERROR(INDEX(应收金额,MATCH($L1162,应收单号,0)),0),2)&gt;0.001),"★指定冲销超过那张单的应收","OK"))))))))</f>
        <v/>
      </c>
    </row>
    <row r="1163" customFormat="false" ht="15" hidden="false" customHeight="false" outlineLevel="0" collapsed="false">
      <c r="A1163" s="29" t="str">
        <f aca="false">IF($C1163="","",ROW()-4)</f>
        <v/>
      </c>
      <c r="B1163" s="35" t="str">
        <f aca="false">IF($C1163="","","SK"&amp;TEXT($C1163,"yyyymm")&amp;"-"&amp;TEXT(ROW()-4,"0000"))</f>
        <v/>
      </c>
      <c r="C1163" s="33"/>
      <c r="D1163" s="24"/>
      <c r="E1163" s="30" t="str">
        <f aca="false">IF($D1163="","",IFERROR(INDEX(合同单位,MATCH($D1163,合同键,0)),IFERROR(TRIM(LEFT($D1163,FIND("｜",$D1163)-1)),$D1163)))</f>
        <v/>
      </c>
      <c r="F1163" s="30" t="str">
        <f aca="false">IF($D1163="","",IFERROR(INDEX(合同项目,MATCH($D1163,合同键,0)),IFERROR(TRIM(MID($D1163,FIND("｜",$D1163)+1,99)),"")))</f>
        <v/>
      </c>
      <c r="G1163" s="39"/>
      <c r="H1163" s="25"/>
      <c r="I1163" s="35" t="str">
        <f aca="false">IF($H1163="","",IFERROR(INDEX(票据归类表,MATCH($H1163,票据类型表,0)),"现金无票"))</f>
        <v/>
      </c>
      <c r="J1163" s="25"/>
      <c r="K1163" s="25"/>
      <c r="L1163" s="31"/>
      <c r="M1163" s="29" t="str">
        <f aca="false">IF($C1163="","",YEAR($C1163))</f>
        <v/>
      </c>
      <c r="N1163" s="24"/>
      <c r="O1163" s="35" t="str">
        <f aca="false">IF($C1163="","",IF($D1163="","★没选客户项目",IF(COUNTIF(合同键,$D1163)=0,"★《维保合同》里没这个项目",IF(N($G1163)&lt;=0,"★收款金额要填",IF($H1163="","★票据类型要选",IF(AND($L1163&lt;&gt;"",COUNTIF(应收单号,$L1163)=0),"★关联的应收单号不存在",IF(AND($L1163&lt;&gt;"",IFERROR(INDEX(应收键,MATCH($L1163,应收单号,0)),"")&lt;&gt;$D1163),"★关联单号不是这个客户的",IF(AND($L1163&lt;&gt;"",ROUND(SUMIF(收款关联,$L1163,收款金额)-IFERROR(INDEX(应收金额,MATCH($L1163,应收单号,0)),0),2)&gt;0.001),"★指定冲销超过那张单的应收","OK"))))))))</f>
        <v/>
      </c>
    </row>
    <row r="1164" customFormat="false" ht="15" hidden="false" customHeight="false" outlineLevel="0" collapsed="false">
      <c r="A1164" s="29" t="str">
        <f aca="false">IF($C1164="","",ROW()-4)</f>
        <v/>
      </c>
      <c r="B1164" s="35" t="str">
        <f aca="false">IF($C1164="","","SK"&amp;TEXT($C1164,"yyyymm")&amp;"-"&amp;TEXT(ROW()-4,"0000"))</f>
        <v/>
      </c>
      <c r="C1164" s="33"/>
      <c r="D1164" s="24"/>
      <c r="E1164" s="30" t="str">
        <f aca="false">IF($D1164="","",IFERROR(INDEX(合同单位,MATCH($D1164,合同键,0)),IFERROR(TRIM(LEFT($D1164,FIND("｜",$D1164)-1)),$D1164)))</f>
        <v/>
      </c>
      <c r="F1164" s="30" t="str">
        <f aca="false">IF($D1164="","",IFERROR(INDEX(合同项目,MATCH($D1164,合同键,0)),IFERROR(TRIM(MID($D1164,FIND("｜",$D1164)+1,99)),"")))</f>
        <v/>
      </c>
      <c r="G1164" s="39"/>
      <c r="H1164" s="25"/>
      <c r="I1164" s="35" t="str">
        <f aca="false">IF($H1164="","",IFERROR(INDEX(票据归类表,MATCH($H1164,票据类型表,0)),"现金无票"))</f>
        <v/>
      </c>
      <c r="J1164" s="25"/>
      <c r="K1164" s="25"/>
      <c r="L1164" s="31"/>
      <c r="M1164" s="29" t="str">
        <f aca="false">IF($C1164="","",YEAR($C1164))</f>
        <v/>
      </c>
      <c r="N1164" s="24"/>
      <c r="O1164" s="35" t="str">
        <f aca="false">IF($C1164="","",IF($D1164="","★没选客户项目",IF(COUNTIF(合同键,$D1164)=0,"★《维保合同》里没这个项目",IF(N($G1164)&lt;=0,"★收款金额要填",IF($H1164="","★票据类型要选",IF(AND($L1164&lt;&gt;"",COUNTIF(应收单号,$L1164)=0),"★关联的应收单号不存在",IF(AND($L1164&lt;&gt;"",IFERROR(INDEX(应收键,MATCH($L1164,应收单号,0)),"")&lt;&gt;$D1164),"★关联单号不是这个客户的",IF(AND($L1164&lt;&gt;"",ROUND(SUMIF(收款关联,$L1164,收款金额)-IFERROR(INDEX(应收金额,MATCH($L1164,应收单号,0)),0),2)&gt;0.001),"★指定冲销超过那张单的应收","OK"))))))))</f>
        <v/>
      </c>
    </row>
    <row r="1165" customFormat="false" ht="15" hidden="false" customHeight="false" outlineLevel="0" collapsed="false">
      <c r="A1165" s="29" t="str">
        <f aca="false">IF($C1165="","",ROW()-4)</f>
        <v/>
      </c>
      <c r="B1165" s="35" t="str">
        <f aca="false">IF($C1165="","","SK"&amp;TEXT($C1165,"yyyymm")&amp;"-"&amp;TEXT(ROW()-4,"0000"))</f>
        <v/>
      </c>
      <c r="C1165" s="33"/>
      <c r="D1165" s="24"/>
      <c r="E1165" s="30" t="str">
        <f aca="false">IF($D1165="","",IFERROR(INDEX(合同单位,MATCH($D1165,合同键,0)),IFERROR(TRIM(LEFT($D1165,FIND("｜",$D1165)-1)),$D1165)))</f>
        <v/>
      </c>
      <c r="F1165" s="30" t="str">
        <f aca="false">IF($D1165="","",IFERROR(INDEX(合同项目,MATCH($D1165,合同键,0)),IFERROR(TRIM(MID($D1165,FIND("｜",$D1165)+1,99)),"")))</f>
        <v/>
      </c>
      <c r="G1165" s="39"/>
      <c r="H1165" s="25"/>
      <c r="I1165" s="35" t="str">
        <f aca="false">IF($H1165="","",IFERROR(INDEX(票据归类表,MATCH($H1165,票据类型表,0)),"现金无票"))</f>
        <v/>
      </c>
      <c r="J1165" s="25"/>
      <c r="K1165" s="25"/>
      <c r="L1165" s="31"/>
      <c r="M1165" s="29" t="str">
        <f aca="false">IF($C1165="","",YEAR($C1165))</f>
        <v/>
      </c>
      <c r="N1165" s="24"/>
      <c r="O1165" s="35" t="str">
        <f aca="false">IF($C1165="","",IF($D1165="","★没选客户项目",IF(COUNTIF(合同键,$D1165)=0,"★《维保合同》里没这个项目",IF(N($G1165)&lt;=0,"★收款金额要填",IF($H1165="","★票据类型要选",IF(AND($L1165&lt;&gt;"",COUNTIF(应收单号,$L1165)=0),"★关联的应收单号不存在",IF(AND($L1165&lt;&gt;"",IFERROR(INDEX(应收键,MATCH($L1165,应收单号,0)),"")&lt;&gt;$D1165),"★关联单号不是这个客户的",IF(AND($L1165&lt;&gt;"",ROUND(SUMIF(收款关联,$L1165,收款金额)-IFERROR(INDEX(应收金额,MATCH($L1165,应收单号,0)),0),2)&gt;0.001),"★指定冲销超过那张单的应收","OK"))))))))</f>
        <v/>
      </c>
    </row>
    <row r="1166" customFormat="false" ht="15" hidden="false" customHeight="false" outlineLevel="0" collapsed="false">
      <c r="A1166" s="29" t="str">
        <f aca="false">IF($C1166="","",ROW()-4)</f>
        <v/>
      </c>
      <c r="B1166" s="35" t="str">
        <f aca="false">IF($C1166="","","SK"&amp;TEXT($C1166,"yyyymm")&amp;"-"&amp;TEXT(ROW()-4,"0000"))</f>
        <v/>
      </c>
      <c r="C1166" s="33"/>
      <c r="D1166" s="24"/>
      <c r="E1166" s="30" t="str">
        <f aca="false">IF($D1166="","",IFERROR(INDEX(合同单位,MATCH($D1166,合同键,0)),IFERROR(TRIM(LEFT($D1166,FIND("｜",$D1166)-1)),$D1166)))</f>
        <v/>
      </c>
      <c r="F1166" s="30" t="str">
        <f aca="false">IF($D1166="","",IFERROR(INDEX(合同项目,MATCH($D1166,合同键,0)),IFERROR(TRIM(MID($D1166,FIND("｜",$D1166)+1,99)),"")))</f>
        <v/>
      </c>
      <c r="G1166" s="39"/>
      <c r="H1166" s="25"/>
      <c r="I1166" s="35" t="str">
        <f aca="false">IF($H1166="","",IFERROR(INDEX(票据归类表,MATCH($H1166,票据类型表,0)),"现金无票"))</f>
        <v/>
      </c>
      <c r="J1166" s="25"/>
      <c r="K1166" s="25"/>
      <c r="L1166" s="31"/>
      <c r="M1166" s="29" t="str">
        <f aca="false">IF($C1166="","",YEAR($C1166))</f>
        <v/>
      </c>
      <c r="N1166" s="24"/>
      <c r="O1166" s="35" t="str">
        <f aca="false">IF($C1166="","",IF($D1166="","★没选客户项目",IF(COUNTIF(合同键,$D1166)=0,"★《维保合同》里没这个项目",IF(N($G1166)&lt;=0,"★收款金额要填",IF($H1166="","★票据类型要选",IF(AND($L1166&lt;&gt;"",COUNTIF(应收单号,$L1166)=0),"★关联的应收单号不存在",IF(AND($L1166&lt;&gt;"",IFERROR(INDEX(应收键,MATCH($L1166,应收单号,0)),"")&lt;&gt;$D1166),"★关联单号不是这个客户的",IF(AND($L1166&lt;&gt;"",ROUND(SUMIF(收款关联,$L1166,收款金额)-IFERROR(INDEX(应收金额,MATCH($L1166,应收单号,0)),0),2)&gt;0.001),"★指定冲销超过那张单的应收","OK"))))))))</f>
        <v/>
      </c>
    </row>
    <row r="1167" customFormat="false" ht="15" hidden="false" customHeight="false" outlineLevel="0" collapsed="false">
      <c r="A1167" s="29" t="str">
        <f aca="false">IF($C1167="","",ROW()-4)</f>
        <v/>
      </c>
      <c r="B1167" s="35" t="str">
        <f aca="false">IF($C1167="","","SK"&amp;TEXT($C1167,"yyyymm")&amp;"-"&amp;TEXT(ROW()-4,"0000"))</f>
        <v/>
      </c>
      <c r="C1167" s="33"/>
      <c r="D1167" s="24"/>
      <c r="E1167" s="30" t="str">
        <f aca="false">IF($D1167="","",IFERROR(INDEX(合同单位,MATCH($D1167,合同键,0)),IFERROR(TRIM(LEFT($D1167,FIND("｜",$D1167)-1)),$D1167)))</f>
        <v/>
      </c>
      <c r="F1167" s="30" t="str">
        <f aca="false">IF($D1167="","",IFERROR(INDEX(合同项目,MATCH($D1167,合同键,0)),IFERROR(TRIM(MID($D1167,FIND("｜",$D1167)+1,99)),"")))</f>
        <v/>
      </c>
      <c r="G1167" s="39"/>
      <c r="H1167" s="25"/>
      <c r="I1167" s="35" t="str">
        <f aca="false">IF($H1167="","",IFERROR(INDEX(票据归类表,MATCH($H1167,票据类型表,0)),"现金无票"))</f>
        <v/>
      </c>
      <c r="J1167" s="25"/>
      <c r="K1167" s="25"/>
      <c r="L1167" s="31"/>
      <c r="M1167" s="29" t="str">
        <f aca="false">IF($C1167="","",YEAR($C1167))</f>
        <v/>
      </c>
      <c r="N1167" s="24"/>
      <c r="O1167" s="35" t="str">
        <f aca="false">IF($C1167="","",IF($D1167="","★没选客户项目",IF(COUNTIF(合同键,$D1167)=0,"★《维保合同》里没这个项目",IF(N($G1167)&lt;=0,"★收款金额要填",IF($H1167="","★票据类型要选",IF(AND($L1167&lt;&gt;"",COUNTIF(应收单号,$L1167)=0),"★关联的应收单号不存在",IF(AND($L1167&lt;&gt;"",IFERROR(INDEX(应收键,MATCH($L1167,应收单号,0)),"")&lt;&gt;$D1167),"★关联单号不是这个客户的",IF(AND($L1167&lt;&gt;"",ROUND(SUMIF(收款关联,$L1167,收款金额)-IFERROR(INDEX(应收金额,MATCH($L1167,应收单号,0)),0),2)&gt;0.001),"★指定冲销超过那张单的应收","OK"))))))))</f>
        <v/>
      </c>
    </row>
    <row r="1168" customFormat="false" ht="15" hidden="false" customHeight="false" outlineLevel="0" collapsed="false">
      <c r="A1168" s="29" t="str">
        <f aca="false">IF($C1168="","",ROW()-4)</f>
        <v/>
      </c>
      <c r="B1168" s="35" t="str">
        <f aca="false">IF($C1168="","","SK"&amp;TEXT($C1168,"yyyymm")&amp;"-"&amp;TEXT(ROW()-4,"0000"))</f>
        <v/>
      </c>
      <c r="C1168" s="33"/>
      <c r="D1168" s="24"/>
      <c r="E1168" s="30" t="str">
        <f aca="false">IF($D1168="","",IFERROR(INDEX(合同单位,MATCH($D1168,合同键,0)),IFERROR(TRIM(LEFT($D1168,FIND("｜",$D1168)-1)),$D1168)))</f>
        <v/>
      </c>
      <c r="F1168" s="30" t="str">
        <f aca="false">IF($D1168="","",IFERROR(INDEX(合同项目,MATCH($D1168,合同键,0)),IFERROR(TRIM(MID($D1168,FIND("｜",$D1168)+1,99)),"")))</f>
        <v/>
      </c>
      <c r="G1168" s="39"/>
      <c r="H1168" s="25"/>
      <c r="I1168" s="35" t="str">
        <f aca="false">IF($H1168="","",IFERROR(INDEX(票据归类表,MATCH($H1168,票据类型表,0)),"现金无票"))</f>
        <v/>
      </c>
      <c r="J1168" s="25"/>
      <c r="K1168" s="25"/>
      <c r="L1168" s="31"/>
      <c r="M1168" s="29" t="str">
        <f aca="false">IF($C1168="","",YEAR($C1168))</f>
        <v/>
      </c>
      <c r="N1168" s="24"/>
      <c r="O1168" s="35" t="str">
        <f aca="false">IF($C1168="","",IF($D1168="","★没选客户项目",IF(COUNTIF(合同键,$D1168)=0,"★《维保合同》里没这个项目",IF(N($G1168)&lt;=0,"★收款金额要填",IF($H1168="","★票据类型要选",IF(AND($L1168&lt;&gt;"",COUNTIF(应收单号,$L1168)=0),"★关联的应收单号不存在",IF(AND($L1168&lt;&gt;"",IFERROR(INDEX(应收键,MATCH($L1168,应收单号,0)),"")&lt;&gt;$D1168),"★关联单号不是这个客户的",IF(AND($L1168&lt;&gt;"",ROUND(SUMIF(收款关联,$L1168,收款金额)-IFERROR(INDEX(应收金额,MATCH($L1168,应收单号,0)),0),2)&gt;0.001),"★指定冲销超过那张单的应收","OK"))))))))</f>
        <v/>
      </c>
    </row>
    <row r="1169" customFormat="false" ht="15" hidden="false" customHeight="false" outlineLevel="0" collapsed="false">
      <c r="A1169" s="29" t="str">
        <f aca="false">IF($C1169="","",ROW()-4)</f>
        <v/>
      </c>
      <c r="B1169" s="35" t="str">
        <f aca="false">IF($C1169="","","SK"&amp;TEXT($C1169,"yyyymm")&amp;"-"&amp;TEXT(ROW()-4,"0000"))</f>
        <v/>
      </c>
      <c r="C1169" s="33"/>
      <c r="D1169" s="24"/>
      <c r="E1169" s="30" t="str">
        <f aca="false">IF($D1169="","",IFERROR(INDEX(合同单位,MATCH($D1169,合同键,0)),IFERROR(TRIM(LEFT($D1169,FIND("｜",$D1169)-1)),$D1169)))</f>
        <v/>
      </c>
      <c r="F1169" s="30" t="str">
        <f aca="false">IF($D1169="","",IFERROR(INDEX(合同项目,MATCH($D1169,合同键,0)),IFERROR(TRIM(MID($D1169,FIND("｜",$D1169)+1,99)),"")))</f>
        <v/>
      </c>
      <c r="G1169" s="39"/>
      <c r="H1169" s="25"/>
      <c r="I1169" s="35" t="str">
        <f aca="false">IF($H1169="","",IFERROR(INDEX(票据归类表,MATCH($H1169,票据类型表,0)),"现金无票"))</f>
        <v/>
      </c>
      <c r="J1169" s="25"/>
      <c r="K1169" s="25"/>
      <c r="L1169" s="31"/>
      <c r="M1169" s="29" t="str">
        <f aca="false">IF($C1169="","",YEAR($C1169))</f>
        <v/>
      </c>
      <c r="N1169" s="24"/>
      <c r="O1169" s="35" t="str">
        <f aca="false">IF($C1169="","",IF($D1169="","★没选客户项目",IF(COUNTIF(合同键,$D1169)=0,"★《维保合同》里没这个项目",IF(N($G1169)&lt;=0,"★收款金额要填",IF($H1169="","★票据类型要选",IF(AND($L1169&lt;&gt;"",COUNTIF(应收单号,$L1169)=0),"★关联的应收单号不存在",IF(AND($L1169&lt;&gt;"",IFERROR(INDEX(应收键,MATCH($L1169,应收单号,0)),"")&lt;&gt;$D1169),"★关联单号不是这个客户的",IF(AND($L1169&lt;&gt;"",ROUND(SUMIF(收款关联,$L1169,收款金额)-IFERROR(INDEX(应收金额,MATCH($L1169,应收单号,0)),0),2)&gt;0.001),"★指定冲销超过那张单的应收","OK"))))))))</f>
        <v/>
      </c>
    </row>
    <row r="1170" customFormat="false" ht="15" hidden="false" customHeight="false" outlineLevel="0" collapsed="false">
      <c r="A1170" s="29" t="str">
        <f aca="false">IF($C1170="","",ROW()-4)</f>
        <v/>
      </c>
      <c r="B1170" s="35" t="str">
        <f aca="false">IF($C1170="","","SK"&amp;TEXT($C1170,"yyyymm")&amp;"-"&amp;TEXT(ROW()-4,"0000"))</f>
        <v/>
      </c>
      <c r="C1170" s="33"/>
      <c r="D1170" s="24"/>
      <c r="E1170" s="30" t="str">
        <f aca="false">IF($D1170="","",IFERROR(INDEX(合同单位,MATCH($D1170,合同键,0)),IFERROR(TRIM(LEFT($D1170,FIND("｜",$D1170)-1)),$D1170)))</f>
        <v/>
      </c>
      <c r="F1170" s="30" t="str">
        <f aca="false">IF($D1170="","",IFERROR(INDEX(合同项目,MATCH($D1170,合同键,0)),IFERROR(TRIM(MID($D1170,FIND("｜",$D1170)+1,99)),"")))</f>
        <v/>
      </c>
      <c r="G1170" s="39"/>
      <c r="H1170" s="25"/>
      <c r="I1170" s="35" t="str">
        <f aca="false">IF($H1170="","",IFERROR(INDEX(票据归类表,MATCH($H1170,票据类型表,0)),"现金无票"))</f>
        <v/>
      </c>
      <c r="J1170" s="25"/>
      <c r="K1170" s="25"/>
      <c r="L1170" s="31"/>
      <c r="M1170" s="29" t="str">
        <f aca="false">IF($C1170="","",YEAR($C1170))</f>
        <v/>
      </c>
      <c r="N1170" s="24"/>
      <c r="O1170" s="35" t="str">
        <f aca="false">IF($C1170="","",IF($D1170="","★没选客户项目",IF(COUNTIF(合同键,$D1170)=0,"★《维保合同》里没这个项目",IF(N($G1170)&lt;=0,"★收款金额要填",IF($H1170="","★票据类型要选",IF(AND($L1170&lt;&gt;"",COUNTIF(应收单号,$L1170)=0),"★关联的应收单号不存在",IF(AND($L1170&lt;&gt;"",IFERROR(INDEX(应收键,MATCH($L1170,应收单号,0)),"")&lt;&gt;$D1170),"★关联单号不是这个客户的",IF(AND($L1170&lt;&gt;"",ROUND(SUMIF(收款关联,$L1170,收款金额)-IFERROR(INDEX(应收金额,MATCH($L1170,应收单号,0)),0),2)&gt;0.001),"★指定冲销超过那张单的应收","OK"))))))))</f>
        <v/>
      </c>
    </row>
    <row r="1171" customFormat="false" ht="15" hidden="false" customHeight="false" outlineLevel="0" collapsed="false">
      <c r="A1171" s="29" t="str">
        <f aca="false">IF($C1171="","",ROW()-4)</f>
        <v/>
      </c>
      <c r="B1171" s="35" t="str">
        <f aca="false">IF($C1171="","","SK"&amp;TEXT($C1171,"yyyymm")&amp;"-"&amp;TEXT(ROW()-4,"0000"))</f>
        <v/>
      </c>
      <c r="C1171" s="33"/>
      <c r="D1171" s="24"/>
      <c r="E1171" s="30" t="str">
        <f aca="false">IF($D1171="","",IFERROR(INDEX(合同单位,MATCH($D1171,合同键,0)),IFERROR(TRIM(LEFT($D1171,FIND("｜",$D1171)-1)),$D1171)))</f>
        <v/>
      </c>
      <c r="F1171" s="30" t="str">
        <f aca="false">IF($D1171="","",IFERROR(INDEX(合同项目,MATCH($D1171,合同键,0)),IFERROR(TRIM(MID($D1171,FIND("｜",$D1171)+1,99)),"")))</f>
        <v/>
      </c>
      <c r="G1171" s="39"/>
      <c r="H1171" s="25"/>
      <c r="I1171" s="35" t="str">
        <f aca="false">IF($H1171="","",IFERROR(INDEX(票据归类表,MATCH($H1171,票据类型表,0)),"现金无票"))</f>
        <v/>
      </c>
      <c r="J1171" s="25"/>
      <c r="K1171" s="25"/>
      <c r="L1171" s="31"/>
      <c r="M1171" s="29" t="str">
        <f aca="false">IF($C1171="","",YEAR($C1171))</f>
        <v/>
      </c>
      <c r="N1171" s="24"/>
      <c r="O1171" s="35" t="str">
        <f aca="false">IF($C1171="","",IF($D1171="","★没选客户项目",IF(COUNTIF(合同键,$D1171)=0,"★《维保合同》里没这个项目",IF(N($G1171)&lt;=0,"★收款金额要填",IF($H1171="","★票据类型要选",IF(AND($L1171&lt;&gt;"",COUNTIF(应收单号,$L1171)=0),"★关联的应收单号不存在",IF(AND($L1171&lt;&gt;"",IFERROR(INDEX(应收键,MATCH($L1171,应收单号,0)),"")&lt;&gt;$D1171),"★关联单号不是这个客户的",IF(AND($L1171&lt;&gt;"",ROUND(SUMIF(收款关联,$L1171,收款金额)-IFERROR(INDEX(应收金额,MATCH($L1171,应收单号,0)),0),2)&gt;0.001),"★指定冲销超过那张单的应收","OK"))))))))</f>
        <v/>
      </c>
    </row>
    <row r="1172" customFormat="false" ht="15" hidden="false" customHeight="false" outlineLevel="0" collapsed="false">
      <c r="A1172" s="29" t="str">
        <f aca="false">IF($C1172="","",ROW()-4)</f>
        <v/>
      </c>
      <c r="B1172" s="35" t="str">
        <f aca="false">IF($C1172="","","SK"&amp;TEXT($C1172,"yyyymm")&amp;"-"&amp;TEXT(ROW()-4,"0000"))</f>
        <v/>
      </c>
      <c r="C1172" s="33"/>
      <c r="D1172" s="24"/>
      <c r="E1172" s="30" t="str">
        <f aca="false">IF($D1172="","",IFERROR(INDEX(合同单位,MATCH($D1172,合同键,0)),IFERROR(TRIM(LEFT($D1172,FIND("｜",$D1172)-1)),$D1172)))</f>
        <v/>
      </c>
      <c r="F1172" s="30" t="str">
        <f aca="false">IF($D1172="","",IFERROR(INDEX(合同项目,MATCH($D1172,合同键,0)),IFERROR(TRIM(MID($D1172,FIND("｜",$D1172)+1,99)),"")))</f>
        <v/>
      </c>
      <c r="G1172" s="39"/>
      <c r="H1172" s="25"/>
      <c r="I1172" s="35" t="str">
        <f aca="false">IF($H1172="","",IFERROR(INDEX(票据归类表,MATCH($H1172,票据类型表,0)),"现金无票"))</f>
        <v/>
      </c>
      <c r="J1172" s="25"/>
      <c r="K1172" s="25"/>
      <c r="L1172" s="31"/>
      <c r="M1172" s="29" t="str">
        <f aca="false">IF($C1172="","",YEAR($C1172))</f>
        <v/>
      </c>
      <c r="N1172" s="24"/>
      <c r="O1172" s="35" t="str">
        <f aca="false">IF($C1172="","",IF($D1172="","★没选客户项目",IF(COUNTIF(合同键,$D1172)=0,"★《维保合同》里没这个项目",IF(N($G1172)&lt;=0,"★收款金额要填",IF($H1172="","★票据类型要选",IF(AND($L1172&lt;&gt;"",COUNTIF(应收单号,$L1172)=0),"★关联的应收单号不存在",IF(AND($L1172&lt;&gt;"",IFERROR(INDEX(应收键,MATCH($L1172,应收单号,0)),"")&lt;&gt;$D1172),"★关联单号不是这个客户的",IF(AND($L1172&lt;&gt;"",ROUND(SUMIF(收款关联,$L1172,收款金额)-IFERROR(INDEX(应收金额,MATCH($L1172,应收单号,0)),0),2)&gt;0.001),"★指定冲销超过那张单的应收","OK"))))))))</f>
        <v/>
      </c>
    </row>
    <row r="1173" customFormat="false" ht="15" hidden="false" customHeight="false" outlineLevel="0" collapsed="false">
      <c r="A1173" s="29" t="str">
        <f aca="false">IF($C1173="","",ROW()-4)</f>
        <v/>
      </c>
      <c r="B1173" s="35" t="str">
        <f aca="false">IF($C1173="","","SK"&amp;TEXT($C1173,"yyyymm")&amp;"-"&amp;TEXT(ROW()-4,"0000"))</f>
        <v/>
      </c>
      <c r="C1173" s="33"/>
      <c r="D1173" s="24"/>
      <c r="E1173" s="30" t="str">
        <f aca="false">IF($D1173="","",IFERROR(INDEX(合同单位,MATCH($D1173,合同键,0)),IFERROR(TRIM(LEFT($D1173,FIND("｜",$D1173)-1)),$D1173)))</f>
        <v/>
      </c>
      <c r="F1173" s="30" t="str">
        <f aca="false">IF($D1173="","",IFERROR(INDEX(合同项目,MATCH($D1173,合同键,0)),IFERROR(TRIM(MID($D1173,FIND("｜",$D1173)+1,99)),"")))</f>
        <v/>
      </c>
      <c r="G1173" s="39"/>
      <c r="H1173" s="25"/>
      <c r="I1173" s="35" t="str">
        <f aca="false">IF($H1173="","",IFERROR(INDEX(票据归类表,MATCH($H1173,票据类型表,0)),"现金无票"))</f>
        <v/>
      </c>
      <c r="J1173" s="25"/>
      <c r="K1173" s="25"/>
      <c r="L1173" s="31"/>
      <c r="M1173" s="29" t="str">
        <f aca="false">IF($C1173="","",YEAR($C1173))</f>
        <v/>
      </c>
      <c r="N1173" s="24"/>
      <c r="O1173" s="35" t="str">
        <f aca="false">IF($C1173="","",IF($D1173="","★没选客户项目",IF(COUNTIF(合同键,$D1173)=0,"★《维保合同》里没这个项目",IF(N($G1173)&lt;=0,"★收款金额要填",IF($H1173="","★票据类型要选",IF(AND($L1173&lt;&gt;"",COUNTIF(应收单号,$L1173)=0),"★关联的应收单号不存在",IF(AND($L1173&lt;&gt;"",IFERROR(INDEX(应收键,MATCH($L1173,应收单号,0)),"")&lt;&gt;$D1173),"★关联单号不是这个客户的",IF(AND($L1173&lt;&gt;"",ROUND(SUMIF(收款关联,$L1173,收款金额)-IFERROR(INDEX(应收金额,MATCH($L1173,应收单号,0)),0),2)&gt;0.001),"★指定冲销超过那张单的应收","OK"))))))))</f>
        <v/>
      </c>
    </row>
    <row r="1174" customFormat="false" ht="15" hidden="false" customHeight="false" outlineLevel="0" collapsed="false">
      <c r="A1174" s="29" t="str">
        <f aca="false">IF($C1174="","",ROW()-4)</f>
        <v/>
      </c>
      <c r="B1174" s="35" t="str">
        <f aca="false">IF($C1174="","","SK"&amp;TEXT($C1174,"yyyymm")&amp;"-"&amp;TEXT(ROW()-4,"0000"))</f>
        <v/>
      </c>
      <c r="C1174" s="33"/>
      <c r="D1174" s="24"/>
      <c r="E1174" s="30" t="str">
        <f aca="false">IF($D1174="","",IFERROR(INDEX(合同单位,MATCH($D1174,合同键,0)),IFERROR(TRIM(LEFT($D1174,FIND("｜",$D1174)-1)),$D1174)))</f>
        <v/>
      </c>
      <c r="F1174" s="30" t="str">
        <f aca="false">IF($D1174="","",IFERROR(INDEX(合同项目,MATCH($D1174,合同键,0)),IFERROR(TRIM(MID($D1174,FIND("｜",$D1174)+1,99)),"")))</f>
        <v/>
      </c>
      <c r="G1174" s="39"/>
      <c r="H1174" s="25"/>
      <c r="I1174" s="35" t="str">
        <f aca="false">IF($H1174="","",IFERROR(INDEX(票据归类表,MATCH($H1174,票据类型表,0)),"现金无票"))</f>
        <v/>
      </c>
      <c r="J1174" s="25"/>
      <c r="K1174" s="25"/>
      <c r="L1174" s="31"/>
      <c r="M1174" s="29" t="str">
        <f aca="false">IF($C1174="","",YEAR($C1174))</f>
        <v/>
      </c>
      <c r="N1174" s="24"/>
      <c r="O1174" s="35" t="str">
        <f aca="false">IF($C1174="","",IF($D1174="","★没选客户项目",IF(COUNTIF(合同键,$D1174)=0,"★《维保合同》里没这个项目",IF(N($G1174)&lt;=0,"★收款金额要填",IF($H1174="","★票据类型要选",IF(AND($L1174&lt;&gt;"",COUNTIF(应收单号,$L1174)=0),"★关联的应收单号不存在",IF(AND($L1174&lt;&gt;"",IFERROR(INDEX(应收键,MATCH($L1174,应收单号,0)),"")&lt;&gt;$D1174),"★关联单号不是这个客户的",IF(AND($L1174&lt;&gt;"",ROUND(SUMIF(收款关联,$L1174,收款金额)-IFERROR(INDEX(应收金额,MATCH($L1174,应收单号,0)),0),2)&gt;0.001),"★指定冲销超过那张单的应收","OK"))))))))</f>
        <v/>
      </c>
    </row>
    <row r="1175" customFormat="false" ht="15" hidden="false" customHeight="false" outlineLevel="0" collapsed="false">
      <c r="A1175" s="29" t="str">
        <f aca="false">IF($C1175="","",ROW()-4)</f>
        <v/>
      </c>
      <c r="B1175" s="35" t="str">
        <f aca="false">IF($C1175="","","SK"&amp;TEXT($C1175,"yyyymm")&amp;"-"&amp;TEXT(ROW()-4,"0000"))</f>
        <v/>
      </c>
      <c r="C1175" s="33"/>
      <c r="D1175" s="24"/>
      <c r="E1175" s="30" t="str">
        <f aca="false">IF($D1175="","",IFERROR(INDEX(合同单位,MATCH($D1175,合同键,0)),IFERROR(TRIM(LEFT($D1175,FIND("｜",$D1175)-1)),$D1175)))</f>
        <v/>
      </c>
      <c r="F1175" s="30" t="str">
        <f aca="false">IF($D1175="","",IFERROR(INDEX(合同项目,MATCH($D1175,合同键,0)),IFERROR(TRIM(MID($D1175,FIND("｜",$D1175)+1,99)),"")))</f>
        <v/>
      </c>
      <c r="G1175" s="39"/>
      <c r="H1175" s="25"/>
      <c r="I1175" s="35" t="str">
        <f aca="false">IF($H1175="","",IFERROR(INDEX(票据归类表,MATCH($H1175,票据类型表,0)),"现金无票"))</f>
        <v/>
      </c>
      <c r="J1175" s="25"/>
      <c r="K1175" s="25"/>
      <c r="L1175" s="31"/>
      <c r="M1175" s="29" t="str">
        <f aca="false">IF($C1175="","",YEAR($C1175))</f>
        <v/>
      </c>
      <c r="N1175" s="24"/>
      <c r="O1175" s="35" t="str">
        <f aca="false">IF($C1175="","",IF($D1175="","★没选客户项目",IF(COUNTIF(合同键,$D1175)=0,"★《维保合同》里没这个项目",IF(N($G1175)&lt;=0,"★收款金额要填",IF($H1175="","★票据类型要选",IF(AND($L1175&lt;&gt;"",COUNTIF(应收单号,$L1175)=0),"★关联的应收单号不存在",IF(AND($L1175&lt;&gt;"",IFERROR(INDEX(应收键,MATCH($L1175,应收单号,0)),"")&lt;&gt;$D1175),"★关联单号不是这个客户的",IF(AND($L1175&lt;&gt;"",ROUND(SUMIF(收款关联,$L1175,收款金额)-IFERROR(INDEX(应收金额,MATCH($L1175,应收单号,0)),0),2)&gt;0.001),"★指定冲销超过那张单的应收","OK"))))))))</f>
        <v/>
      </c>
    </row>
    <row r="1176" customFormat="false" ht="15" hidden="false" customHeight="false" outlineLevel="0" collapsed="false">
      <c r="A1176" s="29" t="str">
        <f aca="false">IF($C1176="","",ROW()-4)</f>
        <v/>
      </c>
      <c r="B1176" s="35" t="str">
        <f aca="false">IF($C1176="","","SK"&amp;TEXT($C1176,"yyyymm")&amp;"-"&amp;TEXT(ROW()-4,"0000"))</f>
        <v/>
      </c>
      <c r="C1176" s="33"/>
      <c r="D1176" s="24"/>
      <c r="E1176" s="30" t="str">
        <f aca="false">IF($D1176="","",IFERROR(INDEX(合同单位,MATCH($D1176,合同键,0)),IFERROR(TRIM(LEFT($D1176,FIND("｜",$D1176)-1)),$D1176)))</f>
        <v/>
      </c>
      <c r="F1176" s="30" t="str">
        <f aca="false">IF($D1176="","",IFERROR(INDEX(合同项目,MATCH($D1176,合同键,0)),IFERROR(TRIM(MID($D1176,FIND("｜",$D1176)+1,99)),"")))</f>
        <v/>
      </c>
      <c r="G1176" s="39"/>
      <c r="H1176" s="25"/>
      <c r="I1176" s="35" t="str">
        <f aca="false">IF($H1176="","",IFERROR(INDEX(票据归类表,MATCH($H1176,票据类型表,0)),"现金无票"))</f>
        <v/>
      </c>
      <c r="J1176" s="25"/>
      <c r="K1176" s="25"/>
      <c r="L1176" s="31"/>
      <c r="M1176" s="29" t="str">
        <f aca="false">IF($C1176="","",YEAR($C1176))</f>
        <v/>
      </c>
      <c r="N1176" s="24"/>
      <c r="O1176" s="35" t="str">
        <f aca="false">IF($C1176="","",IF($D1176="","★没选客户项目",IF(COUNTIF(合同键,$D1176)=0,"★《维保合同》里没这个项目",IF(N($G1176)&lt;=0,"★收款金额要填",IF($H1176="","★票据类型要选",IF(AND($L1176&lt;&gt;"",COUNTIF(应收单号,$L1176)=0),"★关联的应收单号不存在",IF(AND($L1176&lt;&gt;"",IFERROR(INDEX(应收键,MATCH($L1176,应收单号,0)),"")&lt;&gt;$D1176),"★关联单号不是这个客户的",IF(AND($L1176&lt;&gt;"",ROUND(SUMIF(收款关联,$L1176,收款金额)-IFERROR(INDEX(应收金额,MATCH($L1176,应收单号,0)),0),2)&gt;0.001),"★指定冲销超过那张单的应收","OK"))))))))</f>
        <v/>
      </c>
    </row>
    <row r="1177" customFormat="false" ht="15" hidden="false" customHeight="false" outlineLevel="0" collapsed="false">
      <c r="A1177" s="29" t="str">
        <f aca="false">IF($C1177="","",ROW()-4)</f>
        <v/>
      </c>
      <c r="B1177" s="35" t="str">
        <f aca="false">IF($C1177="","","SK"&amp;TEXT($C1177,"yyyymm")&amp;"-"&amp;TEXT(ROW()-4,"0000"))</f>
        <v/>
      </c>
      <c r="C1177" s="33"/>
      <c r="D1177" s="24"/>
      <c r="E1177" s="30" t="str">
        <f aca="false">IF($D1177="","",IFERROR(INDEX(合同单位,MATCH($D1177,合同键,0)),IFERROR(TRIM(LEFT($D1177,FIND("｜",$D1177)-1)),$D1177)))</f>
        <v/>
      </c>
      <c r="F1177" s="30" t="str">
        <f aca="false">IF($D1177="","",IFERROR(INDEX(合同项目,MATCH($D1177,合同键,0)),IFERROR(TRIM(MID($D1177,FIND("｜",$D1177)+1,99)),"")))</f>
        <v/>
      </c>
      <c r="G1177" s="39"/>
      <c r="H1177" s="25"/>
      <c r="I1177" s="35" t="str">
        <f aca="false">IF($H1177="","",IFERROR(INDEX(票据归类表,MATCH($H1177,票据类型表,0)),"现金无票"))</f>
        <v/>
      </c>
      <c r="J1177" s="25"/>
      <c r="K1177" s="25"/>
      <c r="L1177" s="31"/>
      <c r="M1177" s="29" t="str">
        <f aca="false">IF($C1177="","",YEAR($C1177))</f>
        <v/>
      </c>
      <c r="N1177" s="24"/>
      <c r="O1177" s="35" t="str">
        <f aca="false">IF($C1177="","",IF($D1177="","★没选客户项目",IF(COUNTIF(合同键,$D1177)=0,"★《维保合同》里没这个项目",IF(N($G1177)&lt;=0,"★收款金额要填",IF($H1177="","★票据类型要选",IF(AND($L1177&lt;&gt;"",COUNTIF(应收单号,$L1177)=0),"★关联的应收单号不存在",IF(AND($L1177&lt;&gt;"",IFERROR(INDEX(应收键,MATCH($L1177,应收单号,0)),"")&lt;&gt;$D1177),"★关联单号不是这个客户的",IF(AND($L1177&lt;&gt;"",ROUND(SUMIF(收款关联,$L1177,收款金额)-IFERROR(INDEX(应收金额,MATCH($L1177,应收单号,0)),0),2)&gt;0.001),"★指定冲销超过那张单的应收","OK"))))))))</f>
        <v/>
      </c>
    </row>
    <row r="1178" customFormat="false" ht="15" hidden="false" customHeight="false" outlineLevel="0" collapsed="false">
      <c r="A1178" s="29" t="str">
        <f aca="false">IF($C1178="","",ROW()-4)</f>
        <v/>
      </c>
      <c r="B1178" s="35" t="str">
        <f aca="false">IF($C1178="","","SK"&amp;TEXT($C1178,"yyyymm")&amp;"-"&amp;TEXT(ROW()-4,"0000"))</f>
        <v/>
      </c>
      <c r="C1178" s="33"/>
      <c r="D1178" s="24"/>
      <c r="E1178" s="30" t="str">
        <f aca="false">IF($D1178="","",IFERROR(INDEX(合同单位,MATCH($D1178,合同键,0)),IFERROR(TRIM(LEFT($D1178,FIND("｜",$D1178)-1)),$D1178)))</f>
        <v/>
      </c>
      <c r="F1178" s="30" t="str">
        <f aca="false">IF($D1178="","",IFERROR(INDEX(合同项目,MATCH($D1178,合同键,0)),IFERROR(TRIM(MID($D1178,FIND("｜",$D1178)+1,99)),"")))</f>
        <v/>
      </c>
      <c r="G1178" s="39"/>
      <c r="H1178" s="25"/>
      <c r="I1178" s="35" t="str">
        <f aca="false">IF($H1178="","",IFERROR(INDEX(票据归类表,MATCH($H1178,票据类型表,0)),"现金无票"))</f>
        <v/>
      </c>
      <c r="J1178" s="25"/>
      <c r="K1178" s="25"/>
      <c r="L1178" s="31"/>
      <c r="M1178" s="29" t="str">
        <f aca="false">IF($C1178="","",YEAR($C1178))</f>
        <v/>
      </c>
      <c r="N1178" s="24"/>
      <c r="O1178" s="35" t="str">
        <f aca="false">IF($C1178="","",IF($D1178="","★没选客户项目",IF(COUNTIF(合同键,$D1178)=0,"★《维保合同》里没这个项目",IF(N($G1178)&lt;=0,"★收款金额要填",IF($H1178="","★票据类型要选",IF(AND($L1178&lt;&gt;"",COUNTIF(应收单号,$L1178)=0),"★关联的应收单号不存在",IF(AND($L1178&lt;&gt;"",IFERROR(INDEX(应收键,MATCH($L1178,应收单号,0)),"")&lt;&gt;$D1178),"★关联单号不是这个客户的",IF(AND($L1178&lt;&gt;"",ROUND(SUMIF(收款关联,$L1178,收款金额)-IFERROR(INDEX(应收金额,MATCH($L1178,应收单号,0)),0),2)&gt;0.001),"★指定冲销超过那张单的应收","OK"))))))))</f>
        <v/>
      </c>
    </row>
    <row r="1179" customFormat="false" ht="15" hidden="false" customHeight="false" outlineLevel="0" collapsed="false">
      <c r="A1179" s="29" t="str">
        <f aca="false">IF($C1179="","",ROW()-4)</f>
        <v/>
      </c>
      <c r="B1179" s="35" t="str">
        <f aca="false">IF($C1179="","","SK"&amp;TEXT($C1179,"yyyymm")&amp;"-"&amp;TEXT(ROW()-4,"0000"))</f>
        <v/>
      </c>
      <c r="C1179" s="33"/>
      <c r="D1179" s="24"/>
      <c r="E1179" s="30" t="str">
        <f aca="false">IF($D1179="","",IFERROR(INDEX(合同单位,MATCH($D1179,合同键,0)),IFERROR(TRIM(LEFT($D1179,FIND("｜",$D1179)-1)),$D1179)))</f>
        <v/>
      </c>
      <c r="F1179" s="30" t="str">
        <f aca="false">IF($D1179="","",IFERROR(INDEX(合同项目,MATCH($D1179,合同键,0)),IFERROR(TRIM(MID($D1179,FIND("｜",$D1179)+1,99)),"")))</f>
        <v/>
      </c>
      <c r="G1179" s="39"/>
      <c r="H1179" s="25"/>
      <c r="I1179" s="35" t="str">
        <f aca="false">IF($H1179="","",IFERROR(INDEX(票据归类表,MATCH($H1179,票据类型表,0)),"现金无票"))</f>
        <v/>
      </c>
      <c r="J1179" s="25"/>
      <c r="K1179" s="25"/>
      <c r="L1179" s="31"/>
      <c r="M1179" s="29" t="str">
        <f aca="false">IF($C1179="","",YEAR($C1179))</f>
        <v/>
      </c>
      <c r="N1179" s="24"/>
      <c r="O1179" s="35" t="str">
        <f aca="false">IF($C1179="","",IF($D1179="","★没选客户项目",IF(COUNTIF(合同键,$D1179)=0,"★《维保合同》里没这个项目",IF(N($G1179)&lt;=0,"★收款金额要填",IF($H1179="","★票据类型要选",IF(AND($L1179&lt;&gt;"",COUNTIF(应收单号,$L1179)=0),"★关联的应收单号不存在",IF(AND($L1179&lt;&gt;"",IFERROR(INDEX(应收键,MATCH($L1179,应收单号,0)),"")&lt;&gt;$D1179),"★关联单号不是这个客户的",IF(AND($L1179&lt;&gt;"",ROUND(SUMIF(收款关联,$L1179,收款金额)-IFERROR(INDEX(应收金额,MATCH($L1179,应收单号,0)),0),2)&gt;0.001),"★指定冲销超过那张单的应收","OK"))))))))</f>
        <v/>
      </c>
    </row>
    <row r="1180" customFormat="false" ht="15" hidden="false" customHeight="false" outlineLevel="0" collapsed="false">
      <c r="A1180" s="29" t="str">
        <f aca="false">IF($C1180="","",ROW()-4)</f>
        <v/>
      </c>
      <c r="B1180" s="35" t="str">
        <f aca="false">IF($C1180="","","SK"&amp;TEXT($C1180,"yyyymm")&amp;"-"&amp;TEXT(ROW()-4,"0000"))</f>
        <v/>
      </c>
      <c r="C1180" s="33"/>
      <c r="D1180" s="24"/>
      <c r="E1180" s="30" t="str">
        <f aca="false">IF($D1180="","",IFERROR(INDEX(合同单位,MATCH($D1180,合同键,0)),IFERROR(TRIM(LEFT($D1180,FIND("｜",$D1180)-1)),$D1180)))</f>
        <v/>
      </c>
      <c r="F1180" s="30" t="str">
        <f aca="false">IF($D1180="","",IFERROR(INDEX(合同项目,MATCH($D1180,合同键,0)),IFERROR(TRIM(MID($D1180,FIND("｜",$D1180)+1,99)),"")))</f>
        <v/>
      </c>
      <c r="G1180" s="39"/>
      <c r="H1180" s="25"/>
      <c r="I1180" s="35" t="str">
        <f aca="false">IF($H1180="","",IFERROR(INDEX(票据归类表,MATCH($H1180,票据类型表,0)),"现金无票"))</f>
        <v/>
      </c>
      <c r="J1180" s="25"/>
      <c r="K1180" s="25"/>
      <c r="L1180" s="31"/>
      <c r="M1180" s="29" t="str">
        <f aca="false">IF($C1180="","",YEAR($C1180))</f>
        <v/>
      </c>
      <c r="N1180" s="24"/>
      <c r="O1180" s="35" t="str">
        <f aca="false">IF($C1180="","",IF($D1180="","★没选客户项目",IF(COUNTIF(合同键,$D1180)=0,"★《维保合同》里没这个项目",IF(N($G1180)&lt;=0,"★收款金额要填",IF($H1180="","★票据类型要选",IF(AND($L1180&lt;&gt;"",COUNTIF(应收单号,$L1180)=0),"★关联的应收单号不存在",IF(AND($L1180&lt;&gt;"",IFERROR(INDEX(应收键,MATCH($L1180,应收单号,0)),"")&lt;&gt;$D1180),"★关联单号不是这个客户的",IF(AND($L1180&lt;&gt;"",ROUND(SUMIF(收款关联,$L1180,收款金额)-IFERROR(INDEX(应收金额,MATCH($L1180,应收单号,0)),0),2)&gt;0.001),"★指定冲销超过那张单的应收","OK"))))))))</f>
        <v/>
      </c>
    </row>
    <row r="1181" customFormat="false" ht="15" hidden="false" customHeight="false" outlineLevel="0" collapsed="false">
      <c r="A1181" s="29" t="str">
        <f aca="false">IF($C1181="","",ROW()-4)</f>
        <v/>
      </c>
      <c r="B1181" s="35" t="str">
        <f aca="false">IF($C1181="","","SK"&amp;TEXT($C1181,"yyyymm")&amp;"-"&amp;TEXT(ROW()-4,"0000"))</f>
        <v/>
      </c>
      <c r="C1181" s="33"/>
      <c r="D1181" s="24"/>
      <c r="E1181" s="30" t="str">
        <f aca="false">IF($D1181="","",IFERROR(INDEX(合同单位,MATCH($D1181,合同键,0)),IFERROR(TRIM(LEFT($D1181,FIND("｜",$D1181)-1)),$D1181)))</f>
        <v/>
      </c>
      <c r="F1181" s="30" t="str">
        <f aca="false">IF($D1181="","",IFERROR(INDEX(合同项目,MATCH($D1181,合同键,0)),IFERROR(TRIM(MID($D1181,FIND("｜",$D1181)+1,99)),"")))</f>
        <v/>
      </c>
      <c r="G1181" s="39"/>
      <c r="H1181" s="25"/>
      <c r="I1181" s="35" t="str">
        <f aca="false">IF($H1181="","",IFERROR(INDEX(票据归类表,MATCH($H1181,票据类型表,0)),"现金无票"))</f>
        <v/>
      </c>
      <c r="J1181" s="25"/>
      <c r="K1181" s="25"/>
      <c r="L1181" s="31"/>
      <c r="M1181" s="29" t="str">
        <f aca="false">IF($C1181="","",YEAR($C1181))</f>
        <v/>
      </c>
      <c r="N1181" s="24"/>
      <c r="O1181" s="35" t="str">
        <f aca="false">IF($C1181="","",IF($D1181="","★没选客户项目",IF(COUNTIF(合同键,$D1181)=0,"★《维保合同》里没这个项目",IF(N($G1181)&lt;=0,"★收款金额要填",IF($H1181="","★票据类型要选",IF(AND($L1181&lt;&gt;"",COUNTIF(应收单号,$L1181)=0),"★关联的应收单号不存在",IF(AND($L1181&lt;&gt;"",IFERROR(INDEX(应收键,MATCH($L1181,应收单号,0)),"")&lt;&gt;$D1181),"★关联单号不是这个客户的",IF(AND($L1181&lt;&gt;"",ROUND(SUMIF(收款关联,$L1181,收款金额)-IFERROR(INDEX(应收金额,MATCH($L1181,应收单号,0)),0),2)&gt;0.001),"★指定冲销超过那张单的应收","OK"))))))))</f>
        <v/>
      </c>
    </row>
    <row r="1182" customFormat="false" ht="15" hidden="false" customHeight="false" outlineLevel="0" collapsed="false">
      <c r="A1182" s="29" t="str">
        <f aca="false">IF($C1182="","",ROW()-4)</f>
        <v/>
      </c>
      <c r="B1182" s="35" t="str">
        <f aca="false">IF($C1182="","","SK"&amp;TEXT($C1182,"yyyymm")&amp;"-"&amp;TEXT(ROW()-4,"0000"))</f>
        <v/>
      </c>
      <c r="C1182" s="33"/>
      <c r="D1182" s="24"/>
      <c r="E1182" s="30" t="str">
        <f aca="false">IF($D1182="","",IFERROR(INDEX(合同单位,MATCH($D1182,合同键,0)),IFERROR(TRIM(LEFT($D1182,FIND("｜",$D1182)-1)),$D1182)))</f>
        <v/>
      </c>
      <c r="F1182" s="30" t="str">
        <f aca="false">IF($D1182="","",IFERROR(INDEX(合同项目,MATCH($D1182,合同键,0)),IFERROR(TRIM(MID($D1182,FIND("｜",$D1182)+1,99)),"")))</f>
        <v/>
      </c>
      <c r="G1182" s="39"/>
      <c r="H1182" s="25"/>
      <c r="I1182" s="35" t="str">
        <f aca="false">IF($H1182="","",IFERROR(INDEX(票据归类表,MATCH($H1182,票据类型表,0)),"现金无票"))</f>
        <v/>
      </c>
      <c r="J1182" s="25"/>
      <c r="K1182" s="25"/>
      <c r="L1182" s="31"/>
      <c r="M1182" s="29" t="str">
        <f aca="false">IF($C1182="","",YEAR($C1182))</f>
        <v/>
      </c>
      <c r="N1182" s="24"/>
      <c r="O1182" s="35" t="str">
        <f aca="false">IF($C1182="","",IF($D1182="","★没选客户项目",IF(COUNTIF(合同键,$D1182)=0,"★《维保合同》里没这个项目",IF(N($G1182)&lt;=0,"★收款金额要填",IF($H1182="","★票据类型要选",IF(AND($L1182&lt;&gt;"",COUNTIF(应收单号,$L1182)=0),"★关联的应收单号不存在",IF(AND($L1182&lt;&gt;"",IFERROR(INDEX(应收键,MATCH($L1182,应收单号,0)),"")&lt;&gt;$D1182),"★关联单号不是这个客户的",IF(AND($L1182&lt;&gt;"",ROUND(SUMIF(收款关联,$L1182,收款金额)-IFERROR(INDEX(应收金额,MATCH($L1182,应收单号,0)),0),2)&gt;0.001),"★指定冲销超过那张单的应收","OK"))))))))</f>
        <v/>
      </c>
    </row>
    <row r="1183" customFormat="false" ht="15" hidden="false" customHeight="false" outlineLevel="0" collapsed="false">
      <c r="A1183" s="29" t="str">
        <f aca="false">IF($C1183="","",ROW()-4)</f>
        <v/>
      </c>
      <c r="B1183" s="35" t="str">
        <f aca="false">IF($C1183="","","SK"&amp;TEXT($C1183,"yyyymm")&amp;"-"&amp;TEXT(ROW()-4,"0000"))</f>
        <v/>
      </c>
      <c r="C1183" s="33"/>
      <c r="D1183" s="24"/>
      <c r="E1183" s="30" t="str">
        <f aca="false">IF($D1183="","",IFERROR(INDEX(合同单位,MATCH($D1183,合同键,0)),IFERROR(TRIM(LEFT($D1183,FIND("｜",$D1183)-1)),$D1183)))</f>
        <v/>
      </c>
      <c r="F1183" s="30" t="str">
        <f aca="false">IF($D1183="","",IFERROR(INDEX(合同项目,MATCH($D1183,合同键,0)),IFERROR(TRIM(MID($D1183,FIND("｜",$D1183)+1,99)),"")))</f>
        <v/>
      </c>
      <c r="G1183" s="39"/>
      <c r="H1183" s="25"/>
      <c r="I1183" s="35" t="str">
        <f aca="false">IF($H1183="","",IFERROR(INDEX(票据归类表,MATCH($H1183,票据类型表,0)),"现金无票"))</f>
        <v/>
      </c>
      <c r="J1183" s="25"/>
      <c r="K1183" s="25"/>
      <c r="L1183" s="31"/>
      <c r="M1183" s="29" t="str">
        <f aca="false">IF($C1183="","",YEAR($C1183))</f>
        <v/>
      </c>
      <c r="N1183" s="24"/>
      <c r="O1183" s="35" t="str">
        <f aca="false">IF($C1183="","",IF($D1183="","★没选客户项目",IF(COUNTIF(合同键,$D1183)=0,"★《维保合同》里没这个项目",IF(N($G1183)&lt;=0,"★收款金额要填",IF($H1183="","★票据类型要选",IF(AND($L1183&lt;&gt;"",COUNTIF(应收单号,$L1183)=0),"★关联的应收单号不存在",IF(AND($L1183&lt;&gt;"",IFERROR(INDEX(应收键,MATCH($L1183,应收单号,0)),"")&lt;&gt;$D1183),"★关联单号不是这个客户的",IF(AND($L1183&lt;&gt;"",ROUND(SUMIF(收款关联,$L1183,收款金额)-IFERROR(INDEX(应收金额,MATCH($L1183,应收单号,0)),0),2)&gt;0.001),"★指定冲销超过那张单的应收","OK"))))))))</f>
        <v/>
      </c>
    </row>
    <row r="1184" customFormat="false" ht="15" hidden="false" customHeight="false" outlineLevel="0" collapsed="false">
      <c r="A1184" s="29" t="str">
        <f aca="false">IF($C1184="","",ROW()-4)</f>
        <v/>
      </c>
      <c r="B1184" s="35" t="str">
        <f aca="false">IF($C1184="","","SK"&amp;TEXT($C1184,"yyyymm")&amp;"-"&amp;TEXT(ROW()-4,"0000"))</f>
        <v/>
      </c>
      <c r="C1184" s="33"/>
      <c r="D1184" s="24"/>
      <c r="E1184" s="30" t="str">
        <f aca="false">IF($D1184="","",IFERROR(INDEX(合同单位,MATCH($D1184,合同键,0)),IFERROR(TRIM(LEFT($D1184,FIND("｜",$D1184)-1)),$D1184)))</f>
        <v/>
      </c>
      <c r="F1184" s="30" t="str">
        <f aca="false">IF($D1184="","",IFERROR(INDEX(合同项目,MATCH($D1184,合同键,0)),IFERROR(TRIM(MID($D1184,FIND("｜",$D1184)+1,99)),"")))</f>
        <v/>
      </c>
      <c r="G1184" s="39"/>
      <c r="H1184" s="25"/>
      <c r="I1184" s="35" t="str">
        <f aca="false">IF($H1184="","",IFERROR(INDEX(票据归类表,MATCH($H1184,票据类型表,0)),"现金无票"))</f>
        <v/>
      </c>
      <c r="J1184" s="25"/>
      <c r="K1184" s="25"/>
      <c r="L1184" s="31"/>
      <c r="M1184" s="29" t="str">
        <f aca="false">IF($C1184="","",YEAR($C1184))</f>
        <v/>
      </c>
      <c r="N1184" s="24"/>
      <c r="O1184" s="35" t="str">
        <f aca="false">IF($C1184="","",IF($D1184="","★没选客户项目",IF(COUNTIF(合同键,$D1184)=0,"★《维保合同》里没这个项目",IF(N($G1184)&lt;=0,"★收款金额要填",IF($H1184="","★票据类型要选",IF(AND($L1184&lt;&gt;"",COUNTIF(应收单号,$L1184)=0),"★关联的应收单号不存在",IF(AND($L1184&lt;&gt;"",IFERROR(INDEX(应收键,MATCH($L1184,应收单号,0)),"")&lt;&gt;$D1184),"★关联单号不是这个客户的",IF(AND($L1184&lt;&gt;"",ROUND(SUMIF(收款关联,$L1184,收款金额)-IFERROR(INDEX(应收金额,MATCH($L1184,应收单号,0)),0),2)&gt;0.001),"★指定冲销超过那张单的应收","OK"))))))))</f>
        <v/>
      </c>
    </row>
    <row r="1185" customFormat="false" ht="15" hidden="false" customHeight="false" outlineLevel="0" collapsed="false">
      <c r="A1185" s="29" t="str">
        <f aca="false">IF($C1185="","",ROW()-4)</f>
        <v/>
      </c>
      <c r="B1185" s="35" t="str">
        <f aca="false">IF($C1185="","","SK"&amp;TEXT($C1185,"yyyymm")&amp;"-"&amp;TEXT(ROW()-4,"0000"))</f>
        <v/>
      </c>
      <c r="C1185" s="33"/>
      <c r="D1185" s="24"/>
      <c r="E1185" s="30" t="str">
        <f aca="false">IF($D1185="","",IFERROR(INDEX(合同单位,MATCH($D1185,合同键,0)),IFERROR(TRIM(LEFT($D1185,FIND("｜",$D1185)-1)),$D1185)))</f>
        <v/>
      </c>
      <c r="F1185" s="30" t="str">
        <f aca="false">IF($D1185="","",IFERROR(INDEX(合同项目,MATCH($D1185,合同键,0)),IFERROR(TRIM(MID($D1185,FIND("｜",$D1185)+1,99)),"")))</f>
        <v/>
      </c>
      <c r="G1185" s="39"/>
      <c r="H1185" s="25"/>
      <c r="I1185" s="35" t="str">
        <f aca="false">IF($H1185="","",IFERROR(INDEX(票据归类表,MATCH($H1185,票据类型表,0)),"现金无票"))</f>
        <v/>
      </c>
      <c r="J1185" s="25"/>
      <c r="K1185" s="25"/>
      <c r="L1185" s="31"/>
      <c r="M1185" s="29" t="str">
        <f aca="false">IF($C1185="","",YEAR($C1185))</f>
        <v/>
      </c>
      <c r="N1185" s="24"/>
      <c r="O1185" s="35" t="str">
        <f aca="false">IF($C1185="","",IF($D1185="","★没选客户项目",IF(COUNTIF(合同键,$D1185)=0,"★《维保合同》里没这个项目",IF(N($G1185)&lt;=0,"★收款金额要填",IF($H1185="","★票据类型要选",IF(AND($L1185&lt;&gt;"",COUNTIF(应收单号,$L1185)=0),"★关联的应收单号不存在",IF(AND($L1185&lt;&gt;"",IFERROR(INDEX(应收键,MATCH($L1185,应收单号,0)),"")&lt;&gt;$D1185),"★关联单号不是这个客户的",IF(AND($L1185&lt;&gt;"",ROUND(SUMIF(收款关联,$L1185,收款金额)-IFERROR(INDEX(应收金额,MATCH($L1185,应收单号,0)),0),2)&gt;0.001),"★指定冲销超过那张单的应收","OK"))))))))</f>
        <v/>
      </c>
    </row>
    <row r="1186" customFormat="false" ht="15" hidden="false" customHeight="false" outlineLevel="0" collapsed="false">
      <c r="A1186" s="29" t="str">
        <f aca="false">IF($C1186="","",ROW()-4)</f>
        <v/>
      </c>
      <c r="B1186" s="35" t="str">
        <f aca="false">IF($C1186="","","SK"&amp;TEXT($C1186,"yyyymm")&amp;"-"&amp;TEXT(ROW()-4,"0000"))</f>
        <v/>
      </c>
      <c r="C1186" s="33"/>
      <c r="D1186" s="24"/>
      <c r="E1186" s="30" t="str">
        <f aca="false">IF($D1186="","",IFERROR(INDEX(合同单位,MATCH($D1186,合同键,0)),IFERROR(TRIM(LEFT($D1186,FIND("｜",$D1186)-1)),$D1186)))</f>
        <v/>
      </c>
      <c r="F1186" s="30" t="str">
        <f aca="false">IF($D1186="","",IFERROR(INDEX(合同项目,MATCH($D1186,合同键,0)),IFERROR(TRIM(MID($D1186,FIND("｜",$D1186)+1,99)),"")))</f>
        <v/>
      </c>
      <c r="G1186" s="39"/>
      <c r="H1186" s="25"/>
      <c r="I1186" s="35" t="str">
        <f aca="false">IF($H1186="","",IFERROR(INDEX(票据归类表,MATCH($H1186,票据类型表,0)),"现金无票"))</f>
        <v/>
      </c>
      <c r="J1186" s="25"/>
      <c r="K1186" s="25"/>
      <c r="L1186" s="31"/>
      <c r="M1186" s="29" t="str">
        <f aca="false">IF($C1186="","",YEAR($C1186))</f>
        <v/>
      </c>
      <c r="N1186" s="24"/>
      <c r="O1186" s="35" t="str">
        <f aca="false">IF($C1186="","",IF($D1186="","★没选客户项目",IF(COUNTIF(合同键,$D1186)=0,"★《维保合同》里没这个项目",IF(N($G1186)&lt;=0,"★收款金额要填",IF($H1186="","★票据类型要选",IF(AND($L1186&lt;&gt;"",COUNTIF(应收单号,$L1186)=0),"★关联的应收单号不存在",IF(AND($L1186&lt;&gt;"",IFERROR(INDEX(应收键,MATCH($L1186,应收单号,0)),"")&lt;&gt;$D1186),"★关联单号不是这个客户的",IF(AND($L1186&lt;&gt;"",ROUND(SUMIF(收款关联,$L1186,收款金额)-IFERROR(INDEX(应收金额,MATCH($L1186,应收单号,0)),0),2)&gt;0.001),"★指定冲销超过那张单的应收","OK"))))))))</f>
        <v/>
      </c>
    </row>
    <row r="1187" customFormat="false" ht="15" hidden="false" customHeight="false" outlineLevel="0" collapsed="false">
      <c r="A1187" s="29" t="str">
        <f aca="false">IF($C1187="","",ROW()-4)</f>
        <v/>
      </c>
      <c r="B1187" s="35" t="str">
        <f aca="false">IF($C1187="","","SK"&amp;TEXT($C1187,"yyyymm")&amp;"-"&amp;TEXT(ROW()-4,"0000"))</f>
        <v/>
      </c>
      <c r="C1187" s="33"/>
      <c r="D1187" s="24"/>
      <c r="E1187" s="30" t="str">
        <f aca="false">IF($D1187="","",IFERROR(INDEX(合同单位,MATCH($D1187,合同键,0)),IFERROR(TRIM(LEFT($D1187,FIND("｜",$D1187)-1)),$D1187)))</f>
        <v/>
      </c>
      <c r="F1187" s="30" t="str">
        <f aca="false">IF($D1187="","",IFERROR(INDEX(合同项目,MATCH($D1187,合同键,0)),IFERROR(TRIM(MID($D1187,FIND("｜",$D1187)+1,99)),"")))</f>
        <v/>
      </c>
      <c r="G1187" s="39"/>
      <c r="H1187" s="25"/>
      <c r="I1187" s="35" t="str">
        <f aca="false">IF($H1187="","",IFERROR(INDEX(票据归类表,MATCH($H1187,票据类型表,0)),"现金无票"))</f>
        <v/>
      </c>
      <c r="J1187" s="25"/>
      <c r="K1187" s="25"/>
      <c r="L1187" s="31"/>
      <c r="M1187" s="29" t="str">
        <f aca="false">IF($C1187="","",YEAR($C1187))</f>
        <v/>
      </c>
      <c r="N1187" s="24"/>
      <c r="O1187" s="35" t="str">
        <f aca="false">IF($C1187="","",IF($D1187="","★没选客户项目",IF(COUNTIF(合同键,$D1187)=0,"★《维保合同》里没这个项目",IF(N($G1187)&lt;=0,"★收款金额要填",IF($H1187="","★票据类型要选",IF(AND($L1187&lt;&gt;"",COUNTIF(应收单号,$L1187)=0),"★关联的应收单号不存在",IF(AND($L1187&lt;&gt;"",IFERROR(INDEX(应收键,MATCH($L1187,应收单号,0)),"")&lt;&gt;$D1187),"★关联单号不是这个客户的",IF(AND($L1187&lt;&gt;"",ROUND(SUMIF(收款关联,$L1187,收款金额)-IFERROR(INDEX(应收金额,MATCH($L1187,应收单号,0)),0),2)&gt;0.001),"★指定冲销超过那张单的应收","OK"))))))))</f>
        <v/>
      </c>
    </row>
    <row r="1188" customFormat="false" ht="15" hidden="false" customHeight="false" outlineLevel="0" collapsed="false">
      <c r="A1188" s="29" t="str">
        <f aca="false">IF($C1188="","",ROW()-4)</f>
        <v/>
      </c>
      <c r="B1188" s="35" t="str">
        <f aca="false">IF($C1188="","","SK"&amp;TEXT($C1188,"yyyymm")&amp;"-"&amp;TEXT(ROW()-4,"0000"))</f>
        <v/>
      </c>
      <c r="C1188" s="33"/>
      <c r="D1188" s="24"/>
      <c r="E1188" s="30" t="str">
        <f aca="false">IF($D1188="","",IFERROR(INDEX(合同单位,MATCH($D1188,合同键,0)),IFERROR(TRIM(LEFT($D1188,FIND("｜",$D1188)-1)),$D1188)))</f>
        <v/>
      </c>
      <c r="F1188" s="30" t="str">
        <f aca="false">IF($D1188="","",IFERROR(INDEX(合同项目,MATCH($D1188,合同键,0)),IFERROR(TRIM(MID($D1188,FIND("｜",$D1188)+1,99)),"")))</f>
        <v/>
      </c>
      <c r="G1188" s="39"/>
      <c r="H1188" s="25"/>
      <c r="I1188" s="35" t="str">
        <f aca="false">IF($H1188="","",IFERROR(INDEX(票据归类表,MATCH($H1188,票据类型表,0)),"现金无票"))</f>
        <v/>
      </c>
      <c r="J1188" s="25"/>
      <c r="K1188" s="25"/>
      <c r="L1188" s="31"/>
      <c r="M1188" s="29" t="str">
        <f aca="false">IF($C1188="","",YEAR($C1188))</f>
        <v/>
      </c>
      <c r="N1188" s="24"/>
      <c r="O1188" s="35" t="str">
        <f aca="false">IF($C1188="","",IF($D1188="","★没选客户项目",IF(COUNTIF(合同键,$D1188)=0,"★《维保合同》里没这个项目",IF(N($G1188)&lt;=0,"★收款金额要填",IF($H1188="","★票据类型要选",IF(AND($L1188&lt;&gt;"",COUNTIF(应收单号,$L1188)=0),"★关联的应收单号不存在",IF(AND($L1188&lt;&gt;"",IFERROR(INDEX(应收键,MATCH($L1188,应收单号,0)),"")&lt;&gt;$D1188),"★关联单号不是这个客户的",IF(AND($L1188&lt;&gt;"",ROUND(SUMIF(收款关联,$L1188,收款金额)-IFERROR(INDEX(应收金额,MATCH($L1188,应收单号,0)),0),2)&gt;0.001),"★指定冲销超过那张单的应收","OK"))))))))</f>
        <v/>
      </c>
    </row>
    <row r="1189" customFormat="false" ht="15" hidden="false" customHeight="false" outlineLevel="0" collapsed="false">
      <c r="A1189" s="29" t="str">
        <f aca="false">IF($C1189="","",ROW()-4)</f>
        <v/>
      </c>
      <c r="B1189" s="35" t="str">
        <f aca="false">IF($C1189="","","SK"&amp;TEXT($C1189,"yyyymm")&amp;"-"&amp;TEXT(ROW()-4,"0000"))</f>
        <v/>
      </c>
      <c r="C1189" s="33"/>
      <c r="D1189" s="24"/>
      <c r="E1189" s="30" t="str">
        <f aca="false">IF($D1189="","",IFERROR(INDEX(合同单位,MATCH($D1189,合同键,0)),IFERROR(TRIM(LEFT($D1189,FIND("｜",$D1189)-1)),$D1189)))</f>
        <v/>
      </c>
      <c r="F1189" s="30" t="str">
        <f aca="false">IF($D1189="","",IFERROR(INDEX(合同项目,MATCH($D1189,合同键,0)),IFERROR(TRIM(MID($D1189,FIND("｜",$D1189)+1,99)),"")))</f>
        <v/>
      </c>
      <c r="G1189" s="39"/>
      <c r="H1189" s="25"/>
      <c r="I1189" s="35" t="str">
        <f aca="false">IF($H1189="","",IFERROR(INDEX(票据归类表,MATCH($H1189,票据类型表,0)),"现金无票"))</f>
        <v/>
      </c>
      <c r="J1189" s="25"/>
      <c r="K1189" s="25"/>
      <c r="L1189" s="31"/>
      <c r="M1189" s="29" t="str">
        <f aca="false">IF($C1189="","",YEAR($C1189))</f>
        <v/>
      </c>
      <c r="N1189" s="24"/>
      <c r="O1189" s="35" t="str">
        <f aca="false">IF($C1189="","",IF($D1189="","★没选客户项目",IF(COUNTIF(合同键,$D1189)=0,"★《维保合同》里没这个项目",IF(N($G1189)&lt;=0,"★收款金额要填",IF($H1189="","★票据类型要选",IF(AND($L1189&lt;&gt;"",COUNTIF(应收单号,$L1189)=0),"★关联的应收单号不存在",IF(AND($L1189&lt;&gt;"",IFERROR(INDEX(应收键,MATCH($L1189,应收单号,0)),"")&lt;&gt;$D1189),"★关联单号不是这个客户的",IF(AND($L1189&lt;&gt;"",ROUND(SUMIF(收款关联,$L1189,收款金额)-IFERROR(INDEX(应收金额,MATCH($L1189,应收单号,0)),0),2)&gt;0.001),"★指定冲销超过那张单的应收","OK"))))))))</f>
        <v/>
      </c>
    </row>
    <row r="1190" customFormat="false" ht="15" hidden="false" customHeight="false" outlineLevel="0" collapsed="false">
      <c r="A1190" s="29" t="str">
        <f aca="false">IF($C1190="","",ROW()-4)</f>
        <v/>
      </c>
      <c r="B1190" s="35" t="str">
        <f aca="false">IF($C1190="","","SK"&amp;TEXT($C1190,"yyyymm")&amp;"-"&amp;TEXT(ROW()-4,"0000"))</f>
        <v/>
      </c>
      <c r="C1190" s="33"/>
      <c r="D1190" s="24"/>
      <c r="E1190" s="30" t="str">
        <f aca="false">IF($D1190="","",IFERROR(INDEX(合同单位,MATCH($D1190,合同键,0)),IFERROR(TRIM(LEFT($D1190,FIND("｜",$D1190)-1)),$D1190)))</f>
        <v/>
      </c>
      <c r="F1190" s="30" t="str">
        <f aca="false">IF($D1190="","",IFERROR(INDEX(合同项目,MATCH($D1190,合同键,0)),IFERROR(TRIM(MID($D1190,FIND("｜",$D1190)+1,99)),"")))</f>
        <v/>
      </c>
      <c r="G1190" s="39"/>
      <c r="H1190" s="25"/>
      <c r="I1190" s="35" t="str">
        <f aca="false">IF($H1190="","",IFERROR(INDEX(票据归类表,MATCH($H1190,票据类型表,0)),"现金无票"))</f>
        <v/>
      </c>
      <c r="J1190" s="25"/>
      <c r="K1190" s="25"/>
      <c r="L1190" s="31"/>
      <c r="M1190" s="29" t="str">
        <f aca="false">IF($C1190="","",YEAR($C1190))</f>
        <v/>
      </c>
      <c r="N1190" s="24"/>
      <c r="O1190" s="35" t="str">
        <f aca="false">IF($C1190="","",IF($D1190="","★没选客户项目",IF(COUNTIF(合同键,$D1190)=0,"★《维保合同》里没这个项目",IF(N($G1190)&lt;=0,"★收款金额要填",IF($H1190="","★票据类型要选",IF(AND($L1190&lt;&gt;"",COUNTIF(应收单号,$L1190)=0),"★关联的应收单号不存在",IF(AND($L1190&lt;&gt;"",IFERROR(INDEX(应收键,MATCH($L1190,应收单号,0)),"")&lt;&gt;$D1190),"★关联单号不是这个客户的",IF(AND($L1190&lt;&gt;"",ROUND(SUMIF(收款关联,$L1190,收款金额)-IFERROR(INDEX(应收金额,MATCH($L1190,应收单号,0)),0),2)&gt;0.001),"★指定冲销超过那张单的应收","OK"))))))))</f>
        <v/>
      </c>
    </row>
    <row r="1191" customFormat="false" ht="15" hidden="false" customHeight="false" outlineLevel="0" collapsed="false">
      <c r="A1191" s="29" t="str">
        <f aca="false">IF($C1191="","",ROW()-4)</f>
        <v/>
      </c>
      <c r="B1191" s="35" t="str">
        <f aca="false">IF($C1191="","","SK"&amp;TEXT($C1191,"yyyymm")&amp;"-"&amp;TEXT(ROW()-4,"0000"))</f>
        <v/>
      </c>
      <c r="C1191" s="33"/>
      <c r="D1191" s="24"/>
      <c r="E1191" s="30" t="str">
        <f aca="false">IF($D1191="","",IFERROR(INDEX(合同单位,MATCH($D1191,合同键,0)),IFERROR(TRIM(LEFT($D1191,FIND("｜",$D1191)-1)),$D1191)))</f>
        <v/>
      </c>
      <c r="F1191" s="30" t="str">
        <f aca="false">IF($D1191="","",IFERROR(INDEX(合同项目,MATCH($D1191,合同键,0)),IFERROR(TRIM(MID($D1191,FIND("｜",$D1191)+1,99)),"")))</f>
        <v/>
      </c>
      <c r="G1191" s="39"/>
      <c r="H1191" s="25"/>
      <c r="I1191" s="35" t="str">
        <f aca="false">IF($H1191="","",IFERROR(INDEX(票据归类表,MATCH($H1191,票据类型表,0)),"现金无票"))</f>
        <v/>
      </c>
      <c r="J1191" s="25"/>
      <c r="K1191" s="25"/>
      <c r="L1191" s="31"/>
      <c r="M1191" s="29" t="str">
        <f aca="false">IF($C1191="","",YEAR($C1191))</f>
        <v/>
      </c>
      <c r="N1191" s="24"/>
      <c r="O1191" s="35" t="str">
        <f aca="false">IF($C1191="","",IF($D1191="","★没选客户项目",IF(COUNTIF(合同键,$D1191)=0,"★《维保合同》里没这个项目",IF(N($G1191)&lt;=0,"★收款金额要填",IF($H1191="","★票据类型要选",IF(AND($L1191&lt;&gt;"",COUNTIF(应收单号,$L1191)=0),"★关联的应收单号不存在",IF(AND($L1191&lt;&gt;"",IFERROR(INDEX(应收键,MATCH($L1191,应收单号,0)),"")&lt;&gt;$D1191),"★关联单号不是这个客户的",IF(AND($L1191&lt;&gt;"",ROUND(SUMIF(收款关联,$L1191,收款金额)-IFERROR(INDEX(应收金额,MATCH($L1191,应收单号,0)),0),2)&gt;0.001),"★指定冲销超过那张单的应收","OK"))))))))</f>
        <v/>
      </c>
    </row>
    <row r="1192" customFormat="false" ht="15" hidden="false" customHeight="false" outlineLevel="0" collapsed="false">
      <c r="A1192" s="29" t="str">
        <f aca="false">IF($C1192="","",ROW()-4)</f>
        <v/>
      </c>
      <c r="B1192" s="35" t="str">
        <f aca="false">IF($C1192="","","SK"&amp;TEXT($C1192,"yyyymm")&amp;"-"&amp;TEXT(ROW()-4,"0000"))</f>
        <v/>
      </c>
      <c r="C1192" s="33"/>
      <c r="D1192" s="24"/>
      <c r="E1192" s="30" t="str">
        <f aca="false">IF($D1192="","",IFERROR(INDEX(合同单位,MATCH($D1192,合同键,0)),IFERROR(TRIM(LEFT($D1192,FIND("｜",$D1192)-1)),$D1192)))</f>
        <v/>
      </c>
      <c r="F1192" s="30" t="str">
        <f aca="false">IF($D1192="","",IFERROR(INDEX(合同项目,MATCH($D1192,合同键,0)),IFERROR(TRIM(MID($D1192,FIND("｜",$D1192)+1,99)),"")))</f>
        <v/>
      </c>
      <c r="G1192" s="39"/>
      <c r="H1192" s="25"/>
      <c r="I1192" s="35" t="str">
        <f aca="false">IF($H1192="","",IFERROR(INDEX(票据归类表,MATCH($H1192,票据类型表,0)),"现金无票"))</f>
        <v/>
      </c>
      <c r="J1192" s="25"/>
      <c r="K1192" s="25"/>
      <c r="L1192" s="31"/>
      <c r="M1192" s="29" t="str">
        <f aca="false">IF($C1192="","",YEAR($C1192))</f>
        <v/>
      </c>
      <c r="N1192" s="24"/>
      <c r="O1192" s="35" t="str">
        <f aca="false">IF($C1192="","",IF($D1192="","★没选客户项目",IF(COUNTIF(合同键,$D1192)=0,"★《维保合同》里没这个项目",IF(N($G1192)&lt;=0,"★收款金额要填",IF($H1192="","★票据类型要选",IF(AND($L1192&lt;&gt;"",COUNTIF(应收单号,$L1192)=0),"★关联的应收单号不存在",IF(AND($L1192&lt;&gt;"",IFERROR(INDEX(应收键,MATCH($L1192,应收单号,0)),"")&lt;&gt;$D1192),"★关联单号不是这个客户的",IF(AND($L1192&lt;&gt;"",ROUND(SUMIF(收款关联,$L1192,收款金额)-IFERROR(INDEX(应收金额,MATCH($L1192,应收单号,0)),0),2)&gt;0.001),"★指定冲销超过那张单的应收","OK"))))))))</f>
        <v/>
      </c>
    </row>
    <row r="1193" customFormat="false" ht="15" hidden="false" customHeight="false" outlineLevel="0" collapsed="false">
      <c r="A1193" s="29" t="str">
        <f aca="false">IF($C1193="","",ROW()-4)</f>
        <v/>
      </c>
      <c r="B1193" s="35" t="str">
        <f aca="false">IF($C1193="","","SK"&amp;TEXT($C1193,"yyyymm")&amp;"-"&amp;TEXT(ROW()-4,"0000"))</f>
        <v/>
      </c>
      <c r="C1193" s="33"/>
      <c r="D1193" s="24"/>
      <c r="E1193" s="30" t="str">
        <f aca="false">IF($D1193="","",IFERROR(INDEX(合同单位,MATCH($D1193,合同键,0)),IFERROR(TRIM(LEFT($D1193,FIND("｜",$D1193)-1)),$D1193)))</f>
        <v/>
      </c>
      <c r="F1193" s="30" t="str">
        <f aca="false">IF($D1193="","",IFERROR(INDEX(合同项目,MATCH($D1193,合同键,0)),IFERROR(TRIM(MID($D1193,FIND("｜",$D1193)+1,99)),"")))</f>
        <v/>
      </c>
      <c r="G1193" s="39"/>
      <c r="H1193" s="25"/>
      <c r="I1193" s="35" t="str">
        <f aca="false">IF($H1193="","",IFERROR(INDEX(票据归类表,MATCH($H1193,票据类型表,0)),"现金无票"))</f>
        <v/>
      </c>
      <c r="J1193" s="25"/>
      <c r="K1193" s="25"/>
      <c r="L1193" s="31"/>
      <c r="M1193" s="29" t="str">
        <f aca="false">IF($C1193="","",YEAR($C1193))</f>
        <v/>
      </c>
      <c r="N1193" s="24"/>
      <c r="O1193" s="35" t="str">
        <f aca="false">IF($C1193="","",IF($D1193="","★没选客户项目",IF(COUNTIF(合同键,$D1193)=0,"★《维保合同》里没这个项目",IF(N($G1193)&lt;=0,"★收款金额要填",IF($H1193="","★票据类型要选",IF(AND($L1193&lt;&gt;"",COUNTIF(应收单号,$L1193)=0),"★关联的应收单号不存在",IF(AND($L1193&lt;&gt;"",IFERROR(INDEX(应收键,MATCH($L1193,应收单号,0)),"")&lt;&gt;$D1193),"★关联单号不是这个客户的",IF(AND($L1193&lt;&gt;"",ROUND(SUMIF(收款关联,$L1193,收款金额)-IFERROR(INDEX(应收金额,MATCH($L1193,应收单号,0)),0),2)&gt;0.001),"★指定冲销超过那张单的应收","OK"))))))))</f>
        <v/>
      </c>
    </row>
    <row r="1194" customFormat="false" ht="15" hidden="false" customHeight="false" outlineLevel="0" collapsed="false">
      <c r="A1194" s="29" t="str">
        <f aca="false">IF($C1194="","",ROW()-4)</f>
        <v/>
      </c>
      <c r="B1194" s="35" t="str">
        <f aca="false">IF($C1194="","","SK"&amp;TEXT($C1194,"yyyymm")&amp;"-"&amp;TEXT(ROW()-4,"0000"))</f>
        <v/>
      </c>
      <c r="C1194" s="33"/>
      <c r="D1194" s="24"/>
      <c r="E1194" s="30" t="str">
        <f aca="false">IF($D1194="","",IFERROR(INDEX(合同单位,MATCH($D1194,合同键,0)),IFERROR(TRIM(LEFT($D1194,FIND("｜",$D1194)-1)),$D1194)))</f>
        <v/>
      </c>
      <c r="F1194" s="30" t="str">
        <f aca="false">IF($D1194="","",IFERROR(INDEX(合同项目,MATCH($D1194,合同键,0)),IFERROR(TRIM(MID($D1194,FIND("｜",$D1194)+1,99)),"")))</f>
        <v/>
      </c>
      <c r="G1194" s="39"/>
      <c r="H1194" s="25"/>
      <c r="I1194" s="35" t="str">
        <f aca="false">IF($H1194="","",IFERROR(INDEX(票据归类表,MATCH($H1194,票据类型表,0)),"现金无票"))</f>
        <v/>
      </c>
      <c r="J1194" s="25"/>
      <c r="K1194" s="25"/>
      <c r="L1194" s="31"/>
      <c r="M1194" s="29" t="str">
        <f aca="false">IF($C1194="","",YEAR($C1194))</f>
        <v/>
      </c>
      <c r="N1194" s="24"/>
      <c r="O1194" s="35" t="str">
        <f aca="false">IF($C1194="","",IF($D1194="","★没选客户项目",IF(COUNTIF(合同键,$D1194)=0,"★《维保合同》里没这个项目",IF(N($G1194)&lt;=0,"★收款金额要填",IF($H1194="","★票据类型要选",IF(AND($L1194&lt;&gt;"",COUNTIF(应收单号,$L1194)=0),"★关联的应收单号不存在",IF(AND($L1194&lt;&gt;"",IFERROR(INDEX(应收键,MATCH($L1194,应收单号,0)),"")&lt;&gt;$D1194),"★关联单号不是这个客户的",IF(AND($L1194&lt;&gt;"",ROUND(SUMIF(收款关联,$L1194,收款金额)-IFERROR(INDEX(应收金额,MATCH($L1194,应收单号,0)),0),2)&gt;0.001),"★指定冲销超过那张单的应收","OK"))))))))</f>
        <v/>
      </c>
    </row>
    <row r="1195" customFormat="false" ht="15" hidden="false" customHeight="false" outlineLevel="0" collapsed="false">
      <c r="A1195" s="29" t="str">
        <f aca="false">IF($C1195="","",ROW()-4)</f>
        <v/>
      </c>
      <c r="B1195" s="35" t="str">
        <f aca="false">IF($C1195="","","SK"&amp;TEXT($C1195,"yyyymm")&amp;"-"&amp;TEXT(ROW()-4,"0000"))</f>
        <v/>
      </c>
      <c r="C1195" s="33"/>
      <c r="D1195" s="24"/>
      <c r="E1195" s="30" t="str">
        <f aca="false">IF($D1195="","",IFERROR(INDEX(合同单位,MATCH($D1195,合同键,0)),IFERROR(TRIM(LEFT($D1195,FIND("｜",$D1195)-1)),$D1195)))</f>
        <v/>
      </c>
      <c r="F1195" s="30" t="str">
        <f aca="false">IF($D1195="","",IFERROR(INDEX(合同项目,MATCH($D1195,合同键,0)),IFERROR(TRIM(MID($D1195,FIND("｜",$D1195)+1,99)),"")))</f>
        <v/>
      </c>
      <c r="G1195" s="39"/>
      <c r="H1195" s="25"/>
      <c r="I1195" s="35" t="str">
        <f aca="false">IF($H1195="","",IFERROR(INDEX(票据归类表,MATCH($H1195,票据类型表,0)),"现金无票"))</f>
        <v/>
      </c>
      <c r="J1195" s="25"/>
      <c r="K1195" s="25"/>
      <c r="L1195" s="31"/>
      <c r="M1195" s="29" t="str">
        <f aca="false">IF($C1195="","",YEAR($C1195))</f>
        <v/>
      </c>
      <c r="N1195" s="24"/>
      <c r="O1195" s="35" t="str">
        <f aca="false">IF($C1195="","",IF($D1195="","★没选客户项目",IF(COUNTIF(合同键,$D1195)=0,"★《维保合同》里没这个项目",IF(N($G1195)&lt;=0,"★收款金额要填",IF($H1195="","★票据类型要选",IF(AND($L1195&lt;&gt;"",COUNTIF(应收单号,$L1195)=0),"★关联的应收单号不存在",IF(AND($L1195&lt;&gt;"",IFERROR(INDEX(应收键,MATCH($L1195,应收单号,0)),"")&lt;&gt;$D1195),"★关联单号不是这个客户的",IF(AND($L1195&lt;&gt;"",ROUND(SUMIF(收款关联,$L1195,收款金额)-IFERROR(INDEX(应收金额,MATCH($L1195,应收单号,0)),0),2)&gt;0.001),"★指定冲销超过那张单的应收","OK"))))))))</f>
        <v/>
      </c>
    </row>
    <row r="1196" customFormat="false" ht="15" hidden="false" customHeight="false" outlineLevel="0" collapsed="false">
      <c r="A1196" s="29" t="str">
        <f aca="false">IF($C1196="","",ROW()-4)</f>
        <v/>
      </c>
      <c r="B1196" s="35" t="str">
        <f aca="false">IF($C1196="","","SK"&amp;TEXT($C1196,"yyyymm")&amp;"-"&amp;TEXT(ROW()-4,"0000"))</f>
        <v/>
      </c>
      <c r="C1196" s="33"/>
      <c r="D1196" s="24"/>
      <c r="E1196" s="30" t="str">
        <f aca="false">IF($D1196="","",IFERROR(INDEX(合同单位,MATCH($D1196,合同键,0)),IFERROR(TRIM(LEFT($D1196,FIND("｜",$D1196)-1)),$D1196)))</f>
        <v/>
      </c>
      <c r="F1196" s="30" t="str">
        <f aca="false">IF($D1196="","",IFERROR(INDEX(合同项目,MATCH($D1196,合同键,0)),IFERROR(TRIM(MID($D1196,FIND("｜",$D1196)+1,99)),"")))</f>
        <v/>
      </c>
      <c r="G1196" s="39"/>
      <c r="H1196" s="25"/>
      <c r="I1196" s="35" t="str">
        <f aca="false">IF($H1196="","",IFERROR(INDEX(票据归类表,MATCH($H1196,票据类型表,0)),"现金无票"))</f>
        <v/>
      </c>
      <c r="J1196" s="25"/>
      <c r="K1196" s="25"/>
      <c r="L1196" s="31"/>
      <c r="M1196" s="29" t="str">
        <f aca="false">IF($C1196="","",YEAR($C1196))</f>
        <v/>
      </c>
      <c r="N1196" s="24"/>
      <c r="O1196" s="35" t="str">
        <f aca="false">IF($C1196="","",IF($D1196="","★没选客户项目",IF(COUNTIF(合同键,$D1196)=0,"★《维保合同》里没这个项目",IF(N($G1196)&lt;=0,"★收款金额要填",IF($H1196="","★票据类型要选",IF(AND($L1196&lt;&gt;"",COUNTIF(应收单号,$L1196)=0),"★关联的应收单号不存在",IF(AND($L1196&lt;&gt;"",IFERROR(INDEX(应收键,MATCH($L1196,应收单号,0)),"")&lt;&gt;$D1196),"★关联单号不是这个客户的",IF(AND($L1196&lt;&gt;"",ROUND(SUMIF(收款关联,$L1196,收款金额)-IFERROR(INDEX(应收金额,MATCH($L1196,应收单号,0)),0),2)&gt;0.001),"★指定冲销超过那张单的应收","OK"))))))))</f>
        <v/>
      </c>
    </row>
    <row r="1197" customFormat="false" ht="15" hidden="false" customHeight="false" outlineLevel="0" collapsed="false">
      <c r="A1197" s="29" t="str">
        <f aca="false">IF($C1197="","",ROW()-4)</f>
        <v/>
      </c>
      <c r="B1197" s="35" t="str">
        <f aca="false">IF($C1197="","","SK"&amp;TEXT($C1197,"yyyymm")&amp;"-"&amp;TEXT(ROW()-4,"0000"))</f>
        <v/>
      </c>
      <c r="C1197" s="33"/>
      <c r="D1197" s="24"/>
      <c r="E1197" s="30" t="str">
        <f aca="false">IF($D1197="","",IFERROR(INDEX(合同单位,MATCH($D1197,合同键,0)),IFERROR(TRIM(LEFT($D1197,FIND("｜",$D1197)-1)),$D1197)))</f>
        <v/>
      </c>
      <c r="F1197" s="30" t="str">
        <f aca="false">IF($D1197="","",IFERROR(INDEX(合同项目,MATCH($D1197,合同键,0)),IFERROR(TRIM(MID($D1197,FIND("｜",$D1197)+1,99)),"")))</f>
        <v/>
      </c>
      <c r="G1197" s="39"/>
      <c r="H1197" s="25"/>
      <c r="I1197" s="35" t="str">
        <f aca="false">IF($H1197="","",IFERROR(INDEX(票据归类表,MATCH($H1197,票据类型表,0)),"现金无票"))</f>
        <v/>
      </c>
      <c r="J1197" s="25"/>
      <c r="K1197" s="25"/>
      <c r="L1197" s="31"/>
      <c r="M1197" s="29" t="str">
        <f aca="false">IF($C1197="","",YEAR($C1197))</f>
        <v/>
      </c>
      <c r="N1197" s="24"/>
      <c r="O1197" s="35" t="str">
        <f aca="false">IF($C1197="","",IF($D1197="","★没选客户项目",IF(COUNTIF(合同键,$D1197)=0,"★《维保合同》里没这个项目",IF(N($G1197)&lt;=0,"★收款金额要填",IF($H1197="","★票据类型要选",IF(AND($L1197&lt;&gt;"",COUNTIF(应收单号,$L1197)=0),"★关联的应收单号不存在",IF(AND($L1197&lt;&gt;"",IFERROR(INDEX(应收键,MATCH($L1197,应收单号,0)),"")&lt;&gt;$D1197),"★关联单号不是这个客户的",IF(AND($L1197&lt;&gt;"",ROUND(SUMIF(收款关联,$L1197,收款金额)-IFERROR(INDEX(应收金额,MATCH($L1197,应收单号,0)),0),2)&gt;0.001),"★指定冲销超过那张单的应收","OK"))))))))</f>
        <v/>
      </c>
    </row>
    <row r="1198" customFormat="false" ht="15" hidden="false" customHeight="false" outlineLevel="0" collapsed="false">
      <c r="A1198" s="29" t="str">
        <f aca="false">IF($C1198="","",ROW()-4)</f>
        <v/>
      </c>
      <c r="B1198" s="35" t="str">
        <f aca="false">IF($C1198="","","SK"&amp;TEXT($C1198,"yyyymm")&amp;"-"&amp;TEXT(ROW()-4,"0000"))</f>
        <v/>
      </c>
      <c r="C1198" s="33"/>
      <c r="D1198" s="24"/>
      <c r="E1198" s="30" t="str">
        <f aca="false">IF($D1198="","",IFERROR(INDEX(合同单位,MATCH($D1198,合同键,0)),IFERROR(TRIM(LEFT($D1198,FIND("｜",$D1198)-1)),$D1198)))</f>
        <v/>
      </c>
      <c r="F1198" s="30" t="str">
        <f aca="false">IF($D1198="","",IFERROR(INDEX(合同项目,MATCH($D1198,合同键,0)),IFERROR(TRIM(MID($D1198,FIND("｜",$D1198)+1,99)),"")))</f>
        <v/>
      </c>
      <c r="G1198" s="39"/>
      <c r="H1198" s="25"/>
      <c r="I1198" s="35" t="str">
        <f aca="false">IF($H1198="","",IFERROR(INDEX(票据归类表,MATCH($H1198,票据类型表,0)),"现金无票"))</f>
        <v/>
      </c>
      <c r="J1198" s="25"/>
      <c r="K1198" s="25"/>
      <c r="L1198" s="31"/>
      <c r="M1198" s="29" t="str">
        <f aca="false">IF($C1198="","",YEAR($C1198))</f>
        <v/>
      </c>
      <c r="N1198" s="24"/>
      <c r="O1198" s="35" t="str">
        <f aca="false">IF($C1198="","",IF($D1198="","★没选客户项目",IF(COUNTIF(合同键,$D1198)=0,"★《维保合同》里没这个项目",IF(N($G1198)&lt;=0,"★收款金额要填",IF($H1198="","★票据类型要选",IF(AND($L1198&lt;&gt;"",COUNTIF(应收单号,$L1198)=0),"★关联的应收单号不存在",IF(AND($L1198&lt;&gt;"",IFERROR(INDEX(应收键,MATCH($L1198,应收单号,0)),"")&lt;&gt;$D1198),"★关联单号不是这个客户的",IF(AND($L1198&lt;&gt;"",ROUND(SUMIF(收款关联,$L1198,收款金额)-IFERROR(INDEX(应收金额,MATCH($L1198,应收单号,0)),0),2)&gt;0.001),"★指定冲销超过那张单的应收","OK"))))))))</f>
        <v/>
      </c>
    </row>
    <row r="1199" customFormat="false" ht="15" hidden="false" customHeight="false" outlineLevel="0" collapsed="false">
      <c r="A1199" s="29" t="str">
        <f aca="false">IF($C1199="","",ROW()-4)</f>
        <v/>
      </c>
      <c r="B1199" s="35" t="str">
        <f aca="false">IF($C1199="","","SK"&amp;TEXT($C1199,"yyyymm")&amp;"-"&amp;TEXT(ROW()-4,"0000"))</f>
        <v/>
      </c>
      <c r="C1199" s="33"/>
      <c r="D1199" s="24"/>
      <c r="E1199" s="30" t="str">
        <f aca="false">IF($D1199="","",IFERROR(INDEX(合同单位,MATCH($D1199,合同键,0)),IFERROR(TRIM(LEFT($D1199,FIND("｜",$D1199)-1)),$D1199)))</f>
        <v/>
      </c>
      <c r="F1199" s="30" t="str">
        <f aca="false">IF($D1199="","",IFERROR(INDEX(合同项目,MATCH($D1199,合同键,0)),IFERROR(TRIM(MID($D1199,FIND("｜",$D1199)+1,99)),"")))</f>
        <v/>
      </c>
      <c r="G1199" s="39"/>
      <c r="H1199" s="25"/>
      <c r="I1199" s="35" t="str">
        <f aca="false">IF($H1199="","",IFERROR(INDEX(票据归类表,MATCH($H1199,票据类型表,0)),"现金无票"))</f>
        <v/>
      </c>
      <c r="J1199" s="25"/>
      <c r="K1199" s="25"/>
      <c r="L1199" s="31"/>
      <c r="M1199" s="29" t="str">
        <f aca="false">IF($C1199="","",YEAR($C1199))</f>
        <v/>
      </c>
      <c r="N1199" s="24"/>
      <c r="O1199" s="35" t="str">
        <f aca="false">IF($C1199="","",IF($D1199="","★没选客户项目",IF(COUNTIF(合同键,$D1199)=0,"★《维保合同》里没这个项目",IF(N($G1199)&lt;=0,"★收款金额要填",IF($H1199="","★票据类型要选",IF(AND($L1199&lt;&gt;"",COUNTIF(应收单号,$L1199)=0),"★关联的应收单号不存在",IF(AND($L1199&lt;&gt;"",IFERROR(INDEX(应收键,MATCH($L1199,应收单号,0)),"")&lt;&gt;$D1199),"★关联单号不是这个客户的",IF(AND($L1199&lt;&gt;"",ROUND(SUMIF(收款关联,$L1199,收款金额)-IFERROR(INDEX(应收金额,MATCH($L1199,应收单号,0)),0),2)&gt;0.001),"★指定冲销超过那张单的应收","OK"))))))))</f>
        <v/>
      </c>
    </row>
    <row r="1200" customFormat="false" ht="15" hidden="false" customHeight="false" outlineLevel="0" collapsed="false">
      <c r="A1200" s="29" t="str">
        <f aca="false">IF($C1200="","",ROW()-4)</f>
        <v/>
      </c>
      <c r="B1200" s="35" t="str">
        <f aca="false">IF($C1200="","","SK"&amp;TEXT($C1200,"yyyymm")&amp;"-"&amp;TEXT(ROW()-4,"0000"))</f>
        <v/>
      </c>
      <c r="C1200" s="33"/>
      <c r="D1200" s="24"/>
      <c r="E1200" s="30" t="str">
        <f aca="false">IF($D1200="","",IFERROR(INDEX(合同单位,MATCH($D1200,合同键,0)),IFERROR(TRIM(LEFT($D1200,FIND("｜",$D1200)-1)),$D1200)))</f>
        <v/>
      </c>
      <c r="F1200" s="30" t="str">
        <f aca="false">IF($D1200="","",IFERROR(INDEX(合同项目,MATCH($D1200,合同键,0)),IFERROR(TRIM(MID($D1200,FIND("｜",$D1200)+1,99)),"")))</f>
        <v/>
      </c>
      <c r="G1200" s="39"/>
      <c r="H1200" s="25"/>
      <c r="I1200" s="35" t="str">
        <f aca="false">IF($H1200="","",IFERROR(INDEX(票据归类表,MATCH($H1200,票据类型表,0)),"现金无票"))</f>
        <v/>
      </c>
      <c r="J1200" s="25"/>
      <c r="K1200" s="25"/>
      <c r="L1200" s="31"/>
      <c r="M1200" s="29" t="str">
        <f aca="false">IF($C1200="","",YEAR($C1200))</f>
        <v/>
      </c>
      <c r="N1200" s="24"/>
      <c r="O1200" s="35" t="str">
        <f aca="false">IF($C1200="","",IF($D1200="","★没选客户项目",IF(COUNTIF(合同键,$D1200)=0,"★《维保合同》里没这个项目",IF(N($G1200)&lt;=0,"★收款金额要填",IF($H1200="","★票据类型要选",IF(AND($L1200&lt;&gt;"",COUNTIF(应收单号,$L1200)=0),"★关联的应收单号不存在",IF(AND($L1200&lt;&gt;"",IFERROR(INDEX(应收键,MATCH($L1200,应收单号,0)),"")&lt;&gt;$D1200),"★关联单号不是这个客户的",IF(AND($L1200&lt;&gt;"",ROUND(SUMIF(收款关联,$L1200,收款金额)-IFERROR(INDEX(应收金额,MATCH($L1200,应收单号,0)),0),2)&gt;0.001),"★指定冲销超过那张单的应收","OK"))))))))</f>
        <v/>
      </c>
    </row>
    <row r="1201" customFormat="false" ht="15" hidden="false" customHeight="false" outlineLevel="0" collapsed="false">
      <c r="A1201" s="29" t="str">
        <f aca="false">IF($C1201="","",ROW()-4)</f>
        <v/>
      </c>
      <c r="B1201" s="35" t="str">
        <f aca="false">IF($C1201="","","SK"&amp;TEXT($C1201,"yyyymm")&amp;"-"&amp;TEXT(ROW()-4,"0000"))</f>
        <v/>
      </c>
      <c r="C1201" s="33"/>
      <c r="D1201" s="24"/>
      <c r="E1201" s="30" t="str">
        <f aca="false">IF($D1201="","",IFERROR(INDEX(合同单位,MATCH($D1201,合同键,0)),IFERROR(TRIM(LEFT($D1201,FIND("｜",$D1201)-1)),$D1201)))</f>
        <v/>
      </c>
      <c r="F1201" s="30" t="str">
        <f aca="false">IF($D1201="","",IFERROR(INDEX(合同项目,MATCH($D1201,合同键,0)),IFERROR(TRIM(MID($D1201,FIND("｜",$D1201)+1,99)),"")))</f>
        <v/>
      </c>
      <c r="G1201" s="39"/>
      <c r="H1201" s="25"/>
      <c r="I1201" s="35" t="str">
        <f aca="false">IF($H1201="","",IFERROR(INDEX(票据归类表,MATCH($H1201,票据类型表,0)),"现金无票"))</f>
        <v/>
      </c>
      <c r="J1201" s="25"/>
      <c r="K1201" s="25"/>
      <c r="L1201" s="31"/>
      <c r="M1201" s="29" t="str">
        <f aca="false">IF($C1201="","",YEAR($C1201))</f>
        <v/>
      </c>
      <c r="N1201" s="24"/>
      <c r="O1201" s="35" t="str">
        <f aca="false">IF($C1201="","",IF($D1201="","★没选客户项目",IF(COUNTIF(合同键,$D1201)=0,"★《维保合同》里没这个项目",IF(N($G1201)&lt;=0,"★收款金额要填",IF($H1201="","★票据类型要选",IF(AND($L1201&lt;&gt;"",COUNTIF(应收单号,$L1201)=0),"★关联的应收单号不存在",IF(AND($L1201&lt;&gt;"",IFERROR(INDEX(应收键,MATCH($L1201,应收单号,0)),"")&lt;&gt;$D1201),"★关联单号不是这个客户的",IF(AND($L1201&lt;&gt;"",ROUND(SUMIF(收款关联,$L1201,收款金额)-IFERROR(INDEX(应收金额,MATCH($L1201,应收单号,0)),0),2)&gt;0.001),"★指定冲销超过那张单的应收","OK"))))))))</f>
        <v/>
      </c>
    </row>
    <row r="1202" customFormat="false" ht="15" hidden="false" customHeight="false" outlineLevel="0" collapsed="false">
      <c r="A1202" s="29" t="str">
        <f aca="false">IF($C1202="","",ROW()-4)</f>
        <v/>
      </c>
      <c r="B1202" s="35" t="str">
        <f aca="false">IF($C1202="","","SK"&amp;TEXT($C1202,"yyyymm")&amp;"-"&amp;TEXT(ROW()-4,"0000"))</f>
        <v/>
      </c>
      <c r="C1202" s="33"/>
      <c r="D1202" s="24"/>
      <c r="E1202" s="30" t="str">
        <f aca="false">IF($D1202="","",IFERROR(INDEX(合同单位,MATCH($D1202,合同键,0)),IFERROR(TRIM(LEFT($D1202,FIND("｜",$D1202)-1)),$D1202)))</f>
        <v/>
      </c>
      <c r="F1202" s="30" t="str">
        <f aca="false">IF($D1202="","",IFERROR(INDEX(合同项目,MATCH($D1202,合同键,0)),IFERROR(TRIM(MID($D1202,FIND("｜",$D1202)+1,99)),"")))</f>
        <v/>
      </c>
      <c r="G1202" s="39"/>
      <c r="H1202" s="25"/>
      <c r="I1202" s="35" t="str">
        <f aca="false">IF($H1202="","",IFERROR(INDEX(票据归类表,MATCH($H1202,票据类型表,0)),"现金无票"))</f>
        <v/>
      </c>
      <c r="J1202" s="25"/>
      <c r="K1202" s="25"/>
      <c r="L1202" s="31"/>
      <c r="M1202" s="29" t="str">
        <f aca="false">IF($C1202="","",YEAR($C1202))</f>
        <v/>
      </c>
      <c r="N1202" s="24"/>
      <c r="O1202" s="35" t="str">
        <f aca="false">IF($C1202="","",IF($D1202="","★没选客户项目",IF(COUNTIF(合同键,$D1202)=0,"★《维保合同》里没这个项目",IF(N($G1202)&lt;=0,"★收款金额要填",IF($H1202="","★票据类型要选",IF(AND($L1202&lt;&gt;"",COUNTIF(应收单号,$L1202)=0),"★关联的应收单号不存在",IF(AND($L1202&lt;&gt;"",IFERROR(INDEX(应收键,MATCH($L1202,应收单号,0)),"")&lt;&gt;$D1202),"★关联单号不是这个客户的",IF(AND($L1202&lt;&gt;"",ROUND(SUMIF(收款关联,$L1202,收款金额)-IFERROR(INDEX(应收金额,MATCH($L1202,应收单号,0)),0),2)&gt;0.001),"★指定冲销超过那张单的应收","OK"))))))))</f>
        <v/>
      </c>
    </row>
    <row r="1203" customFormat="false" ht="15" hidden="false" customHeight="false" outlineLevel="0" collapsed="false">
      <c r="A1203" s="29" t="str">
        <f aca="false">IF($C1203="","",ROW()-4)</f>
        <v/>
      </c>
      <c r="B1203" s="35" t="str">
        <f aca="false">IF($C1203="","","SK"&amp;TEXT($C1203,"yyyymm")&amp;"-"&amp;TEXT(ROW()-4,"0000"))</f>
        <v/>
      </c>
      <c r="C1203" s="33"/>
      <c r="D1203" s="24"/>
      <c r="E1203" s="30" t="str">
        <f aca="false">IF($D1203="","",IFERROR(INDEX(合同单位,MATCH($D1203,合同键,0)),IFERROR(TRIM(LEFT($D1203,FIND("｜",$D1203)-1)),$D1203)))</f>
        <v/>
      </c>
      <c r="F1203" s="30" t="str">
        <f aca="false">IF($D1203="","",IFERROR(INDEX(合同项目,MATCH($D1203,合同键,0)),IFERROR(TRIM(MID($D1203,FIND("｜",$D1203)+1,99)),"")))</f>
        <v/>
      </c>
      <c r="G1203" s="39"/>
      <c r="H1203" s="25"/>
      <c r="I1203" s="35" t="str">
        <f aca="false">IF($H1203="","",IFERROR(INDEX(票据归类表,MATCH($H1203,票据类型表,0)),"现金无票"))</f>
        <v/>
      </c>
      <c r="J1203" s="25"/>
      <c r="K1203" s="25"/>
      <c r="L1203" s="31"/>
      <c r="M1203" s="29" t="str">
        <f aca="false">IF($C1203="","",YEAR($C1203))</f>
        <v/>
      </c>
      <c r="N1203" s="24"/>
      <c r="O1203" s="35" t="str">
        <f aca="false">IF($C1203="","",IF($D1203="","★没选客户项目",IF(COUNTIF(合同键,$D1203)=0,"★《维保合同》里没这个项目",IF(N($G1203)&lt;=0,"★收款金额要填",IF($H1203="","★票据类型要选",IF(AND($L1203&lt;&gt;"",COUNTIF(应收单号,$L1203)=0),"★关联的应收单号不存在",IF(AND($L1203&lt;&gt;"",IFERROR(INDEX(应收键,MATCH($L1203,应收单号,0)),"")&lt;&gt;$D1203),"★关联单号不是这个客户的",IF(AND($L1203&lt;&gt;"",ROUND(SUMIF(收款关联,$L1203,收款金额)-IFERROR(INDEX(应收金额,MATCH($L1203,应收单号,0)),0),2)&gt;0.001),"★指定冲销超过那张单的应收","OK"))))))))</f>
        <v/>
      </c>
    </row>
    <row r="1204" customFormat="false" ht="15" hidden="false" customHeight="false" outlineLevel="0" collapsed="false">
      <c r="A1204" s="29" t="str">
        <f aca="false">IF($C1204="","",ROW()-4)</f>
        <v/>
      </c>
      <c r="B1204" s="35" t="str">
        <f aca="false">IF($C1204="","","SK"&amp;TEXT($C1204,"yyyymm")&amp;"-"&amp;TEXT(ROW()-4,"0000"))</f>
        <v/>
      </c>
      <c r="C1204" s="33"/>
      <c r="D1204" s="24"/>
      <c r="E1204" s="30" t="str">
        <f aca="false">IF($D1204="","",IFERROR(INDEX(合同单位,MATCH($D1204,合同键,0)),IFERROR(TRIM(LEFT($D1204,FIND("｜",$D1204)-1)),$D1204)))</f>
        <v/>
      </c>
      <c r="F1204" s="30" t="str">
        <f aca="false">IF($D1204="","",IFERROR(INDEX(合同项目,MATCH($D1204,合同键,0)),IFERROR(TRIM(MID($D1204,FIND("｜",$D1204)+1,99)),"")))</f>
        <v/>
      </c>
      <c r="G1204" s="39"/>
      <c r="H1204" s="25"/>
      <c r="I1204" s="35" t="str">
        <f aca="false">IF($H1204="","",IFERROR(INDEX(票据归类表,MATCH($H1204,票据类型表,0)),"现金无票"))</f>
        <v/>
      </c>
      <c r="J1204" s="25"/>
      <c r="K1204" s="25"/>
      <c r="L1204" s="31"/>
      <c r="M1204" s="29" t="str">
        <f aca="false">IF($C1204="","",YEAR($C1204))</f>
        <v/>
      </c>
      <c r="N1204" s="24"/>
      <c r="O1204" s="35" t="str">
        <f aca="false">IF($C1204="","",IF($D1204="","★没选客户项目",IF(COUNTIF(合同键,$D1204)=0,"★《维保合同》里没这个项目",IF(N($G1204)&lt;=0,"★收款金额要填",IF($H1204="","★票据类型要选",IF(AND($L1204&lt;&gt;"",COUNTIF(应收单号,$L1204)=0),"★关联的应收单号不存在",IF(AND($L1204&lt;&gt;"",IFERROR(INDEX(应收键,MATCH($L1204,应收单号,0)),"")&lt;&gt;$D1204),"★关联单号不是这个客户的",IF(AND($L1204&lt;&gt;"",ROUND(SUMIF(收款关联,$L1204,收款金额)-IFERROR(INDEX(应收金额,MATCH($L1204,应收单号,0)),0),2)&gt;0.001),"★指定冲销超过那张单的应收","OK"))))))))</f>
        <v/>
      </c>
    </row>
    <row r="1205" customFormat="false" ht="15" hidden="false" customHeight="false" outlineLevel="0" collapsed="false">
      <c r="A1205" s="29" t="str">
        <f aca="false">IF($C1205="","",ROW()-4)</f>
        <v/>
      </c>
      <c r="B1205" s="35" t="str">
        <f aca="false">IF($C1205="","","SK"&amp;TEXT($C1205,"yyyymm")&amp;"-"&amp;TEXT(ROW()-4,"0000"))</f>
        <v/>
      </c>
      <c r="C1205" s="33"/>
      <c r="D1205" s="24"/>
      <c r="E1205" s="30" t="str">
        <f aca="false">IF($D1205="","",IFERROR(INDEX(合同单位,MATCH($D1205,合同键,0)),IFERROR(TRIM(LEFT($D1205,FIND("｜",$D1205)-1)),$D1205)))</f>
        <v/>
      </c>
      <c r="F1205" s="30" t="str">
        <f aca="false">IF($D1205="","",IFERROR(INDEX(合同项目,MATCH($D1205,合同键,0)),IFERROR(TRIM(MID($D1205,FIND("｜",$D1205)+1,99)),"")))</f>
        <v/>
      </c>
      <c r="G1205" s="39"/>
      <c r="H1205" s="25"/>
      <c r="I1205" s="35" t="str">
        <f aca="false">IF($H1205="","",IFERROR(INDEX(票据归类表,MATCH($H1205,票据类型表,0)),"现金无票"))</f>
        <v/>
      </c>
      <c r="J1205" s="25"/>
      <c r="K1205" s="25"/>
      <c r="L1205" s="31"/>
      <c r="M1205" s="29" t="str">
        <f aca="false">IF($C1205="","",YEAR($C1205))</f>
        <v/>
      </c>
      <c r="N1205" s="24"/>
      <c r="O1205" s="35" t="str">
        <f aca="false">IF($C1205="","",IF($D1205="","★没选客户项目",IF(COUNTIF(合同键,$D1205)=0,"★《维保合同》里没这个项目",IF(N($G1205)&lt;=0,"★收款金额要填",IF($H1205="","★票据类型要选",IF(AND($L1205&lt;&gt;"",COUNTIF(应收单号,$L1205)=0),"★关联的应收单号不存在",IF(AND($L1205&lt;&gt;"",IFERROR(INDEX(应收键,MATCH($L1205,应收单号,0)),"")&lt;&gt;$D1205),"★关联单号不是这个客户的",IF(AND($L1205&lt;&gt;"",ROUND(SUMIF(收款关联,$L1205,收款金额)-IFERROR(INDEX(应收金额,MATCH($L1205,应收单号,0)),0),2)&gt;0.001),"★指定冲销超过那张单的应收","OK"))))))))</f>
        <v/>
      </c>
    </row>
    <row r="1206" customFormat="false" ht="15" hidden="false" customHeight="false" outlineLevel="0" collapsed="false">
      <c r="A1206" s="29" t="str">
        <f aca="false">IF($C1206="","",ROW()-4)</f>
        <v/>
      </c>
      <c r="B1206" s="35" t="str">
        <f aca="false">IF($C1206="","","SK"&amp;TEXT($C1206,"yyyymm")&amp;"-"&amp;TEXT(ROW()-4,"0000"))</f>
        <v/>
      </c>
      <c r="C1206" s="33"/>
      <c r="D1206" s="24"/>
      <c r="E1206" s="30" t="str">
        <f aca="false">IF($D1206="","",IFERROR(INDEX(合同单位,MATCH($D1206,合同键,0)),IFERROR(TRIM(LEFT($D1206,FIND("｜",$D1206)-1)),$D1206)))</f>
        <v/>
      </c>
      <c r="F1206" s="30" t="str">
        <f aca="false">IF($D1206="","",IFERROR(INDEX(合同项目,MATCH($D1206,合同键,0)),IFERROR(TRIM(MID($D1206,FIND("｜",$D1206)+1,99)),"")))</f>
        <v/>
      </c>
      <c r="G1206" s="39"/>
      <c r="H1206" s="25"/>
      <c r="I1206" s="35" t="str">
        <f aca="false">IF($H1206="","",IFERROR(INDEX(票据归类表,MATCH($H1206,票据类型表,0)),"现金无票"))</f>
        <v/>
      </c>
      <c r="J1206" s="25"/>
      <c r="K1206" s="25"/>
      <c r="L1206" s="31"/>
      <c r="M1206" s="29" t="str">
        <f aca="false">IF($C1206="","",YEAR($C1206))</f>
        <v/>
      </c>
      <c r="N1206" s="24"/>
      <c r="O1206" s="35" t="str">
        <f aca="false">IF($C1206="","",IF($D1206="","★没选客户项目",IF(COUNTIF(合同键,$D1206)=0,"★《维保合同》里没这个项目",IF(N($G1206)&lt;=0,"★收款金额要填",IF($H1206="","★票据类型要选",IF(AND($L1206&lt;&gt;"",COUNTIF(应收单号,$L1206)=0),"★关联的应收单号不存在",IF(AND($L1206&lt;&gt;"",IFERROR(INDEX(应收键,MATCH($L1206,应收单号,0)),"")&lt;&gt;$D1206),"★关联单号不是这个客户的",IF(AND($L1206&lt;&gt;"",ROUND(SUMIF(收款关联,$L1206,收款金额)-IFERROR(INDEX(应收金额,MATCH($L1206,应收单号,0)),0),2)&gt;0.001),"★指定冲销超过那张单的应收","OK"))))))))</f>
        <v/>
      </c>
    </row>
    <row r="1207" customFormat="false" ht="15" hidden="false" customHeight="false" outlineLevel="0" collapsed="false">
      <c r="A1207" s="29" t="str">
        <f aca="false">IF($C1207="","",ROW()-4)</f>
        <v/>
      </c>
      <c r="B1207" s="35" t="str">
        <f aca="false">IF($C1207="","","SK"&amp;TEXT($C1207,"yyyymm")&amp;"-"&amp;TEXT(ROW()-4,"0000"))</f>
        <v/>
      </c>
      <c r="C1207" s="33"/>
      <c r="D1207" s="24"/>
      <c r="E1207" s="30" t="str">
        <f aca="false">IF($D1207="","",IFERROR(INDEX(合同单位,MATCH($D1207,合同键,0)),IFERROR(TRIM(LEFT($D1207,FIND("｜",$D1207)-1)),$D1207)))</f>
        <v/>
      </c>
      <c r="F1207" s="30" t="str">
        <f aca="false">IF($D1207="","",IFERROR(INDEX(合同项目,MATCH($D1207,合同键,0)),IFERROR(TRIM(MID($D1207,FIND("｜",$D1207)+1,99)),"")))</f>
        <v/>
      </c>
      <c r="G1207" s="39"/>
      <c r="H1207" s="25"/>
      <c r="I1207" s="35" t="str">
        <f aca="false">IF($H1207="","",IFERROR(INDEX(票据归类表,MATCH($H1207,票据类型表,0)),"现金无票"))</f>
        <v/>
      </c>
      <c r="J1207" s="25"/>
      <c r="K1207" s="25"/>
      <c r="L1207" s="31"/>
      <c r="M1207" s="29" t="str">
        <f aca="false">IF($C1207="","",YEAR($C1207))</f>
        <v/>
      </c>
      <c r="N1207" s="24"/>
      <c r="O1207" s="35" t="str">
        <f aca="false">IF($C1207="","",IF($D1207="","★没选客户项目",IF(COUNTIF(合同键,$D1207)=0,"★《维保合同》里没这个项目",IF(N($G1207)&lt;=0,"★收款金额要填",IF($H1207="","★票据类型要选",IF(AND($L1207&lt;&gt;"",COUNTIF(应收单号,$L1207)=0),"★关联的应收单号不存在",IF(AND($L1207&lt;&gt;"",IFERROR(INDEX(应收键,MATCH($L1207,应收单号,0)),"")&lt;&gt;$D1207),"★关联单号不是这个客户的",IF(AND($L1207&lt;&gt;"",ROUND(SUMIF(收款关联,$L1207,收款金额)-IFERROR(INDEX(应收金额,MATCH($L1207,应收单号,0)),0),2)&gt;0.001),"★指定冲销超过那张单的应收","OK"))))))))</f>
        <v/>
      </c>
    </row>
    <row r="1208" customFormat="false" ht="15" hidden="false" customHeight="false" outlineLevel="0" collapsed="false">
      <c r="A1208" s="29" t="str">
        <f aca="false">IF($C1208="","",ROW()-4)</f>
        <v/>
      </c>
      <c r="B1208" s="35" t="str">
        <f aca="false">IF($C1208="","","SK"&amp;TEXT($C1208,"yyyymm")&amp;"-"&amp;TEXT(ROW()-4,"0000"))</f>
        <v/>
      </c>
      <c r="C1208" s="33"/>
      <c r="D1208" s="24"/>
      <c r="E1208" s="30" t="str">
        <f aca="false">IF($D1208="","",IFERROR(INDEX(合同单位,MATCH($D1208,合同键,0)),IFERROR(TRIM(LEFT($D1208,FIND("｜",$D1208)-1)),$D1208)))</f>
        <v/>
      </c>
      <c r="F1208" s="30" t="str">
        <f aca="false">IF($D1208="","",IFERROR(INDEX(合同项目,MATCH($D1208,合同键,0)),IFERROR(TRIM(MID($D1208,FIND("｜",$D1208)+1,99)),"")))</f>
        <v/>
      </c>
      <c r="G1208" s="39"/>
      <c r="H1208" s="25"/>
      <c r="I1208" s="35" t="str">
        <f aca="false">IF($H1208="","",IFERROR(INDEX(票据归类表,MATCH($H1208,票据类型表,0)),"现金无票"))</f>
        <v/>
      </c>
      <c r="J1208" s="25"/>
      <c r="K1208" s="25"/>
      <c r="L1208" s="31"/>
      <c r="M1208" s="29" t="str">
        <f aca="false">IF($C1208="","",YEAR($C1208))</f>
        <v/>
      </c>
      <c r="N1208" s="24"/>
      <c r="O1208" s="35" t="str">
        <f aca="false">IF($C1208="","",IF($D1208="","★没选客户项目",IF(COUNTIF(合同键,$D1208)=0,"★《维保合同》里没这个项目",IF(N($G1208)&lt;=0,"★收款金额要填",IF($H1208="","★票据类型要选",IF(AND($L1208&lt;&gt;"",COUNTIF(应收单号,$L1208)=0),"★关联的应收单号不存在",IF(AND($L1208&lt;&gt;"",IFERROR(INDEX(应收键,MATCH($L1208,应收单号,0)),"")&lt;&gt;$D1208),"★关联单号不是这个客户的",IF(AND($L1208&lt;&gt;"",ROUND(SUMIF(收款关联,$L1208,收款金额)-IFERROR(INDEX(应收金额,MATCH($L1208,应收单号,0)),0),2)&gt;0.001),"★指定冲销超过那张单的应收","OK"))))))))</f>
        <v/>
      </c>
    </row>
    <row r="1209" customFormat="false" ht="15" hidden="false" customHeight="false" outlineLevel="0" collapsed="false">
      <c r="A1209" s="29" t="str">
        <f aca="false">IF($C1209="","",ROW()-4)</f>
        <v/>
      </c>
      <c r="B1209" s="35" t="str">
        <f aca="false">IF($C1209="","","SK"&amp;TEXT($C1209,"yyyymm")&amp;"-"&amp;TEXT(ROW()-4,"0000"))</f>
        <v/>
      </c>
      <c r="C1209" s="33"/>
      <c r="D1209" s="24"/>
      <c r="E1209" s="30" t="str">
        <f aca="false">IF($D1209="","",IFERROR(INDEX(合同单位,MATCH($D1209,合同键,0)),IFERROR(TRIM(LEFT($D1209,FIND("｜",$D1209)-1)),$D1209)))</f>
        <v/>
      </c>
      <c r="F1209" s="30" t="str">
        <f aca="false">IF($D1209="","",IFERROR(INDEX(合同项目,MATCH($D1209,合同键,0)),IFERROR(TRIM(MID($D1209,FIND("｜",$D1209)+1,99)),"")))</f>
        <v/>
      </c>
      <c r="G1209" s="39"/>
      <c r="H1209" s="25"/>
      <c r="I1209" s="35" t="str">
        <f aca="false">IF($H1209="","",IFERROR(INDEX(票据归类表,MATCH($H1209,票据类型表,0)),"现金无票"))</f>
        <v/>
      </c>
      <c r="J1209" s="25"/>
      <c r="K1209" s="25"/>
      <c r="L1209" s="31"/>
      <c r="M1209" s="29" t="str">
        <f aca="false">IF($C1209="","",YEAR($C1209))</f>
        <v/>
      </c>
      <c r="N1209" s="24"/>
      <c r="O1209" s="35" t="str">
        <f aca="false">IF($C1209="","",IF($D1209="","★没选客户项目",IF(COUNTIF(合同键,$D1209)=0,"★《维保合同》里没这个项目",IF(N($G1209)&lt;=0,"★收款金额要填",IF($H1209="","★票据类型要选",IF(AND($L1209&lt;&gt;"",COUNTIF(应收单号,$L1209)=0),"★关联的应收单号不存在",IF(AND($L1209&lt;&gt;"",IFERROR(INDEX(应收键,MATCH($L1209,应收单号,0)),"")&lt;&gt;$D1209),"★关联单号不是这个客户的",IF(AND($L1209&lt;&gt;"",ROUND(SUMIF(收款关联,$L1209,收款金额)-IFERROR(INDEX(应收金额,MATCH($L1209,应收单号,0)),0),2)&gt;0.001),"★指定冲销超过那张单的应收","OK"))))))))</f>
        <v/>
      </c>
    </row>
    <row r="1210" customFormat="false" ht="15" hidden="false" customHeight="false" outlineLevel="0" collapsed="false">
      <c r="A1210" s="29" t="str">
        <f aca="false">IF($C1210="","",ROW()-4)</f>
        <v/>
      </c>
      <c r="B1210" s="35" t="str">
        <f aca="false">IF($C1210="","","SK"&amp;TEXT($C1210,"yyyymm")&amp;"-"&amp;TEXT(ROW()-4,"0000"))</f>
        <v/>
      </c>
      <c r="C1210" s="33"/>
      <c r="D1210" s="24"/>
      <c r="E1210" s="30" t="str">
        <f aca="false">IF($D1210="","",IFERROR(INDEX(合同单位,MATCH($D1210,合同键,0)),IFERROR(TRIM(LEFT($D1210,FIND("｜",$D1210)-1)),$D1210)))</f>
        <v/>
      </c>
      <c r="F1210" s="30" t="str">
        <f aca="false">IF($D1210="","",IFERROR(INDEX(合同项目,MATCH($D1210,合同键,0)),IFERROR(TRIM(MID($D1210,FIND("｜",$D1210)+1,99)),"")))</f>
        <v/>
      </c>
      <c r="G1210" s="39"/>
      <c r="H1210" s="25"/>
      <c r="I1210" s="35" t="str">
        <f aca="false">IF($H1210="","",IFERROR(INDEX(票据归类表,MATCH($H1210,票据类型表,0)),"现金无票"))</f>
        <v/>
      </c>
      <c r="J1210" s="25"/>
      <c r="K1210" s="25"/>
      <c r="L1210" s="31"/>
      <c r="M1210" s="29" t="str">
        <f aca="false">IF($C1210="","",YEAR($C1210))</f>
        <v/>
      </c>
      <c r="N1210" s="24"/>
      <c r="O1210" s="35" t="str">
        <f aca="false">IF($C1210="","",IF($D1210="","★没选客户项目",IF(COUNTIF(合同键,$D1210)=0,"★《维保合同》里没这个项目",IF(N($G1210)&lt;=0,"★收款金额要填",IF($H1210="","★票据类型要选",IF(AND($L1210&lt;&gt;"",COUNTIF(应收单号,$L1210)=0),"★关联的应收单号不存在",IF(AND($L1210&lt;&gt;"",IFERROR(INDEX(应收键,MATCH($L1210,应收单号,0)),"")&lt;&gt;$D1210),"★关联单号不是这个客户的",IF(AND($L1210&lt;&gt;"",ROUND(SUMIF(收款关联,$L1210,收款金额)-IFERROR(INDEX(应收金额,MATCH($L1210,应收单号,0)),0),2)&gt;0.001),"★指定冲销超过那张单的应收","OK"))))))))</f>
        <v/>
      </c>
    </row>
    <row r="1211" customFormat="false" ht="15" hidden="false" customHeight="false" outlineLevel="0" collapsed="false">
      <c r="A1211" s="29" t="str">
        <f aca="false">IF($C1211="","",ROW()-4)</f>
        <v/>
      </c>
      <c r="B1211" s="35" t="str">
        <f aca="false">IF($C1211="","","SK"&amp;TEXT($C1211,"yyyymm")&amp;"-"&amp;TEXT(ROW()-4,"0000"))</f>
        <v/>
      </c>
      <c r="C1211" s="33"/>
      <c r="D1211" s="24"/>
      <c r="E1211" s="30" t="str">
        <f aca="false">IF($D1211="","",IFERROR(INDEX(合同单位,MATCH($D1211,合同键,0)),IFERROR(TRIM(LEFT($D1211,FIND("｜",$D1211)-1)),$D1211)))</f>
        <v/>
      </c>
      <c r="F1211" s="30" t="str">
        <f aca="false">IF($D1211="","",IFERROR(INDEX(合同项目,MATCH($D1211,合同键,0)),IFERROR(TRIM(MID($D1211,FIND("｜",$D1211)+1,99)),"")))</f>
        <v/>
      </c>
      <c r="G1211" s="39"/>
      <c r="H1211" s="25"/>
      <c r="I1211" s="35" t="str">
        <f aca="false">IF($H1211="","",IFERROR(INDEX(票据归类表,MATCH($H1211,票据类型表,0)),"现金无票"))</f>
        <v/>
      </c>
      <c r="J1211" s="25"/>
      <c r="K1211" s="25"/>
      <c r="L1211" s="31"/>
      <c r="M1211" s="29" t="str">
        <f aca="false">IF($C1211="","",YEAR($C1211))</f>
        <v/>
      </c>
      <c r="N1211" s="24"/>
      <c r="O1211" s="35" t="str">
        <f aca="false">IF($C1211="","",IF($D1211="","★没选客户项目",IF(COUNTIF(合同键,$D1211)=0,"★《维保合同》里没这个项目",IF(N($G1211)&lt;=0,"★收款金额要填",IF($H1211="","★票据类型要选",IF(AND($L1211&lt;&gt;"",COUNTIF(应收单号,$L1211)=0),"★关联的应收单号不存在",IF(AND($L1211&lt;&gt;"",IFERROR(INDEX(应收键,MATCH($L1211,应收单号,0)),"")&lt;&gt;$D1211),"★关联单号不是这个客户的",IF(AND($L1211&lt;&gt;"",ROUND(SUMIF(收款关联,$L1211,收款金额)-IFERROR(INDEX(应收金额,MATCH($L1211,应收单号,0)),0),2)&gt;0.001),"★指定冲销超过那张单的应收","OK"))))))))</f>
        <v/>
      </c>
    </row>
    <row r="1212" customFormat="false" ht="15" hidden="false" customHeight="false" outlineLevel="0" collapsed="false">
      <c r="A1212" s="29" t="str">
        <f aca="false">IF($C1212="","",ROW()-4)</f>
        <v/>
      </c>
      <c r="B1212" s="35" t="str">
        <f aca="false">IF($C1212="","","SK"&amp;TEXT($C1212,"yyyymm")&amp;"-"&amp;TEXT(ROW()-4,"0000"))</f>
        <v/>
      </c>
      <c r="C1212" s="33"/>
      <c r="D1212" s="24"/>
      <c r="E1212" s="30" t="str">
        <f aca="false">IF($D1212="","",IFERROR(INDEX(合同单位,MATCH($D1212,合同键,0)),IFERROR(TRIM(LEFT($D1212,FIND("｜",$D1212)-1)),$D1212)))</f>
        <v/>
      </c>
      <c r="F1212" s="30" t="str">
        <f aca="false">IF($D1212="","",IFERROR(INDEX(合同项目,MATCH($D1212,合同键,0)),IFERROR(TRIM(MID($D1212,FIND("｜",$D1212)+1,99)),"")))</f>
        <v/>
      </c>
      <c r="G1212" s="39"/>
      <c r="H1212" s="25"/>
      <c r="I1212" s="35" t="str">
        <f aca="false">IF($H1212="","",IFERROR(INDEX(票据归类表,MATCH($H1212,票据类型表,0)),"现金无票"))</f>
        <v/>
      </c>
      <c r="J1212" s="25"/>
      <c r="K1212" s="25"/>
      <c r="L1212" s="31"/>
      <c r="M1212" s="29" t="str">
        <f aca="false">IF($C1212="","",YEAR($C1212))</f>
        <v/>
      </c>
      <c r="N1212" s="24"/>
      <c r="O1212" s="35" t="str">
        <f aca="false">IF($C1212="","",IF($D1212="","★没选客户项目",IF(COUNTIF(合同键,$D1212)=0,"★《维保合同》里没这个项目",IF(N($G1212)&lt;=0,"★收款金额要填",IF($H1212="","★票据类型要选",IF(AND($L1212&lt;&gt;"",COUNTIF(应收单号,$L1212)=0),"★关联的应收单号不存在",IF(AND($L1212&lt;&gt;"",IFERROR(INDEX(应收键,MATCH($L1212,应收单号,0)),"")&lt;&gt;$D1212),"★关联单号不是这个客户的",IF(AND($L1212&lt;&gt;"",ROUND(SUMIF(收款关联,$L1212,收款金额)-IFERROR(INDEX(应收金额,MATCH($L1212,应收单号,0)),0),2)&gt;0.001),"★指定冲销超过那张单的应收","OK"))))))))</f>
        <v/>
      </c>
    </row>
    <row r="1213" customFormat="false" ht="15" hidden="false" customHeight="false" outlineLevel="0" collapsed="false">
      <c r="A1213" s="29" t="str">
        <f aca="false">IF($C1213="","",ROW()-4)</f>
        <v/>
      </c>
      <c r="B1213" s="35" t="str">
        <f aca="false">IF($C1213="","","SK"&amp;TEXT($C1213,"yyyymm")&amp;"-"&amp;TEXT(ROW()-4,"0000"))</f>
        <v/>
      </c>
      <c r="C1213" s="33"/>
      <c r="D1213" s="24"/>
      <c r="E1213" s="30" t="str">
        <f aca="false">IF($D1213="","",IFERROR(INDEX(合同单位,MATCH($D1213,合同键,0)),IFERROR(TRIM(LEFT($D1213,FIND("｜",$D1213)-1)),$D1213)))</f>
        <v/>
      </c>
      <c r="F1213" s="30" t="str">
        <f aca="false">IF($D1213="","",IFERROR(INDEX(合同项目,MATCH($D1213,合同键,0)),IFERROR(TRIM(MID($D1213,FIND("｜",$D1213)+1,99)),"")))</f>
        <v/>
      </c>
      <c r="G1213" s="39"/>
      <c r="H1213" s="25"/>
      <c r="I1213" s="35" t="str">
        <f aca="false">IF($H1213="","",IFERROR(INDEX(票据归类表,MATCH($H1213,票据类型表,0)),"现金无票"))</f>
        <v/>
      </c>
      <c r="J1213" s="25"/>
      <c r="K1213" s="25"/>
      <c r="L1213" s="31"/>
      <c r="M1213" s="29" t="str">
        <f aca="false">IF($C1213="","",YEAR($C1213))</f>
        <v/>
      </c>
      <c r="N1213" s="24"/>
      <c r="O1213" s="35" t="str">
        <f aca="false">IF($C1213="","",IF($D1213="","★没选客户项目",IF(COUNTIF(合同键,$D1213)=0,"★《维保合同》里没这个项目",IF(N($G1213)&lt;=0,"★收款金额要填",IF($H1213="","★票据类型要选",IF(AND($L1213&lt;&gt;"",COUNTIF(应收单号,$L1213)=0),"★关联的应收单号不存在",IF(AND($L1213&lt;&gt;"",IFERROR(INDEX(应收键,MATCH($L1213,应收单号,0)),"")&lt;&gt;$D1213),"★关联单号不是这个客户的",IF(AND($L1213&lt;&gt;"",ROUND(SUMIF(收款关联,$L1213,收款金额)-IFERROR(INDEX(应收金额,MATCH($L1213,应收单号,0)),0),2)&gt;0.001),"★指定冲销超过那张单的应收","OK"))))))))</f>
        <v/>
      </c>
    </row>
    <row r="1214" customFormat="false" ht="15" hidden="false" customHeight="false" outlineLevel="0" collapsed="false">
      <c r="A1214" s="29" t="str">
        <f aca="false">IF($C1214="","",ROW()-4)</f>
        <v/>
      </c>
      <c r="B1214" s="35" t="str">
        <f aca="false">IF($C1214="","","SK"&amp;TEXT($C1214,"yyyymm")&amp;"-"&amp;TEXT(ROW()-4,"0000"))</f>
        <v/>
      </c>
      <c r="C1214" s="33"/>
      <c r="D1214" s="24"/>
      <c r="E1214" s="30" t="str">
        <f aca="false">IF($D1214="","",IFERROR(INDEX(合同单位,MATCH($D1214,合同键,0)),IFERROR(TRIM(LEFT($D1214,FIND("｜",$D1214)-1)),$D1214)))</f>
        <v/>
      </c>
      <c r="F1214" s="30" t="str">
        <f aca="false">IF($D1214="","",IFERROR(INDEX(合同项目,MATCH($D1214,合同键,0)),IFERROR(TRIM(MID($D1214,FIND("｜",$D1214)+1,99)),"")))</f>
        <v/>
      </c>
      <c r="G1214" s="39"/>
      <c r="H1214" s="25"/>
      <c r="I1214" s="35" t="str">
        <f aca="false">IF($H1214="","",IFERROR(INDEX(票据归类表,MATCH($H1214,票据类型表,0)),"现金无票"))</f>
        <v/>
      </c>
      <c r="J1214" s="25"/>
      <c r="K1214" s="25"/>
      <c r="L1214" s="31"/>
      <c r="M1214" s="29" t="str">
        <f aca="false">IF($C1214="","",YEAR($C1214))</f>
        <v/>
      </c>
      <c r="N1214" s="24"/>
      <c r="O1214" s="35" t="str">
        <f aca="false">IF($C1214="","",IF($D1214="","★没选客户项目",IF(COUNTIF(合同键,$D1214)=0,"★《维保合同》里没这个项目",IF(N($G1214)&lt;=0,"★收款金额要填",IF($H1214="","★票据类型要选",IF(AND($L1214&lt;&gt;"",COUNTIF(应收单号,$L1214)=0),"★关联的应收单号不存在",IF(AND($L1214&lt;&gt;"",IFERROR(INDEX(应收键,MATCH($L1214,应收单号,0)),"")&lt;&gt;$D1214),"★关联单号不是这个客户的",IF(AND($L1214&lt;&gt;"",ROUND(SUMIF(收款关联,$L1214,收款金额)-IFERROR(INDEX(应收金额,MATCH($L1214,应收单号,0)),0),2)&gt;0.001),"★指定冲销超过那张单的应收","OK"))))))))</f>
        <v/>
      </c>
    </row>
    <row r="1215" customFormat="false" ht="15" hidden="false" customHeight="false" outlineLevel="0" collapsed="false">
      <c r="A1215" s="29" t="str">
        <f aca="false">IF($C1215="","",ROW()-4)</f>
        <v/>
      </c>
      <c r="B1215" s="35" t="str">
        <f aca="false">IF($C1215="","","SK"&amp;TEXT($C1215,"yyyymm")&amp;"-"&amp;TEXT(ROW()-4,"0000"))</f>
        <v/>
      </c>
      <c r="C1215" s="33"/>
      <c r="D1215" s="24"/>
      <c r="E1215" s="30" t="str">
        <f aca="false">IF($D1215="","",IFERROR(INDEX(合同单位,MATCH($D1215,合同键,0)),IFERROR(TRIM(LEFT($D1215,FIND("｜",$D1215)-1)),$D1215)))</f>
        <v/>
      </c>
      <c r="F1215" s="30" t="str">
        <f aca="false">IF($D1215="","",IFERROR(INDEX(合同项目,MATCH($D1215,合同键,0)),IFERROR(TRIM(MID($D1215,FIND("｜",$D1215)+1,99)),"")))</f>
        <v/>
      </c>
      <c r="G1215" s="39"/>
      <c r="H1215" s="25"/>
      <c r="I1215" s="35" t="str">
        <f aca="false">IF($H1215="","",IFERROR(INDEX(票据归类表,MATCH($H1215,票据类型表,0)),"现金无票"))</f>
        <v/>
      </c>
      <c r="J1215" s="25"/>
      <c r="K1215" s="25"/>
      <c r="L1215" s="31"/>
      <c r="M1215" s="29" t="str">
        <f aca="false">IF($C1215="","",YEAR($C1215))</f>
        <v/>
      </c>
      <c r="N1215" s="24"/>
      <c r="O1215" s="35" t="str">
        <f aca="false">IF($C1215="","",IF($D1215="","★没选客户项目",IF(COUNTIF(合同键,$D1215)=0,"★《维保合同》里没这个项目",IF(N($G1215)&lt;=0,"★收款金额要填",IF($H1215="","★票据类型要选",IF(AND($L1215&lt;&gt;"",COUNTIF(应收单号,$L1215)=0),"★关联的应收单号不存在",IF(AND($L1215&lt;&gt;"",IFERROR(INDEX(应收键,MATCH($L1215,应收单号,0)),"")&lt;&gt;$D1215),"★关联单号不是这个客户的",IF(AND($L1215&lt;&gt;"",ROUND(SUMIF(收款关联,$L1215,收款金额)-IFERROR(INDEX(应收金额,MATCH($L1215,应收单号,0)),0),2)&gt;0.001),"★指定冲销超过那张单的应收","OK"))))))))</f>
        <v/>
      </c>
    </row>
    <row r="1216" customFormat="false" ht="15" hidden="false" customHeight="false" outlineLevel="0" collapsed="false">
      <c r="A1216" s="29" t="str">
        <f aca="false">IF($C1216="","",ROW()-4)</f>
        <v/>
      </c>
      <c r="B1216" s="35" t="str">
        <f aca="false">IF($C1216="","","SK"&amp;TEXT($C1216,"yyyymm")&amp;"-"&amp;TEXT(ROW()-4,"0000"))</f>
        <v/>
      </c>
      <c r="C1216" s="33"/>
      <c r="D1216" s="24"/>
      <c r="E1216" s="30" t="str">
        <f aca="false">IF($D1216="","",IFERROR(INDEX(合同单位,MATCH($D1216,合同键,0)),IFERROR(TRIM(LEFT($D1216,FIND("｜",$D1216)-1)),$D1216)))</f>
        <v/>
      </c>
      <c r="F1216" s="30" t="str">
        <f aca="false">IF($D1216="","",IFERROR(INDEX(合同项目,MATCH($D1216,合同键,0)),IFERROR(TRIM(MID($D1216,FIND("｜",$D1216)+1,99)),"")))</f>
        <v/>
      </c>
      <c r="G1216" s="39"/>
      <c r="H1216" s="25"/>
      <c r="I1216" s="35" t="str">
        <f aca="false">IF($H1216="","",IFERROR(INDEX(票据归类表,MATCH($H1216,票据类型表,0)),"现金无票"))</f>
        <v/>
      </c>
      <c r="J1216" s="25"/>
      <c r="K1216" s="25"/>
      <c r="L1216" s="31"/>
      <c r="M1216" s="29" t="str">
        <f aca="false">IF($C1216="","",YEAR($C1216))</f>
        <v/>
      </c>
      <c r="N1216" s="24"/>
      <c r="O1216" s="35" t="str">
        <f aca="false">IF($C1216="","",IF($D1216="","★没选客户项目",IF(COUNTIF(合同键,$D1216)=0,"★《维保合同》里没这个项目",IF(N($G1216)&lt;=0,"★收款金额要填",IF($H1216="","★票据类型要选",IF(AND($L1216&lt;&gt;"",COUNTIF(应收单号,$L1216)=0),"★关联的应收单号不存在",IF(AND($L1216&lt;&gt;"",IFERROR(INDEX(应收键,MATCH($L1216,应收单号,0)),"")&lt;&gt;$D1216),"★关联单号不是这个客户的",IF(AND($L1216&lt;&gt;"",ROUND(SUMIF(收款关联,$L1216,收款金额)-IFERROR(INDEX(应收金额,MATCH($L1216,应收单号,0)),0),2)&gt;0.001),"★指定冲销超过那张单的应收","OK"))))))))</f>
        <v/>
      </c>
    </row>
    <row r="1217" customFormat="false" ht="15" hidden="false" customHeight="false" outlineLevel="0" collapsed="false">
      <c r="A1217" s="29" t="str">
        <f aca="false">IF($C1217="","",ROW()-4)</f>
        <v/>
      </c>
      <c r="B1217" s="35" t="str">
        <f aca="false">IF($C1217="","","SK"&amp;TEXT($C1217,"yyyymm")&amp;"-"&amp;TEXT(ROW()-4,"0000"))</f>
        <v/>
      </c>
      <c r="C1217" s="33"/>
      <c r="D1217" s="24"/>
      <c r="E1217" s="30" t="str">
        <f aca="false">IF($D1217="","",IFERROR(INDEX(合同单位,MATCH($D1217,合同键,0)),IFERROR(TRIM(LEFT($D1217,FIND("｜",$D1217)-1)),$D1217)))</f>
        <v/>
      </c>
      <c r="F1217" s="30" t="str">
        <f aca="false">IF($D1217="","",IFERROR(INDEX(合同项目,MATCH($D1217,合同键,0)),IFERROR(TRIM(MID($D1217,FIND("｜",$D1217)+1,99)),"")))</f>
        <v/>
      </c>
      <c r="G1217" s="39"/>
      <c r="H1217" s="25"/>
      <c r="I1217" s="35" t="str">
        <f aca="false">IF($H1217="","",IFERROR(INDEX(票据归类表,MATCH($H1217,票据类型表,0)),"现金无票"))</f>
        <v/>
      </c>
      <c r="J1217" s="25"/>
      <c r="K1217" s="25"/>
      <c r="L1217" s="31"/>
      <c r="M1217" s="29" t="str">
        <f aca="false">IF($C1217="","",YEAR($C1217))</f>
        <v/>
      </c>
      <c r="N1217" s="24"/>
      <c r="O1217" s="35" t="str">
        <f aca="false">IF($C1217="","",IF($D1217="","★没选客户项目",IF(COUNTIF(合同键,$D1217)=0,"★《维保合同》里没这个项目",IF(N($G1217)&lt;=0,"★收款金额要填",IF($H1217="","★票据类型要选",IF(AND($L1217&lt;&gt;"",COUNTIF(应收单号,$L1217)=0),"★关联的应收单号不存在",IF(AND($L1217&lt;&gt;"",IFERROR(INDEX(应收键,MATCH($L1217,应收单号,0)),"")&lt;&gt;$D1217),"★关联单号不是这个客户的",IF(AND($L1217&lt;&gt;"",ROUND(SUMIF(收款关联,$L1217,收款金额)-IFERROR(INDEX(应收金额,MATCH($L1217,应收单号,0)),0),2)&gt;0.001),"★指定冲销超过那张单的应收","OK"))))))))</f>
        <v/>
      </c>
    </row>
    <row r="1218" customFormat="false" ht="15" hidden="false" customHeight="false" outlineLevel="0" collapsed="false">
      <c r="A1218" s="29" t="str">
        <f aca="false">IF($C1218="","",ROW()-4)</f>
        <v/>
      </c>
      <c r="B1218" s="35" t="str">
        <f aca="false">IF($C1218="","","SK"&amp;TEXT($C1218,"yyyymm")&amp;"-"&amp;TEXT(ROW()-4,"0000"))</f>
        <v/>
      </c>
      <c r="C1218" s="33"/>
      <c r="D1218" s="24"/>
      <c r="E1218" s="30" t="str">
        <f aca="false">IF($D1218="","",IFERROR(INDEX(合同单位,MATCH($D1218,合同键,0)),IFERROR(TRIM(LEFT($D1218,FIND("｜",$D1218)-1)),$D1218)))</f>
        <v/>
      </c>
      <c r="F1218" s="30" t="str">
        <f aca="false">IF($D1218="","",IFERROR(INDEX(合同项目,MATCH($D1218,合同键,0)),IFERROR(TRIM(MID($D1218,FIND("｜",$D1218)+1,99)),"")))</f>
        <v/>
      </c>
      <c r="G1218" s="39"/>
      <c r="H1218" s="25"/>
      <c r="I1218" s="35" t="str">
        <f aca="false">IF($H1218="","",IFERROR(INDEX(票据归类表,MATCH($H1218,票据类型表,0)),"现金无票"))</f>
        <v/>
      </c>
      <c r="J1218" s="25"/>
      <c r="K1218" s="25"/>
      <c r="L1218" s="31"/>
      <c r="M1218" s="29" t="str">
        <f aca="false">IF($C1218="","",YEAR($C1218))</f>
        <v/>
      </c>
      <c r="N1218" s="24"/>
      <c r="O1218" s="35" t="str">
        <f aca="false">IF($C1218="","",IF($D1218="","★没选客户项目",IF(COUNTIF(合同键,$D1218)=0,"★《维保合同》里没这个项目",IF(N($G1218)&lt;=0,"★收款金额要填",IF($H1218="","★票据类型要选",IF(AND($L1218&lt;&gt;"",COUNTIF(应收单号,$L1218)=0),"★关联的应收单号不存在",IF(AND($L1218&lt;&gt;"",IFERROR(INDEX(应收键,MATCH($L1218,应收单号,0)),"")&lt;&gt;$D1218),"★关联单号不是这个客户的",IF(AND($L1218&lt;&gt;"",ROUND(SUMIF(收款关联,$L1218,收款金额)-IFERROR(INDEX(应收金额,MATCH($L1218,应收单号,0)),0),2)&gt;0.001),"★指定冲销超过那张单的应收","OK"))))))))</f>
        <v/>
      </c>
    </row>
    <row r="1219" customFormat="false" ht="15" hidden="false" customHeight="false" outlineLevel="0" collapsed="false">
      <c r="A1219" s="29" t="str">
        <f aca="false">IF($C1219="","",ROW()-4)</f>
        <v/>
      </c>
      <c r="B1219" s="35" t="str">
        <f aca="false">IF($C1219="","","SK"&amp;TEXT($C1219,"yyyymm")&amp;"-"&amp;TEXT(ROW()-4,"0000"))</f>
        <v/>
      </c>
      <c r="C1219" s="33"/>
      <c r="D1219" s="24"/>
      <c r="E1219" s="30" t="str">
        <f aca="false">IF($D1219="","",IFERROR(INDEX(合同单位,MATCH($D1219,合同键,0)),IFERROR(TRIM(LEFT($D1219,FIND("｜",$D1219)-1)),$D1219)))</f>
        <v/>
      </c>
      <c r="F1219" s="30" t="str">
        <f aca="false">IF($D1219="","",IFERROR(INDEX(合同项目,MATCH($D1219,合同键,0)),IFERROR(TRIM(MID($D1219,FIND("｜",$D1219)+1,99)),"")))</f>
        <v/>
      </c>
      <c r="G1219" s="39"/>
      <c r="H1219" s="25"/>
      <c r="I1219" s="35" t="str">
        <f aca="false">IF($H1219="","",IFERROR(INDEX(票据归类表,MATCH($H1219,票据类型表,0)),"现金无票"))</f>
        <v/>
      </c>
      <c r="J1219" s="25"/>
      <c r="K1219" s="25"/>
      <c r="L1219" s="31"/>
      <c r="M1219" s="29" t="str">
        <f aca="false">IF($C1219="","",YEAR($C1219))</f>
        <v/>
      </c>
      <c r="N1219" s="24"/>
      <c r="O1219" s="35" t="str">
        <f aca="false">IF($C1219="","",IF($D1219="","★没选客户项目",IF(COUNTIF(合同键,$D1219)=0,"★《维保合同》里没这个项目",IF(N($G1219)&lt;=0,"★收款金额要填",IF($H1219="","★票据类型要选",IF(AND($L1219&lt;&gt;"",COUNTIF(应收单号,$L1219)=0),"★关联的应收单号不存在",IF(AND($L1219&lt;&gt;"",IFERROR(INDEX(应收键,MATCH($L1219,应收单号,0)),"")&lt;&gt;$D1219),"★关联单号不是这个客户的",IF(AND($L1219&lt;&gt;"",ROUND(SUMIF(收款关联,$L1219,收款金额)-IFERROR(INDEX(应收金额,MATCH($L1219,应收单号,0)),0),2)&gt;0.001),"★指定冲销超过那张单的应收","OK"))))))))</f>
        <v/>
      </c>
    </row>
    <row r="1220" customFormat="false" ht="15" hidden="false" customHeight="false" outlineLevel="0" collapsed="false">
      <c r="A1220" s="29" t="str">
        <f aca="false">IF($C1220="","",ROW()-4)</f>
        <v/>
      </c>
      <c r="B1220" s="35" t="str">
        <f aca="false">IF($C1220="","","SK"&amp;TEXT($C1220,"yyyymm")&amp;"-"&amp;TEXT(ROW()-4,"0000"))</f>
        <v/>
      </c>
      <c r="C1220" s="33"/>
      <c r="D1220" s="24"/>
      <c r="E1220" s="30" t="str">
        <f aca="false">IF($D1220="","",IFERROR(INDEX(合同单位,MATCH($D1220,合同键,0)),IFERROR(TRIM(LEFT($D1220,FIND("｜",$D1220)-1)),$D1220)))</f>
        <v/>
      </c>
      <c r="F1220" s="30" t="str">
        <f aca="false">IF($D1220="","",IFERROR(INDEX(合同项目,MATCH($D1220,合同键,0)),IFERROR(TRIM(MID($D1220,FIND("｜",$D1220)+1,99)),"")))</f>
        <v/>
      </c>
      <c r="G1220" s="39"/>
      <c r="H1220" s="25"/>
      <c r="I1220" s="35" t="str">
        <f aca="false">IF($H1220="","",IFERROR(INDEX(票据归类表,MATCH($H1220,票据类型表,0)),"现金无票"))</f>
        <v/>
      </c>
      <c r="J1220" s="25"/>
      <c r="K1220" s="25"/>
      <c r="L1220" s="31"/>
      <c r="M1220" s="29" t="str">
        <f aca="false">IF($C1220="","",YEAR($C1220))</f>
        <v/>
      </c>
      <c r="N1220" s="24"/>
      <c r="O1220" s="35" t="str">
        <f aca="false">IF($C1220="","",IF($D1220="","★没选客户项目",IF(COUNTIF(合同键,$D1220)=0,"★《维保合同》里没这个项目",IF(N($G1220)&lt;=0,"★收款金额要填",IF($H1220="","★票据类型要选",IF(AND($L1220&lt;&gt;"",COUNTIF(应收单号,$L1220)=0),"★关联的应收单号不存在",IF(AND($L1220&lt;&gt;"",IFERROR(INDEX(应收键,MATCH($L1220,应收单号,0)),"")&lt;&gt;$D1220),"★关联单号不是这个客户的",IF(AND($L1220&lt;&gt;"",ROUND(SUMIF(收款关联,$L1220,收款金额)-IFERROR(INDEX(应收金额,MATCH($L1220,应收单号,0)),0),2)&gt;0.001),"★指定冲销超过那张单的应收","OK"))))))))</f>
        <v/>
      </c>
    </row>
    <row r="1221" customFormat="false" ht="15" hidden="false" customHeight="false" outlineLevel="0" collapsed="false">
      <c r="A1221" s="29" t="str">
        <f aca="false">IF($C1221="","",ROW()-4)</f>
        <v/>
      </c>
      <c r="B1221" s="35" t="str">
        <f aca="false">IF($C1221="","","SK"&amp;TEXT($C1221,"yyyymm")&amp;"-"&amp;TEXT(ROW()-4,"0000"))</f>
        <v/>
      </c>
      <c r="C1221" s="33"/>
      <c r="D1221" s="24"/>
      <c r="E1221" s="30" t="str">
        <f aca="false">IF($D1221="","",IFERROR(INDEX(合同单位,MATCH($D1221,合同键,0)),IFERROR(TRIM(LEFT($D1221,FIND("｜",$D1221)-1)),$D1221)))</f>
        <v/>
      </c>
      <c r="F1221" s="30" t="str">
        <f aca="false">IF($D1221="","",IFERROR(INDEX(合同项目,MATCH($D1221,合同键,0)),IFERROR(TRIM(MID($D1221,FIND("｜",$D1221)+1,99)),"")))</f>
        <v/>
      </c>
      <c r="G1221" s="39"/>
      <c r="H1221" s="25"/>
      <c r="I1221" s="35" t="str">
        <f aca="false">IF($H1221="","",IFERROR(INDEX(票据归类表,MATCH($H1221,票据类型表,0)),"现金无票"))</f>
        <v/>
      </c>
      <c r="J1221" s="25"/>
      <c r="K1221" s="25"/>
      <c r="L1221" s="31"/>
      <c r="M1221" s="29" t="str">
        <f aca="false">IF($C1221="","",YEAR($C1221))</f>
        <v/>
      </c>
      <c r="N1221" s="24"/>
      <c r="O1221" s="35" t="str">
        <f aca="false">IF($C1221="","",IF($D1221="","★没选客户项目",IF(COUNTIF(合同键,$D1221)=0,"★《维保合同》里没这个项目",IF(N($G1221)&lt;=0,"★收款金额要填",IF($H1221="","★票据类型要选",IF(AND($L1221&lt;&gt;"",COUNTIF(应收单号,$L1221)=0),"★关联的应收单号不存在",IF(AND($L1221&lt;&gt;"",IFERROR(INDEX(应收键,MATCH($L1221,应收单号,0)),"")&lt;&gt;$D1221),"★关联单号不是这个客户的",IF(AND($L1221&lt;&gt;"",ROUND(SUMIF(收款关联,$L1221,收款金额)-IFERROR(INDEX(应收金额,MATCH($L1221,应收单号,0)),0),2)&gt;0.001),"★指定冲销超过那张单的应收","OK"))))))))</f>
        <v/>
      </c>
    </row>
    <row r="1222" customFormat="false" ht="15" hidden="false" customHeight="false" outlineLevel="0" collapsed="false">
      <c r="A1222" s="29" t="str">
        <f aca="false">IF($C1222="","",ROW()-4)</f>
        <v/>
      </c>
      <c r="B1222" s="35" t="str">
        <f aca="false">IF($C1222="","","SK"&amp;TEXT($C1222,"yyyymm")&amp;"-"&amp;TEXT(ROW()-4,"0000"))</f>
        <v/>
      </c>
      <c r="C1222" s="33"/>
      <c r="D1222" s="24"/>
      <c r="E1222" s="30" t="str">
        <f aca="false">IF($D1222="","",IFERROR(INDEX(合同单位,MATCH($D1222,合同键,0)),IFERROR(TRIM(LEFT($D1222,FIND("｜",$D1222)-1)),$D1222)))</f>
        <v/>
      </c>
      <c r="F1222" s="30" t="str">
        <f aca="false">IF($D1222="","",IFERROR(INDEX(合同项目,MATCH($D1222,合同键,0)),IFERROR(TRIM(MID($D1222,FIND("｜",$D1222)+1,99)),"")))</f>
        <v/>
      </c>
      <c r="G1222" s="39"/>
      <c r="H1222" s="25"/>
      <c r="I1222" s="35" t="str">
        <f aca="false">IF($H1222="","",IFERROR(INDEX(票据归类表,MATCH($H1222,票据类型表,0)),"现金无票"))</f>
        <v/>
      </c>
      <c r="J1222" s="25"/>
      <c r="K1222" s="25"/>
      <c r="L1222" s="31"/>
      <c r="M1222" s="29" t="str">
        <f aca="false">IF($C1222="","",YEAR($C1222))</f>
        <v/>
      </c>
      <c r="N1222" s="24"/>
      <c r="O1222" s="35" t="str">
        <f aca="false">IF($C1222="","",IF($D1222="","★没选客户项目",IF(COUNTIF(合同键,$D1222)=0,"★《维保合同》里没这个项目",IF(N($G1222)&lt;=0,"★收款金额要填",IF($H1222="","★票据类型要选",IF(AND($L1222&lt;&gt;"",COUNTIF(应收单号,$L1222)=0),"★关联的应收单号不存在",IF(AND($L1222&lt;&gt;"",IFERROR(INDEX(应收键,MATCH($L1222,应收单号,0)),"")&lt;&gt;$D1222),"★关联单号不是这个客户的",IF(AND($L1222&lt;&gt;"",ROUND(SUMIF(收款关联,$L1222,收款金额)-IFERROR(INDEX(应收金额,MATCH($L1222,应收单号,0)),0),2)&gt;0.001),"★指定冲销超过那张单的应收","OK"))))))))</f>
        <v/>
      </c>
    </row>
    <row r="1223" customFormat="false" ht="15" hidden="false" customHeight="false" outlineLevel="0" collapsed="false">
      <c r="A1223" s="29" t="str">
        <f aca="false">IF($C1223="","",ROW()-4)</f>
        <v/>
      </c>
      <c r="B1223" s="35" t="str">
        <f aca="false">IF($C1223="","","SK"&amp;TEXT($C1223,"yyyymm")&amp;"-"&amp;TEXT(ROW()-4,"0000"))</f>
        <v/>
      </c>
      <c r="C1223" s="33"/>
      <c r="D1223" s="24"/>
      <c r="E1223" s="30" t="str">
        <f aca="false">IF($D1223="","",IFERROR(INDEX(合同单位,MATCH($D1223,合同键,0)),IFERROR(TRIM(LEFT($D1223,FIND("｜",$D1223)-1)),$D1223)))</f>
        <v/>
      </c>
      <c r="F1223" s="30" t="str">
        <f aca="false">IF($D1223="","",IFERROR(INDEX(合同项目,MATCH($D1223,合同键,0)),IFERROR(TRIM(MID($D1223,FIND("｜",$D1223)+1,99)),"")))</f>
        <v/>
      </c>
      <c r="G1223" s="39"/>
      <c r="H1223" s="25"/>
      <c r="I1223" s="35" t="str">
        <f aca="false">IF($H1223="","",IFERROR(INDEX(票据归类表,MATCH($H1223,票据类型表,0)),"现金无票"))</f>
        <v/>
      </c>
      <c r="J1223" s="25"/>
      <c r="K1223" s="25"/>
      <c r="L1223" s="31"/>
      <c r="M1223" s="29" t="str">
        <f aca="false">IF($C1223="","",YEAR($C1223))</f>
        <v/>
      </c>
      <c r="N1223" s="24"/>
      <c r="O1223" s="35" t="str">
        <f aca="false">IF($C1223="","",IF($D1223="","★没选客户项目",IF(COUNTIF(合同键,$D1223)=0,"★《维保合同》里没这个项目",IF(N($G1223)&lt;=0,"★收款金额要填",IF($H1223="","★票据类型要选",IF(AND($L1223&lt;&gt;"",COUNTIF(应收单号,$L1223)=0),"★关联的应收单号不存在",IF(AND($L1223&lt;&gt;"",IFERROR(INDEX(应收键,MATCH($L1223,应收单号,0)),"")&lt;&gt;$D1223),"★关联单号不是这个客户的",IF(AND($L1223&lt;&gt;"",ROUND(SUMIF(收款关联,$L1223,收款金额)-IFERROR(INDEX(应收金额,MATCH($L1223,应收单号,0)),0),2)&gt;0.001),"★指定冲销超过那张单的应收","OK"))))))))</f>
        <v/>
      </c>
    </row>
    <row r="1224" customFormat="false" ht="15" hidden="false" customHeight="false" outlineLevel="0" collapsed="false">
      <c r="A1224" s="29" t="str">
        <f aca="false">IF($C1224="","",ROW()-4)</f>
        <v/>
      </c>
      <c r="B1224" s="35" t="str">
        <f aca="false">IF($C1224="","","SK"&amp;TEXT($C1224,"yyyymm")&amp;"-"&amp;TEXT(ROW()-4,"0000"))</f>
        <v/>
      </c>
      <c r="C1224" s="33"/>
      <c r="D1224" s="24"/>
      <c r="E1224" s="30" t="str">
        <f aca="false">IF($D1224="","",IFERROR(INDEX(合同单位,MATCH($D1224,合同键,0)),IFERROR(TRIM(LEFT($D1224,FIND("｜",$D1224)-1)),$D1224)))</f>
        <v/>
      </c>
      <c r="F1224" s="30" t="str">
        <f aca="false">IF($D1224="","",IFERROR(INDEX(合同项目,MATCH($D1224,合同键,0)),IFERROR(TRIM(MID($D1224,FIND("｜",$D1224)+1,99)),"")))</f>
        <v/>
      </c>
      <c r="G1224" s="39"/>
      <c r="H1224" s="25"/>
      <c r="I1224" s="35" t="str">
        <f aca="false">IF($H1224="","",IFERROR(INDEX(票据归类表,MATCH($H1224,票据类型表,0)),"现金无票"))</f>
        <v/>
      </c>
      <c r="J1224" s="25"/>
      <c r="K1224" s="25"/>
      <c r="L1224" s="31"/>
      <c r="M1224" s="29" t="str">
        <f aca="false">IF($C1224="","",YEAR($C1224))</f>
        <v/>
      </c>
      <c r="N1224" s="24"/>
      <c r="O1224" s="35" t="str">
        <f aca="false">IF($C1224="","",IF($D1224="","★没选客户项目",IF(COUNTIF(合同键,$D1224)=0,"★《维保合同》里没这个项目",IF(N($G1224)&lt;=0,"★收款金额要填",IF($H1224="","★票据类型要选",IF(AND($L1224&lt;&gt;"",COUNTIF(应收单号,$L1224)=0),"★关联的应收单号不存在",IF(AND($L1224&lt;&gt;"",IFERROR(INDEX(应收键,MATCH($L1224,应收单号,0)),"")&lt;&gt;$D1224),"★关联单号不是这个客户的",IF(AND($L1224&lt;&gt;"",ROUND(SUMIF(收款关联,$L1224,收款金额)-IFERROR(INDEX(应收金额,MATCH($L1224,应收单号,0)),0),2)&gt;0.001),"★指定冲销超过那张单的应收","OK"))))))))</f>
        <v/>
      </c>
    </row>
    <row r="1225" customFormat="false" ht="15" hidden="false" customHeight="false" outlineLevel="0" collapsed="false">
      <c r="A1225" s="29" t="str">
        <f aca="false">IF($C1225="","",ROW()-4)</f>
        <v/>
      </c>
      <c r="B1225" s="35" t="str">
        <f aca="false">IF($C1225="","","SK"&amp;TEXT($C1225,"yyyymm")&amp;"-"&amp;TEXT(ROW()-4,"0000"))</f>
        <v/>
      </c>
      <c r="C1225" s="33"/>
      <c r="D1225" s="24"/>
      <c r="E1225" s="30" t="str">
        <f aca="false">IF($D1225="","",IFERROR(INDEX(合同单位,MATCH($D1225,合同键,0)),IFERROR(TRIM(LEFT($D1225,FIND("｜",$D1225)-1)),$D1225)))</f>
        <v/>
      </c>
      <c r="F1225" s="30" t="str">
        <f aca="false">IF($D1225="","",IFERROR(INDEX(合同项目,MATCH($D1225,合同键,0)),IFERROR(TRIM(MID($D1225,FIND("｜",$D1225)+1,99)),"")))</f>
        <v/>
      </c>
      <c r="G1225" s="39"/>
      <c r="H1225" s="25"/>
      <c r="I1225" s="35" t="str">
        <f aca="false">IF($H1225="","",IFERROR(INDEX(票据归类表,MATCH($H1225,票据类型表,0)),"现金无票"))</f>
        <v/>
      </c>
      <c r="J1225" s="25"/>
      <c r="K1225" s="25"/>
      <c r="L1225" s="31"/>
      <c r="M1225" s="29" t="str">
        <f aca="false">IF($C1225="","",YEAR($C1225))</f>
        <v/>
      </c>
      <c r="N1225" s="24"/>
      <c r="O1225" s="35" t="str">
        <f aca="false">IF($C1225="","",IF($D1225="","★没选客户项目",IF(COUNTIF(合同键,$D1225)=0,"★《维保合同》里没这个项目",IF(N($G1225)&lt;=0,"★收款金额要填",IF($H1225="","★票据类型要选",IF(AND($L1225&lt;&gt;"",COUNTIF(应收单号,$L1225)=0),"★关联的应收单号不存在",IF(AND($L1225&lt;&gt;"",IFERROR(INDEX(应收键,MATCH($L1225,应收单号,0)),"")&lt;&gt;$D1225),"★关联单号不是这个客户的",IF(AND($L1225&lt;&gt;"",ROUND(SUMIF(收款关联,$L1225,收款金额)-IFERROR(INDEX(应收金额,MATCH($L1225,应收单号,0)),0),2)&gt;0.001),"★指定冲销超过那张单的应收","OK"))))))))</f>
        <v/>
      </c>
    </row>
    <row r="1226" customFormat="false" ht="15" hidden="false" customHeight="false" outlineLevel="0" collapsed="false">
      <c r="A1226" s="29" t="str">
        <f aca="false">IF($C1226="","",ROW()-4)</f>
        <v/>
      </c>
      <c r="B1226" s="35" t="str">
        <f aca="false">IF($C1226="","","SK"&amp;TEXT($C1226,"yyyymm")&amp;"-"&amp;TEXT(ROW()-4,"0000"))</f>
        <v/>
      </c>
      <c r="C1226" s="33"/>
      <c r="D1226" s="24"/>
      <c r="E1226" s="30" t="str">
        <f aca="false">IF($D1226="","",IFERROR(INDEX(合同单位,MATCH($D1226,合同键,0)),IFERROR(TRIM(LEFT($D1226,FIND("｜",$D1226)-1)),$D1226)))</f>
        <v/>
      </c>
      <c r="F1226" s="30" t="str">
        <f aca="false">IF($D1226="","",IFERROR(INDEX(合同项目,MATCH($D1226,合同键,0)),IFERROR(TRIM(MID($D1226,FIND("｜",$D1226)+1,99)),"")))</f>
        <v/>
      </c>
      <c r="G1226" s="39"/>
      <c r="H1226" s="25"/>
      <c r="I1226" s="35" t="str">
        <f aca="false">IF($H1226="","",IFERROR(INDEX(票据归类表,MATCH($H1226,票据类型表,0)),"现金无票"))</f>
        <v/>
      </c>
      <c r="J1226" s="25"/>
      <c r="K1226" s="25"/>
      <c r="L1226" s="31"/>
      <c r="M1226" s="29" t="str">
        <f aca="false">IF($C1226="","",YEAR($C1226))</f>
        <v/>
      </c>
      <c r="N1226" s="24"/>
      <c r="O1226" s="35" t="str">
        <f aca="false">IF($C1226="","",IF($D1226="","★没选客户项目",IF(COUNTIF(合同键,$D1226)=0,"★《维保合同》里没这个项目",IF(N($G1226)&lt;=0,"★收款金额要填",IF($H1226="","★票据类型要选",IF(AND($L1226&lt;&gt;"",COUNTIF(应收单号,$L1226)=0),"★关联的应收单号不存在",IF(AND($L1226&lt;&gt;"",IFERROR(INDEX(应收键,MATCH($L1226,应收单号,0)),"")&lt;&gt;$D1226),"★关联单号不是这个客户的",IF(AND($L1226&lt;&gt;"",ROUND(SUMIF(收款关联,$L1226,收款金额)-IFERROR(INDEX(应收金额,MATCH($L1226,应收单号,0)),0),2)&gt;0.001),"★指定冲销超过那张单的应收","OK"))))))))</f>
        <v/>
      </c>
    </row>
    <row r="1227" customFormat="false" ht="15" hidden="false" customHeight="false" outlineLevel="0" collapsed="false">
      <c r="A1227" s="29" t="str">
        <f aca="false">IF($C1227="","",ROW()-4)</f>
        <v/>
      </c>
      <c r="B1227" s="35" t="str">
        <f aca="false">IF($C1227="","","SK"&amp;TEXT($C1227,"yyyymm")&amp;"-"&amp;TEXT(ROW()-4,"0000"))</f>
        <v/>
      </c>
      <c r="C1227" s="33"/>
      <c r="D1227" s="24"/>
      <c r="E1227" s="30" t="str">
        <f aca="false">IF($D1227="","",IFERROR(INDEX(合同单位,MATCH($D1227,合同键,0)),IFERROR(TRIM(LEFT($D1227,FIND("｜",$D1227)-1)),$D1227)))</f>
        <v/>
      </c>
      <c r="F1227" s="30" t="str">
        <f aca="false">IF($D1227="","",IFERROR(INDEX(合同项目,MATCH($D1227,合同键,0)),IFERROR(TRIM(MID($D1227,FIND("｜",$D1227)+1,99)),"")))</f>
        <v/>
      </c>
      <c r="G1227" s="39"/>
      <c r="H1227" s="25"/>
      <c r="I1227" s="35" t="str">
        <f aca="false">IF($H1227="","",IFERROR(INDEX(票据归类表,MATCH($H1227,票据类型表,0)),"现金无票"))</f>
        <v/>
      </c>
      <c r="J1227" s="25"/>
      <c r="K1227" s="25"/>
      <c r="L1227" s="31"/>
      <c r="M1227" s="29" t="str">
        <f aca="false">IF($C1227="","",YEAR($C1227))</f>
        <v/>
      </c>
      <c r="N1227" s="24"/>
      <c r="O1227" s="35" t="str">
        <f aca="false">IF($C1227="","",IF($D1227="","★没选客户项目",IF(COUNTIF(合同键,$D1227)=0,"★《维保合同》里没这个项目",IF(N($G1227)&lt;=0,"★收款金额要填",IF($H1227="","★票据类型要选",IF(AND($L1227&lt;&gt;"",COUNTIF(应收单号,$L1227)=0),"★关联的应收单号不存在",IF(AND($L1227&lt;&gt;"",IFERROR(INDEX(应收键,MATCH($L1227,应收单号,0)),"")&lt;&gt;$D1227),"★关联单号不是这个客户的",IF(AND($L1227&lt;&gt;"",ROUND(SUMIF(收款关联,$L1227,收款金额)-IFERROR(INDEX(应收金额,MATCH($L1227,应收单号,0)),0),2)&gt;0.001),"★指定冲销超过那张单的应收","OK"))))))))</f>
        <v/>
      </c>
    </row>
    <row r="1228" customFormat="false" ht="15" hidden="false" customHeight="false" outlineLevel="0" collapsed="false">
      <c r="A1228" s="29" t="str">
        <f aca="false">IF($C1228="","",ROW()-4)</f>
        <v/>
      </c>
      <c r="B1228" s="35" t="str">
        <f aca="false">IF($C1228="","","SK"&amp;TEXT($C1228,"yyyymm")&amp;"-"&amp;TEXT(ROW()-4,"0000"))</f>
        <v/>
      </c>
      <c r="C1228" s="33"/>
      <c r="D1228" s="24"/>
      <c r="E1228" s="30" t="str">
        <f aca="false">IF($D1228="","",IFERROR(INDEX(合同单位,MATCH($D1228,合同键,0)),IFERROR(TRIM(LEFT($D1228,FIND("｜",$D1228)-1)),$D1228)))</f>
        <v/>
      </c>
      <c r="F1228" s="30" t="str">
        <f aca="false">IF($D1228="","",IFERROR(INDEX(合同项目,MATCH($D1228,合同键,0)),IFERROR(TRIM(MID($D1228,FIND("｜",$D1228)+1,99)),"")))</f>
        <v/>
      </c>
      <c r="G1228" s="39"/>
      <c r="H1228" s="25"/>
      <c r="I1228" s="35" t="str">
        <f aca="false">IF($H1228="","",IFERROR(INDEX(票据归类表,MATCH($H1228,票据类型表,0)),"现金无票"))</f>
        <v/>
      </c>
      <c r="J1228" s="25"/>
      <c r="K1228" s="25"/>
      <c r="L1228" s="31"/>
      <c r="M1228" s="29" t="str">
        <f aca="false">IF($C1228="","",YEAR($C1228))</f>
        <v/>
      </c>
      <c r="N1228" s="24"/>
      <c r="O1228" s="35" t="str">
        <f aca="false">IF($C1228="","",IF($D1228="","★没选客户项目",IF(COUNTIF(合同键,$D1228)=0,"★《维保合同》里没这个项目",IF(N($G1228)&lt;=0,"★收款金额要填",IF($H1228="","★票据类型要选",IF(AND($L1228&lt;&gt;"",COUNTIF(应收单号,$L1228)=0),"★关联的应收单号不存在",IF(AND($L1228&lt;&gt;"",IFERROR(INDEX(应收键,MATCH($L1228,应收单号,0)),"")&lt;&gt;$D1228),"★关联单号不是这个客户的",IF(AND($L1228&lt;&gt;"",ROUND(SUMIF(收款关联,$L1228,收款金额)-IFERROR(INDEX(应收金额,MATCH($L1228,应收单号,0)),0),2)&gt;0.001),"★指定冲销超过那张单的应收","OK"))))))))</f>
        <v/>
      </c>
    </row>
    <row r="1229" customFormat="false" ht="15" hidden="false" customHeight="false" outlineLevel="0" collapsed="false">
      <c r="A1229" s="29" t="str">
        <f aca="false">IF($C1229="","",ROW()-4)</f>
        <v/>
      </c>
      <c r="B1229" s="35" t="str">
        <f aca="false">IF($C1229="","","SK"&amp;TEXT($C1229,"yyyymm")&amp;"-"&amp;TEXT(ROW()-4,"0000"))</f>
        <v/>
      </c>
      <c r="C1229" s="33"/>
      <c r="D1229" s="24"/>
      <c r="E1229" s="30" t="str">
        <f aca="false">IF($D1229="","",IFERROR(INDEX(合同单位,MATCH($D1229,合同键,0)),IFERROR(TRIM(LEFT($D1229,FIND("｜",$D1229)-1)),$D1229)))</f>
        <v/>
      </c>
      <c r="F1229" s="30" t="str">
        <f aca="false">IF($D1229="","",IFERROR(INDEX(合同项目,MATCH($D1229,合同键,0)),IFERROR(TRIM(MID($D1229,FIND("｜",$D1229)+1,99)),"")))</f>
        <v/>
      </c>
      <c r="G1229" s="39"/>
      <c r="H1229" s="25"/>
      <c r="I1229" s="35" t="str">
        <f aca="false">IF($H1229="","",IFERROR(INDEX(票据归类表,MATCH($H1229,票据类型表,0)),"现金无票"))</f>
        <v/>
      </c>
      <c r="J1229" s="25"/>
      <c r="K1229" s="25"/>
      <c r="L1229" s="31"/>
      <c r="M1229" s="29" t="str">
        <f aca="false">IF($C1229="","",YEAR($C1229))</f>
        <v/>
      </c>
      <c r="N1229" s="24"/>
      <c r="O1229" s="35" t="str">
        <f aca="false">IF($C1229="","",IF($D1229="","★没选客户项目",IF(COUNTIF(合同键,$D1229)=0,"★《维保合同》里没这个项目",IF(N($G1229)&lt;=0,"★收款金额要填",IF($H1229="","★票据类型要选",IF(AND($L1229&lt;&gt;"",COUNTIF(应收单号,$L1229)=0),"★关联的应收单号不存在",IF(AND($L1229&lt;&gt;"",IFERROR(INDEX(应收键,MATCH($L1229,应收单号,0)),"")&lt;&gt;$D1229),"★关联单号不是这个客户的",IF(AND($L1229&lt;&gt;"",ROUND(SUMIF(收款关联,$L1229,收款金额)-IFERROR(INDEX(应收金额,MATCH($L1229,应收单号,0)),0),2)&gt;0.001),"★指定冲销超过那张单的应收","OK"))))))))</f>
        <v/>
      </c>
    </row>
    <row r="1230" customFormat="false" ht="15" hidden="false" customHeight="false" outlineLevel="0" collapsed="false">
      <c r="A1230" s="29" t="str">
        <f aca="false">IF($C1230="","",ROW()-4)</f>
        <v/>
      </c>
      <c r="B1230" s="35" t="str">
        <f aca="false">IF($C1230="","","SK"&amp;TEXT($C1230,"yyyymm")&amp;"-"&amp;TEXT(ROW()-4,"0000"))</f>
        <v/>
      </c>
      <c r="C1230" s="33"/>
      <c r="D1230" s="24"/>
      <c r="E1230" s="30" t="str">
        <f aca="false">IF($D1230="","",IFERROR(INDEX(合同单位,MATCH($D1230,合同键,0)),IFERROR(TRIM(LEFT($D1230,FIND("｜",$D1230)-1)),$D1230)))</f>
        <v/>
      </c>
      <c r="F1230" s="30" t="str">
        <f aca="false">IF($D1230="","",IFERROR(INDEX(合同项目,MATCH($D1230,合同键,0)),IFERROR(TRIM(MID($D1230,FIND("｜",$D1230)+1,99)),"")))</f>
        <v/>
      </c>
      <c r="G1230" s="39"/>
      <c r="H1230" s="25"/>
      <c r="I1230" s="35" t="str">
        <f aca="false">IF($H1230="","",IFERROR(INDEX(票据归类表,MATCH($H1230,票据类型表,0)),"现金无票"))</f>
        <v/>
      </c>
      <c r="J1230" s="25"/>
      <c r="K1230" s="25"/>
      <c r="L1230" s="31"/>
      <c r="M1230" s="29" t="str">
        <f aca="false">IF($C1230="","",YEAR($C1230))</f>
        <v/>
      </c>
      <c r="N1230" s="24"/>
      <c r="O1230" s="35" t="str">
        <f aca="false">IF($C1230="","",IF($D1230="","★没选客户项目",IF(COUNTIF(合同键,$D1230)=0,"★《维保合同》里没这个项目",IF(N($G1230)&lt;=0,"★收款金额要填",IF($H1230="","★票据类型要选",IF(AND($L1230&lt;&gt;"",COUNTIF(应收单号,$L1230)=0),"★关联的应收单号不存在",IF(AND($L1230&lt;&gt;"",IFERROR(INDEX(应收键,MATCH($L1230,应收单号,0)),"")&lt;&gt;$D1230),"★关联单号不是这个客户的",IF(AND($L1230&lt;&gt;"",ROUND(SUMIF(收款关联,$L1230,收款金额)-IFERROR(INDEX(应收金额,MATCH($L1230,应收单号,0)),0),2)&gt;0.001),"★指定冲销超过那张单的应收","OK"))))))))</f>
        <v/>
      </c>
    </row>
    <row r="1231" customFormat="false" ht="15" hidden="false" customHeight="false" outlineLevel="0" collapsed="false">
      <c r="A1231" s="29" t="str">
        <f aca="false">IF($C1231="","",ROW()-4)</f>
        <v/>
      </c>
      <c r="B1231" s="35" t="str">
        <f aca="false">IF($C1231="","","SK"&amp;TEXT($C1231,"yyyymm")&amp;"-"&amp;TEXT(ROW()-4,"0000"))</f>
        <v/>
      </c>
      <c r="C1231" s="33"/>
      <c r="D1231" s="24"/>
      <c r="E1231" s="30" t="str">
        <f aca="false">IF($D1231="","",IFERROR(INDEX(合同单位,MATCH($D1231,合同键,0)),IFERROR(TRIM(LEFT($D1231,FIND("｜",$D1231)-1)),$D1231)))</f>
        <v/>
      </c>
      <c r="F1231" s="30" t="str">
        <f aca="false">IF($D1231="","",IFERROR(INDEX(合同项目,MATCH($D1231,合同键,0)),IFERROR(TRIM(MID($D1231,FIND("｜",$D1231)+1,99)),"")))</f>
        <v/>
      </c>
      <c r="G1231" s="39"/>
      <c r="H1231" s="25"/>
      <c r="I1231" s="35" t="str">
        <f aca="false">IF($H1231="","",IFERROR(INDEX(票据归类表,MATCH($H1231,票据类型表,0)),"现金无票"))</f>
        <v/>
      </c>
      <c r="J1231" s="25"/>
      <c r="K1231" s="25"/>
      <c r="L1231" s="31"/>
      <c r="M1231" s="29" t="str">
        <f aca="false">IF($C1231="","",YEAR($C1231))</f>
        <v/>
      </c>
      <c r="N1231" s="24"/>
      <c r="O1231" s="35" t="str">
        <f aca="false">IF($C1231="","",IF($D1231="","★没选客户项目",IF(COUNTIF(合同键,$D1231)=0,"★《维保合同》里没这个项目",IF(N($G1231)&lt;=0,"★收款金额要填",IF($H1231="","★票据类型要选",IF(AND($L1231&lt;&gt;"",COUNTIF(应收单号,$L1231)=0),"★关联的应收单号不存在",IF(AND($L1231&lt;&gt;"",IFERROR(INDEX(应收键,MATCH($L1231,应收单号,0)),"")&lt;&gt;$D1231),"★关联单号不是这个客户的",IF(AND($L1231&lt;&gt;"",ROUND(SUMIF(收款关联,$L1231,收款金额)-IFERROR(INDEX(应收金额,MATCH($L1231,应收单号,0)),0),2)&gt;0.001),"★指定冲销超过那张单的应收","OK"))))))))</f>
        <v/>
      </c>
    </row>
    <row r="1232" customFormat="false" ht="15" hidden="false" customHeight="false" outlineLevel="0" collapsed="false">
      <c r="A1232" s="29" t="str">
        <f aca="false">IF($C1232="","",ROW()-4)</f>
        <v/>
      </c>
      <c r="B1232" s="35" t="str">
        <f aca="false">IF($C1232="","","SK"&amp;TEXT($C1232,"yyyymm")&amp;"-"&amp;TEXT(ROW()-4,"0000"))</f>
        <v/>
      </c>
      <c r="C1232" s="33"/>
      <c r="D1232" s="24"/>
      <c r="E1232" s="30" t="str">
        <f aca="false">IF($D1232="","",IFERROR(INDEX(合同单位,MATCH($D1232,合同键,0)),IFERROR(TRIM(LEFT($D1232,FIND("｜",$D1232)-1)),$D1232)))</f>
        <v/>
      </c>
      <c r="F1232" s="30" t="str">
        <f aca="false">IF($D1232="","",IFERROR(INDEX(合同项目,MATCH($D1232,合同键,0)),IFERROR(TRIM(MID($D1232,FIND("｜",$D1232)+1,99)),"")))</f>
        <v/>
      </c>
      <c r="G1232" s="39"/>
      <c r="H1232" s="25"/>
      <c r="I1232" s="35" t="str">
        <f aca="false">IF($H1232="","",IFERROR(INDEX(票据归类表,MATCH($H1232,票据类型表,0)),"现金无票"))</f>
        <v/>
      </c>
      <c r="J1232" s="25"/>
      <c r="K1232" s="25"/>
      <c r="L1232" s="31"/>
      <c r="M1232" s="29" t="str">
        <f aca="false">IF($C1232="","",YEAR($C1232))</f>
        <v/>
      </c>
      <c r="N1232" s="24"/>
      <c r="O1232" s="35" t="str">
        <f aca="false">IF($C1232="","",IF($D1232="","★没选客户项目",IF(COUNTIF(合同键,$D1232)=0,"★《维保合同》里没这个项目",IF(N($G1232)&lt;=0,"★收款金额要填",IF($H1232="","★票据类型要选",IF(AND($L1232&lt;&gt;"",COUNTIF(应收单号,$L1232)=0),"★关联的应收单号不存在",IF(AND($L1232&lt;&gt;"",IFERROR(INDEX(应收键,MATCH($L1232,应收单号,0)),"")&lt;&gt;$D1232),"★关联单号不是这个客户的",IF(AND($L1232&lt;&gt;"",ROUND(SUMIF(收款关联,$L1232,收款金额)-IFERROR(INDEX(应收金额,MATCH($L1232,应收单号,0)),0),2)&gt;0.001),"★指定冲销超过那张单的应收","OK"))))))))</f>
        <v/>
      </c>
    </row>
    <row r="1233" customFormat="false" ht="15" hidden="false" customHeight="false" outlineLevel="0" collapsed="false">
      <c r="A1233" s="29" t="str">
        <f aca="false">IF($C1233="","",ROW()-4)</f>
        <v/>
      </c>
      <c r="B1233" s="35" t="str">
        <f aca="false">IF($C1233="","","SK"&amp;TEXT($C1233,"yyyymm")&amp;"-"&amp;TEXT(ROW()-4,"0000"))</f>
        <v/>
      </c>
      <c r="C1233" s="33"/>
      <c r="D1233" s="24"/>
      <c r="E1233" s="30" t="str">
        <f aca="false">IF($D1233="","",IFERROR(INDEX(合同单位,MATCH($D1233,合同键,0)),IFERROR(TRIM(LEFT($D1233,FIND("｜",$D1233)-1)),$D1233)))</f>
        <v/>
      </c>
      <c r="F1233" s="30" t="str">
        <f aca="false">IF($D1233="","",IFERROR(INDEX(合同项目,MATCH($D1233,合同键,0)),IFERROR(TRIM(MID($D1233,FIND("｜",$D1233)+1,99)),"")))</f>
        <v/>
      </c>
      <c r="G1233" s="39"/>
      <c r="H1233" s="25"/>
      <c r="I1233" s="35" t="str">
        <f aca="false">IF($H1233="","",IFERROR(INDEX(票据归类表,MATCH($H1233,票据类型表,0)),"现金无票"))</f>
        <v/>
      </c>
      <c r="J1233" s="25"/>
      <c r="K1233" s="25"/>
      <c r="L1233" s="31"/>
      <c r="M1233" s="29" t="str">
        <f aca="false">IF($C1233="","",YEAR($C1233))</f>
        <v/>
      </c>
      <c r="N1233" s="24"/>
      <c r="O1233" s="35" t="str">
        <f aca="false">IF($C1233="","",IF($D1233="","★没选客户项目",IF(COUNTIF(合同键,$D1233)=0,"★《维保合同》里没这个项目",IF(N($G1233)&lt;=0,"★收款金额要填",IF($H1233="","★票据类型要选",IF(AND($L1233&lt;&gt;"",COUNTIF(应收单号,$L1233)=0),"★关联的应收单号不存在",IF(AND($L1233&lt;&gt;"",IFERROR(INDEX(应收键,MATCH($L1233,应收单号,0)),"")&lt;&gt;$D1233),"★关联单号不是这个客户的",IF(AND($L1233&lt;&gt;"",ROUND(SUMIF(收款关联,$L1233,收款金额)-IFERROR(INDEX(应收金额,MATCH($L1233,应收单号,0)),0),2)&gt;0.001),"★指定冲销超过那张单的应收","OK"))))))))</f>
        <v/>
      </c>
    </row>
    <row r="1234" customFormat="false" ht="15" hidden="false" customHeight="false" outlineLevel="0" collapsed="false">
      <c r="A1234" s="29" t="str">
        <f aca="false">IF($C1234="","",ROW()-4)</f>
        <v/>
      </c>
      <c r="B1234" s="35" t="str">
        <f aca="false">IF($C1234="","","SK"&amp;TEXT($C1234,"yyyymm")&amp;"-"&amp;TEXT(ROW()-4,"0000"))</f>
        <v/>
      </c>
      <c r="C1234" s="33"/>
      <c r="D1234" s="24"/>
      <c r="E1234" s="30" t="str">
        <f aca="false">IF($D1234="","",IFERROR(INDEX(合同单位,MATCH($D1234,合同键,0)),IFERROR(TRIM(LEFT($D1234,FIND("｜",$D1234)-1)),$D1234)))</f>
        <v/>
      </c>
      <c r="F1234" s="30" t="str">
        <f aca="false">IF($D1234="","",IFERROR(INDEX(合同项目,MATCH($D1234,合同键,0)),IFERROR(TRIM(MID($D1234,FIND("｜",$D1234)+1,99)),"")))</f>
        <v/>
      </c>
      <c r="G1234" s="39"/>
      <c r="H1234" s="25"/>
      <c r="I1234" s="35" t="str">
        <f aca="false">IF($H1234="","",IFERROR(INDEX(票据归类表,MATCH($H1234,票据类型表,0)),"现金无票"))</f>
        <v/>
      </c>
      <c r="J1234" s="25"/>
      <c r="K1234" s="25"/>
      <c r="L1234" s="31"/>
      <c r="M1234" s="29" t="str">
        <f aca="false">IF($C1234="","",YEAR($C1234))</f>
        <v/>
      </c>
      <c r="N1234" s="24"/>
      <c r="O1234" s="35" t="str">
        <f aca="false">IF($C1234="","",IF($D1234="","★没选客户项目",IF(COUNTIF(合同键,$D1234)=0,"★《维保合同》里没这个项目",IF(N($G1234)&lt;=0,"★收款金额要填",IF($H1234="","★票据类型要选",IF(AND($L1234&lt;&gt;"",COUNTIF(应收单号,$L1234)=0),"★关联的应收单号不存在",IF(AND($L1234&lt;&gt;"",IFERROR(INDEX(应收键,MATCH($L1234,应收单号,0)),"")&lt;&gt;$D1234),"★关联单号不是这个客户的",IF(AND($L1234&lt;&gt;"",ROUND(SUMIF(收款关联,$L1234,收款金额)-IFERROR(INDEX(应收金额,MATCH($L1234,应收单号,0)),0),2)&gt;0.001),"★指定冲销超过那张单的应收","OK"))))))))</f>
        <v/>
      </c>
    </row>
    <row r="1235" customFormat="false" ht="15" hidden="false" customHeight="false" outlineLevel="0" collapsed="false">
      <c r="A1235" s="29" t="str">
        <f aca="false">IF($C1235="","",ROW()-4)</f>
        <v/>
      </c>
      <c r="B1235" s="35" t="str">
        <f aca="false">IF($C1235="","","SK"&amp;TEXT($C1235,"yyyymm")&amp;"-"&amp;TEXT(ROW()-4,"0000"))</f>
        <v/>
      </c>
      <c r="C1235" s="33"/>
      <c r="D1235" s="24"/>
      <c r="E1235" s="30" t="str">
        <f aca="false">IF($D1235="","",IFERROR(INDEX(合同单位,MATCH($D1235,合同键,0)),IFERROR(TRIM(LEFT($D1235,FIND("｜",$D1235)-1)),$D1235)))</f>
        <v/>
      </c>
      <c r="F1235" s="30" t="str">
        <f aca="false">IF($D1235="","",IFERROR(INDEX(合同项目,MATCH($D1235,合同键,0)),IFERROR(TRIM(MID($D1235,FIND("｜",$D1235)+1,99)),"")))</f>
        <v/>
      </c>
      <c r="G1235" s="39"/>
      <c r="H1235" s="25"/>
      <c r="I1235" s="35" t="str">
        <f aca="false">IF($H1235="","",IFERROR(INDEX(票据归类表,MATCH($H1235,票据类型表,0)),"现金无票"))</f>
        <v/>
      </c>
      <c r="J1235" s="25"/>
      <c r="K1235" s="25"/>
      <c r="L1235" s="31"/>
      <c r="M1235" s="29" t="str">
        <f aca="false">IF($C1235="","",YEAR($C1235))</f>
        <v/>
      </c>
      <c r="N1235" s="24"/>
      <c r="O1235" s="35" t="str">
        <f aca="false">IF($C1235="","",IF($D1235="","★没选客户项目",IF(COUNTIF(合同键,$D1235)=0,"★《维保合同》里没这个项目",IF(N($G1235)&lt;=0,"★收款金额要填",IF($H1235="","★票据类型要选",IF(AND($L1235&lt;&gt;"",COUNTIF(应收单号,$L1235)=0),"★关联的应收单号不存在",IF(AND($L1235&lt;&gt;"",IFERROR(INDEX(应收键,MATCH($L1235,应收单号,0)),"")&lt;&gt;$D1235),"★关联单号不是这个客户的",IF(AND($L1235&lt;&gt;"",ROUND(SUMIF(收款关联,$L1235,收款金额)-IFERROR(INDEX(应收金额,MATCH($L1235,应收单号,0)),0),2)&gt;0.001),"★指定冲销超过那张单的应收","OK"))))))))</f>
        <v/>
      </c>
    </row>
    <row r="1236" customFormat="false" ht="15" hidden="false" customHeight="false" outlineLevel="0" collapsed="false">
      <c r="A1236" s="29" t="str">
        <f aca="false">IF($C1236="","",ROW()-4)</f>
        <v/>
      </c>
      <c r="B1236" s="35" t="str">
        <f aca="false">IF($C1236="","","SK"&amp;TEXT($C1236,"yyyymm")&amp;"-"&amp;TEXT(ROW()-4,"0000"))</f>
        <v/>
      </c>
      <c r="C1236" s="33"/>
      <c r="D1236" s="24"/>
      <c r="E1236" s="30" t="str">
        <f aca="false">IF($D1236="","",IFERROR(INDEX(合同单位,MATCH($D1236,合同键,0)),IFERROR(TRIM(LEFT($D1236,FIND("｜",$D1236)-1)),$D1236)))</f>
        <v/>
      </c>
      <c r="F1236" s="30" t="str">
        <f aca="false">IF($D1236="","",IFERROR(INDEX(合同项目,MATCH($D1236,合同键,0)),IFERROR(TRIM(MID($D1236,FIND("｜",$D1236)+1,99)),"")))</f>
        <v/>
      </c>
      <c r="G1236" s="39"/>
      <c r="H1236" s="25"/>
      <c r="I1236" s="35" t="str">
        <f aca="false">IF($H1236="","",IFERROR(INDEX(票据归类表,MATCH($H1236,票据类型表,0)),"现金无票"))</f>
        <v/>
      </c>
      <c r="J1236" s="25"/>
      <c r="K1236" s="25"/>
      <c r="L1236" s="31"/>
      <c r="M1236" s="29" t="str">
        <f aca="false">IF($C1236="","",YEAR($C1236))</f>
        <v/>
      </c>
      <c r="N1236" s="24"/>
      <c r="O1236" s="35" t="str">
        <f aca="false">IF($C1236="","",IF($D1236="","★没选客户项目",IF(COUNTIF(合同键,$D1236)=0,"★《维保合同》里没这个项目",IF(N($G1236)&lt;=0,"★收款金额要填",IF($H1236="","★票据类型要选",IF(AND($L1236&lt;&gt;"",COUNTIF(应收单号,$L1236)=0),"★关联的应收单号不存在",IF(AND($L1236&lt;&gt;"",IFERROR(INDEX(应收键,MATCH($L1236,应收单号,0)),"")&lt;&gt;$D1236),"★关联单号不是这个客户的",IF(AND($L1236&lt;&gt;"",ROUND(SUMIF(收款关联,$L1236,收款金额)-IFERROR(INDEX(应收金额,MATCH($L1236,应收单号,0)),0),2)&gt;0.001),"★指定冲销超过那张单的应收","OK"))))))))</f>
        <v/>
      </c>
    </row>
    <row r="1237" customFormat="false" ht="15" hidden="false" customHeight="false" outlineLevel="0" collapsed="false">
      <c r="A1237" s="29" t="str">
        <f aca="false">IF($C1237="","",ROW()-4)</f>
        <v/>
      </c>
      <c r="B1237" s="35" t="str">
        <f aca="false">IF($C1237="","","SK"&amp;TEXT($C1237,"yyyymm")&amp;"-"&amp;TEXT(ROW()-4,"0000"))</f>
        <v/>
      </c>
      <c r="C1237" s="33"/>
      <c r="D1237" s="24"/>
      <c r="E1237" s="30" t="str">
        <f aca="false">IF($D1237="","",IFERROR(INDEX(合同单位,MATCH($D1237,合同键,0)),IFERROR(TRIM(LEFT($D1237,FIND("｜",$D1237)-1)),$D1237)))</f>
        <v/>
      </c>
      <c r="F1237" s="30" t="str">
        <f aca="false">IF($D1237="","",IFERROR(INDEX(合同项目,MATCH($D1237,合同键,0)),IFERROR(TRIM(MID($D1237,FIND("｜",$D1237)+1,99)),"")))</f>
        <v/>
      </c>
      <c r="G1237" s="39"/>
      <c r="H1237" s="25"/>
      <c r="I1237" s="35" t="str">
        <f aca="false">IF($H1237="","",IFERROR(INDEX(票据归类表,MATCH($H1237,票据类型表,0)),"现金无票"))</f>
        <v/>
      </c>
      <c r="J1237" s="25"/>
      <c r="K1237" s="25"/>
      <c r="L1237" s="31"/>
      <c r="M1237" s="29" t="str">
        <f aca="false">IF($C1237="","",YEAR($C1237))</f>
        <v/>
      </c>
      <c r="N1237" s="24"/>
      <c r="O1237" s="35" t="str">
        <f aca="false">IF($C1237="","",IF($D1237="","★没选客户项目",IF(COUNTIF(合同键,$D1237)=0,"★《维保合同》里没这个项目",IF(N($G1237)&lt;=0,"★收款金额要填",IF($H1237="","★票据类型要选",IF(AND($L1237&lt;&gt;"",COUNTIF(应收单号,$L1237)=0),"★关联的应收单号不存在",IF(AND($L1237&lt;&gt;"",IFERROR(INDEX(应收键,MATCH($L1237,应收单号,0)),"")&lt;&gt;$D1237),"★关联单号不是这个客户的",IF(AND($L1237&lt;&gt;"",ROUND(SUMIF(收款关联,$L1237,收款金额)-IFERROR(INDEX(应收金额,MATCH($L1237,应收单号,0)),0),2)&gt;0.001),"★指定冲销超过那张单的应收","OK"))))))))</f>
        <v/>
      </c>
    </row>
    <row r="1238" customFormat="false" ht="15" hidden="false" customHeight="false" outlineLevel="0" collapsed="false">
      <c r="A1238" s="29" t="str">
        <f aca="false">IF($C1238="","",ROW()-4)</f>
        <v/>
      </c>
      <c r="B1238" s="35" t="str">
        <f aca="false">IF($C1238="","","SK"&amp;TEXT($C1238,"yyyymm")&amp;"-"&amp;TEXT(ROW()-4,"0000"))</f>
        <v/>
      </c>
      <c r="C1238" s="33"/>
      <c r="D1238" s="24"/>
      <c r="E1238" s="30" t="str">
        <f aca="false">IF($D1238="","",IFERROR(INDEX(合同单位,MATCH($D1238,合同键,0)),IFERROR(TRIM(LEFT($D1238,FIND("｜",$D1238)-1)),$D1238)))</f>
        <v/>
      </c>
      <c r="F1238" s="30" t="str">
        <f aca="false">IF($D1238="","",IFERROR(INDEX(合同项目,MATCH($D1238,合同键,0)),IFERROR(TRIM(MID($D1238,FIND("｜",$D1238)+1,99)),"")))</f>
        <v/>
      </c>
      <c r="G1238" s="39"/>
      <c r="H1238" s="25"/>
      <c r="I1238" s="35" t="str">
        <f aca="false">IF($H1238="","",IFERROR(INDEX(票据归类表,MATCH($H1238,票据类型表,0)),"现金无票"))</f>
        <v/>
      </c>
      <c r="J1238" s="25"/>
      <c r="K1238" s="25"/>
      <c r="L1238" s="31"/>
      <c r="M1238" s="29" t="str">
        <f aca="false">IF($C1238="","",YEAR($C1238))</f>
        <v/>
      </c>
      <c r="N1238" s="24"/>
      <c r="O1238" s="35" t="str">
        <f aca="false">IF($C1238="","",IF($D1238="","★没选客户项目",IF(COUNTIF(合同键,$D1238)=0,"★《维保合同》里没这个项目",IF(N($G1238)&lt;=0,"★收款金额要填",IF($H1238="","★票据类型要选",IF(AND($L1238&lt;&gt;"",COUNTIF(应收单号,$L1238)=0),"★关联的应收单号不存在",IF(AND($L1238&lt;&gt;"",IFERROR(INDEX(应收键,MATCH($L1238,应收单号,0)),"")&lt;&gt;$D1238),"★关联单号不是这个客户的",IF(AND($L1238&lt;&gt;"",ROUND(SUMIF(收款关联,$L1238,收款金额)-IFERROR(INDEX(应收金额,MATCH($L1238,应收单号,0)),0),2)&gt;0.001),"★指定冲销超过那张单的应收","OK"))))))))</f>
        <v/>
      </c>
    </row>
    <row r="1239" customFormat="false" ht="15" hidden="false" customHeight="false" outlineLevel="0" collapsed="false">
      <c r="A1239" s="29" t="str">
        <f aca="false">IF($C1239="","",ROW()-4)</f>
        <v/>
      </c>
      <c r="B1239" s="35" t="str">
        <f aca="false">IF($C1239="","","SK"&amp;TEXT($C1239,"yyyymm")&amp;"-"&amp;TEXT(ROW()-4,"0000"))</f>
        <v/>
      </c>
      <c r="C1239" s="33"/>
      <c r="D1239" s="24"/>
      <c r="E1239" s="30" t="str">
        <f aca="false">IF($D1239="","",IFERROR(INDEX(合同单位,MATCH($D1239,合同键,0)),IFERROR(TRIM(LEFT($D1239,FIND("｜",$D1239)-1)),$D1239)))</f>
        <v/>
      </c>
      <c r="F1239" s="30" t="str">
        <f aca="false">IF($D1239="","",IFERROR(INDEX(合同项目,MATCH($D1239,合同键,0)),IFERROR(TRIM(MID($D1239,FIND("｜",$D1239)+1,99)),"")))</f>
        <v/>
      </c>
      <c r="G1239" s="39"/>
      <c r="H1239" s="25"/>
      <c r="I1239" s="35" t="str">
        <f aca="false">IF($H1239="","",IFERROR(INDEX(票据归类表,MATCH($H1239,票据类型表,0)),"现金无票"))</f>
        <v/>
      </c>
      <c r="J1239" s="25"/>
      <c r="K1239" s="25"/>
      <c r="L1239" s="31"/>
      <c r="M1239" s="29" t="str">
        <f aca="false">IF($C1239="","",YEAR($C1239))</f>
        <v/>
      </c>
      <c r="N1239" s="24"/>
      <c r="O1239" s="35" t="str">
        <f aca="false">IF($C1239="","",IF($D1239="","★没选客户项目",IF(COUNTIF(合同键,$D1239)=0,"★《维保合同》里没这个项目",IF(N($G1239)&lt;=0,"★收款金额要填",IF($H1239="","★票据类型要选",IF(AND($L1239&lt;&gt;"",COUNTIF(应收单号,$L1239)=0),"★关联的应收单号不存在",IF(AND($L1239&lt;&gt;"",IFERROR(INDEX(应收键,MATCH($L1239,应收单号,0)),"")&lt;&gt;$D1239),"★关联单号不是这个客户的",IF(AND($L1239&lt;&gt;"",ROUND(SUMIF(收款关联,$L1239,收款金额)-IFERROR(INDEX(应收金额,MATCH($L1239,应收单号,0)),0),2)&gt;0.001),"★指定冲销超过那张单的应收","OK"))))))))</f>
        <v/>
      </c>
    </row>
    <row r="1240" customFormat="false" ht="15" hidden="false" customHeight="false" outlineLevel="0" collapsed="false">
      <c r="A1240" s="29" t="str">
        <f aca="false">IF($C1240="","",ROW()-4)</f>
        <v/>
      </c>
      <c r="B1240" s="35" t="str">
        <f aca="false">IF($C1240="","","SK"&amp;TEXT($C1240,"yyyymm")&amp;"-"&amp;TEXT(ROW()-4,"0000"))</f>
        <v/>
      </c>
      <c r="C1240" s="33"/>
      <c r="D1240" s="24"/>
      <c r="E1240" s="30" t="str">
        <f aca="false">IF($D1240="","",IFERROR(INDEX(合同单位,MATCH($D1240,合同键,0)),IFERROR(TRIM(LEFT($D1240,FIND("｜",$D1240)-1)),$D1240)))</f>
        <v/>
      </c>
      <c r="F1240" s="30" t="str">
        <f aca="false">IF($D1240="","",IFERROR(INDEX(合同项目,MATCH($D1240,合同键,0)),IFERROR(TRIM(MID($D1240,FIND("｜",$D1240)+1,99)),"")))</f>
        <v/>
      </c>
      <c r="G1240" s="39"/>
      <c r="H1240" s="25"/>
      <c r="I1240" s="35" t="str">
        <f aca="false">IF($H1240="","",IFERROR(INDEX(票据归类表,MATCH($H1240,票据类型表,0)),"现金无票"))</f>
        <v/>
      </c>
      <c r="J1240" s="25"/>
      <c r="K1240" s="25"/>
      <c r="L1240" s="31"/>
      <c r="M1240" s="29" t="str">
        <f aca="false">IF($C1240="","",YEAR($C1240))</f>
        <v/>
      </c>
      <c r="N1240" s="24"/>
      <c r="O1240" s="35" t="str">
        <f aca="false">IF($C1240="","",IF($D1240="","★没选客户项目",IF(COUNTIF(合同键,$D1240)=0,"★《维保合同》里没这个项目",IF(N($G1240)&lt;=0,"★收款金额要填",IF($H1240="","★票据类型要选",IF(AND($L1240&lt;&gt;"",COUNTIF(应收单号,$L1240)=0),"★关联的应收单号不存在",IF(AND($L1240&lt;&gt;"",IFERROR(INDEX(应收键,MATCH($L1240,应收单号,0)),"")&lt;&gt;$D1240),"★关联单号不是这个客户的",IF(AND($L1240&lt;&gt;"",ROUND(SUMIF(收款关联,$L1240,收款金额)-IFERROR(INDEX(应收金额,MATCH($L1240,应收单号,0)),0),2)&gt;0.001),"★指定冲销超过那张单的应收","OK"))))))))</f>
        <v/>
      </c>
    </row>
    <row r="1241" customFormat="false" ht="15" hidden="false" customHeight="false" outlineLevel="0" collapsed="false">
      <c r="A1241" s="29" t="str">
        <f aca="false">IF($C1241="","",ROW()-4)</f>
        <v/>
      </c>
      <c r="B1241" s="35" t="str">
        <f aca="false">IF($C1241="","","SK"&amp;TEXT($C1241,"yyyymm")&amp;"-"&amp;TEXT(ROW()-4,"0000"))</f>
        <v/>
      </c>
      <c r="C1241" s="33"/>
      <c r="D1241" s="24"/>
      <c r="E1241" s="30" t="str">
        <f aca="false">IF($D1241="","",IFERROR(INDEX(合同单位,MATCH($D1241,合同键,0)),IFERROR(TRIM(LEFT($D1241,FIND("｜",$D1241)-1)),$D1241)))</f>
        <v/>
      </c>
      <c r="F1241" s="30" t="str">
        <f aca="false">IF($D1241="","",IFERROR(INDEX(合同项目,MATCH($D1241,合同键,0)),IFERROR(TRIM(MID($D1241,FIND("｜",$D1241)+1,99)),"")))</f>
        <v/>
      </c>
      <c r="G1241" s="39"/>
      <c r="H1241" s="25"/>
      <c r="I1241" s="35" t="str">
        <f aca="false">IF($H1241="","",IFERROR(INDEX(票据归类表,MATCH($H1241,票据类型表,0)),"现金无票"))</f>
        <v/>
      </c>
      <c r="J1241" s="25"/>
      <c r="K1241" s="25"/>
      <c r="L1241" s="31"/>
      <c r="M1241" s="29" t="str">
        <f aca="false">IF($C1241="","",YEAR($C1241))</f>
        <v/>
      </c>
      <c r="N1241" s="24"/>
      <c r="O1241" s="35" t="str">
        <f aca="false">IF($C1241="","",IF($D1241="","★没选客户项目",IF(COUNTIF(合同键,$D1241)=0,"★《维保合同》里没这个项目",IF(N($G1241)&lt;=0,"★收款金额要填",IF($H1241="","★票据类型要选",IF(AND($L1241&lt;&gt;"",COUNTIF(应收单号,$L1241)=0),"★关联的应收单号不存在",IF(AND($L1241&lt;&gt;"",IFERROR(INDEX(应收键,MATCH($L1241,应收单号,0)),"")&lt;&gt;$D1241),"★关联单号不是这个客户的",IF(AND($L1241&lt;&gt;"",ROUND(SUMIF(收款关联,$L1241,收款金额)-IFERROR(INDEX(应收金额,MATCH($L1241,应收单号,0)),0),2)&gt;0.001),"★指定冲销超过那张单的应收","OK"))))))))</f>
        <v/>
      </c>
    </row>
    <row r="1242" customFormat="false" ht="15" hidden="false" customHeight="false" outlineLevel="0" collapsed="false">
      <c r="A1242" s="29" t="str">
        <f aca="false">IF($C1242="","",ROW()-4)</f>
        <v/>
      </c>
      <c r="B1242" s="35" t="str">
        <f aca="false">IF($C1242="","","SK"&amp;TEXT($C1242,"yyyymm")&amp;"-"&amp;TEXT(ROW()-4,"0000"))</f>
        <v/>
      </c>
      <c r="C1242" s="33"/>
      <c r="D1242" s="24"/>
      <c r="E1242" s="30" t="str">
        <f aca="false">IF($D1242="","",IFERROR(INDEX(合同单位,MATCH($D1242,合同键,0)),IFERROR(TRIM(LEFT($D1242,FIND("｜",$D1242)-1)),$D1242)))</f>
        <v/>
      </c>
      <c r="F1242" s="30" t="str">
        <f aca="false">IF($D1242="","",IFERROR(INDEX(合同项目,MATCH($D1242,合同键,0)),IFERROR(TRIM(MID($D1242,FIND("｜",$D1242)+1,99)),"")))</f>
        <v/>
      </c>
      <c r="G1242" s="39"/>
      <c r="H1242" s="25"/>
      <c r="I1242" s="35" t="str">
        <f aca="false">IF($H1242="","",IFERROR(INDEX(票据归类表,MATCH($H1242,票据类型表,0)),"现金无票"))</f>
        <v/>
      </c>
      <c r="J1242" s="25"/>
      <c r="K1242" s="25"/>
      <c r="L1242" s="31"/>
      <c r="M1242" s="29" t="str">
        <f aca="false">IF($C1242="","",YEAR($C1242))</f>
        <v/>
      </c>
      <c r="N1242" s="24"/>
      <c r="O1242" s="35" t="str">
        <f aca="false">IF($C1242="","",IF($D1242="","★没选客户项目",IF(COUNTIF(合同键,$D1242)=0,"★《维保合同》里没这个项目",IF(N($G1242)&lt;=0,"★收款金额要填",IF($H1242="","★票据类型要选",IF(AND($L1242&lt;&gt;"",COUNTIF(应收单号,$L1242)=0),"★关联的应收单号不存在",IF(AND($L1242&lt;&gt;"",IFERROR(INDEX(应收键,MATCH($L1242,应收单号,0)),"")&lt;&gt;$D1242),"★关联单号不是这个客户的",IF(AND($L1242&lt;&gt;"",ROUND(SUMIF(收款关联,$L1242,收款金额)-IFERROR(INDEX(应收金额,MATCH($L1242,应收单号,0)),0),2)&gt;0.001),"★指定冲销超过那张单的应收","OK"))))))))</f>
        <v/>
      </c>
    </row>
    <row r="1243" customFormat="false" ht="15" hidden="false" customHeight="false" outlineLevel="0" collapsed="false">
      <c r="A1243" s="29" t="str">
        <f aca="false">IF($C1243="","",ROW()-4)</f>
        <v/>
      </c>
      <c r="B1243" s="35" t="str">
        <f aca="false">IF($C1243="","","SK"&amp;TEXT($C1243,"yyyymm")&amp;"-"&amp;TEXT(ROW()-4,"0000"))</f>
        <v/>
      </c>
      <c r="C1243" s="33"/>
      <c r="D1243" s="24"/>
      <c r="E1243" s="30" t="str">
        <f aca="false">IF($D1243="","",IFERROR(INDEX(合同单位,MATCH($D1243,合同键,0)),IFERROR(TRIM(LEFT($D1243,FIND("｜",$D1243)-1)),$D1243)))</f>
        <v/>
      </c>
      <c r="F1243" s="30" t="str">
        <f aca="false">IF($D1243="","",IFERROR(INDEX(合同项目,MATCH($D1243,合同键,0)),IFERROR(TRIM(MID($D1243,FIND("｜",$D1243)+1,99)),"")))</f>
        <v/>
      </c>
      <c r="G1243" s="39"/>
      <c r="H1243" s="25"/>
      <c r="I1243" s="35" t="str">
        <f aca="false">IF($H1243="","",IFERROR(INDEX(票据归类表,MATCH($H1243,票据类型表,0)),"现金无票"))</f>
        <v/>
      </c>
      <c r="J1243" s="25"/>
      <c r="K1243" s="25"/>
      <c r="L1243" s="31"/>
      <c r="M1243" s="29" t="str">
        <f aca="false">IF($C1243="","",YEAR($C1243))</f>
        <v/>
      </c>
      <c r="N1243" s="24"/>
      <c r="O1243" s="35" t="str">
        <f aca="false">IF($C1243="","",IF($D1243="","★没选客户项目",IF(COUNTIF(合同键,$D1243)=0,"★《维保合同》里没这个项目",IF(N($G1243)&lt;=0,"★收款金额要填",IF($H1243="","★票据类型要选",IF(AND($L1243&lt;&gt;"",COUNTIF(应收单号,$L1243)=0),"★关联的应收单号不存在",IF(AND($L1243&lt;&gt;"",IFERROR(INDEX(应收键,MATCH($L1243,应收单号,0)),"")&lt;&gt;$D1243),"★关联单号不是这个客户的",IF(AND($L1243&lt;&gt;"",ROUND(SUMIF(收款关联,$L1243,收款金额)-IFERROR(INDEX(应收金额,MATCH($L1243,应收单号,0)),0),2)&gt;0.001),"★指定冲销超过那张单的应收","OK"))))))))</f>
        <v/>
      </c>
    </row>
    <row r="1244" customFormat="false" ht="15" hidden="false" customHeight="false" outlineLevel="0" collapsed="false">
      <c r="A1244" s="29" t="str">
        <f aca="false">IF($C1244="","",ROW()-4)</f>
        <v/>
      </c>
      <c r="B1244" s="35" t="str">
        <f aca="false">IF($C1244="","","SK"&amp;TEXT($C1244,"yyyymm")&amp;"-"&amp;TEXT(ROW()-4,"0000"))</f>
        <v/>
      </c>
      <c r="C1244" s="33"/>
      <c r="D1244" s="24"/>
      <c r="E1244" s="30" t="str">
        <f aca="false">IF($D1244="","",IFERROR(INDEX(合同单位,MATCH($D1244,合同键,0)),IFERROR(TRIM(LEFT($D1244,FIND("｜",$D1244)-1)),$D1244)))</f>
        <v/>
      </c>
      <c r="F1244" s="30" t="str">
        <f aca="false">IF($D1244="","",IFERROR(INDEX(合同项目,MATCH($D1244,合同键,0)),IFERROR(TRIM(MID($D1244,FIND("｜",$D1244)+1,99)),"")))</f>
        <v/>
      </c>
      <c r="G1244" s="39"/>
      <c r="H1244" s="25"/>
      <c r="I1244" s="35" t="str">
        <f aca="false">IF($H1244="","",IFERROR(INDEX(票据归类表,MATCH($H1244,票据类型表,0)),"现金无票"))</f>
        <v/>
      </c>
      <c r="J1244" s="25"/>
      <c r="K1244" s="25"/>
      <c r="L1244" s="31"/>
      <c r="M1244" s="29" t="str">
        <f aca="false">IF($C1244="","",YEAR($C1244))</f>
        <v/>
      </c>
      <c r="N1244" s="24"/>
      <c r="O1244" s="35" t="str">
        <f aca="false">IF($C1244="","",IF($D1244="","★没选客户项目",IF(COUNTIF(合同键,$D1244)=0,"★《维保合同》里没这个项目",IF(N($G1244)&lt;=0,"★收款金额要填",IF($H1244="","★票据类型要选",IF(AND($L1244&lt;&gt;"",COUNTIF(应收单号,$L1244)=0),"★关联的应收单号不存在",IF(AND($L1244&lt;&gt;"",IFERROR(INDEX(应收键,MATCH($L1244,应收单号,0)),"")&lt;&gt;$D1244),"★关联单号不是这个客户的",IF(AND($L1244&lt;&gt;"",ROUND(SUMIF(收款关联,$L1244,收款金额)-IFERROR(INDEX(应收金额,MATCH($L1244,应收单号,0)),0),2)&gt;0.001),"★指定冲销超过那张单的应收","OK"))))))))</f>
        <v/>
      </c>
    </row>
    <row r="1245" customFormat="false" ht="15" hidden="false" customHeight="false" outlineLevel="0" collapsed="false">
      <c r="A1245" s="29" t="str">
        <f aca="false">IF($C1245="","",ROW()-4)</f>
        <v/>
      </c>
      <c r="B1245" s="35" t="str">
        <f aca="false">IF($C1245="","","SK"&amp;TEXT($C1245,"yyyymm")&amp;"-"&amp;TEXT(ROW()-4,"0000"))</f>
        <v/>
      </c>
      <c r="C1245" s="33"/>
      <c r="D1245" s="24"/>
      <c r="E1245" s="30" t="str">
        <f aca="false">IF($D1245="","",IFERROR(INDEX(合同单位,MATCH($D1245,合同键,0)),IFERROR(TRIM(LEFT($D1245,FIND("｜",$D1245)-1)),$D1245)))</f>
        <v/>
      </c>
      <c r="F1245" s="30" t="str">
        <f aca="false">IF($D1245="","",IFERROR(INDEX(合同项目,MATCH($D1245,合同键,0)),IFERROR(TRIM(MID($D1245,FIND("｜",$D1245)+1,99)),"")))</f>
        <v/>
      </c>
      <c r="G1245" s="39"/>
      <c r="H1245" s="25"/>
      <c r="I1245" s="35" t="str">
        <f aca="false">IF($H1245="","",IFERROR(INDEX(票据归类表,MATCH($H1245,票据类型表,0)),"现金无票"))</f>
        <v/>
      </c>
      <c r="J1245" s="25"/>
      <c r="K1245" s="25"/>
      <c r="L1245" s="31"/>
      <c r="M1245" s="29" t="str">
        <f aca="false">IF($C1245="","",YEAR($C1245))</f>
        <v/>
      </c>
      <c r="N1245" s="24"/>
      <c r="O1245" s="35" t="str">
        <f aca="false">IF($C1245="","",IF($D1245="","★没选客户项目",IF(COUNTIF(合同键,$D1245)=0,"★《维保合同》里没这个项目",IF(N($G1245)&lt;=0,"★收款金额要填",IF($H1245="","★票据类型要选",IF(AND($L1245&lt;&gt;"",COUNTIF(应收单号,$L1245)=0),"★关联的应收单号不存在",IF(AND($L1245&lt;&gt;"",IFERROR(INDEX(应收键,MATCH($L1245,应收单号,0)),"")&lt;&gt;$D1245),"★关联单号不是这个客户的",IF(AND($L1245&lt;&gt;"",ROUND(SUMIF(收款关联,$L1245,收款金额)-IFERROR(INDEX(应收金额,MATCH($L1245,应收单号,0)),0),2)&gt;0.001),"★指定冲销超过那张单的应收","OK"))))))))</f>
        <v/>
      </c>
    </row>
    <row r="1246" customFormat="false" ht="15" hidden="false" customHeight="false" outlineLevel="0" collapsed="false">
      <c r="A1246" s="29" t="str">
        <f aca="false">IF($C1246="","",ROW()-4)</f>
        <v/>
      </c>
      <c r="B1246" s="35" t="str">
        <f aca="false">IF($C1246="","","SK"&amp;TEXT($C1246,"yyyymm")&amp;"-"&amp;TEXT(ROW()-4,"0000"))</f>
        <v/>
      </c>
      <c r="C1246" s="33"/>
      <c r="D1246" s="24"/>
      <c r="E1246" s="30" t="str">
        <f aca="false">IF($D1246="","",IFERROR(INDEX(合同单位,MATCH($D1246,合同键,0)),IFERROR(TRIM(LEFT($D1246,FIND("｜",$D1246)-1)),$D1246)))</f>
        <v/>
      </c>
      <c r="F1246" s="30" t="str">
        <f aca="false">IF($D1246="","",IFERROR(INDEX(合同项目,MATCH($D1246,合同键,0)),IFERROR(TRIM(MID($D1246,FIND("｜",$D1246)+1,99)),"")))</f>
        <v/>
      </c>
      <c r="G1246" s="39"/>
      <c r="H1246" s="25"/>
      <c r="I1246" s="35" t="str">
        <f aca="false">IF($H1246="","",IFERROR(INDEX(票据归类表,MATCH($H1246,票据类型表,0)),"现金无票"))</f>
        <v/>
      </c>
      <c r="J1246" s="25"/>
      <c r="K1246" s="25"/>
      <c r="L1246" s="31"/>
      <c r="M1246" s="29" t="str">
        <f aca="false">IF($C1246="","",YEAR($C1246))</f>
        <v/>
      </c>
      <c r="N1246" s="24"/>
      <c r="O1246" s="35" t="str">
        <f aca="false">IF($C1246="","",IF($D1246="","★没选客户项目",IF(COUNTIF(合同键,$D1246)=0,"★《维保合同》里没这个项目",IF(N($G1246)&lt;=0,"★收款金额要填",IF($H1246="","★票据类型要选",IF(AND($L1246&lt;&gt;"",COUNTIF(应收单号,$L1246)=0),"★关联的应收单号不存在",IF(AND($L1246&lt;&gt;"",IFERROR(INDEX(应收键,MATCH($L1246,应收单号,0)),"")&lt;&gt;$D1246),"★关联单号不是这个客户的",IF(AND($L1246&lt;&gt;"",ROUND(SUMIF(收款关联,$L1246,收款金额)-IFERROR(INDEX(应收金额,MATCH($L1246,应收单号,0)),0),2)&gt;0.001),"★指定冲销超过那张单的应收","OK"))))))))</f>
        <v/>
      </c>
    </row>
    <row r="1247" customFormat="false" ht="15" hidden="false" customHeight="false" outlineLevel="0" collapsed="false">
      <c r="A1247" s="29" t="str">
        <f aca="false">IF($C1247="","",ROW()-4)</f>
        <v/>
      </c>
      <c r="B1247" s="35" t="str">
        <f aca="false">IF($C1247="","","SK"&amp;TEXT($C1247,"yyyymm")&amp;"-"&amp;TEXT(ROW()-4,"0000"))</f>
        <v/>
      </c>
      <c r="C1247" s="33"/>
      <c r="D1247" s="24"/>
      <c r="E1247" s="30" t="str">
        <f aca="false">IF($D1247="","",IFERROR(INDEX(合同单位,MATCH($D1247,合同键,0)),IFERROR(TRIM(LEFT($D1247,FIND("｜",$D1247)-1)),$D1247)))</f>
        <v/>
      </c>
      <c r="F1247" s="30" t="str">
        <f aca="false">IF($D1247="","",IFERROR(INDEX(合同项目,MATCH($D1247,合同键,0)),IFERROR(TRIM(MID($D1247,FIND("｜",$D1247)+1,99)),"")))</f>
        <v/>
      </c>
      <c r="G1247" s="39"/>
      <c r="H1247" s="25"/>
      <c r="I1247" s="35" t="str">
        <f aca="false">IF($H1247="","",IFERROR(INDEX(票据归类表,MATCH($H1247,票据类型表,0)),"现金无票"))</f>
        <v/>
      </c>
      <c r="J1247" s="25"/>
      <c r="K1247" s="25"/>
      <c r="L1247" s="31"/>
      <c r="M1247" s="29" t="str">
        <f aca="false">IF($C1247="","",YEAR($C1247))</f>
        <v/>
      </c>
      <c r="N1247" s="24"/>
      <c r="O1247" s="35" t="str">
        <f aca="false">IF($C1247="","",IF($D1247="","★没选客户项目",IF(COUNTIF(合同键,$D1247)=0,"★《维保合同》里没这个项目",IF(N($G1247)&lt;=0,"★收款金额要填",IF($H1247="","★票据类型要选",IF(AND($L1247&lt;&gt;"",COUNTIF(应收单号,$L1247)=0),"★关联的应收单号不存在",IF(AND($L1247&lt;&gt;"",IFERROR(INDEX(应收键,MATCH($L1247,应收单号,0)),"")&lt;&gt;$D1247),"★关联单号不是这个客户的",IF(AND($L1247&lt;&gt;"",ROUND(SUMIF(收款关联,$L1247,收款金额)-IFERROR(INDEX(应收金额,MATCH($L1247,应收单号,0)),0),2)&gt;0.001),"★指定冲销超过那张单的应收","OK"))))))))</f>
        <v/>
      </c>
    </row>
    <row r="1248" customFormat="false" ht="15" hidden="false" customHeight="false" outlineLevel="0" collapsed="false">
      <c r="A1248" s="29" t="str">
        <f aca="false">IF($C1248="","",ROW()-4)</f>
        <v/>
      </c>
      <c r="B1248" s="35" t="str">
        <f aca="false">IF($C1248="","","SK"&amp;TEXT($C1248,"yyyymm")&amp;"-"&amp;TEXT(ROW()-4,"0000"))</f>
        <v/>
      </c>
      <c r="C1248" s="33"/>
      <c r="D1248" s="24"/>
      <c r="E1248" s="30" t="str">
        <f aca="false">IF($D1248="","",IFERROR(INDEX(合同单位,MATCH($D1248,合同键,0)),IFERROR(TRIM(LEFT($D1248,FIND("｜",$D1248)-1)),$D1248)))</f>
        <v/>
      </c>
      <c r="F1248" s="30" t="str">
        <f aca="false">IF($D1248="","",IFERROR(INDEX(合同项目,MATCH($D1248,合同键,0)),IFERROR(TRIM(MID($D1248,FIND("｜",$D1248)+1,99)),"")))</f>
        <v/>
      </c>
      <c r="G1248" s="39"/>
      <c r="H1248" s="25"/>
      <c r="I1248" s="35" t="str">
        <f aca="false">IF($H1248="","",IFERROR(INDEX(票据归类表,MATCH($H1248,票据类型表,0)),"现金无票"))</f>
        <v/>
      </c>
      <c r="J1248" s="25"/>
      <c r="K1248" s="25"/>
      <c r="L1248" s="31"/>
      <c r="M1248" s="29" t="str">
        <f aca="false">IF($C1248="","",YEAR($C1248))</f>
        <v/>
      </c>
      <c r="N1248" s="24"/>
      <c r="O1248" s="35" t="str">
        <f aca="false">IF($C1248="","",IF($D1248="","★没选客户项目",IF(COUNTIF(合同键,$D1248)=0,"★《维保合同》里没这个项目",IF(N($G1248)&lt;=0,"★收款金额要填",IF($H1248="","★票据类型要选",IF(AND($L1248&lt;&gt;"",COUNTIF(应收单号,$L1248)=0),"★关联的应收单号不存在",IF(AND($L1248&lt;&gt;"",IFERROR(INDEX(应收键,MATCH($L1248,应收单号,0)),"")&lt;&gt;$D1248),"★关联单号不是这个客户的",IF(AND($L1248&lt;&gt;"",ROUND(SUMIF(收款关联,$L1248,收款金额)-IFERROR(INDEX(应收金额,MATCH($L1248,应收单号,0)),0),2)&gt;0.001),"★指定冲销超过那张单的应收","OK"))))))))</f>
        <v/>
      </c>
    </row>
    <row r="1249" customFormat="false" ht="15" hidden="false" customHeight="false" outlineLevel="0" collapsed="false">
      <c r="A1249" s="29" t="str">
        <f aca="false">IF($C1249="","",ROW()-4)</f>
        <v/>
      </c>
      <c r="B1249" s="35" t="str">
        <f aca="false">IF($C1249="","","SK"&amp;TEXT($C1249,"yyyymm")&amp;"-"&amp;TEXT(ROW()-4,"0000"))</f>
        <v/>
      </c>
      <c r="C1249" s="33"/>
      <c r="D1249" s="24"/>
      <c r="E1249" s="30" t="str">
        <f aca="false">IF($D1249="","",IFERROR(INDEX(合同单位,MATCH($D1249,合同键,0)),IFERROR(TRIM(LEFT($D1249,FIND("｜",$D1249)-1)),$D1249)))</f>
        <v/>
      </c>
      <c r="F1249" s="30" t="str">
        <f aca="false">IF($D1249="","",IFERROR(INDEX(合同项目,MATCH($D1249,合同键,0)),IFERROR(TRIM(MID($D1249,FIND("｜",$D1249)+1,99)),"")))</f>
        <v/>
      </c>
      <c r="G1249" s="39"/>
      <c r="H1249" s="25"/>
      <c r="I1249" s="35" t="str">
        <f aca="false">IF($H1249="","",IFERROR(INDEX(票据归类表,MATCH($H1249,票据类型表,0)),"现金无票"))</f>
        <v/>
      </c>
      <c r="J1249" s="25"/>
      <c r="K1249" s="25"/>
      <c r="L1249" s="31"/>
      <c r="M1249" s="29" t="str">
        <f aca="false">IF($C1249="","",YEAR($C1249))</f>
        <v/>
      </c>
      <c r="N1249" s="24"/>
      <c r="O1249" s="35" t="str">
        <f aca="false">IF($C1249="","",IF($D1249="","★没选客户项目",IF(COUNTIF(合同键,$D1249)=0,"★《维保合同》里没这个项目",IF(N($G1249)&lt;=0,"★收款金额要填",IF($H1249="","★票据类型要选",IF(AND($L1249&lt;&gt;"",COUNTIF(应收单号,$L1249)=0),"★关联的应收单号不存在",IF(AND($L1249&lt;&gt;"",IFERROR(INDEX(应收键,MATCH($L1249,应收单号,0)),"")&lt;&gt;$D1249),"★关联单号不是这个客户的",IF(AND($L1249&lt;&gt;"",ROUND(SUMIF(收款关联,$L1249,收款金额)-IFERROR(INDEX(应收金额,MATCH($L1249,应收单号,0)),0),2)&gt;0.001),"★指定冲销超过那张单的应收","OK"))))))))</f>
        <v/>
      </c>
    </row>
    <row r="1250" customFormat="false" ht="15" hidden="false" customHeight="false" outlineLevel="0" collapsed="false">
      <c r="A1250" s="29" t="str">
        <f aca="false">IF($C1250="","",ROW()-4)</f>
        <v/>
      </c>
      <c r="B1250" s="35" t="str">
        <f aca="false">IF($C1250="","","SK"&amp;TEXT($C1250,"yyyymm")&amp;"-"&amp;TEXT(ROW()-4,"0000"))</f>
        <v/>
      </c>
      <c r="C1250" s="33"/>
      <c r="D1250" s="24"/>
      <c r="E1250" s="30" t="str">
        <f aca="false">IF($D1250="","",IFERROR(INDEX(合同单位,MATCH($D1250,合同键,0)),IFERROR(TRIM(LEFT($D1250,FIND("｜",$D1250)-1)),$D1250)))</f>
        <v/>
      </c>
      <c r="F1250" s="30" t="str">
        <f aca="false">IF($D1250="","",IFERROR(INDEX(合同项目,MATCH($D1250,合同键,0)),IFERROR(TRIM(MID($D1250,FIND("｜",$D1250)+1,99)),"")))</f>
        <v/>
      </c>
      <c r="G1250" s="39"/>
      <c r="H1250" s="25"/>
      <c r="I1250" s="35" t="str">
        <f aca="false">IF($H1250="","",IFERROR(INDEX(票据归类表,MATCH($H1250,票据类型表,0)),"现金无票"))</f>
        <v/>
      </c>
      <c r="J1250" s="25"/>
      <c r="K1250" s="25"/>
      <c r="L1250" s="31"/>
      <c r="M1250" s="29" t="str">
        <f aca="false">IF($C1250="","",YEAR($C1250))</f>
        <v/>
      </c>
      <c r="N1250" s="24"/>
      <c r="O1250" s="35" t="str">
        <f aca="false">IF($C1250="","",IF($D1250="","★没选客户项目",IF(COUNTIF(合同键,$D1250)=0,"★《维保合同》里没这个项目",IF(N($G1250)&lt;=0,"★收款金额要填",IF($H1250="","★票据类型要选",IF(AND($L1250&lt;&gt;"",COUNTIF(应收单号,$L1250)=0),"★关联的应收单号不存在",IF(AND($L1250&lt;&gt;"",IFERROR(INDEX(应收键,MATCH($L1250,应收单号,0)),"")&lt;&gt;$D1250),"★关联单号不是这个客户的",IF(AND($L1250&lt;&gt;"",ROUND(SUMIF(收款关联,$L1250,收款金额)-IFERROR(INDEX(应收金额,MATCH($L1250,应收单号,0)),0),2)&gt;0.001),"★指定冲销超过那张单的应收","OK"))))))))</f>
        <v/>
      </c>
    </row>
    <row r="1251" customFormat="false" ht="15" hidden="false" customHeight="false" outlineLevel="0" collapsed="false">
      <c r="A1251" s="29" t="str">
        <f aca="false">IF($C1251="","",ROW()-4)</f>
        <v/>
      </c>
      <c r="B1251" s="35" t="str">
        <f aca="false">IF($C1251="","","SK"&amp;TEXT($C1251,"yyyymm")&amp;"-"&amp;TEXT(ROW()-4,"0000"))</f>
        <v/>
      </c>
      <c r="C1251" s="33"/>
      <c r="D1251" s="24"/>
      <c r="E1251" s="30" t="str">
        <f aca="false">IF($D1251="","",IFERROR(INDEX(合同单位,MATCH($D1251,合同键,0)),IFERROR(TRIM(LEFT($D1251,FIND("｜",$D1251)-1)),$D1251)))</f>
        <v/>
      </c>
      <c r="F1251" s="30" t="str">
        <f aca="false">IF($D1251="","",IFERROR(INDEX(合同项目,MATCH($D1251,合同键,0)),IFERROR(TRIM(MID($D1251,FIND("｜",$D1251)+1,99)),"")))</f>
        <v/>
      </c>
      <c r="G1251" s="39"/>
      <c r="H1251" s="25"/>
      <c r="I1251" s="35" t="str">
        <f aca="false">IF($H1251="","",IFERROR(INDEX(票据归类表,MATCH($H1251,票据类型表,0)),"现金无票"))</f>
        <v/>
      </c>
      <c r="J1251" s="25"/>
      <c r="K1251" s="25"/>
      <c r="L1251" s="31"/>
      <c r="M1251" s="29" t="str">
        <f aca="false">IF($C1251="","",YEAR($C1251))</f>
        <v/>
      </c>
      <c r="N1251" s="24"/>
      <c r="O1251" s="35" t="str">
        <f aca="false">IF($C1251="","",IF($D1251="","★没选客户项目",IF(COUNTIF(合同键,$D1251)=0,"★《维保合同》里没这个项目",IF(N($G1251)&lt;=0,"★收款金额要填",IF($H1251="","★票据类型要选",IF(AND($L1251&lt;&gt;"",COUNTIF(应收单号,$L1251)=0),"★关联的应收单号不存在",IF(AND($L1251&lt;&gt;"",IFERROR(INDEX(应收键,MATCH($L1251,应收单号,0)),"")&lt;&gt;$D1251),"★关联单号不是这个客户的",IF(AND($L1251&lt;&gt;"",ROUND(SUMIF(收款关联,$L1251,收款金额)-IFERROR(INDEX(应收金额,MATCH($L1251,应收单号,0)),0),2)&gt;0.001),"★指定冲销超过那张单的应收","OK"))))))))</f>
        <v/>
      </c>
    </row>
    <row r="1252" customFormat="false" ht="15" hidden="false" customHeight="false" outlineLevel="0" collapsed="false">
      <c r="A1252" s="29" t="str">
        <f aca="false">IF($C1252="","",ROW()-4)</f>
        <v/>
      </c>
      <c r="B1252" s="35" t="str">
        <f aca="false">IF($C1252="","","SK"&amp;TEXT($C1252,"yyyymm")&amp;"-"&amp;TEXT(ROW()-4,"0000"))</f>
        <v/>
      </c>
      <c r="C1252" s="33"/>
      <c r="D1252" s="24"/>
      <c r="E1252" s="30" t="str">
        <f aca="false">IF($D1252="","",IFERROR(INDEX(合同单位,MATCH($D1252,合同键,0)),IFERROR(TRIM(LEFT($D1252,FIND("｜",$D1252)-1)),$D1252)))</f>
        <v/>
      </c>
      <c r="F1252" s="30" t="str">
        <f aca="false">IF($D1252="","",IFERROR(INDEX(合同项目,MATCH($D1252,合同键,0)),IFERROR(TRIM(MID($D1252,FIND("｜",$D1252)+1,99)),"")))</f>
        <v/>
      </c>
      <c r="G1252" s="39"/>
      <c r="H1252" s="25"/>
      <c r="I1252" s="35" t="str">
        <f aca="false">IF($H1252="","",IFERROR(INDEX(票据归类表,MATCH($H1252,票据类型表,0)),"现金无票"))</f>
        <v/>
      </c>
      <c r="J1252" s="25"/>
      <c r="K1252" s="25"/>
      <c r="L1252" s="31"/>
      <c r="M1252" s="29" t="str">
        <f aca="false">IF($C1252="","",YEAR($C1252))</f>
        <v/>
      </c>
      <c r="N1252" s="24"/>
      <c r="O1252" s="35" t="str">
        <f aca="false">IF($C1252="","",IF($D1252="","★没选客户项目",IF(COUNTIF(合同键,$D1252)=0,"★《维保合同》里没这个项目",IF(N($G1252)&lt;=0,"★收款金额要填",IF($H1252="","★票据类型要选",IF(AND($L1252&lt;&gt;"",COUNTIF(应收单号,$L1252)=0),"★关联的应收单号不存在",IF(AND($L1252&lt;&gt;"",IFERROR(INDEX(应收键,MATCH($L1252,应收单号,0)),"")&lt;&gt;$D1252),"★关联单号不是这个客户的",IF(AND($L1252&lt;&gt;"",ROUND(SUMIF(收款关联,$L1252,收款金额)-IFERROR(INDEX(应收金额,MATCH($L1252,应收单号,0)),0),2)&gt;0.001),"★指定冲销超过那张单的应收","OK"))))))))</f>
        <v/>
      </c>
    </row>
    <row r="1253" customFormat="false" ht="15" hidden="false" customHeight="false" outlineLevel="0" collapsed="false">
      <c r="A1253" s="29" t="str">
        <f aca="false">IF($C1253="","",ROW()-4)</f>
        <v/>
      </c>
      <c r="B1253" s="35" t="str">
        <f aca="false">IF($C1253="","","SK"&amp;TEXT($C1253,"yyyymm")&amp;"-"&amp;TEXT(ROW()-4,"0000"))</f>
        <v/>
      </c>
      <c r="C1253" s="33"/>
      <c r="D1253" s="24"/>
      <c r="E1253" s="30" t="str">
        <f aca="false">IF($D1253="","",IFERROR(INDEX(合同单位,MATCH($D1253,合同键,0)),IFERROR(TRIM(LEFT($D1253,FIND("｜",$D1253)-1)),$D1253)))</f>
        <v/>
      </c>
      <c r="F1253" s="30" t="str">
        <f aca="false">IF($D1253="","",IFERROR(INDEX(合同项目,MATCH($D1253,合同键,0)),IFERROR(TRIM(MID($D1253,FIND("｜",$D1253)+1,99)),"")))</f>
        <v/>
      </c>
      <c r="G1253" s="39"/>
      <c r="H1253" s="25"/>
      <c r="I1253" s="35" t="str">
        <f aca="false">IF($H1253="","",IFERROR(INDEX(票据归类表,MATCH($H1253,票据类型表,0)),"现金无票"))</f>
        <v/>
      </c>
      <c r="J1253" s="25"/>
      <c r="K1253" s="25"/>
      <c r="L1253" s="31"/>
      <c r="M1253" s="29" t="str">
        <f aca="false">IF($C1253="","",YEAR($C1253))</f>
        <v/>
      </c>
      <c r="N1253" s="24"/>
      <c r="O1253" s="35" t="str">
        <f aca="false">IF($C1253="","",IF($D1253="","★没选客户项目",IF(COUNTIF(合同键,$D1253)=0,"★《维保合同》里没这个项目",IF(N($G1253)&lt;=0,"★收款金额要填",IF($H1253="","★票据类型要选",IF(AND($L1253&lt;&gt;"",COUNTIF(应收单号,$L1253)=0),"★关联的应收单号不存在",IF(AND($L1253&lt;&gt;"",IFERROR(INDEX(应收键,MATCH($L1253,应收单号,0)),"")&lt;&gt;$D1253),"★关联单号不是这个客户的",IF(AND($L1253&lt;&gt;"",ROUND(SUMIF(收款关联,$L1253,收款金额)-IFERROR(INDEX(应收金额,MATCH($L1253,应收单号,0)),0),2)&gt;0.001),"★指定冲销超过那张单的应收","OK"))))))))</f>
        <v/>
      </c>
    </row>
    <row r="1254" customFormat="false" ht="15" hidden="false" customHeight="false" outlineLevel="0" collapsed="false">
      <c r="A1254" s="29" t="str">
        <f aca="false">IF($C1254="","",ROW()-4)</f>
        <v/>
      </c>
      <c r="B1254" s="35" t="str">
        <f aca="false">IF($C1254="","","SK"&amp;TEXT($C1254,"yyyymm")&amp;"-"&amp;TEXT(ROW()-4,"0000"))</f>
        <v/>
      </c>
      <c r="C1254" s="33"/>
      <c r="D1254" s="24"/>
      <c r="E1254" s="30" t="str">
        <f aca="false">IF($D1254="","",IFERROR(INDEX(合同单位,MATCH($D1254,合同键,0)),IFERROR(TRIM(LEFT($D1254,FIND("｜",$D1254)-1)),$D1254)))</f>
        <v/>
      </c>
      <c r="F1254" s="30" t="str">
        <f aca="false">IF($D1254="","",IFERROR(INDEX(合同项目,MATCH($D1254,合同键,0)),IFERROR(TRIM(MID($D1254,FIND("｜",$D1254)+1,99)),"")))</f>
        <v/>
      </c>
      <c r="G1254" s="39"/>
      <c r="H1254" s="25"/>
      <c r="I1254" s="35" t="str">
        <f aca="false">IF($H1254="","",IFERROR(INDEX(票据归类表,MATCH($H1254,票据类型表,0)),"现金无票"))</f>
        <v/>
      </c>
      <c r="J1254" s="25"/>
      <c r="K1254" s="25"/>
      <c r="L1254" s="31"/>
      <c r="M1254" s="29" t="str">
        <f aca="false">IF($C1254="","",YEAR($C1254))</f>
        <v/>
      </c>
      <c r="N1254" s="24"/>
      <c r="O1254" s="35" t="str">
        <f aca="false">IF($C1254="","",IF($D1254="","★没选客户项目",IF(COUNTIF(合同键,$D1254)=0,"★《维保合同》里没这个项目",IF(N($G1254)&lt;=0,"★收款金额要填",IF($H1254="","★票据类型要选",IF(AND($L1254&lt;&gt;"",COUNTIF(应收单号,$L1254)=0),"★关联的应收单号不存在",IF(AND($L1254&lt;&gt;"",IFERROR(INDEX(应收键,MATCH($L1254,应收单号,0)),"")&lt;&gt;$D1254),"★关联单号不是这个客户的",IF(AND($L1254&lt;&gt;"",ROUND(SUMIF(收款关联,$L1254,收款金额)-IFERROR(INDEX(应收金额,MATCH($L1254,应收单号,0)),0),2)&gt;0.001),"★指定冲销超过那张单的应收","OK"))))))))</f>
        <v/>
      </c>
    </row>
    <row r="1255" customFormat="false" ht="15" hidden="false" customHeight="false" outlineLevel="0" collapsed="false">
      <c r="A1255" s="29" t="str">
        <f aca="false">IF($C1255="","",ROW()-4)</f>
        <v/>
      </c>
      <c r="B1255" s="35" t="str">
        <f aca="false">IF($C1255="","","SK"&amp;TEXT($C1255,"yyyymm")&amp;"-"&amp;TEXT(ROW()-4,"0000"))</f>
        <v/>
      </c>
      <c r="C1255" s="33"/>
      <c r="D1255" s="24"/>
      <c r="E1255" s="30" t="str">
        <f aca="false">IF($D1255="","",IFERROR(INDEX(合同单位,MATCH($D1255,合同键,0)),IFERROR(TRIM(LEFT($D1255,FIND("｜",$D1255)-1)),$D1255)))</f>
        <v/>
      </c>
      <c r="F1255" s="30" t="str">
        <f aca="false">IF($D1255="","",IFERROR(INDEX(合同项目,MATCH($D1255,合同键,0)),IFERROR(TRIM(MID($D1255,FIND("｜",$D1255)+1,99)),"")))</f>
        <v/>
      </c>
      <c r="G1255" s="39"/>
      <c r="H1255" s="25"/>
      <c r="I1255" s="35" t="str">
        <f aca="false">IF($H1255="","",IFERROR(INDEX(票据归类表,MATCH($H1255,票据类型表,0)),"现金无票"))</f>
        <v/>
      </c>
      <c r="J1255" s="25"/>
      <c r="K1255" s="25"/>
      <c r="L1255" s="31"/>
      <c r="M1255" s="29" t="str">
        <f aca="false">IF($C1255="","",YEAR($C1255))</f>
        <v/>
      </c>
      <c r="N1255" s="24"/>
      <c r="O1255" s="35" t="str">
        <f aca="false">IF($C1255="","",IF($D1255="","★没选客户项目",IF(COUNTIF(合同键,$D1255)=0,"★《维保合同》里没这个项目",IF(N($G1255)&lt;=0,"★收款金额要填",IF($H1255="","★票据类型要选",IF(AND($L1255&lt;&gt;"",COUNTIF(应收单号,$L1255)=0),"★关联的应收单号不存在",IF(AND($L1255&lt;&gt;"",IFERROR(INDEX(应收键,MATCH($L1255,应收单号,0)),"")&lt;&gt;$D1255),"★关联单号不是这个客户的",IF(AND($L1255&lt;&gt;"",ROUND(SUMIF(收款关联,$L1255,收款金额)-IFERROR(INDEX(应收金额,MATCH($L1255,应收单号,0)),0),2)&gt;0.001),"★指定冲销超过那张单的应收","OK"))))))))</f>
        <v/>
      </c>
    </row>
    <row r="1256" customFormat="false" ht="15" hidden="false" customHeight="false" outlineLevel="0" collapsed="false">
      <c r="A1256" s="29" t="str">
        <f aca="false">IF($C1256="","",ROW()-4)</f>
        <v/>
      </c>
      <c r="B1256" s="35" t="str">
        <f aca="false">IF($C1256="","","SK"&amp;TEXT($C1256,"yyyymm")&amp;"-"&amp;TEXT(ROW()-4,"0000"))</f>
        <v/>
      </c>
      <c r="C1256" s="33"/>
      <c r="D1256" s="24"/>
      <c r="E1256" s="30" t="str">
        <f aca="false">IF($D1256="","",IFERROR(INDEX(合同单位,MATCH($D1256,合同键,0)),IFERROR(TRIM(LEFT($D1256,FIND("｜",$D1256)-1)),$D1256)))</f>
        <v/>
      </c>
      <c r="F1256" s="30" t="str">
        <f aca="false">IF($D1256="","",IFERROR(INDEX(合同项目,MATCH($D1256,合同键,0)),IFERROR(TRIM(MID($D1256,FIND("｜",$D1256)+1,99)),"")))</f>
        <v/>
      </c>
      <c r="G1256" s="39"/>
      <c r="H1256" s="25"/>
      <c r="I1256" s="35" t="str">
        <f aca="false">IF($H1256="","",IFERROR(INDEX(票据归类表,MATCH($H1256,票据类型表,0)),"现金无票"))</f>
        <v/>
      </c>
      <c r="J1256" s="25"/>
      <c r="K1256" s="25"/>
      <c r="L1256" s="31"/>
      <c r="M1256" s="29" t="str">
        <f aca="false">IF($C1256="","",YEAR($C1256))</f>
        <v/>
      </c>
      <c r="N1256" s="24"/>
      <c r="O1256" s="35" t="str">
        <f aca="false">IF($C1256="","",IF($D1256="","★没选客户项目",IF(COUNTIF(合同键,$D1256)=0,"★《维保合同》里没这个项目",IF(N($G1256)&lt;=0,"★收款金额要填",IF($H1256="","★票据类型要选",IF(AND($L1256&lt;&gt;"",COUNTIF(应收单号,$L1256)=0),"★关联的应收单号不存在",IF(AND($L1256&lt;&gt;"",IFERROR(INDEX(应收键,MATCH($L1256,应收单号,0)),"")&lt;&gt;$D1256),"★关联单号不是这个客户的",IF(AND($L1256&lt;&gt;"",ROUND(SUMIF(收款关联,$L1256,收款金额)-IFERROR(INDEX(应收金额,MATCH($L1256,应收单号,0)),0),2)&gt;0.001),"★指定冲销超过那张单的应收","OK"))))))))</f>
        <v/>
      </c>
    </row>
    <row r="1257" customFormat="false" ht="15" hidden="false" customHeight="false" outlineLevel="0" collapsed="false">
      <c r="A1257" s="29" t="str">
        <f aca="false">IF($C1257="","",ROW()-4)</f>
        <v/>
      </c>
      <c r="B1257" s="35" t="str">
        <f aca="false">IF($C1257="","","SK"&amp;TEXT($C1257,"yyyymm")&amp;"-"&amp;TEXT(ROW()-4,"0000"))</f>
        <v/>
      </c>
      <c r="C1257" s="33"/>
      <c r="D1257" s="24"/>
      <c r="E1257" s="30" t="str">
        <f aca="false">IF($D1257="","",IFERROR(INDEX(合同单位,MATCH($D1257,合同键,0)),IFERROR(TRIM(LEFT($D1257,FIND("｜",$D1257)-1)),$D1257)))</f>
        <v/>
      </c>
      <c r="F1257" s="30" t="str">
        <f aca="false">IF($D1257="","",IFERROR(INDEX(合同项目,MATCH($D1257,合同键,0)),IFERROR(TRIM(MID($D1257,FIND("｜",$D1257)+1,99)),"")))</f>
        <v/>
      </c>
      <c r="G1257" s="39"/>
      <c r="H1257" s="25"/>
      <c r="I1257" s="35" t="str">
        <f aca="false">IF($H1257="","",IFERROR(INDEX(票据归类表,MATCH($H1257,票据类型表,0)),"现金无票"))</f>
        <v/>
      </c>
      <c r="J1257" s="25"/>
      <c r="K1257" s="25"/>
      <c r="L1257" s="31"/>
      <c r="M1257" s="29" t="str">
        <f aca="false">IF($C1257="","",YEAR($C1257))</f>
        <v/>
      </c>
      <c r="N1257" s="24"/>
      <c r="O1257" s="35" t="str">
        <f aca="false">IF($C1257="","",IF($D1257="","★没选客户项目",IF(COUNTIF(合同键,$D1257)=0,"★《维保合同》里没这个项目",IF(N($G1257)&lt;=0,"★收款金额要填",IF($H1257="","★票据类型要选",IF(AND($L1257&lt;&gt;"",COUNTIF(应收单号,$L1257)=0),"★关联的应收单号不存在",IF(AND($L1257&lt;&gt;"",IFERROR(INDEX(应收键,MATCH($L1257,应收单号,0)),"")&lt;&gt;$D1257),"★关联单号不是这个客户的",IF(AND($L1257&lt;&gt;"",ROUND(SUMIF(收款关联,$L1257,收款金额)-IFERROR(INDEX(应收金额,MATCH($L1257,应收单号,0)),0),2)&gt;0.001),"★指定冲销超过那张单的应收","OK"))))))))</f>
        <v/>
      </c>
    </row>
    <row r="1258" customFormat="false" ht="15" hidden="false" customHeight="false" outlineLevel="0" collapsed="false">
      <c r="A1258" s="29" t="str">
        <f aca="false">IF($C1258="","",ROW()-4)</f>
        <v/>
      </c>
      <c r="B1258" s="35" t="str">
        <f aca="false">IF($C1258="","","SK"&amp;TEXT($C1258,"yyyymm")&amp;"-"&amp;TEXT(ROW()-4,"0000"))</f>
        <v/>
      </c>
      <c r="C1258" s="33"/>
      <c r="D1258" s="24"/>
      <c r="E1258" s="30" t="str">
        <f aca="false">IF($D1258="","",IFERROR(INDEX(合同单位,MATCH($D1258,合同键,0)),IFERROR(TRIM(LEFT($D1258,FIND("｜",$D1258)-1)),$D1258)))</f>
        <v/>
      </c>
      <c r="F1258" s="30" t="str">
        <f aca="false">IF($D1258="","",IFERROR(INDEX(合同项目,MATCH($D1258,合同键,0)),IFERROR(TRIM(MID($D1258,FIND("｜",$D1258)+1,99)),"")))</f>
        <v/>
      </c>
      <c r="G1258" s="39"/>
      <c r="H1258" s="25"/>
      <c r="I1258" s="35" t="str">
        <f aca="false">IF($H1258="","",IFERROR(INDEX(票据归类表,MATCH($H1258,票据类型表,0)),"现金无票"))</f>
        <v/>
      </c>
      <c r="J1258" s="25"/>
      <c r="K1258" s="25"/>
      <c r="L1258" s="31"/>
      <c r="M1258" s="29" t="str">
        <f aca="false">IF($C1258="","",YEAR($C1258))</f>
        <v/>
      </c>
      <c r="N1258" s="24"/>
      <c r="O1258" s="35" t="str">
        <f aca="false">IF($C1258="","",IF($D1258="","★没选客户项目",IF(COUNTIF(合同键,$D1258)=0,"★《维保合同》里没这个项目",IF(N($G1258)&lt;=0,"★收款金额要填",IF($H1258="","★票据类型要选",IF(AND($L1258&lt;&gt;"",COUNTIF(应收单号,$L1258)=0),"★关联的应收单号不存在",IF(AND($L1258&lt;&gt;"",IFERROR(INDEX(应收键,MATCH($L1258,应收单号,0)),"")&lt;&gt;$D1258),"★关联单号不是这个客户的",IF(AND($L1258&lt;&gt;"",ROUND(SUMIF(收款关联,$L1258,收款金额)-IFERROR(INDEX(应收金额,MATCH($L1258,应收单号,0)),0),2)&gt;0.001),"★指定冲销超过那张单的应收","OK"))))))))</f>
        <v/>
      </c>
    </row>
    <row r="1259" customFormat="false" ht="15" hidden="false" customHeight="false" outlineLevel="0" collapsed="false">
      <c r="A1259" s="29" t="str">
        <f aca="false">IF($C1259="","",ROW()-4)</f>
        <v/>
      </c>
      <c r="B1259" s="35" t="str">
        <f aca="false">IF($C1259="","","SK"&amp;TEXT($C1259,"yyyymm")&amp;"-"&amp;TEXT(ROW()-4,"0000"))</f>
        <v/>
      </c>
      <c r="C1259" s="33"/>
      <c r="D1259" s="24"/>
      <c r="E1259" s="30" t="str">
        <f aca="false">IF($D1259="","",IFERROR(INDEX(合同单位,MATCH($D1259,合同键,0)),IFERROR(TRIM(LEFT($D1259,FIND("｜",$D1259)-1)),$D1259)))</f>
        <v/>
      </c>
      <c r="F1259" s="30" t="str">
        <f aca="false">IF($D1259="","",IFERROR(INDEX(合同项目,MATCH($D1259,合同键,0)),IFERROR(TRIM(MID($D1259,FIND("｜",$D1259)+1,99)),"")))</f>
        <v/>
      </c>
      <c r="G1259" s="39"/>
      <c r="H1259" s="25"/>
      <c r="I1259" s="35" t="str">
        <f aca="false">IF($H1259="","",IFERROR(INDEX(票据归类表,MATCH($H1259,票据类型表,0)),"现金无票"))</f>
        <v/>
      </c>
      <c r="J1259" s="25"/>
      <c r="K1259" s="25"/>
      <c r="L1259" s="31"/>
      <c r="M1259" s="29" t="str">
        <f aca="false">IF($C1259="","",YEAR($C1259))</f>
        <v/>
      </c>
      <c r="N1259" s="24"/>
      <c r="O1259" s="35" t="str">
        <f aca="false">IF($C1259="","",IF($D1259="","★没选客户项目",IF(COUNTIF(合同键,$D1259)=0,"★《维保合同》里没这个项目",IF(N($G1259)&lt;=0,"★收款金额要填",IF($H1259="","★票据类型要选",IF(AND($L1259&lt;&gt;"",COUNTIF(应收单号,$L1259)=0),"★关联的应收单号不存在",IF(AND($L1259&lt;&gt;"",IFERROR(INDEX(应收键,MATCH($L1259,应收单号,0)),"")&lt;&gt;$D1259),"★关联单号不是这个客户的",IF(AND($L1259&lt;&gt;"",ROUND(SUMIF(收款关联,$L1259,收款金额)-IFERROR(INDEX(应收金额,MATCH($L1259,应收单号,0)),0),2)&gt;0.001),"★指定冲销超过那张单的应收","OK"))))))))</f>
        <v/>
      </c>
    </row>
    <row r="1260" customFormat="false" ht="15" hidden="false" customHeight="false" outlineLevel="0" collapsed="false">
      <c r="A1260" s="29" t="str">
        <f aca="false">IF($C1260="","",ROW()-4)</f>
        <v/>
      </c>
      <c r="B1260" s="35" t="str">
        <f aca="false">IF($C1260="","","SK"&amp;TEXT($C1260,"yyyymm")&amp;"-"&amp;TEXT(ROW()-4,"0000"))</f>
        <v/>
      </c>
      <c r="C1260" s="33"/>
      <c r="D1260" s="24"/>
      <c r="E1260" s="30" t="str">
        <f aca="false">IF($D1260="","",IFERROR(INDEX(合同单位,MATCH($D1260,合同键,0)),IFERROR(TRIM(LEFT($D1260,FIND("｜",$D1260)-1)),$D1260)))</f>
        <v/>
      </c>
      <c r="F1260" s="30" t="str">
        <f aca="false">IF($D1260="","",IFERROR(INDEX(合同项目,MATCH($D1260,合同键,0)),IFERROR(TRIM(MID($D1260,FIND("｜",$D1260)+1,99)),"")))</f>
        <v/>
      </c>
      <c r="G1260" s="39"/>
      <c r="H1260" s="25"/>
      <c r="I1260" s="35" t="str">
        <f aca="false">IF($H1260="","",IFERROR(INDEX(票据归类表,MATCH($H1260,票据类型表,0)),"现金无票"))</f>
        <v/>
      </c>
      <c r="J1260" s="25"/>
      <c r="K1260" s="25"/>
      <c r="L1260" s="31"/>
      <c r="M1260" s="29" t="str">
        <f aca="false">IF($C1260="","",YEAR($C1260))</f>
        <v/>
      </c>
      <c r="N1260" s="24"/>
      <c r="O1260" s="35" t="str">
        <f aca="false">IF($C1260="","",IF($D1260="","★没选客户项目",IF(COUNTIF(合同键,$D1260)=0,"★《维保合同》里没这个项目",IF(N($G1260)&lt;=0,"★收款金额要填",IF($H1260="","★票据类型要选",IF(AND($L1260&lt;&gt;"",COUNTIF(应收单号,$L1260)=0),"★关联的应收单号不存在",IF(AND($L1260&lt;&gt;"",IFERROR(INDEX(应收键,MATCH($L1260,应收单号,0)),"")&lt;&gt;$D1260),"★关联单号不是这个客户的",IF(AND($L1260&lt;&gt;"",ROUND(SUMIF(收款关联,$L1260,收款金额)-IFERROR(INDEX(应收金额,MATCH($L1260,应收单号,0)),0),2)&gt;0.001),"★指定冲销超过那张单的应收","OK"))))))))</f>
        <v/>
      </c>
    </row>
    <row r="1261" customFormat="false" ht="15" hidden="false" customHeight="false" outlineLevel="0" collapsed="false">
      <c r="A1261" s="29" t="str">
        <f aca="false">IF($C1261="","",ROW()-4)</f>
        <v/>
      </c>
      <c r="B1261" s="35" t="str">
        <f aca="false">IF($C1261="","","SK"&amp;TEXT($C1261,"yyyymm")&amp;"-"&amp;TEXT(ROW()-4,"0000"))</f>
        <v/>
      </c>
      <c r="C1261" s="33"/>
      <c r="D1261" s="24"/>
      <c r="E1261" s="30" t="str">
        <f aca="false">IF($D1261="","",IFERROR(INDEX(合同单位,MATCH($D1261,合同键,0)),IFERROR(TRIM(LEFT($D1261,FIND("｜",$D1261)-1)),$D1261)))</f>
        <v/>
      </c>
      <c r="F1261" s="30" t="str">
        <f aca="false">IF($D1261="","",IFERROR(INDEX(合同项目,MATCH($D1261,合同键,0)),IFERROR(TRIM(MID($D1261,FIND("｜",$D1261)+1,99)),"")))</f>
        <v/>
      </c>
      <c r="G1261" s="39"/>
      <c r="H1261" s="25"/>
      <c r="I1261" s="35" t="str">
        <f aca="false">IF($H1261="","",IFERROR(INDEX(票据归类表,MATCH($H1261,票据类型表,0)),"现金无票"))</f>
        <v/>
      </c>
      <c r="J1261" s="25"/>
      <c r="K1261" s="25"/>
      <c r="L1261" s="31"/>
      <c r="M1261" s="29" t="str">
        <f aca="false">IF($C1261="","",YEAR($C1261))</f>
        <v/>
      </c>
      <c r="N1261" s="24"/>
      <c r="O1261" s="35" t="str">
        <f aca="false">IF($C1261="","",IF($D1261="","★没选客户项目",IF(COUNTIF(合同键,$D1261)=0,"★《维保合同》里没这个项目",IF(N($G1261)&lt;=0,"★收款金额要填",IF($H1261="","★票据类型要选",IF(AND($L1261&lt;&gt;"",COUNTIF(应收单号,$L1261)=0),"★关联的应收单号不存在",IF(AND($L1261&lt;&gt;"",IFERROR(INDEX(应收键,MATCH($L1261,应收单号,0)),"")&lt;&gt;$D1261),"★关联单号不是这个客户的",IF(AND($L1261&lt;&gt;"",ROUND(SUMIF(收款关联,$L1261,收款金额)-IFERROR(INDEX(应收金额,MATCH($L1261,应收单号,0)),0),2)&gt;0.001),"★指定冲销超过那张单的应收","OK"))))))))</f>
        <v/>
      </c>
    </row>
    <row r="1262" customFormat="false" ht="15" hidden="false" customHeight="false" outlineLevel="0" collapsed="false">
      <c r="A1262" s="29" t="str">
        <f aca="false">IF($C1262="","",ROW()-4)</f>
        <v/>
      </c>
      <c r="B1262" s="35" t="str">
        <f aca="false">IF($C1262="","","SK"&amp;TEXT($C1262,"yyyymm")&amp;"-"&amp;TEXT(ROW()-4,"0000"))</f>
        <v/>
      </c>
      <c r="C1262" s="33"/>
      <c r="D1262" s="24"/>
      <c r="E1262" s="30" t="str">
        <f aca="false">IF($D1262="","",IFERROR(INDEX(合同单位,MATCH($D1262,合同键,0)),IFERROR(TRIM(LEFT($D1262,FIND("｜",$D1262)-1)),$D1262)))</f>
        <v/>
      </c>
      <c r="F1262" s="30" t="str">
        <f aca="false">IF($D1262="","",IFERROR(INDEX(合同项目,MATCH($D1262,合同键,0)),IFERROR(TRIM(MID($D1262,FIND("｜",$D1262)+1,99)),"")))</f>
        <v/>
      </c>
      <c r="G1262" s="39"/>
      <c r="H1262" s="25"/>
      <c r="I1262" s="35" t="str">
        <f aca="false">IF($H1262="","",IFERROR(INDEX(票据归类表,MATCH($H1262,票据类型表,0)),"现金无票"))</f>
        <v/>
      </c>
      <c r="J1262" s="25"/>
      <c r="K1262" s="25"/>
      <c r="L1262" s="31"/>
      <c r="M1262" s="29" t="str">
        <f aca="false">IF($C1262="","",YEAR($C1262))</f>
        <v/>
      </c>
      <c r="N1262" s="24"/>
      <c r="O1262" s="35" t="str">
        <f aca="false">IF($C1262="","",IF($D1262="","★没选客户项目",IF(COUNTIF(合同键,$D1262)=0,"★《维保合同》里没这个项目",IF(N($G1262)&lt;=0,"★收款金额要填",IF($H1262="","★票据类型要选",IF(AND($L1262&lt;&gt;"",COUNTIF(应收单号,$L1262)=0),"★关联的应收单号不存在",IF(AND($L1262&lt;&gt;"",IFERROR(INDEX(应收键,MATCH($L1262,应收单号,0)),"")&lt;&gt;$D1262),"★关联单号不是这个客户的",IF(AND($L1262&lt;&gt;"",ROUND(SUMIF(收款关联,$L1262,收款金额)-IFERROR(INDEX(应收金额,MATCH($L1262,应收单号,0)),0),2)&gt;0.001),"★指定冲销超过那张单的应收","OK"))))))))</f>
        <v/>
      </c>
    </row>
    <row r="1263" customFormat="false" ht="15" hidden="false" customHeight="false" outlineLevel="0" collapsed="false">
      <c r="A1263" s="29" t="str">
        <f aca="false">IF($C1263="","",ROW()-4)</f>
        <v/>
      </c>
      <c r="B1263" s="35" t="str">
        <f aca="false">IF($C1263="","","SK"&amp;TEXT($C1263,"yyyymm")&amp;"-"&amp;TEXT(ROW()-4,"0000"))</f>
        <v/>
      </c>
      <c r="C1263" s="33"/>
      <c r="D1263" s="24"/>
      <c r="E1263" s="30" t="str">
        <f aca="false">IF($D1263="","",IFERROR(INDEX(合同单位,MATCH($D1263,合同键,0)),IFERROR(TRIM(LEFT($D1263,FIND("｜",$D1263)-1)),$D1263)))</f>
        <v/>
      </c>
      <c r="F1263" s="30" t="str">
        <f aca="false">IF($D1263="","",IFERROR(INDEX(合同项目,MATCH($D1263,合同键,0)),IFERROR(TRIM(MID($D1263,FIND("｜",$D1263)+1,99)),"")))</f>
        <v/>
      </c>
      <c r="G1263" s="39"/>
      <c r="H1263" s="25"/>
      <c r="I1263" s="35" t="str">
        <f aca="false">IF($H1263="","",IFERROR(INDEX(票据归类表,MATCH($H1263,票据类型表,0)),"现金无票"))</f>
        <v/>
      </c>
      <c r="J1263" s="25"/>
      <c r="K1263" s="25"/>
      <c r="L1263" s="31"/>
      <c r="M1263" s="29" t="str">
        <f aca="false">IF($C1263="","",YEAR($C1263))</f>
        <v/>
      </c>
      <c r="N1263" s="24"/>
      <c r="O1263" s="35" t="str">
        <f aca="false">IF($C1263="","",IF($D1263="","★没选客户项目",IF(COUNTIF(合同键,$D1263)=0,"★《维保合同》里没这个项目",IF(N($G1263)&lt;=0,"★收款金额要填",IF($H1263="","★票据类型要选",IF(AND($L1263&lt;&gt;"",COUNTIF(应收单号,$L1263)=0),"★关联的应收单号不存在",IF(AND($L1263&lt;&gt;"",IFERROR(INDEX(应收键,MATCH($L1263,应收单号,0)),"")&lt;&gt;$D1263),"★关联单号不是这个客户的",IF(AND($L1263&lt;&gt;"",ROUND(SUMIF(收款关联,$L1263,收款金额)-IFERROR(INDEX(应收金额,MATCH($L1263,应收单号,0)),0),2)&gt;0.001),"★指定冲销超过那张单的应收","OK"))))))))</f>
        <v/>
      </c>
    </row>
    <row r="1264" customFormat="false" ht="15" hidden="false" customHeight="false" outlineLevel="0" collapsed="false">
      <c r="A1264" s="29" t="str">
        <f aca="false">IF($C1264="","",ROW()-4)</f>
        <v/>
      </c>
      <c r="B1264" s="35" t="str">
        <f aca="false">IF($C1264="","","SK"&amp;TEXT($C1264,"yyyymm")&amp;"-"&amp;TEXT(ROW()-4,"0000"))</f>
        <v/>
      </c>
      <c r="C1264" s="33"/>
      <c r="D1264" s="24"/>
      <c r="E1264" s="30" t="str">
        <f aca="false">IF($D1264="","",IFERROR(INDEX(合同单位,MATCH($D1264,合同键,0)),IFERROR(TRIM(LEFT($D1264,FIND("｜",$D1264)-1)),$D1264)))</f>
        <v/>
      </c>
      <c r="F1264" s="30" t="str">
        <f aca="false">IF($D1264="","",IFERROR(INDEX(合同项目,MATCH($D1264,合同键,0)),IFERROR(TRIM(MID($D1264,FIND("｜",$D1264)+1,99)),"")))</f>
        <v/>
      </c>
      <c r="G1264" s="39"/>
      <c r="H1264" s="25"/>
      <c r="I1264" s="35" t="str">
        <f aca="false">IF($H1264="","",IFERROR(INDEX(票据归类表,MATCH($H1264,票据类型表,0)),"现金无票"))</f>
        <v/>
      </c>
      <c r="J1264" s="25"/>
      <c r="K1264" s="25"/>
      <c r="L1264" s="31"/>
      <c r="M1264" s="29" t="str">
        <f aca="false">IF($C1264="","",YEAR($C1264))</f>
        <v/>
      </c>
      <c r="N1264" s="24"/>
      <c r="O1264" s="35" t="str">
        <f aca="false">IF($C1264="","",IF($D1264="","★没选客户项目",IF(COUNTIF(合同键,$D1264)=0,"★《维保合同》里没这个项目",IF(N($G1264)&lt;=0,"★收款金额要填",IF($H1264="","★票据类型要选",IF(AND($L1264&lt;&gt;"",COUNTIF(应收单号,$L1264)=0),"★关联的应收单号不存在",IF(AND($L1264&lt;&gt;"",IFERROR(INDEX(应收键,MATCH($L1264,应收单号,0)),"")&lt;&gt;$D1264),"★关联单号不是这个客户的",IF(AND($L1264&lt;&gt;"",ROUND(SUMIF(收款关联,$L1264,收款金额)-IFERROR(INDEX(应收金额,MATCH($L1264,应收单号,0)),0),2)&gt;0.001),"★指定冲销超过那张单的应收","OK"))))))))</f>
        <v/>
      </c>
    </row>
    <row r="1265" customFormat="false" ht="15" hidden="false" customHeight="false" outlineLevel="0" collapsed="false">
      <c r="A1265" s="29" t="str">
        <f aca="false">IF($C1265="","",ROW()-4)</f>
        <v/>
      </c>
      <c r="B1265" s="35" t="str">
        <f aca="false">IF($C1265="","","SK"&amp;TEXT($C1265,"yyyymm")&amp;"-"&amp;TEXT(ROW()-4,"0000"))</f>
        <v/>
      </c>
      <c r="C1265" s="33"/>
      <c r="D1265" s="24"/>
      <c r="E1265" s="30" t="str">
        <f aca="false">IF($D1265="","",IFERROR(INDEX(合同单位,MATCH($D1265,合同键,0)),IFERROR(TRIM(LEFT($D1265,FIND("｜",$D1265)-1)),$D1265)))</f>
        <v/>
      </c>
      <c r="F1265" s="30" t="str">
        <f aca="false">IF($D1265="","",IFERROR(INDEX(合同项目,MATCH($D1265,合同键,0)),IFERROR(TRIM(MID($D1265,FIND("｜",$D1265)+1,99)),"")))</f>
        <v/>
      </c>
      <c r="G1265" s="39"/>
      <c r="H1265" s="25"/>
      <c r="I1265" s="35" t="str">
        <f aca="false">IF($H1265="","",IFERROR(INDEX(票据归类表,MATCH($H1265,票据类型表,0)),"现金无票"))</f>
        <v/>
      </c>
      <c r="J1265" s="25"/>
      <c r="K1265" s="25"/>
      <c r="L1265" s="31"/>
      <c r="M1265" s="29" t="str">
        <f aca="false">IF($C1265="","",YEAR($C1265))</f>
        <v/>
      </c>
      <c r="N1265" s="24"/>
      <c r="O1265" s="35" t="str">
        <f aca="false">IF($C1265="","",IF($D1265="","★没选客户项目",IF(COUNTIF(合同键,$D1265)=0,"★《维保合同》里没这个项目",IF(N($G1265)&lt;=0,"★收款金额要填",IF($H1265="","★票据类型要选",IF(AND($L1265&lt;&gt;"",COUNTIF(应收单号,$L1265)=0),"★关联的应收单号不存在",IF(AND($L1265&lt;&gt;"",IFERROR(INDEX(应收键,MATCH($L1265,应收单号,0)),"")&lt;&gt;$D1265),"★关联单号不是这个客户的",IF(AND($L1265&lt;&gt;"",ROUND(SUMIF(收款关联,$L1265,收款金额)-IFERROR(INDEX(应收金额,MATCH($L1265,应收单号,0)),0),2)&gt;0.001),"★指定冲销超过那张单的应收","OK"))))))))</f>
        <v/>
      </c>
    </row>
    <row r="1266" customFormat="false" ht="15" hidden="false" customHeight="false" outlineLevel="0" collapsed="false">
      <c r="A1266" s="29" t="str">
        <f aca="false">IF($C1266="","",ROW()-4)</f>
        <v/>
      </c>
      <c r="B1266" s="35" t="str">
        <f aca="false">IF($C1266="","","SK"&amp;TEXT($C1266,"yyyymm")&amp;"-"&amp;TEXT(ROW()-4,"0000"))</f>
        <v/>
      </c>
      <c r="C1266" s="33"/>
      <c r="D1266" s="24"/>
      <c r="E1266" s="30" t="str">
        <f aca="false">IF($D1266="","",IFERROR(INDEX(合同单位,MATCH($D1266,合同键,0)),IFERROR(TRIM(LEFT($D1266,FIND("｜",$D1266)-1)),$D1266)))</f>
        <v/>
      </c>
      <c r="F1266" s="30" t="str">
        <f aca="false">IF($D1266="","",IFERROR(INDEX(合同项目,MATCH($D1266,合同键,0)),IFERROR(TRIM(MID($D1266,FIND("｜",$D1266)+1,99)),"")))</f>
        <v/>
      </c>
      <c r="G1266" s="39"/>
      <c r="H1266" s="25"/>
      <c r="I1266" s="35" t="str">
        <f aca="false">IF($H1266="","",IFERROR(INDEX(票据归类表,MATCH($H1266,票据类型表,0)),"现金无票"))</f>
        <v/>
      </c>
      <c r="J1266" s="25"/>
      <c r="K1266" s="25"/>
      <c r="L1266" s="31"/>
      <c r="M1266" s="29" t="str">
        <f aca="false">IF($C1266="","",YEAR($C1266))</f>
        <v/>
      </c>
      <c r="N1266" s="24"/>
      <c r="O1266" s="35" t="str">
        <f aca="false">IF($C1266="","",IF($D1266="","★没选客户项目",IF(COUNTIF(合同键,$D1266)=0,"★《维保合同》里没这个项目",IF(N($G1266)&lt;=0,"★收款金额要填",IF($H1266="","★票据类型要选",IF(AND($L1266&lt;&gt;"",COUNTIF(应收单号,$L1266)=0),"★关联的应收单号不存在",IF(AND($L1266&lt;&gt;"",IFERROR(INDEX(应收键,MATCH($L1266,应收单号,0)),"")&lt;&gt;$D1266),"★关联单号不是这个客户的",IF(AND($L1266&lt;&gt;"",ROUND(SUMIF(收款关联,$L1266,收款金额)-IFERROR(INDEX(应收金额,MATCH($L1266,应收单号,0)),0),2)&gt;0.001),"★指定冲销超过那张单的应收","OK"))))))))</f>
        <v/>
      </c>
    </row>
    <row r="1267" customFormat="false" ht="15" hidden="false" customHeight="false" outlineLevel="0" collapsed="false">
      <c r="A1267" s="29" t="str">
        <f aca="false">IF($C1267="","",ROW()-4)</f>
        <v/>
      </c>
      <c r="B1267" s="35" t="str">
        <f aca="false">IF($C1267="","","SK"&amp;TEXT($C1267,"yyyymm")&amp;"-"&amp;TEXT(ROW()-4,"0000"))</f>
        <v/>
      </c>
      <c r="C1267" s="33"/>
      <c r="D1267" s="24"/>
      <c r="E1267" s="30" t="str">
        <f aca="false">IF($D1267="","",IFERROR(INDEX(合同单位,MATCH($D1267,合同键,0)),IFERROR(TRIM(LEFT($D1267,FIND("｜",$D1267)-1)),$D1267)))</f>
        <v/>
      </c>
      <c r="F1267" s="30" t="str">
        <f aca="false">IF($D1267="","",IFERROR(INDEX(合同项目,MATCH($D1267,合同键,0)),IFERROR(TRIM(MID($D1267,FIND("｜",$D1267)+1,99)),"")))</f>
        <v/>
      </c>
      <c r="G1267" s="39"/>
      <c r="H1267" s="25"/>
      <c r="I1267" s="35" t="str">
        <f aca="false">IF($H1267="","",IFERROR(INDEX(票据归类表,MATCH($H1267,票据类型表,0)),"现金无票"))</f>
        <v/>
      </c>
      <c r="J1267" s="25"/>
      <c r="K1267" s="25"/>
      <c r="L1267" s="31"/>
      <c r="M1267" s="29" t="str">
        <f aca="false">IF($C1267="","",YEAR($C1267))</f>
        <v/>
      </c>
      <c r="N1267" s="24"/>
      <c r="O1267" s="35" t="str">
        <f aca="false">IF($C1267="","",IF($D1267="","★没选客户项目",IF(COUNTIF(合同键,$D1267)=0,"★《维保合同》里没这个项目",IF(N($G1267)&lt;=0,"★收款金额要填",IF($H1267="","★票据类型要选",IF(AND($L1267&lt;&gt;"",COUNTIF(应收单号,$L1267)=0),"★关联的应收单号不存在",IF(AND($L1267&lt;&gt;"",IFERROR(INDEX(应收键,MATCH($L1267,应收单号,0)),"")&lt;&gt;$D1267),"★关联单号不是这个客户的",IF(AND($L1267&lt;&gt;"",ROUND(SUMIF(收款关联,$L1267,收款金额)-IFERROR(INDEX(应收金额,MATCH($L1267,应收单号,0)),0),2)&gt;0.001),"★指定冲销超过那张单的应收","OK"))))))))</f>
        <v/>
      </c>
    </row>
    <row r="1268" customFormat="false" ht="15" hidden="false" customHeight="false" outlineLevel="0" collapsed="false">
      <c r="A1268" s="29" t="str">
        <f aca="false">IF($C1268="","",ROW()-4)</f>
        <v/>
      </c>
      <c r="B1268" s="35" t="str">
        <f aca="false">IF($C1268="","","SK"&amp;TEXT($C1268,"yyyymm")&amp;"-"&amp;TEXT(ROW()-4,"0000"))</f>
        <v/>
      </c>
      <c r="C1268" s="33"/>
      <c r="D1268" s="24"/>
      <c r="E1268" s="30" t="str">
        <f aca="false">IF($D1268="","",IFERROR(INDEX(合同单位,MATCH($D1268,合同键,0)),IFERROR(TRIM(LEFT($D1268,FIND("｜",$D1268)-1)),$D1268)))</f>
        <v/>
      </c>
      <c r="F1268" s="30" t="str">
        <f aca="false">IF($D1268="","",IFERROR(INDEX(合同项目,MATCH($D1268,合同键,0)),IFERROR(TRIM(MID($D1268,FIND("｜",$D1268)+1,99)),"")))</f>
        <v/>
      </c>
      <c r="G1268" s="39"/>
      <c r="H1268" s="25"/>
      <c r="I1268" s="35" t="str">
        <f aca="false">IF($H1268="","",IFERROR(INDEX(票据归类表,MATCH($H1268,票据类型表,0)),"现金无票"))</f>
        <v/>
      </c>
      <c r="J1268" s="25"/>
      <c r="K1268" s="25"/>
      <c r="L1268" s="31"/>
      <c r="M1268" s="29" t="str">
        <f aca="false">IF($C1268="","",YEAR($C1268))</f>
        <v/>
      </c>
      <c r="N1268" s="24"/>
      <c r="O1268" s="35" t="str">
        <f aca="false">IF($C1268="","",IF($D1268="","★没选客户项目",IF(COUNTIF(合同键,$D1268)=0,"★《维保合同》里没这个项目",IF(N($G1268)&lt;=0,"★收款金额要填",IF($H1268="","★票据类型要选",IF(AND($L1268&lt;&gt;"",COUNTIF(应收单号,$L1268)=0),"★关联的应收单号不存在",IF(AND($L1268&lt;&gt;"",IFERROR(INDEX(应收键,MATCH($L1268,应收单号,0)),"")&lt;&gt;$D1268),"★关联单号不是这个客户的",IF(AND($L1268&lt;&gt;"",ROUND(SUMIF(收款关联,$L1268,收款金额)-IFERROR(INDEX(应收金额,MATCH($L1268,应收单号,0)),0),2)&gt;0.001),"★指定冲销超过那张单的应收","OK"))))))))</f>
        <v/>
      </c>
    </row>
    <row r="1269" customFormat="false" ht="15" hidden="false" customHeight="false" outlineLevel="0" collapsed="false">
      <c r="A1269" s="29" t="str">
        <f aca="false">IF($C1269="","",ROW()-4)</f>
        <v/>
      </c>
      <c r="B1269" s="35" t="str">
        <f aca="false">IF($C1269="","","SK"&amp;TEXT($C1269,"yyyymm")&amp;"-"&amp;TEXT(ROW()-4,"0000"))</f>
        <v/>
      </c>
      <c r="C1269" s="33"/>
      <c r="D1269" s="24"/>
      <c r="E1269" s="30" t="str">
        <f aca="false">IF($D1269="","",IFERROR(INDEX(合同单位,MATCH($D1269,合同键,0)),IFERROR(TRIM(LEFT($D1269,FIND("｜",$D1269)-1)),$D1269)))</f>
        <v/>
      </c>
      <c r="F1269" s="30" t="str">
        <f aca="false">IF($D1269="","",IFERROR(INDEX(合同项目,MATCH($D1269,合同键,0)),IFERROR(TRIM(MID($D1269,FIND("｜",$D1269)+1,99)),"")))</f>
        <v/>
      </c>
      <c r="G1269" s="39"/>
      <c r="H1269" s="25"/>
      <c r="I1269" s="35" t="str">
        <f aca="false">IF($H1269="","",IFERROR(INDEX(票据归类表,MATCH($H1269,票据类型表,0)),"现金无票"))</f>
        <v/>
      </c>
      <c r="J1269" s="25"/>
      <c r="K1269" s="25"/>
      <c r="L1269" s="31"/>
      <c r="M1269" s="29" t="str">
        <f aca="false">IF($C1269="","",YEAR($C1269))</f>
        <v/>
      </c>
      <c r="N1269" s="24"/>
      <c r="O1269" s="35" t="str">
        <f aca="false">IF($C1269="","",IF($D1269="","★没选客户项目",IF(COUNTIF(合同键,$D1269)=0,"★《维保合同》里没这个项目",IF(N($G1269)&lt;=0,"★收款金额要填",IF($H1269="","★票据类型要选",IF(AND($L1269&lt;&gt;"",COUNTIF(应收单号,$L1269)=0),"★关联的应收单号不存在",IF(AND($L1269&lt;&gt;"",IFERROR(INDEX(应收键,MATCH($L1269,应收单号,0)),"")&lt;&gt;$D1269),"★关联单号不是这个客户的",IF(AND($L1269&lt;&gt;"",ROUND(SUMIF(收款关联,$L1269,收款金额)-IFERROR(INDEX(应收金额,MATCH($L1269,应收单号,0)),0),2)&gt;0.001),"★指定冲销超过那张单的应收","OK"))))))))</f>
        <v/>
      </c>
    </row>
    <row r="1270" customFormat="false" ht="15" hidden="false" customHeight="false" outlineLevel="0" collapsed="false">
      <c r="A1270" s="29" t="str">
        <f aca="false">IF($C1270="","",ROW()-4)</f>
        <v/>
      </c>
      <c r="B1270" s="35" t="str">
        <f aca="false">IF($C1270="","","SK"&amp;TEXT($C1270,"yyyymm")&amp;"-"&amp;TEXT(ROW()-4,"0000"))</f>
        <v/>
      </c>
      <c r="C1270" s="33"/>
      <c r="D1270" s="24"/>
      <c r="E1270" s="30" t="str">
        <f aca="false">IF($D1270="","",IFERROR(INDEX(合同单位,MATCH($D1270,合同键,0)),IFERROR(TRIM(LEFT($D1270,FIND("｜",$D1270)-1)),$D1270)))</f>
        <v/>
      </c>
      <c r="F1270" s="30" t="str">
        <f aca="false">IF($D1270="","",IFERROR(INDEX(合同项目,MATCH($D1270,合同键,0)),IFERROR(TRIM(MID($D1270,FIND("｜",$D1270)+1,99)),"")))</f>
        <v/>
      </c>
      <c r="G1270" s="39"/>
      <c r="H1270" s="25"/>
      <c r="I1270" s="35" t="str">
        <f aca="false">IF($H1270="","",IFERROR(INDEX(票据归类表,MATCH($H1270,票据类型表,0)),"现金无票"))</f>
        <v/>
      </c>
      <c r="J1270" s="25"/>
      <c r="K1270" s="25"/>
      <c r="L1270" s="31"/>
      <c r="M1270" s="29" t="str">
        <f aca="false">IF($C1270="","",YEAR($C1270))</f>
        <v/>
      </c>
      <c r="N1270" s="24"/>
      <c r="O1270" s="35" t="str">
        <f aca="false">IF($C1270="","",IF($D1270="","★没选客户项目",IF(COUNTIF(合同键,$D1270)=0,"★《维保合同》里没这个项目",IF(N($G1270)&lt;=0,"★收款金额要填",IF($H1270="","★票据类型要选",IF(AND($L1270&lt;&gt;"",COUNTIF(应收单号,$L1270)=0),"★关联的应收单号不存在",IF(AND($L1270&lt;&gt;"",IFERROR(INDEX(应收键,MATCH($L1270,应收单号,0)),"")&lt;&gt;$D1270),"★关联单号不是这个客户的",IF(AND($L1270&lt;&gt;"",ROUND(SUMIF(收款关联,$L1270,收款金额)-IFERROR(INDEX(应收金额,MATCH($L1270,应收单号,0)),0),2)&gt;0.001),"★指定冲销超过那张单的应收","OK"))))))))</f>
        <v/>
      </c>
    </row>
    <row r="1271" customFormat="false" ht="15" hidden="false" customHeight="false" outlineLevel="0" collapsed="false">
      <c r="A1271" s="29" t="str">
        <f aca="false">IF($C1271="","",ROW()-4)</f>
        <v/>
      </c>
      <c r="B1271" s="35" t="str">
        <f aca="false">IF($C1271="","","SK"&amp;TEXT($C1271,"yyyymm")&amp;"-"&amp;TEXT(ROW()-4,"0000"))</f>
        <v/>
      </c>
      <c r="C1271" s="33"/>
      <c r="D1271" s="24"/>
      <c r="E1271" s="30" t="str">
        <f aca="false">IF($D1271="","",IFERROR(INDEX(合同单位,MATCH($D1271,合同键,0)),IFERROR(TRIM(LEFT($D1271,FIND("｜",$D1271)-1)),$D1271)))</f>
        <v/>
      </c>
      <c r="F1271" s="30" t="str">
        <f aca="false">IF($D1271="","",IFERROR(INDEX(合同项目,MATCH($D1271,合同键,0)),IFERROR(TRIM(MID($D1271,FIND("｜",$D1271)+1,99)),"")))</f>
        <v/>
      </c>
      <c r="G1271" s="39"/>
      <c r="H1271" s="25"/>
      <c r="I1271" s="35" t="str">
        <f aca="false">IF($H1271="","",IFERROR(INDEX(票据归类表,MATCH($H1271,票据类型表,0)),"现金无票"))</f>
        <v/>
      </c>
      <c r="J1271" s="25"/>
      <c r="K1271" s="25"/>
      <c r="L1271" s="31"/>
      <c r="M1271" s="29" t="str">
        <f aca="false">IF($C1271="","",YEAR($C1271))</f>
        <v/>
      </c>
      <c r="N1271" s="24"/>
      <c r="O1271" s="35" t="str">
        <f aca="false">IF($C1271="","",IF($D1271="","★没选客户项目",IF(COUNTIF(合同键,$D1271)=0,"★《维保合同》里没这个项目",IF(N($G1271)&lt;=0,"★收款金额要填",IF($H1271="","★票据类型要选",IF(AND($L1271&lt;&gt;"",COUNTIF(应收单号,$L1271)=0),"★关联的应收单号不存在",IF(AND($L1271&lt;&gt;"",IFERROR(INDEX(应收键,MATCH($L1271,应收单号,0)),"")&lt;&gt;$D1271),"★关联单号不是这个客户的",IF(AND($L1271&lt;&gt;"",ROUND(SUMIF(收款关联,$L1271,收款金额)-IFERROR(INDEX(应收金额,MATCH($L1271,应收单号,0)),0),2)&gt;0.001),"★指定冲销超过那张单的应收","OK"))))))))</f>
        <v/>
      </c>
    </row>
    <row r="1272" customFormat="false" ht="15" hidden="false" customHeight="false" outlineLevel="0" collapsed="false">
      <c r="A1272" s="29" t="str">
        <f aca="false">IF($C1272="","",ROW()-4)</f>
        <v/>
      </c>
      <c r="B1272" s="35" t="str">
        <f aca="false">IF($C1272="","","SK"&amp;TEXT($C1272,"yyyymm")&amp;"-"&amp;TEXT(ROW()-4,"0000"))</f>
        <v/>
      </c>
      <c r="C1272" s="33"/>
      <c r="D1272" s="24"/>
      <c r="E1272" s="30" t="str">
        <f aca="false">IF($D1272="","",IFERROR(INDEX(合同单位,MATCH($D1272,合同键,0)),IFERROR(TRIM(LEFT($D1272,FIND("｜",$D1272)-1)),$D1272)))</f>
        <v/>
      </c>
      <c r="F1272" s="30" t="str">
        <f aca="false">IF($D1272="","",IFERROR(INDEX(合同项目,MATCH($D1272,合同键,0)),IFERROR(TRIM(MID($D1272,FIND("｜",$D1272)+1,99)),"")))</f>
        <v/>
      </c>
      <c r="G1272" s="39"/>
      <c r="H1272" s="25"/>
      <c r="I1272" s="35" t="str">
        <f aca="false">IF($H1272="","",IFERROR(INDEX(票据归类表,MATCH($H1272,票据类型表,0)),"现金无票"))</f>
        <v/>
      </c>
      <c r="J1272" s="25"/>
      <c r="K1272" s="25"/>
      <c r="L1272" s="31"/>
      <c r="M1272" s="29" t="str">
        <f aca="false">IF($C1272="","",YEAR($C1272))</f>
        <v/>
      </c>
      <c r="N1272" s="24"/>
      <c r="O1272" s="35" t="str">
        <f aca="false">IF($C1272="","",IF($D1272="","★没选客户项目",IF(COUNTIF(合同键,$D1272)=0,"★《维保合同》里没这个项目",IF(N($G1272)&lt;=0,"★收款金额要填",IF($H1272="","★票据类型要选",IF(AND($L1272&lt;&gt;"",COUNTIF(应收单号,$L1272)=0),"★关联的应收单号不存在",IF(AND($L1272&lt;&gt;"",IFERROR(INDEX(应收键,MATCH($L1272,应收单号,0)),"")&lt;&gt;$D1272),"★关联单号不是这个客户的",IF(AND($L1272&lt;&gt;"",ROUND(SUMIF(收款关联,$L1272,收款金额)-IFERROR(INDEX(应收金额,MATCH($L1272,应收单号,0)),0),2)&gt;0.001),"★指定冲销超过那张单的应收","OK"))))))))</f>
        <v/>
      </c>
    </row>
    <row r="1273" customFormat="false" ht="15" hidden="false" customHeight="false" outlineLevel="0" collapsed="false">
      <c r="A1273" s="29" t="str">
        <f aca="false">IF($C1273="","",ROW()-4)</f>
        <v/>
      </c>
      <c r="B1273" s="35" t="str">
        <f aca="false">IF($C1273="","","SK"&amp;TEXT($C1273,"yyyymm")&amp;"-"&amp;TEXT(ROW()-4,"0000"))</f>
        <v/>
      </c>
      <c r="C1273" s="33"/>
      <c r="D1273" s="24"/>
      <c r="E1273" s="30" t="str">
        <f aca="false">IF($D1273="","",IFERROR(INDEX(合同单位,MATCH($D1273,合同键,0)),IFERROR(TRIM(LEFT($D1273,FIND("｜",$D1273)-1)),$D1273)))</f>
        <v/>
      </c>
      <c r="F1273" s="30" t="str">
        <f aca="false">IF($D1273="","",IFERROR(INDEX(合同项目,MATCH($D1273,合同键,0)),IFERROR(TRIM(MID($D1273,FIND("｜",$D1273)+1,99)),"")))</f>
        <v/>
      </c>
      <c r="G1273" s="39"/>
      <c r="H1273" s="25"/>
      <c r="I1273" s="35" t="str">
        <f aca="false">IF($H1273="","",IFERROR(INDEX(票据归类表,MATCH($H1273,票据类型表,0)),"现金无票"))</f>
        <v/>
      </c>
      <c r="J1273" s="25"/>
      <c r="K1273" s="25"/>
      <c r="L1273" s="31"/>
      <c r="M1273" s="29" t="str">
        <f aca="false">IF($C1273="","",YEAR($C1273))</f>
        <v/>
      </c>
      <c r="N1273" s="24"/>
      <c r="O1273" s="35" t="str">
        <f aca="false">IF($C1273="","",IF($D1273="","★没选客户项目",IF(COUNTIF(合同键,$D1273)=0,"★《维保合同》里没这个项目",IF(N($G1273)&lt;=0,"★收款金额要填",IF($H1273="","★票据类型要选",IF(AND($L1273&lt;&gt;"",COUNTIF(应收单号,$L1273)=0),"★关联的应收单号不存在",IF(AND($L1273&lt;&gt;"",IFERROR(INDEX(应收键,MATCH($L1273,应收单号,0)),"")&lt;&gt;$D1273),"★关联单号不是这个客户的",IF(AND($L1273&lt;&gt;"",ROUND(SUMIF(收款关联,$L1273,收款金额)-IFERROR(INDEX(应收金额,MATCH($L1273,应收单号,0)),0),2)&gt;0.001),"★指定冲销超过那张单的应收","OK"))))))))</f>
        <v/>
      </c>
    </row>
    <row r="1274" customFormat="false" ht="15" hidden="false" customHeight="false" outlineLevel="0" collapsed="false">
      <c r="A1274" s="29" t="str">
        <f aca="false">IF($C1274="","",ROW()-4)</f>
        <v/>
      </c>
      <c r="B1274" s="35" t="str">
        <f aca="false">IF($C1274="","","SK"&amp;TEXT($C1274,"yyyymm")&amp;"-"&amp;TEXT(ROW()-4,"0000"))</f>
        <v/>
      </c>
      <c r="C1274" s="33"/>
      <c r="D1274" s="24"/>
      <c r="E1274" s="30" t="str">
        <f aca="false">IF($D1274="","",IFERROR(INDEX(合同单位,MATCH($D1274,合同键,0)),IFERROR(TRIM(LEFT($D1274,FIND("｜",$D1274)-1)),$D1274)))</f>
        <v/>
      </c>
      <c r="F1274" s="30" t="str">
        <f aca="false">IF($D1274="","",IFERROR(INDEX(合同项目,MATCH($D1274,合同键,0)),IFERROR(TRIM(MID($D1274,FIND("｜",$D1274)+1,99)),"")))</f>
        <v/>
      </c>
      <c r="G1274" s="39"/>
      <c r="H1274" s="25"/>
      <c r="I1274" s="35" t="str">
        <f aca="false">IF($H1274="","",IFERROR(INDEX(票据归类表,MATCH($H1274,票据类型表,0)),"现金无票"))</f>
        <v/>
      </c>
      <c r="J1274" s="25"/>
      <c r="K1274" s="25"/>
      <c r="L1274" s="31"/>
      <c r="M1274" s="29" t="str">
        <f aca="false">IF($C1274="","",YEAR($C1274))</f>
        <v/>
      </c>
      <c r="N1274" s="24"/>
      <c r="O1274" s="35" t="str">
        <f aca="false">IF($C1274="","",IF($D1274="","★没选客户项目",IF(COUNTIF(合同键,$D1274)=0,"★《维保合同》里没这个项目",IF(N($G1274)&lt;=0,"★收款金额要填",IF($H1274="","★票据类型要选",IF(AND($L1274&lt;&gt;"",COUNTIF(应收单号,$L1274)=0),"★关联的应收单号不存在",IF(AND($L1274&lt;&gt;"",IFERROR(INDEX(应收键,MATCH($L1274,应收单号,0)),"")&lt;&gt;$D1274),"★关联单号不是这个客户的",IF(AND($L1274&lt;&gt;"",ROUND(SUMIF(收款关联,$L1274,收款金额)-IFERROR(INDEX(应收金额,MATCH($L1274,应收单号,0)),0),2)&gt;0.001),"★指定冲销超过那张单的应收","OK"))))))))</f>
        <v/>
      </c>
    </row>
    <row r="1275" customFormat="false" ht="15" hidden="false" customHeight="false" outlineLevel="0" collapsed="false">
      <c r="A1275" s="29" t="str">
        <f aca="false">IF($C1275="","",ROW()-4)</f>
        <v/>
      </c>
      <c r="B1275" s="35" t="str">
        <f aca="false">IF($C1275="","","SK"&amp;TEXT($C1275,"yyyymm")&amp;"-"&amp;TEXT(ROW()-4,"0000"))</f>
        <v/>
      </c>
      <c r="C1275" s="33"/>
      <c r="D1275" s="24"/>
      <c r="E1275" s="30" t="str">
        <f aca="false">IF($D1275="","",IFERROR(INDEX(合同单位,MATCH($D1275,合同键,0)),IFERROR(TRIM(LEFT($D1275,FIND("｜",$D1275)-1)),$D1275)))</f>
        <v/>
      </c>
      <c r="F1275" s="30" t="str">
        <f aca="false">IF($D1275="","",IFERROR(INDEX(合同项目,MATCH($D1275,合同键,0)),IFERROR(TRIM(MID($D1275,FIND("｜",$D1275)+1,99)),"")))</f>
        <v/>
      </c>
      <c r="G1275" s="39"/>
      <c r="H1275" s="25"/>
      <c r="I1275" s="35" t="str">
        <f aca="false">IF($H1275="","",IFERROR(INDEX(票据归类表,MATCH($H1275,票据类型表,0)),"现金无票"))</f>
        <v/>
      </c>
      <c r="J1275" s="25"/>
      <c r="K1275" s="25"/>
      <c r="L1275" s="31"/>
      <c r="M1275" s="29" t="str">
        <f aca="false">IF($C1275="","",YEAR($C1275))</f>
        <v/>
      </c>
      <c r="N1275" s="24"/>
      <c r="O1275" s="35" t="str">
        <f aca="false">IF($C1275="","",IF($D1275="","★没选客户项目",IF(COUNTIF(合同键,$D1275)=0,"★《维保合同》里没这个项目",IF(N($G1275)&lt;=0,"★收款金额要填",IF($H1275="","★票据类型要选",IF(AND($L1275&lt;&gt;"",COUNTIF(应收单号,$L1275)=0),"★关联的应收单号不存在",IF(AND($L1275&lt;&gt;"",IFERROR(INDEX(应收键,MATCH($L1275,应收单号,0)),"")&lt;&gt;$D1275),"★关联单号不是这个客户的",IF(AND($L1275&lt;&gt;"",ROUND(SUMIF(收款关联,$L1275,收款金额)-IFERROR(INDEX(应收金额,MATCH($L1275,应收单号,0)),0),2)&gt;0.001),"★指定冲销超过那张单的应收","OK"))))))))</f>
        <v/>
      </c>
    </row>
    <row r="1276" customFormat="false" ht="15" hidden="false" customHeight="false" outlineLevel="0" collapsed="false">
      <c r="A1276" s="29" t="str">
        <f aca="false">IF($C1276="","",ROW()-4)</f>
        <v/>
      </c>
      <c r="B1276" s="35" t="str">
        <f aca="false">IF($C1276="","","SK"&amp;TEXT($C1276,"yyyymm")&amp;"-"&amp;TEXT(ROW()-4,"0000"))</f>
        <v/>
      </c>
      <c r="C1276" s="33"/>
      <c r="D1276" s="24"/>
      <c r="E1276" s="30" t="str">
        <f aca="false">IF($D1276="","",IFERROR(INDEX(合同单位,MATCH($D1276,合同键,0)),IFERROR(TRIM(LEFT($D1276,FIND("｜",$D1276)-1)),$D1276)))</f>
        <v/>
      </c>
      <c r="F1276" s="30" t="str">
        <f aca="false">IF($D1276="","",IFERROR(INDEX(合同项目,MATCH($D1276,合同键,0)),IFERROR(TRIM(MID($D1276,FIND("｜",$D1276)+1,99)),"")))</f>
        <v/>
      </c>
      <c r="G1276" s="39"/>
      <c r="H1276" s="25"/>
      <c r="I1276" s="35" t="str">
        <f aca="false">IF($H1276="","",IFERROR(INDEX(票据归类表,MATCH($H1276,票据类型表,0)),"现金无票"))</f>
        <v/>
      </c>
      <c r="J1276" s="25"/>
      <c r="K1276" s="25"/>
      <c r="L1276" s="31"/>
      <c r="M1276" s="29" t="str">
        <f aca="false">IF($C1276="","",YEAR($C1276))</f>
        <v/>
      </c>
      <c r="N1276" s="24"/>
      <c r="O1276" s="35" t="str">
        <f aca="false">IF($C1276="","",IF($D1276="","★没选客户项目",IF(COUNTIF(合同键,$D1276)=0,"★《维保合同》里没这个项目",IF(N($G1276)&lt;=0,"★收款金额要填",IF($H1276="","★票据类型要选",IF(AND($L1276&lt;&gt;"",COUNTIF(应收单号,$L1276)=0),"★关联的应收单号不存在",IF(AND($L1276&lt;&gt;"",IFERROR(INDEX(应收键,MATCH($L1276,应收单号,0)),"")&lt;&gt;$D1276),"★关联单号不是这个客户的",IF(AND($L1276&lt;&gt;"",ROUND(SUMIF(收款关联,$L1276,收款金额)-IFERROR(INDEX(应收金额,MATCH($L1276,应收单号,0)),0),2)&gt;0.001),"★指定冲销超过那张单的应收","OK"))))))))</f>
        <v/>
      </c>
    </row>
    <row r="1277" customFormat="false" ht="15" hidden="false" customHeight="false" outlineLevel="0" collapsed="false">
      <c r="A1277" s="29" t="str">
        <f aca="false">IF($C1277="","",ROW()-4)</f>
        <v/>
      </c>
      <c r="B1277" s="35" t="str">
        <f aca="false">IF($C1277="","","SK"&amp;TEXT($C1277,"yyyymm")&amp;"-"&amp;TEXT(ROW()-4,"0000"))</f>
        <v/>
      </c>
      <c r="C1277" s="33"/>
      <c r="D1277" s="24"/>
      <c r="E1277" s="30" t="str">
        <f aca="false">IF($D1277="","",IFERROR(INDEX(合同单位,MATCH($D1277,合同键,0)),IFERROR(TRIM(LEFT($D1277,FIND("｜",$D1277)-1)),$D1277)))</f>
        <v/>
      </c>
      <c r="F1277" s="30" t="str">
        <f aca="false">IF($D1277="","",IFERROR(INDEX(合同项目,MATCH($D1277,合同键,0)),IFERROR(TRIM(MID($D1277,FIND("｜",$D1277)+1,99)),"")))</f>
        <v/>
      </c>
      <c r="G1277" s="39"/>
      <c r="H1277" s="25"/>
      <c r="I1277" s="35" t="str">
        <f aca="false">IF($H1277="","",IFERROR(INDEX(票据归类表,MATCH($H1277,票据类型表,0)),"现金无票"))</f>
        <v/>
      </c>
      <c r="J1277" s="25"/>
      <c r="K1277" s="25"/>
      <c r="L1277" s="31"/>
      <c r="M1277" s="29" t="str">
        <f aca="false">IF($C1277="","",YEAR($C1277))</f>
        <v/>
      </c>
      <c r="N1277" s="24"/>
      <c r="O1277" s="35" t="str">
        <f aca="false">IF($C1277="","",IF($D1277="","★没选客户项目",IF(COUNTIF(合同键,$D1277)=0,"★《维保合同》里没这个项目",IF(N($G1277)&lt;=0,"★收款金额要填",IF($H1277="","★票据类型要选",IF(AND($L1277&lt;&gt;"",COUNTIF(应收单号,$L1277)=0),"★关联的应收单号不存在",IF(AND($L1277&lt;&gt;"",IFERROR(INDEX(应收键,MATCH($L1277,应收单号,0)),"")&lt;&gt;$D1277),"★关联单号不是这个客户的",IF(AND($L1277&lt;&gt;"",ROUND(SUMIF(收款关联,$L1277,收款金额)-IFERROR(INDEX(应收金额,MATCH($L1277,应收单号,0)),0),2)&gt;0.001),"★指定冲销超过那张单的应收","OK"))))))))</f>
        <v/>
      </c>
    </row>
    <row r="1278" customFormat="false" ht="15" hidden="false" customHeight="false" outlineLevel="0" collapsed="false">
      <c r="A1278" s="29" t="str">
        <f aca="false">IF($C1278="","",ROW()-4)</f>
        <v/>
      </c>
      <c r="B1278" s="35" t="str">
        <f aca="false">IF($C1278="","","SK"&amp;TEXT($C1278,"yyyymm")&amp;"-"&amp;TEXT(ROW()-4,"0000"))</f>
        <v/>
      </c>
      <c r="C1278" s="33"/>
      <c r="D1278" s="24"/>
      <c r="E1278" s="30" t="str">
        <f aca="false">IF($D1278="","",IFERROR(INDEX(合同单位,MATCH($D1278,合同键,0)),IFERROR(TRIM(LEFT($D1278,FIND("｜",$D1278)-1)),$D1278)))</f>
        <v/>
      </c>
      <c r="F1278" s="30" t="str">
        <f aca="false">IF($D1278="","",IFERROR(INDEX(合同项目,MATCH($D1278,合同键,0)),IFERROR(TRIM(MID($D1278,FIND("｜",$D1278)+1,99)),"")))</f>
        <v/>
      </c>
      <c r="G1278" s="39"/>
      <c r="H1278" s="25"/>
      <c r="I1278" s="35" t="str">
        <f aca="false">IF($H1278="","",IFERROR(INDEX(票据归类表,MATCH($H1278,票据类型表,0)),"现金无票"))</f>
        <v/>
      </c>
      <c r="J1278" s="25"/>
      <c r="K1278" s="25"/>
      <c r="L1278" s="31"/>
      <c r="M1278" s="29" t="str">
        <f aca="false">IF($C1278="","",YEAR($C1278))</f>
        <v/>
      </c>
      <c r="N1278" s="24"/>
      <c r="O1278" s="35" t="str">
        <f aca="false">IF($C1278="","",IF($D1278="","★没选客户项目",IF(COUNTIF(合同键,$D1278)=0,"★《维保合同》里没这个项目",IF(N($G1278)&lt;=0,"★收款金额要填",IF($H1278="","★票据类型要选",IF(AND($L1278&lt;&gt;"",COUNTIF(应收单号,$L1278)=0),"★关联的应收单号不存在",IF(AND($L1278&lt;&gt;"",IFERROR(INDEX(应收键,MATCH($L1278,应收单号,0)),"")&lt;&gt;$D1278),"★关联单号不是这个客户的",IF(AND($L1278&lt;&gt;"",ROUND(SUMIF(收款关联,$L1278,收款金额)-IFERROR(INDEX(应收金额,MATCH($L1278,应收单号,0)),0),2)&gt;0.001),"★指定冲销超过那张单的应收","OK"))))))))</f>
        <v/>
      </c>
    </row>
    <row r="1279" customFormat="false" ht="15" hidden="false" customHeight="false" outlineLevel="0" collapsed="false">
      <c r="A1279" s="29" t="str">
        <f aca="false">IF($C1279="","",ROW()-4)</f>
        <v/>
      </c>
      <c r="B1279" s="35" t="str">
        <f aca="false">IF($C1279="","","SK"&amp;TEXT($C1279,"yyyymm")&amp;"-"&amp;TEXT(ROW()-4,"0000"))</f>
        <v/>
      </c>
      <c r="C1279" s="33"/>
      <c r="D1279" s="24"/>
      <c r="E1279" s="30" t="str">
        <f aca="false">IF($D1279="","",IFERROR(INDEX(合同单位,MATCH($D1279,合同键,0)),IFERROR(TRIM(LEFT($D1279,FIND("｜",$D1279)-1)),$D1279)))</f>
        <v/>
      </c>
      <c r="F1279" s="30" t="str">
        <f aca="false">IF($D1279="","",IFERROR(INDEX(合同项目,MATCH($D1279,合同键,0)),IFERROR(TRIM(MID($D1279,FIND("｜",$D1279)+1,99)),"")))</f>
        <v/>
      </c>
      <c r="G1279" s="39"/>
      <c r="H1279" s="25"/>
      <c r="I1279" s="35" t="str">
        <f aca="false">IF($H1279="","",IFERROR(INDEX(票据归类表,MATCH($H1279,票据类型表,0)),"现金无票"))</f>
        <v/>
      </c>
      <c r="J1279" s="25"/>
      <c r="K1279" s="25"/>
      <c r="L1279" s="31"/>
      <c r="M1279" s="29" t="str">
        <f aca="false">IF($C1279="","",YEAR($C1279))</f>
        <v/>
      </c>
      <c r="N1279" s="24"/>
      <c r="O1279" s="35" t="str">
        <f aca="false">IF($C1279="","",IF($D1279="","★没选客户项目",IF(COUNTIF(合同键,$D1279)=0,"★《维保合同》里没这个项目",IF(N($G1279)&lt;=0,"★收款金额要填",IF($H1279="","★票据类型要选",IF(AND($L1279&lt;&gt;"",COUNTIF(应收单号,$L1279)=0),"★关联的应收单号不存在",IF(AND($L1279&lt;&gt;"",IFERROR(INDEX(应收键,MATCH($L1279,应收单号,0)),"")&lt;&gt;$D1279),"★关联单号不是这个客户的",IF(AND($L1279&lt;&gt;"",ROUND(SUMIF(收款关联,$L1279,收款金额)-IFERROR(INDEX(应收金额,MATCH($L1279,应收单号,0)),0),2)&gt;0.001),"★指定冲销超过那张单的应收","OK"))))))))</f>
        <v/>
      </c>
    </row>
    <row r="1280" customFormat="false" ht="15" hidden="false" customHeight="false" outlineLevel="0" collapsed="false">
      <c r="A1280" s="29" t="str">
        <f aca="false">IF($C1280="","",ROW()-4)</f>
        <v/>
      </c>
      <c r="B1280" s="35" t="str">
        <f aca="false">IF($C1280="","","SK"&amp;TEXT($C1280,"yyyymm")&amp;"-"&amp;TEXT(ROW()-4,"0000"))</f>
        <v/>
      </c>
      <c r="C1280" s="33"/>
      <c r="D1280" s="24"/>
      <c r="E1280" s="30" t="str">
        <f aca="false">IF($D1280="","",IFERROR(INDEX(合同单位,MATCH($D1280,合同键,0)),IFERROR(TRIM(LEFT($D1280,FIND("｜",$D1280)-1)),$D1280)))</f>
        <v/>
      </c>
      <c r="F1280" s="30" t="str">
        <f aca="false">IF($D1280="","",IFERROR(INDEX(合同项目,MATCH($D1280,合同键,0)),IFERROR(TRIM(MID($D1280,FIND("｜",$D1280)+1,99)),"")))</f>
        <v/>
      </c>
      <c r="G1280" s="39"/>
      <c r="H1280" s="25"/>
      <c r="I1280" s="35" t="str">
        <f aca="false">IF($H1280="","",IFERROR(INDEX(票据归类表,MATCH($H1280,票据类型表,0)),"现金无票"))</f>
        <v/>
      </c>
      <c r="J1280" s="25"/>
      <c r="K1280" s="25"/>
      <c r="L1280" s="31"/>
      <c r="M1280" s="29" t="str">
        <f aca="false">IF($C1280="","",YEAR($C1280))</f>
        <v/>
      </c>
      <c r="N1280" s="24"/>
      <c r="O1280" s="35" t="str">
        <f aca="false">IF($C1280="","",IF($D1280="","★没选客户项目",IF(COUNTIF(合同键,$D1280)=0,"★《维保合同》里没这个项目",IF(N($G1280)&lt;=0,"★收款金额要填",IF($H1280="","★票据类型要选",IF(AND($L1280&lt;&gt;"",COUNTIF(应收单号,$L1280)=0),"★关联的应收单号不存在",IF(AND($L1280&lt;&gt;"",IFERROR(INDEX(应收键,MATCH($L1280,应收单号,0)),"")&lt;&gt;$D1280),"★关联单号不是这个客户的",IF(AND($L1280&lt;&gt;"",ROUND(SUMIF(收款关联,$L1280,收款金额)-IFERROR(INDEX(应收金额,MATCH($L1280,应收单号,0)),0),2)&gt;0.001),"★指定冲销超过那张单的应收","OK"))))))))</f>
        <v/>
      </c>
    </row>
    <row r="1281" customFormat="false" ht="15" hidden="false" customHeight="false" outlineLevel="0" collapsed="false">
      <c r="A1281" s="29" t="str">
        <f aca="false">IF($C1281="","",ROW()-4)</f>
        <v/>
      </c>
      <c r="B1281" s="35" t="str">
        <f aca="false">IF($C1281="","","SK"&amp;TEXT($C1281,"yyyymm")&amp;"-"&amp;TEXT(ROW()-4,"0000"))</f>
        <v/>
      </c>
      <c r="C1281" s="33"/>
      <c r="D1281" s="24"/>
      <c r="E1281" s="30" t="str">
        <f aca="false">IF($D1281="","",IFERROR(INDEX(合同单位,MATCH($D1281,合同键,0)),IFERROR(TRIM(LEFT($D1281,FIND("｜",$D1281)-1)),$D1281)))</f>
        <v/>
      </c>
      <c r="F1281" s="30" t="str">
        <f aca="false">IF($D1281="","",IFERROR(INDEX(合同项目,MATCH($D1281,合同键,0)),IFERROR(TRIM(MID($D1281,FIND("｜",$D1281)+1,99)),"")))</f>
        <v/>
      </c>
      <c r="G1281" s="39"/>
      <c r="H1281" s="25"/>
      <c r="I1281" s="35" t="str">
        <f aca="false">IF($H1281="","",IFERROR(INDEX(票据归类表,MATCH($H1281,票据类型表,0)),"现金无票"))</f>
        <v/>
      </c>
      <c r="J1281" s="25"/>
      <c r="K1281" s="25"/>
      <c r="L1281" s="31"/>
      <c r="M1281" s="29" t="str">
        <f aca="false">IF($C1281="","",YEAR($C1281))</f>
        <v/>
      </c>
      <c r="N1281" s="24"/>
      <c r="O1281" s="35" t="str">
        <f aca="false">IF($C1281="","",IF($D1281="","★没选客户项目",IF(COUNTIF(合同键,$D1281)=0,"★《维保合同》里没这个项目",IF(N($G1281)&lt;=0,"★收款金额要填",IF($H1281="","★票据类型要选",IF(AND($L1281&lt;&gt;"",COUNTIF(应收单号,$L1281)=0),"★关联的应收单号不存在",IF(AND($L1281&lt;&gt;"",IFERROR(INDEX(应收键,MATCH($L1281,应收单号,0)),"")&lt;&gt;$D1281),"★关联单号不是这个客户的",IF(AND($L1281&lt;&gt;"",ROUND(SUMIF(收款关联,$L1281,收款金额)-IFERROR(INDEX(应收金额,MATCH($L1281,应收单号,0)),0),2)&gt;0.001),"★指定冲销超过那张单的应收","OK"))))))))</f>
        <v/>
      </c>
    </row>
    <row r="1282" customFormat="false" ht="15" hidden="false" customHeight="false" outlineLevel="0" collapsed="false">
      <c r="A1282" s="29" t="str">
        <f aca="false">IF($C1282="","",ROW()-4)</f>
        <v/>
      </c>
      <c r="B1282" s="35" t="str">
        <f aca="false">IF($C1282="","","SK"&amp;TEXT($C1282,"yyyymm")&amp;"-"&amp;TEXT(ROW()-4,"0000"))</f>
        <v/>
      </c>
      <c r="C1282" s="33"/>
      <c r="D1282" s="24"/>
      <c r="E1282" s="30" t="str">
        <f aca="false">IF($D1282="","",IFERROR(INDEX(合同单位,MATCH($D1282,合同键,0)),IFERROR(TRIM(LEFT($D1282,FIND("｜",$D1282)-1)),$D1282)))</f>
        <v/>
      </c>
      <c r="F1282" s="30" t="str">
        <f aca="false">IF($D1282="","",IFERROR(INDEX(合同项目,MATCH($D1282,合同键,0)),IFERROR(TRIM(MID($D1282,FIND("｜",$D1282)+1,99)),"")))</f>
        <v/>
      </c>
      <c r="G1282" s="39"/>
      <c r="H1282" s="25"/>
      <c r="I1282" s="35" t="str">
        <f aca="false">IF($H1282="","",IFERROR(INDEX(票据归类表,MATCH($H1282,票据类型表,0)),"现金无票"))</f>
        <v/>
      </c>
      <c r="J1282" s="25"/>
      <c r="K1282" s="25"/>
      <c r="L1282" s="31"/>
      <c r="M1282" s="29" t="str">
        <f aca="false">IF($C1282="","",YEAR($C1282))</f>
        <v/>
      </c>
      <c r="N1282" s="24"/>
      <c r="O1282" s="35" t="str">
        <f aca="false">IF($C1282="","",IF($D1282="","★没选客户项目",IF(COUNTIF(合同键,$D1282)=0,"★《维保合同》里没这个项目",IF(N($G1282)&lt;=0,"★收款金额要填",IF($H1282="","★票据类型要选",IF(AND($L1282&lt;&gt;"",COUNTIF(应收单号,$L1282)=0),"★关联的应收单号不存在",IF(AND($L1282&lt;&gt;"",IFERROR(INDEX(应收键,MATCH($L1282,应收单号,0)),"")&lt;&gt;$D1282),"★关联单号不是这个客户的",IF(AND($L1282&lt;&gt;"",ROUND(SUMIF(收款关联,$L1282,收款金额)-IFERROR(INDEX(应收金额,MATCH($L1282,应收单号,0)),0),2)&gt;0.001),"★指定冲销超过那张单的应收","OK"))))))))</f>
        <v/>
      </c>
    </row>
    <row r="1283" customFormat="false" ht="15" hidden="false" customHeight="false" outlineLevel="0" collapsed="false">
      <c r="A1283" s="29" t="str">
        <f aca="false">IF($C1283="","",ROW()-4)</f>
        <v/>
      </c>
      <c r="B1283" s="35" t="str">
        <f aca="false">IF($C1283="","","SK"&amp;TEXT($C1283,"yyyymm")&amp;"-"&amp;TEXT(ROW()-4,"0000"))</f>
        <v/>
      </c>
      <c r="C1283" s="33"/>
      <c r="D1283" s="24"/>
      <c r="E1283" s="30" t="str">
        <f aca="false">IF($D1283="","",IFERROR(INDEX(合同单位,MATCH($D1283,合同键,0)),IFERROR(TRIM(LEFT($D1283,FIND("｜",$D1283)-1)),$D1283)))</f>
        <v/>
      </c>
      <c r="F1283" s="30" t="str">
        <f aca="false">IF($D1283="","",IFERROR(INDEX(合同项目,MATCH($D1283,合同键,0)),IFERROR(TRIM(MID($D1283,FIND("｜",$D1283)+1,99)),"")))</f>
        <v/>
      </c>
      <c r="G1283" s="39"/>
      <c r="H1283" s="25"/>
      <c r="I1283" s="35" t="str">
        <f aca="false">IF($H1283="","",IFERROR(INDEX(票据归类表,MATCH($H1283,票据类型表,0)),"现金无票"))</f>
        <v/>
      </c>
      <c r="J1283" s="25"/>
      <c r="K1283" s="25"/>
      <c r="L1283" s="31"/>
      <c r="M1283" s="29" t="str">
        <f aca="false">IF($C1283="","",YEAR($C1283))</f>
        <v/>
      </c>
      <c r="N1283" s="24"/>
      <c r="O1283" s="35" t="str">
        <f aca="false">IF($C1283="","",IF($D1283="","★没选客户项目",IF(COUNTIF(合同键,$D1283)=0,"★《维保合同》里没这个项目",IF(N($G1283)&lt;=0,"★收款金额要填",IF($H1283="","★票据类型要选",IF(AND($L1283&lt;&gt;"",COUNTIF(应收单号,$L1283)=0),"★关联的应收单号不存在",IF(AND($L1283&lt;&gt;"",IFERROR(INDEX(应收键,MATCH($L1283,应收单号,0)),"")&lt;&gt;$D1283),"★关联单号不是这个客户的",IF(AND($L1283&lt;&gt;"",ROUND(SUMIF(收款关联,$L1283,收款金额)-IFERROR(INDEX(应收金额,MATCH($L1283,应收单号,0)),0),2)&gt;0.001),"★指定冲销超过那张单的应收","OK"))))))))</f>
        <v/>
      </c>
    </row>
    <row r="1284" customFormat="false" ht="15" hidden="false" customHeight="false" outlineLevel="0" collapsed="false">
      <c r="A1284" s="29" t="str">
        <f aca="false">IF($C1284="","",ROW()-4)</f>
        <v/>
      </c>
      <c r="B1284" s="35" t="str">
        <f aca="false">IF($C1284="","","SK"&amp;TEXT($C1284,"yyyymm")&amp;"-"&amp;TEXT(ROW()-4,"0000"))</f>
        <v/>
      </c>
      <c r="C1284" s="33"/>
      <c r="D1284" s="24"/>
      <c r="E1284" s="30" t="str">
        <f aca="false">IF($D1284="","",IFERROR(INDEX(合同单位,MATCH($D1284,合同键,0)),IFERROR(TRIM(LEFT($D1284,FIND("｜",$D1284)-1)),$D1284)))</f>
        <v/>
      </c>
      <c r="F1284" s="30" t="str">
        <f aca="false">IF($D1284="","",IFERROR(INDEX(合同项目,MATCH($D1284,合同键,0)),IFERROR(TRIM(MID($D1284,FIND("｜",$D1284)+1,99)),"")))</f>
        <v/>
      </c>
      <c r="G1284" s="39"/>
      <c r="H1284" s="25"/>
      <c r="I1284" s="35" t="str">
        <f aca="false">IF($H1284="","",IFERROR(INDEX(票据归类表,MATCH($H1284,票据类型表,0)),"现金无票"))</f>
        <v/>
      </c>
      <c r="J1284" s="25"/>
      <c r="K1284" s="25"/>
      <c r="L1284" s="31"/>
      <c r="M1284" s="29" t="str">
        <f aca="false">IF($C1284="","",YEAR($C1284))</f>
        <v/>
      </c>
      <c r="N1284" s="24"/>
      <c r="O1284" s="35" t="str">
        <f aca="false">IF($C1284="","",IF($D1284="","★没选客户项目",IF(COUNTIF(合同键,$D1284)=0,"★《维保合同》里没这个项目",IF(N($G1284)&lt;=0,"★收款金额要填",IF($H1284="","★票据类型要选",IF(AND($L1284&lt;&gt;"",COUNTIF(应收单号,$L1284)=0),"★关联的应收单号不存在",IF(AND($L1284&lt;&gt;"",IFERROR(INDEX(应收键,MATCH($L1284,应收单号,0)),"")&lt;&gt;$D1284),"★关联单号不是这个客户的",IF(AND($L1284&lt;&gt;"",ROUND(SUMIF(收款关联,$L1284,收款金额)-IFERROR(INDEX(应收金额,MATCH($L1284,应收单号,0)),0),2)&gt;0.001),"★指定冲销超过那张单的应收","OK"))))))))</f>
        <v/>
      </c>
    </row>
    <row r="1285" customFormat="false" ht="15" hidden="false" customHeight="false" outlineLevel="0" collapsed="false">
      <c r="A1285" s="29" t="str">
        <f aca="false">IF($C1285="","",ROW()-4)</f>
        <v/>
      </c>
      <c r="B1285" s="35" t="str">
        <f aca="false">IF($C1285="","","SK"&amp;TEXT($C1285,"yyyymm")&amp;"-"&amp;TEXT(ROW()-4,"0000"))</f>
        <v/>
      </c>
      <c r="C1285" s="33"/>
      <c r="D1285" s="24"/>
      <c r="E1285" s="30" t="str">
        <f aca="false">IF($D1285="","",IFERROR(INDEX(合同单位,MATCH($D1285,合同键,0)),IFERROR(TRIM(LEFT($D1285,FIND("｜",$D1285)-1)),$D1285)))</f>
        <v/>
      </c>
      <c r="F1285" s="30" t="str">
        <f aca="false">IF($D1285="","",IFERROR(INDEX(合同项目,MATCH($D1285,合同键,0)),IFERROR(TRIM(MID($D1285,FIND("｜",$D1285)+1,99)),"")))</f>
        <v/>
      </c>
      <c r="G1285" s="39"/>
      <c r="H1285" s="25"/>
      <c r="I1285" s="35" t="str">
        <f aca="false">IF($H1285="","",IFERROR(INDEX(票据归类表,MATCH($H1285,票据类型表,0)),"现金无票"))</f>
        <v/>
      </c>
      <c r="J1285" s="25"/>
      <c r="K1285" s="25"/>
      <c r="L1285" s="31"/>
      <c r="M1285" s="29" t="str">
        <f aca="false">IF($C1285="","",YEAR($C1285))</f>
        <v/>
      </c>
      <c r="N1285" s="24"/>
      <c r="O1285" s="35" t="str">
        <f aca="false">IF($C1285="","",IF($D1285="","★没选客户项目",IF(COUNTIF(合同键,$D1285)=0,"★《维保合同》里没这个项目",IF(N($G1285)&lt;=0,"★收款金额要填",IF($H1285="","★票据类型要选",IF(AND($L1285&lt;&gt;"",COUNTIF(应收单号,$L1285)=0),"★关联的应收单号不存在",IF(AND($L1285&lt;&gt;"",IFERROR(INDEX(应收键,MATCH($L1285,应收单号,0)),"")&lt;&gt;$D1285),"★关联单号不是这个客户的",IF(AND($L1285&lt;&gt;"",ROUND(SUMIF(收款关联,$L1285,收款金额)-IFERROR(INDEX(应收金额,MATCH($L1285,应收单号,0)),0),2)&gt;0.001),"★指定冲销超过那张单的应收","OK"))))))))</f>
        <v/>
      </c>
    </row>
    <row r="1286" customFormat="false" ht="15" hidden="false" customHeight="false" outlineLevel="0" collapsed="false">
      <c r="A1286" s="29" t="str">
        <f aca="false">IF($C1286="","",ROW()-4)</f>
        <v/>
      </c>
      <c r="B1286" s="35" t="str">
        <f aca="false">IF($C1286="","","SK"&amp;TEXT($C1286,"yyyymm")&amp;"-"&amp;TEXT(ROW()-4,"0000"))</f>
        <v/>
      </c>
      <c r="C1286" s="33"/>
      <c r="D1286" s="24"/>
      <c r="E1286" s="30" t="str">
        <f aca="false">IF($D1286="","",IFERROR(INDEX(合同单位,MATCH($D1286,合同键,0)),IFERROR(TRIM(LEFT($D1286,FIND("｜",$D1286)-1)),$D1286)))</f>
        <v/>
      </c>
      <c r="F1286" s="30" t="str">
        <f aca="false">IF($D1286="","",IFERROR(INDEX(合同项目,MATCH($D1286,合同键,0)),IFERROR(TRIM(MID($D1286,FIND("｜",$D1286)+1,99)),"")))</f>
        <v/>
      </c>
      <c r="G1286" s="39"/>
      <c r="H1286" s="25"/>
      <c r="I1286" s="35" t="str">
        <f aca="false">IF($H1286="","",IFERROR(INDEX(票据归类表,MATCH($H1286,票据类型表,0)),"现金无票"))</f>
        <v/>
      </c>
      <c r="J1286" s="25"/>
      <c r="K1286" s="25"/>
      <c r="L1286" s="31"/>
      <c r="M1286" s="29" t="str">
        <f aca="false">IF($C1286="","",YEAR($C1286))</f>
        <v/>
      </c>
      <c r="N1286" s="24"/>
      <c r="O1286" s="35" t="str">
        <f aca="false">IF($C1286="","",IF($D1286="","★没选客户项目",IF(COUNTIF(合同键,$D1286)=0,"★《维保合同》里没这个项目",IF(N($G1286)&lt;=0,"★收款金额要填",IF($H1286="","★票据类型要选",IF(AND($L1286&lt;&gt;"",COUNTIF(应收单号,$L1286)=0),"★关联的应收单号不存在",IF(AND($L1286&lt;&gt;"",IFERROR(INDEX(应收键,MATCH($L1286,应收单号,0)),"")&lt;&gt;$D1286),"★关联单号不是这个客户的",IF(AND($L1286&lt;&gt;"",ROUND(SUMIF(收款关联,$L1286,收款金额)-IFERROR(INDEX(应收金额,MATCH($L1286,应收单号,0)),0),2)&gt;0.001),"★指定冲销超过那张单的应收","OK"))))))))</f>
        <v/>
      </c>
    </row>
    <row r="1287" customFormat="false" ht="15" hidden="false" customHeight="false" outlineLevel="0" collapsed="false">
      <c r="A1287" s="29" t="str">
        <f aca="false">IF($C1287="","",ROW()-4)</f>
        <v/>
      </c>
      <c r="B1287" s="35" t="str">
        <f aca="false">IF($C1287="","","SK"&amp;TEXT($C1287,"yyyymm")&amp;"-"&amp;TEXT(ROW()-4,"0000"))</f>
        <v/>
      </c>
      <c r="C1287" s="33"/>
      <c r="D1287" s="24"/>
      <c r="E1287" s="30" t="str">
        <f aca="false">IF($D1287="","",IFERROR(INDEX(合同单位,MATCH($D1287,合同键,0)),IFERROR(TRIM(LEFT($D1287,FIND("｜",$D1287)-1)),$D1287)))</f>
        <v/>
      </c>
      <c r="F1287" s="30" t="str">
        <f aca="false">IF($D1287="","",IFERROR(INDEX(合同项目,MATCH($D1287,合同键,0)),IFERROR(TRIM(MID($D1287,FIND("｜",$D1287)+1,99)),"")))</f>
        <v/>
      </c>
      <c r="G1287" s="39"/>
      <c r="H1287" s="25"/>
      <c r="I1287" s="35" t="str">
        <f aca="false">IF($H1287="","",IFERROR(INDEX(票据归类表,MATCH($H1287,票据类型表,0)),"现金无票"))</f>
        <v/>
      </c>
      <c r="J1287" s="25"/>
      <c r="K1287" s="25"/>
      <c r="L1287" s="31"/>
      <c r="M1287" s="29" t="str">
        <f aca="false">IF($C1287="","",YEAR($C1287))</f>
        <v/>
      </c>
      <c r="N1287" s="24"/>
      <c r="O1287" s="35" t="str">
        <f aca="false">IF($C1287="","",IF($D1287="","★没选客户项目",IF(COUNTIF(合同键,$D1287)=0,"★《维保合同》里没这个项目",IF(N($G1287)&lt;=0,"★收款金额要填",IF($H1287="","★票据类型要选",IF(AND($L1287&lt;&gt;"",COUNTIF(应收单号,$L1287)=0),"★关联的应收单号不存在",IF(AND($L1287&lt;&gt;"",IFERROR(INDEX(应收键,MATCH($L1287,应收单号,0)),"")&lt;&gt;$D1287),"★关联单号不是这个客户的",IF(AND($L1287&lt;&gt;"",ROUND(SUMIF(收款关联,$L1287,收款金额)-IFERROR(INDEX(应收金额,MATCH($L1287,应收单号,0)),0),2)&gt;0.001),"★指定冲销超过那张单的应收","OK"))))))))</f>
        <v/>
      </c>
    </row>
    <row r="1288" customFormat="false" ht="15" hidden="false" customHeight="false" outlineLevel="0" collapsed="false">
      <c r="A1288" s="29" t="str">
        <f aca="false">IF($C1288="","",ROW()-4)</f>
        <v/>
      </c>
      <c r="B1288" s="35" t="str">
        <f aca="false">IF($C1288="","","SK"&amp;TEXT($C1288,"yyyymm")&amp;"-"&amp;TEXT(ROW()-4,"0000"))</f>
        <v/>
      </c>
      <c r="C1288" s="33"/>
      <c r="D1288" s="24"/>
      <c r="E1288" s="30" t="str">
        <f aca="false">IF($D1288="","",IFERROR(INDEX(合同单位,MATCH($D1288,合同键,0)),IFERROR(TRIM(LEFT($D1288,FIND("｜",$D1288)-1)),$D1288)))</f>
        <v/>
      </c>
      <c r="F1288" s="30" t="str">
        <f aca="false">IF($D1288="","",IFERROR(INDEX(合同项目,MATCH($D1288,合同键,0)),IFERROR(TRIM(MID($D1288,FIND("｜",$D1288)+1,99)),"")))</f>
        <v/>
      </c>
      <c r="G1288" s="39"/>
      <c r="H1288" s="25"/>
      <c r="I1288" s="35" t="str">
        <f aca="false">IF($H1288="","",IFERROR(INDEX(票据归类表,MATCH($H1288,票据类型表,0)),"现金无票"))</f>
        <v/>
      </c>
      <c r="J1288" s="25"/>
      <c r="K1288" s="25"/>
      <c r="L1288" s="31"/>
      <c r="M1288" s="29" t="str">
        <f aca="false">IF($C1288="","",YEAR($C1288))</f>
        <v/>
      </c>
      <c r="N1288" s="24"/>
      <c r="O1288" s="35" t="str">
        <f aca="false">IF($C1288="","",IF($D1288="","★没选客户项目",IF(COUNTIF(合同键,$D1288)=0,"★《维保合同》里没这个项目",IF(N($G1288)&lt;=0,"★收款金额要填",IF($H1288="","★票据类型要选",IF(AND($L1288&lt;&gt;"",COUNTIF(应收单号,$L1288)=0),"★关联的应收单号不存在",IF(AND($L1288&lt;&gt;"",IFERROR(INDEX(应收键,MATCH($L1288,应收单号,0)),"")&lt;&gt;$D1288),"★关联单号不是这个客户的",IF(AND($L1288&lt;&gt;"",ROUND(SUMIF(收款关联,$L1288,收款金额)-IFERROR(INDEX(应收金额,MATCH($L1288,应收单号,0)),0),2)&gt;0.001),"★指定冲销超过那张单的应收","OK"))))))))</f>
        <v/>
      </c>
    </row>
    <row r="1289" customFormat="false" ht="15" hidden="false" customHeight="false" outlineLevel="0" collapsed="false">
      <c r="A1289" s="29" t="str">
        <f aca="false">IF($C1289="","",ROW()-4)</f>
        <v/>
      </c>
      <c r="B1289" s="35" t="str">
        <f aca="false">IF($C1289="","","SK"&amp;TEXT($C1289,"yyyymm")&amp;"-"&amp;TEXT(ROW()-4,"0000"))</f>
        <v/>
      </c>
      <c r="C1289" s="33"/>
      <c r="D1289" s="24"/>
      <c r="E1289" s="30" t="str">
        <f aca="false">IF($D1289="","",IFERROR(INDEX(合同单位,MATCH($D1289,合同键,0)),IFERROR(TRIM(LEFT($D1289,FIND("｜",$D1289)-1)),$D1289)))</f>
        <v/>
      </c>
      <c r="F1289" s="30" t="str">
        <f aca="false">IF($D1289="","",IFERROR(INDEX(合同项目,MATCH($D1289,合同键,0)),IFERROR(TRIM(MID($D1289,FIND("｜",$D1289)+1,99)),"")))</f>
        <v/>
      </c>
      <c r="G1289" s="39"/>
      <c r="H1289" s="25"/>
      <c r="I1289" s="35" t="str">
        <f aca="false">IF($H1289="","",IFERROR(INDEX(票据归类表,MATCH($H1289,票据类型表,0)),"现金无票"))</f>
        <v/>
      </c>
      <c r="J1289" s="25"/>
      <c r="K1289" s="25"/>
      <c r="L1289" s="31"/>
      <c r="M1289" s="29" t="str">
        <f aca="false">IF($C1289="","",YEAR($C1289))</f>
        <v/>
      </c>
      <c r="N1289" s="24"/>
      <c r="O1289" s="35" t="str">
        <f aca="false">IF($C1289="","",IF($D1289="","★没选客户项目",IF(COUNTIF(合同键,$D1289)=0,"★《维保合同》里没这个项目",IF(N($G1289)&lt;=0,"★收款金额要填",IF($H1289="","★票据类型要选",IF(AND($L1289&lt;&gt;"",COUNTIF(应收单号,$L1289)=0),"★关联的应收单号不存在",IF(AND($L1289&lt;&gt;"",IFERROR(INDEX(应收键,MATCH($L1289,应收单号,0)),"")&lt;&gt;$D1289),"★关联单号不是这个客户的",IF(AND($L1289&lt;&gt;"",ROUND(SUMIF(收款关联,$L1289,收款金额)-IFERROR(INDEX(应收金额,MATCH($L1289,应收单号,0)),0),2)&gt;0.001),"★指定冲销超过那张单的应收","OK"))))))))</f>
        <v/>
      </c>
    </row>
    <row r="1290" customFormat="false" ht="15" hidden="false" customHeight="false" outlineLevel="0" collapsed="false">
      <c r="A1290" s="29" t="str">
        <f aca="false">IF($C1290="","",ROW()-4)</f>
        <v/>
      </c>
      <c r="B1290" s="35" t="str">
        <f aca="false">IF($C1290="","","SK"&amp;TEXT($C1290,"yyyymm")&amp;"-"&amp;TEXT(ROW()-4,"0000"))</f>
        <v/>
      </c>
      <c r="C1290" s="33"/>
      <c r="D1290" s="24"/>
      <c r="E1290" s="30" t="str">
        <f aca="false">IF($D1290="","",IFERROR(INDEX(合同单位,MATCH($D1290,合同键,0)),IFERROR(TRIM(LEFT($D1290,FIND("｜",$D1290)-1)),$D1290)))</f>
        <v/>
      </c>
      <c r="F1290" s="30" t="str">
        <f aca="false">IF($D1290="","",IFERROR(INDEX(合同项目,MATCH($D1290,合同键,0)),IFERROR(TRIM(MID($D1290,FIND("｜",$D1290)+1,99)),"")))</f>
        <v/>
      </c>
      <c r="G1290" s="39"/>
      <c r="H1290" s="25"/>
      <c r="I1290" s="35" t="str">
        <f aca="false">IF($H1290="","",IFERROR(INDEX(票据归类表,MATCH($H1290,票据类型表,0)),"现金无票"))</f>
        <v/>
      </c>
      <c r="J1290" s="25"/>
      <c r="K1290" s="25"/>
      <c r="L1290" s="31"/>
      <c r="M1290" s="29" t="str">
        <f aca="false">IF($C1290="","",YEAR($C1290))</f>
        <v/>
      </c>
      <c r="N1290" s="24"/>
      <c r="O1290" s="35" t="str">
        <f aca="false">IF($C1290="","",IF($D1290="","★没选客户项目",IF(COUNTIF(合同键,$D1290)=0,"★《维保合同》里没这个项目",IF(N($G1290)&lt;=0,"★收款金额要填",IF($H1290="","★票据类型要选",IF(AND($L1290&lt;&gt;"",COUNTIF(应收单号,$L1290)=0),"★关联的应收单号不存在",IF(AND($L1290&lt;&gt;"",IFERROR(INDEX(应收键,MATCH($L1290,应收单号,0)),"")&lt;&gt;$D1290),"★关联单号不是这个客户的",IF(AND($L1290&lt;&gt;"",ROUND(SUMIF(收款关联,$L1290,收款金额)-IFERROR(INDEX(应收金额,MATCH($L1290,应收单号,0)),0),2)&gt;0.001),"★指定冲销超过那张单的应收","OK"))))))))</f>
        <v/>
      </c>
    </row>
    <row r="1291" customFormat="false" ht="15" hidden="false" customHeight="false" outlineLevel="0" collapsed="false">
      <c r="A1291" s="29" t="str">
        <f aca="false">IF($C1291="","",ROW()-4)</f>
        <v/>
      </c>
      <c r="B1291" s="35" t="str">
        <f aca="false">IF($C1291="","","SK"&amp;TEXT($C1291,"yyyymm")&amp;"-"&amp;TEXT(ROW()-4,"0000"))</f>
        <v/>
      </c>
      <c r="C1291" s="33"/>
      <c r="D1291" s="24"/>
      <c r="E1291" s="30" t="str">
        <f aca="false">IF($D1291="","",IFERROR(INDEX(合同单位,MATCH($D1291,合同键,0)),IFERROR(TRIM(LEFT($D1291,FIND("｜",$D1291)-1)),$D1291)))</f>
        <v/>
      </c>
      <c r="F1291" s="30" t="str">
        <f aca="false">IF($D1291="","",IFERROR(INDEX(合同项目,MATCH($D1291,合同键,0)),IFERROR(TRIM(MID($D1291,FIND("｜",$D1291)+1,99)),"")))</f>
        <v/>
      </c>
      <c r="G1291" s="39"/>
      <c r="H1291" s="25"/>
      <c r="I1291" s="35" t="str">
        <f aca="false">IF($H1291="","",IFERROR(INDEX(票据归类表,MATCH($H1291,票据类型表,0)),"现金无票"))</f>
        <v/>
      </c>
      <c r="J1291" s="25"/>
      <c r="K1291" s="25"/>
      <c r="L1291" s="31"/>
      <c r="M1291" s="29" t="str">
        <f aca="false">IF($C1291="","",YEAR($C1291))</f>
        <v/>
      </c>
      <c r="N1291" s="24"/>
      <c r="O1291" s="35" t="str">
        <f aca="false">IF($C1291="","",IF($D1291="","★没选客户项目",IF(COUNTIF(合同键,$D1291)=0,"★《维保合同》里没这个项目",IF(N($G1291)&lt;=0,"★收款金额要填",IF($H1291="","★票据类型要选",IF(AND($L1291&lt;&gt;"",COUNTIF(应收单号,$L1291)=0),"★关联的应收单号不存在",IF(AND($L1291&lt;&gt;"",IFERROR(INDEX(应收键,MATCH($L1291,应收单号,0)),"")&lt;&gt;$D1291),"★关联单号不是这个客户的",IF(AND($L1291&lt;&gt;"",ROUND(SUMIF(收款关联,$L1291,收款金额)-IFERROR(INDEX(应收金额,MATCH($L1291,应收单号,0)),0),2)&gt;0.001),"★指定冲销超过那张单的应收","OK"))))))))</f>
        <v/>
      </c>
    </row>
    <row r="1292" customFormat="false" ht="15" hidden="false" customHeight="false" outlineLevel="0" collapsed="false">
      <c r="A1292" s="29" t="str">
        <f aca="false">IF($C1292="","",ROW()-4)</f>
        <v/>
      </c>
      <c r="B1292" s="35" t="str">
        <f aca="false">IF($C1292="","","SK"&amp;TEXT($C1292,"yyyymm")&amp;"-"&amp;TEXT(ROW()-4,"0000"))</f>
        <v/>
      </c>
      <c r="C1292" s="33"/>
      <c r="D1292" s="24"/>
      <c r="E1292" s="30" t="str">
        <f aca="false">IF($D1292="","",IFERROR(INDEX(合同单位,MATCH($D1292,合同键,0)),IFERROR(TRIM(LEFT($D1292,FIND("｜",$D1292)-1)),$D1292)))</f>
        <v/>
      </c>
      <c r="F1292" s="30" t="str">
        <f aca="false">IF($D1292="","",IFERROR(INDEX(合同项目,MATCH($D1292,合同键,0)),IFERROR(TRIM(MID($D1292,FIND("｜",$D1292)+1,99)),"")))</f>
        <v/>
      </c>
      <c r="G1292" s="39"/>
      <c r="H1292" s="25"/>
      <c r="I1292" s="35" t="str">
        <f aca="false">IF($H1292="","",IFERROR(INDEX(票据归类表,MATCH($H1292,票据类型表,0)),"现金无票"))</f>
        <v/>
      </c>
      <c r="J1292" s="25"/>
      <c r="K1292" s="25"/>
      <c r="L1292" s="31"/>
      <c r="M1292" s="29" t="str">
        <f aca="false">IF($C1292="","",YEAR($C1292))</f>
        <v/>
      </c>
      <c r="N1292" s="24"/>
      <c r="O1292" s="35" t="str">
        <f aca="false">IF($C1292="","",IF($D1292="","★没选客户项目",IF(COUNTIF(合同键,$D1292)=0,"★《维保合同》里没这个项目",IF(N($G1292)&lt;=0,"★收款金额要填",IF($H1292="","★票据类型要选",IF(AND($L1292&lt;&gt;"",COUNTIF(应收单号,$L1292)=0),"★关联的应收单号不存在",IF(AND($L1292&lt;&gt;"",IFERROR(INDEX(应收键,MATCH($L1292,应收单号,0)),"")&lt;&gt;$D1292),"★关联单号不是这个客户的",IF(AND($L1292&lt;&gt;"",ROUND(SUMIF(收款关联,$L1292,收款金额)-IFERROR(INDEX(应收金额,MATCH($L1292,应收单号,0)),0),2)&gt;0.001),"★指定冲销超过那张单的应收","OK"))))))))</f>
        <v/>
      </c>
    </row>
    <row r="1293" customFormat="false" ht="15" hidden="false" customHeight="false" outlineLevel="0" collapsed="false">
      <c r="A1293" s="29" t="str">
        <f aca="false">IF($C1293="","",ROW()-4)</f>
        <v/>
      </c>
      <c r="B1293" s="35" t="str">
        <f aca="false">IF($C1293="","","SK"&amp;TEXT($C1293,"yyyymm")&amp;"-"&amp;TEXT(ROW()-4,"0000"))</f>
        <v/>
      </c>
      <c r="C1293" s="33"/>
      <c r="D1293" s="24"/>
      <c r="E1293" s="30" t="str">
        <f aca="false">IF($D1293="","",IFERROR(INDEX(合同单位,MATCH($D1293,合同键,0)),IFERROR(TRIM(LEFT($D1293,FIND("｜",$D1293)-1)),$D1293)))</f>
        <v/>
      </c>
      <c r="F1293" s="30" t="str">
        <f aca="false">IF($D1293="","",IFERROR(INDEX(合同项目,MATCH($D1293,合同键,0)),IFERROR(TRIM(MID($D1293,FIND("｜",$D1293)+1,99)),"")))</f>
        <v/>
      </c>
      <c r="G1293" s="39"/>
      <c r="H1293" s="25"/>
      <c r="I1293" s="35" t="str">
        <f aca="false">IF($H1293="","",IFERROR(INDEX(票据归类表,MATCH($H1293,票据类型表,0)),"现金无票"))</f>
        <v/>
      </c>
      <c r="J1293" s="25"/>
      <c r="K1293" s="25"/>
      <c r="L1293" s="31"/>
      <c r="M1293" s="29" t="str">
        <f aca="false">IF($C1293="","",YEAR($C1293))</f>
        <v/>
      </c>
      <c r="N1293" s="24"/>
      <c r="O1293" s="35" t="str">
        <f aca="false">IF($C1293="","",IF($D1293="","★没选客户项目",IF(COUNTIF(合同键,$D1293)=0,"★《维保合同》里没这个项目",IF(N($G1293)&lt;=0,"★收款金额要填",IF($H1293="","★票据类型要选",IF(AND($L1293&lt;&gt;"",COUNTIF(应收单号,$L1293)=0),"★关联的应收单号不存在",IF(AND($L1293&lt;&gt;"",IFERROR(INDEX(应收键,MATCH($L1293,应收单号,0)),"")&lt;&gt;$D1293),"★关联单号不是这个客户的",IF(AND($L1293&lt;&gt;"",ROUND(SUMIF(收款关联,$L1293,收款金额)-IFERROR(INDEX(应收金额,MATCH($L1293,应收单号,0)),0),2)&gt;0.001),"★指定冲销超过那张单的应收","OK"))))))))</f>
        <v/>
      </c>
    </row>
    <row r="1294" customFormat="false" ht="15" hidden="false" customHeight="false" outlineLevel="0" collapsed="false">
      <c r="A1294" s="29" t="str">
        <f aca="false">IF($C1294="","",ROW()-4)</f>
        <v/>
      </c>
      <c r="B1294" s="35" t="str">
        <f aca="false">IF($C1294="","","SK"&amp;TEXT($C1294,"yyyymm")&amp;"-"&amp;TEXT(ROW()-4,"0000"))</f>
        <v/>
      </c>
      <c r="C1294" s="33"/>
      <c r="D1294" s="24"/>
      <c r="E1294" s="30" t="str">
        <f aca="false">IF($D1294="","",IFERROR(INDEX(合同单位,MATCH($D1294,合同键,0)),IFERROR(TRIM(LEFT($D1294,FIND("｜",$D1294)-1)),$D1294)))</f>
        <v/>
      </c>
      <c r="F1294" s="30" t="str">
        <f aca="false">IF($D1294="","",IFERROR(INDEX(合同项目,MATCH($D1294,合同键,0)),IFERROR(TRIM(MID($D1294,FIND("｜",$D1294)+1,99)),"")))</f>
        <v/>
      </c>
      <c r="G1294" s="39"/>
      <c r="H1294" s="25"/>
      <c r="I1294" s="35" t="str">
        <f aca="false">IF($H1294="","",IFERROR(INDEX(票据归类表,MATCH($H1294,票据类型表,0)),"现金无票"))</f>
        <v/>
      </c>
      <c r="J1294" s="25"/>
      <c r="K1294" s="25"/>
      <c r="L1294" s="31"/>
      <c r="M1294" s="29" t="str">
        <f aca="false">IF($C1294="","",YEAR($C1294))</f>
        <v/>
      </c>
      <c r="N1294" s="24"/>
      <c r="O1294" s="35" t="str">
        <f aca="false">IF($C1294="","",IF($D1294="","★没选客户项目",IF(COUNTIF(合同键,$D1294)=0,"★《维保合同》里没这个项目",IF(N($G1294)&lt;=0,"★收款金额要填",IF($H1294="","★票据类型要选",IF(AND($L1294&lt;&gt;"",COUNTIF(应收单号,$L1294)=0),"★关联的应收单号不存在",IF(AND($L1294&lt;&gt;"",IFERROR(INDEX(应收键,MATCH($L1294,应收单号,0)),"")&lt;&gt;$D1294),"★关联单号不是这个客户的",IF(AND($L1294&lt;&gt;"",ROUND(SUMIF(收款关联,$L1294,收款金额)-IFERROR(INDEX(应收金额,MATCH($L1294,应收单号,0)),0),2)&gt;0.001),"★指定冲销超过那张单的应收","OK"))))))))</f>
        <v/>
      </c>
    </row>
    <row r="1295" customFormat="false" ht="15" hidden="false" customHeight="false" outlineLevel="0" collapsed="false">
      <c r="A1295" s="29" t="str">
        <f aca="false">IF($C1295="","",ROW()-4)</f>
        <v/>
      </c>
      <c r="B1295" s="35" t="str">
        <f aca="false">IF($C1295="","","SK"&amp;TEXT($C1295,"yyyymm")&amp;"-"&amp;TEXT(ROW()-4,"0000"))</f>
        <v/>
      </c>
      <c r="C1295" s="33"/>
      <c r="D1295" s="24"/>
      <c r="E1295" s="30" t="str">
        <f aca="false">IF($D1295="","",IFERROR(INDEX(合同单位,MATCH($D1295,合同键,0)),IFERROR(TRIM(LEFT($D1295,FIND("｜",$D1295)-1)),$D1295)))</f>
        <v/>
      </c>
      <c r="F1295" s="30" t="str">
        <f aca="false">IF($D1295="","",IFERROR(INDEX(合同项目,MATCH($D1295,合同键,0)),IFERROR(TRIM(MID($D1295,FIND("｜",$D1295)+1,99)),"")))</f>
        <v/>
      </c>
      <c r="G1295" s="39"/>
      <c r="H1295" s="25"/>
      <c r="I1295" s="35" t="str">
        <f aca="false">IF($H1295="","",IFERROR(INDEX(票据归类表,MATCH($H1295,票据类型表,0)),"现金无票"))</f>
        <v/>
      </c>
      <c r="J1295" s="25"/>
      <c r="K1295" s="25"/>
      <c r="L1295" s="31"/>
      <c r="M1295" s="29" t="str">
        <f aca="false">IF($C1295="","",YEAR($C1295))</f>
        <v/>
      </c>
      <c r="N1295" s="24"/>
      <c r="O1295" s="35" t="str">
        <f aca="false">IF($C1295="","",IF($D1295="","★没选客户项目",IF(COUNTIF(合同键,$D1295)=0,"★《维保合同》里没这个项目",IF(N($G1295)&lt;=0,"★收款金额要填",IF($H1295="","★票据类型要选",IF(AND($L1295&lt;&gt;"",COUNTIF(应收单号,$L1295)=0),"★关联的应收单号不存在",IF(AND($L1295&lt;&gt;"",IFERROR(INDEX(应收键,MATCH($L1295,应收单号,0)),"")&lt;&gt;$D1295),"★关联单号不是这个客户的",IF(AND($L1295&lt;&gt;"",ROUND(SUMIF(收款关联,$L1295,收款金额)-IFERROR(INDEX(应收金额,MATCH($L1295,应收单号,0)),0),2)&gt;0.001),"★指定冲销超过那张单的应收","OK"))))))))</f>
        <v/>
      </c>
    </row>
    <row r="1296" customFormat="false" ht="15" hidden="false" customHeight="false" outlineLevel="0" collapsed="false">
      <c r="A1296" s="29" t="str">
        <f aca="false">IF($C1296="","",ROW()-4)</f>
        <v/>
      </c>
      <c r="B1296" s="35" t="str">
        <f aca="false">IF($C1296="","","SK"&amp;TEXT($C1296,"yyyymm")&amp;"-"&amp;TEXT(ROW()-4,"0000"))</f>
        <v/>
      </c>
      <c r="C1296" s="33"/>
      <c r="D1296" s="24"/>
      <c r="E1296" s="30" t="str">
        <f aca="false">IF($D1296="","",IFERROR(INDEX(合同单位,MATCH($D1296,合同键,0)),IFERROR(TRIM(LEFT($D1296,FIND("｜",$D1296)-1)),$D1296)))</f>
        <v/>
      </c>
      <c r="F1296" s="30" t="str">
        <f aca="false">IF($D1296="","",IFERROR(INDEX(合同项目,MATCH($D1296,合同键,0)),IFERROR(TRIM(MID($D1296,FIND("｜",$D1296)+1,99)),"")))</f>
        <v/>
      </c>
      <c r="G1296" s="39"/>
      <c r="H1296" s="25"/>
      <c r="I1296" s="35" t="str">
        <f aca="false">IF($H1296="","",IFERROR(INDEX(票据归类表,MATCH($H1296,票据类型表,0)),"现金无票"))</f>
        <v/>
      </c>
      <c r="J1296" s="25"/>
      <c r="K1296" s="25"/>
      <c r="L1296" s="31"/>
      <c r="M1296" s="29" t="str">
        <f aca="false">IF($C1296="","",YEAR($C1296))</f>
        <v/>
      </c>
      <c r="N1296" s="24"/>
      <c r="O1296" s="35" t="str">
        <f aca="false">IF($C1296="","",IF($D1296="","★没选客户项目",IF(COUNTIF(合同键,$D1296)=0,"★《维保合同》里没这个项目",IF(N($G1296)&lt;=0,"★收款金额要填",IF($H1296="","★票据类型要选",IF(AND($L1296&lt;&gt;"",COUNTIF(应收单号,$L1296)=0),"★关联的应收单号不存在",IF(AND($L1296&lt;&gt;"",IFERROR(INDEX(应收键,MATCH($L1296,应收单号,0)),"")&lt;&gt;$D1296),"★关联单号不是这个客户的",IF(AND($L1296&lt;&gt;"",ROUND(SUMIF(收款关联,$L1296,收款金额)-IFERROR(INDEX(应收金额,MATCH($L1296,应收单号,0)),0),2)&gt;0.001),"★指定冲销超过那张单的应收","OK"))))))))</f>
        <v/>
      </c>
    </row>
    <row r="1297" customFormat="false" ht="15" hidden="false" customHeight="false" outlineLevel="0" collapsed="false">
      <c r="A1297" s="29" t="str">
        <f aca="false">IF($C1297="","",ROW()-4)</f>
        <v/>
      </c>
      <c r="B1297" s="35" t="str">
        <f aca="false">IF($C1297="","","SK"&amp;TEXT($C1297,"yyyymm")&amp;"-"&amp;TEXT(ROW()-4,"0000"))</f>
        <v/>
      </c>
      <c r="C1297" s="33"/>
      <c r="D1297" s="24"/>
      <c r="E1297" s="30" t="str">
        <f aca="false">IF($D1297="","",IFERROR(INDEX(合同单位,MATCH($D1297,合同键,0)),IFERROR(TRIM(LEFT($D1297,FIND("｜",$D1297)-1)),$D1297)))</f>
        <v/>
      </c>
      <c r="F1297" s="30" t="str">
        <f aca="false">IF($D1297="","",IFERROR(INDEX(合同项目,MATCH($D1297,合同键,0)),IFERROR(TRIM(MID($D1297,FIND("｜",$D1297)+1,99)),"")))</f>
        <v/>
      </c>
      <c r="G1297" s="39"/>
      <c r="H1297" s="25"/>
      <c r="I1297" s="35" t="str">
        <f aca="false">IF($H1297="","",IFERROR(INDEX(票据归类表,MATCH($H1297,票据类型表,0)),"现金无票"))</f>
        <v/>
      </c>
      <c r="J1297" s="25"/>
      <c r="K1297" s="25"/>
      <c r="L1297" s="31"/>
      <c r="M1297" s="29" t="str">
        <f aca="false">IF($C1297="","",YEAR($C1297))</f>
        <v/>
      </c>
      <c r="N1297" s="24"/>
      <c r="O1297" s="35" t="str">
        <f aca="false">IF($C1297="","",IF($D1297="","★没选客户项目",IF(COUNTIF(合同键,$D1297)=0,"★《维保合同》里没这个项目",IF(N($G1297)&lt;=0,"★收款金额要填",IF($H1297="","★票据类型要选",IF(AND($L1297&lt;&gt;"",COUNTIF(应收单号,$L1297)=0),"★关联的应收单号不存在",IF(AND($L1297&lt;&gt;"",IFERROR(INDEX(应收键,MATCH($L1297,应收单号,0)),"")&lt;&gt;$D1297),"★关联单号不是这个客户的",IF(AND($L1297&lt;&gt;"",ROUND(SUMIF(收款关联,$L1297,收款金额)-IFERROR(INDEX(应收金额,MATCH($L1297,应收单号,0)),0),2)&gt;0.001),"★指定冲销超过那张单的应收","OK"))))))))</f>
        <v/>
      </c>
    </row>
    <row r="1298" customFormat="false" ht="15" hidden="false" customHeight="false" outlineLevel="0" collapsed="false">
      <c r="A1298" s="29" t="str">
        <f aca="false">IF($C1298="","",ROW()-4)</f>
        <v/>
      </c>
      <c r="B1298" s="35" t="str">
        <f aca="false">IF($C1298="","","SK"&amp;TEXT($C1298,"yyyymm")&amp;"-"&amp;TEXT(ROW()-4,"0000"))</f>
        <v/>
      </c>
      <c r="C1298" s="33"/>
      <c r="D1298" s="24"/>
      <c r="E1298" s="30" t="str">
        <f aca="false">IF($D1298="","",IFERROR(INDEX(合同单位,MATCH($D1298,合同键,0)),IFERROR(TRIM(LEFT($D1298,FIND("｜",$D1298)-1)),$D1298)))</f>
        <v/>
      </c>
      <c r="F1298" s="30" t="str">
        <f aca="false">IF($D1298="","",IFERROR(INDEX(合同项目,MATCH($D1298,合同键,0)),IFERROR(TRIM(MID($D1298,FIND("｜",$D1298)+1,99)),"")))</f>
        <v/>
      </c>
      <c r="G1298" s="39"/>
      <c r="H1298" s="25"/>
      <c r="I1298" s="35" t="str">
        <f aca="false">IF($H1298="","",IFERROR(INDEX(票据归类表,MATCH($H1298,票据类型表,0)),"现金无票"))</f>
        <v/>
      </c>
      <c r="J1298" s="25"/>
      <c r="K1298" s="25"/>
      <c r="L1298" s="31"/>
      <c r="M1298" s="29" t="str">
        <f aca="false">IF($C1298="","",YEAR($C1298))</f>
        <v/>
      </c>
      <c r="N1298" s="24"/>
      <c r="O1298" s="35" t="str">
        <f aca="false">IF($C1298="","",IF($D1298="","★没选客户项目",IF(COUNTIF(合同键,$D1298)=0,"★《维保合同》里没这个项目",IF(N($G1298)&lt;=0,"★收款金额要填",IF($H1298="","★票据类型要选",IF(AND($L1298&lt;&gt;"",COUNTIF(应收单号,$L1298)=0),"★关联的应收单号不存在",IF(AND($L1298&lt;&gt;"",IFERROR(INDEX(应收键,MATCH($L1298,应收单号,0)),"")&lt;&gt;$D1298),"★关联单号不是这个客户的",IF(AND($L1298&lt;&gt;"",ROUND(SUMIF(收款关联,$L1298,收款金额)-IFERROR(INDEX(应收金额,MATCH($L1298,应收单号,0)),0),2)&gt;0.001),"★指定冲销超过那张单的应收","OK"))))))))</f>
        <v/>
      </c>
    </row>
    <row r="1299" customFormat="false" ht="15" hidden="false" customHeight="false" outlineLevel="0" collapsed="false">
      <c r="A1299" s="29" t="str">
        <f aca="false">IF($C1299="","",ROW()-4)</f>
        <v/>
      </c>
      <c r="B1299" s="35" t="str">
        <f aca="false">IF($C1299="","","SK"&amp;TEXT($C1299,"yyyymm")&amp;"-"&amp;TEXT(ROW()-4,"0000"))</f>
        <v/>
      </c>
      <c r="C1299" s="33"/>
      <c r="D1299" s="24"/>
      <c r="E1299" s="30" t="str">
        <f aca="false">IF($D1299="","",IFERROR(INDEX(合同单位,MATCH($D1299,合同键,0)),IFERROR(TRIM(LEFT($D1299,FIND("｜",$D1299)-1)),$D1299)))</f>
        <v/>
      </c>
      <c r="F1299" s="30" t="str">
        <f aca="false">IF($D1299="","",IFERROR(INDEX(合同项目,MATCH($D1299,合同键,0)),IFERROR(TRIM(MID($D1299,FIND("｜",$D1299)+1,99)),"")))</f>
        <v/>
      </c>
      <c r="G1299" s="39"/>
      <c r="H1299" s="25"/>
      <c r="I1299" s="35" t="str">
        <f aca="false">IF($H1299="","",IFERROR(INDEX(票据归类表,MATCH($H1299,票据类型表,0)),"现金无票"))</f>
        <v/>
      </c>
      <c r="J1299" s="25"/>
      <c r="K1299" s="25"/>
      <c r="L1299" s="31"/>
      <c r="M1299" s="29" t="str">
        <f aca="false">IF($C1299="","",YEAR($C1299))</f>
        <v/>
      </c>
      <c r="N1299" s="24"/>
      <c r="O1299" s="35" t="str">
        <f aca="false">IF($C1299="","",IF($D1299="","★没选客户项目",IF(COUNTIF(合同键,$D1299)=0,"★《维保合同》里没这个项目",IF(N($G1299)&lt;=0,"★收款金额要填",IF($H1299="","★票据类型要选",IF(AND($L1299&lt;&gt;"",COUNTIF(应收单号,$L1299)=0),"★关联的应收单号不存在",IF(AND($L1299&lt;&gt;"",IFERROR(INDEX(应收键,MATCH($L1299,应收单号,0)),"")&lt;&gt;$D1299),"★关联单号不是这个客户的",IF(AND($L1299&lt;&gt;"",ROUND(SUMIF(收款关联,$L1299,收款金额)-IFERROR(INDEX(应收金额,MATCH($L1299,应收单号,0)),0),2)&gt;0.001),"★指定冲销超过那张单的应收","OK"))))))))</f>
        <v/>
      </c>
    </row>
    <row r="1300" customFormat="false" ht="15" hidden="false" customHeight="false" outlineLevel="0" collapsed="false">
      <c r="A1300" s="29" t="str">
        <f aca="false">IF($C1300="","",ROW()-4)</f>
        <v/>
      </c>
      <c r="B1300" s="35" t="str">
        <f aca="false">IF($C1300="","","SK"&amp;TEXT($C1300,"yyyymm")&amp;"-"&amp;TEXT(ROW()-4,"0000"))</f>
        <v/>
      </c>
      <c r="C1300" s="33"/>
      <c r="D1300" s="24"/>
      <c r="E1300" s="30" t="str">
        <f aca="false">IF($D1300="","",IFERROR(INDEX(合同单位,MATCH($D1300,合同键,0)),IFERROR(TRIM(LEFT($D1300,FIND("｜",$D1300)-1)),$D1300)))</f>
        <v/>
      </c>
      <c r="F1300" s="30" t="str">
        <f aca="false">IF($D1300="","",IFERROR(INDEX(合同项目,MATCH($D1300,合同键,0)),IFERROR(TRIM(MID($D1300,FIND("｜",$D1300)+1,99)),"")))</f>
        <v/>
      </c>
      <c r="G1300" s="39"/>
      <c r="H1300" s="25"/>
      <c r="I1300" s="35" t="str">
        <f aca="false">IF($H1300="","",IFERROR(INDEX(票据归类表,MATCH($H1300,票据类型表,0)),"现金无票"))</f>
        <v/>
      </c>
      <c r="J1300" s="25"/>
      <c r="K1300" s="25"/>
      <c r="L1300" s="31"/>
      <c r="M1300" s="29" t="str">
        <f aca="false">IF($C1300="","",YEAR($C1300))</f>
        <v/>
      </c>
      <c r="N1300" s="24"/>
      <c r="O1300" s="35" t="str">
        <f aca="false">IF($C1300="","",IF($D1300="","★没选客户项目",IF(COUNTIF(合同键,$D1300)=0,"★《维保合同》里没这个项目",IF(N($G1300)&lt;=0,"★收款金额要填",IF($H1300="","★票据类型要选",IF(AND($L1300&lt;&gt;"",COUNTIF(应收单号,$L1300)=0),"★关联的应收单号不存在",IF(AND($L1300&lt;&gt;"",IFERROR(INDEX(应收键,MATCH($L1300,应收单号,0)),"")&lt;&gt;$D1300),"★关联单号不是这个客户的",IF(AND($L1300&lt;&gt;"",ROUND(SUMIF(收款关联,$L1300,收款金额)-IFERROR(INDEX(应收金额,MATCH($L1300,应收单号,0)),0),2)&gt;0.001),"★指定冲销超过那张单的应收","OK"))))))))</f>
        <v/>
      </c>
    </row>
    <row r="1301" customFormat="false" ht="15" hidden="false" customHeight="false" outlineLevel="0" collapsed="false">
      <c r="A1301" s="29" t="str">
        <f aca="false">IF($C1301="","",ROW()-4)</f>
        <v/>
      </c>
      <c r="B1301" s="35" t="str">
        <f aca="false">IF($C1301="","","SK"&amp;TEXT($C1301,"yyyymm")&amp;"-"&amp;TEXT(ROW()-4,"0000"))</f>
        <v/>
      </c>
      <c r="C1301" s="33"/>
      <c r="D1301" s="24"/>
      <c r="E1301" s="30" t="str">
        <f aca="false">IF($D1301="","",IFERROR(INDEX(合同单位,MATCH($D1301,合同键,0)),IFERROR(TRIM(LEFT($D1301,FIND("｜",$D1301)-1)),$D1301)))</f>
        <v/>
      </c>
      <c r="F1301" s="30" t="str">
        <f aca="false">IF($D1301="","",IFERROR(INDEX(合同项目,MATCH($D1301,合同键,0)),IFERROR(TRIM(MID($D1301,FIND("｜",$D1301)+1,99)),"")))</f>
        <v/>
      </c>
      <c r="G1301" s="39"/>
      <c r="H1301" s="25"/>
      <c r="I1301" s="35" t="str">
        <f aca="false">IF($H1301="","",IFERROR(INDEX(票据归类表,MATCH($H1301,票据类型表,0)),"现金无票"))</f>
        <v/>
      </c>
      <c r="J1301" s="25"/>
      <c r="K1301" s="25"/>
      <c r="L1301" s="31"/>
      <c r="M1301" s="29" t="str">
        <f aca="false">IF($C1301="","",YEAR($C1301))</f>
        <v/>
      </c>
      <c r="N1301" s="24"/>
      <c r="O1301" s="35" t="str">
        <f aca="false">IF($C1301="","",IF($D1301="","★没选客户项目",IF(COUNTIF(合同键,$D1301)=0,"★《维保合同》里没这个项目",IF(N($G1301)&lt;=0,"★收款金额要填",IF($H1301="","★票据类型要选",IF(AND($L1301&lt;&gt;"",COUNTIF(应收单号,$L1301)=0),"★关联的应收单号不存在",IF(AND($L1301&lt;&gt;"",IFERROR(INDEX(应收键,MATCH($L1301,应收单号,0)),"")&lt;&gt;$D1301),"★关联单号不是这个客户的",IF(AND($L1301&lt;&gt;"",ROUND(SUMIF(收款关联,$L1301,收款金额)-IFERROR(INDEX(应收金额,MATCH($L1301,应收单号,0)),0),2)&gt;0.001),"★指定冲销超过那张单的应收","OK"))))))))</f>
        <v/>
      </c>
    </row>
    <row r="1302" customFormat="false" ht="15" hidden="false" customHeight="false" outlineLevel="0" collapsed="false">
      <c r="A1302" s="29" t="str">
        <f aca="false">IF($C1302="","",ROW()-4)</f>
        <v/>
      </c>
      <c r="B1302" s="35" t="str">
        <f aca="false">IF($C1302="","","SK"&amp;TEXT($C1302,"yyyymm")&amp;"-"&amp;TEXT(ROW()-4,"0000"))</f>
        <v/>
      </c>
      <c r="C1302" s="33"/>
      <c r="D1302" s="24"/>
      <c r="E1302" s="30" t="str">
        <f aca="false">IF($D1302="","",IFERROR(INDEX(合同单位,MATCH($D1302,合同键,0)),IFERROR(TRIM(LEFT($D1302,FIND("｜",$D1302)-1)),$D1302)))</f>
        <v/>
      </c>
      <c r="F1302" s="30" t="str">
        <f aca="false">IF($D1302="","",IFERROR(INDEX(合同项目,MATCH($D1302,合同键,0)),IFERROR(TRIM(MID($D1302,FIND("｜",$D1302)+1,99)),"")))</f>
        <v/>
      </c>
      <c r="G1302" s="39"/>
      <c r="H1302" s="25"/>
      <c r="I1302" s="35" t="str">
        <f aca="false">IF($H1302="","",IFERROR(INDEX(票据归类表,MATCH($H1302,票据类型表,0)),"现金无票"))</f>
        <v/>
      </c>
      <c r="J1302" s="25"/>
      <c r="K1302" s="25"/>
      <c r="L1302" s="31"/>
      <c r="M1302" s="29" t="str">
        <f aca="false">IF($C1302="","",YEAR($C1302))</f>
        <v/>
      </c>
      <c r="N1302" s="24"/>
      <c r="O1302" s="35" t="str">
        <f aca="false">IF($C1302="","",IF($D1302="","★没选客户项目",IF(COUNTIF(合同键,$D1302)=0,"★《维保合同》里没这个项目",IF(N($G1302)&lt;=0,"★收款金额要填",IF($H1302="","★票据类型要选",IF(AND($L1302&lt;&gt;"",COUNTIF(应收单号,$L1302)=0),"★关联的应收单号不存在",IF(AND($L1302&lt;&gt;"",IFERROR(INDEX(应收键,MATCH($L1302,应收单号,0)),"")&lt;&gt;$D1302),"★关联单号不是这个客户的",IF(AND($L1302&lt;&gt;"",ROUND(SUMIF(收款关联,$L1302,收款金额)-IFERROR(INDEX(应收金额,MATCH($L1302,应收单号,0)),0),2)&gt;0.001),"★指定冲销超过那张单的应收","OK"))))))))</f>
        <v/>
      </c>
    </row>
    <row r="1303" customFormat="false" ht="15" hidden="false" customHeight="false" outlineLevel="0" collapsed="false">
      <c r="A1303" s="29" t="str">
        <f aca="false">IF($C1303="","",ROW()-4)</f>
        <v/>
      </c>
      <c r="B1303" s="35" t="str">
        <f aca="false">IF($C1303="","","SK"&amp;TEXT($C1303,"yyyymm")&amp;"-"&amp;TEXT(ROW()-4,"0000"))</f>
        <v/>
      </c>
      <c r="C1303" s="33"/>
      <c r="D1303" s="24"/>
      <c r="E1303" s="30" t="str">
        <f aca="false">IF($D1303="","",IFERROR(INDEX(合同单位,MATCH($D1303,合同键,0)),IFERROR(TRIM(LEFT($D1303,FIND("｜",$D1303)-1)),$D1303)))</f>
        <v/>
      </c>
      <c r="F1303" s="30" t="str">
        <f aca="false">IF($D1303="","",IFERROR(INDEX(合同项目,MATCH($D1303,合同键,0)),IFERROR(TRIM(MID($D1303,FIND("｜",$D1303)+1,99)),"")))</f>
        <v/>
      </c>
      <c r="G1303" s="39"/>
      <c r="H1303" s="25"/>
      <c r="I1303" s="35" t="str">
        <f aca="false">IF($H1303="","",IFERROR(INDEX(票据归类表,MATCH($H1303,票据类型表,0)),"现金无票"))</f>
        <v/>
      </c>
      <c r="J1303" s="25"/>
      <c r="K1303" s="25"/>
      <c r="L1303" s="31"/>
      <c r="M1303" s="29" t="str">
        <f aca="false">IF($C1303="","",YEAR($C1303))</f>
        <v/>
      </c>
      <c r="N1303" s="24"/>
      <c r="O1303" s="35" t="str">
        <f aca="false">IF($C1303="","",IF($D1303="","★没选客户项目",IF(COUNTIF(合同键,$D1303)=0,"★《维保合同》里没这个项目",IF(N($G1303)&lt;=0,"★收款金额要填",IF($H1303="","★票据类型要选",IF(AND($L1303&lt;&gt;"",COUNTIF(应收单号,$L1303)=0),"★关联的应收单号不存在",IF(AND($L1303&lt;&gt;"",IFERROR(INDEX(应收键,MATCH($L1303,应收单号,0)),"")&lt;&gt;$D1303),"★关联单号不是这个客户的",IF(AND($L1303&lt;&gt;"",ROUND(SUMIF(收款关联,$L1303,收款金额)-IFERROR(INDEX(应收金额,MATCH($L1303,应收单号,0)),0),2)&gt;0.001),"★指定冲销超过那张单的应收","OK"))))))))</f>
        <v/>
      </c>
    </row>
    <row r="1304" customFormat="false" ht="15" hidden="false" customHeight="false" outlineLevel="0" collapsed="false">
      <c r="A1304" s="29" t="str">
        <f aca="false">IF($C1304="","",ROW()-4)</f>
        <v/>
      </c>
      <c r="B1304" s="35" t="str">
        <f aca="false">IF($C1304="","","SK"&amp;TEXT($C1304,"yyyymm")&amp;"-"&amp;TEXT(ROW()-4,"0000"))</f>
        <v/>
      </c>
      <c r="C1304" s="33"/>
      <c r="D1304" s="24"/>
      <c r="E1304" s="30" t="str">
        <f aca="false">IF($D1304="","",IFERROR(INDEX(合同单位,MATCH($D1304,合同键,0)),IFERROR(TRIM(LEFT($D1304,FIND("｜",$D1304)-1)),$D1304)))</f>
        <v/>
      </c>
      <c r="F1304" s="30" t="str">
        <f aca="false">IF($D1304="","",IFERROR(INDEX(合同项目,MATCH($D1304,合同键,0)),IFERROR(TRIM(MID($D1304,FIND("｜",$D1304)+1,99)),"")))</f>
        <v/>
      </c>
      <c r="G1304" s="39"/>
      <c r="H1304" s="25"/>
      <c r="I1304" s="35" t="str">
        <f aca="false">IF($H1304="","",IFERROR(INDEX(票据归类表,MATCH($H1304,票据类型表,0)),"现金无票"))</f>
        <v/>
      </c>
      <c r="J1304" s="25"/>
      <c r="K1304" s="25"/>
      <c r="L1304" s="31"/>
      <c r="M1304" s="29" t="str">
        <f aca="false">IF($C1304="","",YEAR($C1304))</f>
        <v/>
      </c>
      <c r="N1304" s="24"/>
      <c r="O1304" s="35" t="str">
        <f aca="false">IF($C1304="","",IF($D1304="","★没选客户项目",IF(COUNTIF(合同键,$D1304)=0,"★《维保合同》里没这个项目",IF(N($G1304)&lt;=0,"★收款金额要填",IF($H1304="","★票据类型要选",IF(AND($L1304&lt;&gt;"",COUNTIF(应收单号,$L1304)=0),"★关联的应收单号不存在",IF(AND($L1304&lt;&gt;"",IFERROR(INDEX(应收键,MATCH($L1304,应收单号,0)),"")&lt;&gt;$D1304),"★关联单号不是这个客户的",IF(AND($L1304&lt;&gt;"",ROUND(SUMIF(收款关联,$L1304,收款金额)-IFERROR(INDEX(应收金额,MATCH($L1304,应收单号,0)),0),2)&gt;0.001),"★指定冲销超过那张单的应收","OK"))))))))</f>
        <v/>
      </c>
    </row>
    <row r="1305" customFormat="false" ht="15" hidden="false" customHeight="false" outlineLevel="0" collapsed="false">
      <c r="A1305" s="29" t="str">
        <f aca="false">IF($C1305="","",ROW()-4)</f>
        <v/>
      </c>
      <c r="B1305" s="35" t="str">
        <f aca="false">IF($C1305="","","SK"&amp;TEXT($C1305,"yyyymm")&amp;"-"&amp;TEXT(ROW()-4,"0000"))</f>
        <v/>
      </c>
      <c r="C1305" s="33"/>
      <c r="D1305" s="24"/>
      <c r="E1305" s="30" t="str">
        <f aca="false">IF($D1305="","",IFERROR(INDEX(合同单位,MATCH($D1305,合同键,0)),IFERROR(TRIM(LEFT($D1305,FIND("｜",$D1305)-1)),$D1305)))</f>
        <v/>
      </c>
      <c r="F1305" s="30" t="str">
        <f aca="false">IF($D1305="","",IFERROR(INDEX(合同项目,MATCH($D1305,合同键,0)),IFERROR(TRIM(MID($D1305,FIND("｜",$D1305)+1,99)),"")))</f>
        <v/>
      </c>
      <c r="G1305" s="39"/>
      <c r="H1305" s="25"/>
      <c r="I1305" s="35" t="str">
        <f aca="false">IF($H1305="","",IFERROR(INDEX(票据归类表,MATCH($H1305,票据类型表,0)),"现金无票"))</f>
        <v/>
      </c>
      <c r="J1305" s="25"/>
      <c r="K1305" s="25"/>
      <c r="L1305" s="31"/>
      <c r="M1305" s="29" t="str">
        <f aca="false">IF($C1305="","",YEAR($C1305))</f>
        <v/>
      </c>
      <c r="N1305" s="24"/>
      <c r="O1305" s="35" t="str">
        <f aca="false">IF($C1305="","",IF($D1305="","★没选客户项目",IF(COUNTIF(合同键,$D1305)=0,"★《维保合同》里没这个项目",IF(N($G1305)&lt;=0,"★收款金额要填",IF($H1305="","★票据类型要选",IF(AND($L1305&lt;&gt;"",COUNTIF(应收单号,$L1305)=0),"★关联的应收单号不存在",IF(AND($L1305&lt;&gt;"",IFERROR(INDEX(应收键,MATCH($L1305,应收单号,0)),"")&lt;&gt;$D1305),"★关联单号不是这个客户的",IF(AND($L1305&lt;&gt;"",ROUND(SUMIF(收款关联,$L1305,收款金额)-IFERROR(INDEX(应收金额,MATCH($L1305,应收单号,0)),0),2)&gt;0.001),"★指定冲销超过那张单的应收","OK"))))))))</f>
        <v/>
      </c>
    </row>
    <row r="1306" customFormat="false" ht="15" hidden="false" customHeight="false" outlineLevel="0" collapsed="false">
      <c r="A1306" s="29" t="str">
        <f aca="false">IF($C1306="","",ROW()-4)</f>
        <v/>
      </c>
      <c r="B1306" s="35" t="str">
        <f aca="false">IF($C1306="","","SK"&amp;TEXT($C1306,"yyyymm")&amp;"-"&amp;TEXT(ROW()-4,"0000"))</f>
        <v/>
      </c>
      <c r="C1306" s="33"/>
      <c r="D1306" s="24"/>
      <c r="E1306" s="30" t="str">
        <f aca="false">IF($D1306="","",IFERROR(INDEX(合同单位,MATCH($D1306,合同键,0)),IFERROR(TRIM(LEFT($D1306,FIND("｜",$D1306)-1)),$D1306)))</f>
        <v/>
      </c>
      <c r="F1306" s="30" t="str">
        <f aca="false">IF($D1306="","",IFERROR(INDEX(合同项目,MATCH($D1306,合同键,0)),IFERROR(TRIM(MID($D1306,FIND("｜",$D1306)+1,99)),"")))</f>
        <v/>
      </c>
      <c r="G1306" s="39"/>
      <c r="H1306" s="25"/>
      <c r="I1306" s="35" t="str">
        <f aca="false">IF($H1306="","",IFERROR(INDEX(票据归类表,MATCH($H1306,票据类型表,0)),"现金无票"))</f>
        <v/>
      </c>
      <c r="J1306" s="25"/>
      <c r="K1306" s="25"/>
      <c r="L1306" s="31"/>
      <c r="M1306" s="29" t="str">
        <f aca="false">IF($C1306="","",YEAR($C1306))</f>
        <v/>
      </c>
      <c r="N1306" s="24"/>
      <c r="O1306" s="35" t="str">
        <f aca="false">IF($C1306="","",IF($D1306="","★没选客户项目",IF(COUNTIF(合同键,$D1306)=0,"★《维保合同》里没这个项目",IF(N($G1306)&lt;=0,"★收款金额要填",IF($H1306="","★票据类型要选",IF(AND($L1306&lt;&gt;"",COUNTIF(应收单号,$L1306)=0),"★关联的应收单号不存在",IF(AND($L1306&lt;&gt;"",IFERROR(INDEX(应收键,MATCH($L1306,应收单号,0)),"")&lt;&gt;$D1306),"★关联单号不是这个客户的",IF(AND($L1306&lt;&gt;"",ROUND(SUMIF(收款关联,$L1306,收款金额)-IFERROR(INDEX(应收金额,MATCH($L1306,应收单号,0)),0),2)&gt;0.001),"★指定冲销超过那张单的应收","OK"))))))))</f>
        <v/>
      </c>
    </row>
    <row r="1307" customFormat="false" ht="15" hidden="false" customHeight="false" outlineLevel="0" collapsed="false">
      <c r="A1307" s="29" t="str">
        <f aca="false">IF($C1307="","",ROW()-4)</f>
        <v/>
      </c>
      <c r="B1307" s="35" t="str">
        <f aca="false">IF($C1307="","","SK"&amp;TEXT($C1307,"yyyymm")&amp;"-"&amp;TEXT(ROW()-4,"0000"))</f>
        <v/>
      </c>
      <c r="C1307" s="33"/>
      <c r="D1307" s="24"/>
      <c r="E1307" s="30" t="str">
        <f aca="false">IF($D1307="","",IFERROR(INDEX(合同单位,MATCH($D1307,合同键,0)),IFERROR(TRIM(LEFT($D1307,FIND("｜",$D1307)-1)),$D1307)))</f>
        <v/>
      </c>
      <c r="F1307" s="30" t="str">
        <f aca="false">IF($D1307="","",IFERROR(INDEX(合同项目,MATCH($D1307,合同键,0)),IFERROR(TRIM(MID($D1307,FIND("｜",$D1307)+1,99)),"")))</f>
        <v/>
      </c>
      <c r="G1307" s="39"/>
      <c r="H1307" s="25"/>
      <c r="I1307" s="35" t="str">
        <f aca="false">IF($H1307="","",IFERROR(INDEX(票据归类表,MATCH($H1307,票据类型表,0)),"现金无票"))</f>
        <v/>
      </c>
      <c r="J1307" s="25"/>
      <c r="K1307" s="25"/>
      <c r="L1307" s="31"/>
      <c r="M1307" s="29" t="str">
        <f aca="false">IF($C1307="","",YEAR($C1307))</f>
        <v/>
      </c>
      <c r="N1307" s="24"/>
      <c r="O1307" s="35" t="str">
        <f aca="false">IF($C1307="","",IF($D1307="","★没选客户项目",IF(COUNTIF(合同键,$D1307)=0,"★《维保合同》里没这个项目",IF(N($G1307)&lt;=0,"★收款金额要填",IF($H1307="","★票据类型要选",IF(AND($L1307&lt;&gt;"",COUNTIF(应收单号,$L1307)=0),"★关联的应收单号不存在",IF(AND($L1307&lt;&gt;"",IFERROR(INDEX(应收键,MATCH($L1307,应收单号,0)),"")&lt;&gt;$D1307),"★关联单号不是这个客户的",IF(AND($L1307&lt;&gt;"",ROUND(SUMIF(收款关联,$L1307,收款金额)-IFERROR(INDEX(应收金额,MATCH($L1307,应收单号,0)),0),2)&gt;0.001),"★指定冲销超过那张单的应收","OK"))))))))</f>
        <v/>
      </c>
    </row>
    <row r="1308" customFormat="false" ht="15" hidden="false" customHeight="false" outlineLevel="0" collapsed="false">
      <c r="A1308" s="29" t="str">
        <f aca="false">IF($C1308="","",ROW()-4)</f>
        <v/>
      </c>
      <c r="B1308" s="35" t="str">
        <f aca="false">IF($C1308="","","SK"&amp;TEXT($C1308,"yyyymm")&amp;"-"&amp;TEXT(ROW()-4,"0000"))</f>
        <v/>
      </c>
      <c r="C1308" s="33"/>
      <c r="D1308" s="24"/>
      <c r="E1308" s="30" t="str">
        <f aca="false">IF($D1308="","",IFERROR(INDEX(合同单位,MATCH($D1308,合同键,0)),IFERROR(TRIM(LEFT($D1308,FIND("｜",$D1308)-1)),$D1308)))</f>
        <v/>
      </c>
      <c r="F1308" s="30" t="str">
        <f aca="false">IF($D1308="","",IFERROR(INDEX(合同项目,MATCH($D1308,合同键,0)),IFERROR(TRIM(MID($D1308,FIND("｜",$D1308)+1,99)),"")))</f>
        <v/>
      </c>
      <c r="G1308" s="39"/>
      <c r="H1308" s="25"/>
      <c r="I1308" s="35" t="str">
        <f aca="false">IF($H1308="","",IFERROR(INDEX(票据归类表,MATCH($H1308,票据类型表,0)),"现金无票"))</f>
        <v/>
      </c>
      <c r="J1308" s="25"/>
      <c r="K1308" s="25"/>
      <c r="L1308" s="31"/>
      <c r="M1308" s="29" t="str">
        <f aca="false">IF($C1308="","",YEAR($C1308))</f>
        <v/>
      </c>
      <c r="N1308" s="24"/>
      <c r="O1308" s="35" t="str">
        <f aca="false">IF($C1308="","",IF($D1308="","★没选客户项目",IF(COUNTIF(合同键,$D1308)=0,"★《维保合同》里没这个项目",IF(N($G1308)&lt;=0,"★收款金额要填",IF($H1308="","★票据类型要选",IF(AND($L1308&lt;&gt;"",COUNTIF(应收单号,$L1308)=0),"★关联的应收单号不存在",IF(AND($L1308&lt;&gt;"",IFERROR(INDEX(应收键,MATCH($L1308,应收单号,0)),"")&lt;&gt;$D1308),"★关联单号不是这个客户的",IF(AND($L1308&lt;&gt;"",ROUND(SUMIF(收款关联,$L1308,收款金额)-IFERROR(INDEX(应收金额,MATCH($L1308,应收单号,0)),0),2)&gt;0.001),"★指定冲销超过那张单的应收","OK"))))))))</f>
        <v/>
      </c>
    </row>
    <row r="1309" customFormat="false" ht="15" hidden="false" customHeight="false" outlineLevel="0" collapsed="false">
      <c r="A1309" s="29" t="str">
        <f aca="false">IF($C1309="","",ROW()-4)</f>
        <v/>
      </c>
      <c r="B1309" s="35" t="str">
        <f aca="false">IF($C1309="","","SK"&amp;TEXT($C1309,"yyyymm")&amp;"-"&amp;TEXT(ROW()-4,"0000"))</f>
        <v/>
      </c>
      <c r="C1309" s="33"/>
      <c r="D1309" s="24"/>
      <c r="E1309" s="30" t="str">
        <f aca="false">IF($D1309="","",IFERROR(INDEX(合同单位,MATCH($D1309,合同键,0)),IFERROR(TRIM(LEFT($D1309,FIND("｜",$D1309)-1)),$D1309)))</f>
        <v/>
      </c>
      <c r="F1309" s="30" t="str">
        <f aca="false">IF($D1309="","",IFERROR(INDEX(合同项目,MATCH($D1309,合同键,0)),IFERROR(TRIM(MID($D1309,FIND("｜",$D1309)+1,99)),"")))</f>
        <v/>
      </c>
      <c r="G1309" s="39"/>
      <c r="H1309" s="25"/>
      <c r="I1309" s="35" t="str">
        <f aca="false">IF($H1309="","",IFERROR(INDEX(票据归类表,MATCH($H1309,票据类型表,0)),"现金无票"))</f>
        <v/>
      </c>
      <c r="J1309" s="25"/>
      <c r="K1309" s="25"/>
      <c r="L1309" s="31"/>
      <c r="M1309" s="29" t="str">
        <f aca="false">IF($C1309="","",YEAR($C1309))</f>
        <v/>
      </c>
      <c r="N1309" s="24"/>
      <c r="O1309" s="35" t="str">
        <f aca="false">IF($C1309="","",IF($D1309="","★没选客户项目",IF(COUNTIF(合同键,$D1309)=0,"★《维保合同》里没这个项目",IF(N($G1309)&lt;=0,"★收款金额要填",IF($H1309="","★票据类型要选",IF(AND($L1309&lt;&gt;"",COUNTIF(应收单号,$L1309)=0),"★关联的应收单号不存在",IF(AND($L1309&lt;&gt;"",IFERROR(INDEX(应收键,MATCH($L1309,应收单号,0)),"")&lt;&gt;$D1309),"★关联单号不是这个客户的",IF(AND($L1309&lt;&gt;"",ROUND(SUMIF(收款关联,$L1309,收款金额)-IFERROR(INDEX(应收金额,MATCH($L1309,应收单号,0)),0),2)&gt;0.001),"★指定冲销超过那张单的应收","OK"))))))))</f>
        <v/>
      </c>
    </row>
    <row r="1310" customFormat="false" ht="15" hidden="false" customHeight="false" outlineLevel="0" collapsed="false">
      <c r="A1310" s="29" t="str">
        <f aca="false">IF($C1310="","",ROW()-4)</f>
        <v/>
      </c>
      <c r="B1310" s="35" t="str">
        <f aca="false">IF($C1310="","","SK"&amp;TEXT($C1310,"yyyymm")&amp;"-"&amp;TEXT(ROW()-4,"0000"))</f>
        <v/>
      </c>
      <c r="C1310" s="33"/>
      <c r="D1310" s="24"/>
      <c r="E1310" s="30" t="str">
        <f aca="false">IF($D1310="","",IFERROR(INDEX(合同单位,MATCH($D1310,合同键,0)),IFERROR(TRIM(LEFT($D1310,FIND("｜",$D1310)-1)),$D1310)))</f>
        <v/>
      </c>
      <c r="F1310" s="30" t="str">
        <f aca="false">IF($D1310="","",IFERROR(INDEX(合同项目,MATCH($D1310,合同键,0)),IFERROR(TRIM(MID($D1310,FIND("｜",$D1310)+1,99)),"")))</f>
        <v/>
      </c>
      <c r="G1310" s="39"/>
      <c r="H1310" s="25"/>
      <c r="I1310" s="35" t="str">
        <f aca="false">IF($H1310="","",IFERROR(INDEX(票据归类表,MATCH($H1310,票据类型表,0)),"现金无票"))</f>
        <v/>
      </c>
      <c r="J1310" s="25"/>
      <c r="K1310" s="25"/>
      <c r="L1310" s="31"/>
      <c r="M1310" s="29" t="str">
        <f aca="false">IF($C1310="","",YEAR($C1310))</f>
        <v/>
      </c>
      <c r="N1310" s="24"/>
      <c r="O1310" s="35" t="str">
        <f aca="false">IF($C1310="","",IF($D1310="","★没选客户项目",IF(COUNTIF(合同键,$D1310)=0,"★《维保合同》里没这个项目",IF(N($G1310)&lt;=0,"★收款金额要填",IF($H1310="","★票据类型要选",IF(AND($L1310&lt;&gt;"",COUNTIF(应收单号,$L1310)=0),"★关联的应收单号不存在",IF(AND($L1310&lt;&gt;"",IFERROR(INDEX(应收键,MATCH($L1310,应收单号,0)),"")&lt;&gt;$D1310),"★关联单号不是这个客户的",IF(AND($L1310&lt;&gt;"",ROUND(SUMIF(收款关联,$L1310,收款金额)-IFERROR(INDEX(应收金额,MATCH($L1310,应收单号,0)),0),2)&gt;0.001),"★指定冲销超过那张单的应收","OK"))))))))</f>
        <v/>
      </c>
    </row>
    <row r="1311" customFormat="false" ht="15" hidden="false" customHeight="false" outlineLevel="0" collapsed="false">
      <c r="A1311" s="29" t="str">
        <f aca="false">IF($C1311="","",ROW()-4)</f>
        <v/>
      </c>
      <c r="B1311" s="35" t="str">
        <f aca="false">IF($C1311="","","SK"&amp;TEXT($C1311,"yyyymm")&amp;"-"&amp;TEXT(ROW()-4,"0000"))</f>
        <v/>
      </c>
      <c r="C1311" s="33"/>
      <c r="D1311" s="24"/>
      <c r="E1311" s="30" t="str">
        <f aca="false">IF($D1311="","",IFERROR(INDEX(合同单位,MATCH($D1311,合同键,0)),IFERROR(TRIM(LEFT($D1311,FIND("｜",$D1311)-1)),$D1311)))</f>
        <v/>
      </c>
      <c r="F1311" s="30" t="str">
        <f aca="false">IF($D1311="","",IFERROR(INDEX(合同项目,MATCH($D1311,合同键,0)),IFERROR(TRIM(MID($D1311,FIND("｜",$D1311)+1,99)),"")))</f>
        <v/>
      </c>
      <c r="G1311" s="39"/>
      <c r="H1311" s="25"/>
      <c r="I1311" s="35" t="str">
        <f aca="false">IF($H1311="","",IFERROR(INDEX(票据归类表,MATCH($H1311,票据类型表,0)),"现金无票"))</f>
        <v/>
      </c>
      <c r="J1311" s="25"/>
      <c r="K1311" s="25"/>
      <c r="L1311" s="31"/>
      <c r="M1311" s="29" t="str">
        <f aca="false">IF($C1311="","",YEAR($C1311))</f>
        <v/>
      </c>
      <c r="N1311" s="24"/>
      <c r="O1311" s="35" t="str">
        <f aca="false">IF($C1311="","",IF($D1311="","★没选客户项目",IF(COUNTIF(合同键,$D1311)=0,"★《维保合同》里没这个项目",IF(N($G1311)&lt;=0,"★收款金额要填",IF($H1311="","★票据类型要选",IF(AND($L1311&lt;&gt;"",COUNTIF(应收单号,$L1311)=0),"★关联的应收单号不存在",IF(AND($L1311&lt;&gt;"",IFERROR(INDEX(应收键,MATCH($L1311,应收单号,0)),"")&lt;&gt;$D1311),"★关联单号不是这个客户的",IF(AND($L1311&lt;&gt;"",ROUND(SUMIF(收款关联,$L1311,收款金额)-IFERROR(INDEX(应收金额,MATCH($L1311,应收单号,0)),0),2)&gt;0.001),"★指定冲销超过那张单的应收","OK"))))))))</f>
        <v/>
      </c>
    </row>
    <row r="1312" customFormat="false" ht="15" hidden="false" customHeight="false" outlineLevel="0" collapsed="false">
      <c r="A1312" s="29" t="str">
        <f aca="false">IF($C1312="","",ROW()-4)</f>
        <v/>
      </c>
      <c r="B1312" s="35" t="str">
        <f aca="false">IF($C1312="","","SK"&amp;TEXT($C1312,"yyyymm")&amp;"-"&amp;TEXT(ROW()-4,"0000"))</f>
        <v/>
      </c>
      <c r="C1312" s="33"/>
      <c r="D1312" s="24"/>
      <c r="E1312" s="30" t="str">
        <f aca="false">IF($D1312="","",IFERROR(INDEX(合同单位,MATCH($D1312,合同键,0)),IFERROR(TRIM(LEFT($D1312,FIND("｜",$D1312)-1)),$D1312)))</f>
        <v/>
      </c>
      <c r="F1312" s="30" t="str">
        <f aca="false">IF($D1312="","",IFERROR(INDEX(合同项目,MATCH($D1312,合同键,0)),IFERROR(TRIM(MID($D1312,FIND("｜",$D1312)+1,99)),"")))</f>
        <v/>
      </c>
      <c r="G1312" s="39"/>
      <c r="H1312" s="25"/>
      <c r="I1312" s="35" t="str">
        <f aca="false">IF($H1312="","",IFERROR(INDEX(票据归类表,MATCH($H1312,票据类型表,0)),"现金无票"))</f>
        <v/>
      </c>
      <c r="J1312" s="25"/>
      <c r="K1312" s="25"/>
      <c r="L1312" s="31"/>
      <c r="M1312" s="29" t="str">
        <f aca="false">IF($C1312="","",YEAR($C1312))</f>
        <v/>
      </c>
      <c r="N1312" s="24"/>
      <c r="O1312" s="35" t="str">
        <f aca="false">IF($C1312="","",IF($D1312="","★没选客户项目",IF(COUNTIF(合同键,$D1312)=0,"★《维保合同》里没这个项目",IF(N($G1312)&lt;=0,"★收款金额要填",IF($H1312="","★票据类型要选",IF(AND($L1312&lt;&gt;"",COUNTIF(应收单号,$L1312)=0),"★关联的应收单号不存在",IF(AND($L1312&lt;&gt;"",IFERROR(INDEX(应收键,MATCH($L1312,应收单号,0)),"")&lt;&gt;$D1312),"★关联单号不是这个客户的",IF(AND($L1312&lt;&gt;"",ROUND(SUMIF(收款关联,$L1312,收款金额)-IFERROR(INDEX(应收金额,MATCH($L1312,应收单号,0)),0),2)&gt;0.001),"★指定冲销超过那张单的应收","OK"))))))))</f>
        <v/>
      </c>
    </row>
    <row r="1313" customFormat="false" ht="15" hidden="false" customHeight="false" outlineLevel="0" collapsed="false">
      <c r="A1313" s="29" t="str">
        <f aca="false">IF($C1313="","",ROW()-4)</f>
        <v/>
      </c>
      <c r="B1313" s="35" t="str">
        <f aca="false">IF($C1313="","","SK"&amp;TEXT($C1313,"yyyymm")&amp;"-"&amp;TEXT(ROW()-4,"0000"))</f>
        <v/>
      </c>
      <c r="C1313" s="33"/>
      <c r="D1313" s="24"/>
      <c r="E1313" s="30" t="str">
        <f aca="false">IF($D1313="","",IFERROR(INDEX(合同单位,MATCH($D1313,合同键,0)),IFERROR(TRIM(LEFT($D1313,FIND("｜",$D1313)-1)),$D1313)))</f>
        <v/>
      </c>
      <c r="F1313" s="30" t="str">
        <f aca="false">IF($D1313="","",IFERROR(INDEX(合同项目,MATCH($D1313,合同键,0)),IFERROR(TRIM(MID($D1313,FIND("｜",$D1313)+1,99)),"")))</f>
        <v/>
      </c>
      <c r="G1313" s="39"/>
      <c r="H1313" s="25"/>
      <c r="I1313" s="35" t="str">
        <f aca="false">IF($H1313="","",IFERROR(INDEX(票据归类表,MATCH($H1313,票据类型表,0)),"现金无票"))</f>
        <v/>
      </c>
      <c r="J1313" s="25"/>
      <c r="K1313" s="25"/>
      <c r="L1313" s="31"/>
      <c r="M1313" s="29" t="str">
        <f aca="false">IF($C1313="","",YEAR($C1313))</f>
        <v/>
      </c>
      <c r="N1313" s="24"/>
      <c r="O1313" s="35" t="str">
        <f aca="false">IF($C1313="","",IF($D1313="","★没选客户项目",IF(COUNTIF(合同键,$D1313)=0,"★《维保合同》里没这个项目",IF(N($G1313)&lt;=0,"★收款金额要填",IF($H1313="","★票据类型要选",IF(AND($L1313&lt;&gt;"",COUNTIF(应收单号,$L1313)=0),"★关联的应收单号不存在",IF(AND($L1313&lt;&gt;"",IFERROR(INDEX(应收键,MATCH($L1313,应收单号,0)),"")&lt;&gt;$D1313),"★关联单号不是这个客户的",IF(AND($L1313&lt;&gt;"",ROUND(SUMIF(收款关联,$L1313,收款金额)-IFERROR(INDEX(应收金额,MATCH($L1313,应收单号,0)),0),2)&gt;0.001),"★指定冲销超过那张单的应收","OK"))))))))</f>
        <v/>
      </c>
    </row>
    <row r="1314" customFormat="false" ht="15" hidden="false" customHeight="false" outlineLevel="0" collapsed="false">
      <c r="A1314" s="29" t="str">
        <f aca="false">IF($C1314="","",ROW()-4)</f>
        <v/>
      </c>
      <c r="B1314" s="35" t="str">
        <f aca="false">IF($C1314="","","SK"&amp;TEXT($C1314,"yyyymm")&amp;"-"&amp;TEXT(ROW()-4,"0000"))</f>
        <v/>
      </c>
      <c r="C1314" s="33"/>
      <c r="D1314" s="24"/>
      <c r="E1314" s="30" t="str">
        <f aca="false">IF($D1314="","",IFERROR(INDEX(合同单位,MATCH($D1314,合同键,0)),IFERROR(TRIM(LEFT($D1314,FIND("｜",$D1314)-1)),$D1314)))</f>
        <v/>
      </c>
      <c r="F1314" s="30" t="str">
        <f aca="false">IF($D1314="","",IFERROR(INDEX(合同项目,MATCH($D1314,合同键,0)),IFERROR(TRIM(MID($D1314,FIND("｜",$D1314)+1,99)),"")))</f>
        <v/>
      </c>
      <c r="G1314" s="39"/>
      <c r="H1314" s="25"/>
      <c r="I1314" s="35" t="str">
        <f aca="false">IF($H1314="","",IFERROR(INDEX(票据归类表,MATCH($H1314,票据类型表,0)),"现金无票"))</f>
        <v/>
      </c>
      <c r="J1314" s="25"/>
      <c r="K1314" s="25"/>
      <c r="L1314" s="31"/>
      <c r="M1314" s="29" t="str">
        <f aca="false">IF($C1314="","",YEAR($C1314))</f>
        <v/>
      </c>
      <c r="N1314" s="24"/>
      <c r="O1314" s="35" t="str">
        <f aca="false">IF($C1314="","",IF($D1314="","★没选客户项目",IF(COUNTIF(合同键,$D1314)=0,"★《维保合同》里没这个项目",IF(N($G1314)&lt;=0,"★收款金额要填",IF($H1314="","★票据类型要选",IF(AND($L1314&lt;&gt;"",COUNTIF(应收单号,$L1314)=0),"★关联的应收单号不存在",IF(AND($L1314&lt;&gt;"",IFERROR(INDEX(应收键,MATCH($L1314,应收单号,0)),"")&lt;&gt;$D1314),"★关联单号不是这个客户的",IF(AND($L1314&lt;&gt;"",ROUND(SUMIF(收款关联,$L1314,收款金额)-IFERROR(INDEX(应收金额,MATCH($L1314,应收单号,0)),0),2)&gt;0.001),"★指定冲销超过那张单的应收","OK"))))))))</f>
        <v/>
      </c>
    </row>
    <row r="1315" customFormat="false" ht="15" hidden="false" customHeight="false" outlineLevel="0" collapsed="false">
      <c r="A1315" s="29" t="str">
        <f aca="false">IF($C1315="","",ROW()-4)</f>
        <v/>
      </c>
      <c r="B1315" s="35" t="str">
        <f aca="false">IF($C1315="","","SK"&amp;TEXT($C1315,"yyyymm")&amp;"-"&amp;TEXT(ROW()-4,"0000"))</f>
        <v/>
      </c>
      <c r="C1315" s="33"/>
      <c r="D1315" s="24"/>
      <c r="E1315" s="30" t="str">
        <f aca="false">IF($D1315="","",IFERROR(INDEX(合同单位,MATCH($D1315,合同键,0)),IFERROR(TRIM(LEFT($D1315,FIND("｜",$D1315)-1)),$D1315)))</f>
        <v/>
      </c>
      <c r="F1315" s="30" t="str">
        <f aca="false">IF($D1315="","",IFERROR(INDEX(合同项目,MATCH($D1315,合同键,0)),IFERROR(TRIM(MID($D1315,FIND("｜",$D1315)+1,99)),"")))</f>
        <v/>
      </c>
      <c r="G1315" s="39"/>
      <c r="H1315" s="25"/>
      <c r="I1315" s="35" t="str">
        <f aca="false">IF($H1315="","",IFERROR(INDEX(票据归类表,MATCH($H1315,票据类型表,0)),"现金无票"))</f>
        <v/>
      </c>
      <c r="J1315" s="25"/>
      <c r="K1315" s="25"/>
      <c r="L1315" s="31"/>
      <c r="M1315" s="29" t="str">
        <f aca="false">IF($C1315="","",YEAR($C1315))</f>
        <v/>
      </c>
      <c r="N1315" s="24"/>
      <c r="O1315" s="35" t="str">
        <f aca="false">IF($C1315="","",IF($D1315="","★没选客户项目",IF(COUNTIF(合同键,$D1315)=0,"★《维保合同》里没这个项目",IF(N($G1315)&lt;=0,"★收款金额要填",IF($H1315="","★票据类型要选",IF(AND($L1315&lt;&gt;"",COUNTIF(应收单号,$L1315)=0),"★关联的应收单号不存在",IF(AND($L1315&lt;&gt;"",IFERROR(INDEX(应收键,MATCH($L1315,应收单号,0)),"")&lt;&gt;$D1315),"★关联单号不是这个客户的",IF(AND($L1315&lt;&gt;"",ROUND(SUMIF(收款关联,$L1315,收款金额)-IFERROR(INDEX(应收金额,MATCH($L1315,应收单号,0)),0),2)&gt;0.001),"★指定冲销超过那张单的应收","OK"))))))))</f>
        <v/>
      </c>
    </row>
    <row r="1316" customFormat="false" ht="15" hidden="false" customHeight="false" outlineLevel="0" collapsed="false">
      <c r="A1316" s="29" t="str">
        <f aca="false">IF($C1316="","",ROW()-4)</f>
        <v/>
      </c>
      <c r="B1316" s="35" t="str">
        <f aca="false">IF($C1316="","","SK"&amp;TEXT($C1316,"yyyymm")&amp;"-"&amp;TEXT(ROW()-4,"0000"))</f>
        <v/>
      </c>
      <c r="C1316" s="33"/>
      <c r="D1316" s="24"/>
      <c r="E1316" s="30" t="str">
        <f aca="false">IF($D1316="","",IFERROR(INDEX(合同单位,MATCH($D1316,合同键,0)),IFERROR(TRIM(LEFT($D1316,FIND("｜",$D1316)-1)),$D1316)))</f>
        <v/>
      </c>
      <c r="F1316" s="30" t="str">
        <f aca="false">IF($D1316="","",IFERROR(INDEX(合同项目,MATCH($D1316,合同键,0)),IFERROR(TRIM(MID($D1316,FIND("｜",$D1316)+1,99)),"")))</f>
        <v/>
      </c>
      <c r="G1316" s="39"/>
      <c r="H1316" s="25"/>
      <c r="I1316" s="35" t="str">
        <f aca="false">IF($H1316="","",IFERROR(INDEX(票据归类表,MATCH($H1316,票据类型表,0)),"现金无票"))</f>
        <v/>
      </c>
      <c r="J1316" s="25"/>
      <c r="K1316" s="25"/>
      <c r="L1316" s="31"/>
      <c r="M1316" s="29" t="str">
        <f aca="false">IF($C1316="","",YEAR($C1316))</f>
        <v/>
      </c>
      <c r="N1316" s="24"/>
      <c r="O1316" s="35" t="str">
        <f aca="false">IF($C1316="","",IF($D1316="","★没选客户项目",IF(COUNTIF(合同键,$D1316)=0,"★《维保合同》里没这个项目",IF(N($G1316)&lt;=0,"★收款金额要填",IF($H1316="","★票据类型要选",IF(AND($L1316&lt;&gt;"",COUNTIF(应收单号,$L1316)=0),"★关联的应收单号不存在",IF(AND($L1316&lt;&gt;"",IFERROR(INDEX(应收键,MATCH($L1316,应收单号,0)),"")&lt;&gt;$D1316),"★关联单号不是这个客户的",IF(AND($L1316&lt;&gt;"",ROUND(SUMIF(收款关联,$L1316,收款金额)-IFERROR(INDEX(应收金额,MATCH($L1316,应收单号,0)),0),2)&gt;0.001),"★指定冲销超过那张单的应收","OK"))))))))</f>
        <v/>
      </c>
    </row>
    <row r="1317" customFormat="false" ht="15" hidden="false" customHeight="false" outlineLevel="0" collapsed="false">
      <c r="A1317" s="29" t="str">
        <f aca="false">IF($C1317="","",ROW()-4)</f>
        <v/>
      </c>
      <c r="B1317" s="35" t="str">
        <f aca="false">IF($C1317="","","SK"&amp;TEXT($C1317,"yyyymm")&amp;"-"&amp;TEXT(ROW()-4,"0000"))</f>
        <v/>
      </c>
      <c r="C1317" s="33"/>
      <c r="D1317" s="24"/>
      <c r="E1317" s="30" t="str">
        <f aca="false">IF($D1317="","",IFERROR(INDEX(合同单位,MATCH($D1317,合同键,0)),IFERROR(TRIM(LEFT($D1317,FIND("｜",$D1317)-1)),$D1317)))</f>
        <v/>
      </c>
      <c r="F1317" s="30" t="str">
        <f aca="false">IF($D1317="","",IFERROR(INDEX(合同项目,MATCH($D1317,合同键,0)),IFERROR(TRIM(MID($D1317,FIND("｜",$D1317)+1,99)),"")))</f>
        <v/>
      </c>
      <c r="G1317" s="39"/>
      <c r="H1317" s="25"/>
      <c r="I1317" s="35" t="str">
        <f aca="false">IF($H1317="","",IFERROR(INDEX(票据归类表,MATCH($H1317,票据类型表,0)),"现金无票"))</f>
        <v/>
      </c>
      <c r="J1317" s="25"/>
      <c r="K1317" s="25"/>
      <c r="L1317" s="31"/>
      <c r="M1317" s="29" t="str">
        <f aca="false">IF($C1317="","",YEAR($C1317))</f>
        <v/>
      </c>
      <c r="N1317" s="24"/>
      <c r="O1317" s="35" t="str">
        <f aca="false">IF($C1317="","",IF($D1317="","★没选客户项目",IF(COUNTIF(合同键,$D1317)=0,"★《维保合同》里没这个项目",IF(N($G1317)&lt;=0,"★收款金额要填",IF($H1317="","★票据类型要选",IF(AND($L1317&lt;&gt;"",COUNTIF(应收单号,$L1317)=0),"★关联的应收单号不存在",IF(AND($L1317&lt;&gt;"",IFERROR(INDEX(应收键,MATCH($L1317,应收单号,0)),"")&lt;&gt;$D1317),"★关联单号不是这个客户的",IF(AND($L1317&lt;&gt;"",ROUND(SUMIF(收款关联,$L1317,收款金额)-IFERROR(INDEX(应收金额,MATCH($L1317,应收单号,0)),0),2)&gt;0.001),"★指定冲销超过那张单的应收","OK"))))))))</f>
        <v/>
      </c>
    </row>
    <row r="1318" customFormat="false" ht="15" hidden="false" customHeight="false" outlineLevel="0" collapsed="false">
      <c r="A1318" s="29" t="str">
        <f aca="false">IF($C1318="","",ROW()-4)</f>
        <v/>
      </c>
      <c r="B1318" s="35" t="str">
        <f aca="false">IF($C1318="","","SK"&amp;TEXT($C1318,"yyyymm")&amp;"-"&amp;TEXT(ROW()-4,"0000"))</f>
        <v/>
      </c>
      <c r="C1318" s="33"/>
      <c r="D1318" s="24"/>
      <c r="E1318" s="30" t="str">
        <f aca="false">IF($D1318="","",IFERROR(INDEX(合同单位,MATCH($D1318,合同键,0)),IFERROR(TRIM(LEFT($D1318,FIND("｜",$D1318)-1)),$D1318)))</f>
        <v/>
      </c>
      <c r="F1318" s="30" t="str">
        <f aca="false">IF($D1318="","",IFERROR(INDEX(合同项目,MATCH($D1318,合同键,0)),IFERROR(TRIM(MID($D1318,FIND("｜",$D1318)+1,99)),"")))</f>
        <v/>
      </c>
      <c r="G1318" s="39"/>
      <c r="H1318" s="25"/>
      <c r="I1318" s="35" t="str">
        <f aca="false">IF($H1318="","",IFERROR(INDEX(票据归类表,MATCH($H1318,票据类型表,0)),"现金无票"))</f>
        <v/>
      </c>
      <c r="J1318" s="25"/>
      <c r="K1318" s="25"/>
      <c r="L1318" s="31"/>
      <c r="M1318" s="29" t="str">
        <f aca="false">IF($C1318="","",YEAR($C1318))</f>
        <v/>
      </c>
      <c r="N1318" s="24"/>
      <c r="O1318" s="35" t="str">
        <f aca="false">IF($C1318="","",IF($D1318="","★没选客户项目",IF(COUNTIF(合同键,$D1318)=0,"★《维保合同》里没这个项目",IF(N($G1318)&lt;=0,"★收款金额要填",IF($H1318="","★票据类型要选",IF(AND($L1318&lt;&gt;"",COUNTIF(应收单号,$L1318)=0),"★关联的应收单号不存在",IF(AND($L1318&lt;&gt;"",IFERROR(INDEX(应收键,MATCH($L1318,应收单号,0)),"")&lt;&gt;$D1318),"★关联单号不是这个客户的",IF(AND($L1318&lt;&gt;"",ROUND(SUMIF(收款关联,$L1318,收款金额)-IFERROR(INDEX(应收金额,MATCH($L1318,应收单号,0)),0),2)&gt;0.001),"★指定冲销超过那张单的应收","OK"))))))))</f>
        <v/>
      </c>
    </row>
    <row r="1319" customFormat="false" ht="15" hidden="false" customHeight="false" outlineLevel="0" collapsed="false">
      <c r="A1319" s="29" t="str">
        <f aca="false">IF($C1319="","",ROW()-4)</f>
        <v/>
      </c>
      <c r="B1319" s="35" t="str">
        <f aca="false">IF($C1319="","","SK"&amp;TEXT($C1319,"yyyymm")&amp;"-"&amp;TEXT(ROW()-4,"0000"))</f>
        <v/>
      </c>
      <c r="C1319" s="33"/>
      <c r="D1319" s="24"/>
      <c r="E1319" s="30" t="str">
        <f aca="false">IF($D1319="","",IFERROR(INDEX(合同单位,MATCH($D1319,合同键,0)),IFERROR(TRIM(LEFT($D1319,FIND("｜",$D1319)-1)),$D1319)))</f>
        <v/>
      </c>
      <c r="F1319" s="30" t="str">
        <f aca="false">IF($D1319="","",IFERROR(INDEX(合同项目,MATCH($D1319,合同键,0)),IFERROR(TRIM(MID($D1319,FIND("｜",$D1319)+1,99)),"")))</f>
        <v/>
      </c>
      <c r="G1319" s="39"/>
      <c r="H1319" s="25"/>
      <c r="I1319" s="35" t="str">
        <f aca="false">IF($H1319="","",IFERROR(INDEX(票据归类表,MATCH($H1319,票据类型表,0)),"现金无票"))</f>
        <v/>
      </c>
      <c r="J1319" s="25"/>
      <c r="K1319" s="25"/>
      <c r="L1319" s="31"/>
      <c r="M1319" s="29" t="str">
        <f aca="false">IF($C1319="","",YEAR($C1319))</f>
        <v/>
      </c>
      <c r="N1319" s="24"/>
      <c r="O1319" s="35" t="str">
        <f aca="false">IF($C1319="","",IF($D1319="","★没选客户项目",IF(COUNTIF(合同键,$D1319)=0,"★《维保合同》里没这个项目",IF(N($G1319)&lt;=0,"★收款金额要填",IF($H1319="","★票据类型要选",IF(AND($L1319&lt;&gt;"",COUNTIF(应收单号,$L1319)=0),"★关联的应收单号不存在",IF(AND($L1319&lt;&gt;"",IFERROR(INDEX(应收键,MATCH($L1319,应收单号,0)),"")&lt;&gt;$D1319),"★关联单号不是这个客户的",IF(AND($L1319&lt;&gt;"",ROUND(SUMIF(收款关联,$L1319,收款金额)-IFERROR(INDEX(应收金额,MATCH($L1319,应收单号,0)),0),2)&gt;0.001),"★指定冲销超过那张单的应收","OK"))))))))</f>
        <v/>
      </c>
    </row>
    <row r="1320" customFormat="false" ht="15" hidden="false" customHeight="false" outlineLevel="0" collapsed="false">
      <c r="A1320" s="29" t="str">
        <f aca="false">IF($C1320="","",ROW()-4)</f>
        <v/>
      </c>
      <c r="B1320" s="35" t="str">
        <f aca="false">IF($C1320="","","SK"&amp;TEXT($C1320,"yyyymm")&amp;"-"&amp;TEXT(ROW()-4,"0000"))</f>
        <v/>
      </c>
      <c r="C1320" s="33"/>
      <c r="D1320" s="24"/>
      <c r="E1320" s="30" t="str">
        <f aca="false">IF($D1320="","",IFERROR(INDEX(合同单位,MATCH($D1320,合同键,0)),IFERROR(TRIM(LEFT($D1320,FIND("｜",$D1320)-1)),$D1320)))</f>
        <v/>
      </c>
      <c r="F1320" s="30" t="str">
        <f aca="false">IF($D1320="","",IFERROR(INDEX(合同项目,MATCH($D1320,合同键,0)),IFERROR(TRIM(MID($D1320,FIND("｜",$D1320)+1,99)),"")))</f>
        <v/>
      </c>
      <c r="G1320" s="39"/>
      <c r="H1320" s="25"/>
      <c r="I1320" s="35" t="str">
        <f aca="false">IF($H1320="","",IFERROR(INDEX(票据归类表,MATCH($H1320,票据类型表,0)),"现金无票"))</f>
        <v/>
      </c>
      <c r="J1320" s="25"/>
      <c r="K1320" s="25"/>
      <c r="L1320" s="31"/>
      <c r="M1320" s="29" t="str">
        <f aca="false">IF($C1320="","",YEAR($C1320))</f>
        <v/>
      </c>
      <c r="N1320" s="24"/>
      <c r="O1320" s="35" t="str">
        <f aca="false">IF($C1320="","",IF($D1320="","★没选客户项目",IF(COUNTIF(合同键,$D1320)=0,"★《维保合同》里没这个项目",IF(N($G1320)&lt;=0,"★收款金额要填",IF($H1320="","★票据类型要选",IF(AND($L1320&lt;&gt;"",COUNTIF(应收单号,$L1320)=0),"★关联的应收单号不存在",IF(AND($L1320&lt;&gt;"",IFERROR(INDEX(应收键,MATCH($L1320,应收单号,0)),"")&lt;&gt;$D1320),"★关联单号不是这个客户的",IF(AND($L1320&lt;&gt;"",ROUND(SUMIF(收款关联,$L1320,收款金额)-IFERROR(INDEX(应收金额,MATCH($L1320,应收单号,0)),0),2)&gt;0.001),"★指定冲销超过那张单的应收","OK"))))))))</f>
        <v/>
      </c>
    </row>
    <row r="1321" customFormat="false" ht="15" hidden="false" customHeight="false" outlineLevel="0" collapsed="false">
      <c r="A1321" s="29" t="str">
        <f aca="false">IF($C1321="","",ROW()-4)</f>
        <v/>
      </c>
      <c r="B1321" s="35" t="str">
        <f aca="false">IF($C1321="","","SK"&amp;TEXT($C1321,"yyyymm")&amp;"-"&amp;TEXT(ROW()-4,"0000"))</f>
        <v/>
      </c>
      <c r="C1321" s="33"/>
      <c r="D1321" s="24"/>
      <c r="E1321" s="30" t="str">
        <f aca="false">IF($D1321="","",IFERROR(INDEX(合同单位,MATCH($D1321,合同键,0)),IFERROR(TRIM(LEFT($D1321,FIND("｜",$D1321)-1)),$D1321)))</f>
        <v/>
      </c>
      <c r="F1321" s="30" t="str">
        <f aca="false">IF($D1321="","",IFERROR(INDEX(合同项目,MATCH($D1321,合同键,0)),IFERROR(TRIM(MID($D1321,FIND("｜",$D1321)+1,99)),"")))</f>
        <v/>
      </c>
      <c r="G1321" s="39"/>
      <c r="H1321" s="25"/>
      <c r="I1321" s="35" t="str">
        <f aca="false">IF($H1321="","",IFERROR(INDEX(票据归类表,MATCH($H1321,票据类型表,0)),"现金无票"))</f>
        <v/>
      </c>
      <c r="J1321" s="25"/>
      <c r="K1321" s="25"/>
      <c r="L1321" s="31"/>
      <c r="M1321" s="29" t="str">
        <f aca="false">IF($C1321="","",YEAR($C1321))</f>
        <v/>
      </c>
      <c r="N1321" s="24"/>
      <c r="O1321" s="35" t="str">
        <f aca="false">IF($C1321="","",IF($D1321="","★没选客户项目",IF(COUNTIF(合同键,$D1321)=0,"★《维保合同》里没这个项目",IF(N($G1321)&lt;=0,"★收款金额要填",IF($H1321="","★票据类型要选",IF(AND($L1321&lt;&gt;"",COUNTIF(应收单号,$L1321)=0),"★关联的应收单号不存在",IF(AND($L1321&lt;&gt;"",IFERROR(INDEX(应收键,MATCH($L1321,应收单号,0)),"")&lt;&gt;$D1321),"★关联单号不是这个客户的",IF(AND($L1321&lt;&gt;"",ROUND(SUMIF(收款关联,$L1321,收款金额)-IFERROR(INDEX(应收金额,MATCH($L1321,应收单号,0)),0),2)&gt;0.001),"★指定冲销超过那张单的应收","OK"))))))))</f>
        <v/>
      </c>
    </row>
    <row r="1322" customFormat="false" ht="15" hidden="false" customHeight="false" outlineLevel="0" collapsed="false">
      <c r="A1322" s="29" t="str">
        <f aca="false">IF($C1322="","",ROW()-4)</f>
        <v/>
      </c>
      <c r="B1322" s="35" t="str">
        <f aca="false">IF($C1322="","","SK"&amp;TEXT($C1322,"yyyymm")&amp;"-"&amp;TEXT(ROW()-4,"0000"))</f>
        <v/>
      </c>
      <c r="C1322" s="33"/>
      <c r="D1322" s="24"/>
      <c r="E1322" s="30" t="str">
        <f aca="false">IF($D1322="","",IFERROR(INDEX(合同单位,MATCH($D1322,合同键,0)),IFERROR(TRIM(LEFT($D1322,FIND("｜",$D1322)-1)),$D1322)))</f>
        <v/>
      </c>
      <c r="F1322" s="30" t="str">
        <f aca="false">IF($D1322="","",IFERROR(INDEX(合同项目,MATCH($D1322,合同键,0)),IFERROR(TRIM(MID($D1322,FIND("｜",$D1322)+1,99)),"")))</f>
        <v/>
      </c>
      <c r="G1322" s="39"/>
      <c r="H1322" s="25"/>
      <c r="I1322" s="35" t="str">
        <f aca="false">IF($H1322="","",IFERROR(INDEX(票据归类表,MATCH($H1322,票据类型表,0)),"现金无票"))</f>
        <v/>
      </c>
      <c r="J1322" s="25"/>
      <c r="K1322" s="25"/>
      <c r="L1322" s="31"/>
      <c r="M1322" s="29" t="str">
        <f aca="false">IF($C1322="","",YEAR($C1322))</f>
        <v/>
      </c>
      <c r="N1322" s="24"/>
      <c r="O1322" s="35" t="str">
        <f aca="false">IF($C1322="","",IF($D1322="","★没选客户项目",IF(COUNTIF(合同键,$D1322)=0,"★《维保合同》里没这个项目",IF(N($G1322)&lt;=0,"★收款金额要填",IF($H1322="","★票据类型要选",IF(AND($L1322&lt;&gt;"",COUNTIF(应收单号,$L1322)=0),"★关联的应收单号不存在",IF(AND($L1322&lt;&gt;"",IFERROR(INDEX(应收键,MATCH($L1322,应收单号,0)),"")&lt;&gt;$D1322),"★关联单号不是这个客户的",IF(AND($L1322&lt;&gt;"",ROUND(SUMIF(收款关联,$L1322,收款金额)-IFERROR(INDEX(应收金额,MATCH($L1322,应收单号,0)),0),2)&gt;0.001),"★指定冲销超过那张单的应收","OK"))))))))</f>
        <v/>
      </c>
    </row>
    <row r="1323" customFormat="false" ht="15" hidden="false" customHeight="false" outlineLevel="0" collapsed="false">
      <c r="A1323" s="29" t="str">
        <f aca="false">IF($C1323="","",ROW()-4)</f>
        <v/>
      </c>
      <c r="B1323" s="35" t="str">
        <f aca="false">IF($C1323="","","SK"&amp;TEXT($C1323,"yyyymm")&amp;"-"&amp;TEXT(ROW()-4,"0000"))</f>
        <v/>
      </c>
      <c r="C1323" s="33"/>
      <c r="D1323" s="24"/>
      <c r="E1323" s="30" t="str">
        <f aca="false">IF($D1323="","",IFERROR(INDEX(合同单位,MATCH($D1323,合同键,0)),IFERROR(TRIM(LEFT($D1323,FIND("｜",$D1323)-1)),$D1323)))</f>
        <v/>
      </c>
      <c r="F1323" s="30" t="str">
        <f aca="false">IF($D1323="","",IFERROR(INDEX(合同项目,MATCH($D1323,合同键,0)),IFERROR(TRIM(MID($D1323,FIND("｜",$D1323)+1,99)),"")))</f>
        <v/>
      </c>
      <c r="G1323" s="39"/>
      <c r="H1323" s="25"/>
      <c r="I1323" s="35" t="str">
        <f aca="false">IF($H1323="","",IFERROR(INDEX(票据归类表,MATCH($H1323,票据类型表,0)),"现金无票"))</f>
        <v/>
      </c>
      <c r="J1323" s="25"/>
      <c r="K1323" s="25"/>
      <c r="L1323" s="31"/>
      <c r="M1323" s="29" t="str">
        <f aca="false">IF($C1323="","",YEAR($C1323))</f>
        <v/>
      </c>
      <c r="N1323" s="24"/>
      <c r="O1323" s="35" t="str">
        <f aca="false">IF($C1323="","",IF($D1323="","★没选客户项目",IF(COUNTIF(合同键,$D1323)=0,"★《维保合同》里没这个项目",IF(N($G1323)&lt;=0,"★收款金额要填",IF($H1323="","★票据类型要选",IF(AND($L1323&lt;&gt;"",COUNTIF(应收单号,$L1323)=0),"★关联的应收单号不存在",IF(AND($L1323&lt;&gt;"",IFERROR(INDEX(应收键,MATCH($L1323,应收单号,0)),"")&lt;&gt;$D1323),"★关联单号不是这个客户的",IF(AND($L1323&lt;&gt;"",ROUND(SUMIF(收款关联,$L1323,收款金额)-IFERROR(INDEX(应收金额,MATCH($L1323,应收单号,0)),0),2)&gt;0.001),"★指定冲销超过那张单的应收","OK"))))))))</f>
        <v/>
      </c>
    </row>
    <row r="1324" customFormat="false" ht="15" hidden="false" customHeight="false" outlineLevel="0" collapsed="false">
      <c r="A1324" s="29" t="str">
        <f aca="false">IF($C1324="","",ROW()-4)</f>
        <v/>
      </c>
      <c r="B1324" s="35" t="str">
        <f aca="false">IF($C1324="","","SK"&amp;TEXT($C1324,"yyyymm")&amp;"-"&amp;TEXT(ROW()-4,"0000"))</f>
        <v/>
      </c>
      <c r="C1324" s="33"/>
      <c r="D1324" s="24"/>
      <c r="E1324" s="30" t="str">
        <f aca="false">IF($D1324="","",IFERROR(INDEX(合同单位,MATCH($D1324,合同键,0)),IFERROR(TRIM(LEFT($D1324,FIND("｜",$D1324)-1)),$D1324)))</f>
        <v/>
      </c>
      <c r="F1324" s="30" t="str">
        <f aca="false">IF($D1324="","",IFERROR(INDEX(合同项目,MATCH($D1324,合同键,0)),IFERROR(TRIM(MID($D1324,FIND("｜",$D1324)+1,99)),"")))</f>
        <v/>
      </c>
      <c r="G1324" s="39"/>
      <c r="H1324" s="25"/>
      <c r="I1324" s="35" t="str">
        <f aca="false">IF($H1324="","",IFERROR(INDEX(票据归类表,MATCH($H1324,票据类型表,0)),"现金无票"))</f>
        <v/>
      </c>
      <c r="J1324" s="25"/>
      <c r="K1324" s="25"/>
      <c r="L1324" s="31"/>
      <c r="M1324" s="29" t="str">
        <f aca="false">IF($C1324="","",YEAR($C1324))</f>
        <v/>
      </c>
      <c r="N1324" s="24"/>
      <c r="O1324" s="35" t="str">
        <f aca="false">IF($C1324="","",IF($D1324="","★没选客户项目",IF(COUNTIF(合同键,$D1324)=0,"★《维保合同》里没这个项目",IF(N($G1324)&lt;=0,"★收款金额要填",IF($H1324="","★票据类型要选",IF(AND($L1324&lt;&gt;"",COUNTIF(应收单号,$L1324)=0),"★关联的应收单号不存在",IF(AND($L1324&lt;&gt;"",IFERROR(INDEX(应收键,MATCH($L1324,应收单号,0)),"")&lt;&gt;$D1324),"★关联单号不是这个客户的",IF(AND($L1324&lt;&gt;"",ROUND(SUMIF(收款关联,$L1324,收款金额)-IFERROR(INDEX(应收金额,MATCH($L1324,应收单号,0)),0),2)&gt;0.001),"★指定冲销超过那张单的应收","OK"))))))))</f>
        <v/>
      </c>
    </row>
    <row r="1325" customFormat="false" ht="15" hidden="false" customHeight="false" outlineLevel="0" collapsed="false">
      <c r="A1325" s="29" t="str">
        <f aca="false">IF($C1325="","",ROW()-4)</f>
        <v/>
      </c>
      <c r="B1325" s="35" t="str">
        <f aca="false">IF($C1325="","","SK"&amp;TEXT($C1325,"yyyymm")&amp;"-"&amp;TEXT(ROW()-4,"0000"))</f>
        <v/>
      </c>
      <c r="C1325" s="33"/>
      <c r="D1325" s="24"/>
      <c r="E1325" s="30" t="str">
        <f aca="false">IF($D1325="","",IFERROR(INDEX(合同单位,MATCH($D1325,合同键,0)),IFERROR(TRIM(LEFT($D1325,FIND("｜",$D1325)-1)),$D1325)))</f>
        <v/>
      </c>
      <c r="F1325" s="30" t="str">
        <f aca="false">IF($D1325="","",IFERROR(INDEX(合同项目,MATCH($D1325,合同键,0)),IFERROR(TRIM(MID($D1325,FIND("｜",$D1325)+1,99)),"")))</f>
        <v/>
      </c>
      <c r="G1325" s="39"/>
      <c r="H1325" s="25"/>
      <c r="I1325" s="35" t="str">
        <f aca="false">IF($H1325="","",IFERROR(INDEX(票据归类表,MATCH($H1325,票据类型表,0)),"现金无票"))</f>
        <v/>
      </c>
      <c r="J1325" s="25"/>
      <c r="K1325" s="25"/>
      <c r="L1325" s="31"/>
      <c r="M1325" s="29" t="str">
        <f aca="false">IF($C1325="","",YEAR($C1325))</f>
        <v/>
      </c>
      <c r="N1325" s="24"/>
      <c r="O1325" s="35" t="str">
        <f aca="false">IF($C1325="","",IF($D1325="","★没选客户项目",IF(COUNTIF(合同键,$D1325)=0,"★《维保合同》里没这个项目",IF(N($G1325)&lt;=0,"★收款金额要填",IF($H1325="","★票据类型要选",IF(AND($L1325&lt;&gt;"",COUNTIF(应收单号,$L1325)=0),"★关联的应收单号不存在",IF(AND($L1325&lt;&gt;"",IFERROR(INDEX(应收键,MATCH($L1325,应收单号,0)),"")&lt;&gt;$D1325),"★关联单号不是这个客户的",IF(AND($L1325&lt;&gt;"",ROUND(SUMIF(收款关联,$L1325,收款金额)-IFERROR(INDEX(应收金额,MATCH($L1325,应收单号,0)),0),2)&gt;0.001),"★指定冲销超过那张单的应收","OK"))))))))</f>
        <v/>
      </c>
    </row>
    <row r="1326" customFormat="false" ht="15" hidden="false" customHeight="false" outlineLevel="0" collapsed="false">
      <c r="A1326" s="29" t="str">
        <f aca="false">IF($C1326="","",ROW()-4)</f>
        <v/>
      </c>
      <c r="B1326" s="35" t="str">
        <f aca="false">IF($C1326="","","SK"&amp;TEXT($C1326,"yyyymm")&amp;"-"&amp;TEXT(ROW()-4,"0000"))</f>
        <v/>
      </c>
      <c r="C1326" s="33"/>
      <c r="D1326" s="24"/>
      <c r="E1326" s="30" t="str">
        <f aca="false">IF($D1326="","",IFERROR(INDEX(合同单位,MATCH($D1326,合同键,0)),IFERROR(TRIM(LEFT($D1326,FIND("｜",$D1326)-1)),$D1326)))</f>
        <v/>
      </c>
      <c r="F1326" s="30" t="str">
        <f aca="false">IF($D1326="","",IFERROR(INDEX(合同项目,MATCH($D1326,合同键,0)),IFERROR(TRIM(MID($D1326,FIND("｜",$D1326)+1,99)),"")))</f>
        <v/>
      </c>
      <c r="G1326" s="39"/>
      <c r="H1326" s="25"/>
      <c r="I1326" s="35" t="str">
        <f aca="false">IF($H1326="","",IFERROR(INDEX(票据归类表,MATCH($H1326,票据类型表,0)),"现金无票"))</f>
        <v/>
      </c>
      <c r="J1326" s="25"/>
      <c r="K1326" s="25"/>
      <c r="L1326" s="31"/>
      <c r="M1326" s="29" t="str">
        <f aca="false">IF($C1326="","",YEAR($C1326))</f>
        <v/>
      </c>
      <c r="N1326" s="24"/>
      <c r="O1326" s="35" t="str">
        <f aca="false">IF($C1326="","",IF($D1326="","★没选客户项目",IF(COUNTIF(合同键,$D1326)=0,"★《维保合同》里没这个项目",IF(N($G1326)&lt;=0,"★收款金额要填",IF($H1326="","★票据类型要选",IF(AND($L1326&lt;&gt;"",COUNTIF(应收单号,$L1326)=0),"★关联的应收单号不存在",IF(AND($L1326&lt;&gt;"",IFERROR(INDEX(应收键,MATCH($L1326,应收单号,0)),"")&lt;&gt;$D1326),"★关联单号不是这个客户的",IF(AND($L1326&lt;&gt;"",ROUND(SUMIF(收款关联,$L1326,收款金额)-IFERROR(INDEX(应收金额,MATCH($L1326,应收单号,0)),0),2)&gt;0.001),"★指定冲销超过那张单的应收","OK"))))))))</f>
        <v/>
      </c>
    </row>
    <row r="1327" customFormat="false" ht="15" hidden="false" customHeight="false" outlineLevel="0" collapsed="false">
      <c r="A1327" s="29" t="str">
        <f aca="false">IF($C1327="","",ROW()-4)</f>
        <v/>
      </c>
      <c r="B1327" s="35" t="str">
        <f aca="false">IF($C1327="","","SK"&amp;TEXT($C1327,"yyyymm")&amp;"-"&amp;TEXT(ROW()-4,"0000"))</f>
        <v/>
      </c>
      <c r="C1327" s="33"/>
      <c r="D1327" s="24"/>
      <c r="E1327" s="30" t="str">
        <f aca="false">IF($D1327="","",IFERROR(INDEX(合同单位,MATCH($D1327,合同键,0)),IFERROR(TRIM(LEFT($D1327,FIND("｜",$D1327)-1)),$D1327)))</f>
        <v/>
      </c>
      <c r="F1327" s="30" t="str">
        <f aca="false">IF($D1327="","",IFERROR(INDEX(合同项目,MATCH($D1327,合同键,0)),IFERROR(TRIM(MID($D1327,FIND("｜",$D1327)+1,99)),"")))</f>
        <v/>
      </c>
      <c r="G1327" s="39"/>
      <c r="H1327" s="25"/>
      <c r="I1327" s="35" t="str">
        <f aca="false">IF($H1327="","",IFERROR(INDEX(票据归类表,MATCH($H1327,票据类型表,0)),"现金无票"))</f>
        <v/>
      </c>
      <c r="J1327" s="25"/>
      <c r="K1327" s="25"/>
      <c r="L1327" s="31"/>
      <c r="M1327" s="29" t="str">
        <f aca="false">IF($C1327="","",YEAR($C1327))</f>
        <v/>
      </c>
      <c r="N1327" s="24"/>
      <c r="O1327" s="35" t="str">
        <f aca="false">IF($C1327="","",IF($D1327="","★没选客户项目",IF(COUNTIF(合同键,$D1327)=0,"★《维保合同》里没这个项目",IF(N($G1327)&lt;=0,"★收款金额要填",IF($H1327="","★票据类型要选",IF(AND($L1327&lt;&gt;"",COUNTIF(应收单号,$L1327)=0),"★关联的应收单号不存在",IF(AND($L1327&lt;&gt;"",IFERROR(INDEX(应收键,MATCH($L1327,应收单号,0)),"")&lt;&gt;$D1327),"★关联单号不是这个客户的",IF(AND($L1327&lt;&gt;"",ROUND(SUMIF(收款关联,$L1327,收款金额)-IFERROR(INDEX(应收金额,MATCH($L1327,应收单号,0)),0),2)&gt;0.001),"★指定冲销超过那张单的应收","OK"))))))))</f>
        <v/>
      </c>
    </row>
    <row r="1328" customFormat="false" ht="15" hidden="false" customHeight="false" outlineLevel="0" collapsed="false">
      <c r="A1328" s="29" t="str">
        <f aca="false">IF($C1328="","",ROW()-4)</f>
        <v/>
      </c>
      <c r="B1328" s="35" t="str">
        <f aca="false">IF($C1328="","","SK"&amp;TEXT($C1328,"yyyymm")&amp;"-"&amp;TEXT(ROW()-4,"0000"))</f>
        <v/>
      </c>
      <c r="C1328" s="33"/>
      <c r="D1328" s="24"/>
      <c r="E1328" s="30" t="str">
        <f aca="false">IF($D1328="","",IFERROR(INDEX(合同单位,MATCH($D1328,合同键,0)),IFERROR(TRIM(LEFT($D1328,FIND("｜",$D1328)-1)),$D1328)))</f>
        <v/>
      </c>
      <c r="F1328" s="30" t="str">
        <f aca="false">IF($D1328="","",IFERROR(INDEX(合同项目,MATCH($D1328,合同键,0)),IFERROR(TRIM(MID($D1328,FIND("｜",$D1328)+1,99)),"")))</f>
        <v/>
      </c>
      <c r="G1328" s="39"/>
      <c r="H1328" s="25"/>
      <c r="I1328" s="35" t="str">
        <f aca="false">IF($H1328="","",IFERROR(INDEX(票据归类表,MATCH($H1328,票据类型表,0)),"现金无票"))</f>
        <v/>
      </c>
      <c r="J1328" s="25"/>
      <c r="K1328" s="25"/>
      <c r="L1328" s="31"/>
      <c r="M1328" s="29" t="str">
        <f aca="false">IF($C1328="","",YEAR($C1328))</f>
        <v/>
      </c>
      <c r="N1328" s="24"/>
      <c r="O1328" s="35" t="str">
        <f aca="false">IF($C1328="","",IF($D1328="","★没选客户项目",IF(COUNTIF(合同键,$D1328)=0,"★《维保合同》里没这个项目",IF(N($G1328)&lt;=0,"★收款金额要填",IF($H1328="","★票据类型要选",IF(AND($L1328&lt;&gt;"",COUNTIF(应收单号,$L1328)=0),"★关联的应收单号不存在",IF(AND($L1328&lt;&gt;"",IFERROR(INDEX(应收键,MATCH($L1328,应收单号,0)),"")&lt;&gt;$D1328),"★关联单号不是这个客户的",IF(AND($L1328&lt;&gt;"",ROUND(SUMIF(收款关联,$L1328,收款金额)-IFERROR(INDEX(应收金额,MATCH($L1328,应收单号,0)),0),2)&gt;0.001),"★指定冲销超过那张单的应收","OK"))))))))</f>
        <v/>
      </c>
    </row>
    <row r="1329" customFormat="false" ht="15" hidden="false" customHeight="false" outlineLevel="0" collapsed="false">
      <c r="A1329" s="29" t="str">
        <f aca="false">IF($C1329="","",ROW()-4)</f>
        <v/>
      </c>
      <c r="B1329" s="35" t="str">
        <f aca="false">IF($C1329="","","SK"&amp;TEXT($C1329,"yyyymm")&amp;"-"&amp;TEXT(ROW()-4,"0000"))</f>
        <v/>
      </c>
      <c r="C1329" s="33"/>
      <c r="D1329" s="24"/>
      <c r="E1329" s="30" t="str">
        <f aca="false">IF($D1329="","",IFERROR(INDEX(合同单位,MATCH($D1329,合同键,0)),IFERROR(TRIM(LEFT($D1329,FIND("｜",$D1329)-1)),$D1329)))</f>
        <v/>
      </c>
      <c r="F1329" s="30" t="str">
        <f aca="false">IF($D1329="","",IFERROR(INDEX(合同项目,MATCH($D1329,合同键,0)),IFERROR(TRIM(MID($D1329,FIND("｜",$D1329)+1,99)),"")))</f>
        <v/>
      </c>
      <c r="G1329" s="39"/>
      <c r="H1329" s="25"/>
      <c r="I1329" s="35" t="str">
        <f aca="false">IF($H1329="","",IFERROR(INDEX(票据归类表,MATCH($H1329,票据类型表,0)),"现金无票"))</f>
        <v/>
      </c>
      <c r="J1329" s="25"/>
      <c r="K1329" s="25"/>
      <c r="L1329" s="31"/>
      <c r="M1329" s="29" t="str">
        <f aca="false">IF($C1329="","",YEAR($C1329))</f>
        <v/>
      </c>
      <c r="N1329" s="24"/>
      <c r="O1329" s="35" t="str">
        <f aca="false">IF($C1329="","",IF($D1329="","★没选客户项目",IF(COUNTIF(合同键,$D1329)=0,"★《维保合同》里没这个项目",IF(N($G1329)&lt;=0,"★收款金额要填",IF($H1329="","★票据类型要选",IF(AND($L1329&lt;&gt;"",COUNTIF(应收单号,$L1329)=0),"★关联的应收单号不存在",IF(AND($L1329&lt;&gt;"",IFERROR(INDEX(应收键,MATCH($L1329,应收单号,0)),"")&lt;&gt;$D1329),"★关联单号不是这个客户的",IF(AND($L1329&lt;&gt;"",ROUND(SUMIF(收款关联,$L1329,收款金额)-IFERROR(INDEX(应收金额,MATCH($L1329,应收单号,0)),0),2)&gt;0.001),"★指定冲销超过那张单的应收","OK"))))))))</f>
        <v/>
      </c>
    </row>
    <row r="1330" customFormat="false" ht="15" hidden="false" customHeight="false" outlineLevel="0" collapsed="false">
      <c r="A1330" s="29" t="str">
        <f aca="false">IF($C1330="","",ROW()-4)</f>
        <v/>
      </c>
      <c r="B1330" s="35" t="str">
        <f aca="false">IF($C1330="","","SK"&amp;TEXT($C1330,"yyyymm")&amp;"-"&amp;TEXT(ROW()-4,"0000"))</f>
        <v/>
      </c>
      <c r="C1330" s="33"/>
      <c r="D1330" s="24"/>
      <c r="E1330" s="30" t="str">
        <f aca="false">IF($D1330="","",IFERROR(INDEX(合同单位,MATCH($D1330,合同键,0)),IFERROR(TRIM(LEFT($D1330,FIND("｜",$D1330)-1)),$D1330)))</f>
        <v/>
      </c>
      <c r="F1330" s="30" t="str">
        <f aca="false">IF($D1330="","",IFERROR(INDEX(合同项目,MATCH($D1330,合同键,0)),IFERROR(TRIM(MID($D1330,FIND("｜",$D1330)+1,99)),"")))</f>
        <v/>
      </c>
      <c r="G1330" s="39"/>
      <c r="H1330" s="25"/>
      <c r="I1330" s="35" t="str">
        <f aca="false">IF($H1330="","",IFERROR(INDEX(票据归类表,MATCH($H1330,票据类型表,0)),"现金无票"))</f>
        <v/>
      </c>
      <c r="J1330" s="25"/>
      <c r="K1330" s="25"/>
      <c r="L1330" s="31"/>
      <c r="M1330" s="29" t="str">
        <f aca="false">IF($C1330="","",YEAR($C1330))</f>
        <v/>
      </c>
      <c r="N1330" s="24"/>
      <c r="O1330" s="35" t="str">
        <f aca="false">IF($C1330="","",IF($D1330="","★没选客户项目",IF(COUNTIF(合同键,$D1330)=0,"★《维保合同》里没这个项目",IF(N($G1330)&lt;=0,"★收款金额要填",IF($H1330="","★票据类型要选",IF(AND($L1330&lt;&gt;"",COUNTIF(应收单号,$L1330)=0),"★关联的应收单号不存在",IF(AND($L1330&lt;&gt;"",IFERROR(INDEX(应收键,MATCH($L1330,应收单号,0)),"")&lt;&gt;$D1330),"★关联单号不是这个客户的",IF(AND($L1330&lt;&gt;"",ROUND(SUMIF(收款关联,$L1330,收款金额)-IFERROR(INDEX(应收金额,MATCH($L1330,应收单号,0)),0),2)&gt;0.001),"★指定冲销超过那张单的应收","OK"))))))))</f>
        <v/>
      </c>
    </row>
    <row r="1331" customFormat="false" ht="15" hidden="false" customHeight="false" outlineLevel="0" collapsed="false">
      <c r="A1331" s="29" t="str">
        <f aca="false">IF($C1331="","",ROW()-4)</f>
        <v/>
      </c>
      <c r="B1331" s="35" t="str">
        <f aca="false">IF($C1331="","","SK"&amp;TEXT($C1331,"yyyymm")&amp;"-"&amp;TEXT(ROW()-4,"0000"))</f>
        <v/>
      </c>
      <c r="C1331" s="33"/>
      <c r="D1331" s="24"/>
      <c r="E1331" s="30" t="str">
        <f aca="false">IF($D1331="","",IFERROR(INDEX(合同单位,MATCH($D1331,合同键,0)),IFERROR(TRIM(LEFT($D1331,FIND("｜",$D1331)-1)),$D1331)))</f>
        <v/>
      </c>
      <c r="F1331" s="30" t="str">
        <f aca="false">IF($D1331="","",IFERROR(INDEX(合同项目,MATCH($D1331,合同键,0)),IFERROR(TRIM(MID($D1331,FIND("｜",$D1331)+1,99)),"")))</f>
        <v/>
      </c>
      <c r="G1331" s="39"/>
      <c r="H1331" s="25"/>
      <c r="I1331" s="35" t="str">
        <f aca="false">IF($H1331="","",IFERROR(INDEX(票据归类表,MATCH($H1331,票据类型表,0)),"现金无票"))</f>
        <v/>
      </c>
      <c r="J1331" s="25"/>
      <c r="K1331" s="25"/>
      <c r="L1331" s="31"/>
      <c r="M1331" s="29" t="str">
        <f aca="false">IF($C1331="","",YEAR($C1331))</f>
        <v/>
      </c>
      <c r="N1331" s="24"/>
      <c r="O1331" s="35" t="str">
        <f aca="false">IF($C1331="","",IF($D1331="","★没选客户项目",IF(COUNTIF(合同键,$D1331)=0,"★《维保合同》里没这个项目",IF(N($G1331)&lt;=0,"★收款金额要填",IF($H1331="","★票据类型要选",IF(AND($L1331&lt;&gt;"",COUNTIF(应收单号,$L1331)=0),"★关联的应收单号不存在",IF(AND($L1331&lt;&gt;"",IFERROR(INDEX(应收键,MATCH($L1331,应收单号,0)),"")&lt;&gt;$D1331),"★关联单号不是这个客户的",IF(AND($L1331&lt;&gt;"",ROUND(SUMIF(收款关联,$L1331,收款金额)-IFERROR(INDEX(应收金额,MATCH($L1331,应收单号,0)),0),2)&gt;0.001),"★指定冲销超过那张单的应收","OK"))))))))</f>
        <v/>
      </c>
    </row>
    <row r="1332" customFormat="false" ht="15" hidden="false" customHeight="false" outlineLevel="0" collapsed="false">
      <c r="A1332" s="29" t="str">
        <f aca="false">IF($C1332="","",ROW()-4)</f>
        <v/>
      </c>
      <c r="B1332" s="35" t="str">
        <f aca="false">IF($C1332="","","SK"&amp;TEXT($C1332,"yyyymm")&amp;"-"&amp;TEXT(ROW()-4,"0000"))</f>
        <v/>
      </c>
      <c r="C1332" s="33"/>
      <c r="D1332" s="24"/>
      <c r="E1332" s="30" t="str">
        <f aca="false">IF($D1332="","",IFERROR(INDEX(合同单位,MATCH($D1332,合同键,0)),IFERROR(TRIM(LEFT($D1332,FIND("｜",$D1332)-1)),$D1332)))</f>
        <v/>
      </c>
      <c r="F1332" s="30" t="str">
        <f aca="false">IF($D1332="","",IFERROR(INDEX(合同项目,MATCH($D1332,合同键,0)),IFERROR(TRIM(MID($D1332,FIND("｜",$D1332)+1,99)),"")))</f>
        <v/>
      </c>
      <c r="G1332" s="39"/>
      <c r="H1332" s="25"/>
      <c r="I1332" s="35" t="str">
        <f aca="false">IF($H1332="","",IFERROR(INDEX(票据归类表,MATCH($H1332,票据类型表,0)),"现金无票"))</f>
        <v/>
      </c>
      <c r="J1332" s="25"/>
      <c r="K1332" s="25"/>
      <c r="L1332" s="31"/>
      <c r="M1332" s="29" t="str">
        <f aca="false">IF($C1332="","",YEAR($C1332))</f>
        <v/>
      </c>
      <c r="N1332" s="24"/>
      <c r="O1332" s="35" t="str">
        <f aca="false">IF($C1332="","",IF($D1332="","★没选客户项目",IF(COUNTIF(合同键,$D1332)=0,"★《维保合同》里没这个项目",IF(N($G1332)&lt;=0,"★收款金额要填",IF($H1332="","★票据类型要选",IF(AND($L1332&lt;&gt;"",COUNTIF(应收单号,$L1332)=0),"★关联的应收单号不存在",IF(AND($L1332&lt;&gt;"",IFERROR(INDEX(应收键,MATCH($L1332,应收单号,0)),"")&lt;&gt;$D1332),"★关联单号不是这个客户的",IF(AND($L1332&lt;&gt;"",ROUND(SUMIF(收款关联,$L1332,收款金额)-IFERROR(INDEX(应收金额,MATCH($L1332,应收单号,0)),0),2)&gt;0.001),"★指定冲销超过那张单的应收","OK"))))))))</f>
        <v/>
      </c>
    </row>
    <row r="1333" customFormat="false" ht="15" hidden="false" customHeight="false" outlineLevel="0" collapsed="false">
      <c r="A1333" s="29" t="str">
        <f aca="false">IF($C1333="","",ROW()-4)</f>
        <v/>
      </c>
      <c r="B1333" s="35" t="str">
        <f aca="false">IF($C1333="","","SK"&amp;TEXT($C1333,"yyyymm")&amp;"-"&amp;TEXT(ROW()-4,"0000"))</f>
        <v/>
      </c>
      <c r="C1333" s="33"/>
      <c r="D1333" s="24"/>
      <c r="E1333" s="30" t="str">
        <f aca="false">IF($D1333="","",IFERROR(INDEX(合同单位,MATCH($D1333,合同键,0)),IFERROR(TRIM(LEFT($D1333,FIND("｜",$D1333)-1)),$D1333)))</f>
        <v/>
      </c>
      <c r="F1333" s="30" t="str">
        <f aca="false">IF($D1333="","",IFERROR(INDEX(合同项目,MATCH($D1333,合同键,0)),IFERROR(TRIM(MID($D1333,FIND("｜",$D1333)+1,99)),"")))</f>
        <v/>
      </c>
      <c r="G1333" s="39"/>
      <c r="H1333" s="25"/>
      <c r="I1333" s="35" t="str">
        <f aca="false">IF($H1333="","",IFERROR(INDEX(票据归类表,MATCH($H1333,票据类型表,0)),"现金无票"))</f>
        <v/>
      </c>
      <c r="J1333" s="25"/>
      <c r="K1333" s="25"/>
      <c r="L1333" s="31"/>
      <c r="M1333" s="29" t="str">
        <f aca="false">IF($C1333="","",YEAR($C1333))</f>
        <v/>
      </c>
      <c r="N1333" s="24"/>
      <c r="O1333" s="35" t="str">
        <f aca="false">IF($C1333="","",IF($D1333="","★没选客户项目",IF(COUNTIF(合同键,$D1333)=0,"★《维保合同》里没这个项目",IF(N($G1333)&lt;=0,"★收款金额要填",IF($H1333="","★票据类型要选",IF(AND($L1333&lt;&gt;"",COUNTIF(应收单号,$L1333)=0),"★关联的应收单号不存在",IF(AND($L1333&lt;&gt;"",IFERROR(INDEX(应收键,MATCH($L1333,应收单号,0)),"")&lt;&gt;$D1333),"★关联单号不是这个客户的",IF(AND($L1333&lt;&gt;"",ROUND(SUMIF(收款关联,$L1333,收款金额)-IFERROR(INDEX(应收金额,MATCH($L1333,应收单号,0)),0),2)&gt;0.001),"★指定冲销超过那张单的应收","OK"))))))))</f>
        <v/>
      </c>
    </row>
    <row r="1334" customFormat="false" ht="15" hidden="false" customHeight="false" outlineLevel="0" collapsed="false">
      <c r="A1334" s="29" t="str">
        <f aca="false">IF($C1334="","",ROW()-4)</f>
        <v/>
      </c>
      <c r="B1334" s="35" t="str">
        <f aca="false">IF($C1334="","","SK"&amp;TEXT($C1334,"yyyymm")&amp;"-"&amp;TEXT(ROW()-4,"0000"))</f>
        <v/>
      </c>
      <c r="C1334" s="33"/>
      <c r="D1334" s="24"/>
      <c r="E1334" s="30" t="str">
        <f aca="false">IF($D1334="","",IFERROR(INDEX(合同单位,MATCH($D1334,合同键,0)),IFERROR(TRIM(LEFT($D1334,FIND("｜",$D1334)-1)),$D1334)))</f>
        <v/>
      </c>
      <c r="F1334" s="30" t="str">
        <f aca="false">IF($D1334="","",IFERROR(INDEX(合同项目,MATCH($D1334,合同键,0)),IFERROR(TRIM(MID($D1334,FIND("｜",$D1334)+1,99)),"")))</f>
        <v/>
      </c>
      <c r="G1334" s="39"/>
      <c r="H1334" s="25"/>
      <c r="I1334" s="35" t="str">
        <f aca="false">IF($H1334="","",IFERROR(INDEX(票据归类表,MATCH($H1334,票据类型表,0)),"现金无票"))</f>
        <v/>
      </c>
      <c r="J1334" s="25"/>
      <c r="K1334" s="25"/>
      <c r="L1334" s="31"/>
      <c r="M1334" s="29" t="str">
        <f aca="false">IF($C1334="","",YEAR($C1334))</f>
        <v/>
      </c>
      <c r="N1334" s="24"/>
      <c r="O1334" s="35" t="str">
        <f aca="false">IF($C1334="","",IF($D1334="","★没选客户项目",IF(COUNTIF(合同键,$D1334)=0,"★《维保合同》里没这个项目",IF(N($G1334)&lt;=0,"★收款金额要填",IF($H1334="","★票据类型要选",IF(AND($L1334&lt;&gt;"",COUNTIF(应收单号,$L1334)=0),"★关联的应收单号不存在",IF(AND($L1334&lt;&gt;"",IFERROR(INDEX(应收键,MATCH($L1334,应收单号,0)),"")&lt;&gt;$D1334),"★关联单号不是这个客户的",IF(AND($L1334&lt;&gt;"",ROUND(SUMIF(收款关联,$L1334,收款金额)-IFERROR(INDEX(应收金额,MATCH($L1334,应收单号,0)),0),2)&gt;0.001),"★指定冲销超过那张单的应收","OK"))))))))</f>
        <v/>
      </c>
    </row>
    <row r="1335" customFormat="false" ht="15" hidden="false" customHeight="false" outlineLevel="0" collapsed="false">
      <c r="A1335" s="29" t="str">
        <f aca="false">IF($C1335="","",ROW()-4)</f>
        <v/>
      </c>
      <c r="B1335" s="35" t="str">
        <f aca="false">IF($C1335="","","SK"&amp;TEXT($C1335,"yyyymm")&amp;"-"&amp;TEXT(ROW()-4,"0000"))</f>
        <v/>
      </c>
      <c r="C1335" s="33"/>
      <c r="D1335" s="24"/>
      <c r="E1335" s="30" t="str">
        <f aca="false">IF($D1335="","",IFERROR(INDEX(合同单位,MATCH($D1335,合同键,0)),IFERROR(TRIM(LEFT($D1335,FIND("｜",$D1335)-1)),$D1335)))</f>
        <v/>
      </c>
      <c r="F1335" s="30" t="str">
        <f aca="false">IF($D1335="","",IFERROR(INDEX(合同项目,MATCH($D1335,合同键,0)),IFERROR(TRIM(MID($D1335,FIND("｜",$D1335)+1,99)),"")))</f>
        <v/>
      </c>
      <c r="G1335" s="39"/>
      <c r="H1335" s="25"/>
      <c r="I1335" s="35" t="str">
        <f aca="false">IF($H1335="","",IFERROR(INDEX(票据归类表,MATCH($H1335,票据类型表,0)),"现金无票"))</f>
        <v/>
      </c>
      <c r="J1335" s="25"/>
      <c r="K1335" s="25"/>
      <c r="L1335" s="31"/>
      <c r="M1335" s="29" t="str">
        <f aca="false">IF($C1335="","",YEAR($C1335))</f>
        <v/>
      </c>
      <c r="N1335" s="24"/>
      <c r="O1335" s="35" t="str">
        <f aca="false">IF($C1335="","",IF($D1335="","★没选客户项目",IF(COUNTIF(合同键,$D1335)=0,"★《维保合同》里没这个项目",IF(N($G1335)&lt;=0,"★收款金额要填",IF($H1335="","★票据类型要选",IF(AND($L1335&lt;&gt;"",COUNTIF(应收单号,$L1335)=0),"★关联的应收单号不存在",IF(AND($L1335&lt;&gt;"",IFERROR(INDEX(应收键,MATCH($L1335,应收单号,0)),"")&lt;&gt;$D1335),"★关联单号不是这个客户的",IF(AND($L1335&lt;&gt;"",ROUND(SUMIF(收款关联,$L1335,收款金额)-IFERROR(INDEX(应收金额,MATCH($L1335,应收单号,0)),0),2)&gt;0.001),"★指定冲销超过那张单的应收","OK"))))))))</f>
        <v/>
      </c>
    </row>
    <row r="1336" customFormat="false" ht="15" hidden="false" customHeight="false" outlineLevel="0" collapsed="false">
      <c r="A1336" s="29" t="str">
        <f aca="false">IF($C1336="","",ROW()-4)</f>
        <v/>
      </c>
      <c r="B1336" s="35" t="str">
        <f aca="false">IF($C1336="","","SK"&amp;TEXT($C1336,"yyyymm")&amp;"-"&amp;TEXT(ROW()-4,"0000"))</f>
        <v/>
      </c>
      <c r="C1336" s="33"/>
      <c r="D1336" s="24"/>
      <c r="E1336" s="30" t="str">
        <f aca="false">IF($D1336="","",IFERROR(INDEX(合同单位,MATCH($D1336,合同键,0)),IFERROR(TRIM(LEFT($D1336,FIND("｜",$D1336)-1)),$D1336)))</f>
        <v/>
      </c>
      <c r="F1336" s="30" t="str">
        <f aca="false">IF($D1336="","",IFERROR(INDEX(合同项目,MATCH($D1336,合同键,0)),IFERROR(TRIM(MID($D1336,FIND("｜",$D1336)+1,99)),"")))</f>
        <v/>
      </c>
      <c r="G1336" s="39"/>
      <c r="H1336" s="25"/>
      <c r="I1336" s="35" t="str">
        <f aca="false">IF($H1336="","",IFERROR(INDEX(票据归类表,MATCH($H1336,票据类型表,0)),"现金无票"))</f>
        <v/>
      </c>
      <c r="J1336" s="25"/>
      <c r="K1336" s="25"/>
      <c r="L1336" s="31"/>
      <c r="M1336" s="29" t="str">
        <f aca="false">IF($C1336="","",YEAR($C1336))</f>
        <v/>
      </c>
      <c r="N1336" s="24"/>
      <c r="O1336" s="35" t="str">
        <f aca="false">IF($C1336="","",IF($D1336="","★没选客户项目",IF(COUNTIF(合同键,$D1336)=0,"★《维保合同》里没这个项目",IF(N($G1336)&lt;=0,"★收款金额要填",IF($H1336="","★票据类型要选",IF(AND($L1336&lt;&gt;"",COUNTIF(应收单号,$L1336)=0),"★关联的应收单号不存在",IF(AND($L1336&lt;&gt;"",IFERROR(INDEX(应收键,MATCH($L1336,应收单号,0)),"")&lt;&gt;$D1336),"★关联单号不是这个客户的",IF(AND($L1336&lt;&gt;"",ROUND(SUMIF(收款关联,$L1336,收款金额)-IFERROR(INDEX(应收金额,MATCH($L1336,应收单号,0)),0),2)&gt;0.001),"★指定冲销超过那张单的应收","OK"))))))))</f>
        <v/>
      </c>
    </row>
    <row r="1337" customFormat="false" ht="15" hidden="false" customHeight="false" outlineLevel="0" collapsed="false">
      <c r="A1337" s="29" t="str">
        <f aca="false">IF($C1337="","",ROW()-4)</f>
        <v/>
      </c>
      <c r="B1337" s="35" t="str">
        <f aca="false">IF($C1337="","","SK"&amp;TEXT($C1337,"yyyymm")&amp;"-"&amp;TEXT(ROW()-4,"0000"))</f>
        <v/>
      </c>
      <c r="C1337" s="33"/>
      <c r="D1337" s="24"/>
      <c r="E1337" s="30" t="str">
        <f aca="false">IF($D1337="","",IFERROR(INDEX(合同单位,MATCH($D1337,合同键,0)),IFERROR(TRIM(LEFT($D1337,FIND("｜",$D1337)-1)),$D1337)))</f>
        <v/>
      </c>
      <c r="F1337" s="30" t="str">
        <f aca="false">IF($D1337="","",IFERROR(INDEX(合同项目,MATCH($D1337,合同键,0)),IFERROR(TRIM(MID($D1337,FIND("｜",$D1337)+1,99)),"")))</f>
        <v/>
      </c>
      <c r="G1337" s="39"/>
      <c r="H1337" s="25"/>
      <c r="I1337" s="35" t="str">
        <f aca="false">IF($H1337="","",IFERROR(INDEX(票据归类表,MATCH($H1337,票据类型表,0)),"现金无票"))</f>
        <v/>
      </c>
      <c r="J1337" s="25"/>
      <c r="K1337" s="25"/>
      <c r="L1337" s="31"/>
      <c r="M1337" s="29" t="str">
        <f aca="false">IF($C1337="","",YEAR($C1337))</f>
        <v/>
      </c>
      <c r="N1337" s="24"/>
      <c r="O1337" s="35" t="str">
        <f aca="false">IF($C1337="","",IF($D1337="","★没选客户项目",IF(COUNTIF(合同键,$D1337)=0,"★《维保合同》里没这个项目",IF(N($G1337)&lt;=0,"★收款金额要填",IF($H1337="","★票据类型要选",IF(AND($L1337&lt;&gt;"",COUNTIF(应收单号,$L1337)=0),"★关联的应收单号不存在",IF(AND($L1337&lt;&gt;"",IFERROR(INDEX(应收键,MATCH($L1337,应收单号,0)),"")&lt;&gt;$D1337),"★关联单号不是这个客户的",IF(AND($L1337&lt;&gt;"",ROUND(SUMIF(收款关联,$L1337,收款金额)-IFERROR(INDEX(应收金额,MATCH($L1337,应收单号,0)),0),2)&gt;0.001),"★指定冲销超过那张单的应收","OK"))))))))</f>
        <v/>
      </c>
    </row>
    <row r="1338" customFormat="false" ht="15" hidden="false" customHeight="false" outlineLevel="0" collapsed="false">
      <c r="A1338" s="29" t="str">
        <f aca="false">IF($C1338="","",ROW()-4)</f>
        <v/>
      </c>
      <c r="B1338" s="35" t="str">
        <f aca="false">IF($C1338="","","SK"&amp;TEXT($C1338,"yyyymm")&amp;"-"&amp;TEXT(ROW()-4,"0000"))</f>
        <v/>
      </c>
      <c r="C1338" s="33"/>
      <c r="D1338" s="24"/>
      <c r="E1338" s="30" t="str">
        <f aca="false">IF($D1338="","",IFERROR(INDEX(合同单位,MATCH($D1338,合同键,0)),IFERROR(TRIM(LEFT($D1338,FIND("｜",$D1338)-1)),$D1338)))</f>
        <v/>
      </c>
      <c r="F1338" s="30" t="str">
        <f aca="false">IF($D1338="","",IFERROR(INDEX(合同项目,MATCH($D1338,合同键,0)),IFERROR(TRIM(MID($D1338,FIND("｜",$D1338)+1,99)),"")))</f>
        <v/>
      </c>
      <c r="G1338" s="39"/>
      <c r="H1338" s="25"/>
      <c r="I1338" s="35" t="str">
        <f aca="false">IF($H1338="","",IFERROR(INDEX(票据归类表,MATCH($H1338,票据类型表,0)),"现金无票"))</f>
        <v/>
      </c>
      <c r="J1338" s="25"/>
      <c r="K1338" s="25"/>
      <c r="L1338" s="31"/>
      <c r="M1338" s="29" t="str">
        <f aca="false">IF($C1338="","",YEAR($C1338))</f>
        <v/>
      </c>
      <c r="N1338" s="24"/>
      <c r="O1338" s="35" t="str">
        <f aca="false">IF($C1338="","",IF($D1338="","★没选客户项目",IF(COUNTIF(合同键,$D1338)=0,"★《维保合同》里没这个项目",IF(N($G1338)&lt;=0,"★收款金额要填",IF($H1338="","★票据类型要选",IF(AND($L1338&lt;&gt;"",COUNTIF(应收单号,$L1338)=0),"★关联的应收单号不存在",IF(AND($L1338&lt;&gt;"",IFERROR(INDEX(应收键,MATCH($L1338,应收单号,0)),"")&lt;&gt;$D1338),"★关联单号不是这个客户的",IF(AND($L1338&lt;&gt;"",ROUND(SUMIF(收款关联,$L1338,收款金额)-IFERROR(INDEX(应收金额,MATCH($L1338,应收单号,0)),0),2)&gt;0.001),"★指定冲销超过那张单的应收","OK"))))))))</f>
        <v/>
      </c>
    </row>
    <row r="1339" customFormat="false" ht="15" hidden="false" customHeight="false" outlineLevel="0" collapsed="false">
      <c r="A1339" s="29" t="str">
        <f aca="false">IF($C1339="","",ROW()-4)</f>
        <v/>
      </c>
      <c r="B1339" s="35" t="str">
        <f aca="false">IF($C1339="","","SK"&amp;TEXT($C1339,"yyyymm")&amp;"-"&amp;TEXT(ROW()-4,"0000"))</f>
        <v/>
      </c>
      <c r="C1339" s="33"/>
      <c r="D1339" s="24"/>
      <c r="E1339" s="30" t="str">
        <f aca="false">IF($D1339="","",IFERROR(INDEX(合同单位,MATCH($D1339,合同键,0)),IFERROR(TRIM(LEFT($D1339,FIND("｜",$D1339)-1)),$D1339)))</f>
        <v/>
      </c>
      <c r="F1339" s="30" t="str">
        <f aca="false">IF($D1339="","",IFERROR(INDEX(合同项目,MATCH($D1339,合同键,0)),IFERROR(TRIM(MID($D1339,FIND("｜",$D1339)+1,99)),"")))</f>
        <v/>
      </c>
      <c r="G1339" s="39"/>
      <c r="H1339" s="25"/>
      <c r="I1339" s="35" t="str">
        <f aca="false">IF($H1339="","",IFERROR(INDEX(票据归类表,MATCH($H1339,票据类型表,0)),"现金无票"))</f>
        <v/>
      </c>
      <c r="J1339" s="25"/>
      <c r="K1339" s="25"/>
      <c r="L1339" s="31"/>
      <c r="M1339" s="29" t="str">
        <f aca="false">IF($C1339="","",YEAR($C1339))</f>
        <v/>
      </c>
      <c r="N1339" s="24"/>
      <c r="O1339" s="35" t="str">
        <f aca="false">IF($C1339="","",IF($D1339="","★没选客户项目",IF(COUNTIF(合同键,$D1339)=0,"★《维保合同》里没这个项目",IF(N($G1339)&lt;=0,"★收款金额要填",IF($H1339="","★票据类型要选",IF(AND($L1339&lt;&gt;"",COUNTIF(应收单号,$L1339)=0),"★关联的应收单号不存在",IF(AND($L1339&lt;&gt;"",IFERROR(INDEX(应收键,MATCH($L1339,应收单号,0)),"")&lt;&gt;$D1339),"★关联单号不是这个客户的",IF(AND($L1339&lt;&gt;"",ROUND(SUMIF(收款关联,$L1339,收款金额)-IFERROR(INDEX(应收金额,MATCH($L1339,应收单号,0)),0),2)&gt;0.001),"★指定冲销超过那张单的应收","OK"))))))))</f>
        <v/>
      </c>
    </row>
    <row r="1340" customFormat="false" ht="15" hidden="false" customHeight="false" outlineLevel="0" collapsed="false">
      <c r="A1340" s="29" t="str">
        <f aca="false">IF($C1340="","",ROW()-4)</f>
        <v/>
      </c>
      <c r="B1340" s="35" t="str">
        <f aca="false">IF($C1340="","","SK"&amp;TEXT($C1340,"yyyymm")&amp;"-"&amp;TEXT(ROW()-4,"0000"))</f>
        <v/>
      </c>
      <c r="C1340" s="33"/>
      <c r="D1340" s="24"/>
      <c r="E1340" s="30" t="str">
        <f aca="false">IF($D1340="","",IFERROR(INDEX(合同单位,MATCH($D1340,合同键,0)),IFERROR(TRIM(LEFT($D1340,FIND("｜",$D1340)-1)),$D1340)))</f>
        <v/>
      </c>
      <c r="F1340" s="30" t="str">
        <f aca="false">IF($D1340="","",IFERROR(INDEX(合同项目,MATCH($D1340,合同键,0)),IFERROR(TRIM(MID($D1340,FIND("｜",$D1340)+1,99)),"")))</f>
        <v/>
      </c>
      <c r="G1340" s="39"/>
      <c r="H1340" s="25"/>
      <c r="I1340" s="35" t="str">
        <f aca="false">IF($H1340="","",IFERROR(INDEX(票据归类表,MATCH($H1340,票据类型表,0)),"现金无票"))</f>
        <v/>
      </c>
      <c r="J1340" s="25"/>
      <c r="K1340" s="25"/>
      <c r="L1340" s="31"/>
      <c r="M1340" s="29" t="str">
        <f aca="false">IF($C1340="","",YEAR($C1340))</f>
        <v/>
      </c>
      <c r="N1340" s="24"/>
      <c r="O1340" s="35" t="str">
        <f aca="false">IF($C1340="","",IF($D1340="","★没选客户项目",IF(COUNTIF(合同键,$D1340)=0,"★《维保合同》里没这个项目",IF(N($G1340)&lt;=0,"★收款金额要填",IF($H1340="","★票据类型要选",IF(AND($L1340&lt;&gt;"",COUNTIF(应收单号,$L1340)=0),"★关联的应收单号不存在",IF(AND($L1340&lt;&gt;"",IFERROR(INDEX(应收键,MATCH($L1340,应收单号,0)),"")&lt;&gt;$D1340),"★关联单号不是这个客户的",IF(AND($L1340&lt;&gt;"",ROUND(SUMIF(收款关联,$L1340,收款金额)-IFERROR(INDEX(应收金额,MATCH($L1340,应收单号,0)),0),2)&gt;0.001),"★指定冲销超过那张单的应收","OK"))))))))</f>
        <v/>
      </c>
    </row>
    <row r="1341" customFormat="false" ht="15" hidden="false" customHeight="false" outlineLevel="0" collapsed="false">
      <c r="A1341" s="29" t="str">
        <f aca="false">IF($C1341="","",ROW()-4)</f>
        <v/>
      </c>
      <c r="B1341" s="35" t="str">
        <f aca="false">IF($C1341="","","SK"&amp;TEXT($C1341,"yyyymm")&amp;"-"&amp;TEXT(ROW()-4,"0000"))</f>
        <v/>
      </c>
      <c r="C1341" s="33"/>
      <c r="D1341" s="24"/>
      <c r="E1341" s="30" t="str">
        <f aca="false">IF($D1341="","",IFERROR(INDEX(合同单位,MATCH($D1341,合同键,0)),IFERROR(TRIM(LEFT($D1341,FIND("｜",$D1341)-1)),$D1341)))</f>
        <v/>
      </c>
      <c r="F1341" s="30" t="str">
        <f aca="false">IF($D1341="","",IFERROR(INDEX(合同项目,MATCH($D1341,合同键,0)),IFERROR(TRIM(MID($D1341,FIND("｜",$D1341)+1,99)),"")))</f>
        <v/>
      </c>
      <c r="G1341" s="39"/>
      <c r="H1341" s="25"/>
      <c r="I1341" s="35" t="str">
        <f aca="false">IF($H1341="","",IFERROR(INDEX(票据归类表,MATCH($H1341,票据类型表,0)),"现金无票"))</f>
        <v/>
      </c>
      <c r="J1341" s="25"/>
      <c r="K1341" s="25"/>
      <c r="L1341" s="31"/>
      <c r="M1341" s="29" t="str">
        <f aca="false">IF($C1341="","",YEAR($C1341))</f>
        <v/>
      </c>
      <c r="N1341" s="24"/>
      <c r="O1341" s="35" t="str">
        <f aca="false">IF($C1341="","",IF($D1341="","★没选客户项目",IF(COUNTIF(合同键,$D1341)=0,"★《维保合同》里没这个项目",IF(N($G1341)&lt;=0,"★收款金额要填",IF($H1341="","★票据类型要选",IF(AND($L1341&lt;&gt;"",COUNTIF(应收单号,$L1341)=0),"★关联的应收单号不存在",IF(AND($L1341&lt;&gt;"",IFERROR(INDEX(应收键,MATCH($L1341,应收单号,0)),"")&lt;&gt;$D1341),"★关联单号不是这个客户的",IF(AND($L1341&lt;&gt;"",ROUND(SUMIF(收款关联,$L1341,收款金额)-IFERROR(INDEX(应收金额,MATCH($L1341,应收单号,0)),0),2)&gt;0.001),"★指定冲销超过那张单的应收","OK"))))))))</f>
        <v/>
      </c>
    </row>
    <row r="1342" customFormat="false" ht="15" hidden="false" customHeight="false" outlineLevel="0" collapsed="false">
      <c r="A1342" s="29" t="str">
        <f aca="false">IF($C1342="","",ROW()-4)</f>
        <v/>
      </c>
      <c r="B1342" s="35" t="str">
        <f aca="false">IF($C1342="","","SK"&amp;TEXT($C1342,"yyyymm")&amp;"-"&amp;TEXT(ROW()-4,"0000"))</f>
        <v/>
      </c>
      <c r="C1342" s="33"/>
      <c r="D1342" s="24"/>
      <c r="E1342" s="30" t="str">
        <f aca="false">IF($D1342="","",IFERROR(INDEX(合同单位,MATCH($D1342,合同键,0)),IFERROR(TRIM(LEFT($D1342,FIND("｜",$D1342)-1)),$D1342)))</f>
        <v/>
      </c>
      <c r="F1342" s="30" t="str">
        <f aca="false">IF($D1342="","",IFERROR(INDEX(合同项目,MATCH($D1342,合同键,0)),IFERROR(TRIM(MID($D1342,FIND("｜",$D1342)+1,99)),"")))</f>
        <v/>
      </c>
      <c r="G1342" s="39"/>
      <c r="H1342" s="25"/>
      <c r="I1342" s="35" t="str">
        <f aca="false">IF($H1342="","",IFERROR(INDEX(票据归类表,MATCH($H1342,票据类型表,0)),"现金无票"))</f>
        <v/>
      </c>
      <c r="J1342" s="25"/>
      <c r="K1342" s="25"/>
      <c r="L1342" s="31"/>
      <c r="M1342" s="29" t="str">
        <f aca="false">IF($C1342="","",YEAR($C1342))</f>
        <v/>
      </c>
      <c r="N1342" s="24"/>
      <c r="O1342" s="35" t="str">
        <f aca="false">IF($C1342="","",IF($D1342="","★没选客户项目",IF(COUNTIF(合同键,$D1342)=0,"★《维保合同》里没这个项目",IF(N($G1342)&lt;=0,"★收款金额要填",IF($H1342="","★票据类型要选",IF(AND($L1342&lt;&gt;"",COUNTIF(应收单号,$L1342)=0),"★关联的应收单号不存在",IF(AND($L1342&lt;&gt;"",IFERROR(INDEX(应收键,MATCH($L1342,应收单号,0)),"")&lt;&gt;$D1342),"★关联单号不是这个客户的",IF(AND($L1342&lt;&gt;"",ROUND(SUMIF(收款关联,$L1342,收款金额)-IFERROR(INDEX(应收金额,MATCH($L1342,应收单号,0)),0),2)&gt;0.001),"★指定冲销超过那张单的应收","OK"))))))))</f>
        <v/>
      </c>
    </row>
    <row r="1343" customFormat="false" ht="15" hidden="false" customHeight="false" outlineLevel="0" collapsed="false">
      <c r="A1343" s="29" t="str">
        <f aca="false">IF($C1343="","",ROW()-4)</f>
        <v/>
      </c>
      <c r="B1343" s="35" t="str">
        <f aca="false">IF($C1343="","","SK"&amp;TEXT($C1343,"yyyymm")&amp;"-"&amp;TEXT(ROW()-4,"0000"))</f>
        <v/>
      </c>
      <c r="C1343" s="33"/>
      <c r="D1343" s="24"/>
      <c r="E1343" s="30" t="str">
        <f aca="false">IF($D1343="","",IFERROR(INDEX(合同单位,MATCH($D1343,合同键,0)),IFERROR(TRIM(LEFT($D1343,FIND("｜",$D1343)-1)),$D1343)))</f>
        <v/>
      </c>
      <c r="F1343" s="30" t="str">
        <f aca="false">IF($D1343="","",IFERROR(INDEX(合同项目,MATCH($D1343,合同键,0)),IFERROR(TRIM(MID($D1343,FIND("｜",$D1343)+1,99)),"")))</f>
        <v/>
      </c>
      <c r="G1343" s="39"/>
      <c r="H1343" s="25"/>
      <c r="I1343" s="35" t="str">
        <f aca="false">IF($H1343="","",IFERROR(INDEX(票据归类表,MATCH($H1343,票据类型表,0)),"现金无票"))</f>
        <v/>
      </c>
      <c r="J1343" s="25"/>
      <c r="K1343" s="25"/>
      <c r="L1343" s="31"/>
      <c r="M1343" s="29" t="str">
        <f aca="false">IF($C1343="","",YEAR($C1343))</f>
        <v/>
      </c>
      <c r="N1343" s="24"/>
      <c r="O1343" s="35" t="str">
        <f aca="false">IF($C1343="","",IF($D1343="","★没选客户项目",IF(COUNTIF(合同键,$D1343)=0,"★《维保合同》里没这个项目",IF(N($G1343)&lt;=0,"★收款金额要填",IF($H1343="","★票据类型要选",IF(AND($L1343&lt;&gt;"",COUNTIF(应收单号,$L1343)=0),"★关联的应收单号不存在",IF(AND($L1343&lt;&gt;"",IFERROR(INDEX(应收键,MATCH($L1343,应收单号,0)),"")&lt;&gt;$D1343),"★关联单号不是这个客户的",IF(AND($L1343&lt;&gt;"",ROUND(SUMIF(收款关联,$L1343,收款金额)-IFERROR(INDEX(应收金额,MATCH($L1343,应收单号,0)),0),2)&gt;0.001),"★指定冲销超过那张单的应收","OK"))))))))</f>
        <v/>
      </c>
    </row>
    <row r="1344" customFormat="false" ht="15" hidden="false" customHeight="false" outlineLevel="0" collapsed="false">
      <c r="A1344" s="29" t="str">
        <f aca="false">IF($C1344="","",ROW()-4)</f>
        <v/>
      </c>
      <c r="B1344" s="35" t="str">
        <f aca="false">IF($C1344="","","SK"&amp;TEXT($C1344,"yyyymm")&amp;"-"&amp;TEXT(ROW()-4,"0000"))</f>
        <v/>
      </c>
      <c r="C1344" s="33"/>
      <c r="D1344" s="24"/>
      <c r="E1344" s="30" t="str">
        <f aca="false">IF($D1344="","",IFERROR(INDEX(合同单位,MATCH($D1344,合同键,0)),IFERROR(TRIM(LEFT($D1344,FIND("｜",$D1344)-1)),$D1344)))</f>
        <v/>
      </c>
      <c r="F1344" s="30" t="str">
        <f aca="false">IF($D1344="","",IFERROR(INDEX(合同项目,MATCH($D1344,合同键,0)),IFERROR(TRIM(MID($D1344,FIND("｜",$D1344)+1,99)),"")))</f>
        <v/>
      </c>
      <c r="G1344" s="39"/>
      <c r="H1344" s="25"/>
      <c r="I1344" s="35" t="str">
        <f aca="false">IF($H1344="","",IFERROR(INDEX(票据归类表,MATCH($H1344,票据类型表,0)),"现金无票"))</f>
        <v/>
      </c>
      <c r="J1344" s="25"/>
      <c r="K1344" s="25"/>
      <c r="L1344" s="31"/>
      <c r="M1344" s="29" t="str">
        <f aca="false">IF($C1344="","",YEAR($C1344))</f>
        <v/>
      </c>
      <c r="N1344" s="24"/>
      <c r="O1344" s="35" t="str">
        <f aca="false">IF($C1344="","",IF($D1344="","★没选客户项目",IF(COUNTIF(合同键,$D1344)=0,"★《维保合同》里没这个项目",IF(N($G1344)&lt;=0,"★收款金额要填",IF($H1344="","★票据类型要选",IF(AND($L1344&lt;&gt;"",COUNTIF(应收单号,$L1344)=0),"★关联的应收单号不存在",IF(AND($L1344&lt;&gt;"",IFERROR(INDEX(应收键,MATCH($L1344,应收单号,0)),"")&lt;&gt;$D1344),"★关联单号不是这个客户的",IF(AND($L1344&lt;&gt;"",ROUND(SUMIF(收款关联,$L1344,收款金额)-IFERROR(INDEX(应收金额,MATCH($L1344,应收单号,0)),0),2)&gt;0.001),"★指定冲销超过那张单的应收","OK"))))))))</f>
        <v/>
      </c>
    </row>
    <row r="1345" customFormat="false" ht="15" hidden="false" customHeight="false" outlineLevel="0" collapsed="false">
      <c r="A1345" s="29" t="str">
        <f aca="false">IF($C1345="","",ROW()-4)</f>
        <v/>
      </c>
      <c r="B1345" s="35" t="str">
        <f aca="false">IF($C1345="","","SK"&amp;TEXT($C1345,"yyyymm")&amp;"-"&amp;TEXT(ROW()-4,"0000"))</f>
        <v/>
      </c>
      <c r="C1345" s="33"/>
      <c r="D1345" s="24"/>
      <c r="E1345" s="30" t="str">
        <f aca="false">IF($D1345="","",IFERROR(INDEX(合同单位,MATCH($D1345,合同键,0)),IFERROR(TRIM(LEFT($D1345,FIND("｜",$D1345)-1)),$D1345)))</f>
        <v/>
      </c>
      <c r="F1345" s="30" t="str">
        <f aca="false">IF($D1345="","",IFERROR(INDEX(合同项目,MATCH($D1345,合同键,0)),IFERROR(TRIM(MID($D1345,FIND("｜",$D1345)+1,99)),"")))</f>
        <v/>
      </c>
      <c r="G1345" s="39"/>
      <c r="H1345" s="25"/>
      <c r="I1345" s="35" t="str">
        <f aca="false">IF($H1345="","",IFERROR(INDEX(票据归类表,MATCH($H1345,票据类型表,0)),"现金无票"))</f>
        <v/>
      </c>
      <c r="J1345" s="25"/>
      <c r="K1345" s="25"/>
      <c r="L1345" s="31"/>
      <c r="M1345" s="29" t="str">
        <f aca="false">IF($C1345="","",YEAR($C1345))</f>
        <v/>
      </c>
      <c r="N1345" s="24"/>
      <c r="O1345" s="35" t="str">
        <f aca="false">IF($C1345="","",IF($D1345="","★没选客户项目",IF(COUNTIF(合同键,$D1345)=0,"★《维保合同》里没这个项目",IF(N($G1345)&lt;=0,"★收款金额要填",IF($H1345="","★票据类型要选",IF(AND($L1345&lt;&gt;"",COUNTIF(应收单号,$L1345)=0),"★关联的应收单号不存在",IF(AND($L1345&lt;&gt;"",IFERROR(INDEX(应收键,MATCH($L1345,应收单号,0)),"")&lt;&gt;$D1345),"★关联单号不是这个客户的",IF(AND($L1345&lt;&gt;"",ROUND(SUMIF(收款关联,$L1345,收款金额)-IFERROR(INDEX(应收金额,MATCH($L1345,应收单号,0)),0),2)&gt;0.001),"★指定冲销超过那张单的应收","OK"))))))))</f>
        <v/>
      </c>
    </row>
    <row r="1346" customFormat="false" ht="15" hidden="false" customHeight="false" outlineLevel="0" collapsed="false">
      <c r="A1346" s="29" t="str">
        <f aca="false">IF($C1346="","",ROW()-4)</f>
        <v/>
      </c>
      <c r="B1346" s="35" t="str">
        <f aca="false">IF($C1346="","","SK"&amp;TEXT($C1346,"yyyymm")&amp;"-"&amp;TEXT(ROW()-4,"0000"))</f>
        <v/>
      </c>
      <c r="C1346" s="33"/>
      <c r="D1346" s="24"/>
      <c r="E1346" s="30" t="str">
        <f aca="false">IF($D1346="","",IFERROR(INDEX(合同单位,MATCH($D1346,合同键,0)),IFERROR(TRIM(LEFT($D1346,FIND("｜",$D1346)-1)),$D1346)))</f>
        <v/>
      </c>
      <c r="F1346" s="30" t="str">
        <f aca="false">IF($D1346="","",IFERROR(INDEX(合同项目,MATCH($D1346,合同键,0)),IFERROR(TRIM(MID($D1346,FIND("｜",$D1346)+1,99)),"")))</f>
        <v/>
      </c>
      <c r="G1346" s="39"/>
      <c r="H1346" s="25"/>
      <c r="I1346" s="35" t="str">
        <f aca="false">IF($H1346="","",IFERROR(INDEX(票据归类表,MATCH($H1346,票据类型表,0)),"现金无票"))</f>
        <v/>
      </c>
      <c r="J1346" s="25"/>
      <c r="K1346" s="25"/>
      <c r="L1346" s="31"/>
      <c r="M1346" s="29" t="str">
        <f aca="false">IF($C1346="","",YEAR($C1346))</f>
        <v/>
      </c>
      <c r="N1346" s="24"/>
      <c r="O1346" s="35" t="str">
        <f aca="false">IF($C1346="","",IF($D1346="","★没选客户项目",IF(COUNTIF(合同键,$D1346)=0,"★《维保合同》里没这个项目",IF(N($G1346)&lt;=0,"★收款金额要填",IF($H1346="","★票据类型要选",IF(AND($L1346&lt;&gt;"",COUNTIF(应收单号,$L1346)=0),"★关联的应收单号不存在",IF(AND($L1346&lt;&gt;"",IFERROR(INDEX(应收键,MATCH($L1346,应收单号,0)),"")&lt;&gt;$D1346),"★关联单号不是这个客户的",IF(AND($L1346&lt;&gt;"",ROUND(SUMIF(收款关联,$L1346,收款金额)-IFERROR(INDEX(应收金额,MATCH($L1346,应收单号,0)),0),2)&gt;0.001),"★指定冲销超过那张单的应收","OK"))))))))</f>
        <v/>
      </c>
    </row>
    <row r="1347" customFormat="false" ht="15" hidden="false" customHeight="false" outlineLevel="0" collapsed="false">
      <c r="A1347" s="29" t="str">
        <f aca="false">IF($C1347="","",ROW()-4)</f>
        <v/>
      </c>
      <c r="B1347" s="35" t="str">
        <f aca="false">IF($C1347="","","SK"&amp;TEXT($C1347,"yyyymm")&amp;"-"&amp;TEXT(ROW()-4,"0000"))</f>
        <v/>
      </c>
      <c r="C1347" s="33"/>
      <c r="D1347" s="24"/>
      <c r="E1347" s="30" t="str">
        <f aca="false">IF($D1347="","",IFERROR(INDEX(合同单位,MATCH($D1347,合同键,0)),IFERROR(TRIM(LEFT($D1347,FIND("｜",$D1347)-1)),$D1347)))</f>
        <v/>
      </c>
      <c r="F1347" s="30" t="str">
        <f aca="false">IF($D1347="","",IFERROR(INDEX(合同项目,MATCH($D1347,合同键,0)),IFERROR(TRIM(MID($D1347,FIND("｜",$D1347)+1,99)),"")))</f>
        <v/>
      </c>
      <c r="G1347" s="39"/>
      <c r="H1347" s="25"/>
      <c r="I1347" s="35" t="str">
        <f aca="false">IF($H1347="","",IFERROR(INDEX(票据归类表,MATCH($H1347,票据类型表,0)),"现金无票"))</f>
        <v/>
      </c>
      <c r="J1347" s="25"/>
      <c r="K1347" s="25"/>
      <c r="L1347" s="31"/>
      <c r="M1347" s="29" t="str">
        <f aca="false">IF($C1347="","",YEAR($C1347))</f>
        <v/>
      </c>
      <c r="N1347" s="24"/>
      <c r="O1347" s="35" t="str">
        <f aca="false">IF($C1347="","",IF($D1347="","★没选客户项目",IF(COUNTIF(合同键,$D1347)=0,"★《维保合同》里没这个项目",IF(N($G1347)&lt;=0,"★收款金额要填",IF($H1347="","★票据类型要选",IF(AND($L1347&lt;&gt;"",COUNTIF(应收单号,$L1347)=0),"★关联的应收单号不存在",IF(AND($L1347&lt;&gt;"",IFERROR(INDEX(应收键,MATCH($L1347,应收单号,0)),"")&lt;&gt;$D1347),"★关联单号不是这个客户的",IF(AND($L1347&lt;&gt;"",ROUND(SUMIF(收款关联,$L1347,收款金额)-IFERROR(INDEX(应收金额,MATCH($L1347,应收单号,0)),0),2)&gt;0.001),"★指定冲销超过那张单的应收","OK"))))))))</f>
        <v/>
      </c>
    </row>
    <row r="1348" customFormat="false" ht="15" hidden="false" customHeight="false" outlineLevel="0" collapsed="false">
      <c r="A1348" s="29" t="str">
        <f aca="false">IF($C1348="","",ROW()-4)</f>
        <v/>
      </c>
      <c r="B1348" s="35" t="str">
        <f aca="false">IF($C1348="","","SK"&amp;TEXT($C1348,"yyyymm")&amp;"-"&amp;TEXT(ROW()-4,"0000"))</f>
        <v/>
      </c>
      <c r="C1348" s="33"/>
      <c r="D1348" s="24"/>
      <c r="E1348" s="30" t="str">
        <f aca="false">IF($D1348="","",IFERROR(INDEX(合同单位,MATCH($D1348,合同键,0)),IFERROR(TRIM(LEFT($D1348,FIND("｜",$D1348)-1)),$D1348)))</f>
        <v/>
      </c>
      <c r="F1348" s="30" t="str">
        <f aca="false">IF($D1348="","",IFERROR(INDEX(合同项目,MATCH($D1348,合同键,0)),IFERROR(TRIM(MID($D1348,FIND("｜",$D1348)+1,99)),"")))</f>
        <v/>
      </c>
      <c r="G1348" s="39"/>
      <c r="H1348" s="25"/>
      <c r="I1348" s="35" t="str">
        <f aca="false">IF($H1348="","",IFERROR(INDEX(票据归类表,MATCH($H1348,票据类型表,0)),"现金无票"))</f>
        <v/>
      </c>
      <c r="J1348" s="25"/>
      <c r="K1348" s="25"/>
      <c r="L1348" s="31"/>
      <c r="M1348" s="29" t="str">
        <f aca="false">IF($C1348="","",YEAR($C1348))</f>
        <v/>
      </c>
      <c r="N1348" s="24"/>
      <c r="O1348" s="35" t="str">
        <f aca="false">IF($C1348="","",IF($D1348="","★没选客户项目",IF(COUNTIF(合同键,$D1348)=0,"★《维保合同》里没这个项目",IF(N($G1348)&lt;=0,"★收款金额要填",IF($H1348="","★票据类型要选",IF(AND($L1348&lt;&gt;"",COUNTIF(应收单号,$L1348)=0),"★关联的应收单号不存在",IF(AND($L1348&lt;&gt;"",IFERROR(INDEX(应收键,MATCH($L1348,应收单号,0)),"")&lt;&gt;$D1348),"★关联单号不是这个客户的",IF(AND($L1348&lt;&gt;"",ROUND(SUMIF(收款关联,$L1348,收款金额)-IFERROR(INDEX(应收金额,MATCH($L1348,应收单号,0)),0),2)&gt;0.001),"★指定冲销超过那张单的应收","OK"))))))))</f>
        <v/>
      </c>
    </row>
    <row r="1349" customFormat="false" ht="15" hidden="false" customHeight="false" outlineLevel="0" collapsed="false">
      <c r="A1349" s="29" t="str">
        <f aca="false">IF($C1349="","",ROW()-4)</f>
        <v/>
      </c>
      <c r="B1349" s="35" t="str">
        <f aca="false">IF($C1349="","","SK"&amp;TEXT($C1349,"yyyymm")&amp;"-"&amp;TEXT(ROW()-4,"0000"))</f>
        <v/>
      </c>
      <c r="C1349" s="33"/>
      <c r="D1349" s="24"/>
      <c r="E1349" s="30" t="str">
        <f aca="false">IF($D1349="","",IFERROR(INDEX(合同单位,MATCH($D1349,合同键,0)),IFERROR(TRIM(LEFT($D1349,FIND("｜",$D1349)-1)),$D1349)))</f>
        <v/>
      </c>
      <c r="F1349" s="30" t="str">
        <f aca="false">IF($D1349="","",IFERROR(INDEX(合同项目,MATCH($D1349,合同键,0)),IFERROR(TRIM(MID($D1349,FIND("｜",$D1349)+1,99)),"")))</f>
        <v/>
      </c>
      <c r="G1349" s="39"/>
      <c r="H1349" s="25"/>
      <c r="I1349" s="35" t="str">
        <f aca="false">IF($H1349="","",IFERROR(INDEX(票据归类表,MATCH($H1349,票据类型表,0)),"现金无票"))</f>
        <v/>
      </c>
      <c r="J1349" s="25"/>
      <c r="K1349" s="25"/>
      <c r="L1349" s="31"/>
      <c r="M1349" s="29" t="str">
        <f aca="false">IF($C1349="","",YEAR($C1349))</f>
        <v/>
      </c>
      <c r="N1349" s="24"/>
      <c r="O1349" s="35" t="str">
        <f aca="false">IF($C1349="","",IF($D1349="","★没选客户项目",IF(COUNTIF(合同键,$D1349)=0,"★《维保合同》里没这个项目",IF(N($G1349)&lt;=0,"★收款金额要填",IF($H1349="","★票据类型要选",IF(AND($L1349&lt;&gt;"",COUNTIF(应收单号,$L1349)=0),"★关联的应收单号不存在",IF(AND($L1349&lt;&gt;"",IFERROR(INDEX(应收键,MATCH($L1349,应收单号,0)),"")&lt;&gt;$D1349),"★关联单号不是这个客户的",IF(AND($L1349&lt;&gt;"",ROUND(SUMIF(收款关联,$L1349,收款金额)-IFERROR(INDEX(应收金额,MATCH($L1349,应收单号,0)),0),2)&gt;0.001),"★指定冲销超过那张单的应收","OK"))))))))</f>
        <v/>
      </c>
    </row>
    <row r="1350" customFormat="false" ht="15" hidden="false" customHeight="false" outlineLevel="0" collapsed="false">
      <c r="A1350" s="29" t="str">
        <f aca="false">IF($C1350="","",ROW()-4)</f>
        <v/>
      </c>
      <c r="B1350" s="35" t="str">
        <f aca="false">IF($C1350="","","SK"&amp;TEXT($C1350,"yyyymm")&amp;"-"&amp;TEXT(ROW()-4,"0000"))</f>
        <v/>
      </c>
      <c r="C1350" s="33"/>
      <c r="D1350" s="24"/>
      <c r="E1350" s="30" t="str">
        <f aca="false">IF($D1350="","",IFERROR(INDEX(合同单位,MATCH($D1350,合同键,0)),IFERROR(TRIM(LEFT($D1350,FIND("｜",$D1350)-1)),$D1350)))</f>
        <v/>
      </c>
      <c r="F1350" s="30" t="str">
        <f aca="false">IF($D1350="","",IFERROR(INDEX(合同项目,MATCH($D1350,合同键,0)),IFERROR(TRIM(MID($D1350,FIND("｜",$D1350)+1,99)),"")))</f>
        <v/>
      </c>
      <c r="G1350" s="39"/>
      <c r="H1350" s="25"/>
      <c r="I1350" s="35" t="str">
        <f aca="false">IF($H1350="","",IFERROR(INDEX(票据归类表,MATCH($H1350,票据类型表,0)),"现金无票"))</f>
        <v/>
      </c>
      <c r="J1350" s="25"/>
      <c r="K1350" s="25"/>
      <c r="L1350" s="31"/>
      <c r="M1350" s="29" t="str">
        <f aca="false">IF($C1350="","",YEAR($C1350))</f>
        <v/>
      </c>
      <c r="N1350" s="24"/>
      <c r="O1350" s="35" t="str">
        <f aca="false">IF($C1350="","",IF($D1350="","★没选客户项目",IF(COUNTIF(合同键,$D1350)=0,"★《维保合同》里没这个项目",IF(N($G1350)&lt;=0,"★收款金额要填",IF($H1350="","★票据类型要选",IF(AND($L1350&lt;&gt;"",COUNTIF(应收单号,$L1350)=0),"★关联的应收单号不存在",IF(AND($L1350&lt;&gt;"",IFERROR(INDEX(应收键,MATCH($L1350,应收单号,0)),"")&lt;&gt;$D1350),"★关联单号不是这个客户的",IF(AND($L1350&lt;&gt;"",ROUND(SUMIF(收款关联,$L1350,收款金额)-IFERROR(INDEX(应收金额,MATCH($L1350,应收单号,0)),0),2)&gt;0.001),"★指定冲销超过那张单的应收","OK"))))))))</f>
        <v/>
      </c>
    </row>
    <row r="1351" customFormat="false" ht="15" hidden="false" customHeight="false" outlineLevel="0" collapsed="false">
      <c r="A1351" s="29" t="str">
        <f aca="false">IF($C1351="","",ROW()-4)</f>
        <v/>
      </c>
      <c r="B1351" s="35" t="str">
        <f aca="false">IF($C1351="","","SK"&amp;TEXT($C1351,"yyyymm")&amp;"-"&amp;TEXT(ROW()-4,"0000"))</f>
        <v/>
      </c>
      <c r="C1351" s="33"/>
      <c r="D1351" s="24"/>
      <c r="E1351" s="30" t="str">
        <f aca="false">IF($D1351="","",IFERROR(INDEX(合同单位,MATCH($D1351,合同键,0)),IFERROR(TRIM(LEFT($D1351,FIND("｜",$D1351)-1)),$D1351)))</f>
        <v/>
      </c>
      <c r="F1351" s="30" t="str">
        <f aca="false">IF($D1351="","",IFERROR(INDEX(合同项目,MATCH($D1351,合同键,0)),IFERROR(TRIM(MID($D1351,FIND("｜",$D1351)+1,99)),"")))</f>
        <v/>
      </c>
      <c r="G1351" s="39"/>
      <c r="H1351" s="25"/>
      <c r="I1351" s="35" t="str">
        <f aca="false">IF($H1351="","",IFERROR(INDEX(票据归类表,MATCH($H1351,票据类型表,0)),"现金无票"))</f>
        <v/>
      </c>
      <c r="J1351" s="25"/>
      <c r="K1351" s="25"/>
      <c r="L1351" s="31"/>
      <c r="M1351" s="29" t="str">
        <f aca="false">IF($C1351="","",YEAR($C1351))</f>
        <v/>
      </c>
      <c r="N1351" s="24"/>
      <c r="O1351" s="35" t="str">
        <f aca="false">IF($C1351="","",IF($D1351="","★没选客户项目",IF(COUNTIF(合同键,$D1351)=0,"★《维保合同》里没这个项目",IF(N($G1351)&lt;=0,"★收款金额要填",IF($H1351="","★票据类型要选",IF(AND($L1351&lt;&gt;"",COUNTIF(应收单号,$L1351)=0),"★关联的应收单号不存在",IF(AND($L1351&lt;&gt;"",IFERROR(INDEX(应收键,MATCH($L1351,应收单号,0)),"")&lt;&gt;$D1351),"★关联单号不是这个客户的",IF(AND($L1351&lt;&gt;"",ROUND(SUMIF(收款关联,$L1351,收款金额)-IFERROR(INDEX(应收金额,MATCH($L1351,应收单号,0)),0),2)&gt;0.001),"★指定冲销超过那张单的应收","OK"))))))))</f>
        <v/>
      </c>
    </row>
    <row r="1352" customFormat="false" ht="15" hidden="false" customHeight="false" outlineLevel="0" collapsed="false">
      <c r="A1352" s="29" t="str">
        <f aca="false">IF($C1352="","",ROW()-4)</f>
        <v/>
      </c>
      <c r="B1352" s="35" t="str">
        <f aca="false">IF($C1352="","","SK"&amp;TEXT($C1352,"yyyymm")&amp;"-"&amp;TEXT(ROW()-4,"0000"))</f>
        <v/>
      </c>
      <c r="C1352" s="33"/>
      <c r="D1352" s="24"/>
      <c r="E1352" s="30" t="str">
        <f aca="false">IF($D1352="","",IFERROR(INDEX(合同单位,MATCH($D1352,合同键,0)),IFERROR(TRIM(LEFT($D1352,FIND("｜",$D1352)-1)),$D1352)))</f>
        <v/>
      </c>
      <c r="F1352" s="30" t="str">
        <f aca="false">IF($D1352="","",IFERROR(INDEX(合同项目,MATCH($D1352,合同键,0)),IFERROR(TRIM(MID($D1352,FIND("｜",$D1352)+1,99)),"")))</f>
        <v/>
      </c>
      <c r="G1352" s="39"/>
      <c r="H1352" s="25"/>
      <c r="I1352" s="35" t="str">
        <f aca="false">IF($H1352="","",IFERROR(INDEX(票据归类表,MATCH($H1352,票据类型表,0)),"现金无票"))</f>
        <v/>
      </c>
      <c r="J1352" s="25"/>
      <c r="K1352" s="25"/>
      <c r="L1352" s="31"/>
      <c r="M1352" s="29" t="str">
        <f aca="false">IF($C1352="","",YEAR($C1352))</f>
        <v/>
      </c>
      <c r="N1352" s="24"/>
      <c r="O1352" s="35" t="str">
        <f aca="false">IF($C1352="","",IF($D1352="","★没选客户项目",IF(COUNTIF(合同键,$D1352)=0,"★《维保合同》里没这个项目",IF(N($G1352)&lt;=0,"★收款金额要填",IF($H1352="","★票据类型要选",IF(AND($L1352&lt;&gt;"",COUNTIF(应收单号,$L1352)=0),"★关联的应收单号不存在",IF(AND($L1352&lt;&gt;"",IFERROR(INDEX(应收键,MATCH($L1352,应收单号,0)),"")&lt;&gt;$D1352),"★关联单号不是这个客户的",IF(AND($L1352&lt;&gt;"",ROUND(SUMIF(收款关联,$L1352,收款金额)-IFERROR(INDEX(应收金额,MATCH($L1352,应收单号,0)),0),2)&gt;0.001),"★指定冲销超过那张单的应收","OK"))))))))</f>
        <v/>
      </c>
    </row>
    <row r="1353" customFormat="false" ht="15" hidden="false" customHeight="false" outlineLevel="0" collapsed="false">
      <c r="A1353" s="29" t="str">
        <f aca="false">IF($C1353="","",ROW()-4)</f>
        <v/>
      </c>
      <c r="B1353" s="35" t="str">
        <f aca="false">IF($C1353="","","SK"&amp;TEXT($C1353,"yyyymm")&amp;"-"&amp;TEXT(ROW()-4,"0000"))</f>
        <v/>
      </c>
      <c r="C1353" s="33"/>
      <c r="D1353" s="24"/>
      <c r="E1353" s="30" t="str">
        <f aca="false">IF($D1353="","",IFERROR(INDEX(合同单位,MATCH($D1353,合同键,0)),IFERROR(TRIM(LEFT($D1353,FIND("｜",$D1353)-1)),$D1353)))</f>
        <v/>
      </c>
      <c r="F1353" s="30" t="str">
        <f aca="false">IF($D1353="","",IFERROR(INDEX(合同项目,MATCH($D1353,合同键,0)),IFERROR(TRIM(MID($D1353,FIND("｜",$D1353)+1,99)),"")))</f>
        <v/>
      </c>
      <c r="G1353" s="39"/>
      <c r="H1353" s="25"/>
      <c r="I1353" s="35" t="str">
        <f aca="false">IF($H1353="","",IFERROR(INDEX(票据归类表,MATCH($H1353,票据类型表,0)),"现金无票"))</f>
        <v/>
      </c>
      <c r="J1353" s="25"/>
      <c r="K1353" s="25"/>
      <c r="L1353" s="31"/>
      <c r="M1353" s="29" t="str">
        <f aca="false">IF($C1353="","",YEAR($C1353))</f>
        <v/>
      </c>
      <c r="N1353" s="24"/>
      <c r="O1353" s="35" t="str">
        <f aca="false">IF($C1353="","",IF($D1353="","★没选客户项目",IF(COUNTIF(合同键,$D1353)=0,"★《维保合同》里没这个项目",IF(N($G1353)&lt;=0,"★收款金额要填",IF($H1353="","★票据类型要选",IF(AND($L1353&lt;&gt;"",COUNTIF(应收单号,$L1353)=0),"★关联的应收单号不存在",IF(AND($L1353&lt;&gt;"",IFERROR(INDEX(应收键,MATCH($L1353,应收单号,0)),"")&lt;&gt;$D1353),"★关联单号不是这个客户的",IF(AND($L1353&lt;&gt;"",ROUND(SUMIF(收款关联,$L1353,收款金额)-IFERROR(INDEX(应收金额,MATCH($L1353,应收单号,0)),0),2)&gt;0.001),"★指定冲销超过那张单的应收","OK"))))))))</f>
        <v/>
      </c>
    </row>
    <row r="1354" customFormat="false" ht="15" hidden="false" customHeight="false" outlineLevel="0" collapsed="false">
      <c r="A1354" s="29" t="str">
        <f aca="false">IF($C1354="","",ROW()-4)</f>
        <v/>
      </c>
      <c r="B1354" s="35" t="str">
        <f aca="false">IF($C1354="","","SK"&amp;TEXT($C1354,"yyyymm")&amp;"-"&amp;TEXT(ROW()-4,"0000"))</f>
        <v/>
      </c>
      <c r="C1354" s="33"/>
      <c r="D1354" s="24"/>
      <c r="E1354" s="30" t="str">
        <f aca="false">IF($D1354="","",IFERROR(INDEX(合同单位,MATCH($D1354,合同键,0)),IFERROR(TRIM(LEFT($D1354,FIND("｜",$D1354)-1)),$D1354)))</f>
        <v/>
      </c>
      <c r="F1354" s="30" t="str">
        <f aca="false">IF($D1354="","",IFERROR(INDEX(合同项目,MATCH($D1354,合同键,0)),IFERROR(TRIM(MID($D1354,FIND("｜",$D1354)+1,99)),"")))</f>
        <v/>
      </c>
      <c r="G1354" s="39"/>
      <c r="H1354" s="25"/>
      <c r="I1354" s="35" t="str">
        <f aca="false">IF($H1354="","",IFERROR(INDEX(票据归类表,MATCH($H1354,票据类型表,0)),"现金无票"))</f>
        <v/>
      </c>
      <c r="J1354" s="25"/>
      <c r="K1354" s="25"/>
      <c r="L1354" s="31"/>
      <c r="M1354" s="29" t="str">
        <f aca="false">IF($C1354="","",YEAR($C1354))</f>
        <v/>
      </c>
      <c r="N1354" s="24"/>
      <c r="O1354" s="35" t="str">
        <f aca="false">IF($C1354="","",IF($D1354="","★没选客户项目",IF(COUNTIF(合同键,$D1354)=0,"★《维保合同》里没这个项目",IF(N($G1354)&lt;=0,"★收款金额要填",IF($H1354="","★票据类型要选",IF(AND($L1354&lt;&gt;"",COUNTIF(应收单号,$L1354)=0),"★关联的应收单号不存在",IF(AND($L1354&lt;&gt;"",IFERROR(INDEX(应收键,MATCH($L1354,应收单号,0)),"")&lt;&gt;$D1354),"★关联单号不是这个客户的",IF(AND($L1354&lt;&gt;"",ROUND(SUMIF(收款关联,$L1354,收款金额)-IFERROR(INDEX(应收金额,MATCH($L1354,应收单号,0)),0),2)&gt;0.001),"★指定冲销超过那张单的应收","OK"))))))))</f>
        <v/>
      </c>
    </row>
    <row r="1355" customFormat="false" ht="15" hidden="false" customHeight="false" outlineLevel="0" collapsed="false">
      <c r="A1355" s="29" t="str">
        <f aca="false">IF($C1355="","",ROW()-4)</f>
        <v/>
      </c>
      <c r="B1355" s="35" t="str">
        <f aca="false">IF($C1355="","","SK"&amp;TEXT($C1355,"yyyymm")&amp;"-"&amp;TEXT(ROW()-4,"0000"))</f>
        <v/>
      </c>
      <c r="C1355" s="33"/>
      <c r="D1355" s="24"/>
      <c r="E1355" s="30" t="str">
        <f aca="false">IF($D1355="","",IFERROR(INDEX(合同单位,MATCH($D1355,合同键,0)),IFERROR(TRIM(LEFT($D1355,FIND("｜",$D1355)-1)),$D1355)))</f>
        <v/>
      </c>
      <c r="F1355" s="30" t="str">
        <f aca="false">IF($D1355="","",IFERROR(INDEX(合同项目,MATCH($D1355,合同键,0)),IFERROR(TRIM(MID($D1355,FIND("｜",$D1355)+1,99)),"")))</f>
        <v/>
      </c>
      <c r="G1355" s="39"/>
      <c r="H1355" s="25"/>
      <c r="I1355" s="35" t="str">
        <f aca="false">IF($H1355="","",IFERROR(INDEX(票据归类表,MATCH($H1355,票据类型表,0)),"现金无票"))</f>
        <v/>
      </c>
      <c r="J1355" s="25"/>
      <c r="K1355" s="25"/>
      <c r="L1355" s="31"/>
      <c r="M1355" s="29" t="str">
        <f aca="false">IF($C1355="","",YEAR($C1355))</f>
        <v/>
      </c>
      <c r="N1355" s="24"/>
      <c r="O1355" s="35" t="str">
        <f aca="false">IF($C1355="","",IF($D1355="","★没选客户项目",IF(COUNTIF(合同键,$D1355)=0,"★《维保合同》里没这个项目",IF(N($G1355)&lt;=0,"★收款金额要填",IF($H1355="","★票据类型要选",IF(AND($L1355&lt;&gt;"",COUNTIF(应收单号,$L1355)=0),"★关联的应收单号不存在",IF(AND($L1355&lt;&gt;"",IFERROR(INDEX(应收键,MATCH($L1355,应收单号,0)),"")&lt;&gt;$D1355),"★关联单号不是这个客户的",IF(AND($L1355&lt;&gt;"",ROUND(SUMIF(收款关联,$L1355,收款金额)-IFERROR(INDEX(应收金额,MATCH($L1355,应收单号,0)),0),2)&gt;0.001),"★指定冲销超过那张单的应收","OK"))))))))</f>
        <v/>
      </c>
    </row>
    <row r="1356" customFormat="false" ht="15" hidden="false" customHeight="false" outlineLevel="0" collapsed="false">
      <c r="A1356" s="29" t="str">
        <f aca="false">IF($C1356="","",ROW()-4)</f>
        <v/>
      </c>
      <c r="B1356" s="35" t="str">
        <f aca="false">IF($C1356="","","SK"&amp;TEXT($C1356,"yyyymm")&amp;"-"&amp;TEXT(ROW()-4,"0000"))</f>
        <v/>
      </c>
      <c r="C1356" s="33"/>
      <c r="D1356" s="24"/>
      <c r="E1356" s="30" t="str">
        <f aca="false">IF($D1356="","",IFERROR(INDEX(合同单位,MATCH($D1356,合同键,0)),IFERROR(TRIM(LEFT($D1356,FIND("｜",$D1356)-1)),$D1356)))</f>
        <v/>
      </c>
      <c r="F1356" s="30" t="str">
        <f aca="false">IF($D1356="","",IFERROR(INDEX(合同项目,MATCH($D1356,合同键,0)),IFERROR(TRIM(MID($D1356,FIND("｜",$D1356)+1,99)),"")))</f>
        <v/>
      </c>
      <c r="G1356" s="39"/>
      <c r="H1356" s="25"/>
      <c r="I1356" s="35" t="str">
        <f aca="false">IF($H1356="","",IFERROR(INDEX(票据归类表,MATCH($H1356,票据类型表,0)),"现金无票"))</f>
        <v/>
      </c>
      <c r="J1356" s="25"/>
      <c r="K1356" s="25"/>
      <c r="L1356" s="31"/>
      <c r="M1356" s="29" t="str">
        <f aca="false">IF($C1356="","",YEAR($C1356))</f>
        <v/>
      </c>
      <c r="N1356" s="24"/>
      <c r="O1356" s="35" t="str">
        <f aca="false">IF($C1356="","",IF($D1356="","★没选客户项目",IF(COUNTIF(合同键,$D1356)=0,"★《维保合同》里没这个项目",IF(N($G1356)&lt;=0,"★收款金额要填",IF($H1356="","★票据类型要选",IF(AND($L1356&lt;&gt;"",COUNTIF(应收单号,$L1356)=0),"★关联的应收单号不存在",IF(AND($L1356&lt;&gt;"",IFERROR(INDEX(应收键,MATCH($L1356,应收单号,0)),"")&lt;&gt;$D1356),"★关联单号不是这个客户的",IF(AND($L1356&lt;&gt;"",ROUND(SUMIF(收款关联,$L1356,收款金额)-IFERROR(INDEX(应收金额,MATCH($L1356,应收单号,0)),0),2)&gt;0.001),"★指定冲销超过那张单的应收","OK"))))))))</f>
        <v/>
      </c>
    </row>
    <row r="1357" customFormat="false" ht="15" hidden="false" customHeight="false" outlineLevel="0" collapsed="false">
      <c r="A1357" s="29" t="str">
        <f aca="false">IF($C1357="","",ROW()-4)</f>
        <v/>
      </c>
      <c r="B1357" s="35" t="str">
        <f aca="false">IF($C1357="","","SK"&amp;TEXT($C1357,"yyyymm")&amp;"-"&amp;TEXT(ROW()-4,"0000"))</f>
        <v/>
      </c>
      <c r="C1357" s="33"/>
      <c r="D1357" s="24"/>
      <c r="E1357" s="30" t="str">
        <f aca="false">IF($D1357="","",IFERROR(INDEX(合同单位,MATCH($D1357,合同键,0)),IFERROR(TRIM(LEFT($D1357,FIND("｜",$D1357)-1)),$D1357)))</f>
        <v/>
      </c>
      <c r="F1357" s="30" t="str">
        <f aca="false">IF($D1357="","",IFERROR(INDEX(合同项目,MATCH($D1357,合同键,0)),IFERROR(TRIM(MID($D1357,FIND("｜",$D1357)+1,99)),"")))</f>
        <v/>
      </c>
      <c r="G1357" s="39"/>
      <c r="H1357" s="25"/>
      <c r="I1357" s="35" t="str">
        <f aca="false">IF($H1357="","",IFERROR(INDEX(票据归类表,MATCH($H1357,票据类型表,0)),"现金无票"))</f>
        <v/>
      </c>
      <c r="J1357" s="25"/>
      <c r="K1357" s="25"/>
      <c r="L1357" s="31"/>
      <c r="M1357" s="29" t="str">
        <f aca="false">IF($C1357="","",YEAR($C1357))</f>
        <v/>
      </c>
      <c r="N1357" s="24"/>
      <c r="O1357" s="35" t="str">
        <f aca="false">IF($C1357="","",IF($D1357="","★没选客户项目",IF(COUNTIF(合同键,$D1357)=0,"★《维保合同》里没这个项目",IF(N($G1357)&lt;=0,"★收款金额要填",IF($H1357="","★票据类型要选",IF(AND($L1357&lt;&gt;"",COUNTIF(应收单号,$L1357)=0),"★关联的应收单号不存在",IF(AND($L1357&lt;&gt;"",IFERROR(INDEX(应收键,MATCH($L1357,应收单号,0)),"")&lt;&gt;$D1357),"★关联单号不是这个客户的",IF(AND($L1357&lt;&gt;"",ROUND(SUMIF(收款关联,$L1357,收款金额)-IFERROR(INDEX(应收金额,MATCH($L1357,应收单号,0)),0),2)&gt;0.001),"★指定冲销超过那张单的应收","OK"))))))))</f>
        <v/>
      </c>
    </row>
    <row r="1358" customFormat="false" ht="15" hidden="false" customHeight="false" outlineLevel="0" collapsed="false">
      <c r="A1358" s="29" t="str">
        <f aca="false">IF($C1358="","",ROW()-4)</f>
        <v/>
      </c>
      <c r="B1358" s="35" t="str">
        <f aca="false">IF($C1358="","","SK"&amp;TEXT($C1358,"yyyymm")&amp;"-"&amp;TEXT(ROW()-4,"0000"))</f>
        <v/>
      </c>
      <c r="C1358" s="33"/>
      <c r="D1358" s="24"/>
      <c r="E1358" s="30" t="str">
        <f aca="false">IF($D1358="","",IFERROR(INDEX(合同单位,MATCH($D1358,合同键,0)),IFERROR(TRIM(LEFT($D1358,FIND("｜",$D1358)-1)),$D1358)))</f>
        <v/>
      </c>
      <c r="F1358" s="30" t="str">
        <f aca="false">IF($D1358="","",IFERROR(INDEX(合同项目,MATCH($D1358,合同键,0)),IFERROR(TRIM(MID($D1358,FIND("｜",$D1358)+1,99)),"")))</f>
        <v/>
      </c>
      <c r="G1358" s="39"/>
      <c r="H1358" s="25"/>
      <c r="I1358" s="35" t="str">
        <f aca="false">IF($H1358="","",IFERROR(INDEX(票据归类表,MATCH($H1358,票据类型表,0)),"现金无票"))</f>
        <v/>
      </c>
      <c r="J1358" s="25"/>
      <c r="K1358" s="25"/>
      <c r="L1358" s="31"/>
      <c r="M1358" s="29" t="str">
        <f aca="false">IF($C1358="","",YEAR($C1358))</f>
        <v/>
      </c>
      <c r="N1358" s="24"/>
      <c r="O1358" s="35" t="str">
        <f aca="false">IF($C1358="","",IF($D1358="","★没选客户项目",IF(COUNTIF(合同键,$D1358)=0,"★《维保合同》里没这个项目",IF(N($G1358)&lt;=0,"★收款金额要填",IF($H1358="","★票据类型要选",IF(AND($L1358&lt;&gt;"",COUNTIF(应收单号,$L1358)=0),"★关联的应收单号不存在",IF(AND($L1358&lt;&gt;"",IFERROR(INDEX(应收键,MATCH($L1358,应收单号,0)),"")&lt;&gt;$D1358),"★关联单号不是这个客户的",IF(AND($L1358&lt;&gt;"",ROUND(SUMIF(收款关联,$L1358,收款金额)-IFERROR(INDEX(应收金额,MATCH($L1358,应收单号,0)),0),2)&gt;0.001),"★指定冲销超过那张单的应收","OK"))))))))</f>
        <v/>
      </c>
    </row>
    <row r="1359" customFormat="false" ht="15" hidden="false" customHeight="false" outlineLevel="0" collapsed="false">
      <c r="A1359" s="29" t="str">
        <f aca="false">IF($C1359="","",ROW()-4)</f>
        <v/>
      </c>
      <c r="B1359" s="35" t="str">
        <f aca="false">IF($C1359="","","SK"&amp;TEXT($C1359,"yyyymm")&amp;"-"&amp;TEXT(ROW()-4,"0000"))</f>
        <v/>
      </c>
      <c r="C1359" s="33"/>
      <c r="D1359" s="24"/>
      <c r="E1359" s="30" t="str">
        <f aca="false">IF($D1359="","",IFERROR(INDEX(合同单位,MATCH($D1359,合同键,0)),IFERROR(TRIM(LEFT($D1359,FIND("｜",$D1359)-1)),$D1359)))</f>
        <v/>
      </c>
      <c r="F1359" s="30" t="str">
        <f aca="false">IF($D1359="","",IFERROR(INDEX(合同项目,MATCH($D1359,合同键,0)),IFERROR(TRIM(MID($D1359,FIND("｜",$D1359)+1,99)),"")))</f>
        <v/>
      </c>
      <c r="G1359" s="39"/>
      <c r="H1359" s="25"/>
      <c r="I1359" s="35" t="str">
        <f aca="false">IF($H1359="","",IFERROR(INDEX(票据归类表,MATCH($H1359,票据类型表,0)),"现金无票"))</f>
        <v/>
      </c>
      <c r="J1359" s="25"/>
      <c r="K1359" s="25"/>
      <c r="L1359" s="31"/>
      <c r="M1359" s="29" t="str">
        <f aca="false">IF($C1359="","",YEAR($C1359))</f>
        <v/>
      </c>
      <c r="N1359" s="24"/>
      <c r="O1359" s="35" t="str">
        <f aca="false">IF($C1359="","",IF($D1359="","★没选客户项目",IF(COUNTIF(合同键,$D1359)=0,"★《维保合同》里没这个项目",IF(N($G1359)&lt;=0,"★收款金额要填",IF($H1359="","★票据类型要选",IF(AND($L1359&lt;&gt;"",COUNTIF(应收单号,$L1359)=0),"★关联的应收单号不存在",IF(AND($L1359&lt;&gt;"",IFERROR(INDEX(应收键,MATCH($L1359,应收单号,0)),"")&lt;&gt;$D1359),"★关联单号不是这个客户的",IF(AND($L1359&lt;&gt;"",ROUND(SUMIF(收款关联,$L1359,收款金额)-IFERROR(INDEX(应收金额,MATCH($L1359,应收单号,0)),0),2)&gt;0.001),"★指定冲销超过那张单的应收","OK"))))))))</f>
        <v/>
      </c>
    </row>
    <row r="1360" customFormat="false" ht="15" hidden="false" customHeight="false" outlineLevel="0" collapsed="false">
      <c r="A1360" s="29" t="str">
        <f aca="false">IF($C1360="","",ROW()-4)</f>
        <v/>
      </c>
      <c r="B1360" s="35" t="str">
        <f aca="false">IF($C1360="","","SK"&amp;TEXT($C1360,"yyyymm")&amp;"-"&amp;TEXT(ROW()-4,"0000"))</f>
        <v/>
      </c>
      <c r="C1360" s="33"/>
      <c r="D1360" s="24"/>
      <c r="E1360" s="30" t="str">
        <f aca="false">IF($D1360="","",IFERROR(INDEX(合同单位,MATCH($D1360,合同键,0)),IFERROR(TRIM(LEFT($D1360,FIND("｜",$D1360)-1)),$D1360)))</f>
        <v/>
      </c>
      <c r="F1360" s="30" t="str">
        <f aca="false">IF($D1360="","",IFERROR(INDEX(合同项目,MATCH($D1360,合同键,0)),IFERROR(TRIM(MID($D1360,FIND("｜",$D1360)+1,99)),"")))</f>
        <v/>
      </c>
      <c r="G1360" s="39"/>
      <c r="H1360" s="25"/>
      <c r="I1360" s="35" t="str">
        <f aca="false">IF($H1360="","",IFERROR(INDEX(票据归类表,MATCH($H1360,票据类型表,0)),"现金无票"))</f>
        <v/>
      </c>
      <c r="J1360" s="25"/>
      <c r="K1360" s="25"/>
      <c r="L1360" s="31"/>
      <c r="M1360" s="29" t="str">
        <f aca="false">IF($C1360="","",YEAR($C1360))</f>
        <v/>
      </c>
      <c r="N1360" s="24"/>
      <c r="O1360" s="35" t="str">
        <f aca="false">IF($C1360="","",IF($D1360="","★没选客户项目",IF(COUNTIF(合同键,$D1360)=0,"★《维保合同》里没这个项目",IF(N($G1360)&lt;=0,"★收款金额要填",IF($H1360="","★票据类型要选",IF(AND($L1360&lt;&gt;"",COUNTIF(应收单号,$L1360)=0),"★关联的应收单号不存在",IF(AND($L1360&lt;&gt;"",IFERROR(INDEX(应收键,MATCH($L1360,应收单号,0)),"")&lt;&gt;$D1360),"★关联单号不是这个客户的",IF(AND($L1360&lt;&gt;"",ROUND(SUMIF(收款关联,$L1360,收款金额)-IFERROR(INDEX(应收金额,MATCH($L1360,应收单号,0)),0),2)&gt;0.001),"★指定冲销超过那张单的应收","OK"))))))))</f>
        <v/>
      </c>
    </row>
    <row r="1361" customFormat="false" ht="15" hidden="false" customHeight="false" outlineLevel="0" collapsed="false">
      <c r="A1361" s="29" t="str">
        <f aca="false">IF($C1361="","",ROW()-4)</f>
        <v/>
      </c>
      <c r="B1361" s="35" t="str">
        <f aca="false">IF($C1361="","","SK"&amp;TEXT($C1361,"yyyymm")&amp;"-"&amp;TEXT(ROW()-4,"0000"))</f>
        <v/>
      </c>
      <c r="C1361" s="33"/>
      <c r="D1361" s="24"/>
      <c r="E1361" s="30" t="str">
        <f aca="false">IF($D1361="","",IFERROR(INDEX(合同单位,MATCH($D1361,合同键,0)),IFERROR(TRIM(LEFT($D1361,FIND("｜",$D1361)-1)),$D1361)))</f>
        <v/>
      </c>
      <c r="F1361" s="30" t="str">
        <f aca="false">IF($D1361="","",IFERROR(INDEX(合同项目,MATCH($D1361,合同键,0)),IFERROR(TRIM(MID($D1361,FIND("｜",$D1361)+1,99)),"")))</f>
        <v/>
      </c>
      <c r="G1361" s="39"/>
      <c r="H1361" s="25"/>
      <c r="I1361" s="35" t="str">
        <f aca="false">IF($H1361="","",IFERROR(INDEX(票据归类表,MATCH($H1361,票据类型表,0)),"现金无票"))</f>
        <v/>
      </c>
      <c r="J1361" s="25"/>
      <c r="K1361" s="25"/>
      <c r="L1361" s="31"/>
      <c r="M1361" s="29" t="str">
        <f aca="false">IF($C1361="","",YEAR($C1361))</f>
        <v/>
      </c>
      <c r="N1361" s="24"/>
      <c r="O1361" s="35" t="str">
        <f aca="false">IF($C1361="","",IF($D1361="","★没选客户项目",IF(COUNTIF(合同键,$D1361)=0,"★《维保合同》里没这个项目",IF(N($G1361)&lt;=0,"★收款金额要填",IF($H1361="","★票据类型要选",IF(AND($L1361&lt;&gt;"",COUNTIF(应收单号,$L1361)=0),"★关联的应收单号不存在",IF(AND($L1361&lt;&gt;"",IFERROR(INDEX(应收键,MATCH($L1361,应收单号,0)),"")&lt;&gt;$D1361),"★关联单号不是这个客户的",IF(AND($L1361&lt;&gt;"",ROUND(SUMIF(收款关联,$L1361,收款金额)-IFERROR(INDEX(应收金额,MATCH($L1361,应收单号,0)),0),2)&gt;0.001),"★指定冲销超过那张单的应收","OK"))))))))</f>
        <v/>
      </c>
    </row>
    <row r="1362" customFormat="false" ht="15" hidden="false" customHeight="false" outlineLevel="0" collapsed="false">
      <c r="A1362" s="29" t="str">
        <f aca="false">IF($C1362="","",ROW()-4)</f>
        <v/>
      </c>
      <c r="B1362" s="35" t="str">
        <f aca="false">IF($C1362="","","SK"&amp;TEXT($C1362,"yyyymm")&amp;"-"&amp;TEXT(ROW()-4,"0000"))</f>
        <v/>
      </c>
      <c r="C1362" s="33"/>
      <c r="D1362" s="24"/>
      <c r="E1362" s="30" t="str">
        <f aca="false">IF($D1362="","",IFERROR(INDEX(合同单位,MATCH($D1362,合同键,0)),IFERROR(TRIM(LEFT($D1362,FIND("｜",$D1362)-1)),$D1362)))</f>
        <v/>
      </c>
      <c r="F1362" s="30" t="str">
        <f aca="false">IF($D1362="","",IFERROR(INDEX(合同项目,MATCH($D1362,合同键,0)),IFERROR(TRIM(MID($D1362,FIND("｜",$D1362)+1,99)),"")))</f>
        <v/>
      </c>
      <c r="G1362" s="39"/>
      <c r="H1362" s="25"/>
      <c r="I1362" s="35" t="str">
        <f aca="false">IF($H1362="","",IFERROR(INDEX(票据归类表,MATCH($H1362,票据类型表,0)),"现金无票"))</f>
        <v/>
      </c>
      <c r="J1362" s="25"/>
      <c r="K1362" s="25"/>
      <c r="L1362" s="31"/>
      <c r="M1362" s="29" t="str">
        <f aca="false">IF($C1362="","",YEAR($C1362))</f>
        <v/>
      </c>
      <c r="N1362" s="24"/>
      <c r="O1362" s="35" t="str">
        <f aca="false">IF($C1362="","",IF($D1362="","★没选客户项目",IF(COUNTIF(合同键,$D1362)=0,"★《维保合同》里没这个项目",IF(N($G1362)&lt;=0,"★收款金额要填",IF($H1362="","★票据类型要选",IF(AND($L1362&lt;&gt;"",COUNTIF(应收单号,$L1362)=0),"★关联的应收单号不存在",IF(AND($L1362&lt;&gt;"",IFERROR(INDEX(应收键,MATCH($L1362,应收单号,0)),"")&lt;&gt;$D1362),"★关联单号不是这个客户的",IF(AND($L1362&lt;&gt;"",ROUND(SUMIF(收款关联,$L1362,收款金额)-IFERROR(INDEX(应收金额,MATCH($L1362,应收单号,0)),0),2)&gt;0.001),"★指定冲销超过那张单的应收","OK"))))))))</f>
        <v/>
      </c>
    </row>
    <row r="1363" customFormat="false" ht="15" hidden="false" customHeight="false" outlineLevel="0" collapsed="false">
      <c r="A1363" s="29" t="str">
        <f aca="false">IF($C1363="","",ROW()-4)</f>
        <v/>
      </c>
      <c r="B1363" s="35" t="str">
        <f aca="false">IF($C1363="","","SK"&amp;TEXT($C1363,"yyyymm")&amp;"-"&amp;TEXT(ROW()-4,"0000"))</f>
        <v/>
      </c>
      <c r="C1363" s="33"/>
      <c r="D1363" s="24"/>
      <c r="E1363" s="30" t="str">
        <f aca="false">IF($D1363="","",IFERROR(INDEX(合同单位,MATCH($D1363,合同键,0)),IFERROR(TRIM(LEFT($D1363,FIND("｜",$D1363)-1)),$D1363)))</f>
        <v/>
      </c>
      <c r="F1363" s="30" t="str">
        <f aca="false">IF($D1363="","",IFERROR(INDEX(合同项目,MATCH($D1363,合同键,0)),IFERROR(TRIM(MID($D1363,FIND("｜",$D1363)+1,99)),"")))</f>
        <v/>
      </c>
      <c r="G1363" s="39"/>
      <c r="H1363" s="25"/>
      <c r="I1363" s="35" t="str">
        <f aca="false">IF($H1363="","",IFERROR(INDEX(票据归类表,MATCH($H1363,票据类型表,0)),"现金无票"))</f>
        <v/>
      </c>
      <c r="J1363" s="25"/>
      <c r="K1363" s="25"/>
      <c r="L1363" s="31"/>
      <c r="M1363" s="29" t="str">
        <f aca="false">IF($C1363="","",YEAR($C1363))</f>
        <v/>
      </c>
      <c r="N1363" s="24"/>
      <c r="O1363" s="35" t="str">
        <f aca="false">IF($C1363="","",IF($D1363="","★没选客户项目",IF(COUNTIF(合同键,$D1363)=0,"★《维保合同》里没这个项目",IF(N($G1363)&lt;=0,"★收款金额要填",IF($H1363="","★票据类型要选",IF(AND($L1363&lt;&gt;"",COUNTIF(应收单号,$L1363)=0),"★关联的应收单号不存在",IF(AND($L1363&lt;&gt;"",IFERROR(INDEX(应收键,MATCH($L1363,应收单号,0)),"")&lt;&gt;$D1363),"★关联单号不是这个客户的",IF(AND($L1363&lt;&gt;"",ROUND(SUMIF(收款关联,$L1363,收款金额)-IFERROR(INDEX(应收金额,MATCH($L1363,应收单号,0)),0),2)&gt;0.001),"★指定冲销超过那张单的应收","OK"))))))))</f>
        <v/>
      </c>
    </row>
    <row r="1364" customFormat="false" ht="15" hidden="false" customHeight="false" outlineLevel="0" collapsed="false">
      <c r="A1364" s="29" t="str">
        <f aca="false">IF($C1364="","",ROW()-4)</f>
        <v/>
      </c>
      <c r="B1364" s="35" t="str">
        <f aca="false">IF($C1364="","","SK"&amp;TEXT($C1364,"yyyymm")&amp;"-"&amp;TEXT(ROW()-4,"0000"))</f>
        <v/>
      </c>
      <c r="C1364" s="33"/>
      <c r="D1364" s="24"/>
      <c r="E1364" s="30" t="str">
        <f aca="false">IF($D1364="","",IFERROR(INDEX(合同单位,MATCH($D1364,合同键,0)),IFERROR(TRIM(LEFT($D1364,FIND("｜",$D1364)-1)),$D1364)))</f>
        <v/>
      </c>
      <c r="F1364" s="30" t="str">
        <f aca="false">IF($D1364="","",IFERROR(INDEX(合同项目,MATCH($D1364,合同键,0)),IFERROR(TRIM(MID($D1364,FIND("｜",$D1364)+1,99)),"")))</f>
        <v/>
      </c>
      <c r="G1364" s="39"/>
      <c r="H1364" s="25"/>
      <c r="I1364" s="35" t="str">
        <f aca="false">IF($H1364="","",IFERROR(INDEX(票据归类表,MATCH($H1364,票据类型表,0)),"现金无票"))</f>
        <v/>
      </c>
      <c r="J1364" s="25"/>
      <c r="K1364" s="25"/>
      <c r="L1364" s="31"/>
      <c r="M1364" s="29" t="str">
        <f aca="false">IF($C1364="","",YEAR($C1364))</f>
        <v/>
      </c>
      <c r="N1364" s="24"/>
      <c r="O1364" s="35" t="str">
        <f aca="false">IF($C1364="","",IF($D1364="","★没选客户项目",IF(COUNTIF(合同键,$D1364)=0,"★《维保合同》里没这个项目",IF(N($G1364)&lt;=0,"★收款金额要填",IF($H1364="","★票据类型要选",IF(AND($L1364&lt;&gt;"",COUNTIF(应收单号,$L1364)=0),"★关联的应收单号不存在",IF(AND($L1364&lt;&gt;"",IFERROR(INDEX(应收键,MATCH($L1364,应收单号,0)),"")&lt;&gt;$D1364),"★关联单号不是这个客户的",IF(AND($L1364&lt;&gt;"",ROUND(SUMIF(收款关联,$L1364,收款金额)-IFERROR(INDEX(应收金额,MATCH($L1364,应收单号,0)),0),2)&gt;0.001),"★指定冲销超过那张单的应收","OK"))))))))</f>
        <v/>
      </c>
    </row>
    <row r="1365" customFormat="false" ht="15" hidden="false" customHeight="false" outlineLevel="0" collapsed="false">
      <c r="A1365" s="29" t="str">
        <f aca="false">IF($C1365="","",ROW()-4)</f>
        <v/>
      </c>
      <c r="B1365" s="35" t="str">
        <f aca="false">IF($C1365="","","SK"&amp;TEXT($C1365,"yyyymm")&amp;"-"&amp;TEXT(ROW()-4,"0000"))</f>
        <v/>
      </c>
      <c r="C1365" s="33"/>
      <c r="D1365" s="24"/>
      <c r="E1365" s="30" t="str">
        <f aca="false">IF($D1365="","",IFERROR(INDEX(合同单位,MATCH($D1365,合同键,0)),IFERROR(TRIM(LEFT($D1365,FIND("｜",$D1365)-1)),$D1365)))</f>
        <v/>
      </c>
      <c r="F1365" s="30" t="str">
        <f aca="false">IF($D1365="","",IFERROR(INDEX(合同项目,MATCH($D1365,合同键,0)),IFERROR(TRIM(MID($D1365,FIND("｜",$D1365)+1,99)),"")))</f>
        <v/>
      </c>
      <c r="G1365" s="39"/>
      <c r="H1365" s="25"/>
      <c r="I1365" s="35" t="str">
        <f aca="false">IF($H1365="","",IFERROR(INDEX(票据归类表,MATCH($H1365,票据类型表,0)),"现金无票"))</f>
        <v/>
      </c>
      <c r="J1365" s="25"/>
      <c r="K1365" s="25"/>
      <c r="L1365" s="31"/>
      <c r="M1365" s="29" t="str">
        <f aca="false">IF($C1365="","",YEAR($C1365))</f>
        <v/>
      </c>
      <c r="N1365" s="24"/>
      <c r="O1365" s="35" t="str">
        <f aca="false">IF($C1365="","",IF($D1365="","★没选客户项目",IF(COUNTIF(合同键,$D1365)=0,"★《维保合同》里没这个项目",IF(N($G1365)&lt;=0,"★收款金额要填",IF($H1365="","★票据类型要选",IF(AND($L1365&lt;&gt;"",COUNTIF(应收单号,$L1365)=0),"★关联的应收单号不存在",IF(AND($L1365&lt;&gt;"",IFERROR(INDEX(应收键,MATCH($L1365,应收单号,0)),"")&lt;&gt;$D1365),"★关联单号不是这个客户的",IF(AND($L1365&lt;&gt;"",ROUND(SUMIF(收款关联,$L1365,收款金额)-IFERROR(INDEX(应收金额,MATCH($L1365,应收单号,0)),0),2)&gt;0.001),"★指定冲销超过那张单的应收","OK"))))))))</f>
        <v/>
      </c>
    </row>
    <row r="1366" customFormat="false" ht="15" hidden="false" customHeight="false" outlineLevel="0" collapsed="false">
      <c r="A1366" s="29" t="str">
        <f aca="false">IF($C1366="","",ROW()-4)</f>
        <v/>
      </c>
      <c r="B1366" s="35" t="str">
        <f aca="false">IF($C1366="","","SK"&amp;TEXT($C1366,"yyyymm")&amp;"-"&amp;TEXT(ROW()-4,"0000"))</f>
        <v/>
      </c>
      <c r="C1366" s="33"/>
      <c r="D1366" s="24"/>
      <c r="E1366" s="30" t="str">
        <f aca="false">IF($D1366="","",IFERROR(INDEX(合同单位,MATCH($D1366,合同键,0)),IFERROR(TRIM(LEFT($D1366,FIND("｜",$D1366)-1)),$D1366)))</f>
        <v/>
      </c>
      <c r="F1366" s="30" t="str">
        <f aca="false">IF($D1366="","",IFERROR(INDEX(合同项目,MATCH($D1366,合同键,0)),IFERROR(TRIM(MID($D1366,FIND("｜",$D1366)+1,99)),"")))</f>
        <v/>
      </c>
      <c r="G1366" s="39"/>
      <c r="H1366" s="25"/>
      <c r="I1366" s="35" t="str">
        <f aca="false">IF($H1366="","",IFERROR(INDEX(票据归类表,MATCH($H1366,票据类型表,0)),"现金无票"))</f>
        <v/>
      </c>
      <c r="J1366" s="25"/>
      <c r="K1366" s="25"/>
      <c r="L1366" s="31"/>
      <c r="M1366" s="29" t="str">
        <f aca="false">IF($C1366="","",YEAR($C1366))</f>
        <v/>
      </c>
      <c r="N1366" s="24"/>
      <c r="O1366" s="35" t="str">
        <f aca="false">IF($C1366="","",IF($D1366="","★没选客户项目",IF(COUNTIF(合同键,$D1366)=0,"★《维保合同》里没这个项目",IF(N($G1366)&lt;=0,"★收款金额要填",IF($H1366="","★票据类型要选",IF(AND($L1366&lt;&gt;"",COUNTIF(应收单号,$L1366)=0),"★关联的应收单号不存在",IF(AND($L1366&lt;&gt;"",IFERROR(INDEX(应收键,MATCH($L1366,应收单号,0)),"")&lt;&gt;$D1366),"★关联单号不是这个客户的",IF(AND($L1366&lt;&gt;"",ROUND(SUMIF(收款关联,$L1366,收款金额)-IFERROR(INDEX(应收金额,MATCH($L1366,应收单号,0)),0),2)&gt;0.001),"★指定冲销超过那张单的应收","OK"))))))))</f>
        <v/>
      </c>
    </row>
    <row r="1367" customFormat="false" ht="15" hidden="false" customHeight="false" outlineLevel="0" collapsed="false">
      <c r="A1367" s="29" t="str">
        <f aca="false">IF($C1367="","",ROW()-4)</f>
        <v/>
      </c>
      <c r="B1367" s="35" t="str">
        <f aca="false">IF($C1367="","","SK"&amp;TEXT($C1367,"yyyymm")&amp;"-"&amp;TEXT(ROW()-4,"0000"))</f>
        <v/>
      </c>
      <c r="C1367" s="33"/>
      <c r="D1367" s="24"/>
      <c r="E1367" s="30" t="str">
        <f aca="false">IF($D1367="","",IFERROR(INDEX(合同单位,MATCH($D1367,合同键,0)),IFERROR(TRIM(LEFT($D1367,FIND("｜",$D1367)-1)),$D1367)))</f>
        <v/>
      </c>
      <c r="F1367" s="30" t="str">
        <f aca="false">IF($D1367="","",IFERROR(INDEX(合同项目,MATCH($D1367,合同键,0)),IFERROR(TRIM(MID($D1367,FIND("｜",$D1367)+1,99)),"")))</f>
        <v/>
      </c>
      <c r="G1367" s="39"/>
      <c r="H1367" s="25"/>
      <c r="I1367" s="35" t="str">
        <f aca="false">IF($H1367="","",IFERROR(INDEX(票据归类表,MATCH($H1367,票据类型表,0)),"现金无票"))</f>
        <v/>
      </c>
      <c r="J1367" s="25"/>
      <c r="K1367" s="25"/>
      <c r="L1367" s="31"/>
      <c r="M1367" s="29" t="str">
        <f aca="false">IF($C1367="","",YEAR($C1367))</f>
        <v/>
      </c>
      <c r="N1367" s="24"/>
      <c r="O1367" s="35" t="str">
        <f aca="false">IF($C1367="","",IF($D1367="","★没选客户项目",IF(COUNTIF(合同键,$D1367)=0,"★《维保合同》里没这个项目",IF(N($G1367)&lt;=0,"★收款金额要填",IF($H1367="","★票据类型要选",IF(AND($L1367&lt;&gt;"",COUNTIF(应收单号,$L1367)=0),"★关联的应收单号不存在",IF(AND($L1367&lt;&gt;"",IFERROR(INDEX(应收键,MATCH($L1367,应收单号,0)),"")&lt;&gt;$D1367),"★关联单号不是这个客户的",IF(AND($L1367&lt;&gt;"",ROUND(SUMIF(收款关联,$L1367,收款金额)-IFERROR(INDEX(应收金额,MATCH($L1367,应收单号,0)),0),2)&gt;0.001),"★指定冲销超过那张单的应收","OK"))))))))</f>
        <v/>
      </c>
    </row>
    <row r="1368" customFormat="false" ht="15" hidden="false" customHeight="false" outlineLevel="0" collapsed="false">
      <c r="A1368" s="29" t="str">
        <f aca="false">IF($C1368="","",ROW()-4)</f>
        <v/>
      </c>
      <c r="B1368" s="35" t="str">
        <f aca="false">IF($C1368="","","SK"&amp;TEXT($C1368,"yyyymm")&amp;"-"&amp;TEXT(ROW()-4,"0000"))</f>
        <v/>
      </c>
      <c r="C1368" s="33"/>
      <c r="D1368" s="24"/>
      <c r="E1368" s="30" t="str">
        <f aca="false">IF($D1368="","",IFERROR(INDEX(合同单位,MATCH($D1368,合同键,0)),IFERROR(TRIM(LEFT($D1368,FIND("｜",$D1368)-1)),$D1368)))</f>
        <v/>
      </c>
      <c r="F1368" s="30" t="str">
        <f aca="false">IF($D1368="","",IFERROR(INDEX(合同项目,MATCH($D1368,合同键,0)),IFERROR(TRIM(MID($D1368,FIND("｜",$D1368)+1,99)),"")))</f>
        <v/>
      </c>
      <c r="G1368" s="39"/>
      <c r="H1368" s="25"/>
      <c r="I1368" s="35" t="str">
        <f aca="false">IF($H1368="","",IFERROR(INDEX(票据归类表,MATCH($H1368,票据类型表,0)),"现金无票"))</f>
        <v/>
      </c>
      <c r="J1368" s="25"/>
      <c r="K1368" s="25"/>
      <c r="L1368" s="31"/>
      <c r="M1368" s="29" t="str">
        <f aca="false">IF($C1368="","",YEAR($C1368))</f>
        <v/>
      </c>
      <c r="N1368" s="24"/>
      <c r="O1368" s="35" t="str">
        <f aca="false">IF($C1368="","",IF($D1368="","★没选客户项目",IF(COUNTIF(合同键,$D1368)=0,"★《维保合同》里没这个项目",IF(N($G1368)&lt;=0,"★收款金额要填",IF($H1368="","★票据类型要选",IF(AND($L1368&lt;&gt;"",COUNTIF(应收单号,$L1368)=0),"★关联的应收单号不存在",IF(AND($L1368&lt;&gt;"",IFERROR(INDEX(应收键,MATCH($L1368,应收单号,0)),"")&lt;&gt;$D1368),"★关联单号不是这个客户的",IF(AND($L1368&lt;&gt;"",ROUND(SUMIF(收款关联,$L1368,收款金额)-IFERROR(INDEX(应收金额,MATCH($L1368,应收单号,0)),0),2)&gt;0.001),"★指定冲销超过那张单的应收","OK"))))))))</f>
        <v/>
      </c>
    </row>
    <row r="1369" customFormat="false" ht="15" hidden="false" customHeight="false" outlineLevel="0" collapsed="false">
      <c r="A1369" s="29" t="str">
        <f aca="false">IF($C1369="","",ROW()-4)</f>
        <v/>
      </c>
      <c r="B1369" s="35" t="str">
        <f aca="false">IF($C1369="","","SK"&amp;TEXT($C1369,"yyyymm")&amp;"-"&amp;TEXT(ROW()-4,"0000"))</f>
        <v/>
      </c>
      <c r="C1369" s="33"/>
      <c r="D1369" s="24"/>
      <c r="E1369" s="30" t="str">
        <f aca="false">IF($D1369="","",IFERROR(INDEX(合同单位,MATCH($D1369,合同键,0)),IFERROR(TRIM(LEFT($D1369,FIND("｜",$D1369)-1)),$D1369)))</f>
        <v/>
      </c>
      <c r="F1369" s="30" t="str">
        <f aca="false">IF($D1369="","",IFERROR(INDEX(合同项目,MATCH($D1369,合同键,0)),IFERROR(TRIM(MID($D1369,FIND("｜",$D1369)+1,99)),"")))</f>
        <v/>
      </c>
      <c r="G1369" s="39"/>
      <c r="H1369" s="25"/>
      <c r="I1369" s="35" t="str">
        <f aca="false">IF($H1369="","",IFERROR(INDEX(票据归类表,MATCH($H1369,票据类型表,0)),"现金无票"))</f>
        <v/>
      </c>
      <c r="J1369" s="25"/>
      <c r="K1369" s="25"/>
      <c r="L1369" s="31"/>
      <c r="M1369" s="29" t="str">
        <f aca="false">IF($C1369="","",YEAR($C1369))</f>
        <v/>
      </c>
      <c r="N1369" s="24"/>
      <c r="O1369" s="35" t="str">
        <f aca="false">IF($C1369="","",IF($D1369="","★没选客户项目",IF(COUNTIF(合同键,$D1369)=0,"★《维保合同》里没这个项目",IF(N($G1369)&lt;=0,"★收款金额要填",IF($H1369="","★票据类型要选",IF(AND($L1369&lt;&gt;"",COUNTIF(应收单号,$L1369)=0),"★关联的应收单号不存在",IF(AND($L1369&lt;&gt;"",IFERROR(INDEX(应收键,MATCH($L1369,应收单号,0)),"")&lt;&gt;$D1369),"★关联单号不是这个客户的",IF(AND($L1369&lt;&gt;"",ROUND(SUMIF(收款关联,$L1369,收款金额)-IFERROR(INDEX(应收金额,MATCH($L1369,应收单号,0)),0),2)&gt;0.001),"★指定冲销超过那张单的应收","OK"))))))))</f>
        <v/>
      </c>
    </row>
    <row r="1370" customFormat="false" ht="15" hidden="false" customHeight="false" outlineLevel="0" collapsed="false">
      <c r="A1370" s="29" t="str">
        <f aca="false">IF($C1370="","",ROW()-4)</f>
        <v/>
      </c>
      <c r="B1370" s="35" t="str">
        <f aca="false">IF($C1370="","","SK"&amp;TEXT($C1370,"yyyymm")&amp;"-"&amp;TEXT(ROW()-4,"0000"))</f>
        <v/>
      </c>
      <c r="C1370" s="33"/>
      <c r="D1370" s="24"/>
      <c r="E1370" s="30" t="str">
        <f aca="false">IF($D1370="","",IFERROR(INDEX(合同单位,MATCH($D1370,合同键,0)),IFERROR(TRIM(LEFT($D1370,FIND("｜",$D1370)-1)),$D1370)))</f>
        <v/>
      </c>
      <c r="F1370" s="30" t="str">
        <f aca="false">IF($D1370="","",IFERROR(INDEX(合同项目,MATCH($D1370,合同键,0)),IFERROR(TRIM(MID($D1370,FIND("｜",$D1370)+1,99)),"")))</f>
        <v/>
      </c>
      <c r="G1370" s="39"/>
      <c r="H1370" s="25"/>
      <c r="I1370" s="35" t="str">
        <f aca="false">IF($H1370="","",IFERROR(INDEX(票据归类表,MATCH($H1370,票据类型表,0)),"现金无票"))</f>
        <v/>
      </c>
      <c r="J1370" s="25"/>
      <c r="K1370" s="25"/>
      <c r="L1370" s="31"/>
      <c r="M1370" s="29" t="str">
        <f aca="false">IF($C1370="","",YEAR($C1370))</f>
        <v/>
      </c>
      <c r="N1370" s="24"/>
      <c r="O1370" s="35" t="str">
        <f aca="false">IF($C1370="","",IF($D1370="","★没选客户项目",IF(COUNTIF(合同键,$D1370)=0,"★《维保合同》里没这个项目",IF(N($G1370)&lt;=0,"★收款金额要填",IF($H1370="","★票据类型要选",IF(AND($L1370&lt;&gt;"",COUNTIF(应收单号,$L1370)=0),"★关联的应收单号不存在",IF(AND($L1370&lt;&gt;"",IFERROR(INDEX(应收键,MATCH($L1370,应收单号,0)),"")&lt;&gt;$D1370),"★关联单号不是这个客户的",IF(AND($L1370&lt;&gt;"",ROUND(SUMIF(收款关联,$L1370,收款金额)-IFERROR(INDEX(应收金额,MATCH($L1370,应收单号,0)),0),2)&gt;0.001),"★指定冲销超过那张单的应收","OK"))))))))</f>
        <v/>
      </c>
    </row>
    <row r="1371" customFormat="false" ht="15" hidden="false" customHeight="false" outlineLevel="0" collapsed="false">
      <c r="A1371" s="29" t="str">
        <f aca="false">IF($C1371="","",ROW()-4)</f>
        <v/>
      </c>
      <c r="B1371" s="35" t="str">
        <f aca="false">IF($C1371="","","SK"&amp;TEXT($C1371,"yyyymm")&amp;"-"&amp;TEXT(ROW()-4,"0000"))</f>
        <v/>
      </c>
      <c r="C1371" s="33"/>
      <c r="D1371" s="24"/>
      <c r="E1371" s="30" t="str">
        <f aca="false">IF($D1371="","",IFERROR(INDEX(合同单位,MATCH($D1371,合同键,0)),IFERROR(TRIM(LEFT($D1371,FIND("｜",$D1371)-1)),$D1371)))</f>
        <v/>
      </c>
      <c r="F1371" s="30" t="str">
        <f aca="false">IF($D1371="","",IFERROR(INDEX(合同项目,MATCH($D1371,合同键,0)),IFERROR(TRIM(MID($D1371,FIND("｜",$D1371)+1,99)),"")))</f>
        <v/>
      </c>
      <c r="G1371" s="39"/>
      <c r="H1371" s="25"/>
      <c r="I1371" s="35" t="str">
        <f aca="false">IF($H1371="","",IFERROR(INDEX(票据归类表,MATCH($H1371,票据类型表,0)),"现金无票"))</f>
        <v/>
      </c>
      <c r="J1371" s="25"/>
      <c r="K1371" s="25"/>
      <c r="L1371" s="31"/>
      <c r="M1371" s="29" t="str">
        <f aca="false">IF($C1371="","",YEAR($C1371))</f>
        <v/>
      </c>
      <c r="N1371" s="24"/>
      <c r="O1371" s="35" t="str">
        <f aca="false">IF($C1371="","",IF($D1371="","★没选客户项目",IF(COUNTIF(合同键,$D1371)=0,"★《维保合同》里没这个项目",IF(N($G1371)&lt;=0,"★收款金额要填",IF($H1371="","★票据类型要选",IF(AND($L1371&lt;&gt;"",COUNTIF(应收单号,$L1371)=0),"★关联的应收单号不存在",IF(AND($L1371&lt;&gt;"",IFERROR(INDEX(应收键,MATCH($L1371,应收单号,0)),"")&lt;&gt;$D1371),"★关联单号不是这个客户的",IF(AND($L1371&lt;&gt;"",ROUND(SUMIF(收款关联,$L1371,收款金额)-IFERROR(INDEX(应收金额,MATCH($L1371,应收单号,0)),0),2)&gt;0.001),"★指定冲销超过那张单的应收","OK"))))))))</f>
        <v/>
      </c>
    </row>
    <row r="1372" customFormat="false" ht="15" hidden="false" customHeight="false" outlineLevel="0" collapsed="false">
      <c r="A1372" s="29" t="str">
        <f aca="false">IF($C1372="","",ROW()-4)</f>
        <v/>
      </c>
      <c r="B1372" s="35" t="str">
        <f aca="false">IF($C1372="","","SK"&amp;TEXT($C1372,"yyyymm")&amp;"-"&amp;TEXT(ROW()-4,"0000"))</f>
        <v/>
      </c>
      <c r="C1372" s="33"/>
      <c r="D1372" s="24"/>
      <c r="E1372" s="30" t="str">
        <f aca="false">IF($D1372="","",IFERROR(INDEX(合同单位,MATCH($D1372,合同键,0)),IFERROR(TRIM(LEFT($D1372,FIND("｜",$D1372)-1)),$D1372)))</f>
        <v/>
      </c>
      <c r="F1372" s="30" t="str">
        <f aca="false">IF($D1372="","",IFERROR(INDEX(合同项目,MATCH($D1372,合同键,0)),IFERROR(TRIM(MID($D1372,FIND("｜",$D1372)+1,99)),"")))</f>
        <v/>
      </c>
      <c r="G1372" s="39"/>
      <c r="H1372" s="25"/>
      <c r="I1372" s="35" t="str">
        <f aca="false">IF($H1372="","",IFERROR(INDEX(票据归类表,MATCH($H1372,票据类型表,0)),"现金无票"))</f>
        <v/>
      </c>
      <c r="J1372" s="25"/>
      <c r="K1372" s="25"/>
      <c r="L1372" s="31"/>
      <c r="M1372" s="29" t="str">
        <f aca="false">IF($C1372="","",YEAR($C1372))</f>
        <v/>
      </c>
      <c r="N1372" s="24"/>
      <c r="O1372" s="35" t="str">
        <f aca="false">IF($C1372="","",IF($D1372="","★没选客户项目",IF(COUNTIF(合同键,$D1372)=0,"★《维保合同》里没这个项目",IF(N($G1372)&lt;=0,"★收款金额要填",IF($H1372="","★票据类型要选",IF(AND($L1372&lt;&gt;"",COUNTIF(应收单号,$L1372)=0),"★关联的应收单号不存在",IF(AND($L1372&lt;&gt;"",IFERROR(INDEX(应收键,MATCH($L1372,应收单号,0)),"")&lt;&gt;$D1372),"★关联单号不是这个客户的",IF(AND($L1372&lt;&gt;"",ROUND(SUMIF(收款关联,$L1372,收款金额)-IFERROR(INDEX(应收金额,MATCH($L1372,应收单号,0)),0),2)&gt;0.001),"★指定冲销超过那张单的应收","OK"))))))))</f>
        <v/>
      </c>
    </row>
    <row r="1373" customFormat="false" ht="15" hidden="false" customHeight="false" outlineLevel="0" collapsed="false">
      <c r="A1373" s="29" t="str">
        <f aca="false">IF($C1373="","",ROW()-4)</f>
        <v/>
      </c>
      <c r="B1373" s="35" t="str">
        <f aca="false">IF($C1373="","","SK"&amp;TEXT($C1373,"yyyymm")&amp;"-"&amp;TEXT(ROW()-4,"0000"))</f>
        <v/>
      </c>
      <c r="C1373" s="33"/>
      <c r="D1373" s="24"/>
      <c r="E1373" s="30" t="str">
        <f aca="false">IF($D1373="","",IFERROR(INDEX(合同单位,MATCH($D1373,合同键,0)),IFERROR(TRIM(LEFT($D1373,FIND("｜",$D1373)-1)),$D1373)))</f>
        <v/>
      </c>
      <c r="F1373" s="30" t="str">
        <f aca="false">IF($D1373="","",IFERROR(INDEX(合同项目,MATCH($D1373,合同键,0)),IFERROR(TRIM(MID($D1373,FIND("｜",$D1373)+1,99)),"")))</f>
        <v/>
      </c>
      <c r="G1373" s="39"/>
      <c r="H1373" s="25"/>
      <c r="I1373" s="35" t="str">
        <f aca="false">IF($H1373="","",IFERROR(INDEX(票据归类表,MATCH($H1373,票据类型表,0)),"现金无票"))</f>
        <v/>
      </c>
      <c r="J1373" s="25"/>
      <c r="K1373" s="25"/>
      <c r="L1373" s="31"/>
      <c r="M1373" s="29" t="str">
        <f aca="false">IF($C1373="","",YEAR($C1373))</f>
        <v/>
      </c>
      <c r="N1373" s="24"/>
      <c r="O1373" s="35" t="str">
        <f aca="false">IF($C1373="","",IF($D1373="","★没选客户项目",IF(COUNTIF(合同键,$D1373)=0,"★《维保合同》里没这个项目",IF(N($G1373)&lt;=0,"★收款金额要填",IF($H1373="","★票据类型要选",IF(AND($L1373&lt;&gt;"",COUNTIF(应收单号,$L1373)=0),"★关联的应收单号不存在",IF(AND($L1373&lt;&gt;"",IFERROR(INDEX(应收键,MATCH($L1373,应收单号,0)),"")&lt;&gt;$D1373),"★关联单号不是这个客户的",IF(AND($L1373&lt;&gt;"",ROUND(SUMIF(收款关联,$L1373,收款金额)-IFERROR(INDEX(应收金额,MATCH($L1373,应收单号,0)),0),2)&gt;0.001),"★指定冲销超过那张单的应收","OK"))))))))</f>
        <v/>
      </c>
    </row>
    <row r="1374" customFormat="false" ht="15" hidden="false" customHeight="false" outlineLevel="0" collapsed="false">
      <c r="A1374" s="29" t="str">
        <f aca="false">IF($C1374="","",ROW()-4)</f>
        <v/>
      </c>
      <c r="B1374" s="35" t="str">
        <f aca="false">IF($C1374="","","SK"&amp;TEXT($C1374,"yyyymm")&amp;"-"&amp;TEXT(ROW()-4,"0000"))</f>
        <v/>
      </c>
      <c r="C1374" s="33"/>
      <c r="D1374" s="24"/>
      <c r="E1374" s="30" t="str">
        <f aca="false">IF($D1374="","",IFERROR(INDEX(合同单位,MATCH($D1374,合同键,0)),IFERROR(TRIM(LEFT($D1374,FIND("｜",$D1374)-1)),$D1374)))</f>
        <v/>
      </c>
      <c r="F1374" s="30" t="str">
        <f aca="false">IF($D1374="","",IFERROR(INDEX(合同项目,MATCH($D1374,合同键,0)),IFERROR(TRIM(MID($D1374,FIND("｜",$D1374)+1,99)),"")))</f>
        <v/>
      </c>
      <c r="G1374" s="39"/>
      <c r="H1374" s="25"/>
      <c r="I1374" s="35" t="str">
        <f aca="false">IF($H1374="","",IFERROR(INDEX(票据归类表,MATCH($H1374,票据类型表,0)),"现金无票"))</f>
        <v/>
      </c>
      <c r="J1374" s="25"/>
      <c r="K1374" s="25"/>
      <c r="L1374" s="31"/>
      <c r="M1374" s="29" t="str">
        <f aca="false">IF($C1374="","",YEAR($C1374))</f>
        <v/>
      </c>
      <c r="N1374" s="24"/>
      <c r="O1374" s="35" t="str">
        <f aca="false">IF($C1374="","",IF($D1374="","★没选客户项目",IF(COUNTIF(合同键,$D1374)=0,"★《维保合同》里没这个项目",IF(N($G1374)&lt;=0,"★收款金额要填",IF($H1374="","★票据类型要选",IF(AND($L1374&lt;&gt;"",COUNTIF(应收单号,$L1374)=0),"★关联的应收单号不存在",IF(AND($L1374&lt;&gt;"",IFERROR(INDEX(应收键,MATCH($L1374,应收单号,0)),"")&lt;&gt;$D1374),"★关联单号不是这个客户的",IF(AND($L1374&lt;&gt;"",ROUND(SUMIF(收款关联,$L1374,收款金额)-IFERROR(INDEX(应收金额,MATCH($L1374,应收单号,0)),0),2)&gt;0.001),"★指定冲销超过那张单的应收","OK"))))))))</f>
        <v/>
      </c>
    </row>
    <row r="1375" customFormat="false" ht="15" hidden="false" customHeight="false" outlineLevel="0" collapsed="false">
      <c r="A1375" s="29" t="str">
        <f aca="false">IF($C1375="","",ROW()-4)</f>
        <v/>
      </c>
      <c r="B1375" s="35" t="str">
        <f aca="false">IF($C1375="","","SK"&amp;TEXT($C1375,"yyyymm")&amp;"-"&amp;TEXT(ROW()-4,"0000"))</f>
        <v/>
      </c>
      <c r="C1375" s="33"/>
      <c r="D1375" s="24"/>
      <c r="E1375" s="30" t="str">
        <f aca="false">IF($D1375="","",IFERROR(INDEX(合同单位,MATCH($D1375,合同键,0)),IFERROR(TRIM(LEFT($D1375,FIND("｜",$D1375)-1)),$D1375)))</f>
        <v/>
      </c>
      <c r="F1375" s="30" t="str">
        <f aca="false">IF($D1375="","",IFERROR(INDEX(合同项目,MATCH($D1375,合同键,0)),IFERROR(TRIM(MID($D1375,FIND("｜",$D1375)+1,99)),"")))</f>
        <v/>
      </c>
      <c r="G1375" s="39"/>
      <c r="H1375" s="25"/>
      <c r="I1375" s="35" t="str">
        <f aca="false">IF($H1375="","",IFERROR(INDEX(票据归类表,MATCH($H1375,票据类型表,0)),"现金无票"))</f>
        <v/>
      </c>
      <c r="J1375" s="25"/>
      <c r="K1375" s="25"/>
      <c r="L1375" s="31"/>
      <c r="M1375" s="29" t="str">
        <f aca="false">IF($C1375="","",YEAR($C1375))</f>
        <v/>
      </c>
      <c r="N1375" s="24"/>
      <c r="O1375" s="35" t="str">
        <f aca="false">IF($C1375="","",IF($D1375="","★没选客户项目",IF(COUNTIF(合同键,$D1375)=0,"★《维保合同》里没这个项目",IF(N($G1375)&lt;=0,"★收款金额要填",IF($H1375="","★票据类型要选",IF(AND($L1375&lt;&gt;"",COUNTIF(应收单号,$L1375)=0),"★关联的应收单号不存在",IF(AND($L1375&lt;&gt;"",IFERROR(INDEX(应收键,MATCH($L1375,应收单号,0)),"")&lt;&gt;$D1375),"★关联单号不是这个客户的",IF(AND($L1375&lt;&gt;"",ROUND(SUMIF(收款关联,$L1375,收款金额)-IFERROR(INDEX(应收金额,MATCH($L1375,应收单号,0)),0),2)&gt;0.001),"★指定冲销超过那张单的应收","OK"))))))))</f>
        <v/>
      </c>
    </row>
    <row r="1376" customFormat="false" ht="15" hidden="false" customHeight="false" outlineLevel="0" collapsed="false">
      <c r="A1376" s="29" t="str">
        <f aca="false">IF($C1376="","",ROW()-4)</f>
        <v/>
      </c>
      <c r="B1376" s="35" t="str">
        <f aca="false">IF($C1376="","","SK"&amp;TEXT($C1376,"yyyymm")&amp;"-"&amp;TEXT(ROW()-4,"0000"))</f>
        <v/>
      </c>
      <c r="C1376" s="33"/>
      <c r="D1376" s="24"/>
      <c r="E1376" s="30" t="str">
        <f aca="false">IF($D1376="","",IFERROR(INDEX(合同单位,MATCH($D1376,合同键,0)),IFERROR(TRIM(LEFT($D1376,FIND("｜",$D1376)-1)),$D1376)))</f>
        <v/>
      </c>
      <c r="F1376" s="30" t="str">
        <f aca="false">IF($D1376="","",IFERROR(INDEX(合同项目,MATCH($D1376,合同键,0)),IFERROR(TRIM(MID($D1376,FIND("｜",$D1376)+1,99)),"")))</f>
        <v/>
      </c>
      <c r="G1376" s="39"/>
      <c r="H1376" s="25"/>
      <c r="I1376" s="35" t="str">
        <f aca="false">IF($H1376="","",IFERROR(INDEX(票据归类表,MATCH($H1376,票据类型表,0)),"现金无票"))</f>
        <v/>
      </c>
      <c r="J1376" s="25"/>
      <c r="K1376" s="25"/>
      <c r="L1376" s="31"/>
      <c r="M1376" s="29" t="str">
        <f aca="false">IF($C1376="","",YEAR($C1376))</f>
        <v/>
      </c>
      <c r="N1376" s="24"/>
      <c r="O1376" s="35" t="str">
        <f aca="false">IF($C1376="","",IF($D1376="","★没选客户项目",IF(COUNTIF(合同键,$D1376)=0,"★《维保合同》里没这个项目",IF(N($G1376)&lt;=0,"★收款金额要填",IF($H1376="","★票据类型要选",IF(AND($L1376&lt;&gt;"",COUNTIF(应收单号,$L1376)=0),"★关联的应收单号不存在",IF(AND($L1376&lt;&gt;"",IFERROR(INDEX(应收键,MATCH($L1376,应收单号,0)),"")&lt;&gt;$D1376),"★关联单号不是这个客户的",IF(AND($L1376&lt;&gt;"",ROUND(SUMIF(收款关联,$L1376,收款金额)-IFERROR(INDEX(应收金额,MATCH($L1376,应收单号,0)),0),2)&gt;0.001),"★指定冲销超过那张单的应收","OK"))))))))</f>
        <v/>
      </c>
    </row>
    <row r="1377" customFormat="false" ht="15" hidden="false" customHeight="false" outlineLevel="0" collapsed="false">
      <c r="A1377" s="29" t="str">
        <f aca="false">IF($C1377="","",ROW()-4)</f>
        <v/>
      </c>
      <c r="B1377" s="35" t="str">
        <f aca="false">IF($C1377="","","SK"&amp;TEXT($C1377,"yyyymm")&amp;"-"&amp;TEXT(ROW()-4,"0000"))</f>
        <v/>
      </c>
      <c r="C1377" s="33"/>
      <c r="D1377" s="24"/>
      <c r="E1377" s="30" t="str">
        <f aca="false">IF($D1377="","",IFERROR(INDEX(合同单位,MATCH($D1377,合同键,0)),IFERROR(TRIM(LEFT($D1377,FIND("｜",$D1377)-1)),$D1377)))</f>
        <v/>
      </c>
      <c r="F1377" s="30" t="str">
        <f aca="false">IF($D1377="","",IFERROR(INDEX(合同项目,MATCH($D1377,合同键,0)),IFERROR(TRIM(MID($D1377,FIND("｜",$D1377)+1,99)),"")))</f>
        <v/>
      </c>
      <c r="G1377" s="39"/>
      <c r="H1377" s="25"/>
      <c r="I1377" s="35" t="str">
        <f aca="false">IF($H1377="","",IFERROR(INDEX(票据归类表,MATCH($H1377,票据类型表,0)),"现金无票"))</f>
        <v/>
      </c>
      <c r="J1377" s="25"/>
      <c r="K1377" s="25"/>
      <c r="L1377" s="31"/>
      <c r="M1377" s="29" t="str">
        <f aca="false">IF($C1377="","",YEAR($C1377))</f>
        <v/>
      </c>
      <c r="N1377" s="24"/>
      <c r="O1377" s="35" t="str">
        <f aca="false">IF($C1377="","",IF($D1377="","★没选客户项目",IF(COUNTIF(合同键,$D1377)=0,"★《维保合同》里没这个项目",IF(N($G1377)&lt;=0,"★收款金额要填",IF($H1377="","★票据类型要选",IF(AND($L1377&lt;&gt;"",COUNTIF(应收单号,$L1377)=0),"★关联的应收单号不存在",IF(AND($L1377&lt;&gt;"",IFERROR(INDEX(应收键,MATCH($L1377,应收单号,0)),"")&lt;&gt;$D1377),"★关联单号不是这个客户的",IF(AND($L1377&lt;&gt;"",ROUND(SUMIF(收款关联,$L1377,收款金额)-IFERROR(INDEX(应收金额,MATCH($L1377,应收单号,0)),0),2)&gt;0.001),"★指定冲销超过那张单的应收","OK"))))))))</f>
        <v/>
      </c>
    </row>
    <row r="1378" customFormat="false" ht="15" hidden="false" customHeight="false" outlineLevel="0" collapsed="false">
      <c r="A1378" s="29" t="str">
        <f aca="false">IF($C1378="","",ROW()-4)</f>
        <v/>
      </c>
      <c r="B1378" s="35" t="str">
        <f aca="false">IF($C1378="","","SK"&amp;TEXT($C1378,"yyyymm")&amp;"-"&amp;TEXT(ROW()-4,"0000"))</f>
        <v/>
      </c>
      <c r="C1378" s="33"/>
      <c r="D1378" s="24"/>
      <c r="E1378" s="30" t="str">
        <f aca="false">IF($D1378="","",IFERROR(INDEX(合同单位,MATCH($D1378,合同键,0)),IFERROR(TRIM(LEFT($D1378,FIND("｜",$D1378)-1)),$D1378)))</f>
        <v/>
      </c>
      <c r="F1378" s="30" t="str">
        <f aca="false">IF($D1378="","",IFERROR(INDEX(合同项目,MATCH($D1378,合同键,0)),IFERROR(TRIM(MID($D1378,FIND("｜",$D1378)+1,99)),"")))</f>
        <v/>
      </c>
      <c r="G1378" s="39"/>
      <c r="H1378" s="25"/>
      <c r="I1378" s="35" t="str">
        <f aca="false">IF($H1378="","",IFERROR(INDEX(票据归类表,MATCH($H1378,票据类型表,0)),"现金无票"))</f>
        <v/>
      </c>
      <c r="J1378" s="25"/>
      <c r="K1378" s="25"/>
      <c r="L1378" s="31"/>
      <c r="M1378" s="29" t="str">
        <f aca="false">IF($C1378="","",YEAR($C1378))</f>
        <v/>
      </c>
      <c r="N1378" s="24"/>
      <c r="O1378" s="35" t="str">
        <f aca="false">IF($C1378="","",IF($D1378="","★没选客户项目",IF(COUNTIF(合同键,$D1378)=0,"★《维保合同》里没这个项目",IF(N($G1378)&lt;=0,"★收款金额要填",IF($H1378="","★票据类型要选",IF(AND($L1378&lt;&gt;"",COUNTIF(应收单号,$L1378)=0),"★关联的应收单号不存在",IF(AND($L1378&lt;&gt;"",IFERROR(INDEX(应收键,MATCH($L1378,应收单号,0)),"")&lt;&gt;$D1378),"★关联单号不是这个客户的",IF(AND($L1378&lt;&gt;"",ROUND(SUMIF(收款关联,$L1378,收款金额)-IFERROR(INDEX(应收金额,MATCH($L1378,应收单号,0)),0),2)&gt;0.001),"★指定冲销超过那张单的应收","OK"))))))))</f>
        <v/>
      </c>
    </row>
    <row r="1379" customFormat="false" ht="15" hidden="false" customHeight="false" outlineLevel="0" collapsed="false">
      <c r="A1379" s="29" t="str">
        <f aca="false">IF($C1379="","",ROW()-4)</f>
        <v/>
      </c>
      <c r="B1379" s="35" t="str">
        <f aca="false">IF($C1379="","","SK"&amp;TEXT($C1379,"yyyymm")&amp;"-"&amp;TEXT(ROW()-4,"0000"))</f>
        <v/>
      </c>
      <c r="C1379" s="33"/>
      <c r="D1379" s="24"/>
      <c r="E1379" s="30" t="str">
        <f aca="false">IF($D1379="","",IFERROR(INDEX(合同单位,MATCH($D1379,合同键,0)),IFERROR(TRIM(LEFT($D1379,FIND("｜",$D1379)-1)),$D1379)))</f>
        <v/>
      </c>
      <c r="F1379" s="30" t="str">
        <f aca="false">IF($D1379="","",IFERROR(INDEX(合同项目,MATCH($D1379,合同键,0)),IFERROR(TRIM(MID($D1379,FIND("｜",$D1379)+1,99)),"")))</f>
        <v/>
      </c>
      <c r="G1379" s="39"/>
      <c r="H1379" s="25"/>
      <c r="I1379" s="35" t="str">
        <f aca="false">IF($H1379="","",IFERROR(INDEX(票据归类表,MATCH($H1379,票据类型表,0)),"现金无票"))</f>
        <v/>
      </c>
      <c r="J1379" s="25"/>
      <c r="K1379" s="25"/>
      <c r="L1379" s="31"/>
      <c r="M1379" s="29" t="str">
        <f aca="false">IF($C1379="","",YEAR($C1379))</f>
        <v/>
      </c>
      <c r="N1379" s="24"/>
      <c r="O1379" s="35" t="str">
        <f aca="false">IF($C1379="","",IF($D1379="","★没选客户项目",IF(COUNTIF(合同键,$D1379)=0,"★《维保合同》里没这个项目",IF(N($G1379)&lt;=0,"★收款金额要填",IF($H1379="","★票据类型要选",IF(AND($L1379&lt;&gt;"",COUNTIF(应收单号,$L1379)=0),"★关联的应收单号不存在",IF(AND($L1379&lt;&gt;"",IFERROR(INDEX(应收键,MATCH($L1379,应收单号,0)),"")&lt;&gt;$D1379),"★关联单号不是这个客户的",IF(AND($L1379&lt;&gt;"",ROUND(SUMIF(收款关联,$L1379,收款金额)-IFERROR(INDEX(应收金额,MATCH($L1379,应收单号,0)),0),2)&gt;0.001),"★指定冲销超过那张单的应收","OK"))))))))</f>
        <v/>
      </c>
    </row>
    <row r="1380" customFormat="false" ht="15" hidden="false" customHeight="false" outlineLevel="0" collapsed="false">
      <c r="A1380" s="29" t="str">
        <f aca="false">IF($C1380="","",ROW()-4)</f>
        <v/>
      </c>
      <c r="B1380" s="35" t="str">
        <f aca="false">IF($C1380="","","SK"&amp;TEXT($C1380,"yyyymm")&amp;"-"&amp;TEXT(ROW()-4,"0000"))</f>
        <v/>
      </c>
      <c r="C1380" s="33"/>
      <c r="D1380" s="24"/>
      <c r="E1380" s="30" t="str">
        <f aca="false">IF($D1380="","",IFERROR(INDEX(合同单位,MATCH($D1380,合同键,0)),IFERROR(TRIM(LEFT($D1380,FIND("｜",$D1380)-1)),$D1380)))</f>
        <v/>
      </c>
      <c r="F1380" s="30" t="str">
        <f aca="false">IF($D1380="","",IFERROR(INDEX(合同项目,MATCH($D1380,合同键,0)),IFERROR(TRIM(MID($D1380,FIND("｜",$D1380)+1,99)),"")))</f>
        <v/>
      </c>
      <c r="G1380" s="39"/>
      <c r="H1380" s="25"/>
      <c r="I1380" s="35" t="str">
        <f aca="false">IF($H1380="","",IFERROR(INDEX(票据归类表,MATCH($H1380,票据类型表,0)),"现金无票"))</f>
        <v/>
      </c>
      <c r="J1380" s="25"/>
      <c r="K1380" s="25"/>
      <c r="L1380" s="31"/>
      <c r="M1380" s="29" t="str">
        <f aca="false">IF($C1380="","",YEAR($C1380))</f>
        <v/>
      </c>
      <c r="N1380" s="24"/>
      <c r="O1380" s="35" t="str">
        <f aca="false">IF($C1380="","",IF($D1380="","★没选客户项目",IF(COUNTIF(合同键,$D1380)=0,"★《维保合同》里没这个项目",IF(N($G1380)&lt;=0,"★收款金额要填",IF($H1380="","★票据类型要选",IF(AND($L1380&lt;&gt;"",COUNTIF(应收单号,$L1380)=0),"★关联的应收单号不存在",IF(AND($L1380&lt;&gt;"",IFERROR(INDEX(应收键,MATCH($L1380,应收单号,0)),"")&lt;&gt;$D1380),"★关联单号不是这个客户的",IF(AND($L1380&lt;&gt;"",ROUND(SUMIF(收款关联,$L1380,收款金额)-IFERROR(INDEX(应收金额,MATCH($L1380,应收单号,0)),0),2)&gt;0.001),"★指定冲销超过那张单的应收","OK"))))))))</f>
        <v/>
      </c>
    </row>
    <row r="1381" customFormat="false" ht="15" hidden="false" customHeight="false" outlineLevel="0" collapsed="false">
      <c r="A1381" s="29" t="str">
        <f aca="false">IF($C1381="","",ROW()-4)</f>
        <v/>
      </c>
      <c r="B1381" s="35" t="str">
        <f aca="false">IF($C1381="","","SK"&amp;TEXT($C1381,"yyyymm")&amp;"-"&amp;TEXT(ROW()-4,"0000"))</f>
        <v/>
      </c>
      <c r="C1381" s="33"/>
      <c r="D1381" s="24"/>
      <c r="E1381" s="30" t="str">
        <f aca="false">IF($D1381="","",IFERROR(INDEX(合同单位,MATCH($D1381,合同键,0)),IFERROR(TRIM(LEFT($D1381,FIND("｜",$D1381)-1)),$D1381)))</f>
        <v/>
      </c>
      <c r="F1381" s="30" t="str">
        <f aca="false">IF($D1381="","",IFERROR(INDEX(合同项目,MATCH($D1381,合同键,0)),IFERROR(TRIM(MID($D1381,FIND("｜",$D1381)+1,99)),"")))</f>
        <v/>
      </c>
      <c r="G1381" s="39"/>
      <c r="H1381" s="25"/>
      <c r="I1381" s="35" t="str">
        <f aca="false">IF($H1381="","",IFERROR(INDEX(票据归类表,MATCH($H1381,票据类型表,0)),"现金无票"))</f>
        <v/>
      </c>
      <c r="J1381" s="25"/>
      <c r="K1381" s="25"/>
      <c r="L1381" s="31"/>
      <c r="M1381" s="29" t="str">
        <f aca="false">IF($C1381="","",YEAR($C1381))</f>
        <v/>
      </c>
      <c r="N1381" s="24"/>
      <c r="O1381" s="35" t="str">
        <f aca="false">IF($C1381="","",IF($D1381="","★没选客户项目",IF(COUNTIF(合同键,$D1381)=0,"★《维保合同》里没这个项目",IF(N($G1381)&lt;=0,"★收款金额要填",IF($H1381="","★票据类型要选",IF(AND($L1381&lt;&gt;"",COUNTIF(应收单号,$L1381)=0),"★关联的应收单号不存在",IF(AND($L1381&lt;&gt;"",IFERROR(INDEX(应收键,MATCH($L1381,应收单号,0)),"")&lt;&gt;$D1381),"★关联单号不是这个客户的",IF(AND($L1381&lt;&gt;"",ROUND(SUMIF(收款关联,$L1381,收款金额)-IFERROR(INDEX(应收金额,MATCH($L1381,应收单号,0)),0),2)&gt;0.001),"★指定冲销超过那张单的应收","OK"))))))))</f>
        <v/>
      </c>
    </row>
    <row r="1382" customFormat="false" ht="15" hidden="false" customHeight="false" outlineLevel="0" collapsed="false">
      <c r="A1382" s="29" t="str">
        <f aca="false">IF($C1382="","",ROW()-4)</f>
        <v/>
      </c>
      <c r="B1382" s="35" t="str">
        <f aca="false">IF($C1382="","","SK"&amp;TEXT($C1382,"yyyymm")&amp;"-"&amp;TEXT(ROW()-4,"0000"))</f>
        <v/>
      </c>
      <c r="C1382" s="33"/>
      <c r="D1382" s="24"/>
      <c r="E1382" s="30" t="str">
        <f aca="false">IF($D1382="","",IFERROR(INDEX(合同单位,MATCH($D1382,合同键,0)),IFERROR(TRIM(LEFT($D1382,FIND("｜",$D1382)-1)),$D1382)))</f>
        <v/>
      </c>
      <c r="F1382" s="30" t="str">
        <f aca="false">IF($D1382="","",IFERROR(INDEX(合同项目,MATCH($D1382,合同键,0)),IFERROR(TRIM(MID($D1382,FIND("｜",$D1382)+1,99)),"")))</f>
        <v/>
      </c>
      <c r="G1382" s="39"/>
      <c r="H1382" s="25"/>
      <c r="I1382" s="35" t="str">
        <f aca="false">IF($H1382="","",IFERROR(INDEX(票据归类表,MATCH($H1382,票据类型表,0)),"现金无票"))</f>
        <v/>
      </c>
      <c r="J1382" s="25"/>
      <c r="K1382" s="25"/>
      <c r="L1382" s="31"/>
      <c r="M1382" s="29" t="str">
        <f aca="false">IF($C1382="","",YEAR($C1382))</f>
        <v/>
      </c>
      <c r="N1382" s="24"/>
      <c r="O1382" s="35" t="str">
        <f aca="false">IF($C1382="","",IF($D1382="","★没选客户项目",IF(COUNTIF(合同键,$D1382)=0,"★《维保合同》里没这个项目",IF(N($G1382)&lt;=0,"★收款金额要填",IF($H1382="","★票据类型要选",IF(AND($L1382&lt;&gt;"",COUNTIF(应收单号,$L1382)=0),"★关联的应收单号不存在",IF(AND($L1382&lt;&gt;"",IFERROR(INDEX(应收键,MATCH($L1382,应收单号,0)),"")&lt;&gt;$D1382),"★关联单号不是这个客户的",IF(AND($L1382&lt;&gt;"",ROUND(SUMIF(收款关联,$L1382,收款金额)-IFERROR(INDEX(应收金额,MATCH($L1382,应收单号,0)),0),2)&gt;0.001),"★指定冲销超过那张单的应收","OK"))))))))</f>
        <v/>
      </c>
    </row>
    <row r="1383" customFormat="false" ht="15" hidden="false" customHeight="false" outlineLevel="0" collapsed="false">
      <c r="A1383" s="29" t="str">
        <f aca="false">IF($C1383="","",ROW()-4)</f>
        <v/>
      </c>
      <c r="B1383" s="35" t="str">
        <f aca="false">IF($C1383="","","SK"&amp;TEXT($C1383,"yyyymm")&amp;"-"&amp;TEXT(ROW()-4,"0000"))</f>
        <v/>
      </c>
      <c r="C1383" s="33"/>
      <c r="D1383" s="24"/>
      <c r="E1383" s="30" t="str">
        <f aca="false">IF($D1383="","",IFERROR(INDEX(合同单位,MATCH($D1383,合同键,0)),IFERROR(TRIM(LEFT($D1383,FIND("｜",$D1383)-1)),$D1383)))</f>
        <v/>
      </c>
      <c r="F1383" s="30" t="str">
        <f aca="false">IF($D1383="","",IFERROR(INDEX(合同项目,MATCH($D1383,合同键,0)),IFERROR(TRIM(MID($D1383,FIND("｜",$D1383)+1,99)),"")))</f>
        <v/>
      </c>
      <c r="G1383" s="39"/>
      <c r="H1383" s="25"/>
      <c r="I1383" s="35" t="str">
        <f aca="false">IF($H1383="","",IFERROR(INDEX(票据归类表,MATCH($H1383,票据类型表,0)),"现金无票"))</f>
        <v/>
      </c>
      <c r="J1383" s="25"/>
      <c r="K1383" s="25"/>
      <c r="L1383" s="31"/>
      <c r="M1383" s="29" t="str">
        <f aca="false">IF($C1383="","",YEAR($C1383))</f>
        <v/>
      </c>
      <c r="N1383" s="24"/>
      <c r="O1383" s="35" t="str">
        <f aca="false">IF($C1383="","",IF($D1383="","★没选客户项目",IF(COUNTIF(合同键,$D1383)=0,"★《维保合同》里没这个项目",IF(N($G1383)&lt;=0,"★收款金额要填",IF($H1383="","★票据类型要选",IF(AND($L1383&lt;&gt;"",COUNTIF(应收单号,$L1383)=0),"★关联的应收单号不存在",IF(AND($L1383&lt;&gt;"",IFERROR(INDEX(应收键,MATCH($L1383,应收单号,0)),"")&lt;&gt;$D1383),"★关联单号不是这个客户的",IF(AND($L1383&lt;&gt;"",ROUND(SUMIF(收款关联,$L1383,收款金额)-IFERROR(INDEX(应收金额,MATCH($L1383,应收单号,0)),0),2)&gt;0.001),"★指定冲销超过那张单的应收","OK"))))))))</f>
        <v/>
      </c>
    </row>
    <row r="1384" customFormat="false" ht="15" hidden="false" customHeight="false" outlineLevel="0" collapsed="false">
      <c r="A1384" s="29" t="str">
        <f aca="false">IF($C1384="","",ROW()-4)</f>
        <v/>
      </c>
      <c r="B1384" s="35" t="str">
        <f aca="false">IF($C1384="","","SK"&amp;TEXT($C1384,"yyyymm")&amp;"-"&amp;TEXT(ROW()-4,"0000"))</f>
        <v/>
      </c>
      <c r="C1384" s="33"/>
      <c r="D1384" s="24"/>
      <c r="E1384" s="30" t="str">
        <f aca="false">IF($D1384="","",IFERROR(INDEX(合同单位,MATCH($D1384,合同键,0)),IFERROR(TRIM(LEFT($D1384,FIND("｜",$D1384)-1)),$D1384)))</f>
        <v/>
      </c>
      <c r="F1384" s="30" t="str">
        <f aca="false">IF($D1384="","",IFERROR(INDEX(合同项目,MATCH($D1384,合同键,0)),IFERROR(TRIM(MID($D1384,FIND("｜",$D1384)+1,99)),"")))</f>
        <v/>
      </c>
      <c r="G1384" s="39"/>
      <c r="H1384" s="25"/>
      <c r="I1384" s="35" t="str">
        <f aca="false">IF($H1384="","",IFERROR(INDEX(票据归类表,MATCH($H1384,票据类型表,0)),"现金无票"))</f>
        <v/>
      </c>
      <c r="J1384" s="25"/>
      <c r="K1384" s="25"/>
      <c r="L1384" s="31"/>
      <c r="M1384" s="29" t="str">
        <f aca="false">IF($C1384="","",YEAR($C1384))</f>
        <v/>
      </c>
      <c r="N1384" s="24"/>
      <c r="O1384" s="35" t="str">
        <f aca="false">IF($C1384="","",IF($D1384="","★没选客户项目",IF(COUNTIF(合同键,$D1384)=0,"★《维保合同》里没这个项目",IF(N($G1384)&lt;=0,"★收款金额要填",IF($H1384="","★票据类型要选",IF(AND($L1384&lt;&gt;"",COUNTIF(应收单号,$L1384)=0),"★关联的应收单号不存在",IF(AND($L1384&lt;&gt;"",IFERROR(INDEX(应收键,MATCH($L1384,应收单号,0)),"")&lt;&gt;$D1384),"★关联单号不是这个客户的",IF(AND($L1384&lt;&gt;"",ROUND(SUMIF(收款关联,$L1384,收款金额)-IFERROR(INDEX(应收金额,MATCH($L1384,应收单号,0)),0),2)&gt;0.001),"★指定冲销超过那张单的应收","OK"))))))))</f>
        <v/>
      </c>
    </row>
    <row r="1385" customFormat="false" ht="15" hidden="false" customHeight="false" outlineLevel="0" collapsed="false">
      <c r="A1385" s="29" t="str">
        <f aca="false">IF($C1385="","",ROW()-4)</f>
        <v/>
      </c>
      <c r="B1385" s="35" t="str">
        <f aca="false">IF($C1385="","","SK"&amp;TEXT($C1385,"yyyymm")&amp;"-"&amp;TEXT(ROW()-4,"0000"))</f>
        <v/>
      </c>
      <c r="C1385" s="33"/>
      <c r="D1385" s="24"/>
      <c r="E1385" s="30" t="str">
        <f aca="false">IF($D1385="","",IFERROR(INDEX(合同单位,MATCH($D1385,合同键,0)),IFERROR(TRIM(LEFT($D1385,FIND("｜",$D1385)-1)),$D1385)))</f>
        <v/>
      </c>
      <c r="F1385" s="30" t="str">
        <f aca="false">IF($D1385="","",IFERROR(INDEX(合同项目,MATCH($D1385,合同键,0)),IFERROR(TRIM(MID($D1385,FIND("｜",$D1385)+1,99)),"")))</f>
        <v/>
      </c>
      <c r="G1385" s="39"/>
      <c r="H1385" s="25"/>
      <c r="I1385" s="35" t="str">
        <f aca="false">IF($H1385="","",IFERROR(INDEX(票据归类表,MATCH($H1385,票据类型表,0)),"现金无票"))</f>
        <v/>
      </c>
      <c r="J1385" s="25"/>
      <c r="K1385" s="25"/>
      <c r="L1385" s="31"/>
      <c r="M1385" s="29" t="str">
        <f aca="false">IF($C1385="","",YEAR($C1385))</f>
        <v/>
      </c>
      <c r="N1385" s="24"/>
      <c r="O1385" s="35" t="str">
        <f aca="false">IF($C1385="","",IF($D1385="","★没选客户项目",IF(COUNTIF(合同键,$D1385)=0,"★《维保合同》里没这个项目",IF(N($G1385)&lt;=0,"★收款金额要填",IF($H1385="","★票据类型要选",IF(AND($L1385&lt;&gt;"",COUNTIF(应收单号,$L1385)=0),"★关联的应收单号不存在",IF(AND($L1385&lt;&gt;"",IFERROR(INDEX(应收键,MATCH($L1385,应收单号,0)),"")&lt;&gt;$D1385),"★关联单号不是这个客户的",IF(AND($L1385&lt;&gt;"",ROUND(SUMIF(收款关联,$L1385,收款金额)-IFERROR(INDEX(应收金额,MATCH($L1385,应收单号,0)),0),2)&gt;0.001),"★指定冲销超过那张单的应收","OK"))))))))</f>
        <v/>
      </c>
    </row>
    <row r="1386" customFormat="false" ht="15" hidden="false" customHeight="false" outlineLevel="0" collapsed="false">
      <c r="A1386" s="29" t="str">
        <f aca="false">IF($C1386="","",ROW()-4)</f>
        <v/>
      </c>
      <c r="B1386" s="35" t="str">
        <f aca="false">IF($C1386="","","SK"&amp;TEXT($C1386,"yyyymm")&amp;"-"&amp;TEXT(ROW()-4,"0000"))</f>
        <v/>
      </c>
      <c r="C1386" s="33"/>
      <c r="D1386" s="24"/>
      <c r="E1386" s="30" t="str">
        <f aca="false">IF($D1386="","",IFERROR(INDEX(合同单位,MATCH($D1386,合同键,0)),IFERROR(TRIM(LEFT($D1386,FIND("｜",$D1386)-1)),$D1386)))</f>
        <v/>
      </c>
      <c r="F1386" s="30" t="str">
        <f aca="false">IF($D1386="","",IFERROR(INDEX(合同项目,MATCH($D1386,合同键,0)),IFERROR(TRIM(MID($D1386,FIND("｜",$D1386)+1,99)),"")))</f>
        <v/>
      </c>
      <c r="G1386" s="39"/>
      <c r="H1386" s="25"/>
      <c r="I1386" s="35" t="str">
        <f aca="false">IF($H1386="","",IFERROR(INDEX(票据归类表,MATCH($H1386,票据类型表,0)),"现金无票"))</f>
        <v/>
      </c>
      <c r="J1386" s="25"/>
      <c r="K1386" s="25"/>
      <c r="L1386" s="31"/>
      <c r="M1386" s="29" t="str">
        <f aca="false">IF($C1386="","",YEAR($C1386))</f>
        <v/>
      </c>
      <c r="N1386" s="24"/>
      <c r="O1386" s="35" t="str">
        <f aca="false">IF($C1386="","",IF($D1386="","★没选客户项目",IF(COUNTIF(合同键,$D1386)=0,"★《维保合同》里没这个项目",IF(N($G1386)&lt;=0,"★收款金额要填",IF($H1386="","★票据类型要选",IF(AND($L1386&lt;&gt;"",COUNTIF(应收单号,$L1386)=0),"★关联的应收单号不存在",IF(AND($L1386&lt;&gt;"",IFERROR(INDEX(应收键,MATCH($L1386,应收单号,0)),"")&lt;&gt;$D1386),"★关联单号不是这个客户的",IF(AND($L1386&lt;&gt;"",ROUND(SUMIF(收款关联,$L1386,收款金额)-IFERROR(INDEX(应收金额,MATCH($L1386,应收单号,0)),0),2)&gt;0.001),"★指定冲销超过那张单的应收","OK"))))))))</f>
        <v/>
      </c>
    </row>
    <row r="1387" customFormat="false" ht="15" hidden="false" customHeight="false" outlineLevel="0" collapsed="false">
      <c r="A1387" s="29" t="str">
        <f aca="false">IF($C1387="","",ROW()-4)</f>
        <v/>
      </c>
      <c r="B1387" s="35" t="str">
        <f aca="false">IF($C1387="","","SK"&amp;TEXT($C1387,"yyyymm")&amp;"-"&amp;TEXT(ROW()-4,"0000"))</f>
        <v/>
      </c>
      <c r="C1387" s="33"/>
      <c r="D1387" s="24"/>
      <c r="E1387" s="30" t="str">
        <f aca="false">IF($D1387="","",IFERROR(INDEX(合同单位,MATCH($D1387,合同键,0)),IFERROR(TRIM(LEFT($D1387,FIND("｜",$D1387)-1)),$D1387)))</f>
        <v/>
      </c>
      <c r="F1387" s="30" t="str">
        <f aca="false">IF($D1387="","",IFERROR(INDEX(合同项目,MATCH($D1387,合同键,0)),IFERROR(TRIM(MID($D1387,FIND("｜",$D1387)+1,99)),"")))</f>
        <v/>
      </c>
      <c r="G1387" s="39"/>
      <c r="H1387" s="25"/>
      <c r="I1387" s="35" t="str">
        <f aca="false">IF($H1387="","",IFERROR(INDEX(票据归类表,MATCH($H1387,票据类型表,0)),"现金无票"))</f>
        <v/>
      </c>
      <c r="J1387" s="25"/>
      <c r="K1387" s="25"/>
      <c r="L1387" s="31"/>
      <c r="M1387" s="29" t="str">
        <f aca="false">IF($C1387="","",YEAR($C1387))</f>
        <v/>
      </c>
      <c r="N1387" s="24"/>
      <c r="O1387" s="35" t="str">
        <f aca="false">IF($C1387="","",IF($D1387="","★没选客户项目",IF(COUNTIF(合同键,$D1387)=0,"★《维保合同》里没这个项目",IF(N($G1387)&lt;=0,"★收款金额要填",IF($H1387="","★票据类型要选",IF(AND($L1387&lt;&gt;"",COUNTIF(应收单号,$L1387)=0),"★关联的应收单号不存在",IF(AND($L1387&lt;&gt;"",IFERROR(INDEX(应收键,MATCH($L1387,应收单号,0)),"")&lt;&gt;$D1387),"★关联单号不是这个客户的",IF(AND($L1387&lt;&gt;"",ROUND(SUMIF(收款关联,$L1387,收款金额)-IFERROR(INDEX(应收金额,MATCH($L1387,应收单号,0)),0),2)&gt;0.001),"★指定冲销超过那张单的应收","OK"))))))))</f>
        <v/>
      </c>
    </row>
    <row r="1388" customFormat="false" ht="15" hidden="false" customHeight="false" outlineLevel="0" collapsed="false">
      <c r="A1388" s="29" t="str">
        <f aca="false">IF($C1388="","",ROW()-4)</f>
        <v/>
      </c>
      <c r="B1388" s="35" t="str">
        <f aca="false">IF($C1388="","","SK"&amp;TEXT($C1388,"yyyymm")&amp;"-"&amp;TEXT(ROW()-4,"0000"))</f>
        <v/>
      </c>
      <c r="C1388" s="33"/>
      <c r="D1388" s="24"/>
      <c r="E1388" s="30" t="str">
        <f aca="false">IF($D1388="","",IFERROR(INDEX(合同单位,MATCH($D1388,合同键,0)),IFERROR(TRIM(LEFT($D1388,FIND("｜",$D1388)-1)),$D1388)))</f>
        <v/>
      </c>
      <c r="F1388" s="30" t="str">
        <f aca="false">IF($D1388="","",IFERROR(INDEX(合同项目,MATCH($D1388,合同键,0)),IFERROR(TRIM(MID($D1388,FIND("｜",$D1388)+1,99)),"")))</f>
        <v/>
      </c>
      <c r="G1388" s="39"/>
      <c r="H1388" s="25"/>
      <c r="I1388" s="35" t="str">
        <f aca="false">IF($H1388="","",IFERROR(INDEX(票据归类表,MATCH($H1388,票据类型表,0)),"现金无票"))</f>
        <v/>
      </c>
      <c r="J1388" s="25"/>
      <c r="K1388" s="25"/>
      <c r="L1388" s="31"/>
      <c r="M1388" s="29" t="str">
        <f aca="false">IF($C1388="","",YEAR($C1388))</f>
        <v/>
      </c>
      <c r="N1388" s="24"/>
      <c r="O1388" s="35" t="str">
        <f aca="false">IF($C1388="","",IF($D1388="","★没选客户项目",IF(COUNTIF(合同键,$D1388)=0,"★《维保合同》里没这个项目",IF(N($G1388)&lt;=0,"★收款金额要填",IF($H1388="","★票据类型要选",IF(AND($L1388&lt;&gt;"",COUNTIF(应收单号,$L1388)=0),"★关联的应收单号不存在",IF(AND($L1388&lt;&gt;"",IFERROR(INDEX(应收键,MATCH($L1388,应收单号,0)),"")&lt;&gt;$D1388),"★关联单号不是这个客户的",IF(AND($L1388&lt;&gt;"",ROUND(SUMIF(收款关联,$L1388,收款金额)-IFERROR(INDEX(应收金额,MATCH($L1388,应收单号,0)),0),2)&gt;0.001),"★指定冲销超过那张单的应收","OK"))))))))</f>
        <v/>
      </c>
    </row>
    <row r="1389" customFormat="false" ht="15" hidden="false" customHeight="false" outlineLevel="0" collapsed="false">
      <c r="A1389" s="29" t="str">
        <f aca="false">IF($C1389="","",ROW()-4)</f>
        <v/>
      </c>
      <c r="B1389" s="35" t="str">
        <f aca="false">IF($C1389="","","SK"&amp;TEXT($C1389,"yyyymm")&amp;"-"&amp;TEXT(ROW()-4,"0000"))</f>
        <v/>
      </c>
      <c r="C1389" s="33"/>
      <c r="D1389" s="24"/>
      <c r="E1389" s="30" t="str">
        <f aca="false">IF($D1389="","",IFERROR(INDEX(合同单位,MATCH($D1389,合同键,0)),IFERROR(TRIM(LEFT($D1389,FIND("｜",$D1389)-1)),$D1389)))</f>
        <v/>
      </c>
      <c r="F1389" s="30" t="str">
        <f aca="false">IF($D1389="","",IFERROR(INDEX(合同项目,MATCH($D1389,合同键,0)),IFERROR(TRIM(MID($D1389,FIND("｜",$D1389)+1,99)),"")))</f>
        <v/>
      </c>
      <c r="G1389" s="39"/>
      <c r="H1389" s="25"/>
      <c r="I1389" s="35" t="str">
        <f aca="false">IF($H1389="","",IFERROR(INDEX(票据归类表,MATCH($H1389,票据类型表,0)),"现金无票"))</f>
        <v/>
      </c>
      <c r="J1389" s="25"/>
      <c r="K1389" s="25"/>
      <c r="L1389" s="31"/>
      <c r="M1389" s="29" t="str">
        <f aca="false">IF($C1389="","",YEAR($C1389))</f>
        <v/>
      </c>
      <c r="N1389" s="24"/>
      <c r="O1389" s="35" t="str">
        <f aca="false">IF($C1389="","",IF($D1389="","★没选客户项目",IF(COUNTIF(合同键,$D1389)=0,"★《维保合同》里没这个项目",IF(N($G1389)&lt;=0,"★收款金额要填",IF($H1389="","★票据类型要选",IF(AND($L1389&lt;&gt;"",COUNTIF(应收单号,$L1389)=0),"★关联的应收单号不存在",IF(AND($L1389&lt;&gt;"",IFERROR(INDEX(应收键,MATCH($L1389,应收单号,0)),"")&lt;&gt;$D1389),"★关联单号不是这个客户的",IF(AND($L1389&lt;&gt;"",ROUND(SUMIF(收款关联,$L1389,收款金额)-IFERROR(INDEX(应收金额,MATCH($L1389,应收单号,0)),0),2)&gt;0.001),"★指定冲销超过那张单的应收","OK"))))))))</f>
        <v/>
      </c>
    </row>
    <row r="1390" customFormat="false" ht="15" hidden="false" customHeight="false" outlineLevel="0" collapsed="false">
      <c r="A1390" s="29" t="str">
        <f aca="false">IF($C1390="","",ROW()-4)</f>
        <v/>
      </c>
      <c r="B1390" s="35" t="str">
        <f aca="false">IF($C1390="","","SK"&amp;TEXT($C1390,"yyyymm")&amp;"-"&amp;TEXT(ROW()-4,"0000"))</f>
        <v/>
      </c>
      <c r="C1390" s="33"/>
      <c r="D1390" s="24"/>
      <c r="E1390" s="30" t="str">
        <f aca="false">IF($D1390="","",IFERROR(INDEX(合同单位,MATCH($D1390,合同键,0)),IFERROR(TRIM(LEFT($D1390,FIND("｜",$D1390)-1)),$D1390)))</f>
        <v/>
      </c>
      <c r="F1390" s="30" t="str">
        <f aca="false">IF($D1390="","",IFERROR(INDEX(合同项目,MATCH($D1390,合同键,0)),IFERROR(TRIM(MID($D1390,FIND("｜",$D1390)+1,99)),"")))</f>
        <v/>
      </c>
      <c r="G1390" s="39"/>
      <c r="H1390" s="25"/>
      <c r="I1390" s="35" t="str">
        <f aca="false">IF($H1390="","",IFERROR(INDEX(票据归类表,MATCH($H1390,票据类型表,0)),"现金无票"))</f>
        <v/>
      </c>
      <c r="J1390" s="25"/>
      <c r="K1390" s="25"/>
      <c r="L1390" s="31"/>
      <c r="M1390" s="29" t="str">
        <f aca="false">IF($C1390="","",YEAR($C1390))</f>
        <v/>
      </c>
      <c r="N1390" s="24"/>
      <c r="O1390" s="35" t="str">
        <f aca="false">IF($C1390="","",IF($D1390="","★没选客户项目",IF(COUNTIF(合同键,$D1390)=0,"★《维保合同》里没这个项目",IF(N($G1390)&lt;=0,"★收款金额要填",IF($H1390="","★票据类型要选",IF(AND($L1390&lt;&gt;"",COUNTIF(应收单号,$L1390)=0),"★关联的应收单号不存在",IF(AND($L1390&lt;&gt;"",IFERROR(INDEX(应收键,MATCH($L1390,应收单号,0)),"")&lt;&gt;$D1390),"★关联单号不是这个客户的",IF(AND($L1390&lt;&gt;"",ROUND(SUMIF(收款关联,$L1390,收款金额)-IFERROR(INDEX(应收金额,MATCH($L1390,应收单号,0)),0),2)&gt;0.001),"★指定冲销超过那张单的应收","OK"))))))))</f>
        <v/>
      </c>
    </row>
    <row r="1391" customFormat="false" ht="15" hidden="false" customHeight="false" outlineLevel="0" collapsed="false">
      <c r="A1391" s="29" t="str">
        <f aca="false">IF($C1391="","",ROW()-4)</f>
        <v/>
      </c>
      <c r="B1391" s="35" t="str">
        <f aca="false">IF($C1391="","","SK"&amp;TEXT($C1391,"yyyymm")&amp;"-"&amp;TEXT(ROW()-4,"0000"))</f>
        <v/>
      </c>
      <c r="C1391" s="33"/>
      <c r="D1391" s="24"/>
      <c r="E1391" s="30" t="str">
        <f aca="false">IF($D1391="","",IFERROR(INDEX(合同单位,MATCH($D1391,合同键,0)),IFERROR(TRIM(LEFT($D1391,FIND("｜",$D1391)-1)),$D1391)))</f>
        <v/>
      </c>
      <c r="F1391" s="30" t="str">
        <f aca="false">IF($D1391="","",IFERROR(INDEX(合同项目,MATCH($D1391,合同键,0)),IFERROR(TRIM(MID($D1391,FIND("｜",$D1391)+1,99)),"")))</f>
        <v/>
      </c>
      <c r="G1391" s="39"/>
      <c r="H1391" s="25"/>
      <c r="I1391" s="35" t="str">
        <f aca="false">IF($H1391="","",IFERROR(INDEX(票据归类表,MATCH($H1391,票据类型表,0)),"现金无票"))</f>
        <v/>
      </c>
      <c r="J1391" s="25"/>
      <c r="K1391" s="25"/>
      <c r="L1391" s="31"/>
      <c r="M1391" s="29" t="str">
        <f aca="false">IF($C1391="","",YEAR($C1391))</f>
        <v/>
      </c>
      <c r="N1391" s="24"/>
      <c r="O1391" s="35" t="str">
        <f aca="false">IF($C1391="","",IF($D1391="","★没选客户项目",IF(COUNTIF(合同键,$D1391)=0,"★《维保合同》里没这个项目",IF(N($G1391)&lt;=0,"★收款金额要填",IF($H1391="","★票据类型要选",IF(AND($L1391&lt;&gt;"",COUNTIF(应收单号,$L1391)=0),"★关联的应收单号不存在",IF(AND($L1391&lt;&gt;"",IFERROR(INDEX(应收键,MATCH($L1391,应收单号,0)),"")&lt;&gt;$D1391),"★关联单号不是这个客户的",IF(AND($L1391&lt;&gt;"",ROUND(SUMIF(收款关联,$L1391,收款金额)-IFERROR(INDEX(应收金额,MATCH($L1391,应收单号,0)),0),2)&gt;0.001),"★指定冲销超过那张单的应收","OK"))))))))</f>
        <v/>
      </c>
    </row>
    <row r="1392" customFormat="false" ht="15" hidden="false" customHeight="false" outlineLevel="0" collapsed="false">
      <c r="A1392" s="29" t="str">
        <f aca="false">IF($C1392="","",ROW()-4)</f>
        <v/>
      </c>
      <c r="B1392" s="35" t="str">
        <f aca="false">IF($C1392="","","SK"&amp;TEXT($C1392,"yyyymm")&amp;"-"&amp;TEXT(ROW()-4,"0000"))</f>
        <v/>
      </c>
      <c r="C1392" s="33"/>
      <c r="D1392" s="24"/>
      <c r="E1392" s="30" t="str">
        <f aca="false">IF($D1392="","",IFERROR(INDEX(合同单位,MATCH($D1392,合同键,0)),IFERROR(TRIM(LEFT($D1392,FIND("｜",$D1392)-1)),$D1392)))</f>
        <v/>
      </c>
      <c r="F1392" s="30" t="str">
        <f aca="false">IF($D1392="","",IFERROR(INDEX(合同项目,MATCH($D1392,合同键,0)),IFERROR(TRIM(MID($D1392,FIND("｜",$D1392)+1,99)),"")))</f>
        <v/>
      </c>
      <c r="G1392" s="39"/>
      <c r="H1392" s="25"/>
      <c r="I1392" s="35" t="str">
        <f aca="false">IF($H1392="","",IFERROR(INDEX(票据归类表,MATCH($H1392,票据类型表,0)),"现金无票"))</f>
        <v/>
      </c>
      <c r="J1392" s="25"/>
      <c r="K1392" s="25"/>
      <c r="L1392" s="31"/>
      <c r="M1392" s="29" t="str">
        <f aca="false">IF($C1392="","",YEAR($C1392))</f>
        <v/>
      </c>
      <c r="N1392" s="24"/>
      <c r="O1392" s="35" t="str">
        <f aca="false">IF($C1392="","",IF($D1392="","★没选客户项目",IF(COUNTIF(合同键,$D1392)=0,"★《维保合同》里没这个项目",IF(N($G1392)&lt;=0,"★收款金额要填",IF($H1392="","★票据类型要选",IF(AND($L1392&lt;&gt;"",COUNTIF(应收单号,$L1392)=0),"★关联的应收单号不存在",IF(AND($L1392&lt;&gt;"",IFERROR(INDEX(应收键,MATCH($L1392,应收单号,0)),"")&lt;&gt;$D1392),"★关联单号不是这个客户的",IF(AND($L1392&lt;&gt;"",ROUND(SUMIF(收款关联,$L1392,收款金额)-IFERROR(INDEX(应收金额,MATCH($L1392,应收单号,0)),0),2)&gt;0.001),"★指定冲销超过那张单的应收","OK"))))))))</f>
        <v/>
      </c>
    </row>
    <row r="1393" customFormat="false" ht="15" hidden="false" customHeight="false" outlineLevel="0" collapsed="false">
      <c r="A1393" s="29" t="str">
        <f aca="false">IF($C1393="","",ROW()-4)</f>
        <v/>
      </c>
      <c r="B1393" s="35" t="str">
        <f aca="false">IF($C1393="","","SK"&amp;TEXT($C1393,"yyyymm")&amp;"-"&amp;TEXT(ROW()-4,"0000"))</f>
        <v/>
      </c>
      <c r="C1393" s="33"/>
      <c r="D1393" s="24"/>
      <c r="E1393" s="30" t="str">
        <f aca="false">IF($D1393="","",IFERROR(INDEX(合同单位,MATCH($D1393,合同键,0)),IFERROR(TRIM(LEFT($D1393,FIND("｜",$D1393)-1)),$D1393)))</f>
        <v/>
      </c>
      <c r="F1393" s="30" t="str">
        <f aca="false">IF($D1393="","",IFERROR(INDEX(合同项目,MATCH($D1393,合同键,0)),IFERROR(TRIM(MID($D1393,FIND("｜",$D1393)+1,99)),"")))</f>
        <v/>
      </c>
      <c r="G1393" s="39"/>
      <c r="H1393" s="25"/>
      <c r="I1393" s="35" t="str">
        <f aca="false">IF($H1393="","",IFERROR(INDEX(票据归类表,MATCH($H1393,票据类型表,0)),"现金无票"))</f>
        <v/>
      </c>
      <c r="J1393" s="25"/>
      <c r="K1393" s="25"/>
      <c r="L1393" s="31"/>
      <c r="M1393" s="29" t="str">
        <f aca="false">IF($C1393="","",YEAR($C1393))</f>
        <v/>
      </c>
      <c r="N1393" s="24"/>
      <c r="O1393" s="35" t="str">
        <f aca="false">IF($C1393="","",IF($D1393="","★没选客户项目",IF(COUNTIF(合同键,$D1393)=0,"★《维保合同》里没这个项目",IF(N($G1393)&lt;=0,"★收款金额要填",IF($H1393="","★票据类型要选",IF(AND($L1393&lt;&gt;"",COUNTIF(应收单号,$L1393)=0),"★关联的应收单号不存在",IF(AND($L1393&lt;&gt;"",IFERROR(INDEX(应收键,MATCH($L1393,应收单号,0)),"")&lt;&gt;$D1393),"★关联单号不是这个客户的",IF(AND($L1393&lt;&gt;"",ROUND(SUMIF(收款关联,$L1393,收款金额)-IFERROR(INDEX(应收金额,MATCH($L1393,应收单号,0)),0),2)&gt;0.001),"★指定冲销超过那张单的应收","OK"))))))))</f>
        <v/>
      </c>
    </row>
    <row r="1394" customFormat="false" ht="15" hidden="false" customHeight="false" outlineLevel="0" collapsed="false">
      <c r="A1394" s="29" t="str">
        <f aca="false">IF($C1394="","",ROW()-4)</f>
        <v/>
      </c>
      <c r="B1394" s="35" t="str">
        <f aca="false">IF($C1394="","","SK"&amp;TEXT($C1394,"yyyymm")&amp;"-"&amp;TEXT(ROW()-4,"0000"))</f>
        <v/>
      </c>
      <c r="C1394" s="33"/>
      <c r="D1394" s="24"/>
      <c r="E1394" s="30" t="str">
        <f aca="false">IF($D1394="","",IFERROR(INDEX(合同单位,MATCH($D1394,合同键,0)),IFERROR(TRIM(LEFT($D1394,FIND("｜",$D1394)-1)),$D1394)))</f>
        <v/>
      </c>
      <c r="F1394" s="30" t="str">
        <f aca="false">IF($D1394="","",IFERROR(INDEX(合同项目,MATCH($D1394,合同键,0)),IFERROR(TRIM(MID($D1394,FIND("｜",$D1394)+1,99)),"")))</f>
        <v/>
      </c>
      <c r="G1394" s="39"/>
      <c r="H1394" s="25"/>
      <c r="I1394" s="35" t="str">
        <f aca="false">IF($H1394="","",IFERROR(INDEX(票据归类表,MATCH($H1394,票据类型表,0)),"现金无票"))</f>
        <v/>
      </c>
      <c r="J1394" s="25"/>
      <c r="K1394" s="25"/>
      <c r="L1394" s="31"/>
      <c r="M1394" s="29" t="str">
        <f aca="false">IF($C1394="","",YEAR($C1394))</f>
        <v/>
      </c>
      <c r="N1394" s="24"/>
      <c r="O1394" s="35" t="str">
        <f aca="false">IF($C1394="","",IF($D1394="","★没选客户项目",IF(COUNTIF(合同键,$D1394)=0,"★《维保合同》里没这个项目",IF(N($G1394)&lt;=0,"★收款金额要填",IF($H1394="","★票据类型要选",IF(AND($L1394&lt;&gt;"",COUNTIF(应收单号,$L1394)=0),"★关联的应收单号不存在",IF(AND($L1394&lt;&gt;"",IFERROR(INDEX(应收键,MATCH($L1394,应收单号,0)),"")&lt;&gt;$D1394),"★关联单号不是这个客户的",IF(AND($L1394&lt;&gt;"",ROUND(SUMIF(收款关联,$L1394,收款金额)-IFERROR(INDEX(应收金额,MATCH($L1394,应收单号,0)),0),2)&gt;0.001),"★指定冲销超过那张单的应收","OK"))))))))</f>
        <v/>
      </c>
    </row>
    <row r="1395" customFormat="false" ht="15" hidden="false" customHeight="false" outlineLevel="0" collapsed="false">
      <c r="A1395" s="29" t="str">
        <f aca="false">IF($C1395="","",ROW()-4)</f>
        <v/>
      </c>
      <c r="B1395" s="35" t="str">
        <f aca="false">IF($C1395="","","SK"&amp;TEXT($C1395,"yyyymm")&amp;"-"&amp;TEXT(ROW()-4,"0000"))</f>
        <v/>
      </c>
      <c r="C1395" s="33"/>
      <c r="D1395" s="24"/>
      <c r="E1395" s="30" t="str">
        <f aca="false">IF($D1395="","",IFERROR(INDEX(合同单位,MATCH($D1395,合同键,0)),IFERROR(TRIM(LEFT($D1395,FIND("｜",$D1395)-1)),$D1395)))</f>
        <v/>
      </c>
      <c r="F1395" s="30" t="str">
        <f aca="false">IF($D1395="","",IFERROR(INDEX(合同项目,MATCH($D1395,合同键,0)),IFERROR(TRIM(MID($D1395,FIND("｜",$D1395)+1,99)),"")))</f>
        <v/>
      </c>
      <c r="G1395" s="39"/>
      <c r="H1395" s="25"/>
      <c r="I1395" s="35" t="str">
        <f aca="false">IF($H1395="","",IFERROR(INDEX(票据归类表,MATCH($H1395,票据类型表,0)),"现金无票"))</f>
        <v/>
      </c>
      <c r="J1395" s="25"/>
      <c r="K1395" s="25"/>
      <c r="L1395" s="31"/>
      <c r="M1395" s="29" t="str">
        <f aca="false">IF($C1395="","",YEAR($C1395))</f>
        <v/>
      </c>
      <c r="N1395" s="24"/>
      <c r="O1395" s="35" t="str">
        <f aca="false">IF($C1395="","",IF($D1395="","★没选客户项目",IF(COUNTIF(合同键,$D1395)=0,"★《维保合同》里没这个项目",IF(N($G1395)&lt;=0,"★收款金额要填",IF($H1395="","★票据类型要选",IF(AND($L1395&lt;&gt;"",COUNTIF(应收单号,$L1395)=0),"★关联的应收单号不存在",IF(AND($L1395&lt;&gt;"",IFERROR(INDEX(应收键,MATCH($L1395,应收单号,0)),"")&lt;&gt;$D1395),"★关联单号不是这个客户的",IF(AND($L1395&lt;&gt;"",ROUND(SUMIF(收款关联,$L1395,收款金额)-IFERROR(INDEX(应收金额,MATCH($L1395,应收单号,0)),0),2)&gt;0.001),"★指定冲销超过那张单的应收","OK"))))))))</f>
        <v/>
      </c>
    </row>
    <row r="1396" customFormat="false" ht="15" hidden="false" customHeight="false" outlineLevel="0" collapsed="false">
      <c r="A1396" s="29" t="str">
        <f aca="false">IF($C1396="","",ROW()-4)</f>
        <v/>
      </c>
      <c r="B1396" s="35" t="str">
        <f aca="false">IF($C1396="","","SK"&amp;TEXT($C1396,"yyyymm")&amp;"-"&amp;TEXT(ROW()-4,"0000"))</f>
        <v/>
      </c>
      <c r="C1396" s="33"/>
      <c r="D1396" s="24"/>
      <c r="E1396" s="30" t="str">
        <f aca="false">IF($D1396="","",IFERROR(INDEX(合同单位,MATCH($D1396,合同键,0)),IFERROR(TRIM(LEFT($D1396,FIND("｜",$D1396)-1)),$D1396)))</f>
        <v/>
      </c>
      <c r="F1396" s="30" t="str">
        <f aca="false">IF($D1396="","",IFERROR(INDEX(合同项目,MATCH($D1396,合同键,0)),IFERROR(TRIM(MID($D1396,FIND("｜",$D1396)+1,99)),"")))</f>
        <v/>
      </c>
      <c r="G1396" s="39"/>
      <c r="H1396" s="25"/>
      <c r="I1396" s="35" t="str">
        <f aca="false">IF($H1396="","",IFERROR(INDEX(票据归类表,MATCH($H1396,票据类型表,0)),"现金无票"))</f>
        <v/>
      </c>
      <c r="J1396" s="25"/>
      <c r="K1396" s="25"/>
      <c r="L1396" s="31"/>
      <c r="M1396" s="29" t="str">
        <f aca="false">IF($C1396="","",YEAR($C1396))</f>
        <v/>
      </c>
      <c r="N1396" s="24"/>
      <c r="O1396" s="35" t="str">
        <f aca="false">IF($C1396="","",IF($D1396="","★没选客户项目",IF(COUNTIF(合同键,$D1396)=0,"★《维保合同》里没这个项目",IF(N($G1396)&lt;=0,"★收款金额要填",IF($H1396="","★票据类型要选",IF(AND($L1396&lt;&gt;"",COUNTIF(应收单号,$L1396)=0),"★关联的应收单号不存在",IF(AND($L1396&lt;&gt;"",IFERROR(INDEX(应收键,MATCH($L1396,应收单号,0)),"")&lt;&gt;$D1396),"★关联单号不是这个客户的",IF(AND($L1396&lt;&gt;"",ROUND(SUMIF(收款关联,$L1396,收款金额)-IFERROR(INDEX(应收金额,MATCH($L1396,应收单号,0)),0),2)&gt;0.001),"★指定冲销超过那张单的应收","OK"))))))))</f>
        <v/>
      </c>
    </row>
    <row r="1397" customFormat="false" ht="15" hidden="false" customHeight="false" outlineLevel="0" collapsed="false">
      <c r="A1397" s="29" t="str">
        <f aca="false">IF($C1397="","",ROW()-4)</f>
        <v/>
      </c>
      <c r="B1397" s="35" t="str">
        <f aca="false">IF($C1397="","","SK"&amp;TEXT($C1397,"yyyymm")&amp;"-"&amp;TEXT(ROW()-4,"0000"))</f>
        <v/>
      </c>
      <c r="C1397" s="33"/>
      <c r="D1397" s="24"/>
      <c r="E1397" s="30" t="str">
        <f aca="false">IF($D1397="","",IFERROR(INDEX(合同单位,MATCH($D1397,合同键,0)),IFERROR(TRIM(LEFT($D1397,FIND("｜",$D1397)-1)),$D1397)))</f>
        <v/>
      </c>
      <c r="F1397" s="30" t="str">
        <f aca="false">IF($D1397="","",IFERROR(INDEX(合同项目,MATCH($D1397,合同键,0)),IFERROR(TRIM(MID($D1397,FIND("｜",$D1397)+1,99)),"")))</f>
        <v/>
      </c>
      <c r="G1397" s="39"/>
      <c r="H1397" s="25"/>
      <c r="I1397" s="35" t="str">
        <f aca="false">IF($H1397="","",IFERROR(INDEX(票据归类表,MATCH($H1397,票据类型表,0)),"现金无票"))</f>
        <v/>
      </c>
      <c r="J1397" s="25"/>
      <c r="K1397" s="25"/>
      <c r="L1397" s="31"/>
      <c r="M1397" s="29" t="str">
        <f aca="false">IF($C1397="","",YEAR($C1397))</f>
        <v/>
      </c>
      <c r="N1397" s="24"/>
      <c r="O1397" s="35" t="str">
        <f aca="false">IF($C1397="","",IF($D1397="","★没选客户项目",IF(COUNTIF(合同键,$D1397)=0,"★《维保合同》里没这个项目",IF(N($G1397)&lt;=0,"★收款金额要填",IF($H1397="","★票据类型要选",IF(AND($L1397&lt;&gt;"",COUNTIF(应收单号,$L1397)=0),"★关联的应收单号不存在",IF(AND($L1397&lt;&gt;"",IFERROR(INDEX(应收键,MATCH($L1397,应收单号,0)),"")&lt;&gt;$D1397),"★关联单号不是这个客户的",IF(AND($L1397&lt;&gt;"",ROUND(SUMIF(收款关联,$L1397,收款金额)-IFERROR(INDEX(应收金额,MATCH($L1397,应收单号,0)),0),2)&gt;0.001),"★指定冲销超过那张单的应收","OK"))))))))</f>
        <v/>
      </c>
    </row>
    <row r="1398" customFormat="false" ht="15" hidden="false" customHeight="false" outlineLevel="0" collapsed="false">
      <c r="A1398" s="29" t="str">
        <f aca="false">IF($C1398="","",ROW()-4)</f>
        <v/>
      </c>
      <c r="B1398" s="35" t="str">
        <f aca="false">IF($C1398="","","SK"&amp;TEXT($C1398,"yyyymm")&amp;"-"&amp;TEXT(ROW()-4,"0000"))</f>
        <v/>
      </c>
      <c r="C1398" s="33"/>
      <c r="D1398" s="24"/>
      <c r="E1398" s="30" t="str">
        <f aca="false">IF($D1398="","",IFERROR(INDEX(合同单位,MATCH($D1398,合同键,0)),IFERROR(TRIM(LEFT($D1398,FIND("｜",$D1398)-1)),$D1398)))</f>
        <v/>
      </c>
      <c r="F1398" s="30" t="str">
        <f aca="false">IF($D1398="","",IFERROR(INDEX(合同项目,MATCH($D1398,合同键,0)),IFERROR(TRIM(MID($D1398,FIND("｜",$D1398)+1,99)),"")))</f>
        <v/>
      </c>
      <c r="G1398" s="39"/>
      <c r="H1398" s="25"/>
      <c r="I1398" s="35" t="str">
        <f aca="false">IF($H1398="","",IFERROR(INDEX(票据归类表,MATCH($H1398,票据类型表,0)),"现金无票"))</f>
        <v/>
      </c>
      <c r="J1398" s="25"/>
      <c r="K1398" s="25"/>
      <c r="L1398" s="31"/>
      <c r="M1398" s="29" t="str">
        <f aca="false">IF($C1398="","",YEAR($C1398))</f>
        <v/>
      </c>
      <c r="N1398" s="24"/>
      <c r="O1398" s="35" t="str">
        <f aca="false">IF($C1398="","",IF($D1398="","★没选客户项目",IF(COUNTIF(合同键,$D1398)=0,"★《维保合同》里没这个项目",IF(N($G1398)&lt;=0,"★收款金额要填",IF($H1398="","★票据类型要选",IF(AND($L1398&lt;&gt;"",COUNTIF(应收单号,$L1398)=0),"★关联的应收单号不存在",IF(AND($L1398&lt;&gt;"",IFERROR(INDEX(应收键,MATCH($L1398,应收单号,0)),"")&lt;&gt;$D1398),"★关联单号不是这个客户的",IF(AND($L1398&lt;&gt;"",ROUND(SUMIF(收款关联,$L1398,收款金额)-IFERROR(INDEX(应收金额,MATCH($L1398,应收单号,0)),0),2)&gt;0.001),"★指定冲销超过那张单的应收","OK"))))))))</f>
        <v/>
      </c>
    </row>
    <row r="1399" customFormat="false" ht="15" hidden="false" customHeight="false" outlineLevel="0" collapsed="false">
      <c r="A1399" s="29" t="str">
        <f aca="false">IF($C1399="","",ROW()-4)</f>
        <v/>
      </c>
      <c r="B1399" s="35" t="str">
        <f aca="false">IF($C1399="","","SK"&amp;TEXT($C1399,"yyyymm")&amp;"-"&amp;TEXT(ROW()-4,"0000"))</f>
        <v/>
      </c>
      <c r="C1399" s="33"/>
      <c r="D1399" s="24"/>
      <c r="E1399" s="30" t="str">
        <f aca="false">IF($D1399="","",IFERROR(INDEX(合同单位,MATCH($D1399,合同键,0)),IFERROR(TRIM(LEFT($D1399,FIND("｜",$D1399)-1)),$D1399)))</f>
        <v/>
      </c>
      <c r="F1399" s="30" t="str">
        <f aca="false">IF($D1399="","",IFERROR(INDEX(合同项目,MATCH($D1399,合同键,0)),IFERROR(TRIM(MID($D1399,FIND("｜",$D1399)+1,99)),"")))</f>
        <v/>
      </c>
      <c r="G1399" s="39"/>
      <c r="H1399" s="25"/>
      <c r="I1399" s="35" t="str">
        <f aca="false">IF($H1399="","",IFERROR(INDEX(票据归类表,MATCH($H1399,票据类型表,0)),"现金无票"))</f>
        <v/>
      </c>
      <c r="J1399" s="25"/>
      <c r="K1399" s="25"/>
      <c r="L1399" s="31"/>
      <c r="M1399" s="29" t="str">
        <f aca="false">IF($C1399="","",YEAR($C1399))</f>
        <v/>
      </c>
      <c r="N1399" s="24"/>
      <c r="O1399" s="35" t="str">
        <f aca="false">IF($C1399="","",IF($D1399="","★没选客户项目",IF(COUNTIF(合同键,$D1399)=0,"★《维保合同》里没这个项目",IF(N($G1399)&lt;=0,"★收款金额要填",IF($H1399="","★票据类型要选",IF(AND($L1399&lt;&gt;"",COUNTIF(应收单号,$L1399)=0),"★关联的应收单号不存在",IF(AND($L1399&lt;&gt;"",IFERROR(INDEX(应收键,MATCH($L1399,应收单号,0)),"")&lt;&gt;$D1399),"★关联单号不是这个客户的",IF(AND($L1399&lt;&gt;"",ROUND(SUMIF(收款关联,$L1399,收款金额)-IFERROR(INDEX(应收金额,MATCH($L1399,应收单号,0)),0),2)&gt;0.001),"★指定冲销超过那张单的应收","OK"))))))))</f>
        <v/>
      </c>
    </row>
    <row r="1400" customFormat="false" ht="15" hidden="false" customHeight="false" outlineLevel="0" collapsed="false">
      <c r="A1400" s="29" t="str">
        <f aca="false">IF($C1400="","",ROW()-4)</f>
        <v/>
      </c>
      <c r="B1400" s="35" t="str">
        <f aca="false">IF($C1400="","","SK"&amp;TEXT($C1400,"yyyymm")&amp;"-"&amp;TEXT(ROW()-4,"0000"))</f>
        <v/>
      </c>
      <c r="C1400" s="33"/>
      <c r="D1400" s="24"/>
      <c r="E1400" s="30" t="str">
        <f aca="false">IF($D1400="","",IFERROR(INDEX(合同单位,MATCH($D1400,合同键,0)),IFERROR(TRIM(LEFT($D1400,FIND("｜",$D1400)-1)),$D1400)))</f>
        <v/>
      </c>
      <c r="F1400" s="30" t="str">
        <f aca="false">IF($D1400="","",IFERROR(INDEX(合同项目,MATCH($D1400,合同键,0)),IFERROR(TRIM(MID($D1400,FIND("｜",$D1400)+1,99)),"")))</f>
        <v/>
      </c>
      <c r="G1400" s="39"/>
      <c r="H1400" s="25"/>
      <c r="I1400" s="35" t="str">
        <f aca="false">IF($H1400="","",IFERROR(INDEX(票据归类表,MATCH($H1400,票据类型表,0)),"现金无票"))</f>
        <v/>
      </c>
      <c r="J1400" s="25"/>
      <c r="K1400" s="25"/>
      <c r="L1400" s="31"/>
      <c r="M1400" s="29" t="str">
        <f aca="false">IF($C1400="","",YEAR($C1400))</f>
        <v/>
      </c>
      <c r="N1400" s="24"/>
      <c r="O1400" s="35" t="str">
        <f aca="false">IF($C1400="","",IF($D1400="","★没选客户项目",IF(COUNTIF(合同键,$D1400)=0,"★《维保合同》里没这个项目",IF(N($G1400)&lt;=0,"★收款金额要填",IF($H1400="","★票据类型要选",IF(AND($L1400&lt;&gt;"",COUNTIF(应收单号,$L1400)=0),"★关联的应收单号不存在",IF(AND($L1400&lt;&gt;"",IFERROR(INDEX(应收键,MATCH($L1400,应收单号,0)),"")&lt;&gt;$D1400),"★关联单号不是这个客户的",IF(AND($L1400&lt;&gt;"",ROUND(SUMIF(收款关联,$L1400,收款金额)-IFERROR(INDEX(应收金额,MATCH($L1400,应收单号,0)),0),2)&gt;0.001),"★指定冲销超过那张单的应收","OK"))))))))</f>
        <v/>
      </c>
    </row>
    <row r="1401" customFormat="false" ht="15" hidden="false" customHeight="false" outlineLevel="0" collapsed="false">
      <c r="A1401" s="29" t="str">
        <f aca="false">IF($C1401="","",ROW()-4)</f>
        <v/>
      </c>
      <c r="B1401" s="35" t="str">
        <f aca="false">IF($C1401="","","SK"&amp;TEXT($C1401,"yyyymm")&amp;"-"&amp;TEXT(ROW()-4,"0000"))</f>
        <v/>
      </c>
      <c r="C1401" s="33"/>
      <c r="D1401" s="24"/>
      <c r="E1401" s="30" t="str">
        <f aca="false">IF($D1401="","",IFERROR(INDEX(合同单位,MATCH($D1401,合同键,0)),IFERROR(TRIM(LEFT($D1401,FIND("｜",$D1401)-1)),$D1401)))</f>
        <v/>
      </c>
      <c r="F1401" s="30" t="str">
        <f aca="false">IF($D1401="","",IFERROR(INDEX(合同项目,MATCH($D1401,合同键,0)),IFERROR(TRIM(MID($D1401,FIND("｜",$D1401)+1,99)),"")))</f>
        <v/>
      </c>
      <c r="G1401" s="39"/>
      <c r="H1401" s="25"/>
      <c r="I1401" s="35" t="str">
        <f aca="false">IF($H1401="","",IFERROR(INDEX(票据归类表,MATCH($H1401,票据类型表,0)),"现金无票"))</f>
        <v/>
      </c>
      <c r="J1401" s="25"/>
      <c r="K1401" s="25"/>
      <c r="L1401" s="31"/>
      <c r="M1401" s="29" t="str">
        <f aca="false">IF($C1401="","",YEAR($C1401))</f>
        <v/>
      </c>
      <c r="N1401" s="24"/>
      <c r="O1401" s="35" t="str">
        <f aca="false">IF($C1401="","",IF($D1401="","★没选客户项目",IF(COUNTIF(合同键,$D1401)=0,"★《维保合同》里没这个项目",IF(N($G1401)&lt;=0,"★收款金额要填",IF($H1401="","★票据类型要选",IF(AND($L1401&lt;&gt;"",COUNTIF(应收单号,$L1401)=0),"★关联的应收单号不存在",IF(AND($L1401&lt;&gt;"",IFERROR(INDEX(应收键,MATCH($L1401,应收单号,0)),"")&lt;&gt;$D1401),"★关联单号不是这个客户的",IF(AND($L1401&lt;&gt;"",ROUND(SUMIF(收款关联,$L1401,收款金额)-IFERROR(INDEX(应收金额,MATCH($L1401,应收单号,0)),0),2)&gt;0.001),"★指定冲销超过那张单的应收","OK"))))))))</f>
        <v/>
      </c>
    </row>
    <row r="1402" customFormat="false" ht="15" hidden="false" customHeight="false" outlineLevel="0" collapsed="false">
      <c r="A1402" s="29" t="str">
        <f aca="false">IF($C1402="","",ROW()-4)</f>
        <v/>
      </c>
      <c r="B1402" s="35" t="str">
        <f aca="false">IF($C1402="","","SK"&amp;TEXT($C1402,"yyyymm")&amp;"-"&amp;TEXT(ROW()-4,"0000"))</f>
        <v/>
      </c>
      <c r="C1402" s="33"/>
      <c r="D1402" s="24"/>
      <c r="E1402" s="30" t="str">
        <f aca="false">IF($D1402="","",IFERROR(INDEX(合同单位,MATCH($D1402,合同键,0)),IFERROR(TRIM(LEFT($D1402,FIND("｜",$D1402)-1)),$D1402)))</f>
        <v/>
      </c>
      <c r="F1402" s="30" t="str">
        <f aca="false">IF($D1402="","",IFERROR(INDEX(合同项目,MATCH($D1402,合同键,0)),IFERROR(TRIM(MID($D1402,FIND("｜",$D1402)+1,99)),"")))</f>
        <v/>
      </c>
      <c r="G1402" s="39"/>
      <c r="H1402" s="25"/>
      <c r="I1402" s="35" t="str">
        <f aca="false">IF($H1402="","",IFERROR(INDEX(票据归类表,MATCH($H1402,票据类型表,0)),"现金无票"))</f>
        <v/>
      </c>
      <c r="J1402" s="25"/>
      <c r="K1402" s="25"/>
      <c r="L1402" s="31"/>
      <c r="M1402" s="29" t="str">
        <f aca="false">IF($C1402="","",YEAR($C1402))</f>
        <v/>
      </c>
      <c r="N1402" s="24"/>
      <c r="O1402" s="35" t="str">
        <f aca="false">IF($C1402="","",IF($D1402="","★没选客户项目",IF(COUNTIF(合同键,$D1402)=0,"★《维保合同》里没这个项目",IF(N($G1402)&lt;=0,"★收款金额要填",IF($H1402="","★票据类型要选",IF(AND($L1402&lt;&gt;"",COUNTIF(应收单号,$L1402)=0),"★关联的应收单号不存在",IF(AND($L1402&lt;&gt;"",IFERROR(INDEX(应收键,MATCH($L1402,应收单号,0)),"")&lt;&gt;$D1402),"★关联单号不是这个客户的",IF(AND($L1402&lt;&gt;"",ROUND(SUMIF(收款关联,$L1402,收款金额)-IFERROR(INDEX(应收金额,MATCH($L1402,应收单号,0)),0),2)&gt;0.001),"★指定冲销超过那张单的应收","OK"))))))))</f>
        <v/>
      </c>
    </row>
    <row r="1403" customFormat="false" ht="15" hidden="false" customHeight="false" outlineLevel="0" collapsed="false">
      <c r="A1403" s="29" t="str">
        <f aca="false">IF($C1403="","",ROW()-4)</f>
        <v/>
      </c>
      <c r="B1403" s="35" t="str">
        <f aca="false">IF($C1403="","","SK"&amp;TEXT($C1403,"yyyymm")&amp;"-"&amp;TEXT(ROW()-4,"0000"))</f>
        <v/>
      </c>
      <c r="C1403" s="33"/>
      <c r="D1403" s="24"/>
      <c r="E1403" s="30" t="str">
        <f aca="false">IF($D1403="","",IFERROR(INDEX(合同单位,MATCH($D1403,合同键,0)),IFERROR(TRIM(LEFT($D1403,FIND("｜",$D1403)-1)),$D1403)))</f>
        <v/>
      </c>
      <c r="F1403" s="30" t="str">
        <f aca="false">IF($D1403="","",IFERROR(INDEX(合同项目,MATCH($D1403,合同键,0)),IFERROR(TRIM(MID($D1403,FIND("｜",$D1403)+1,99)),"")))</f>
        <v/>
      </c>
      <c r="G1403" s="39"/>
      <c r="H1403" s="25"/>
      <c r="I1403" s="35" t="str">
        <f aca="false">IF($H1403="","",IFERROR(INDEX(票据归类表,MATCH($H1403,票据类型表,0)),"现金无票"))</f>
        <v/>
      </c>
      <c r="J1403" s="25"/>
      <c r="K1403" s="25"/>
      <c r="L1403" s="31"/>
      <c r="M1403" s="29" t="str">
        <f aca="false">IF($C1403="","",YEAR($C1403))</f>
        <v/>
      </c>
      <c r="N1403" s="24"/>
      <c r="O1403" s="35" t="str">
        <f aca="false">IF($C1403="","",IF($D1403="","★没选客户项目",IF(COUNTIF(合同键,$D1403)=0,"★《维保合同》里没这个项目",IF(N($G1403)&lt;=0,"★收款金额要填",IF($H1403="","★票据类型要选",IF(AND($L1403&lt;&gt;"",COUNTIF(应收单号,$L1403)=0),"★关联的应收单号不存在",IF(AND($L1403&lt;&gt;"",IFERROR(INDEX(应收键,MATCH($L1403,应收单号,0)),"")&lt;&gt;$D1403),"★关联单号不是这个客户的",IF(AND($L1403&lt;&gt;"",ROUND(SUMIF(收款关联,$L1403,收款金额)-IFERROR(INDEX(应收金额,MATCH($L1403,应收单号,0)),0),2)&gt;0.001),"★指定冲销超过那张单的应收","OK"))))))))</f>
        <v/>
      </c>
    </row>
    <row r="1404" customFormat="false" ht="15" hidden="false" customHeight="false" outlineLevel="0" collapsed="false">
      <c r="A1404" s="29" t="str">
        <f aca="false">IF($C1404="","",ROW()-4)</f>
        <v/>
      </c>
      <c r="B1404" s="35" t="str">
        <f aca="false">IF($C1404="","","SK"&amp;TEXT($C1404,"yyyymm")&amp;"-"&amp;TEXT(ROW()-4,"0000"))</f>
        <v/>
      </c>
      <c r="C1404" s="33"/>
      <c r="D1404" s="24"/>
      <c r="E1404" s="30" t="str">
        <f aca="false">IF($D1404="","",IFERROR(INDEX(合同单位,MATCH($D1404,合同键,0)),IFERROR(TRIM(LEFT($D1404,FIND("｜",$D1404)-1)),$D1404)))</f>
        <v/>
      </c>
      <c r="F1404" s="30" t="str">
        <f aca="false">IF($D1404="","",IFERROR(INDEX(合同项目,MATCH($D1404,合同键,0)),IFERROR(TRIM(MID($D1404,FIND("｜",$D1404)+1,99)),"")))</f>
        <v/>
      </c>
      <c r="G1404" s="39"/>
      <c r="H1404" s="25"/>
      <c r="I1404" s="35" t="str">
        <f aca="false">IF($H1404="","",IFERROR(INDEX(票据归类表,MATCH($H1404,票据类型表,0)),"现金无票"))</f>
        <v/>
      </c>
      <c r="J1404" s="25"/>
      <c r="K1404" s="25"/>
      <c r="L1404" s="31"/>
      <c r="M1404" s="29" t="str">
        <f aca="false">IF($C1404="","",YEAR($C1404))</f>
        <v/>
      </c>
      <c r="N1404" s="24"/>
      <c r="O1404" s="35" t="str">
        <f aca="false">IF($C1404="","",IF($D1404="","★没选客户项目",IF(COUNTIF(合同键,$D1404)=0,"★《维保合同》里没这个项目",IF(N($G1404)&lt;=0,"★收款金额要填",IF($H1404="","★票据类型要选",IF(AND($L1404&lt;&gt;"",COUNTIF(应收单号,$L1404)=0),"★关联的应收单号不存在",IF(AND($L1404&lt;&gt;"",IFERROR(INDEX(应收键,MATCH($L1404,应收单号,0)),"")&lt;&gt;$D1404),"★关联单号不是这个客户的",IF(AND($L1404&lt;&gt;"",ROUND(SUMIF(收款关联,$L1404,收款金额)-IFERROR(INDEX(应收金额,MATCH($L1404,应收单号,0)),0),2)&gt;0.001),"★指定冲销超过那张单的应收","OK"))))))))</f>
        <v/>
      </c>
    </row>
    <row r="1405" customFormat="false" ht="15" hidden="false" customHeight="false" outlineLevel="0" collapsed="false">
      <c r="A1405" s="29" t="str">
        <f aca="false">IF($C1405="","",ROW()-4)</f>
        <v/>
      </c>
      <c r="B1405" s="35" t="str">
        <f aca="false">IF($C1405="","","SK"&amp;TEXT($C1405,"yyyymm")&amp;"-"&amp;TEXT(ROW()-4,"0000"))</f>
        <v/>
      </c>
      <c r="C1405" s="33"/>
      <c r="D1405" s="24"/>
      <c r="E1405" s="30" t="str">
        <f aca="false">IF($D1405="","",IFERROR(INDEX(合同单位,MATCH($D1405,合同键,0)),IFERROR(TRIM(LEFT($D1405,FIND("｜",$D1405)-1)),$D1405)))</f>
        <v/>
      </c>
      <c r="F1405" s="30" t="str">
        <f aca="false">IF($D1405="","",IFERROR(INDEX(合同项目,MATCH($D1405,合同键,0)),IFERROR(TRIM(MID($D1405,FIND("｜",$D1405)+1,99)),"")))</f>
        <v/>
      </c>
      <c r="G1405" s="39"/>
      <c r="H1405" s="25"/>
      <c r="I1405" s="35" t="str">
        <f aca="false">IF($H1405="","",IFERROR(INDEX(票据归类表,MATCH($H1405,票据类型表,0)),"现金无票"))</f>
        <v/>
      </c>
      <c r="J1405" s="25"/>
      <c r="K1405" s="25"/>
      <c r="L1405" s="31"/>
      <c r="M1405" s="29" t="str">
        <f aca="false">IF($C1405="","",YEAR($C1405))</f>
        <v/>
      </c>
      <c r="N1405" s="24"/>
      <c r="O1405" s="35" t="str">
        <f aca="false">IF($C1405="","",IF($D1405="","★没选客户项目",IF(COUNTIF(合同键,$D1405)=0,"★《维保合同》里没这个项目",IF(N($G1405)&lt;=0,"★收款金额要填",IF($H1405="","★票据类型要选",IF(AND($L1405&lt;&gt;"",COUNTIF(应收单号,$L1405)=0),"★关联的应收单号不存在",IF(AND($L1405&lt;&gt;"",IFERROR(INDEX(应收键,MATCH($L1405,应收单号,0)),"")&lt;&gt;$D1405),"★关联单号不是这个客户的",IF(AND($L1405&lt;&gt;"",ROUND(SUMIF(收款关联,$L1405,收款金额)-IFERROR(INDEX(应收金额,MATCH($L1405,应收单号,0)),0),2)&gt;0.001),"★指定冲销超过那张单的应收","OK"))))))))</f>
        <v/>
      </c>
    </row>
    <row r="1406" customFormat="false" ht="15" hidden="false" customHeight="false" outlineLevel="0" collapsed="false">
      <c r="A1406" s="29" t="str">
        <f aca="false">IF($C1406="","",ROW()-4)</f>
        <v/>
      </c>
      <c r="B1406" s="35" t="str">
        <f aca="false">IF($C1406="","","SK"&amp;TEXT($C1406,"yyyymm")&amp;"-"&amp;TEXT(ROW()-4,"0000"))</f>
        <v/>
      </c>
      <c r="C1406" s="33"/>
      <c r="D1406" s="24"/>
      <c r="E1406" s="30" t="str">
        <f aca="false">IF($D1406="","",IFERROR(INDEX(合同单位,MATCH($D1406,合同键,0)),IFERROR(TRIM(LEFT($D1406,FIND("｜",$D1406)-1)),$D1406)))</f>
        <v/>
      </c>
      <c r="F1406" s="30" t="str">
        <f aca="false">IF($D1406="","",IFERROR(INDEX(合同项目,MATCH($D1406,合同键,0)),IFERROR(TRIM(MID($D1406,FIND("｜",$D1406)+1,99)),"")))</f>
        <v/>
      </c>
      <c r="G1406" s="39"/>
      <c r="H1406" s="25"/>
      <c r="I1406" s="35" t="str">
        <f aca="false">IF($H1406="","",IFERROR(INDEX(票据归类表,MATCH($H1406,票据类型表,0)),"现金无票"))</f>
        <v/>
      </c>
      <c r="J1406" s="25"/>
      <c r="K1406" s="25"/>
      <c r="L1406" s="31"/>
      <c r="M1406" s="29" t="str">
        <f aca="false">IF($C1406="","",YEAR($C1406))</f>
        <v/>
      </c>
      <c r="N1406" s="24"/>
      <c r="O1406" s="35" t="str">
        <f aca="false">IF($C1406="","",IF($D1406="","★没选客户项目",IF(COUNTIF(合同键,$D1406)=0,"★《维保合同》里没这个项目",IF(N($G1406)&lt;=0,"★收款金额要填",IF($H1406="","★票据类型要选",IF(AND($L1406&lt;&gt;"",COUNTIF(应收单号,$L1406)=0),"★关联的应收单号不存在",IF(AND($L1406&lt;&gt;"",IFERROR(INDEX(应收键,MATCH($L1406,应收单号,0)),"")&lt;&gt;$D1406),"★关联单号不是这个客户的",IF(AND($L1406&lt;&gt;"",ROUND(SUMIF(收款关联,$L1406,收款金额)-IFERROR(INDEX(应收金额,MATCH($L1406,应收单号,0)),0),2)&gt;0.001),"★指定冲销超过那张单的应收","OK"))))))))</f>
        <v/>
      </c>
    </row>
    <row r="1407" customFormat="false" ht="15" hidden="false" customHeight="false" outlineLevel="0" collapsed="false">
      <c r="A1407" s="29" t="str">
        <f aca="false">IF($C1407="","",ROW()-4)</f>
        <v/>
      </c>
      <c r="B1407" s="35" t="str">
        <f aca="false">IF($C1407="","","SK"&amp;TEXT($C1407,"yyyymm")&amp;"-"&amp;TEXT(ROW()-4,"0000"))</f>
        <v/>
      </c>
      <c r="C1407" s="33"/>
      <c r="D1407" s="24"/>
      <c r="E1407" s="30" t="str">
        <f aca="false">IF($D1407="","",IFERROR(INDEX(合同单位,MATCH($D1407,合同键,0)),IFERROR(TRIM(LEFT($D1407,FIND("｜",$D1407)-1)),$D1407)))</f>
        <v/>
      </c>
      <c r="F1407" s="30" t="str">
        <f aca="false">IF($D1407="","",IFERROR(INDEX(合同项目,MATCH($D1407,合同键,0)),IFERROR(TRIM(MID($D1407,FIND("｜",$D1407)+1,99)),"")))</f>
        <v/>
      </c>
      <c r="G1407" s="39"/>
      <c r="H1407" s="25"/>
      <c r="I1407" s="35" t="str">
        <f aca="false">IF($H1407="","",IFERROR(INDEX(票据归类表,MATCH($H1407,票据类型表,0)),"现金无票"))</f>
        <v/>
      </c>
      <c r="J1407" s="25"/>
      <c r="K1407" s="25"/>
      <c r="L1407" s="31"/>
      <c r="M1407" s="29" t="str">
        <f aca="false">IF($C1407="","",YEAR($C1407))</f>
        <v/>
      </c>
      <c r="N1407" s="24"/>
      <c r="O1407" s="35" t="str">
        <f aca="false">IF($C1407="","",IF($D1407="","★没选客户项目",IF(COUNTIF(合同键,$D1407)=0,"★《维保合同》里没这个项目",IF(N($G1407)&lt;=0,"★收款金额要填",IF($H1407="","★票据类型要选",IF(AND($L1407&lt;&gt;"",COUNTIF(应收单号,$L1407)=0),"★关联的应收单号不存在",IF(AND($L1407&lt;&gt;"",IFERROR(INDEX(应收键,MATCH($L1407,应收单号,0)),"")&lt;&gt;$D1407),"★关联单号不是这个客户的",IF(AND($L1407&lt;&gt;"",ROUND(SUMIF(收款关联,$L1407,收款金额)-IFERROR(INDEX(应收金额,MATCH($L1407,应收单号,0)),0),2)&gt;0.001),"★指定冲销超过那张单的应收","OK"))))))))</f>
        <v/>
      </c>
    </row>
    <row r="1408" customFormat="false" ht="15" hidden="false" customHeight="false" outlineLevel="0" collapsed="false">
      <c r="A1408" s="29" t="str">
        <f aca="false">IF($C1408="","",ROW()-4)</f>
        <v/>
      </c>
      <c r="B1408" s="35" t="str">
        <f aca="false">IF($C1408="","","SK"&amp;TEXT($C1408,"yyyymm")&amp;"-"&amp;TEXT(ROW()-4,"0000"))</f>
        <v/>
      </c>
      <c r="C1408" s="33"/>
      <c r="D1408" s="24"/>
      <c r="E1408" s="30" t="str">
        <f aca="false">IF($D1408="","",IFERROR(INDEX(合同单位,MATCH($D1408,合同键,0)),IFERROR(TRIM(LEFT($D1408,FIND("｜",$D1408)-1)),$D1408)))</f>
        <v/>
      </c>
      <c r="F1408" s="30" t="str">
        <f aca="false">IF($D1408="","",IFERROR(INDEX(合同项目,MATCH($D1408,合同键,0)),IFERROR(TRIM(MID($D1408,FIND("｜",$D1408)+1,99)),"")))</f>
        <v/>
      </c>
      <c r="G1408" s="39"/>
      <c r="H1408" s="25"/>
      <c r="I1408" s="35" t="str">
        <f aca="false">IF($H1408="","",IFERROR(INDEX(票据归类表,MATCH($H1408,票据类型表,0)),"现金无票"))</f>
        <v/>
      </c>
      <c r="J1408" s="25"/>
      <c r="K1408" s="25"/>
      <c r="L1408" s="31"/>
      <c r="M1408" s="29" t="str">
        <f aca="false">IF($C1408="","",YEAR($C1408))</f>
        <v/>
      </c>
      <c r="N1408" s="24"/>
      <c r="O1408" s="35" t="str">
        <f aca="false">IF($C1408="","",IF($D1408="","★没选客户项目",IF(COUNTIF(合同键,$D1408)=0,"★《维保合同》里没这个项目",IF(N($G1408)&lt;=0,"★收款金额要填",IF($H1408="","★票据类型要选",IF(AND($L1408&lt;&gt;"",COUNTIF(应收单号,$L1408)=0),"★关联的应收单号不存在",IF(AND($L1408&lt;&gt;"",IFERROR(INDEX(应收键,MATCH($L1408,应收单号,0)),"")&lt;&gt;$D1408),"★关联单号不是这个客户的",IF(AND($L1408&lt;&gt;"",ROUND(SUMIF(收款关联,$L1408,收款金额)-IFERROR(INDEX(应收金额,MATCH($L1408,应收单号,0)),0),2)&gt;0.001),"★指定冲销超过那张单的应收","OK"))))))))</f>
        <v/>
      </c>
    </row>
    <row r="1409" customFormat="false" ht="15" hidden="false" customHeight="false" outlineLevel="0" collapsed="false">
      <c r="A1409" s="29" t="str">
        <f aca="false">IF($C1409="","",ROW()-4)</f>
        <v/>
      </c>
      <c r="B1409" s="35" t="str">
        <f aca="false">IF($C1409="","","SK"&amp;TEXT($C1409,"yyyymm")&amp;"-"&amp;TEXT(ROW()-4,"0000"))</f>
        <v/>
      </c>
      <c r="C1409" s="33"/>
      <c r="D1409" s="24"/>
      <c r="E1409" s="30" t="str">
        <f aca="false">IF($D1409="","",IFERROR(INDEX(合同单位,MATCH($D1409,合同键,0)),IFERROR(TRIM(LEFT($D1409,FIND("｜",$D1409)-1)),$D1409)))</f>
        <v/>
      </c>
      <c r="F1409" s="30" t="str">
        <f aca="false">IF($D1409="","",IFERROR(INDEX(合同项目,MATCH($D1409,合同键,0)),IFERROR(TRIM(MID($D1409,FIND("｜",$D1409)+1,99)),"")))</f>
        <v/>
      </c>
      <c r="G1409" s="39"/>
      <c r="H1409" s="25"/>
      <c r="I1409" s="35" t="str">
        <f aca="false">IF($H1409="","",IFERROR(INDEX(票据归类表,MATCH($H1409,票据类型表,0)),"现金无票"))</f>
        <v/>
      </c>
      <c r="J1409" s="25"/>
      <c r="K1409" s="25"/>
      <c r="L1409" s="31"/>
      <c r="M1409" s="29" t="str">
        <f aca="false">IF($C1409="","",YEAR($C1409))</f>
        <v/>
      </c>
      <c r="N1409" s="24"/>
      <c r="O1409" s="35" t="str">
        <f aca="false">IF($C1409="","",IF($D1409="","★没选客户项目",IF(COUNTIF(合同键,$D1409)=0,"★《维保合同》里没这个项目",IF(N($G1409)&lt;=0,"★收款金额要填",IF($H1409="","★票据类型要选",IF(AND($L1409&lt;&gt;"",COUNTIF(应收单号,$L1409)=0),"★关联的应收单号不存在",IF(AND($L1409&lt;&gt;"",IFERROR(INDEX(应收键,MATCH($L1409,应收单号,0)),"")&lt;&gt;$D1409),"★关联单号不是这个客户的",IF(AND($L1409&lt;&gt;"",ROUND(SUMIF(收款关联,$L1409,收款金额)-IFERROR(INDEX(应收金额,MATCH($L1409,应收单号,0)),0),2)&gt;0.001),"★指定冲销超过那张单的应收","OK"))))))))</f>
        <v/>
      </c>
    </row>
    <row r="1410" customFormat="false" ht="15" hidden="false" customHeight="false" outlineLevel="0" collapsed="false">
      <c r="A1410" s="29" t="str">
        <f aca="false">IF($C1410="","",ROW()-4)</f>
        <v/>
      </c>
      <c r="B1410" s="35" t="str">
        <f aca="false">IF($C1410="","","SK"&amp;TEXT($C1410,"yyyymm")&amp;"-"&amp;TEXT(ROW()-4,"0000"))</f>
        <v/>
      </c>
      <c r="C1410" s="33"/>
      <c r="D1410" s="24"/>
      <c r="E1410" s="30" t="str">
        <f aca="false">IF($D1410="","",IFERROR(INDEX(合同单位,MATCH($D1410,合同键,0)),IFERROR(TRIM(LEFT($D1410,FIND("｜",$D1410)-1)),$D1410)))</f>
        <v/>
      </c>
      <c r="F1410" s="30" t="str">
        <f aca="false">IF($D1410="","",IFERROR(INDEX(合同项目,MATCH($D1410,合同键,0)),IFERROR(TRIM(MID($D1410,FIND("｜",$D1410)+1,99)),"")))</f>
        <v/>
      </c>
      <c r="G1410" s="39"/>
      <c r="H1410" s="25"/>
      <c r="I1410" s="35" t="str">
        <f aca="false">IF($H1410="","",IFERROR(INDEX(票据归类表,MATCH($H1410,票据类型表,0)),"现金无票"))</f>
        <v/>
      </c>
      <c r="J1410" s="25"/>
      <c r="K1410" s="25"/>
      <c r="L1410" s="31"/>
      <c r="M1410" s="29" t="str">
        <f aca="false">IF($C1410="","",YEAR($C1410))</f>
        <v/>
      </c>
      <c r="N1410" s="24"/>
      <c r="O1410" s="35" t="str">
        <f aca="false">IF($C1410="","",IF($D1410="","★没选客户项目",IF(COUNTIF(合同键,$D1410)=0,"★《维保合同》里没这个项目",IF(N($G1410)&lt;=0,"★收款金额要填",IF($H1410="","★票据类型要选",IF(AND($L1410&lt;&gt;"",COUNTIF(应收单号,$L1410)=0),"★关联的应收单号不存在",IF(AND($L1410&lt;&gt;"",IFERROR(INDEX(应收键,MATCH($L1410,应收单号,0)),"")&lt;&gt;$D1410),"★关联单号不是这个客户的",IF(AND($L1410&lt;&gt;"",ROUND(SUMIF(收款关联,$L1410,收款金额)-IFERROR(INDEX(应收金额,MATCH($L1410,应收单号,0)),0),2)&gt;0.001),"★指定冲销超过那张单的应收","OK"))))))))</f>
        <v/>
      </c>
    </row>
    <row r="1411" customFormat="false" ht="15" hidden="false" customHeight="false" outlineLevel="0" collapsed="false">
      <c r="A1411" s="29" t="str">
        <f aca="false">IF($C1411="","",ROW()-4)</f>
        <v/>
      </c>
      <c r="B1411" s="35" t="str">
        <f aca="false">IF($C1411="","","SK"&amp;TEXT($C1411,"yyyymm")&amp;"-"&amp;TEXT(ROW()-4,"0000"))</f>
        <v/>
      </c>
      <c r="C1411" s="33"/>
      <c r="D1411" s="24"/>
      <c r="E1411" s="30" t="str">
        <f aca="false">IF($D1411="","",IFERROR(INDEX(合同单位,MATCH($D1411,合同键,0)),IFERROR(TRIM(LEFT($D1411,FIND("｜",$D1411)-1)),$D1411)))</f>
        <v/>
      </c>
      <c r="F1411" s="30" t="str">
        <f aca="false">IF($D1411="","",IFERROR(INDEX(合同项目,MATCH($D1411,合同键,0)),IFERROR(TRIM(MID($D1411,FIND("｜",$D1411)+1,99)),"")))</f>
        <v/>
      </c>
      <c r="G1411" s="39"/>
      <c r="H1411" s="25"/>
      <c r="I1411" s="35" t="str">
        <f aca="false">IF($H1411="","",IFERROR(INDEX(票据归类表,MATCH($H1411,票据类型表,0)),"现金无票"))</f>
        <v/>
      </c>
      <c r="J1411" s="25"/>
      <c r="K1411" s="25"/>
      <c r="L1411" s="31"/>
      <c r="M1411" s="29" t="str">
        <f aca="false">IF($C1411="","",YEAR($C1411))</f>
        <v/>
      </c>
      <c r="N1411" s="24"/>
      <c r="O1411" s="35" t="str">
        <f aca="false">IF($C1411="","",IF($D1411="","★没选客户项目",IF(COUNTIF(合同键,$D1411)=0,"★《维保合同》里没这个项目",IF(N($G1411)&lt;=0,"★收款金额要填",IF($H1411="","★票据类型要选",IF(AND($L1411&lt;&gt;"",COUNTIF(应收单号,$L1411)=0),"★关联的应收单号不存在",IF(AND($L1411&lt;&gt;"",IFERROR(INDEX(应收键,MATCH($L1411,应收单号,0)),"")&lt;&gt;$D1411),"★关联单号不是这个客户的",IF(AND($L1411&lt;&gt;"",ROUND(SUMIF(收款关联,$L1411,收款金额)-IFERROR(INDEX(应收金额,MATCH($L1411,应收单号,0)),0),2)&gt;0.001),"★指定冲销超过那张单的应收","OK"))))))))</f>
        <v/>
      </c>
    </row>
    <row r="1412" customFormat="false" ht="15" hidden="false" customHeight="false" outlineLevel="0" collapsed="false">
      <c r="A1412" s="29" t="str">
        <f aca="false">IF($C1412="","",ROW()-4)</f>
        <v/>
      </c>
      <c r="B1412" s="35" t="str">
        <f aca="false">IF($C1412="","","SK"&amp;TEXT($C1412,"yyyymm")&amp;"-"&amp;TEXT(ROW()-4,"0000"))</f>
        <v/>
      </c>
      <c r="C1412" s="33"/>
      <c r="D1412" s="24"/>
      <c r="E1412" s="30" t="str">
        <f aca="false">IF($D1412="","",IFERROR(INDEX(合同单位,MATCH($D1412,合同键,0)),IFERROR(TRIM(LEFT($D1412,FIND("｜",$D1412)-1)),$D1412)))</f>
        <v/>
      </c>
      <c r="F1412" s="30" t="str">
        <f aca="false">IF($D1412="","",IFERROR(INDEX(合同项目,MATCH($D1412,合同键,0)),IFERROR(TRIM(MID($D1412,FIND("｜",$D1412)+1,99)),"")))</f>
        <v/>
      </c>
      <c r="G1412" s="39"/>
      <c r="H1412" s="25"/>
      <c r="I1412" s="35" t="str">
        <f aca="false">IF($H1412="","",IFERROR(INDEX(票据归类表,MATCH($H1412,票据类型表,0)),"现金无票"))</f>
        <v/>
      </c>
      <c r="J1412" s="25"/>
      <c r="K1412" s="25"/>
      <c r="L1412" s="31"/>
      <c r="M1412" s="29" t="str">
        <f aca="false">IF($C1412="","",YEAR($C1412))</f>
        <v/>
      </c>
      <c r="N1412" s="24"/>
      <c r="O1412" s="35" t="str">
        <f aca="false">IF($C1412="","",IF($D1412="","★没选客户项目",IF(COUNTIF(合同键,$D1412)=0,"★《维保合同》里没这个项目",IF(N($G1412)&lt;=0,"★收款金额要填",IF($H1412="","★票据类型要选",IF(AND($L1412&lt;&gt;"",COUNTIF(应收单号,$L1412)=0),"★关联的应收单号不存在",IF(AND($L1412&lt;&gt;"",IFERROR(INDEX(应收键,MATCH($L1412,应收单号,0)),"")&lt;&gt;$D1412),"★关联单号不是这个客户的",IF(AND($L1412&lt;&gt;"",ROUND(SUMIF(收款关联,$L1412,收款金额)-IFERROR(INDEX(应收金额,MATCH($L1412,应收单号,0)),0),2)&gt;0.001),"★指定冲销超过那张单的应收","OK"))))))))</f>
        <v/>
      </c>
    </row>
    <row r="1413" customFormat="false" ht="15" hidden="false" customHeight="false" outlineLevel="0" collapsed="false">
      <c r="A1413" s="29" t="str">
        <f aca="false">IF($C1413="","",ROW()-4)</f>
        <v/>
      </c>
      <c r="B1413" s="35" t="str">
        <f aca="false">IF($C1413="","","SK"&amp;TEXT($C1413,"yyyymm")&amp;"-"&amp;TEXT(ROW()-4,"0000"))</f>
        <v/>
      </c>
      <c r="C1413" s="33"/>
      <c r="D1413" s="24"/>
      <c r="E1413" s="30" t="str">
        <f aca="false">IF($D1413="","",IFERROR(INDEX(合同单位,MATCH($D1413,合同键,0)),IFERROR(TRIM(LEFT($D1413,FIND("｜",$D1413)-1)),$D1413)))</f>
        <v/>
      </c>
      <c r="F1413" s="30" t="str">
        <f aca="false">IF($D1413="","",IFERROR(INDEX(合同项目,MATCH($D1413,合同键,0)),IFERROR(TRIM(MID($D1413,FIND("｜",$D1413)+1,99)),"")))</f>
        <v/>
      </c>
      <c r="G1413" s="39"/>
      <c r="H1413" s="25"/>
      <c r="I1413" s="35" t="str">
        <f aca="false">IF($H1413="","",IFERROR(INDEX(票据归类表,MATCH($H1413,票据类型表,0)),"现金无票"))</f>
        <v/>
      </c>
      <c r="J1413" s="25"/>
      <c r="K1413" s="25"/>
      <c r="L1413" s="31"/>
      <c r="M1413" s="29" t="str">
        <f aca="false">IF($C1413="","",YEAR($C1413))</f>
        <v/>
      </c>
      <c r="N1413" s="24"/>
      <c r="O1413" s="35" t="str">
        <f aca="false">IF($C1413="","",IF($D1413="","★没选客户项目",IF(COUNTIF(合同键,$D1413)=0,"★《维保合同》里没这个项目",IF(N($G1413)&lt;=0,"★收款金额要填",IF($H1413="","★票据类型要选",IF(AND($L1413&lt;&gt;"",COUNTIF(应收单号,$L1413)=0),"★关联的应收单号不存在",IF(AND($L1413&lt;&gt;"",IFERROR(INDEX(应收键,MATCH($L1413,应收单号,0)),"")&lt;&gt;$D1413),"★关联单号不是这个客户的",IF(AND($L1413&lt;&gt;"",ROUND(SUMIF(收款关联,$L1413,收款金额)-IFERROR(INDEX(应收金额,MATCH($L1413,应收单号,0)),0),2)&gt;0.001),"★指定冲销超过那张单的应收","OK"))))))))</f>
        <v/>
      </c>
    </row>
    <row r="1414" customFormat="false" ht="15" hidden="false" customHeight="false" outlineLevel="0" collapsed="false">
      <c r="A1414" s="29" t="str">
        <f aca="false">IF($C1414="","",ROW()-4)</f>
        <v/>
      </c>
      <c r="B1414" s="35" t="str">
        <f aca="false">IF($C1414="","","SK"&amp;TEXT($C1414,"yyyymm")&amp;"-"&amp;TEXT(ROW()-4,"0000"))</f>
        <v/>
      </c>
      <c r="C1414" s="33"/>
      <c r="D1414" s="24"/>
      <c r="E1414" s="30" t="str">
        <f aca="false">IF($D1414="","",IFERROR(INDEX(合同单位,MATCH($D1414,合同键,0)),IFERROR(TRIM(LEFT($D1414,FIND("｜",$D1414)-1)),$D1414)))</f>
        <v/>
      </c>
      <c r="F1414" s="30" t="str">
        <f aca="false">IF($D1414="","",IFERROR(INDEX(合同项目,MATCH($D1414,合同键,0)),IFERROR(TRIM(MID($D1414,FIND("｜",$D1414)+1,99)),"")))</f>
        <v/>
      </c>
      <c r="G1414" s="39"/>
      <c r="H1414" s="25"/>
      <c r="I1414" s="35" t="str">
        <f aca="false">IF($H1414="","",IFERROR(INDEX(票据归类表,MATCH($H1414,票据类型表,0)),"现金无票"))</f>
        <v/>
      </c>
      <c r="J1414" s="25"/>
      <c r="K1414" s="25"/>
      <c r="L1414" s="31"/>
      <c r="M1414" s="29" t="str">
        <f aca="false">IF($C1414="","",YEAR($C1414))</f>
        <v/>
      </c>
      <c r="N1414" s="24"/>
      <c r="O1414" s="35" t="str">
        <f aca="false">IF($C1414="","",IF($D1414="","★没选客户项目",IF(COUNTIF(合同键,$D1414)=0,"★《维保合同》里没这个项目",IF(N($G1414)&lt;=0,"★收款金额要填",IF($H1414="","★票据类型要选",IF(AND($L1414&lt;&gt;"",COUNTIF(应收单号,$L1414)=0),"★关联的应收单号不存在",IF(AND($L1414&lt;&gt;"",IFERROR(INDEX(应收键,MATCH($L1414,应收单号,0)),"")&lt;&gt;$D1414),"★关联单号不是这个客户的",IF(AND($L1414&lt;&gt;"",ROUND(SUMIF(收款关联,$L1414,收款金额)-IFERROR(INDEX(应收金额,MATCH($L1414,应收单号,0)),0),2)&gt;0.001),"★指定冲销超过那张单的应收","OK"))))))))</f>
        <v/>
      </c>
    </row>
    <row r="1415" customFormat="false" ht="15" hidden="false" customHeight="false" outlineLevel="0" collapsed="false">
      <c r="A1415" s="29" t="str">
        <f aca="false">IF($C1415="","",ROW()-4)</f>
        <v/>
      </c>
      <c r="B1415" s="35" t="str">
        <f aca="false">IF($C1415="","","SK"&amp;TEXT($C1415,"yyyymm")&amp;"-"&amp;TEXT(ROW()-4,"0000"))</f>
        <v/>
      </c>
      <c r="C1415" s="33"/>
      <c r="D1415" s="24"/>
      <c r="E1415" s="30" t="str">
        <f aca="false">IF($D1415="","",IFERROR(INDEX(合同单位,MATCH($D1415,合同键,0)),IFERROR(TRIM(LEFT($D1415,FIND("｜",$D1415)-1)),$D1415)))</f>
        <v/>
      </c>
      <c r="F1415" s="30" t="str">
        <f aca="false">IF($D1415="","",IFERROR(INDEX(合同项目,MATCH($D1415,合同键,0)),IFERROR(TRIM(MID($D1415,FIND("｜",$D1415)+1,99)),"")))</f>
        <v/>
      </c>
      <c r="G1415" s="39"/>
      <c r="H1415" s="25"/>
      <c r="I1415" s="35" t="str">
        <f aca="false">IF($H1415="","",IFERROR(INDEX(票据归类表,MATCH($H1415,票据类型表,0)),"现金无票"))</f>
        <v/>
      </c>
      <c r="J1415" s="25"/>
      <c r="K1415" s="25"/>
      <c r="L1415" s="31"/>
      <c r="M1415" s="29" t="str">
        <f aca="false">IF($C1415="","",YEAR($C1415))</f>
        <v/>
      </c>
      <c r="N1415" s="24"/>
      <c r="O1415" s="35" t="str">
        <f aca="false">IF($C1415="","",IF($D1415="","★没选客户项目",IF(COUNTIF(合同键,$D1415)=0,"★《维保合同》里没这个项目",IF(N($G1415)&lt;=0,"★收款金额要填",IF($H1415="","★票据类型要选",IF(AND($L1415&lt;&gt;"",COUNTIF(应收单号,$L1415)=0),"★关联的应收单号不存在",IF(AND($L1415&lt;&gt;"",IFERROR(INDEX(应收键,MATCH($L1415,应收单号,0)),"")&lt;&gt;$D1415),"★关联单号不是这个客户的",IF(AND($L1415&lt;&gt;"",ROUND(SUMIF(收款关联,$L1415,收款金额)-IFERROR(INDEX(应收金额,MATCH($L1415,应收单号,0)),0),2)&gt;0.001),"★指定冲销超过那张单的应收","OK"))))))))</f>
        <v/>
      </c>
    </row>
    <row r="1416" customFormat="false" ht="15" hidden="false" customHeight="false" outlineLevel="0" collapsed="false">
      <c r="A1416" s="29" t="str">
        <f aca="false">IF($C1416="","",ROW()-4)</f>
        <v/>
      </c>
      <c r="B1416" s="35" t="str">
        <f aca="false">IF($C1416="","","SK"&amp;TEXT($C1416,"yyyymm")&amp;"-"&amp;TEXT(ROW()-4,"0000"))</f>
        <v/>
      </c>
      <c r="C1416" s="33"/>
      <c r="D1416" s="24"/>
      <c r="E1416" s="30" t="str">
        <f aca="false">IF($D1416="","",IFERROR(INDEX(合同单位,MATCH($D1416,合同键,0)),IFERROR(TRIM(LEFT($D1416,FIND("｜",$D1416)-1)),$D1416)))</f>
        <v/>
      </c>
      <c r="F1416" s="30" t="str">
        <f aca="false">IF($D1416="","",IFERROR(INDEX(合同项目,MATCH($D1416,合同键,0)),IFERROR(TRIM(MID($D1416,FIND("｜",$D1416)+1,99)),"")))</f>
        <v/>
      </c>
      <c r="G1416" s="39"/>
      <c r="H1416" s="25"/>
      <c r="I1416" s="35" t="str">
        <f aca="false">IF($H1416="","",IFERROR(INDEX(票据归类表,MATCH($H1416,票据类型表,0)),"现金无票"))</f>
        <v/>
      </c>
      <c r="J1416" s="25"/>
      <c r="K1416" s="25"/>
      <c r="L1416" s="31"/>
      <c r="M1416" s="29" t="str">
        <f aca="false">IF($C1416="","",YEAR($C1416))</f>
        <v/>
      </c>
      <c r="N1416" s="24"/>
      <c r="O1416" s="35" t="str">
        <f aca="false">IF($C1416="","",IF($D1416="","★没选客户项目",IF(COUNTIF(合同键,$D1416)=0,"★《维保合同》里没这个项目",IF(N($G1416)&lt;=0,"★收款金额要填",IF($H1416="","★票据类型要选",IF(AND($L1416&lt;&gt;"",COUNTIF(应收单号,$L1416)=0),"★关联的应收单号不存在",IF(AND($L1416&lt;&gt;"",IFERROR(INDEX(应收键,MATCH($L1416,应收单号,0)),"")&lt;&gt;$D1416),"★关联单号不是这个客户的",IF(AND($L1416&lt;&gt;"",ROUND(SUMIF(收款关联,$L1416,收款金额)-IFERROR(INDEX(应收金额,MATCH($L1416,应收单号,0)),0),2)&gt;0.001),"★指定冲销超过那张单的应收","OK"))))))))</f>
        <v/>
      </c>
    </row>
    <row r="1417" customFormat="false" ht="15" hidden="false" customHeight="false" outlineLevel="0" collapsed="false">
      <c r="A1417" s="29" t="str">
        <f aca="false">IF($C1417="","",ROW()-4)</f>
        <v/>
      </c>
      <c r="B1417" s="35" t="str">
        <f aca="false">IF($C1417="","","SK"&amp;TEXT($C1417,"yyyymm")&amp;"-"&amp;TEXT(ROW()-4,"0000"))</f>
        <v/>
      </c>
      <c r="C1417" s="33"/>
      <c r="D1417" s="24"/>
      <c r="E1417" s="30" t="str">
        <f aca="false">IF($D1417="","",IFERROR(INDEX(合同单位,MATCH($D1417,合同键,0)),IFERROR(TRIM(LEFT($D1417,FIND("｜",$D1417)-1)),$D1417)))</f>
        <v/>
      </c>
      <c r="F1417" s="30" t="str">
        <f aca="false">IF($D1417="","",IFERROR(INDEX(合同项目,MATCH($D1417,合同键,0)),IFERROR(TRIM(MID($D1417,FIND("｜",$D1417)+1,99)),"")))</f>
        <v/>
      </c>
      <c r="G1417" s="39"/>
      <c r="H1417" s="25"/>
      <c r="I1417" s="35" t="str">
        <f aca="false">IF($H1417="","",IFERROR(INDEX(票据归类表,MATCH($H1417,票据类型表,0)),"现金无票"))</f>
        <v/>
      </c>
      <c r="J1417" s="25"/>
      <c r="K1417" s="25"/>
      <c r="L1417" s="31"/>
      <c r="M1417" s="29" t="str">
        <f aca="false">IF($C1417="","",YEAR($C1417))</f>
        <v/>
      </c>
      <c r="N1417" s="24"/>
      <c r="O1417" s="35" t="str">
        <f aca="false">IF($C1417="","",IF($D1417="","★没选客户项目",IF(COUNTIF(合同键,$D1417)=0,"★《维保合同》里没这个项目",IF(N($G1417)&lt;=0,"★收款金额要填",IF($H1417="","★票据类型要选",IF(AND($L1417&lt;&gt;"",COUNTIF(应收单号,$L1417)=0),"★关联的应收单号不存在",IF(AND($L1417&lt;&gt;"",IFERROR(INDEX(应收键,MATCH($L1417,应收单号,0)),"")&lt;&gt;$D1417),"★关联单号不是这个客户的",IF(AND($L1417&lt;&gt;"",ROUND(SUMIF(收款关联,$L1417,收款金额)-IFERROR(INDEX(应收金额,MATCH($L1417,应收单号,0)),0),2)&gt;0.001),"★指定冲销超过那张单的应收","OK"))))))))</f>
        <v/>
      </c>
    </row>
    <row r="1418" customFormat="false" ht="15" hidden="false" customHeight="false" outlineLevel="0" collapsed="false">
      <c r="A1418" s="29" t="str">
        <f aca="false">IF($C1418="","",ROW()-4)</f>
        <v/>
      </c>
      <c r="B1418" s="35" t="str">
        <f aca="false">IF($C1418="","","SK"&amp;TEXT($C1418,"yyyymm")&amp;"-"&amp;TEXT(ROW()-4,"0000"))</f>
        <v/>
      </c>
      <c r="C1418" s="33"/>
      <c r="D1418" s="24"/>
      <c r="E1418" s="30" t="str">
        <f aca="false">IF($D1418="","",IFERROR(INDEX(合同单位,MATCH($D1418,合同键,0)),IFERROR(TRIM(LEFT($D1418,FIND("｜",$D1418)-1)),$D1418)))</f>
        <v/>
      </c>
      <c r="F1418" s="30" t="str">
        <f aca="false">IF($D1418="","",IFERROR(INDEX(合同项目,MATCH($D1418,合同键,0)),IFERROR(TRIM(MID($D1418,FIND("｜",$D1418)+1,99)),"")))</f>
        <v/>
      </c>
      <c r="G1418" s="39"/>
      <c r="H1418" s="25"/>
      <c r="I1418" s="35" t="str">
        <f aca="false">IF($H1418="","",IFERROR(INDEX(票据归类表,MATCH($H1418,票据类型表,0)),"现金无票"))</f>
        <v/>
      </c>
      <c r="J1418" s="25"/>
      <c r="K1418" s="25"/>
      <c r="L1418" s="31"/>
      <c r="M1418" s="29" t="str">
        <f aca="false">IF($C1418="","",YEAR($C1418))</f>
        <v/>
      </c>
      <c r="N1418" s="24"/>
      <c r="O1418" s="35" t="str">
        <f aca="false">IF($C1418="","",IF($D1418="","★没选客户项目",IF(COUNTIF(合同键,$D1418)=0,"★《维保合同》里没这个项目",IF(N($G1418)&lt;=0,"★收款金额要填",IF($H1418="","★票据类型要选",IF(AND($L1418&lt;&gt;"",COUNTIF(应收单号,$L1418)=0),"★关联的应收单号不存在",IF(AND($L1418&lt;&gt;"",IFERROR(INDEX(应收键,MATCH($L1418,应收单号,0)),"")&lt;&gt;$D1418),"★关联单号不是这个客户的",IF(AND($L1418&lt;&gt;"",ROUND(SUMIF(收款关联,$L1418,收款金额)-IFERROR(INDEX(应收金额,MATCH($L1418,应收单号,0)),0),2)&gt;0.001),"★指定冲销超过那张单的应收","OK"))))))))</f>
        <v/>
      </c>
    </row>
    <row r="1419" customFormat="false" ht="15" hidden="false" customHeight="false" outlineLevel="0" collapsed="false">
      <c r="A1419" s="29" t="str">
        <f aca="false">IF($C1419="","",ROW()-4)</f>
        <v/>
      </c>
      <c r="B1419" s="35" t="str">
        <f aca="false">IF($C1419="","","SK"&amp;TEXT($C1419,"yyyymm")&amp;"-"&amp;TEXT(ROW()-4,"0000"))</f>
        <v/>
      </c>
      <c r="C1419" s="33"/>
      <c r="D1419" s="24"/>
      <c r="E1419" s="30" t="str">
        <f aca="false">IF($D1419="","",IFERROR(INDEX(合同单位,MATCH($D1419,合同键,0)),IFERROR(TRIM(LEFT($D1419,FIND("｜",$D1419)-1)),$D1419)))</f>
        <v/>
      </c>
      <c r="F1419" s="30" t="str">
        <f aca="false">IF($D1419="","",IFERROR(INDEX(合同项目,MATCH($D1419,合同键,0)),IFERROR(TRIM(MID($D1419,FIND("｜",$D1419)+1,99)),"")))</f>
        <v/>
      </c>
      <c r="G1419" s="39"/>
      <c r="H1419" s="25"/>
      <c r="I1419" s="35" t="str">
        <f aca="false">IF($H1419="","",IFERROR(INDEX(票据归类表,MATCH($H1419,票据类型表,0)),"现金无票"))</f>
        <v/>
      </c>
      <c r="J1419" s="25"/>
      <c r="K1419" s="25"/>
      <c r="L1419" s="31"/>
      <c r="M1419" s="29" t="str">
        <f aca="false">IF($C1419="","",YEAR($C1419))</f>
        <v/>
      </c>
      <c r="N1419" s="24"/>
      <c r="O1419" s="35" t="str">
        <f aca="false">IF($C1419="","",IF($D1419="","★没选客户项目",IF(COUNTIF(合同键,$D1419)=0,"★《维保合同》里没这个项目",IF(N($G1419)&lt;=0,"★收款金额要填",IF($H1419="","★票据类型要选",IF(AND($L1419&lt;&gt;"",COUNTIF(应收单号,$L1419)=0),"★关联的应收单号不存在",IF(AND($L1419&lt;&gt;"",IFERROR(INDEX(应收键,MATCH($L1419,应收单号,0)),"")&lt;&gt;$D1419),"★关联单号不是这个客户的",IF(AND($L1419&lt;&gt;"",ROUND(SUMIF(收款关联,$L1419,收款金额)-IFERROR(INDEX(应收金额,MATCH($L1419,应收单号,0)),0),2)&gt;0.001),"★指定冲销超过那张单的应收","OK"))))))))</f>
        <v/>
      </c>
    </row>
    <row r="1420" customFormat="false" ht="15" hidden="false" customHeight="false" outlineLevel="0" collapsed="false">
      <c r="A1420" s="29" t="str">
        <f aca="false">IF($C1420="","",ROW()-4)</f>
        <v/>
      </c>
      <c r="B1420" s="35" t="str">
        <f aca="false">IF($C1420="","","SK"&amp;TEXT($C1420,"yyyymm")&amp;"-"&amp;TEXT(ROW()-4,"0000"))</f>
        <v/>
      </c>
      <c r="C1420" s="33"/>
      <c r="D1420" s="24"/>
      <c r="E1420" s="30" t="str">
        <f aca="false">IF($D1420="","",IFERROR(INDEX(合同单位,MATCH($D1420,合同键,0)),IFERROR(TRIM(LEFT($D1420,FIND("｜",$D1420)-1)),$D1420)))</f>
        <v/>
      </c>
      <c r="F1420" s="30" t="str">
        <f aca="false">IF($D1420="","",IFERROR(INDEX(合同项目,MATCH($D1420,合同键,0)),IFERROR(TRIM(MID($D1420,FIND("｜",$D1420)+1,99)),"")))</f>
        <v/>
      </c>
      <c r="G1420" s="39"/>
      <c r="H1420" s="25"/>
      <c r="I1420" s="35" t="str">
        <f aca="false">IF($H1420="","",IFERROR(INDEX(票据归类表,MATCH($H1420,票据类型表,0)),"现金无票"))</f>
        <v/>
      </c>
      <c r="J1420" s="25"/>
      <c r="K1420" s="25"/>
      <c r="L1420" s="31"/>
      <c r="M1420" s="29" t="str">
        <f aca="false">IF($C1420="","",YEAR($C1420))</f>
        <v/>
      </c>
      <c r="N1420" s="24"/>
      <c r="O1420" s="35" t="str">
        <f aca="false">IF($C1420="","",IF($D1420="","★没选客户项目",IF(COUNTIF(合同键,$D1420)=0,"★《维保合同》里没这个项目",IF(N($G1420)&lt;=0,"★收款金额要填",IF($H1420="","★票据类型要选",IF(AND($L1420&lt;&gt;"",COUNTIF(应收单号,$L1420)=0),"★关联的应收单号不存在",IF(AND($L1420&lt;&gt;"",IFERROR(INDEX(应收键,MATCH($L1420,应收单号,0)),"")&lt;&gt;$D1420),"★关联单号不是这个客户的",IF(AND($L1420&lt;&gt;"",ROUND(SUMIF(收款关联,$L1420,收款金额)-IFERROR(INDEX(应收金额,MATCH($L1420,应收单号,0)),0),2)&gt;0.001),"★指定冲销超过那张单的应收","OK"))))))))</f>
        <v/>
      </c>
    </row>
    <row r="1421" customFormat="false" ht="15" hidden="false" customHeight="false" outlineLevel="0" collapsed="false">
      <c r="A1421" s="29" t="str">
        <f aca="false">IF($C1421="","",ROW()-4)</f>
        <v/>
      </c>
      <c r="B1421" s="35" t="str">
        <f aca="false">IF($C1421="","","SK"&amp;TEXT($C1421,"yyyymm")&amp;"-"&amp;TEXT(ROW()-4,"0000"))</f>
        <v/>
      </c>
      <c r="C1421" s="33"/>
      <c r="D1421" s="24"/>
      <c r="E1421" s="30" t="str">
        <f aca="false">IF($D1421="","",IFERROR(INDEX(合同单位,MATCH($D1421,合同键,0)),IFERROR(TRIM(LEFT($D1421,FIND("｜",$D1421)-1)),$D1421)))</f>
        <v/>
      </c>
      <c r="F1421" s="30" t="str">
        <f aca="false">IF($D1421="","",IFERROR(INDEX(合同项目,MATCH($D1421,合同键,0)),IFERROR(TRIM(MID($D1421,FIND("｜",$D1421)+1,99)),"")))</f>
        <v/>
      </c>
      <c r="G1421" s="39"/>
      <c r="H1421" s="25"/>
      <c r="I1421" s="35" t="str">
        <f aca="false">IF($H1421="","",IFERROR(INDEX(票据归类表,MATCH($H1421,票据类型表,0)),"现金无票"))</f>
        <v/>
      </c>
      <c r="J1421" s="25"/>
      <c r="K1421" s="25"/>
      <c r="L1421" s="31"/>
      <c r="M1421" s="29" t="str">
        <f aca="false">IF($C1421="","",YEAR($C1421))</f>
        <v/>
      </c>
      <c r="N1421" s="24"/>
      <c r="O1421" s="35" t="str">
        <f aca="false">IF($C1421="","",IF($D1421="","★没选客户项目",IF(COUNTIF(合同键,$D1421)=0,"★《维保合同》里没这个项目",IF(N($G1421)&lt;=0,"★收款金额要填",IF($H1421="","★票据类型要选",IF(AND($L1421&lt;&gt;"",COUNTIF(应收单号,$L1421)=0),"★关联的应收单号不存在",IF(AND($L1421&lt;&gt;"",IFERROR(INDEX(应收键,MATCH($L1421,应收单号,0)),"")&lt;&gt;$D1421),"★关联单号不是这个客户的",IF(AND($L1421&lt;&gt;"",ROUND(SUMIF(收款关联,$L1421,收款金额)-IFERROR(INDEX(应收金额,MATCH($L1421,应收单号,0)),0),2)&gt;0.001),"★指定冲销超过那张单的应收","OK"))))))))</f>
        <v/>
      </c>
    </row>
    <row r="1422" customFormat="false" ht="15" hidden="false" customHeight="false" outlineLevel="0" collapsed="false">
      <c r="A1422" s="29" t="str">
        <f aca="false">IF($C1422="","",ROW()-4)</f>
        <v/>
      </c>
      <c r="B1422" s="35" t="str">
        <f aca="false">IF($C1422="","","SK"&amp;TEXT($C1422,"yyyymm")&amp;"-"&amp;TEXT(ROW()-4,"0000"))</f>
        <v/>
      </c>
      <c r="C1422" s="33"/>
      <c r="D1422" s="24"/>
      <c r="E1422" s="30" t="str">
        <f aca="false">IF($D1422="","",IFERROR(INDEX(合同单位,MATCH($D1422,合同键,0)),IFERROR(TRIM(LEFT($D1422,FIND("｜",$D1422)-1)),$D1422)))</f>
        <v/>
      </c>
      <c r="F1422" s="30" t="str">
        <f aca="false">IF($D1422="","",IFERROR(INDEX(合同项目,MATCH($D1422,合同键,0)),IFERROR(TRIM(MID($D1422,FIND("｜",$D1422)+1,99)),"")))</f>
        <v/>
      </c>
      <c r="G1422" s="39"/>
      <c r="H1422" s="25"/>
      <c r="I1422" s="35" t="str">
        <f aca="false">IF($H1422="","",IFERROR(INDEX(票据归类表,MATCH($H1422,票据类型表,0)),"现金无票"))</f>
        <v/>
      </c>
      <c r="J1422" s="25"/>
      <c r="K1422" s="25"/>
      <c r="L1422" s="31"/>
      <c r="M1422" s="29" t="str">
        <f aca="false">IF($C1422="","",YEAR($C1422))</f>
        <v/>
      </c>
      <c r="N1422" s="24"/>
      <c r="O1422" s="35" t="str">
        <f aca="false">IF($C1422="","",IF($D1422="","★没选客户项目",IF(COUNTIF(合同键,$D1422)=0,"★《维保合同》里没这个项目",IF(N($G1422)&lt;=0,"★收款金额要填",IF($H1422="","★票据类型要选",IF(AND($L1422&lt;&gt;"",COUNTIF(应收单号,$L1422)=0),"★关联的应收单号不存在",IF(AND($L1422&lt;&gt;"",IFERROR(INDEX(应收键,MATCH($L1422,应收单号,0)),"")&lt;&gt;$D1422),"★关联单号不是这个客户的",IF(AND($L1422&lt;&gt;"",ROUND(SUMIF(收款关联,$L1422,收款金额)-IFERROR(INDEX(应收金额,MATCH($L1422,应收单号,0)),0),2)&gt;0.001),"★指定冲销超过那张单的应收","OK"))))))))</f>
        <v/>
      </c>
    </row>
    <row r="1423" customFormat="false" ht="15" hidden="false" customHeight="false" outlineLevel="0" collapsed="false">
      <c r="A1423" s="29" t="str">
        <f aca="false">IF($C1423="","",ROW()-4)</f>
        <v/>
      </c>
      <c r="B1423" s="35" t="str">
        <f aca="false">IF($C1423="","","SK"&amp;TEXT($C1423,"yyyymm")&amp;"-"&amp;TEXT(ROW()-4,"0000"))</f>
        <v/>
      </c>
      <c r="C1423" s="33"/>
      <c r="D1423" s="24"/>
      <c r="E1423" s="30" t="str">
        <f aca="false">IF($D1423="","",IFERROR(INDEX(合同单位,MATCH($D1423,合同键,0)),IFERROR(TRIM(LEFT($D1423,FIND("｜",$D1423)-1)),$D1423)))</f>
        <v/>
      </c>
      <c r="F1423" s="30" t="str">
        <f aca="false">IF($D1423="","",IFERROR(INDEX(合同项目,MATCH($D1423,合同键,0)),IFERROR(TRIM(MID($D1423,FIND("｜",$D1423)+1,99)),"")))</f>
        <v/>
      </c>
      <c r="G1423" s="39"/>
      <c r="H1423" s="25"/>
      <c r="I1423" s="35" t="str">
        <f aca="false">IF($H1423="","",IFERROR(INDEX(票据归类表,MATCH($H1423,票据类型表,0)),"现金无票"))</f>
        <v/>
      </c>
      <c r="J1423" s="25"/>
      <c r="K1423" s="25"/>
      <c r="L1423" s="31"/>
      <c r="M1423" s="29" t="str">
        <f aca="false">IF($C1423="","",YEAR($C1423))</f>
        <v/>
      </c>
      <c r="N1423" s="24"/>
      <c r="O1423" s="35" t="str">
        <f aca="false">IF($C1423="","",IF($D1423="","★没选客户项目",IF(COUNTIF(合同键,$D1423)=0,"★《维保合同》里没这个项目",IF(N($G1423)&lt;=0,"★收款金额要填",IF($H1423="","★票据类型要选",IF(AND($L1423&lt;&gt;"",COUNTIF(应收单号,$L1423)=0),"★关联的应收单号不存在",IF(AND($L1423&lt;&gt;"",IFERROR(INDEX(应收键,MATCH($L1423,应收单号,0)),"")&lt;&gt;$D1423),"★关联单号不是这个客户的",IF(AND($L1423&lt;&gt;"",ROUND(SUMIF(收款关联,$L1423,收款金额)-IFERROR(INDEX(应收金额,MATCH($L1423,应收单号,0)),0),2)&gt;0.001),"★指定冲销超过那张单的应收","OK"))))))))</f>
        <v/>
      </c>
    </row>
    <row r="1424" customFormat="false" ht="15" hidden="false" customHeight="false" outlineLevel="0" collapsed="false">
      <c r="A1424" s="29" t="str">
        <f aca="false">IF($C1424="","",ROW()-4)</f>
        <v/>
      </c>
      <c r="B1424" s="35" t="str">
        <f aca="false">IF($C1424="","","SK"&amp;TEXT($C1424,"yyyymm")&amp;"-"&amp;TEXT(ROW()-4,"0000"))</f>
        <v/>
      </c>
      <c r="C1424" s="33"/>
      <c r="D1424" s="24"/>
      <c r="E1424" s="30" t="str">
        <f aca="false">IF($D1424="","",IFERROR(INDEX(合同单位,MATCH($D1424,合同键,0)),IFERROR(TRIM(LEFT($D1424,FIND("｜",$D1424)-1)),$D1424)))</f>
        <v/>
      </c>
      <c r="F1424" s="30" t="str">
        <f aca="false">IF($D1424="","",IFERROR(INDEX(合同项目,MATCH($D1424,合同键,0)),IFERROR(TRIM(MID($D1424,FIND("｜",$D1424)+1,99)),"")))</f>
        <v/>
      </c>
      <c r="G1424" s="39"/>
      <c r="H1424" s="25"/>
      <c r="I1424" s="35" t="str">
        <f aca="false">IF($H1424="","",IFERROR(INDEX(票据归类表,MATCH($H1424,票据类型表,0)),"现金无票"))</f>
        <v/>
      </c>
      <c r="J1424" s="25"/>
      <c r="K1424" s="25"/>
      <c r="L1424" s="31"/>
      <c r="M1424" s="29" t="str">
        <f aca="false">IF($C1424="","",YEAR($C1424))</f>
        <v/>
      </c>
      <c r="N1424" s="24"/>
      <c r="O1424" s="35" t="str">
        <f aca="false">IF($C1424="","",IF($D1424="","★没选客户项目",IF(COUNTIF(合同键,$D1424)=0,"★《维保合同》里没这个项目",IF(N($G1424)&lt;=0,"★收款金额要填",IF($H1424="","★票据类型要选",IF(AND($L1424&lt;&gt;"",COUNTIF(应收单号,$L1424)=0),"★关联的应收单号不存在",IF(AND($L1424&lt;&gt;"",IFERROR(INDEX(应收键,MATCH($L1424,应收单号,0)),"")&lt;&gt;$D1424),"★关联单号不是这个客户的",IF(AND($L1424&lt;&gt;"",ROUND(SUMIF(收款关联,$L1424,收款金额)-IFERROR(INDEX(应收金额,MATCH($L1424,应收单号,0)),0),2)&gt;0.001),"★指定冲销超过那张单的应收","OK"))))))))</f>
        <v/>
      </c>
    </row>
    <row r="1425" customFormat="false" ht="15" hidden="false" customHeight="false" outlineLevel="0" collapsed="false">
      <c r="A1425" s="29" t="str">
        <f aca="false">IF($C1425="","",ROW()-4)</f>
        <v/>
      </c>
      <c r="B1425" s="35" t="str">
        <f aca="false">IF($C1425="","","SK"&amp;TEXT($C1425,"yyyymm")&amp;"-"&amp;TEXT(ROW()-4,"0000"))</f>
        <v/>
      </c>
      <c r="C1425" s="33"/>
      <c r="D1425" s="24"/>
      <c r="E1425" s="30" t="str">
        <f aca="false">IF($D1425="","",IFERROR(INDEX(合同单位,MATCH($D1425,合同键,0)),IFERROR(TRIM(LEFT($D1425,FIND("｜",$D1425)-1)),$D1425)))</f>
        <v/>
      </c>
      <c r="F1425" s="30" t="str">
        <f aca="false">IF($D1425="","",IFERROR(INDEX(合同项目,MATCH($D1425,合同键,0)),IFERROR(TRIM(MID($D1425,FIND("｜",$D1425)+1,99)),"")))</f>
        <v/>
      </c>
      <c r="G1425" s="39"/>
      <c r="H1425" s="25"/>
      <c r="I1425" s="35" t="str">
        <f aca="false">IF($H1425="","",IFERROR(INDEX(票据归类表,MATCH($H1425,票据类型表,0)),"现金无票"))</f>
        <v/>
      </c>
      <c r="J1425" s="25"/>
      <c r="K1425" s="25"/>
      <c r="L1425" s="31"/>
      <c r="M1425" s="29" t="str">
        <f aca="false">IF($C1425="","",YEAR($C1425))</f>
        <v/>
      </c>
      <c r="N1425" s="24"/>
      <c r="O1425" s="35" t="str">
        <f aca="false">IF($C1425="","",IF($D1425="","★没选客户项目",IF(COUNTIF(合同键,$D1425)=0,"★《维保合同》里没这个项目",IF(N($G1425)&lt;=0,"★收款金额要填",IF($H1425="","★票据类型要选",IF(AND($L1425&lt;&gt;"",COUNTIF(应收单号,$L1425)=0),"★关联的应收单号不存在",IF(AND($L1425&lt;&gt;"",IFERROR(INDEX(应收键,MATCH($L1425,应收单号,0)),"")&lt;&gt;$D1425),"★关联单号不是这个客户的",IF(AND($L1425&lt;&gt;"",ROUND(SUMIF(收款关联,$L1425,收款金额)-IFERROR(INDEX(应收金额,MATCH($L1425,应收单号,0)),0),2)&gt;0.001),"★指定冲销超过那张单的应收","OK"))))))))</f>
        <v/>
      </c>
    </row>
    <row r="1426" customFormat="false" ht="15" hidden="false" customHeight="false" outlineLevel="0" collapsed="false">
      <c r="A1426" s="29" t="str">
        <f aca="false">IF($C1426="","",ROW()-4)</f>
        <v/>
      </c>
      <c r="B1426" s="35" t="str">
        <f aca="false">IF($C1426="","","SK"&amp;TEXT($C1426,"yyyymm")&amp;"-"&amp;TEXT(ROW()-4,"0000"))</f>
        <v/>
      </c>
      <c r="C1426" s="33"/>
      <c r="D1426" s="24"/>
      <c r="E1426" s="30" t="str">
        <f aca="false">IF($D1426="","",IFERROR(INDEX(合同单位,MATCH($D1426,合同键,0)),IFERROR(TRIM(LEFT($D1426,FIND("｜",$D1426)-1)),$D1426)))</f>
        <v/>
      </c>
      <c r="F1426" s="30" t="str">
        <f aca="false">IF($D1426="","",IFERROR(INDEX(合同项目,MATCH($D1426,合同键,0)),IFERROR(TRIM(MID($D1426,FIND("｜",$D1426)+1,99)),"")))</f>
        <v/>
      </c>
      <c r="G1426" s="39"/>
      <c r="H1426" s="25"/>
      <c r="I1426" s="35" t="str">
        <f aca="false">IF($H1426="","",IFERROR(INDEX(票据归类表,MATCH($H1426,票据类型表,0)),"现金无票"))</f>
        <v/>
      </c>
      <c r="J1426" s="25"/>
      <c r="K1426" s="25"/>
      <c r="L1426" s="31"/>
      <c r="M1426" s="29" t="str">
        <f aca="false">IF($C1426="","",YEAR($C1426))</f>
        <v/>
      </c>
      <c r="N1426" s="24"/>
      <c r="O1426" s="35" t="str">
        <f aca="false">IF($C1426="","",IF($D1426="","★没选客户项目",IF(COUNTIF(合同键,$D1426)=0,"★《维保合同》里没这个项目",IF(N($G1426)&lt;=0,"★收款金额要填",IF($H1426="","★票据类型要选",IF(AND($L1426&lt;&gt;"",COUNTIF(应收单号,$L1426)=0),"★关联的应收单号不存在",IF(AND($L1426&lt;&gt;"",IFERROR(INDEX(应收键,MATCH($L1426,应收单号,0)),"")&lt;&gt;$D1426),"★关联单号不是这个客户的",IF(AND($L1426&lt;&gt;"",ROUND(SUMIF(收款关联,$L1426,收款金额)-IFERROR(INDEX(应收金额,MATCH($L1426,应收单号,0)),0),2)&gt;0.001),"★指定冲销超过那张单的应收","OK"))))))))</f>
        <v/>
      </c>
    </row>
    <row r="1427" customFormat="false" ht="15" hidden="false" customHeight="false" outlineLevel="0" collapsed="false">
      <c r="A1427" s="29" t="str">
        <f aca="false">IF($C1427="","",ROW()-4)</f>
        <v/>
      </c>
      <c r="B1427" s="35" t="str">
        <f aca="false">IF($C1427="","","SK"&amp;TEXT($C1427,"yyyymm")&amp;"-"&amp;TEXT(ROW()-4,"0000"))</f>
        <v/>
      </c>
      <c r="C1427" s="33"/>
      <c r="D1427" s="24"/>
      <c r="E1427" s="30" t="str">
        <f aca="false">IF($D1427="","",IFERROR(INDEX(合同单位,MATCH($D1427,合同键,0)),IFERROR(TRIM(LEFT($D1427,FIND("｜",$D1427)-1)),$D1427)))</f>
        <v/>
      </c>
      <c r="F1427" s="30" t="str">
        <f aca="false">IF($D1427="","",IFERROR(INDEX(合同项目,MATCH($D1427,合同键,0)),IFERROR(TRIM(MID($D1427,FIND("｜",$D1427)+1,99)),"")))</f>
        <v/>
      </c>
      <c r="G1427" s="39"/>
      <c r="H1427" s="25"/>
      <c r="I1427" s="35" t="str">
        <f aca="false">IF($H1427="","",IFERROR(INDEX(票据归类表,MATCH($H1427,票据类型表,0)),"现金无票"))</f>
        <v/>
      </c>
      <c r="J1427" s="25"/>
      <c r="K1427" s="25"/>
      <c r="L1427" s="31"/>
      <c r="M1427" s="29" t="str">
        <f aca="false">IF($C1427="","",YEAR($C1427))</f>
        <v/>
      </c>
      <c r="N1427" s="24"/>
      <c r="O1427" s="35" t="str">
        <f aca="false">IF($C1427="","",IF($D1427="","★没选客户项目",IF(COUNTIF(合同键,$D1427)=0,"★《维保合同》里没这个项目",IF(N($G1427)&lt;=0,"★收款金额要填",IF($H1427="","★票据类型要选",IF(AND($L1427&lt;&gt;"",COUNTIF(应收单号,$L1427)=0),"★关联的应收单号不存在",IF(AND($L1427&lt;&gt;"",IFERROR(INDEX(应收键,MATCH($L1427,应收单号,0)),"")&lt;&gt;$D1427),"★关联单号不是这个客户的",IF(AND($L1427&lt;&gt;"",ROUND(SUMIF(收款关联,$L1427,收款金额)-IFERROR(INDEX(应收金额,MATCH($L1427,应收单号,0)),0),2)&gt;0.001),"★指定冲销超过那张单的应收","OK"))))))))</f>
        <v/>
      </c>
    </row>
    <row r="1428" customFormat="false" ht="15" hidden="false" customHeight="false" outlineLevel="0" collapsed="false">
      <c r="A1428" s="29" t="str">
        <f aca="false">IF($C1428="","",ROW()-4)</f>
        <v/>
      </c>
      <c r="B1428" s="35" t="str">
        <f aca="false">IF($C1428="","","SK"&amp;TEXT($C1428,"yyyymm")&amp;"-"&amp;TEXT(ROW()-4,"0000"))</f>
        <v/>
      </c>
      <c r="C1428" s="33"/>
      <c r="D1428" s="24"/>
      <c r="E1428" s="30" t="str">
        <f aca="false">IF($D1428="","",IFERROR(INDEX(合同单位,MATCH($D1428,合同键,0)),IFERROR(TRIM(LEFT($D1428,FIND("｜",$D1428)-1)),$D1428)))</f>
        <v/>
      </c>
      <c r="F1428" s="30" t="str">
        <f aca="false">IF($D1428="","",IFERROR(INDEX(合同项目,MATCH($D1428,合同键,0)),IFERROR(TRIM(MID($D1428,FIND("｜",$D1428)+1,99)),"")))</f>
        <v/>
      </c>
      <c r="G1428" s="39"/>
      <c r="H1428" s="25"/>
      <c r="I1428" s="35" t="str">
        <f aca="false">IF($H1428="","",IFERROR(INDEX(票据归类表,MATCH($H1428,票据类型表,0)),"现金无票"))</f>
        <v/>
      </c>
      <c r="J1428" s="25"/>
      <c r="K1428" s="25"/>
      <c r="L1428" s="31"/>
      <c r="M1428" s="29" t="str">
        <f aca="false">IF($C1428="","",YEAR($C1428))</f>
        <v/>
      </c>
      <c r="N1428" s="24"/>
      <c r="O1428" s="35" t="str">
        <f aca="false">IF($C1428="","",IF($D1428="","★没选客户项目",IF(COUNTIF(合同键,$D1428)=0,"★《维保合同》里没这个项目",IF(N($G1428)&lt;=0,"★收款金额要填",IF($H1428="","★票据类型要选",IF(AND($L1428&lt;&gt;"",COUNTIF(应收单号,$L1428)=0),"★关联的应收单号不存在",IF(AND($L1428&lt;&gt;"",IFERROR(INDEX(应收键,MATCH($L1428,应收单号,0)),"")&lt;&gt;$D1428),"★关联单号不是这个客户的",IF(AND($L1428&lt;&gt;"",ROUND(SUMIF(收款关联,$L1428,收款金额)-IFERROR(INDEX(应收金额,MATCH($L1428,应收单号,0)),0),2)&gt;0.001),"★指定冲销超过那张单的应收","OK"))))))))</f>
        <v/>
      </c>
    </row>
    <row r="1429" customFormat="false" ht="15" hidden="false" customHeight="false" outlineLevel="0" collapsed="false">
      <c r="A1429" s="29" t="str">
        <f aca="false">IF($C1429="","",ROW()-4)</f>
        <v/>
      </c>
      <c r="B1429" s="35" t="str">
        <f aca="false">IF($C1429="","","SK"&amp;TEXT($C1429,"yyyymm")&amp;"-"&amp;TEXT(ROW()-4,"0000"))</f>
        <v/>
      </c>
      <c r="C1429" s="33"/>
      <c r="D1429" s="24"/>
      <c r="E1429" s="30" t="str">
        <f aca="false">IF($D1429="","",IFERROR(INDEX(合同单位,MATCH($D1429,合同键,0)),IFERROR(TRIM(LEFT($D1429,FIND("｜",$D1429)-1)),$D1429)))</f>
        <v/>
      </c>
      <c r="F1429" s="30" t="str">
        <f aca="false">IF($D1429="","",IFERROR(INDEX(合同项目,MATCH($D1429,合同键,0)),IFERROR(TRIM(MID($D1429,FIND("｜",$D1429)+1,99)),"")))</f>
        <v/>
      </c>
      <c r="G1429" s="39"/>
      <c r="H1429" s="25"/>
      <c r="I1429" s="35" t="str">
        <f aca="false">IF($H1429="","",IFERROR(INDEX(票据归类表,MATCH($H1429,票据类型表,0)),"现金无票"))</f>
        <v/>
      </c>
      <c r="J1429" s="25"/>
      <c r="K1429" s="25"/>
      <c r="L1429" s="31"/>
      <c r="M1429" s="29" t="str">
        <f aca="false">IF($C1429="","",YEAR($C1429))</f>
        <v/>
      </c>
      <c r="N1429" s="24"/>
      <c r="O1429" s="35" t="str">
        <f aca="false">IF($C1429="","",IF($D1429="","★没选客户项目",IF(COUNTIF(合同键,$D1429)=0,"★《维保合同》里没这个项目",IF(N($G1429)&lt;=0,"★收款金额要填",IF($H1429="","★票据类型要选",IF(AND($L1429&lt;&gt;"",COUNTIF(应收单号,$L1429)=0),"★关联的应收单号不存在",IF(AND($L1429&lt;&gt;"",IFERROR(INDEX(应收键,MATCH($L1429,应收单号,0)),"")&lt;&gt;$D1429),"★关联单号不是这个客户的",IF(AND($L1429&lt;&gt;"",ROUND(SUMIF(收款关联,$L1429,收款金额)-IFERROR(INDEX(应收金额,MATCH($L1429,应收单号,0)),0),2)&gt;0.001),"★指定冲销超过那张单的应收","OK"))))))))</f>
        <v/>
      </c>
    </row>
    <row r="1430" customFormat="false" ht="15" hidden="false" customHeight="false" outlineLevel="0" collapsed="false">
      <c r="A1430" s="29" t="str">
        <f aca="false">IF($C1430="","",ROW()-4)</f>
        <v/>
      </c>
      <c r="B1430" s="35" t="str">
        <f aca="false">IF($C1430="","","SK"&amp;TEXT($C1430,"yyyymm")&amp;"-"&amp;TEXT(ROW()-4,"0000"))</f>
        <v/>
      </c>
      <c r="C1430" s="33"/>
      <c r="D1430" s="24"/>
      <c r="E1430" s="30" t="str">
        <f aca="false">IF($D1430="","",IFERROR(INDEX(合同单位,MATCH($D1430,合同键,0)),IFERROR(TRIM(LEFT($D1430,FIND("｜",$D1430)-1)),$D1430)))</f>
        <v/>
      </c>
      <c r="F1430" s="30" t="str">
        <f aca="false">IF($D1430="","",IFERROR(INDEX(合同项目,MATCH($D1430,合同键,0)),IFERROR(TRIM(MID($D1430,FIND("｜",$D1430)+1,99)),"")))</f>
        <v/>
      </c>
      <c r="G1430" s="39"/>
      <c r="H1430" s="25"/>
      <c r="I1430" s="35" t="str">
        <f aca="false">IF($H1430="","",IFERROR(INDEX(票据归类表,MATCH($H1430,票据类型表,0)),"现金无票"))</f>
        <v/>
      </c>
      <c r="J1430" s="25"/>
      <c r="K1430" s="25"/>
      <c r="L1430" s="31"/>
      <c r="M1430" s="29" t="str">
        <f aca="false">IF($C1430="","",YEAR($C1430))</f>
        <v/>
      </c>
      <c r="N1430" s="24"/>
      <c r="O1430" s="35" t="str">
        <f aca="false">IF($C1430="","",IF($D1430="","★没选客户项目",IF(COUNTIF(合同键,$D1430)=0,"★《维保合同》里没这个项目",IF(N($G1430)&lt;=0,"★收款金额要填",IF($H1430="","★票据类型要选",IF(AND($L1430&lt;&gt;"",COUNTIF(应收单号,$L1430)=0),"★关联的应收单号不存在",IF(AND($L1430&lt;&gt;"",IFERROR(INDEX(应收键,MATCH($L1430,应收单号,0)),"")&lt;&gt;$D1430),"★关联单号不是这个客户的",IF(AND($L1430&lt;&gt;"",ROUND(SUMIF(收款关联,$L1430,收款金额)-IFERROR(INDEX(应收金额,MATCH($L1430,应收单号,0)),0),2)&gt;0.001),"★指定冲销超过那张单的应收","OK"))))))))</f>
        <v/>
      </c>
    </row>
    <row r="1431" customFormat="false" ht="15" hidden="false" customHeight="false" outlineLevel="0" collapsed="false">
      <c r="A1431" s="29" t="str">
        <f aca="false">IF($C1431="","",ROW()-4)</f>
        <v/>
      </c>
      <c r="B1431" s="35" t="str">
        <f aca="false">IF($C1431="","","SK"&amp;TEXT($C1431,"yyyymm")&amp;"-"&amp;TEXT(ROW()-4,"0000"))</f>
        <v/>
      </c>
      <c r="C1431" s="33"/>
      <c r="D1431" s="24"/>
      <c r="E1431" s="30" t="str">
        <f aca="false">IF($D1431="","",IFERROR(INDEX(合同单位,MATCH($D1431,合同键,0)),IFERROR(TRIM(LEFT($D1431,FIND("｜",$D1431)-1)),$D1431)))</f>
        <v/>
      </c>
      <c r="F1431" s="30" t="str">
        <f aca="false">IF($D1431="","",IFERROR(INDEX(合同项目,MATCH($D1431,合同键,0)),IFERROR(TRIM(MID($D1431,FIND("｜",$D1431)+1,99)),"")))</f>
        <v/>
      </c>
      <c r="G1431" s="39"/>
      <c r="H1431" s="25"/>
      <c r="I1431" s="35" t="str">
        <f aca="false">IF($H1431="","",IFERROR(INDEX(票据归类表,MATCH($H1431,票据类型表,0)),"现金无票"))</f>
        <v/>
      </c>
      <c r="J1431" s="25"/>
      <c r="K1431" s="25"/>
      <c r="L1431" s="31"/>
      <c r="M1431" s="29" t="str">
        <f aca="false">IF($C1431="","",YEAR($C1431))</f>
        <v/>
      </c>
      <c r="N1431" s="24"/>
      <c r="O1431" s="35" t="str">
        <f aca="false">IF($C1431="","",IF($D1431="","★没选客户项目",IF(COUNTIF(合同键,$D1431)=0,"★《维保合同》里没这个项目",IF(N($G1431)&lt;=0,"★收款金额要填",IF($H1431="","★票据类型要选",IF(AND($L1431&lt;&gt;"",COUNTIF(应收单号,$L1431)=0),"★关联的应收单号不存在",IF(AND($L1431&lt;&gt;"",IFERROR(INDEX(应收键,MATCH($L1431,应收单号,0)),"")&lt;&gt;$D1431),"★关联单号不是这个客户的",IF(AND($L1431&lt;&gt;"",ROUND(SUMIF(收款关联,$L1431,收款金额)-IFERROR(INDEX(应收金额,MATCH($L1431,应收单号,0)),0),2)&gt;0.001),"★指定冲销超过那张单的应收","OK"))))))))</f>
        <v/>
      </c>
    </row>
    <row r="1432" customFormat="false" ht="15" hidden="false" customHeight="false" outlineLevel="0" collapsed="false">
      <c r="A1432" s="29" t="str">
        <f aca="false">IF($C1432="","",ROW()-4)</f>
        <v/>
      </c>
      <c r="B1432" s="35" t="str">
        <f aca="false">IF($C1432="","","SK"&amp;TEXT($C1432,"yyyymm")&amp;"-"&amp;TEXT(ROW()-4,"0000"))</f>
        <v/>
      </c>
      <c r="C1432" s="33"/>
      <c r="D1432" s="24"/>
      <c r="E1432" s="30" t="str">
        <f aca="false">IF($D1432="","",IFERROR(INDEX(合同单位,MATCH($D1432,合同键,0)),IFERROR(TRIM(LEFT($D1432,FIND("｜",$D1432)-1)),$D1432)))</f>
        <v/>
      </c>
      <c r="F1432" s="30" t="str">
        <f aca="false">IF($D1432="","",IFERROR(INDEX(合同项目,MATCH($D1432,合同键,0)),IFERROR(TRIM(MID($D1432,FIND("｜",$D1432)+1,99)),"")))</f>
        <v/>
      </c>
      <c r="G1432" s="39"/>
      <c r="H1432" s="25"/>
      <c r="I1432" s="35" t="str">
        <f aca="false">IF($H1432="","",IFERROR(INDEX(票据归类表,MATCH($H1432,票据类型表,0)),"现金无票"))</f>
        <v/>
      </c>
      <c r="J1432" s="25"/>
      <c r="K1432" s="25"/>
      <c r="L1432" s="31"/>
      <c r="M1432" s="29" t="str">
        <f aca="false">IF($C1432="","",YEAR($C1432))</f>
        <v/>
      </c>
      <c r="N1432" s="24"/>
      <c r="O1432" s="35" t="str">
        <f aca="false">IF($C1432="","",IF($D1432="","★没选客户项目",IF(COUNTIF(合同键,$D1432)=0,"★《维保合同》里没这个项目",IF(N($G1432)&lt;=0,"★收款金额要填",IF($H1432="","★票据类型要选",IF(AND($L1432&lt;&gt;"",COUNTIF(应收单号,$L1432)=0),"★关联的应收单号不存在",IF(AND($L1432&lt;&gt;"",IFERROR(INDEX(应收键,MATCH($L1432,应收单号,0)),"")&lt;&gt;$D1432),"★关联单号不是这个客户的",IF(AND($L1432&lt;&gt;"",ROUND(SUMIF(收款关联,$L1432,收款金额)-IFERROR(INDEX(应收金额,MATCH($L1432,应收单号,0)),0),2)&gt;0.001),"★指定冲销超过那张单的应收","OK"))))))))</f>
        <v/>
      </c>
    </row>
    <row r="1433" customFormat="false" ht="15" hidden="false" customHeight="false" outlineLevel="0" collapsed="false">
      <c r="A1433" s="29" t="str">
        <f aca="false">IF($C1433="","",ROW()-4)</f>
        <v/>
      </c>
      <c r="B1433" s="35" t="str">
        <f aca="false">IF($C1433="","","SK"&amp;TEXT($C1433,"yyyymm")&amp;"-"&amp;TEXT(ROW()-4,"0000"))</f>
        <v/>
      </c>
      <c r="C1433" s="33"/>
      <c r="D1433" s="24"/>
      <c r="E1433" s="30" t="str">
        <f aca="false">IF($D1433="","",IFERROR(INDEX(合同单位,MATCH($D1433,合同键,0)),IFERROR(TRIM(LEFT($D1433,FIND("｜",$D1433)-1)),$D1433)))</f>
        <v/>
      </c>
      <c r="F1433" s="30" t="str">
        <f aca="false">IF($D1433="","",IFERROR(INDEX(合同项目,MATCH($D1433,合同键,0)),IFERROR(TRIM(MID($D1433,FIND("｜",$D1433)+1,99)),"")))</f>
        <v/>
      </c>
      <c r="G1433" s="39"/>
      <c r="H1433" s="25"/>
      <c r="I1433" s="35" t="str">
        <f aca="false">IF($H1433="","",IFERROR(INDEX(票据归类表,MATCH($H1433,票据类型表,0)),"现金无票"))</f>
        <v/>
      </c>
      <c r="J1433" s="25"/>
      <c r="K1433" s="25"/>
      <c r="L1433" s="31"/>
      <c r="M1433" s="29" t="str">
        <f aca="false">IF($C1433="","",YEAR($C1433))</f>
        <v/>
      </c>
      <c r="N1433" s="24"/>
      <c r="O1433" s="35" t="str">
        <f aca="false">IF($C1433="","",IF($D1433="","★没选客户项目",IF(COUNTIF(合同键,$D1433)=0,"★《维保合同》里没这个项目",IF(N($G1433)&lt;=0,"★收款金额要填",IF($H1433="","★票据类型要选",IF(AND($L1433&lt;&gt;"",COUNTIF(应收单号,$L1433)=0),"★关联的应收单号不存在",IF(AND($L1433&lt;&gt;"",IFERROR(INDEX(应收键,MATCH($L1433,应收单号,0)),"")&lt;&gt;$D1433),"★关联单号不是这个客户的",IF(AND($L1433&lt;&gt;"",ROUND(SUMIF(收款关联,$L1433,收款金额)-IFERROR(INDEX(应收金额,MATCH($L1433,应收单号,0)),0),2)&gt;0.001),"★指定冲销超过那张单的应收","OK"))))))))</f>
        <v/>
      </c>
    </row>
    <row r="1434" customFormat="false" ht="15" hidden="false" customHeight="false" outlineLevel="0" collapsed="false">
      <c r="A1434" s="29" t="str">
        <f aca="false">IF($C1434="","",ROW()-4)</f>
        <v/>
      </c>
      <c r="B1434" s="35" t="str">
        <f aca="false">IF($C1434="","","SK"&amp;TEXT($C1434,"yyyymm")&amp;"-"&amp;TEXT(ROW()-4,"0000"))</f>
        <v/>
      </c>
      <c r="C1434" s="33"/>
      <c r="D1434" s="24"/>
      <c r="E1434" s="30" t="str">
        <f aca="false">IF($D1434="","",IFERROR(INDEX(合同单位,MATCH($D1434,合同键,0)),IFERROR(TRIM(LEFT($D1434,FIND("｜",$D1434)-1)),$D1434)))</f>
        <v/>
      </c>
      <c r="F1434" s="30" t="str">
        <f aca="false">IF($D1434="","",IFERROR(INDEX(合同项目,MATCH($D1434,合同键,0)),IFERROR(TRIM(MID($D1434,FIND("｜",$D1434)+1,99)),"")))</f>
        <v/>
      </c>
      <c r="G1434" s="39"/>
      <c r="H1434" s="25"/>
      <c r="I1434" s="35" t="str">
        <f aca="false">IF($H1434="","",IFERROR(INDEX(票据归类表,MATCH($H1434,票据类型表,0)),"现金无票"))</f>
        <v/>
      </c>
      <c r="J1434" s="25"/>
      <c r="K1434" s="25"/>
      <c r="L1434" s="31"/>
      <c r="M1434" s="29" t="str">
        <f aca="false">IF($C1434="","",YEAR($C1434))</f>
        <v/>
      </c>
      <c r="N1434" s="24"/>
      <c r="O1434" s="35" t="str">
        <f aca="false">IF($C1434="","",IF($D1434="","★没选客户项目",IF(COUNTIF(合同键,$D1434)=0,"★《维保合同》里没这个项目",IF(N($G1434)&lt;=0,"★收款金额要填",IF($H1434="","★票据类型要选",IF(AND($L1434&lt;&gt;"",COUNTIF(应收单号,$L1434)=0),"★关联的应收单号不存在",IF(AND($L1434&lt;&gt;"",IFERROR(INDEX(应收键,MATCH($L1434,应收单号,0)),"")&lt;&gt;$D1434),"★关联单号不是这个客户的",IF(AND($L1434&lt;&gt;"",ROUND(SUMIF(收款关联,$L1434,收款金额)-IFERROR(INDEX(应收金额,MATCH($L1434,应收单号,0)),0),2)&gt;0.001),"★指定冲销超过那张单的应收","OK"))))))))</f>
        <v/>
      </c>
    </row>
    <row r="1435" customFormat="false" ht="15" hidden="false" customHeight="false" outlineLevel="0" collapsed="false">
      <c r="A1435" s="29" t="str">
        <f aca="false">IF($C1435="","",ROW()-4)</f>
        <v/>
      </c>
      <c r="B1435" s="35" t="str">
        <f aca="false">IF($C1435="","","SK"&amp;TEXT($C1435,"yyyymm")&amp;"-"&amp;TEXT(ROW()-4,"0000"))</f>
        <v/>
      </c>
      <c r="C1435" s="33"/>
      <c r="D1435" s="24"/>
      <c r="E1435" s="30" t="str">
        <f aca="false">IF($D1435="","",IFERROR(INDEX(合同单位,MATCH($D1435,合同键,0)),IFERROR(TRIM(LEFT($D1435,FIND("｜",$D1435)-1)),$D1435)))</f>
        <v/>
      </c>
      <c r="F1435" s="30" t="str">
        <f aca="false">IF($D1435="","",IFERROR(INDEX(合同项目,MATCH($D1435,合同键,0)),IFERROR(TRIM(MID($D1435,FIND("｜",$D1435)+1,99)),"")))</f>
        <v/>
      </c>
      <c r="G1435" s="39"/>
      <c r="H1435" s="25"/>
      <c r="I1435" s="35" t="str">
        <f aca="false">IF($H1435="","",IFERROR(INDEX(票据归类表,MATCH($H1435,票据类型表,0)),"现金无票"))</f>
        <v/>
      </c>
      <c r="J1435" s="25"/>
      <c r="K1435" s="25"/>
      <c r="L1435" s="31"/>
      <c r="M1435" s="29" t="str">
        <f aca="false">IF($C1435="","",YEAR($C1435))</f>
        <v/>
      </c>
      <c r="N1435" s="24"/>
      <c r="O1435" s="35" t="str">
        <f aca="false">IF($C1435="","",IF($D1435="","★没选客户项目",IF(COUNTIF(合同键,$D1435)=0,"★《维保合同》里没这个项目",IF(N($G1435)&lt;=0,"★收款金额要填",IF($H1435="","★票据类型要选",IF(AND($L1435&lt;&gt;"",COUNTIF(应收单号,$L1435)=0),"★关联的应收单号不存在",IF(AND($L1435&lt;&gt;"",IFERROR(INDEX(应收键,MATCH($L1435,应收单号,0)),"")&lt;&gt;$D1435),"★关联单号不是这个客户的",IF(AND($L1435&lt;&gt;"",ROUND(SUMIF(收款关联,$L1435,收款金额)-IFERROR(INDEX(应收金额,MATCH($L1435,应收单号,0)),0),2)&gt;0.001),"★指定冲销超过那张单的应收","OK"))))))))</f>
        <v/>
      </c>
    </row>
    <row r="1436" customFormat="false" ht="15" hidden="false" customHeight="false" outlineLevel="0" collapsed="false">
      <c r="A1436" s="29" t="str">
        <f aca="false">IF($C1436="","",ROW()-4)</f>
        <v/>
      </c>
      <c r="B1436" s="35" t="str">
        <f aca="false">IF($C1436="","","SK"&amp;TEXT($C1436,"yyyymm")&amp;"-"&amp;TEXT(ROW()-4,"0000"))</f>
        <v/>
      </c>
      <c r="C1436" s="33"/>
      <c r="D1436" s="24"/>
      <c r="E1436" s="30" t="str">
        <f aca="false">IF($D1436="","",IFERROR(INDEX(合同单位,MATCH($D1436,合同键,0)),IFERROR(TRIM(LEFT($D1436,FIND("｜",$D1436)-1)),$D1436)))</f>
        <v/>
      </c>
      <c r="F1436" s="30" t="str">
        <f aca="false">IF($D1436="","",IFERROR(INDEX(合同项目,MATCH($D1436,合同键,0)),IFERROR(TRIM(MID($D1436,FIND("｜",$D1436)+1,99)),"")))</f>
        <v/>
      </c>
      <c r="G1436" s="39"/>
      <c r="H1436" s="25"/>
      <c r="I1436" s="35" t="str">
        <f aca="false">IF($H1436="","",IFERROR(INDEX(票据归类表,MATCH($H1436,票据类型表,0)),"现金无票"))</f>
        <v/>
      </c>
      <c r="J1436" s="25"/>
      <c r="K1436" s="25"/>
      <c r="L1436" s="31"/>
      <c r="M1436" s="29" t="str">
        <f aca="false">IF($C1436="","",YEAR($C1436))</f>
        <v/>
      </c>
      <c r="N1436" s="24"/>
      <c r="O1436" s="35" t="str">
        <f aca="false">IF($C1436="","",IF($D1436="","★没选客户项目",IF(COUNTIF(合同键,$D1436)=0,"★《维保合同》里没这个项目",IF(N($G1436)&lt;=0,"★收款金额要填",IF($H1436="","★票据类型要选",IF(AND($L1436&lt;&gt;"",COUNTIF(应收单号,$L1436)=0),"★关联的应收单号不存在",IF(AND($L1436&lt;&gt;"",IFERROR(INDEX(应收键,MATCH($L1436,应收单号,0)),"")&lt;&gt;$D1436),"★关联单号不是这个客户的",IF(AND($L1436&lt;&gt;"",ROUND(SUMIF(收款关联,$L1436,收款金额)-IFERROR(INDEX(应收金额,MATCH($L1436,应收单号,0)),0),2)&gt;0.001),"★指定冲销超过那张单的应收","OK"))))))))</f>
        <v/>
      </c>
    </row>
    <row r="1437" customFormat="false" ht="15" hidden="false" customHeight="false" outlineLevel="0" collapsed="false">
      <c r="A1437" s="29" t="str">
        <f aca="false">IF($C1437="","",ROW()-4)</f>
        <v/>
      </c>
      <c r="B1437" s="35" t="str">
        <f aca="false">IF($C1437="","","SK"&amp;TEXT($C1437,"yyyymm")&amp;"-"&amp;TEXT(ROW()-4,"0000"))</f>
        <v/>
      </c>
      <c r="C1437" s="33"/>
      <c r="D1437" s="24"/>
      <c r="E1437" s="30" t="str">
        <f aca="false">IF($D1437="","",IFERROR(INDEX(合同单位,MATCH($D1437,合同键,0)),IFERROR(TRIM(LEFT($D1437,FIND("｜",$D1437)-1)),$D1437)))</f>
        <v/>
      </c>
      <c r="F1437" s="30" t="str">
        <f aca="false">IF($D1437="","",IFERROR(INDEX(合同项目,MATCH($D1437,合同键,0)),IFERROR(TRIM(MID($D1437,FIND("｜",$D1437)+1,99)),"")))</f>
        <v/>
      </c>
      <c r="G1437" s="39"/>
      <c r="H1437" s="25"/>
      <c r="I1437" s="35" t="str">
        <f aca="false">IF($H1437="","",IFERROR(INDEX(票据归类表,MATCH($H1437,票据类型表,0)),"现金无票"))</f>
        <v/>
      </c>
      <c r="J1437" s="25"/>
      <c r="K1437" s="25"/>
      <c r="L1437" s="31"/>
      <c r="M1437" s="29" t="str">
        <f aca="false">IF($C1437="","",YEAR($C1437))</f>
        <v/>
      </c>
      <c r="N1437" s="24"/>
      <c r="O1437" s="35" t="str">
        <f aca="false">IF($C1437="","",IF($D1437="","★没选客户项目",IF(COUNTIF(合同键,$D1437)=0,"★《维保合同》里没这个项目",IF(N($G1437)&lt;=0,"★收款金额要填",IF($H1437="","★票据类型要选",IF(AND($L1437&lt;&gt;"",COUNTIF(应收单号,$L1437)=0),"★关联的应收单号不存在",IF(AND($L1437&lt;&gt;"",IFERROR(INDEX(应收键,MATCH($L1437,应收单号,0)),"")&lt;&gt;$D1437),"★关联单号不是这个客户的",IF(AND($L1437&lt;&gt;"",ROUND(SUMIF(收款关联,$L1437,收款金额)-IFERROR(INDEX(应收金额,MATCH($L1437,应收单号,0)),0),2)&gt;0.001),"★指定冲销超过那张单的应收","OK"))))))))</f>
        <v/>
      </c>
    </row>
    <row r="1438" customFormat="false" ht="15" hidden="false" customHeight="false" outlineLevel="0" collapsed="false">
      <c r="A1438" s="29" t="str">
        <f aca="false">IF($C1438="","",ROW()-4)</f>
        <v/>
      </c>
      <c r="B1438" s="35" t="str">
        <f aca="false">IF($C1438="","","SK"&amp;TEXT($C1438,"yyyymm")&amp;"-"&amp;TEXT(ROW()-4,"0000"))</f>
        <v/>
      </c>
      <c r="C1438" s="33"/>
      <c r="D1438" s="24"/>
      <c r="E1438" s="30" t="str">
        <f aca="false">IF($D1438="","",IFERROR(INDEX(合同单位,MATCH($D1438,合同键,0)),IFERROR(TRIM(LEFT($D1438,FIND("｜",$D1438)-1)),$D1438)))</f>
        <v/>
      </c>
      <c r="F1438" s="30" t="str">
        <f aca="false">IF($D1438="","",IFERROR(INDEX(合同项目,MATCH($D1438,合同键,0)),IFERROR(TRIM(MID($D1438,FIND("｜",$D1438)+1,99)),"")))</f>
        <v/>
      </c>
      <c r="G1438" s="39"/>
      <c r="H1438" s="25"/>
      <c r="I1438" s="35" t="str">
        <f aca="false">IF($H1438="","",IFERROR(INDEX(票据归类表,MATCH($H1438,票据类型表,0)),"现金无票"))</f>
        <v/>
      </c>
      <c r="J1438" s="25"/>
      <c r="K1438" s="25"/>
      <c r="L1438" s="31"/>
      <c r="M1438" s="29" t="str">
        <f aca="false">IF($C1438="","",YEAR($C1438))</f>
        <v/>
      </c>
      <c r="N1438" s="24"/>
      <c r="O1438" s="35" t="str">
        <f aca="false">IF($C1438="","",IF($D1438="","★没选客户项目",IF(COUNTIF(合同键,$D1438)=0,"★《维保合同》里没这个项目",IF(N($G1438)&lt;=0,"★收款金额要填",IF($H1438="","★票据类型要选",IF(AND($L1438&lt;&gt;"",COUNTIF(应收单号,$L1438)=0),"★关联的应收单号不存在",IF(AND($L1438&lt;&gt;"",IFERROR(INDEX(应收键,MATCH($L1438,应收单号,0)),"")&lt;&gt;$D1438),"★关联单号不是这个客户的",IF(AND($L1438&lt;&gt;"",ROUND(SUMIF(收款关联,$L1438,收款金额)-IFERROR(INDEX(应收金额,MATCH($L1438,应收单号,0)),0),2)&gt;0.001),"★指定冲销超过那张单的应收","OK"))))))))</f>
        <v/>
      </c>
    </row>
    <row r="1439" customFormat="false" ht="15" hidden="false" customHeight="false" outlineLevel="0" collapsed="false">
      <c r="A1439" s="29" t="str">
        <f aca="false">IF($C1439="","",ROW()-4)</f>
        <v/>
      </c>
      <c r="B1439" s="35" t="str">
        <f aca="false">IF($C1439="","","SK"&amp;TEXT($C1439,"yyyymm")&amp;"-"&amp;TEXT(ROW()-4,"0000"))</f>
        <v/>
      </c>
      <c r="C1439" s="33"/>
      <c r="D1439" s="24"/>
      <c r="E1439" s="30" t="str">
        <f aca="false">IF($D1439="","",IFERROR(INDEX(合同单位,MATCH($D1439,合同键,0)),IFERROR(TRIM(LEFT($D1439,FIND("｜",$D1439)-1)),$D1439)))</f>
        <v/>
      </c>
      <c r="F1439" s="30" t="str">
        <f aca="false">IF($D1439="","",IFERROR(INDEX(合同项目,MATCH($D1439,合同键,0)),IFERROR(TRIM(MID($D1439,FIND("｜",$D1439)+1,99)),"")))</f>
        <v/>
      </c>
      <c r="G1439" s="39"/>
      <c r="H1439" s="25"/>
      <c r="I1439" s="35" t="str">
        <f aca="false">IF($H1439="","",IFERROR(INDEX(票据归类表,MATCH($H1439,票据类型表,0)),"现金无票"))</f>
        <v/>
      </c>
      <c r="J1439" s="25"/>
      <c r="K1439" s="25"/>
      <c r="L1439" s="31"/>
      <c r="M1439" s="29" t="str">
        <f aca="false">IF($C1439="","",YEAR($C1439))</f>
        <v/>
      </c>
      <c r="N1439" s="24"/>
      <c r="O1439" s="35" t="str">
        <f aca="false">IF($C1439="","",IF($D1439="","★没选客户项目",IF(COUNTIF(合同键,$D1439)=0,"★《维保合同》里没这个项目",IF(N($G1439)&lt;=0,"★收款金额要填",IF($H1439="","★票据类型要选",IF(AND($L1439&lt;&gt;"",COUNTIF(应收单号,$L1439)=0),"★关联的应收单号不存在",IF(AND($L1439&lt;&gt;"",IFERROR(INDEX(应收键,MATCH($L1439,应收单号,0)),"")&lt;&gt;$D1439),"★关联单号不是这个客户的",IF(AND($L1439&lt;&gt;"",ROUND(SUMIF(收款关联,$L1439,收款金额)-IFERROR(INDEX(应收金额,MATCH($L1439,应收单号,0)),0),2)&gt;0.001),"★指定冲销超过那张单的应收","OK"))))))))</f>
        <v/>
      </c>
    </row>
    <row r="1440" customFormat="false" ht="15" hidden="false" customHeight="false" outlineLevel="0" collapsed="false">
      <c r="A1440" s="29" t="str">
        <f aca="false">IF($C1440="","",ROW()-4)</f>
        <v/>
      </c>
      <c r="B1440" s="35" t="str">
        <f aca="false">IF($C1440="","","SK"&amp;TEXT($C1440,"yyyymm")&amp;"-"&amp;TEXT(ROW()-4,"0000"))</f>
        <v/>
      </c>
      <c r="C1440" s="33"/>
      <c r="D1440" s="24"/>
      <c r="E1440" s="30" t="str">
        <f aca="false">IF($D1440="","",IFERROR(INDEX(合同单位,MATCH($D1440,合同键,0)),IFERROR(TRIM(LEFT($D1440,FIND("｜",$D1440)-1)),$D1440)))</f>
        <v/>
      </c>
      <c r="F1440" s="30" t="str">
        <f aca="false">IF($D1440="","",IFERROR(INDEX(合同项目,MATCH($D1440,合同键,0)),IFERROR(TRIM(MID($D1440,FIND("｜",$D1440)+1,99)),"")))</f>
        <v/>
      </c>
      <c r="G1440" s="39"/>
      <c r="H1440" s="25"/>
      <c r="I1440" s="35" t="str">
        <f aca="false">IF($H1440="","",IFERROR(INDEX(票据归类表,MATCH($H1440,票据类型表,0)),"现金无票"))</f>
        <v/>
      </c>
      <c r="J1440" s="25"/>
      <c r="K1440" s="25"/>
      <c r="L1440" s="31"/>
      <c r="M1440" s="29" t="str">
        <f aca="false">IF($C1440="","",YEAR($C1440))</f>
        <v/>
      </c>
      <c r="N1440" s="24"/>
      <c r="O1440" s="35" t="str">
        <f aca="false">IF($C1440="","",IF($D1440="","★没选客户项目",IF(COUNTIF(合同键,$D1440)=0,"★《维保合同》里没这个项目",IF(N($G1440)&lt;=0,"★收款金额要填",IF($H1440="","★票据类型要选",IF(AND($L1440&lt;&gt;"",COUNTIF(应收单号,$L1440)=0),"★关联的应收单号不存在",IF(AND($L1440&lt;&gt;"",IFERROR(INDEX(应收键,MATCH($L1440,应收单号,0)),"")&lt;&gt;$D1440),"★关联单号不是这个客户的",IF(AND($L1440&lt;&gt;"",ROUND(SUMIF(收款关联,$L1440,收款金额)-IFERROR(INDEX(应收金额,MATCH($L1440,应收单号,0)),0),2)&gt;0.001),"★指定冲销超过那张单的应收","OK"))))))))</f>
        <v/>
      </c>
    </row>
    <row r="1441" customFormat="false" ht="15" hidden="false" customHeight="false" outlineLevel="0" collapsed="false">
      <c r="A1441" s="29" t="str">
        <f aca="false">IF($C1441="","",ROW()-4)</f>
        <v/>
      </c>
      <c r="B1441" s="35" t="str">
        <f aca="false">IF($C1441="","","SK"&amp;TEXT($C1441,"yyyymm")&amp;"-"&amp;TEXT(ROW()-4,"0000"))</f>
        <v/>
      </c>
      <c r="C1441" s="33"/>
      <c r="D1441" s="24"/>
      <c r="E1441" s="30" t="str">
        <f aca="false">IF($D1441="","",IFERROR(INDEX(合同单位,MATCH($D1441,合同键,0)),IFERROR(TRIM(LEFT($D1441,FIND("｜",$D1441)-1)),$D1441)))</f>
        <v/>
      </c>
      <c r="F1441" s="30" t="str">
        <f aca="false">IF($D1441="","",IFERROR(INDEX(合同项目,MATCH($D1441,合同键,0)),IFERROR(TRIM(MID($D1441,FIND("｜",$D1441)+1,99)),"")))</f>
        <v/>
      </c>
      <c r="G1441" s="39"/>
      <c r="H1441" s="25"/>
      <c r="I1441" s="35" t="str">
        <f aca="false">IF($H1441="","",IFERROR(INDEX(票据归类表,MATCH($H1441,票据类型表,0)),"现金无票"))</f>
        <v/>
      </c>
      <c r="J1441" s="25"/>
      <c r="K1441" s="25"/>
      <c r="L1441" s="31"/>
      <c r="M1441" s="29" t="str">
        <f aca="false">IF($C1441="","",YEAR($C1441))</f>
        <v/>
      </c>
      <c r="N1441" s="24"/>
      <c r="O1441" s="35" t="str">
        <f aca="false">IF($C1441="","",IF($D1441="","★没选客户项目",IF(COUNTIF(合同键,$D1441)=0,"★《维保合同》里没这个项目",IF(N($G1441)&lt;=0,"★收款金额要填",IF($H1441="","★票据类型要选",IF(AND($L1441&lt;&gt;"",COUNTIF(应收单号,$L1441)=0),"★关联的应收单号不存在",IF(AND($L1441&lt;&gt;"",IFERROR(INDEX(应收键,MATCH($L1441,应收单号,0)),"")&lt;&gt;$D1441),"★关联单号不是这个客户的",IF(AND($L1441&lt;&gt;"",ROUND(SUMIF(收款关联,$L1441,收款金额)-IFERROR(INDEX(应收金额,MATCH($L1441,应收单号,0)),0),2)&gt;0.001),"★指定冲销超过那张单的应收","OK"))))))))</f>
        <v/>
      </c>
    </row>
    <row r="1442" customFormat="false" ht="15" hidden="false" customHeight="false" outlineLevel="0" collapsed="false">
      <c r="A1442" s="29" t="str">
        <f aca="false">IF($C1442="","",ROW()-4)</f>
        <v/>
      </c>
      <c r="B1442" s="35" t="str">
        <f aca="false">IF($C1442="","","SK"&amp;TEXT($C1442,"yyyymm")&amp;"-"&amp;TEXT(ROW()-4,"0000"))</f>
        <v/>
      </c>
      <c r="C1442" s="33"/>
      <c r="D1442" s="24"/>
      <c r="E1442" s="30" t="str">
        <f aca="false">IF($D1442="","",IFERROR(INDEX(合同单位,MATCH($D1442,合同键,0)),IFERROR(TRIM(LEFT($D1442,FIND("｜",$D1442)-1)),$D1442)))</f>
        <v/>
      </c>
      <c r="F1442" s="30" t="str">
        <f aca="false">IF($D1442="","",IFERROR(INDEX(合同项目,MATCH($D1442,合同键,0)),IFERROR(TRIM(MID($D1442,FIND("｜",$D1442)+1,99)),"")))</f>
        <v/>
      </c>
      <c r="G1442" s="39"/>
      <c r="H1442" s="25"/>
      <c r="I1442" s="35" t="str">
        <f aca="false">IF($H1442="","",IFERROR(INDEX(票据归类表,MATCH($H1442,票据类型表,0)),"现金无票"))</f>
        <v/>
      </c>
      <c r="J1442" s="25"/>
      <c r="K1442" s="25"/>
      <c r="L1442" s="31"/>
      <c r="M1442" s="29" t="str">
        <f aca="false">IF($C1442="","",YEAR($C1442))</f>
        <v/>
      </c>
      <c r="N1442" s="24"/>
      <c r="O1442" s="35" t="str">
        <f aca="false">IF($C1442="","",IF($D1442="","★没选客户项目",IF(COUNTIF(合同键,$D1442)=0,"★《维保合同》里没这个项目",IF(N($G1442)&lt;=0,"★收款金额要填",IF($H1442="","★票据类型要选",IF(AND($L1442&lt;&gt;"",COUNTIF(应收单号,$L1442)=0),"★关联的应收单号不存在",IF(AND($L1442&lt;&gt;"",IFERROR(INDEX(应收键,MATCH($L1442,应收单号,0)),"")&lt;&gt;$D1442),"★关联单号不是这个客户的",IF(AND($L1442&lt;&gt;"",ROUND(SUMIF(收款关联,$L1442,收款金额)-IFERROR(INDEX(应收金额,MATCH($L1442,应收单号,0)),0),2)&gt;0.001),"★指定冲销超过那张单的应收","OK"))))))))</f>
        <v/>
      </c>
    </row>
    <row r="1443" customFormat="false" ht="15" hidden="false" customHeight="false" outlineLevel="0" collapsed="false">
      <c r="A1443" s="29" t="str">
        <f aca="false">IF($C1443="","",ROW()-4)</f>
        <v/>
      </c>
      <c r="B1443" s="35" t="str">
        <f aca="false">IF($C1443="","","SK"&amp;TEXT($C1443,"yyyymm")&amp;"-"&amp;TEXT(ROW()-4,"0000"))</f>
        <v/>
      </c>
      <c r="C1443" s="33"/>
      <c r="D1443" s="24"/>
      <c r="E1443" s="30" t="str">
        <f aca="false">IF($D1443="","",IFERROR(INDEX(合同单位,MATCH($D1443,合同键,0)),IFERROR(TRIM(LEFT($D1443,FIND("｜",$D1443)-1)),$D1443)))</f>
        <v/>
      </c>
      <c r="F1443" s="30" t="str">
        <f aca="false">IF($D1443="","",IFERROR(INDEX(合同项目,MATCH($D1443,合同键,0)),IFERROR(TRIM(MID($D1443,FIND("｜",$D1443)+1,99)),"")))</f>
        <v/>
      </c>
      <c r="G1443" s="39"/>
      <c r="H1443" s="25"/>
      <c r="I1443" s="35" t="str">
        <f aca="false">IF($H1443="","",IFERROR(INDEX(票据归类表,MATCH($H1443,票据类型表,0)),"现金无票"))</f>
        <v/>
      </c>
      <c r="J1443" s="25"/>
      <c r="K1443" s="25"/>
      <c r="L1443" s="31"/>
      <c r="M1443" s="29" t="str">
        <f aca="false">IF($C1443="","",YEAR($C1443))</f>
        <v/>
      </c>
      <c r="N1443" s="24"/>
      <c r="O1443" s="35" t="str">
        <f aca="false">IF($C1443="","",IF($D1443="","★没选客户项目",IF(COUNTIF(合同键,$D1443)=0,"★《维保合同》里没这个项目",IF(N($G1443)&lt;=0,"★收款金额要填",IF($H1443="","★票据类型要选",IF(AND($L1443&lt;&gt;"",COUNTIF(应收单号,$L1443)=0),"★关联的应收单号不存在",IF(AND($L1443&lt;&gt;"",IFERROR(INDEX(应收键,MATCH($L1443,应收单号,0)),"")&lt;&gt;$D1443),"★关联单号不是这个客户的",IF(AND($L1443&lt;&gt;"",ROUND(SUMIF(收款关联,$L1443,收款金额)-IFERROR(INDEX(应收金额,MATCH($L1443,应收单号,0)),0),2)&gt;0.001),"★指定冲销超过那张单的应收","OK"))))))))</f>
        <v/>
      </c>
    </row>
    <row r="1444" customFormat="false" ht="15" hidden="false" customHeight="false" outlineLevel="0" collapsed="false">
      <c r="A1444" s="29" t="str">
        <f aca="false">IF($C1444="","",ROW()-4)</f>
        <v/>
      </c>
      <c r="B1444" s="35" t="str">
        <f aca="false">IF($C1444="","","SK"&amp;TEXT($C1444,"yyyymm")&amp;"-"&amp;TEXT(ROW()-4,"0000"))</f>
        <v/>
      </c>
      <c r="C1444" s="33"/>
      <c r="D1444" s="24"/>
      <c r="E1444" s="30" t="str">
        <f aca="false">IF($D1444="","",IFERROR(INDEX(合同单位,MATCH($D1444,合同键,0)),IFERROR(TRIM(LEFT($D1444,FIND("｜",$D1444)-1)),$D1444)))</f>
        <v/>
      </c>
      <c r="F1444" s="30" t="str">
        <f aca="false">IF($D1444="","",IFERROR(INDEX(合同项目,MATCH($D1444,合同键,0)),IFERROR(TRIM(MID($D1444,FIND("｜",$D1444)+1,99)),"")))</f>
        <v/>
      </c>
      <c r="G1444" s="39"/>
      <c r="H1444" s="25"/>
      <c r="I1444" s="35" t="str">
        <f aca="false">IF($H1444="","",IFERROR(INDEX(票据归类表,MATCH($H1444,票据类型表,0)),"现金无票"))</f>
        <v/>
      </c>
      <c r="J1444" s="25"/>
      <c r="K1444" s="25"/>
      <c r="L1444" s="31"/>
      <c r="M1444" s="29" t="str">
        <f aca="false">IF($C1444="","",YEAR($C1444))</f>
        <v/>
      </c>
      <c r="N1444" s="24"/>
      <c r="O1444" s="35" t="str">
        <f aca="false">IF($C1444="","",IF($D1444="","★没选客户项目",IF(COUNTIF(合同键,$D1444)=0,"★《维保合同》里没这个项目",IF(N($G1444)&lt;=0,"★收款金额要填",IF($H1444="","★票据类型要选",IF(AND($L1444&lt;&gt;"",COUNTIF(应收单号,$L1444)=0),"★关联的应收单号不存在",IF(AND($L1444&lt;&gt;"",IFERROR(INDEX(应收键,MATCH($L1444,应收单号,0)),"")&lt;&gt;$D1444),"★关联单号不是这个客户的",IF(AND($L1444&lt;&gt;"",ROUND(SUMIF(收款关联,$L1444,收款金额)-IFERROR(INDEX(应收金额,MATCH($L1444,应收单号,0)),0),2)&gt;0.001),"★指定冲销超过那张单的应收","OK"))))))))</f>
        <v/>
      </c>
    </row>
    <row r="1445" customFormat="false" ht="15" hidden="false" customHeight="false" outlineLevel="0" collapsed="false">
      <c r="A1445" s="29" t="str">
        <f aca="false">IF($C1445="","",ROW()-4)</f>
        <v/>
      </c>
      <c r="B1445" s="35" t="str">
        <f aca="false">IF($C1445="","","SK"&amp;TEXT($C1445,"yyyymm")&amp;"-"&amp;TEXT(ROW()-4,"0000"))</f>
        <v/>
      </c>
      <c r="C1445" s="33"/>
      <c r="D1445" s="24"/>
      <c r="E1445" s="30" t="str">
        <f aca="false">IF($D1445="","",IFERROR(INDEX(合同单位,MATCH($D1445,合同键,0)),IFERROR(TRIM(LEFT($D1445,FIND("｜",$D1445)-1)),$D1445)))</f>
        <v/>
      </c>
      <c r="F1445" s="30" t="str">
        <f aca="false">IF($D1445="","",IFERROR(INDEX(合同项目,MATCH($D1445,合同键,0)),IFERROR(TRIM(MID($D1445,FIND("｜",$D1445)+1,99)),"")))</f>
        <v/>
      </c>
      <c r="G1445" s="39"/>
      <c r="H1445" s="25"/>
      <c r="I1445" s="35" t="str">
        <f aca="false">IF($H1445="","",IFERROR(INDEX(票据归类表,MATCH($H1445,票据类型表,0)),"现金无票"))</f>
        <v/>
      </c>
      <c r="J1445" s="25"/>
      <c r="K1445" s="25"/>
      <c r="L1445" s="31"/>
      <c r="M1445" s="29" t="str">
        <f aca="false">IF($C1445="","",YEAR($C1445))</f>
        <v/>
      </c>
      <c r="N1445" s="24"/>
      <c r="O1445" s="35" t="str">
        <f aca="false">IF($C1445="","",IF($D1445="","★没选客户项目",IF(COUNTIF(合同键,$D1445)=0,"★《维保合同》里没这个项目",IF(N($G1445)&lt;=0,"★收款金额要填",IF($H1445="","★票据类型要选",IF(AND($L1445&lt;&gt;"",COUNTIF(应收单号,$L1445)=0),"★关联的应收单号不存在",IF(AND($L1445&lt;&gt;"",IFERROR(INDEX(应收键,MATCH($L1445,应收单号,0)),"")&lt;&gt;$D1445),"★关联单号不是这个客户的",IF(AND($L1445&lt;&gt;"",ROUND(SUMIF(收款关联,$L1445,收款金额)-IFERROR(INDEX(应收金额,MATCH($L1445,应收单号,0)),0),2)&gt;0.001),"★指定冲销超过那张单的应收","OK"))))))))</f>
        <v/>
      </c>
    </row>
    <row r="1446" customFormat="false" ht="15" hidden="false" customHeight="false" outlineLevel="0" collapsed="false">
      <c r="A1446" s="29" t="str">
        <f aca="false">IF($C1446="","",ROW()-4)</f>
        <v/>
      </c>
      <c r="B1446" s="35" t="str">
        <f aca="false">IF($C1446="","","SK"&amp;TEXT($C1446,"yyyymm")&amp;"-"&amp;TEXT(ROW()-4,"0000"))</f>
        <v/>
      </c>
      <c r="C1446" s="33"/>
      <c r="D1446" s="24"/>
      <c r="E1446" s="30" t="str">
        <f aca="false">IF($D1446="","",IFERROR(INDEX(合同单位,MATCH($D1446,合同键,0)),IFERROR(TRIM(LEFT($D1446,FIND("｜",$D1446)-1)),$D1446)))</f>
        <v/>
      </c>
      <c r="F1446" s="30" t="str">
        <f aca="false">IF($D1446="","",IFERROR(INDEX(合同项目,MATCH($D1446,合同键,0)),IFERROR(TRIM(MID($D1446,FIND("｜",$D1446)+1,99)),"")))</f>
        <v/>
      </c>
      <c r="G1446" s="39"/>
      <c r="H1446" s="25"/>
      <c r="I1446" s="35" t="str">
        <f aca="false">IF($H1446="","",IFERROR(INDEX(票据归类表,MATCH($H1446,票据类型表,0)),"现金无票"))</f>
        <v/>
      </c>
      <c r="J1446" s="25"/>
      <c r="K1446" s="25"/>
      <c r="L1446" s="31"/>
      <c r="M1446" s="29" t="str">
        <f aca="false">IF($C1446="","",YEAR($C1446))</f>
        <v/>
      </c>
      <c r="N1446" s="24"/>
      <c r="O1446" s="35" t="str">
        <f aca="false">IF($C1446="","",IF($D1446="","★没选客户项目",IF(COUNTIF(合同键,$D1446)=0,"★《维保合同》里没这个项目",IF(N($G1446)&lt;=0,"★收款金额要填",IF($H1446="","★票据类型要选",IF(AND($L1446&lt;&gt;"",COUNTIF(应收单号,$L1446)=0),"★关联的应收单号不存在",IF(AND($L1446&lt;&gt;"",IFERROR(INDEX(应收键,MATCH($L1446,应收单号,0)),"")&lt;&gt;$D1446),"★关联单号不是这个客户的",IF(AND($L1446&lt;&gt;"",ROUND(SUMIF(收款关联,$L1446,收款金额)-IFERROR(INDEX(应收金额,MATCH($L1446,应收单号,0)),0),2)&gt;0.001),"★指定冲销超过那张单的应收","OK"))))))))</f>
        <v/>
      </c>
    </row>
    <row r="1447" customFormat="false" ht="15" hidden="false" customHeight="false" outlineLevel="0" collapsed="false">
      <c r="A1447" s="29" t="str">
        <f aca="false">IF($C1447="","",ROW()-4)</f>
        <v/>
      </c>
      <c r="B1447" s="35" t="str">
        <f aca="false">IF($C1447="","","SK"&amp;TEXT($C1447,"yyyymm")&amp;"-"&amp;TEXT(ROW()-4,"0000"))</f>
        <v/>
      </c>
      <c r="C1447" s="33"/>
      <c r="D1447" s="24"/>
      <c r="E1447" s="30" t="str">
        <f aca="false">IF($D1447="","",IFERROR(INDEX(合同单位,MATCH($D1447,合同键,0)),IFERROR(TRIM(LEFT($D1447,FIND("｜",$D1447)-1)),$D1447)))</f>
        <v/>
      </c>
      <c r="F1447" s="30" t="str">
        <f aca="false">IF($D1447="","",IFERROR(INDEX(合同项目,MATCH($D1447,合同键,0)),IFERROR(TRIM(MID($D1447,FIND("｜",$D1447)+1,99)),"")))</f>
        <v/>
      </c>
      <c r="G1447" s="39"/>
      <c r="H1447" s="25"/>
      <c r="I1447" s="35" t="str">
        <f aca="false">IF($H1447="","",IFERROR(INDEX(票据归类表,MATCH($H1447,票据类型表,0)),"现金无票"))</f>
        <v/>
      </c>
      <c r="J1447" s="25"/>
      <c r="K1447" s="25"/>
      <c r="L1447" s="31"/>
      <c r="M1447" s="29" t="str">
        <f aca="false">IF($C1447="","",YEAR($C1447))</f>
        <v/>
      </c>
      <c r="N1447" s="24"/>
      <c r="O1447" s="35" t="str">
        <f aca="false">IF($C1447="","",IF($D1447="","★没选客户项目",IF(COUNTIF(合同键,$D1447)=0,"★《维保合同》里没这个项目",IF(N($G1447)&lt;=0,"★收款金额要填",IF($H1447="","★票据类型要选",IF(AND($L1447&lt;&gt;"",COUNTIF(应收单号,$L1447)=0),"★关联的应收单号不存在",IF(AND($L1447&lt;&gt;"",IFERROR(INDEX(应收键,MATCH($L1447,应收单号,0)),"")&lt;&gt;$D1447),"★关联单号不是这个客户的",IF(AND($L1447&lt;&gt;"",ROUND(SUMIF(收款关联,$L1447,收款金额)-IFERROR(INDEX(应收金额,MATCH($L1447,应收单号,0)),0),2)&gt;0.001),"★指定冲销超过那张单的应收","OK"))))))))</f>
        <v/>
      </c>
    </row>
    <row r="1448" customFormat="false" ht="15" hidden="false" customHeight="false" outlineLevel="0" collapsed="false">
      <c r="A1448" s="29" t="str">
        <f aca="false">IF($C1448="","",ROW()-4)</f>
        <v/>
      </c>
      <c r="B1448" s="35" t="str">
        <f aca="false">IF($C1448="","","SK"&amp;TEXT($C1448,"yyyymm")&amp;"-"&amp;TEXT(ROW()-4,"0000"))</f>
        <v/>
      </c>
      <c r="C1448" s="33"/>
      <c r="D1448" s="24"/>
      <c r="E1448" s="30" t="str">
        <f aca="false">IF($D1448="","",IFERROR(INDEX(合同单位,MATCH($D1448,合同键,0)),IFERROR(TRIM(LEFT($D1448,FIND("｜",$D1448)-1)),$D1448)))</f>
        <v/>
      </c>
      <c r="F1448" s="30" t="str">
        <f aca="false">IF($D1448="","",IFERROR(INDEX(合同项目,MATCH($D1448,合同键,0)),IFERROR(TRIM(MID($D1448,FIND("｜",$D1448)+1,99)),"")))</f>
        <v/>
      </c>
      <c r="G1448" s="39"/>
      <c r="H1448" s="25"/>
      <c r="I1448" s="35" t="str">
        <f aca="false">IF($H1448="","",IFERROR(INDEX(票据归类表,MATCH($H1448,票据类型表,0)),"现金无票"))</f>
        <v/>
      </c>
      <c r="J1448" s="25"/>
      <c r="K1448" s="25"/>
      <c r="L1448" s="31"/>
      <c r="M1448" s="29" t="str">
        <f aca="false">IF($C1448="","",YEAR($C1448))</f>
        <v/>
      </c>
      <c r="N1448" s="24"/>
      <c r="O1448" s="35" t="str">
        <f aca="false">IF($C1448="","",IF($D1448="","★没选客户项目",IF(COUNTIF(合同键,$D1448)=0,"★《维保合同》里没这个项目",IF(N($G1448)&lt;=0,"★收款金额要填",IF($H1448="","★票据类型要选",IF(AND($L1448&lt;&gt;"",COUNTIF(应收单号,$L1448)=0),"★关联的应收单号不存在",IF(AND($L1448&lt;&gt;"",IFERROR(INDEX(应收键,MATCH($L1448,应收单号,0)),"")&lt;&gt;$D1448),"★关联单号不是这个客户的",IF(AND($L1448&lt;&gt;"",ROUND(SUMIF(收款关联,$L1448,收款金额)-IFERROR(INDEX(应收金额,MATCH($L1448,应收单号,0)),0),2)&gt;0.001),"★指定冲销超过那张单的应收","OK"))))))))</f>
        <v/>
      </c>
    </row>
    <row r="1449" customFormat="false" ht="15" hidden="false" customHeight="false" outlineLevel="0" collapsed="false">
      <c r="A1449" s="29" t="str">
        <f aca="false">IF($C1449="","",ROW()-4)</f>
        <v/>
      </c>
      <c r="B1449" s="35" t="str">
        <f aca="false">IF($C1449="","","SK"&amp;TEXT($C1449,"yyyymm")&amp;"-"&amp;TEXT(ROW()-4,"0000"))</f>
        <v/>
      </c>
      <c r="C1449" s="33"/>
      <c r="D1449" s="24"/>
      <c r="E1449" s="30" t="str">
        <f aca="false">IF($D1449="","",IFERROR(INDEX(合同单位,MATCH($D1449,合同键,0)),IFERROR(TRIM(LEFT($D1449,FIND("｜",$D1449)-1)),$D1449)))</f>
        <v/>
      </c>
      <c r="F1449" s="30" t="str">
        <f aca="false">IF($D1449="","",IFERROR(INDEX(合同项目,MATCH($D1449,合同键,0)),IFERROR(TRIM(MID($D1449,FIND("｜",$D1449)+1,99)),"")))</f>
        <v/>
      </c>
      <c r="G1449" s="39"/>
      <c r="H1449" s="25"/>
      <c r="I1449" s="35" t="str">
        <f aca="false">IF($H1449="","",IFERROR(INDEX(票据归类表,MATCH($H1449,票据类型表,0)),"现金无票"))</f>
        <v/>
      </c>
      <c r="J1449" s="25"/>
      <c r="K1449" s="25"/>
      <c r="L1449" s="31"/>
      <c r="M1449" s="29" t="str">
        <f aca="false">IF($C1449="","",YEAR($C1449))</f>
        <v/>
      </c>
      <c r="N1449" s="24"/>
      <c r="O1449" s="35" t="str">
        <f aca="false">IF($C1449="","",IF($D1449="","★没选客户项目",IF(COUNTIF(合同键,$D1449)=0,"★《维保合同》里没这个项目",IF(N($G1449)&lt;=0,"★收款金额要填",IF($H1449="","★票据类型要选",IF(AND($L1449&lt;&gt;"",COUNTIF(应收单号,$L1449)=0),"★关联的应收单号不存在",IF(AND($L1449&lt;&gt;"",IFERROR(INDEX(应收键,MATCH($L1449,应收单号,0)),"")&lt;&gt;$D1449),"★关联单号不是这个客户的",IF(AND($L1449&lt;&gt;"",ROUND(SUMIF(收款关联,$L1449,收款金额)-IFERROR(INDEX(应收金额,MATCH($L1449,应收单号,0)),0),2)&gt;0.001),"★指定冲销超过那张单的应收","OK"))))))))</f>
        <v/>
      </c>
    </row>
    <row r="1450" customFormat="false" ht="15" hidden="false" customHeight="false" outlineLevel="0" collapsed="false">
      <c r="A1450" s="29" t="str">
        <f aca="false">IF($C1450="","",ROW()-4)</f>
        <v/>
      </c>
      <c r="B1450" s="35" t="str">
        <f aca="false">IF($C1450="","","SK"&amp;TEXT($C1450,"yyyymm")&amp;"-"&amp;TEXT(ROW()-4,"0000"))</f>
        <v/>
      </c>
      <c r="C1450" s="33"/>
      <c r="D1450" s="24"/>
      <c r="E1450" s="30" t="str">
        <f aca="false">IF($D1450="","",IFERROR(INDEX(合同单位,MATCH($D1450,合同键,0)),IFERROR(TRIM(LEFT($D1450,FIND("｜",$D1450)-1)),$D1450)))</f>
        <v/>
      </c>
      <c r="F1450" s="30" t="str">
        <f aca="false">IF($D1450="","",IFERROR(INDEX(合同项目,MATCH($D1450,合同键,0)),IFERROR(TRIM(MID($D1450,FIND("｜",$D1450)+1,99)),"")))</f>
        <v/>
      </c>
      <c r="G1450" s="39"/>
      <c r="H1450" s="25"/>
      <c r="I1450" s="35" t="str">
        <f aca="false">IF($H1450="","",IFERROR(INDEX(票据归类表,MATCH($H1450,票据类型表,0)),"现金无票"))</f>
        <v/>
      </c>
      <c r="J1450" s="25"/>
      <c r="K1450" s="25"/>
      <c r="L1450" s="31"/>
      <c r="M1450" s="29" t="str">
        <f aca="false">IF($C1450="","",YEAR($C1450))</f>
        <v/>
      </c>
      <c r="N1450" s="24"/>
      <c r="O1450" s="35" t="str">
        <f aca="false">IF($C1450="","",IF($D1450="","★没选客户项目",IF(COUNTIF(合同键,$D1450)=0,"★《维保合同》里没这个项目",IF(N($G1450)&lt;=0,"★收款金额要填",IF($H1450="","★票据类型要选",IF(AND($L1450&lt;&gt;"",COUNTIF(应收单号,$L1450)=0),"★关联的应收单号不存在",IF(AND($L1450&lt;&gt;"",IFERROR(INDEX(应收键,MATCH($L1450,应收单号,0)),"")&lt;&gt;$D1450),"★关联单号不是这个客户的",IF(AND($L1450&lt;&gt;"",ROUND(SUMIF(收款关联,$L1450,收款金额)-IFERROR(INDEX(应收金额,MATCH($L1450,应收单号,0)),0),2)&gt;0.001),"★指定冲销超过那张单的应收","OK"))))))))</f>
        <v/>
      </c>
    </row>
    <row r="1451" customFormat="false" ht="15" hidden="false" customHeight="false" outlineLevel="0" collapsed="false">
      <c r="A1451" s="29" t="str">
        <f aca="false">IF($C1451="","",ROW()-4)</f>
        <v/>
      </c>
      <c r="B1451" s="35" t="str">
        <f aca="false">IF($C1451="","","SK"&amp;TEXT($C1451,"yyyymm")&amp;"-"&amp;TEXT(ROW()-4,"0000"))</f>
        <v/>
      </c>
      <c r="C1451" s="33"/>
      <c r="D1451" s="24"/>
      <c r="E1451" s="30" t="str">
        <f aca="false">IF($D1451="","",IFERROR(INDEX(合同单位,MATCH($D1451,合同键,0)),IFERROR(TRIM(LEFT($D1451,FIND("｜",$D1451)-1)),$D1451)))</f>
        <v/>
      </c>
      <c r="F1451" s="30" t="str">
        <f aca="false">IF($D1451="","",IFERROR(INDEX(合同项目,MATCH($D1451,合同键,0)),IFERROR(TRIM(MID($D1451,FIND("｜",$D1451)+1,99)),"")))</f>
        <v/>
      </c>
      <c r="G1451" s="39"/>
      <c r="H1451" s="25"/>
      <c r="I1451" s="35" t="str">
        <f aca="false">IF($H1451="","",IFERROR(INDEX(票据归类表,MATCH($H1451,票据类型表,0)),"现金无票"))</f>
        <v/>
      </c>
      <c r="J1451" s="25"/>
      <c r="K1451" s="25"/>
      <c r="L1451" s="31"/>
      <c r="M1451" s="29" t="str">
        <f aca="false">IF($C1451="","",YEAR($C1451))</f>
        <v/>
      </c>
      <c r="N1451" s="24"/>
      <c r="O1451" s="35" t="str">
        <f aca="false">IF($C1451="","",IF($D1451="","★没选客户项目",IF(COUNTIF(合同键,$D1451)=0,"★《维保合同》里没这个项目",IF(N($G1451)&lt;=0,"★收款金额要填",IF($H1451="","★票据类型要选",IF(AND($L1451&lt;&gt;"",COUNTIF(应收单号,$L1451)=0),"★关联的应收单号不存在",IF(AND($L1451&lt;&gt;"",IFERROR(INDEX(应收键,MATCH($L1451,应收单号,0)),"")&lt;&gt;$D1451),"★关联单号不是这个客户的",IF(AND($L1451&lt;&gt;"",ROUND(SUMIF(收款关联,$L1451,收款金额)-IFERROR(INDEX(应收金额,MATCH($L1451,应收单号,0)),0),2)&gt;0.001),"★指定冲销超过那张单的应收","OK"))))))))</f>
        <v/>
      </c>
    </row>
    <row r="1452" customFormat="false" ht="15" hidden="false" customHeight="false" outlineLevel="0" collapsed="false">
      <c r="A1452" s="29" t="str">
        <f aca="false">IF($C1452="","",ROW()-4)</f>
        <v/>
      </c>
      <c r="B1452" s="35" t="str">
        <f aca="false">IF($C1452="","","SK"&amp;TEXT($C1452,"yyyymm")&amp;"-"&amp;TEXT(ROW()-4,"0000"))</f>
        <v/>
      </c>
      <c r="C1452" s="33"/>
      <c r="D1452" s="24"/>
      <c r="E1452" s="30" t="str">
        <f aca="false">IF($D1452="","",IFERROR(INDEX(合同单位,MATCH($D1452,合同键,0)),IFERROR(TRIM(LEFT($D1452,FIND("｜",$D1452)-1)),$D1452)))</f>
        <v/>
      </c>
      <c r="F1452" s="30" t="str">
        <f aca="false">IF($D1452="","",IFERROR(INDEX(合同项目,MATCH($D1452,合同键,0)),IFERROR(TRIM(MID($D1452,FIND("｜",$D1452)+1,99)),"")))</f>
        <v/>
      </c>
      <c r="G1452" s="39"/>
      <c r="H1452" s="25"/>
      <c r="I1452" s="35" t="str">
        <f aca="false">IF($H1452="","",IFERROR(INDEX(票据归类表,MATCH($H1452,票据类型表,0)),"现金无票"))</f>
        <v/>
      </c>
      <c r="J1452" s="25"/>
      <c r="K1452" s="25"/>
      <c r="L1452" s="31"/>
      <c r="M1452" s="29" t="str">
        <f aca="false">IF($C1452="","",YEAR($C1452))</f>
        <v/>
      </c>
      <c r="N1452" s="24"/>
      <c r="O1452" s="35" t="str">
        <f aca="false">IF($C1452="","",IF($D1452="","★没选客户项目",IF(COUNTIF(合同键,$D1452)=0,"★《维保合同》里没这个项目",IF(N($G1452)&lt;=0,"★收款金额要填",IF($H1452="","★票据类型要选",IF(AND($L1452&lt;&gt;"",COUNTIF(应收单号,$L1452)=0),"★关联的应收单号不存在",IF(AND($L1452&lt;&gt;"",IFERROR(INDEX(应收键,MATCH($L1452,应收单号,0)),"")&lt;&gt;$D1452),"★关联单号不是这个客户的",IF(AND($L1452&lt;&gt;"",ROUND(SUMIF(收款关联,$L1452,收款金额)-IFERROR(INDEX(应收金额,MATCH($L1452,应收单号,0)),0),2)&gt;0.001),"★指定冲销超过那张单的应收","OK"))))))))</f>
        <v/>
      </c>
    </row>
    <row r="1453" customFormat="false" ht="15" hidden="false" customHeight="false" outlineLevel="0" collapsed="false">
      <c r="A1453" s="29" t="str">
        <f aca="false">IF($C1453="","",ROW()-4)</f>
        <v/>
      </c>
      <c r="B1453" s="35" t="str">
        <f aca="false">IF($C1453="","","SK"&amp;TEXT($C1453,"yyyymm")&amp;"-"&amp;TEXT(ROW()-4,"0000"))</f>
        <v/>
      </c>
      <c r="C1453" s="33"/>
      <c r="D1453" s="24"/>
      <c r="E1453" s="30" t="str">
        <f aca="false">IF($D1453="","",IFERROR(INDEX(合同单位,MATCH($D1453,合同键,0)),IFERROR(TRIM(LEFT($D1453,FIND("｜",$D1453)-1)),$D1453)))</f>
        <v/>
      </c>
      <c r="F1453" s="30" t="str">
        <f aca="false">IF($D1453="","",IFERROR(INDEX(合同项目,MATCH($D1453,合同键,0)),IFERROR(TRIM(MID($D1453,FIND("｜",$D1453)+1,99)),"")))</f>
        <v/>
      </c>
      <c r="G1453" s="39"/>
      <c r="H1453" s="25"/>
      <c r="I1453" s="35" t="str">
        <f aca="false">IF($H1453="","",IFERROR(INDEX(票据归类表,MATCH($H1453,票据类型表,0)),"现金无票"))</f>
        <v/>
      </c>
      <c r="J1453" s="25"/>
      <c r="K1453" s="25"/>
      <c r="L1453" s="31"/>
      <c r="M1453" s="29" t="str">
        <f aca="false">IF($C1453="","",YEAR($C1453))</f>
        <v/>
      </c>
      <c r="N1453" s="24"/>
      <c r="O1453" s="35" t="str">
        <f aca="false">IF($C1453="","",IF($D1453="","★没选客户项目",IF(COUNTIF(合同键,$D1453)=0,"★《维保合同》里没这个项目",IF(N($G1453)&lt;=0,"★收款金额要填",IF($H1453="","★票据类型要选",IF(AND($L1453&lt;&gt;"",COUNTIF(应收单号,$L1453)=0),"★关联的应收单号不存在",IF(AND($L1453&lt;&gt;"",IFERROR(INDEX(应收键,MATCH($L1453,应收单号,0)),"")&lt;&gt;$D1453),"★关联单号不是这个客户的",IF(AND($L1453&lt;&gt;"",ROUND(SUMIF(收款关联,$L1453,收款金额)-IFERROR(INDEX(应收金额,MATCH($L1453,应收单号,0)),0),2)&gt;0.001),"★指定冲销超过那张单的应收","OK"))))))))</f>
        <v/>
      </c>
    </row>
    <row r="1454" customFormat="false" ht="15" hidden="false" customHeight="false" outlineLevel="0" collapsed="false">
      <c r="A1454" s="29" t="str">
        <f aca="false">IF($C1454="","",ROW()-4)</f>
        <v/>
      </c>
      <c r="B1454" s="35" t="str">
        <f aca="false">IF($C1454="","","SK"&amp;TEXT($C1454,"yyyymm")&amp;"-"&amp;TEXT(ROW()-4,"0000"))</f>
        <v/>
      </c>
      <c r="C1454" s="33"/>
      <c r="D1454" s="24"/>
      <c r="E1454" s="30" t="str">
        <f aca="false">IF($D1454="","",IFERROR(INDEX(合同单位,MATCH($D1454,合同键,0)),IFERROR(TRIM(LEFT($D1454,FIND("｜",$D1454)-1)),$D1454)))</f>
        <v/>
      </c>
      <c r="F1454" s="30" t="str">
        <f aca="false">IF($D1454="","",IFERROR(INDEX(合同项目,MATCH($D1454,合同键,0)),IFERROR(TRIM(MID($D1454,FIND("｜",$D1454)+1,99)),"")))</f>
        <v/>
      </c>
      <c r="G1454" s="39"/>
      <c r="H1454" s="25"/>
      <c r="I1454" s="35" t="str">
        <f aca="false">IF($H1454="","",IFERROR(INDEX(票据归类表,MATCH($H1454,票据类型表,0)),"现金无票"))</f>
        <v/>
      </c>
      <c r="J1454" s="25"/>
      <c r="K1454" s="25"/>
      <c r="L1454" s="31"/>
      <c r="M1454" s="29" t="str">
        <f aca="false">IF($C1454="","",YEAR($C1454))</f>
        <v/>
      </c>
      <c r="N1454" s="24"/>
      <c r="O1454" s="35" t="str">
        <f aca="false">IF($C1454="","",IF($D1454="","★没选客户项目",IF(COUNTIF(合同键,$D1454)=0,"★《维保合同》里没这个项目",IF(N($G1454)&lt;=0,"★收款金额要填",IF($H1454="","★票据类型要选",IF(AND($L1454&lt;&gt;"",COUNTIF(应收单号,$L1454)=0),"★关联的应收单号不存在",IF(AND($L1454&lt;&gt;"",IFERROR(INDEX(应收键,MATCH($L1454,应收单号,0)),"")&lt;&gt;$D1454),"★关联单号不是这个客户的",IF(AND($L1454&lt;&gt;"",ROUND(SUMIF(收款关联,$L1454,收款金额)-IFERROR(INDEX(应收金额,MATCH($L1454,应收单号,0)),0),2)&gt;0.001),"★指定冲销超过那张单的应收","OK"))))))))</f>
        <v/>
      </c>
    </row>
    <row r="1455" customFormat="false" ht="15" hidden="false" customHeight="false" outlineLevel="0" collapsed="false">
      <c r="A1455" s="29" t="str">
        <f aca="false">IF($C1455="","",ROW()-4)</f>
        <v/>
      </c>
      <c r="B1455" s="35" t="str">
        <f aca="false">IF($C1455="","","SK"&amp;TEXT($C1455,"yyyymm")&amp;"-"&amp;TEXT(ROW()-4,"0000"))</f>
        <v/>
      </c>
      <c r="C1455" s="33"/>
      <c r="D1455" s="24"/>
      <c r="E1455" s="30" t="str">
        <f aca="false">IF($D1455="","",IFERROR(INDEX(合同单位,MATCH($D1455,合同键,0)),IFERROR(TRIM(LEFT($D1455,FIND("｜",$D1455)-1)),$D1455)))</f>
        <v/>
      </c>
      <c r="F1455" s="30" t="str">
        <f aca="false">IF($D1455="","",IFERROR(INDEX(合同项目,MATCH($D1455,合同键,0)),IFERROR(TRIM(MID($D1455,FIND("｜",$D1455)+1,99)),"")))</f>
        <v/>
      </c>
      <c r="G1455" s="39"/>
      <c r="H1455" s="25"/>
      <c r="I1455" s="35" t="str">
        <f aca="false">IF($H1455="","",IFERROR(INDEX(票据归类表,MATCH($H1455,票据类型表,0)),"现金无票"))</f>
        <v/>
      </c>
      <c r="J1455" s="25"/>
      <c r="K1455" s="25"/>
      <c r="L1455" s="31"/>
      <c r="M1455" s="29" t="str">
        <f aca="false">IF($C1455="","",YEAR($C1455))</f>
        <v/>
      </c>
      <c r="N1455" s="24"/>
      <c r="O1455" s="35" t="str">
        <f aca="false">IF($C1455="","",IF($D1455="","★没选客户项目",IF(COUNTIF(合同键,$D1455)=0,"★《维保合同》里没这个项目",IF(N($G1455)&lt;=0,"★收款金额要填",IF($H1455="","★票据类型要选",IF(AND($L1455&lt;&gt;"",COUNTIF(应收单号,$L1455)=0),"★关联的应收单号不存在",IF(AND($L1455&lt;&gt;"",IFERROR(INDEX(应收键,MATCH($L1455,应收单号,0)),"")&lt;&gt;$D1455),"★关联单号不是这个客户的",IF(AND($L1455&lt;&gt;"",ROUND(SUMIF(收款关联,$L1455,收款金额)-IFERROR(INDEX(应收金额,MATCH($L1455,应收单号,0)),0),2)&gt;0.001),"★指定冲销超过那张单的应收","OK"))))))))</f>
        <v/>
      </c>
    </row>
    <row r="1456" customFormat="false" ht="15" hidden="false" customHeight="false" outlineLevel="0" collapsed="false">
      <c r="A1456" s="29" t="str">
        <f aca="false">IF($C1456="","",ROW()-4)</f>
        <v/>
      </c>
      <c r="B1456" s="35" t="str">
        <f aca="false">IF($C1456="","","SK"&amp;TEXT($C1456,"yyyymm")&amp;"-"&amp;TEXT(ROW()-4,"0000"))</f>
        <v/>
      </c>
      <c r="C1456" s="33"/>
      <c r="D1456" s="24"/>
      <c r="E1456" s="30" t="str">
        <f aca="false">IF($D1456="","",IFERROR(INDEX(合同单位,MATCH($D1456,合同键,0)),IFERROR(TRIM(LEFT($D1456,FIND("｜",$D1456)-1)),$D1456)))</f>
        <v/>
      </c>
      <c r="F1456" s="30" t="str">
        <f aca="false">IF($D1456="","",IFERROR(INDEX(合同项目,MATCH($D1456,合同键,0)),IFERROR(TRIM(MID($D1456,FIND("｜",$D1456)+1,99)),"")))</f>
        <v/>
      </c>
      <c r="G1456" s="39"/>
      <c r="H1456" s="25"/>
      <c r="I1456" s="35" t="str">
        <f aca="false">IF($H1456="","",IFERROR(INDEX(票据归类表,MATCH($H1456,票据类型表,0)),"现金无票"))</f>
        <v/>
      </c>
      <c r="J1456" s="25"/>
      <c r="K1456" s="25"/>
      <c r="L1456" s="31"/>
      <c r="M1456" s="29" t="str">
        <f aca="false">IF($C1456="","",YEAR($C1456))</f>
        <v/>
      </c>
      <c r="N1456" s="24"/>
      <c r="O1456" s="35" t="str">
        <f aca="false">IF($C1456="","",IF($D1456="","★没选客户项目",IF(COUNTIF(合同键,$D1456)=0,"★《维保合同》里没这个项目",IF(N($G1456)&lt;=0,"★收款金额要填",IF($H1456="","★票据类型要选",IF(AND($L1456&lt;&gt;"",COUNTIF(应收单号,$L1456)=0),"★关联的应收单号不存在",IF(AND($L1456&lt;&gt;"",IFERROR(INDEX(应收键,MATCH($L1456,应收单号,0)),"")&lt;&gt;$D1456),"★关联单号不是这个客户的",IF(AND($L1456&lt;&gt;"",ROUND(SUMIF(收款关联,$L1456,收款金额)-IFERROR(INDEX(应收金额,MATCH($L1456,应收单号,0)),0),2)&gt;0.001),"★指定冲销超过那张单的应收","OK"))))))))</f>
        <v/>
      </c>
    </row>
    <row r="1457" customFormat="false" ht="15" hidden="false" customHeight="false" outlineLevel="0" collapsed="false">
      <c r="A1457" s="29" t="str">
        <f aca="false">IF($C1457="","",ROW()-4)</f>
        <v/>
      </c>
      <c r="B1457" s="35" t="str">
        <f aca="false">IF($C1457="","","SK"&amp;TEXT($C1457,"yyyymm")&amp;"-"&amp;TEXT(ROW()-4,"0000"))</f>
        <v/>
      </c>
      <c r="C1457" s="33"/>
      <c r="D1457" s="24"/>
      <c r="E1457" s="30" t="str">
        <f aca="false">IF($D1457="","",IFERROR(INDEX(合同单位,MATCH($D1457,合同键,0)),IFERROR(TRIM(LEFT($D1457,FIND("｜",$D1457)-1)),$D1457)))</f>
        <v/>
      </c>
      <c r="F1457" s="30" t="str">
        <f aca="false">IF($D1457="","",IFERROR(INDEX(合同项目,MATCH($D1457,合同键,0)),IFERROR(TRIM(MID($D1457,FIND("｜",$D1457)+1,99)),"")))</f>
        <v/>
      </c>
      <c r="G1457" s="39"/>
      <c r="H1457" s="25"/>
      <c r="I1457" s="35" t="str">
        <f aca="false">IF($H1457="","",IFERROR(INDEX(票据归类表,MATCH($H1457,票据类型表,0)),"现金无票"))</f>
        <v/>
      </c>
      <c r="J1457" s="25"/>
      <c r="K1457" s="25"/>
      <c r="L1457" s="31"/>
      <c r="M1457" s="29" t="str">
        <f aca="false">IF($C1457="","",YEAR($C1457))</f>
        <v/>
      </c>
      <c r="N1457" s="24"/>
      <c r="O1457" s="35" t="str">
        <f aca="false">IF($C1457="","",IF($D1457="","★没选客户项目",IF(COUNTIF(合同键,$D1457)=0,"★《维保合同》里没这个项目",IF(N($G1457)&lt;=0,"★收款金额要填",IF($H1457="","★票据类型要选",IF(AND($L1457&lt;&gt;"",COUNTIF(应收单号,$L1457)=0),"★关联的应收单号不存在",IF(AND($L1457&lt;&gt;"",IFERROR(INDEX(应收键,MATCH($L1457,应收单号,0)),"")&lt;&gt;$D1457),"★关联单号不是这个客户的",IF(AND($L1457&lt;&gt;"",ROUND(SUMIF(收款关联,$L1457,收款金额)-IFERROR(INDEX(应收金额,MATCH($L1457,应收单号,0)),0),2)&gt;0.001),"★指定冲销超过那张单的应收","OK"))))))))</f>
        <v/>
      </c>
    </row>
    <row r="1458" customFormat="false" ht="15" hidden="false" customHeight="false" outlineLevel="0" collapsed="false">
      <c r="A1458" s="29" t="str">
        <f aca="false">IF($C1458="","",ROW()-4)</f>
        <v/>
      </c>
      <c r="B1458" s="35" t="str">
        <f aca="false">IF($C1458="","","SK"&amp;TEXT($C1458,"yyyymm")&amp;"-"&amp;TEXT(ROW()-4,"0000"))</f>
        <v/>
      </c>
      <c r="C1458" s="33"/>
      <c r="D1458" s="24"/>
      <c r="E1458" s="30" t="str">
        <f aca="false">IF($D1458="","",IFERROR(INDEX(合同单位,MATCH($D1458,合同键,0)),IFERROR(TRIM(LEFT($D1458,FIND("｜",$D1458)-1)),$D1458)))</f>
        <v/>
      </c>
      <c r="F1458" s="30" t="str">
        <f aca="false">IF($D1458="","",IFERROR(INDEX(合同项目,MATCH($D1458,合同键,0)),IFERROR(TRIM(MID($D1458,FIND("｜",$D1458)+1,99)),"")))</f>
        <v/>
      </c>
      <c r="G1458" s="39"/>
      <c r="H1458" s="25"/>
      <c r="I1458" s="35" t="str">
        <f aca="false">IF($H1458="","",IFERROR(INDEX(票据归类表,MATCH($H1458,票据类型表,0)),"现金无票"))</f>
        <v/>
      </c>
      <c r="J1458" s="25"/>
      <c r="K1458" s="25"/>
      <c r="L1458" s="31"/>
      <c r="M1458" s="29" t="str">
        <f aca="false">IF($C1458="","",YEAR($C1458))</f>
        <v/>
      </c>
      <c r="N1458" s="24"/>
      <c r="O1458" s="35" t="str">
        <f aca="false">IF($C1458="","",IF($D1458="","★没选客户项目",IF(COUNTIF(合同键,$D1458)=0,"★《维保合同》里没这个项目",IF(N($G1458)&lt;=0,"★收款金额要填",IF($H1458="","★票据类型要选",IF(AND($L1458&lt;&gt;"",COUNTIF(应收单号,$L1458)=0),"★关联的应收单号不存在",IF(AND($L1458&lt;&gt;"",IFERROR(INDEX(应收键,MATCH($L1458,应收单号,0)),"")&lt;&gt;$D1458),"★关联单号不是这个客户的",IF(AND($L1458&lt;&gt;"",ROUND(SUMIF(收款关联,$L1458,收款金额)-IFERROR(INDEX(应收金额,MATCH($L1458,应收单号,0)),0),2)&gt;0.001),"★指定冲销超过那张单的应收","OK"))))))))</f>
        <v/>
      </c>
    </row>
    <row r="1459" customFormat="false" ht="15" hidden="false" customHeight="false" outlineLevel="0" collapsed="false">
      <c r="A1459" s="29" t="str">
        <f aca="false">IF($C1459="","",ROW()-4)</f>
        <v/>
      </c>
      <c r="B1459" s="35" t="str">
        <f aca="false">IF($C1459="","","SK"&amp;TEXT($C1459,"yyyymm")&amp;"-"&amp;TEXT(ROW()-4,"0000"))</f>
        <v/>
      </c>
      <c r="C1459" s="33"/>
      <c r="D1459" s="24"/>
      <c r="E1459" s="30" t="str">
        <f aca="false">IF($D1459="","",IFERROR(INDEX(合同单位,MATCH($D1459,合同键,0)),IFERROR(TRIM(LEFT($D1459,FIND("｜",$D1459)-1)),$D1459)))</f>
        <v/>
      </c>
      <c r="F1459" s="30" t="str">
        <f aca="false">IF($D1459="","",IFERROR(INDEX(合同项目,MATCH($D1459,合同键,0)),IFERROR(TRIM(MID($D1459,FIND("｜",$D1459)+1,99)),"")))</f>
        <v/>
      </c>
      <c r="G1459" s="39"/>
      <c r="H1459" s="25"/>
      <c r="I1459" s="35" t="str">
        <f aca="false">IF($H1459="","",IFERROR(INDEX(票据归类表,MATCH($H1459,票据类型表,0)),"现金无票"))</f>
        <v/>
      </c>
      <c r="J1459" s="25"/>
      <c r="K1459" s="25"/>
      <c r="L1459" s="31"/>
      <c r="M1459" s="29" t="str">
        <f aca="false">IF($C1459="","",YEAR($C1459))</f>
        <v/>
      </c>
      <c r="N1459" s="24"/>
      <c r="O1459" s="35" t="str">
        <f aca="false">IF($C1459="","",IF($D1459="","★没选客户项目",IF(COUNTIF(合同键,$D1459)=0,"★《维保合同》里没这个项目",IF(N($G1459)&lt;=0,"★收款金额要填",IF($H1459="","★票据类型要选",IF(AND($L1459&lt;&gt;"",COUNTIF(应收单号,$L1459)=0),"★关联的应收单号不存在",IF(AND($L1459&lt;&gt;"",IFERROR(INDEX(应收键,MATCH($L1459,应收单号,0)),"")&lt;&gt;$D1459),"★关联单号不是这个客户的",IF(AND($L1459&lt;&gt;"",ROUND(SUMIF(收款关联,$L1459,收款金额)-IFERROR(INDEX(应收金额,MATCH($L1459,应收单号,0)),0),2)&gt;0.001),"★指定冲销超过那张单的应收","OK"))))))))</f>
        <v/>
      </c>
    </row>
    <row r="1460" customFormat="false" ht="15" hidden="false" customHeight="false" outlineLevel="0" collapsed="false">
      <c r="A1460" s="29" t="str">
        <f aca="false">IF($C1460="","",ROW()-4)</f>
        <v/>
      </c>
      <c r="B1460" s="35" t="str">
        <f aca="false">IF($C1460="","","SK"&amp;TEXT($C1460,"yyyymm")&amp;"-"&amp;TEXT(ROW()-4,"0000"))</f>
        <v/>
      </c>
      <c r="C1460" s="33"/>
      <c r="D1460" s="24"/>
      <c r="E1460" s="30" t="str">
        <f aca="false">IF($D1460="","",IFERROR(INDEX(合同单位,MATCH($D1460,合同键,0)),IFERROR(TRIM(LEFT($D1460,FIND("｜",$D1460)-1)),$D1460)))</f>
        <v/>
      </c>
      <c r="F1460" s="30" t="str">
        <f aca="false">IF($D1460="","",IFERROR(INDEX(合同项目,MATCH($D1460,合同键,0)),IFERROR(TRIM(MID($D1460,FIND("｜",$D1460)+1,99)),"")))</f>
        <v/>
      </c>
      <c r="G1460" s="39"/>
      <c r="H1460" s="25"/>
      <c r="I1460" s="35" t="str">
        <f aca="false">IF($H1460="","",IFERROR(INDEX(票据归类表,MATCH($H1460,票据类型表,0)),"现金无票"))</f>
        <v/>
      </c>
      <c r="J1460" s="25"/>
      <c r="K1460" s="25"/>
      <c r="L1460" s="31"/>
      <c r="M1460" s="29" t="str">
        <f aca="false">IF($C1460="","",YEAR($C1460))</f>
        <v/>
      </c>
      <c r="N1460" s="24"/>
      <c r="O1460" s="35" t="str">
        <f aca="false">IF($C1460="","",IF($D1460="","★没选客户项目",IF(COUNTIF(合同键,$D1460)=0,"★《维保合同》里没这个项目",IF(N($G1460)&lt;=0,"★收款金额要填",IF($H1460="","★票据类型要选",IF(AND($L1460&lt;&gt;"",COUNTIF(应收单号,$L1460)=0),"★关联的应收单号不存在",IF(AND($L1460&lt;&gt;"",IFERROR(INDEX(应收键,MATCH($L1460,应收单号,0)),"")&lt;&gt;$D1460),"★关联单号不是这个客户的",IF(AND($L1460&lt;&gt;"",ROUND(SUMIF(收款关联,$L1460,收款金额)-IFERROR(INDEX(应收金额,MATCH($L1460,应收单号,0)),0),2)&gt;0.001),"★指定冲销超过那张单的应收","OK"))))))))</f>
        <v/>
      </c>
    </row>
    <row r="1461" customFormat="false" ht="15" hidden="false" customHeight="false" outlineLevel="0" collapsed="false">
      <c r="A1461" s="29" t="str">
        <f aca="false">IF($C1461="","",ROW()-4)</f>
        <v/>
      </c>
      <c r="B1461" s="35" t="str">
        <f aca="false">IF($C1461="","","SK"&amp;TEXT($C1461,"yyyymm")&amp;"-"&amp;TEXT(ROW()-4,"0000"))</f>
        <v/>
      </c>
      <c r="C1461" s="33"/>
      <c r="D1461" s="24"/>
      <c r="E1461" s="30" t="str">
        <f aca="false">IF($D1461="","",IFERROR(INDEX(合同单位,MATCH($D1461,合同键,0)),IFERROR(TRIM(LEFT($D1461,FIND("｜",$D1461)-1)),$D1461)))</f>
        <v/>
      </c>
      <c r="F1461" s="30" t="str">
        <f aca="false">IF($D1461="","",IFERROR(INDEX(合同项目,MATCH($D1461,合同键,0)),IFERROR(TRIM(MID($D1461,FIND("｜",$D1461)+1,99)),"")))</f>
        <v/>
      </c>
      <c r="G1461" s="39"/>
      <c r="H1461" s="25"/>
      <c r="I1461" s="35" t="str">
        <f aca="false">IF($H1461="","",IFERROR(INDEX(票据归类表,MATCH($H1461,票据类型表,0)),"现金无票"))</f>
        <v/>
      </c>
      <c r="J1461" s="25"/>
      <c r="K1461" s="25"/>
      <c r="L1461" s="31"/>
      <c r="M1461" s="29" t="str">
        <f aca="false">IF($C1461="","",YEAR($C1461))</f>
        <v/>
      </c>
      <c r="N1461" s="24"/>
      <c r="O1461" s="35" t="str">
        <f aca="false">IF($C1461="","",IF($D1461="","★没选客户项目",IF(COUNTIF(合同键,$D1461)=0,"★《维保合同》里没这个项目",IF(N($G1461)&lt;=0,"★收款金额要填",IF($H1461="","★票据类型要选",IF(AND($L1461&lt;&gt;"",COUNTIF(应收单号,$L1461)=0),"★关联的应收单号不存在",IF(AND($L1461&lt;&gt;"",IFERROR(INDEX(应收键,MATCH($L1461,应收单号,0)),"")&lt;&gt;$D1461),"★关联单号不是这个客户的",IF(AND($L1461&lt;&gt;"",ROUND(SUMIF(收款关联,$L1461,收款金额)-IFERROR(INDEX(应收金额,MATCH($L1461,应收单号,0)),0),2)&gt;0.001),"★指定冲销超过那张单的应收","OK"))))))))</f>
        <v/>
      </c>
    </row>
    <row r="1462" customFormat="false" ht="15" hidden="false" customHeight="false" outlineLevel="0" collapsed="false">
      <c r="A1462" s="29" t="str">
        <f aca="false">IF($C1462="","",ROW()-4)</f>
        <v/>
      </c>
      <c r="B1462" s="35" t="str">
        <f aca="false">IF($C1462="","","SK"&amp;TEXT($C1462,"yyyymm")&amp;"-"&amp;TEXT(ROW()-4,"0000"))</f>
        <v/>
      </c>
      <c r="C1462" s="33"/>
      <c r="D1462" s="24"/>
      <c r="E1462" s="30" t="str">
        <f aca="false">IF($D1462="","",IFERROR(INDEX(合同单位,MATCH($D1462,合同键,0)),IFERROR(TRIM(LEFT($D1462,FIND("｜",$D1462)-1)),$D1462)))</f>
        <v/>
      </c>
      <c r="F1462" s="30" t="str">
        <f aca="false">IF($D1462="","",IFERROR(INDEX(合同项目,MATCH($D1462,合同键,0)),IFERROR(TRIM(MID($D1462,FIND("｜",$D1462)+1,99)),"")))</f>
        <v/>
      </c>
      <c r="G1462" s="39"/>
      <c r="H1462" s="25"/>
      <c r="I1462" s="35" t="str">
        <f aca="false">IF($H1462="","",IFERROR(INDEX(票据归类表,MATCH($H1462,票据类型表,0)),"现金无票"))</f>
        <v/>
      </c>
      <c r="J1462" s="25"/>
      <c r="K1462" s="25"/>
      <c r="L1462" s="31"/>
      <c r="M1462" s="29" t="str">
        <f aca="false">IF($C1462="","",YEAR($C1462))</f>
        <v/>
      </c>
      <c r="N1462" s="24"/>
      <c r="O1462" s="35" t="str">
        <f aca="false">IF($C1462="","",IF($D1462="","★没选客户项目",IF(COUNTIF(合同键,$D1462)=0,"★《维保合同》里没这个项目",IF(N($G1462)&lt;=0,"★收款金额要填",IF($H1462="","★票据类型要选",IF(AND($L1462&lt;&gt;"",COUNTIF(应收单号,$L1462)=0),"★关联的应收单号不存在",IF(AND($L1462&lt;&gt;"",IFERROR(INDEX(应收键,MATCH($L1462,应收单号,0)),"")&lt;&gt;$D1462),"★关联单号不是这个客户的",IF(AND($L1462&lt;&gt;"",ROUND(SUMIF(收款关联,$L1462,收款金额)-IFERROR(INDEX(应收金额,MATCH($L1462,应收单号,0)),0),2)&gt;0.001),"★指定冲销超过那张单的应收","OK"))))))))</f>
        <v/>
      </c>
    </row>
    <row r="1463" customFormat="false" ht="15" hidden="false" customHeight="false" outlineLevel="0" collapsed="false">
      <c r="A1463" s="29" t="str">
        <f aca="false">IF($C1463="","",ROW()-4)</f>
        <v/>
      </c>
      <c r="B1463" s="35" t="str">
        <f aca="false">IF($C1463="","","SK"&amp;TEXT($C1463,"yyyymm")&amp;"-"&amp;TEXT(ROW()-4,"0000"))</f>
        <v/>
      </c>
      <c r="C1463" s="33"/>
      <c r="D1463" s="24"/>
      <c r="E1463" s="30" t="str">
        <f aca="false">IF($D1463="","",IFERROR(INDEX(合同单位,MATCH($D1463,合同键,0)),IFERROR(TRIM(LEFT($D1463,FIND("｜",$D1463)-1)),$D1463)))</f>
        <v/>
      </c>
      <c r="F1463" s="30" t="str">
        <f aca="false">IF($D1463="","",IFERROR(INDEX(合同项目,MATCH($D1463,合同键,0)),IFERROR(TRIM(MID($D1463,FIND("｜",$D1463)+1,99)),"")))</f>
        <v/>
      </c>
      <c r="G1463" s="39"/>
      <c r="H1463" s="25"/>
      <c r="I1463" s="35" t="str">
        <f aca="false">IF($H1463="","",IFERROR(INDEX(票据归类表,MATCH($H1463,票据类型表,0)),"现金无票"))</f>
        <v/>
      </c>
      <c r="J1463" s="25"/>
      <c r="K1463" s="25"/>
      <c r="L1463" s="31"/>
      <c r="M1463" s="29" t="str">
        <f aca="false">IF($C1463="","",YEAR($C1463))</f>
        <v/>
      </c>
      <c r="N1463" s="24"/>
      <c r="O1463" s="35" t="str">
        <f aca="false">IF($C1463="","",IF($D1463="","★没选客户项目",IF(COUNTIF(合同键,$D1463)=0,"★《维保合同》里没这个项目",IF(N($G1463)&lt;=0,"★收款金额要填",IF($H1463="","★票据类型要选",IF(AND($L1463&lt;&gt;"",COUNTIF(应收单号,$L1463)=0),"★关联的应收单号不存在",IF(AND($L1463&lt;&gt;"",IFERROR(INDEX(应收键,MATCH($L1463,应收单号,0)),"")&lt;&gt;$D1463),"★关联单号不是这个客户的",IF(AND($L1463&lt;&gt;"",ROUND(SUMIF(收款关联,$L1463,收款金额)-IFERROR(INDEX(应收金额,MATCH($L1463,应收单号,0)),0),2)&gt;0.001),"★指定冲销超过那张单的应收","OK"))))))))</f>
        <v/>
      </c>
    </row>
    <row r="1464" customFormat="false" ht="15" hidden="false" customHeight="false" outlineLevel="0" collapsed="false">
      <c r="A1464" s="29" t="str">
        <f aca="false">IF($C1464="","",ROW()-4)</f>
        <v/>
      </c>
      <c r="B1464" s="35" t="str">
        <f aca="false">IF($C1464="","","SK"&amp;TEXT($C1464,"yyyymm")&amp;"-"&amp;TEXT(ROW()-4,"0000"))</f>
        <v/>
      </c>
      <c r="C1464" s="33"/>
      <c r="D1464" s="24"/>
      <c r="E1464" s="30" t="str">
        <f aca="false">IF($D1464="","",IFERROR(INDEX(合同单位,MATCH($D1464,合同键,0)),IFERROR(TRIM(LEFT($D1464,FIND("｜",$D1464)-1)),$D1464)))</f>
        <v/>
      </c>
      <c r="F1464" s="30" t="str">
        <f aca="false">IF($D1464="","",IFERROR(INDEX(合同项目,MATCH($D1464,合同键,0)),IFERROR(TRIM(MID($D1464,FIND("｜",$D1464)+1,99)),"")))</f>
        <v/>
      </c>
      <c r="G1464" s="39"/>
      <c r="H1464" s="25"/>
      <c r="I1464" s="35" t="str">
        <f aca="false">IF($H1464="","",IFERROR(INDEX(票据归类表,MATCH($H1464,票据类型表,0)),"现金无票"))</f>
        <v/>
      </c>
      <c r="J1464" s="25"/>
      <c r="K1464" s="25"/>
      <c r="L1464" s="31"/>
      <c r="M1464" s="29" t="str">
        <f aca="false">IF($C1464="","",YEAR($C1464))</f>
        <v/>
      </c>
      <c r="N1464" s="24"/>
      <c r="O1464" s="35" t="str">
        <f aca="false">IF($C1464="","",IF($D1464="","★没选客户项目",IF(COUNTIF(合同键,$D1464)=0,"★《维保合同》里没这个项目",IF(N($G1464)&lt;=0,"★收款金额要填",IF($H1464="","★票据类型要选",IF(AND($L1464&lt;&gt;"",COUNTIF(应收单号,$L1464)=0),"★关联的应收单号不存在",IF(AND($L1464&lt;&gt;"",IFERROR(INDEX(应收键,MATCH($L1464,应收单号,0)),"")&lt;&gt;$D1464),"★关联单号不是这个客户的",IF(AND($L1464&lt;&gt;"",ROUND(SUMIF(收款关联,$L1464,收款金额)-IFERROR(INDEX(应收金额,MATCH($L1464,应收单号,0)),0),2)&gt;0.001),"★指定冲销超过那张单的应收","OK"))))))))</f>
        <v/>
      </c>
    </row>
    <row r="1465" customFormat="false" ht="15" hidden="false" customHeight="false" outlineLevel="0" collapsed="false">
      <c r="A1465" s="29" t="str">
        <f aca="false">IF($C1465="","",ROW()-4)</f>
        <v/>
      </c>
      <c r="B1465" s="35" t="str">
        <f aca="false">IF($C1465="","","SK"&amp;TEXT($C1465,"yyyymm")&amp;"-"&amp;TEXT(ROW()-4,"0000"))</f>
        <v/>
      </c>
      <c r="C1465" s="33"/>
      <c r="D1465" s="24"/>
      <c r="E1465" s="30" t="str">
        <f aca="false">IF($D1465="","",IFERROR(INDEX(合同单位,MATCH($D1465,合同键,0)),IFERROR(TRIM(LEFT($D1465,FIND("｜",$D1465)-1)),$D1465)))</f>
        <v/>
      </c>
      <c r="F1465" s="30" t="str">
        <f aca="false">IF($D1465="","",IFERROR(INDEX(合同项目,MATCH($D1465,合同键,0)),IFERROR(TRIM(MID($D1465,FIND("｜",$D1465)+1,99)),"")))</f>
        <v/>
      </c>
      <c r="G1465" s="39"/>
      <c r="H1465" s="25"/>
      <c r="I1465" s="35" t="str">
        <f aca="false">IF($H1465="","",IFERROR(INDEX(票据归类表,MATCH($H1465,票据类型表,0)),"现金无票"))</f>
        <v/>
      </c>
      <c r="J1465" s="25"/>
      <c r="K1465" s="25"/>
      <c r="L1465" s="31"/>
      <c r="M1465" s="29" t="str">
        <f aca="false">IF($C1465="","",YEAR($C1465))</f>
        <v/>
      </c>
      <c r="N1465" s="24"/>
      <c r="O1465" s="35" t="str">
        <f aca="false">IF($C1465="","",IF($D1465="","★没选客户项目",IF(COUNTIF(合同键,$D1465)=0,"★《维保合同》里没这个项目",IF(N($G1465)&lt;=0,"★收款金额要填",IF($H1465="","★票据类型要选",IF(AND($L1465&lt;&gt;"",COUNTIF(应收单号,$L1465)=0),"★关联的应收单号不存在",IF(AND($L1465&lt;&gt;"",IFERROR(INDEX(应收键,MATCH($L1465,应收单号,0)),"")&lt;&gt;$D1465),"★关联单号不是这个客户的",IF(AND($L1465&lt;&gt;"",ROUND(SUMIF(收款关联,$L1465,收款金额)-IFERROR(INDEX(应收金额,MATCH($L1465,应收单号,0)),0),2)&gt;0.001),"★指定冲销超过那张单的应收","OK"))))))))</f>
        <v/>
      </c>
    </row>
    <row r="1466" customFormat="false" ht="15" hidden="false" customHeight="false" outlineLevel="0" collapsed="false">
      <c r="A1466" s="29" t="str">
        <f aca="false">IF($C1466="","",ROW()-4)</f>
        <v/>
      </c>
      <c r="B1466" s="35" t="str">
        <f aca="false">IF($C1466="","","SK"&amp;TEXT($C1466,"yyyymm")&amp;"-"&amp;TEXT(ROW()-4,"0000"))</f>
        <v/>
      </c>
      <c r="C1466" s="33"/>
      <c r="D1466" s="24"/>
      <c r="E1466" s="30" t="str">
        <f aca="false">IF($D1466="","",IFERROR(INDEX(合同单位,MATCH($D1466,合同键,0)),IFERROR(TRIM(LEFT($D1466,FIND("｜",$D1466)-1)),$D1466)))</f>
        <v/>
      </c>
      <c r="F1466" s="30" t="str">
        <f aca="false">IF($D1466="","",IFERROR(INDEX(合同项目,MATCH($D1466,合同键,0)),IFERROR(TRIM(MID($D1466,FIND("｜",$D1466)+1,99)),"")))</f>
        <v/>
      </c>
      <c r="G1466" s="39"/>
      <c r="H1466" s="25"/>
      <c r="I1466" s="35" t="str">
        <f aca="false">IF($H1466="","",IFERROR(INDEX(票据归类表,MATCH($H1466,票据类型表,0)),"现金无票"))</f>
        <v/>
      </c>
      <c r="J1466" s="25"/>
      <c r="K1466" s="25"/>
      <c r="L1466" s="31"/>
      <c r="M1466" s="29" t="str">
        <f aca="false">IF($C1466="","",YEAR($C1466))</f>
        <v/>
      </c>
      <c r="N1466" s="24"/>
      <c r="O1466" s="35" t="str">
        <f aca="false">IF($C1466="","",IF($D1466="","★没选客户项目",IF(COUNTIF(合同键,$D1466)=0,"★《维保合同》里没这个项目",IF(N($G1466)&lt;=0,"★收款金额要填",IF($H1466="","★票据类型要选",IF(AND($L1466&lt;&gt;"",COUNTIF(应收单号,$L1466)=0),"★关联的应收单号不存在",IF(AND($L1466&lt;&gt;"",IFERROR(INDEX(应收键,MATCH($L1466,应收单号,0)),"")&lt;&gt;$D1466),"★关联单号不是这个客户的",IF(AND($L1466&lt;&gt;"",ROUND(SUMIF(收款关联,$L1466,收款金额)-IFERROR(INDEX(应收金额,MATCH($L1466,应收单号,0)),0),2)&gt;0.001),"★指定冲销超过那张单的应收","OK"))))))))</f>
        <v/>
      </c>
    </row>
    <row r="1467" customFormat="false" ht="15" hidden="false" customHeight="false" outlineLevel="0" collapsed="false">
      <c r="A1467" s="29" t="str">
        <f aca="false">IF($C1467="","",ROW()-4)</f>
        <v/>
      </c>
      <c r="B1467" s="35" t="str">
        <f aca="false">IF($C1467="","","SK"&amp;TEXT($C1467,"yyyymm")&amp;"-"&amp;TEXT(ROW()-4,"0000"))</f>
        <v/>
      </c>
      <c r="C1467" s="33"/>
      <c r="D1467" s="24"/>
      <c r="E1467" s="30" t="str">
        <f aca="false">IF($D1467="","",IFERROR(INDEX(合同单位,MATCH($D1467,合同键,0)),IFERROR(TRIM(LEFT($D1467,FIND("｜",$D1467)-1)),$D1467)))</f>
        <v/>
      </c>
      <c r="F1467" s="30" t="str">
        <f aca="false">IF($D1467="","",IFERROR(INDEX(合同项目,MATCH($D1467,合同键,0)),IFERROR(TRIM(MID($D1467,FIND("｜",$D1467)+1,99)),"")))</f>
        <v/>
      </c>
      <c r="G1467" s="39"/>
      <c r="H1467" s="25"/>
      <c r="I1467" s="35" t="str">
        <f aca="false">IF($H1467="","",IFERROR(INDEX(票据归类表,MATCH($H1467,票据类型表,0)),"现金无票"))</f>
        <v/>
      </c>
      <c r="J1467" s="25"/>
      <c r="K1467" s="25"/>
      <c r="L1467" s="31"/>
      <c r="M1467" s="29" t="str">
        <f aca="false">IF($C1467="","",YEAR($C1467))</f>
        <v/>
      </c>
      <c r="N1467" s="24"/>
      <c r="O1467" s="35" t="str">
        <f aca="false">IF($C1467="","",IF($D1467="","★没选客户项目",IF(COUNTIF(合同键,$D1467)=0,"★《维保合同》里没这个项目",IF(N($G1467)&lt;=0,"★收款金额要填",IF($H1467="","★票据类型要选",IF(AND($L1467&lt;&gt;"",COUNTIF(应收单号,$L1467)=0),"★关联的应收单号不存在",IF(AND($L1467&lt;&gt;"",IFERROR(INDEX(应收键,MATCH($L1467,应收单号,0)),"")&lt;&gt;$D1467),"★关联单号不是这个客户的",IF(AND($L1467&lt;&gt;"",ROUND(SUMIF(收款关联,$L1467,收款金额)-IFERROR(INDEX(应收金额,MATCH($L1467,应收单号,0)),0),2)&gt;0.001),"★指定冲销超过那张单的应收","OK"))))))))</f>
        <v/>
      </c>
    </row>
    <row r="1468" customFormat="false" ht="15" hidden="false" customHeight="false" outlineLevel="0" collapsed="false">
      <c r="A1468" s="29" t="str">
        <f aca="false">IF($C1468="","",ROW()-4)</f>
        <v/>
      </c>
      <c r="B1468" s="35" t="str">
        <f aca="false">IF($C1468="","","SK"&amp;TEXT($C1468,"yyyymm")&amp;"-"&amp;TEXT(ROW()-4,"0000"))</f>
        <v/>
      </c>
      <c r="C1468" s="33"/>
      <c r="D1468" s="24"/>
      <c r="E1468" s="30" t="str">
        <f aca="false">IF($D1468="","",IFERROR(INDEX(合同单位,MATCH($D1468,合同键,0)),IFERROR(TRIM(LEFT($D1468,FIND("｜",$D1468)-1)),$D1468)))</f>
        <v/>
      </c>
      <c r="F1468" s="30" t="str">
        <f aca="false">IF($D1468="","",IFERROR(INDEX(合同项目,MATCH($D1468,合同键,0)),IFERROR(TRIM(MID($D1468,FIND("｜",$D1468)+1,99)),"")))</f>
        <v/>
      </c>
      <c r="G1468" s="39"/>
      <c r="H1468" s="25"/>
      <c r="I1468" s="35" t="str">
        <f aca="false">IF($H1468="","",IFERROR(INDEX(票据归类表,MATCH($H1468,票据类型表,0)),"现金无票"))</f>
        <v/>
      </c>
      <c r="J1468" s="25"/>
      <c r="K1468" s="25"/>
      <c r="L1468" s="31"/>
      <c r="M1468" s="29" t="str">
        <f aca="false">IF($C1468="","",YEAR($C1468))</f>
        <v/>
      </c>
      <c r="N1468" s="24"/>
      <c r="O1468" s="35" t="str">
        <f aca="false">IF($C1468="","",IF($D1468="","★没选客户项目",IF(COUNTIF(合同键,$D1468)=0,"★《维保合同》里没这个项目",IF(N($G1468)&lt;=0,"★收款金额要填",IF($H1468="","★票据类型要选",IF(AND($L1468&lt;&gt;"",COUNTIF(应收单号,$L1468)=0),"★关联的应收单号不存在",IF(AND($L1468&lt;&gt;"",IFERROR(INDEX(应收键,MATCH($L1468,应收单号,0)),"")&lt;&gt;$D1468),"★关联单号不是这个客户的",IF(AND($L1468&lt;&gt;"",ROUND(SUMIF(收款关联,$L1468,收款金额)-IFERROR(INDEX(应收金额,MATCH($L1468,应收单号,0)),0),2)&gt;0.001),"★指定冲销超过那张单的应收","OK"))))))))</f>
        <v/>
      </c>
    </row>
    <row r="1469" customFormat="false" ht="15" hidden="false" customHeight="false" outlineLevel="0" collapsed="false">
      <c r="A1469" s="29" t="str">
        <f aca="false">IF($C1469="","",ROW()-4)</f>
        <v/>
      </c>
      <c r="B1469" s="35" t="str">
        <f aca="false">IF($C1469="","","SK"&amp;TEXT($C1469,"yyyymm")&amp;"-"&amp;TEXT(ROW()-4,"0000"))</f>
        <v/>
      </c>
      <c r="C1469" s="33"/>
      <c r="D1469" s="24"/>
      <c r="E1469" s="30" t="str">
        <f aca="false">IF($D1469="","",IFERROR(INDEX(合同单位,MATCH($D1469,合同键,0)),IFERROR(TRIM(LEFT($D1469,FIND("｜",$D1469)-1)),$D1469)))</f>
        <v/>
      </c>
      <c r="F1469" s="30" t="str">
        <f aca="false">IF($D1469="","",IFERROR(INDEX(合同项目,MATCH($D1469,合同键,0)),IFERROR(TRIM(MID($D1469,FIND("｜",$D1469)+1,99)),"")))</f>
        <v/>
      </c>
      <c r="G1469" s="39"/>
      <c r="H1469" s="25"/>
      <c r="I1469" s="35" t="str">
        <f aca="false">IF($H1469="","",IFERROR(INDEX(票据归类表,MATCH($H1469,票据类型表,0)),"现金无票"))</f>
        <v/>
      </c>
      <c r="J1469" s="25"/>
      <c r="K1469" s="25"/>
      <c r="L1469" s="31"/>
      <c r="M1469" s="29" t="str">
        <f aca="false">IF($C1469="","",YEAR($C1469))</f>
        <v/>
      </c>
      <c r="N1469" s="24"/>
      <c r="O1469" s="35" t="str">
        <f aca="false">IF($C1469="","",IF($D1469="","★没选客户项目",IF(COUNTIF(合同键,$D1469)=0,"★《维保合同》里没这个项目",IF(N($G1469)&lt;=0,"★收款金额要填",IF($H1469="","★票据类型要选",IF(AND($L1469&lt;&gt;"",COUNTIF(应收单号,$L1469)=0),"★关联的应收单号不存在",IF(AND($L1469&lt;&gt;"",IFERROR(INDEX(应收键,MATCH($L1469,应收单号,0)),"")&lt;&gt;$D1469),"★关联单号不是这个客户的",IF(AND($L1469&lt;&gt;"",ROUND(SUMIF(收款关联,$L1469,收款金额)-IFERROR(INDEX(应收金额,MATCH($L1469,应收单号,0)),0),2)&gt;0.001),"★指定冲销超过那张单的应收","OK"))))))))</f>
        <v/>
      </c>
    </row>
    <row r="1470" customFormat="false" ht="15" hidden="false" customHeight="false" outlineLevel="0" collapsed="false">
      <c r="A1470" s="29" t="str">
        <f aca="false">IF($C1470="","",ROW()-4)</f>
        <v/>
      </c>
      <c r="B1470" s="35" t="str">
        <f aca="false">IF($C1470="","","SK"&amp;TEXT($C1470,"yyyymm")&amp;"-"&amp;TEXT(ROW()-4,"0000"))</f>
        <v/>
      </c>
      <c r="C1470" s="33"/>
      <c r="D1470" s="24"/>
      <c r="E1470" s="30" t="str">
        <f aca="false">IF($D1470="","",IFERROR(INDEX(合同单位,MATCH($D1470,合同键,0)),IFERROR(TRIM(LEFT($D1470,FIND("｜",$D1470)-1)),$D1470)))</f>
        <v/>
      </c>
      <c r="F1470" s="30" t="str">
        <f aca="false">IF($D1470="","",IFERROR(INDEX(合同项目,MATCH($D1470,合同键,0)),IFERROR(TRIM(MID($D1470,FIND("｜",$D1470)+1,99)),"")))</f>
        <v/>
      </c>
      <c r="G1470" s="39"/>
      <c r="H1470" s="25"/>
      <c r="I1470" s="35" t="str">
        <f aca="false">IF($H1470="","",IFERROR(INDEX(票据归类表,MATCH($H1470,票据类型表,0)),"现金无票"))</f>
        <v/>
      </c>
      <c r="J1470" s="25"/>
      <c r="K1470" s="25"/>
      <c r="L1470" s="31"/>
      <c r="M1470" s="29" t="str">
        <f aca="false">IF($C1470="","",YEAR($C1470))</f>
        <v/>
      </c>
      <c r="N1470" s="24"/>
      <c r="O1470" s="35" t="str">
        <f aca="false">IF($C1470="","",IF($D1470="","★没选客户项目",IF(COUNTIF(合同键,$D1470)=0,"★《维保合同》里没这个项目",IF(N($G1470)&lt;=0,"★收款金额要填",IF($H1470="","★票据类型要选",IF(AND($L1470&lt;&gt;"",COUNTIF(应收单号,$L1470)=0),"★关联的应收单号不存在",IF(AND($L1470&lt;&gt;"",IFERROR(INDEX(应收键,MATCH($L1470,应收单号,0)),"")&lt;&gt;$D1470),"★关联单号不是这个客户的",IF(AND($L1470&lt;&gt;"",ROUND(SUMIF(收款关联,$L1470,收款金额)-IFERROR(INDEX(应收金额,MATCH($L1470,应收单号,0)),0),2)&gt;0.001),"★指定冲销超过那张单的应收","OK"))))))))</f>
        <v/>
      </c>
    </row>
    <row r="1471" customFormat="false" ht="15" hidden="false" customHeight="false" outlineLevel="0" collapsed="false">
      <c r="A1471" s="29" t="str">
        <f aca="false">IF($C1471="","",ROW()-4)</f>
        <v/>
      </c>
      <c r="B1471" s="35" t="str">
        <f aca="false">IF($C1471="","","SK"&amp;TEXT($C1471,"yyyymm")&amp;"-"&amp;TEXT(ROW()-4,"0000"))</f>
        <v/>
      </c>
      <c r="C1471" s="33"/>
      <c r="D1471" s="24"/>
      <c r="E1471" s="30" t="str">
        <f aca="false">IF($D1471="","",IFERROR(INDEX(合同单位,MATCH($D1471,合同键,0)),IFERROR(TRIM(LEFT($D1471,FIND("｜",$D1471)-1)),$D1471)))</f>
        <v/>
      </c>
      <c r="F1471" s="30" t="str">
        <f aca="false">IF($D1471="","",IFERROR(INDEX(合同项目,MATCH($D1471,合同键,0)),IFERROR(TRIM(MID($D1471,FIND("｜",$D1471)+1,99)),"")))</f>
        <v/>
      </c>
      <c r="G1471" s="39"/>
      <c r="H1471" s="25"/>
      <c r="I1471" s="35" t="str">
        <f aca="false">IF($H1471="","",IFERROR(INDEX(票据归类表,MATCH($H1471,票据类型表,0)),"现金无票"))</f>
        <v/>
      </c>
      <c r="J1471" s="25"/>
      <c r="K1471" s="25"/>
      <c r="L1471" s="31"/>
      <c r="M1471" s="29" t="str">
        <f aca="false">IF($C1471="","",YEAR($C1471))</f>
        <v/>
      </c>
      <c r="N1471" s="24"/>
      <c r="O1471" s="35" t="str">
        <f aca="false">IF($C1471="","",IF($D1471="","★没选客户项目",IF(COUNTIF(合同键,$D1471)=0,"★《维保合同》里没这个项目",IF(N($G1471)&lt;=0,"★收款金额要填",IF($H1471="","★票据类型要选",IF(AND($L1471&lt;&gt;"",COUNTIF(应收单号,$L1471)=0),"★关联的应收单号不存在",IF(AND($L1471&lt;&gt;"",IFERROR(INDEX(应收键,MATCH($L1471,应收单号,0)),"")&lt;&gt;$D1471),"★关联单号不是这个客户的",IF(AND($L1471&lt;&gt;"",ROUND(SUMIF(收款关联,$L1471,收款金额)-IFERROR(INDEX(应收金额,MATCH($L1471,应收单号,0)),0),2)&gt;0.001),"★指定冲销超过那张单的应收","OK"))))))))</f>
        <v/>
      </c>
    </row>
    <row r="1472" customFormat="false" ht="15" hidden="false" customHeight="false" outlineLevel="0" collapsed="false">
      <c r="A1472" s="29" t="str">
        <f aca="false">IF($C1472="","",ROW()-4)</f>
        <v/>
      </c>
      <c r="B1472" s="35" t="str">
        <f aca="false">IF($C1472="","","SK"&amp;TEXT($C1472,"yyyymm")&amp;"-"&amp;TEXT(ROW()-4,"0000"))</f>
        <v/>
      </c>
      <c r="C1472" s="33"/>
      <c r="D1472" s="24"/>
      <c r="E1472" s="30" t="str">
        <f aca="false">IF($D1472="","",IFERROR(INDEX(合同单位,MATCH($D1472,合同键,0)),IFERROR(TRIM(LEFT($D1472,FIND("｜",$D1472)-1)),$D1472)))</f>
        <v/>
      </c>
      <c r="F1472" s="30" t="str">
        <f aca="false">IF($D1472="","",IFERROR(INDEX(合同项目,MATCH($D1472,合同键,0)),IFERROR(TRIM(MID($D1472,FIND("｜",$D1472)+1,99)),"")))</f>
        <v/>
      </c>
      <c r="G1472" s="39"/>
      <c r="H1472" s="25"/>
      <c r="I1472" s="35" t="str">
        <f aca="false">IF($H1472="","",IFERROR(INDEX(票据归类表,MATCH($H1472,票据类型表,0)),"现金无票"))</f>
        <v/>
      </c>
      <c r="J1472" s="25"/>
      <c r="K1472" s="25"/>
      <c r="L1472" s="31"/>
      <c r="M1472" s="29" t="str">
        <f aca="false">IF($C1472="","",YEAR($C1472))</f>
        <v/>
      </c>
      <c r="N1472" s="24"/>
      <c r="O1472" s="35" t="str">
        <f aca="false">IF($C1472="","",IF($D1472="","★没选客户项目",IF(COUNTIF(合同键,$D1472)=0,"★《维保合同》里没这个项目",IF(N($G1472)&lt;=0,"★收款金额要填",IF($H1472="","★票据类型要选",IF(AND($L1472&lt;&gt;"",COUNTIF(应收单号,$L1472)=0),"★关联的应收单号不存在",IF(AND($L1472&lt;&gt;"",IFERROR(INDEX(应收键,MATCH($L1472,应收单号,0)),"")&lt;&gt;$D1472),"★关联单号不是这个客户的",IF(AND($L1472&lt;&gt;"",ROUND(SUMIF(收款关联,$L1472,收款金额)-IFERROR(INDEX(应收金额,MATCH($L1472,应收单号,0)),0),2)&gt;0.001),"★指定冲销超过那张单的应收","OK"))))))))</f>
        <v/>
      </c>
    </row>
    <row r="1473" customFormat="false" ht="15" hidden="false" customHeight="false" outlineLevel="0" collapsed="false">
      <c r="A1473" s="29" t="str">
        <f aca="false">IF($C1473="","",ROW()-4)</f>
        <v/>
      </c>
      <c r="B1473" s="35" t="str">
        <f aca="false">IF($C1473="","","SK"&amp;TEXT($C1473,"yyyymm")&amp;"-"&amp;TEXT(ROW()-4,"0000"))</f>
        <v/>
      </c>
      <c r="C1473" s="33"/>
      <c r="D1473" s="24"/>
      <c r="E1473" s="30" t="str">
        <f aca="false">IF($D1473="","",IFERROR(INDEX(合同单位,MATCH($D1473,合同键,0)),IFERROR(TRIM(LEFT($D1473,FIND("｜",$D1473)-1)),$D1473)))</f>
        <v/>
      </c>
      <c r="F1473" s="30" t="str">
        <f aca="false">IF($D1473="","",IFERROR(INDEX(合同项目,MATCH($D1473,合同键,0)),IFERROR(TRIM(MID($D1473,FIND("｜",$D1473)+1,99)),"")))</f>
        <v/>
      </c>
      <c r="G1473" s="39"/>
      <c r="H1473" s="25"/>
      <c r="I1473" s="35" t="str">
        <f aca="false">IF($H1473="","",IFERROR(INDEX(票据归类表,MATCH($H1473,票据类型表,0)),"现金无票"))</f>
        <v/>
      </c>
      <c r="J1473" s="25"/>
      <c r="K1473" s="25"/>
      <c r="L1473" s="31"/>
      <c r="M1473" s="29" t="str">
        <f aca="false">IF($C1473="","",YEAR($C1473))</f>
        <v/>
      </c>
      <c r="N1473" s="24"/>
      <c r="O1473" s="35" t="str">
        <f aca="false">IF($C1473="","",IF($D1473="","★没选客户项目",IF(COUNTIF(合同键,$D1473)=0,"★《维保合同》里没这个项目",IF(N($G1473)&lt;=0,"★收款金额要填",IF($H1473="","★票据类型要选",IF(AND($L1473&lt;&gt;"",COUNTIF(应收单号,$L1473)=0),"★关联的应收单号不存在",IF(AND($L1473&lt;&gt;"",IFERROR(INDEX(应收键,MATCH($L1473,应收单号,0)),"")&lt;&gt;$D1473),"★关联单号不是这个客户的",IF(AND($L1473&lt;&gt;"",ROUND(SUMIF(收款关联,$L1473,收款金额)-IFERROR(INDEX(应收金额,MATCH($L1473,应收单号,0)),0),2)&gt;0.001),"★指定冲销超过那张单的应收","OK"))))))))</f>
        <v/>
      </c>
    </row>
    <row r="1474" customFormat="false" ht="15" hidden="false" customHeight="false" outlineLevel="0" collapsed="false">
      <c r="A1474" s="29" t="str">
        <f aca="false">IF($C1474="","",ROW()-4)</f>
        <v/>
      </c>
      <c r="B1474" s="35" t="str">
        <f aca="false">IF($C1474="","","SK"&amp;TEXT($C1474,"yyyymm")&amp;"-"&amp;TEXT(ROW()-4,"0000"))</f>
        <v/>
      </c>
      <c r="C1474" s="33"/>
      <c r="D1474" s="24"/>
      <c r="E1474" s="30" t="str">
        <f aca="false">IF($D1474="","",IFERROR(INDEX(合同单位,MATCH($D1474,合同键,0)),IFERROR(TRIM(LEFT($D1474,FIND("｜",$D1474)-1)),$D1474)))</f>
        <v/>
      </c>
      <c r="F1474" s="30" t="str">
        <f aca="false">IF($D1474="","",IFERROR(INDEX(合同项目,MATCH($D1474,合同键,0)),IFERROR(TRIM(MID($D1474,FIND("｜",$D1474)+1,99)),"")))</f>
        <v/>
      </c>
      <c r="G1474" s="39"/>
      <c r="H1474" s="25"/>
      <c r="I1474" s="35" t="str">
        <f aca="false">IF($H1474="","",IFERROR(INDEX(票据归类表,MATCH($H1474,票据类型表,0)),"现金无票"))</f>
        <v/>
      </c>
      <c r="J1474" s="25"/>
      <c r="K1474" s="25"/>
      <c r="L1474" s="31"/>
      <c r="M1474" s="29" t="str">
        <f aca="false">IF($C1474="","",YEAR($C1474))</f>
        <v/>
      </c>
      <c r="N1474" s="24"/>
      <c r="O1474" s="35" t="str">
        <f aca="false">IF($C1474="","",IF($D1474="","★没选客户项目",IF(COUNTIF(合同键,$D1474)=0,"★《维保合同》里没这个项目",IF(N($G1474)&lt;=0,"★收款金额要填",IF($H1474="","★票据类型要选",IF(AND($L1474&lt;&gt;"",COUNTIF(应收单号,$L1474)=0),"★关联的应收单号不存在",IF(AND($L1474&lt;&gt;"",IFERROR(INDEX(应收键,MATCH($L1474,应收单号,0)),"")&lt;&gt;$D1474),"★关联单号不是这个客户的",IF(AND($L1474&lt;&gt;"",ROUND(SUMIF(收款关联,$L1474,收款金额)-IFERROR(INDEX(应收金额,MATCH($L1474,应收单号,0)),0),2)&gt;0.001),"★指定冲销超过那张单的应收","OK"))))))))</f>
        <v/>
      </c>
    </row>
    <row r="1475" customFormat="false" ht="15" hidden="false" customHeight="false" outlineLevel="0" collapsed="false">
      <c r="A1475" s="29" t="str">
        <f aca="false">IF($C1475="","",ROW()-4)</f>
        <v/>
      </c>
      <c r="B1475" s="35" t="str">
        <f aca="false">IF($C1475="","","SK"&amp;TEXT($C1475,"yyyymm")&amp;"-"&amp;TEXT(ROW()-4,"0000"))</f>
        <v/>
      </c>
      <c r="C1475" s="33"/>
      <c r="D1475" s="24"/>
      <c r="E1475" s="30" t="str">
        <f aca="false">IF($D1475="","",IFERROR(INDEX(合同单位,MATCH($D1475,合同键,0)),IFERROR(TRIM(LEFT($D1475,FIND("｜",$D1475)-1)),$D1475)))</f>
        <v/>
      </c>
      <c r="F1475" s="30" t="str">
        <f aca="false">IF($D1475="","",IFERROR(INDEX(合同项目,MATCH($D1475,合同键,0)),IFERROR(TRIM(MID($D1475,FIND("｜",$D1475)+1,99)),"")))</f>
        <v/>
      </c>
      <c r="G1475" s="39"/>
      <c r="H1475" s="25"/>
      <c r="I1475" s="35" t="str">
        <f aca="false">IF($H1475="","",IFERROR(INDEX(票据归类表,MATCH($H1475,票据类型表,0)),"现金无票"))</f>
        <v/>
      </c>
      <c r="J1475" s="25"/>
      <c r="K1475" s="25"/>
      <c r="L1475" s="31"/>
      <c r="M1475" s="29" t="str">
        <f aca="false">IF($C1475="","",YEAR($C1475))</f>
        <v/>
      </c>
      <c r="N1475" s="24"/>
      <c r="O1475" s="35" t="str">
        <f aca="false">IF($C1475="","",IF($D1475="","★没选客户项目",IF(COUNTIF(合同键,$D1475)=0,"★《维保合同》里没这个项目",IF(N($G1475)&lt;=0,"★收款金额要填",IF($H1475="","★票据类型要选",IF(AND($L1475&lt;&gt;"",COUNTIF(应收单号,$L1475)=0),"★关联的应收单号不存在",IF(AND($L1475&lt;&gt;"",IFERROR(INDEX(应收键,MATCH($L1475,应收单号,0)),"")&lt;&gt;$D1475),"★关联单号不是这个客户的",IF(AND($L1475&lt;&gt;"",ROUND(SUMIF(收款关联,$L1475,收款金额)-IFERROR(INDEX(应收金额,MATCH($L1475,应收单号,0)),0),2)&gt;0.001),"★指定冲销超过那张单的应收","OK"))))))))</f>
        <v/>
      </c>
    </row>
    <row r="1476" customFormat="false" ht="15" hidden="false" customHeight="false" outlineLevel="0" collapsed="false">
      <c r="A1476" s="29" t="str">
        <f aca="false">IF($C1476="","",ROW()-4)</f>
        <v/>
      </c>
      <c r="B1476" s="35" t="str">
        <f aca="false">IF($C1476="","","SK"&amp;TEXT($C1476,"yyyymm")&amp;"-"&amp;TEXT(ROW()-4,"0000"))</f>
        <v/>
      </c>
      <c r="C1476" s="33"/>
      <c r="D1476" s="24"/>
      <c r="E1476" s="30" t="str">
        <f aca="false">IF($D1476="","",IFERROR(INDEX(合同单位,MATCH($D1476,合同键,0)),IFERROR(TRIM(LEFT($D1476,FIND("｜",$D1476)-1)),$D1476)))</f>
        <v/>
      </c>
      <c r="F1476" s="30" t="str">
        <f aca="false">IF($D1476="","",IFERROR(INDEX(合同项目,MATCH($D1476,合同键,0)),IFERROR(TRIM(MID($D1476,FIND("｜",$D1476)+1,99)),"")))</f>
        <v/>
      </c>
      <c r="G1476" s="39"/>
      <c r="H1476" s="25"/>
      <c r="I1476" s="35" t="str">
        <f aca="false">IF($H1476="","",IFERROR(INDEX(票据归类表,MATCH($H1476,票据类型表,0)),"现金无票"))</f>
        <v/>
      </c>
      <c r="J1476" s="25"/>
      <c r="K1476" s="25"/>
      <c r="L1476" s="31"/>
      <c r="M1476" s="29" t="str">
        <f aca="false">IF($C1476="","",YEAR($C1476))</f>
        <v/>
      </c>
      <c r="N1476" s="24"/>
      <c r="O1476" s="35" t="str">
        <f aca="false">IF($C1476="","",IF($D1476="","★没选客户项目",IF(COUNTIF(合同键,$D1476)=0,"★《维保合同》里没这个项目",IF(N($G1476)&lt;=0,"★收款金额要填",IF($H1476="","★票据类型要选",IF(AND($L1476&lt;&gt;"",COUNTIF(应收单号,$L1476)=0),"★关联的应收单号不存在",IF(AND($L1476&lt;&gt;"",IFERROR(INDEX(应收键,MATCH($L1476,应收单号,0)),"")&lt;&gt;$D1476),"★关联单号不是这个客户的",IF(AND($L1476&lt;&gt;"",ROUND(SUMIF(收款关联,$L1476,收款金额)-IFERROR(INDEX(应收金额,MATCH($L1476,应收单号,0)),0),2)&gt;0.001),"★指定冲销超过那张单的应收","OK"))))))))</f>
        <v/>
      </c>
    </row>
    <row r="1477" customFormat="false" ht="15" hidden="false" customHeight="false" outlineLevel="0" collapsed="false">
      <c r="A1477" s="29" t="str">
        <f aca="false">IF($C1477="","",ROW()-4)</f>
        <v/>
      </c>
      <c r="B1477" s="35" t="str">
        <f aca="false">IF($C1477="","","SK"&amp;TEXT($C1477,"yyyymm")&amp;"-"&amp;TEXT(ROW()-4,"0000"))</f>
        <v/>
      </c>
      <c r="C1477" s="33"/>
      <c r="D1477" s="24"/>
      <c r="E1477" s="30" t="str">
        <f aca="false">IF($D1477="","",IFERROR(INDEX(合同单位,MATCH($D1477,合同键,0)),IFERROR(TRIM(LEFT($D1477,FIND("｜",$D1477)-1)),$D1477)))</f>
        <v/>
      </c>
      <c r="F1477" s="30" t="str">
        <f aca="false">IF($D1477="","",IFERROR(INDEX(合同项目,MATCH($D1477,合同键,0)),IFERROR(TRIM(MID($D1477,FIND("｜",$D1477)+1,99)),"")))</f>
        <v/>
      </c>
      <c r="G1477" s="39"/>
      <c r="H1477" s="25"/>
      <c r="I1477" s="35" t="str">
        <f aca="false">IF($H1477="","",IFERROR(INDEX(票据归类表,MATCH($H1477,票据类型表,0)),"现金无票"))</f>
        <v/>
      </c>
      <c r="J1477" s="25"/>
      <c r="K1477" s="25"/>
      <c r="L1477" s="31"/>
      <c r="M1477" s="29" t="str">
        <f aca="false">IF($C1477="","",YEAR($C1477))</f>
        <v/>
      </c>
      <c r="N1477" s="24"/>
      <c r="O1477" s="35" t="str">
        <f aca="false">IF($C1477="","",IF($D1477="","★没选客户项目",IF(COUNTIF(合同键,$D1477)=0,"★《维保合同》里没这个项目",IF(N($G1477)&lt;=0,"★收款金额要填",IF($H1477="","★票据类型要选",IF(AND($L1477&lt;&gt;"",COUNTIF(应收单号,$L1477)=0),"★关联的应收单号不存在",IF(AND($L1477&lt;&gt;"",IFERROR(INDEX(应收键,MATCH($L1477,应收单号,0)),"")&lt;&gt;$D1477),"★关联单号不是这个客户的",IF(AND($L1477&lt;&gt;"",ROUND(SUMIF(收款关联,$L1477,收款金额)-IFERROR(INDEX(应收金额,MATCH($L1477,应收单号,0)),0),2)&gt;0.001),"★指定冲销超过那张单的应收","OK"))))))))</f>
        <v/>
      </c>
    </row>
    <row r="1478" customFormat="false" ht="15" hidden="false" customHeight="false" outlineLevel="0" collapsed="false">
      <c r="A1478" s="29" t="str">
        <f aca="false">IF($C1478="","",ROW()-4)</f>
        <v/>
      </c>
      <c r="B1478" s="35" t="str">
        <f aca="false">IF($C1478="","","SK"&amp;TEXT($C1478,"yyyymm")&amp;"-"&amp;TEXT(ROW()-4,"0000"))</f>
        <v/>
      </c>
      <c r="C1478" s="33"/>
      <c r="D1478" s="24"/>
      <c r="E1478" s="30" t="str">
        <f aca="false">IF($D1478="","",IFERROR(INDEX(合同单位,MATCH($D1478,合同键,0)),IFERROR(TRIM(LEFT($D1478,FIND("｜",$D1478)-1)),$D1478)))</f>
        <v/>
      </c>
      <c r="F1478" s="30" t="str">
        <f aca="false">IF($D1478="","",IFERROR(INDEX(合同项目,MATCH($D1478,合同键,0)),IFERROR(TRIM(MID($D1478,FIND("｜",$D1478)+1,99)),"")))</f>
        <v/>
      </c>
      <c r="G1478" s="39"/>
      <c r="H1478" s="25"/>
      <c r="I1478" s="35" t="str">
        <f aca="false">IF($H1478="","",IFERROR(INDEX(票据归类表,MATCH($H1478,票据类型表,0)),"现金无票"))</f>
        <v/>
      </c>
      <c r="J1478" s="25"/>
      <c r="K1478" s="25"/>
      <c r="L1478" s="31"/>
      <c r="M1478" s="29" t="str">
        <f aca="false">IF($C1478="","",YEAR($C1478))</f>
        <v/>
      </c>
      <c r="N1478" s="24"/>
      <c r="O1478" s="35" t="str">
        <f aca="false">IF($C1478="","",IF($D1478="","★没选客户项目",IF(COUNTIF(合同键,$D1478)=0,"★《维保合同》里没这个项目",IF(N($G1478)&lt;=0,"★收款金额要填",IF($H1478="","★票据类型要选",IF(AND($L1478&lt;&gt;"",COUNTIF(应收单号,$L1478)=0),"★关联的应收单号不存在",IF(AND($L1478&lt;&gt;"",IFERROR(INDEX(应收键,MATCH($L1478,应收单号,0)),"")&lt;&gt;$D1478),"★关联单号不是这个客户的",IF(AND($L1478&lt;&gt;"",ROUND(SUMIF(收款关联,$L1478,收款金额)-IFERROR(INDEX(应收金额,MATCH($L1478,应收单号,0)),0),2)&gt;0.001),"★指定冲销超过那张单的应收","OK"))))))))</f>
        <v/>
      </c>
    </row>
    <row r="1479" customFormat="false" ht="15" hidden="false" customHeight="false" outlineLevel="0" collapsed="false">
      <c r="A1479" s="29" t="str">
        <f aca="false">IF($C1479="","",ROW()-4)</f>
        <v/>
      </c>
      <c r="B1479" s="35" t="str">
        <f aca="false">IF($C1479="","","SK"&amp;TEXT($C1479,"yyyymm")&amp;"-"&amp;TEXT(ROW()-4,"0000"))</f>
        <v/>
      </c>
      <c r="C1479" s="33"/>
      <c r="D1479" s="24"/>
      <c r="E1479" s="30" t="str">
        <f aca="false">IF($D1479="","",IFERROR(INDEX(合同单位,MATCH($D1479,合同键,0)),IFERROR(TRIM(LEFT($D1479,FIND("｜",$D1479)-1)),$D1479)))</f>
        <v/>
      </c>
      <c r="F1479" s="30" t="str">
        <f aca="false">IF($D1479="","",IFERROR(INDEX(合同项目,MATCH($D1479,合同键,0)),IFERROR(TRIM(MID($D1479,FIND("｜",$D1479)+1,99)),"")))</f>
        <v/>
      </c>
      <c r="G1479" s="39"/>
      <c r="H1479" s="25"/>
      <c r="I1479" s="35" t="str">
        <f aca="false">IF($H1479="","",IFERROR(INDEX(票据归类表,MATCH($H1479,票据类型表,0)),"现金无票"))</f>
        <v/>
      </c>
      <c r="J1479" s="25"/>
      <c r="K1479" s="25"/>
      <c r="L1479" s="31"/>
      <c r="M1479" s="29" t="str">
        <f aca="false">IF($C1479="","",YEAR($C1479))</f>
        <v/>
      </c>
      <c r="N1479" s="24"/>
      <c r="O1479" s="35" t="str">
        <f aca="false">IF($C1479="","",IF($D1479="","★没选客户项目",IF(COUNTIF(合同键,$D1479)=0,"★《维保合同》里没这个项目",IF(N($G1479)&lt;=0,"★收款金额要填",IF($H1479="","★票据类型要选",IF(AND($L1479&lt;&gt;"",COUNTIF(应收单号,$L1479)=0),"★关联的应收单号不存在",IF(AND($L1479&lt;&gt;"",IFERROR(INDEX(应收键,MATCH($L1479,应收单号,0)),"")&lt;&gt;$D1479),"★关联单号不是这个客户的",IF(AND($L1479&lt;&gt;"",ROUND(SUMIF(收款关联,$L1479,收款金额)-IFERROR(INDEX(应收金额,MATCH($L1479,应收单号,0)),0),2)&gt;0.001),"★指定冲销超过那张单的应收","OK"))))))))</f>
        <v/>
      </c>
    </row>
    <row r="1480" customFormat="false" ht="15" hidden="false" customHeight="false" outlineLevel="0" collapsed="false">
      <c r="A1480" s="29" t="str">
        <f aca="false">IF($C1480="","",ROW()-4)</f>
        <v/>
      </c>
      <c r="B1480" s="35" t="str">
        <f aca="false">IF($C1480="","","SK"&amp;TEXT($C1480,"yyyymm")&amp;"-"&amp;TEXT(ROW()-4,"0000"))</f>
        <v/>
      </c>
      <c r="C1480" s="33"/>
      <c r="D1480" s="24"/>
      <c r="E1480" s="30" t="str">
        <f aca="false">IF($D1480="","",IFERROR(INDEX(合同单位,MATCH($D1480,合同键,0)),IFERROR(TRIM(LEFT($D1480,FIND("｜",$D1480)-1)),$D1480)))</f>
        <v/>
      </c>
      <c r="F1480" s="30" t="str">
        <f aca="false">IF($D1480="","",IFERROR(INDEX(合同项目,MATCH($D1480,合同键,0)),IFERROR(TRIM(MID($D1480,FIND("｜",$D1480)+1,99)),"")))</f>
        <v/>
      </c>
      <c r="G1480" s="39"/>
      <c r="H1480" s="25"/>
      <c r="I1480" s="35" t="str">
        <f aca="false">IF($H1480="","",IFERROR(INDEX(票据归类表,MATCH($H1480,票据类型表,0)),"现金无票"))</f>
        <v/>
      </c>
      <c r="J1480" s="25"/>
      <c r="K1480" s="25"/>
      <c r="L1480" s="31"/>
      <c r="M1480" s="29" t="str">
        <f aca="false">IF($C1480="","",YEAR($C1480))</f>
        <v/>
      </c>
      <c r="N1480" s="24"/>
      <c r="O1480" s="35" t="str">
        <f aca="false">IF($C1480="","",IF($D1480="","★没选客户项目",IF(COUNTIF(合同键,$D1480)=0,"★《维保合同》里没这个项目",IF(N($G1480)&lt;=0,"★收款金额要填",IF($H1480="","★票据类型要选",IF(AND($L1480&lt;&gt;"",COUNTIF(应收单号,$L1480)=0),"★关联的应收单号不存在",IF(AND($L1480&lt;&gt;"",IFERROR(INDEX(应收键,MATCH($L1480,应收单号,0)),"")&lt;&gt;$D1480),"★关联单号不是这个客户的",IF(AND($L1480&lt;&gt;"",ROUND(SUMIF(收款关联,$L1480,收款金额)-IFERROR(INDEX(应收金额,MATCH($L1480,应收单号,0)),0),2)&gt;0.001),"★指定冲销超过那张单的应收","OK"))))))))</f>
        <v/>
      </c>
    </row>
    <row r="1481" customFormat="false" ht="15" hidden="false" customHeight="false" outlineLevel="0" collapsed="false">
      <c r="A1481" s="29" t="str">
        <f aca="false">IF($C1481="","",ROW()-4)</f>
        <v/>
      </c>
      <c r="B1481" s="35" t="str">
        <f aca="false">IF($C1481="","","SK"&amp;TEXT($C1481,"yyyymm")&amp;"-"&amp;TEXT(ROW()-4,"0000"))</f>
        <v/>
      </c>
      <c r="C1481" s="33"/>
      <c r="D1481" s="24"/>
      <c r="E1481" s="30" t="str">
        <f aca="false">IF($D1481="","",IFERROR(INDEX(合同单位,MATCH($D1481,合同键,0)),IFERROR(TRIM(LEFT($D1481,FIND("｜",$D1481)-1)),$D1481)))</f>
        <v/>
      </c>
      <c r="F1481" s="30" t="str">
        <f aca="false">IF($D1481="","",IFERROR(INDEX(合同项目,MATCH($D1481,合同键,0)),IFERROR(TRIM(MID($D1481,FIND("｜",$D1481)+1,99)),"")))</f>
        <v/>
      </c>
      <c r="G1481" s="39"/>
      <c r="H1481" s="25"/>
      <c r="I1481" s="35" t="str">
        <f aca="false">IF($H1481="","",IFERROR(INDEX(票据归类表,MATCH($H1481,票据类型表,0)),"现金无票"))</f>
        <v/>
      </c>
      <c r="J1481" s="25"/>
      <c r="K1481" s="25"/>
      <c r="L1481" s="31"/>
      <c r="M1481" s="29" t="str">
        <f aca="false">IF($C1481="","",YEAR($C1481))</f>
        <v/>
      </c>
      <c r="N1481" s="24"/>
      <c r="O1481" s="35" t="str">
        <f aca="false">IF($C1481="","",IF($D1481="","★没选客户项目",IF(COUNTIF(合同键,$D1481)=0,"★《维保合同》里没这个项目",IF(N($G1481)&lt;=0,"★收款金额要填",IF($H1481="","★票据类型要选",IF(AND($L1481&lt;&gt;"",COUNTIF(应收单号,$L1481)=0),"★关联的应收单号不存在",IF(AND($L1481&lt;&gt;"",IFERROR(INDEX(应收键,MATCH($L1481,应收单号,0)),"")&lt;&gt;$D1481),"★关联单号不是这个客户的",IF(AND($L1481&lt;&gt;"",ROUND(SUMIF(收款关联,$L1481,收款金额)-IFERROR(INDEX(应收金额,MATCH($L1481,应收单号,0)),0),2)&gt;0.001),"★指定冲销超过那张单的应收","OK"))))))))</f>
        <v/>
      </c>
    </row>
    <row r="1482" customFormat="false" ht="15" hidden="false" customHeight="false" outlineLevel="0" collapsed="false">
      <c r="A1482" s="29" t="str">
        <f aca="false">IF($C1482="","",ROW()-4)</f>
        <v/>
      </c>
      <c r="B1482" s="35" t="str">
        <f aca="false">IF($C1482="","","SK"&amp;TEXT($C1482,"yyyymm")&amp;"-"&amp;TEXT(ROW()-4,"0000"))</f>
        <v/>
      </c>
      <c r="C1482" s="33"/>
      <c r="D1482" s="24"/>
      <c r="E1482" s="30" t="str">
        <f aca="false">IF($D1482="","",IFERROR(INDEX(合同单位,MATCH($D1482,合同键,0)),IFERROR(TRIM(LEFT($D1482,FIND("｜",$D1482)-1)),$D1482)))</f>
        <v/>
      </c>
      <c r="F1482" s="30" t="str">
        <f aca="false">IF($D1482="","",IFERROR(INDEX(合同项目,MATCH($D1482,合同键,0)),IFERROR(TRIM(MID($D1482,FIND("｜",$D1482)+1,99)),"")))</f>
        <v/>
      </c>
      <c r="G1482" s="39"/>
      <c r="H1482" s="25"/>
      <c r="I1482" s="35" t="str">
        <f aca="false">IF($H1482="","",IFERROR(INDEX(票据归类表,MATCH($H1482,票据类型表,0)),"现金无票"))</f>
        <v/>
      </c>
      <c r="J1482" s="25"/>
      <c r="K1482" s="25"/>
      <c r="L1482" s="31"/>
      <c r="M1482" s="29" t="str">
        <f aca="false">IF($C1482="","",YEAR($C1482))</f>
        <v/>
      </c>
      <c r="N1482" s="24"/>
      <c r="O1482" s="35" t="str">
        <f aca="false">IF($C1482="","",IF($D1482="","★没选客户项目",IF(COUNTIF(合同键,$D1482)=0,"★《维保合同》里没这个项目",IF(N($G1482)&lt;=0,"★收款金额要填",IF($H1482="","★票据类型要选",IF(AND($L1482&lt;&gt;"",COUNTIF(应收单号,$L1482)=0),"★关联的应收单号不存在",IF(AND($L1482&lt;&gt;"",IFERROR(INDEX(应收键,MATCH($L1482,应收单号,0)),"")&lt;&gt;$D1482),"★关联单号不是这个客户的",IF(AND($L1482&lt;&gt;"",ROUND(SUMIF(收款关联,$L1482,收款金额)-IFERROR(INDEX(应收金额,MATCH($L1482,应收单号,0)),0),2)&gt;0.001),"★指定冲销超过那张单的应收","OK"))))))))</f>
        <v/>
      </c>
    </row>
    <row r="1483" customFormat="false" ht="15" hidden="false" customHeight="false" outlineLevel="0" collapsed="false">
      <c r="A1483" s="29" t="str">
        <f aca="false">IF($C1483="","",ROW()-4)</f>
        <v/>
      </c>
      <c r="B1483" s="35" t="str">
        <f aca="false">IF($C1483="","","SK"&amp;TEXT($C1483,"yyyymm")&amp;"-"&amp;TEXT(ROW()-4,"0000"))</f>
        <v/>
      </c>
      <c r="C1483" s="33"/>
      <c r="D1483" s="24"/>
      <c r="E1483" s="30" t="str">
        <f aca="false">IF($D1483="","",IFERROR(INDEX(合同单位,MATCH($D1483,合同键,0)),IFERROR(TRIM(LEFT($D1483,FIND("｜",$D1483)-1)),$D1483)))</f>
        <v/>
      </c>
      <c r="F1483" s="30" t="str">
        <f aca="false">IF($D1483="","",IFERROR(INDEX(合同项目,MATCH($D1483,合同键,0)),IFERROR(TRIM(MID($D1483,FIND("｜",$D1483)+1,99)),"")))</f>
        <v/>
      </c>
      <c r="G1483" s="39"/>
      <c r="H1483" s="25"/>
      <c r="I1483" s="35" t="str">
        <f aca="false">IF($H1483="","",IFERROR(INDEX(票据归类表,MATCH($H1483,票据类型表,0)),"现金无票"))</f>
        <v/>
      </c>
      <c r="J1483" s="25"/>
      <c r="K1483" s="25"/>
      <c r="L1483" s="31"/>
      <c r="M1483" s="29" t="str">
        <f aca="false">IF($C1483="","",YEAR($C1483))</f>
        <v/>
      </c>
      <c r="N1483" s="24"/>
      <c r="O1483" s="35" t="str">
        <f aca="false">IF($C1483="","",IF($D1483="","★没选客户项目",IF(COUNTIF(合同键,$D1483)=0,"★《维保合同》里没这个项目",IF(N($G1483)&lt;=0,"★收款金额要填",IF($H1483="","★票据类型要选",IF(AND($L1483&lt;&gt;"",COUNTIF(应收单号,$L1483)=0),"★关联的应收单号不存在",IF(AND($L1483&lt;&gt;"",IFERROR(INDEX(应收键,MATCH($L1483,应收单号,0)),"")&lt;&gt;$D1483),"★关联单号不是这个客户的",IF(AND($L1483&lt;&gt;"",ROUND(SUMIF(收款关联,$L1483,收款金额)-IFERROR(INDEX(应收金额,MATCH($L1483,应收单号,0)),0),2)&gt;0.001),"★指定冲销超过那张单的应收","OK"))))))))</f>
        <v/>
      </c>
    </row>
    <row r="1484" customFormat="false" ht="15" hidden="false" customHeight="false" outlineLevel="0" collapsed="false">
      <c r="A1484" s="29" t="str">
        <f aca="false">IF($C1484="","",ROW()-4)</f>
        <v/>
      </c>
      <c r="B1484" s="35" t="str">
        <f aca="false">IF($C1484="","","SK"&amp;TEXT($C1484,"yyyymm")&amp;"-"&amp;TEXT(ROW()-4,"0000"))</f>
        <v/>
      </c>
      <c r="C1484" s="33"/>
      <c r="D1484" s="24"/>
      <c r="E1484" s="30" t="str">
        <f aca="false">IF($D1484="","",IFERROR(INDEX(合同单位,MATCH($D1484,合同键,0)),IFERROR(TRIM(LEFT($D1484,FIND("｜",$D1484)-1)),$D1484)))</f>
        <v/>
      </c>
      <c r="F1484" s="30" t="str">
        <f aca="false">IF($D1484="","",IFERROR(INDEX(合同项目,MATCH($D1484,合同键,0)),IFERROR(TRIM(MID($D1484,FIND("｜",$D1484)+1,99)),"")))</f>
        <v/>
      </c>
      <c r="G1484" s="39"/>
      <c r="H1484" s="25"/>
      <c r="I1484" s="35" t="str">
        <f aca="false">IF($H1484="","",IFERROR(INDEX(票据归类表,MATCH($H1484,票据类型表,0)),"现金无票"))</f>
        <v/>
      </c>
      <c r="J1484" s="25"/>
      <c r="K1484" s="25"/>
      <c r="L1484" s="31"/>
      <c r="M1484" s="29" t="str">
        <f aca="false">IF($C1484="","",YEAR($C1484))</f>
        <v/>
      </c>
      <c r="N1484" s="24"/>
      <c r="O1484" s="35" t="str">
        <f aca="false">IF($C1484="","",IF($D1484="","★没选客户项目",IF(COUNTIF(合同键,$D1484)=0,"★《维保合同》里没这个项目",IF(N($G1484)&lt;=0,"★收款金额要填",IF($H1484="","★票据类型要选",IF(AND($L1484&lt;&gt;"",COUNTIF(应收单号,$L1484)=0),"★关联的应收单号不存在",IF(AND($L1484&lt;&gt;"",IFERROR(INDEX(应收键,MATCH($L1484,应收单号,0)),"")&lt;&gt;$D1484),"★关联单号不是这个客户的",IF(AND($L1484&lt;&gt;"",ROUND(SUMIF(收款关联,$L1484,收款金额)-IFERROR(INDEX(应收金额,MATCH($L1484,应收单号,0)),0),2)&gt;0.001),"★指定冲销超过那张单的应收","OK"))))))))</f>
        <v/>
      </c>
    </row>
    <row r="1485" customFormat="false" ht="15" hidden="false" customHeight="false" outlineLevel="0" collapsed="false">
      <c r="A1485" s="29" t="str">
        <f aca="false">IF($C1485="","",ROW()-4)</f>
        <v/>
      </c>
      <c r="B1485" s="35" t="str">
        <f aca="false">IF($C1485="","","SK"&amp;TEXT($C1485,"yyyymm")&amp;"-"&amp;TEXT(ROW()-4,"0000"))</f>
        <v/>
      </c>
      <c r="C1485" s="33"/>
      <c r="D1485" s="24"/>
      <c r="E1485" s="30" t="str">
        <f aca="false">IF($D1485="","",IFERROR(INDEX(合同单位,MATCH($D1485,合同键,0)),IFERROR(TRIM(LEFT($D1485,FIND("｜",$D1485)-1)),$D1485)))</f>
        <v/>
      </c>
      <c r="F1485" s="30" t="str">
        <f aca="false">IF($D1485="","",IFERROR(INDEX(合同项目,MATCH($D1485,合同键,0)),IFERROR(TRIM(MID($D1485,FIND("｜",$D1485)+1,99)),"")))</f>
        <v/>
      </c>
      <c r="G1485" s="39"/>
      <c r="H1485" s="25"/>
      <c r="I1485" s="35" t="str">
        <f aca="false">IF($H1485="","",IFERROR(INDEX(票据归类表,MATCH($H1485,票据类型表,0)),"现金无票"))</f>
        <v/>
      </c>
      <c r="J1485" s="25"/>
      <c r="K1485" s="25"/>
      <c r="L1485" s="31"/>
      <c r="M1485" s="29" t="str">
        <f aca="false">IF($C1485="","",YEAR($C1485))</f>
        <v/>
      </c>
      <c r="N1485" s="24"/>
      <c r="O1485" s="35" t="str">
        <f aca="false">IF($C1485="","",IF($D1485="","★没选客户项目",IF(COUNTIF(合同键,$D1485)=0,"★《维保合同》里没这个项目",IF(N($G1485)&lt;=0,"★收款金额要填",IF($H1485="","★票据类型要选",IF(AND($L1485&lt;&gt;"",COUNTIF(应收单号,$L1485)=0),"★关联的应收单号不存在",IF(AND($L1485&lt;&gt;"",IFERROR(INDEX(应收键,MATCH($L1485,应收单号,0)),"")&lt;&gt;$D1485),"★关联单号不是这个客户的",IF(AND($L1485&lt;&gt;"",ROUND(SUMIF(收款关联,$L1485,收款金额)-IFERROR(INDEX(应收金额,MATCH($L1485,应收单号,0)),0),2)&gt;0.001),"★指定冲销超过那张单的应收","OK"))))))))</f>
        <v/>
      </c>
    </row>
    <row r="1486" customFormat="false" ht="15" hidden="false" customHeight="false" outlineLevel="0" collapsed="false">
      <c r="A1486" s="29" t="str">
        <f aca="false">IF($C1486="","",ROW()-4)</f>
        <v/>
      </c>
      <c r="B1486" s="35" t="str">
        <f aca="false">IF($C1486="","","SK"&amp;TEXT($C1486,"yyyymm")&amp;"-"&amp;TEXT(ROW()-4,"0000"))</f>
        <v/>
      </c>
      <c r="C1486" s="33"/>
      <c r="D1486" s="24"/>
      <c r="E1486" s="30" t="str">
        <f aca="false">IF($D1486="","",IFERROR(INDEX(合同单位,MATCH($D1486,合同键,0)),IFERROR(TRIM(LEFT($D1486,FIND("｜",$D1486)-1)),$D1486)))</f>
        <v/>
      </c>
      <c r="F1486" s="30" t="str">
        <f aca="false">IF($D1486="","",IFERROR(INDEX(合同项目,MATCH($D1486,合同键,0)),IFERROR(TRIM(MID($D1486,FIND("｜",$D1486)+1,99)),"")))</f>
        <v/>
      </c>
      <c r="G1486" s="39"/>
      <c r="H1486" s="25"/>
      <c r="I1486" s="35" t="str">
        <f aca="false">IF($H1486="","",IFERROR(INDEX(票据归类表,MATCH($H1486,票据类型表,0)),"现金无票"))</f>
        <v/>
      </c>
      <c r="J1486" s="25"/>
      <c r="K1486" s="25"/>
      <c r="L1486" s="31"/>
      <c r="M1486" s="29" t="str">
        <f aca="false">IF($C1486="","",YEAR($C1486))</f>
        <v/>
      </c>
      <c r="N1486" s="24"/>
      <c r="O1486" s="35" t="str">
        <f aca="false">IF($C1486="","",IF($D1486="","★没选客户项目",IF(COUNTIF(合同键,$D1486)=0,"★《维保合同》里没这个项目",IF(N($G1486)&lt;=0,"★收款金额要填",IF($H1486="","★票据类型要选",IF(AND($L1486&lt;&gt;"",COUNTIF(应收单号,$L1486)=0),"★关联的应收单号不存在",IF(AND($L1486&lt;&gt;"",IFERROR(INDEX(应收键,MATCH($L1486,应收单号,0)),"")&lt;&gt;$D1486),"★关联单号不是这个客户的",IF(AND($L1486&lt;&gt;"",ROUND(SUMIF(收款关联,$L1486,收款金额)-IFERROR(INDEX(应收金额,MATCH($L1486,应收单号,0)),0),2)&gt;0.001),"★指定冲销超过那张单的应收","OK"))))))))</f>
        <v/>
      </c>
    </row>
    <row r="1487" customFormat="false" ht="15" hidden="false" customHeight="false" outlineLevel="0" collapsed="false">
      <c r="A1487" s="29" t="str">
        <f aca="false">IF($C1487="","",ROW()-4)</f>
        <v/>
      </c>
      <c r="B1487" s="35" t="str">
        <f aca="false">IF($C1487="","","SK"&amp;TEXT($C1487,"yyyymm")&amp;"-"&amp;TEXT(ROW()-4,"0000"))</f>
        <v/>
      </c>
      <c r="C1487" s="33"/>
      <c r="D1487" s="24"/>
      <c r="E1487" s="30" t="str">
        <f aca="false">IF($D1487="","",IFERROR(INDEX(合同单位,MATCH($D1487,合同键,0)),IFERROR(TRIM(LEFT($D1487,FIND("｜",$D1487)-1)),$D1487)))</f>
        <v/>
      </c>
      <c r="F1487" s="30" t="str">
        <f aca="false">IF($D1487="","",IFERROR(INDEX(合同项目,MATCH($D1487,合同键,0)),IFERROR(TRIM(MID($D1487,FIND("｜",$D1487)+1,99)),"")))</f>
        <v/>
      </c>
      <c r="G1487" s="39"/>
      <c r="H1487" s="25"/>
      <c r="I1487" s="35" t="str">
        <f aca="false">IF($H1487="","",IFERROR(INDEX(票据归类表,MATCH($H1487,票据类型表,0)),"现金无票"))</f>
        <v/>
      </c>
      <c r="J1487" s="25"/>
      <c r="K1487" s="25"/>
      <c r="L1487" s="31"/>
      <c r="M1487" s="29" t="str">
        <f aca="false">IF($C1487="","",YEAR($C1487))</f>
        <v/>
      </c>
      <c r="N1487" s="24"/>
      <c r="O1487" s="35" t="str">
        <f aca="false">IF($C1487="","",IF($D1487="","★没选客户项目",IF(COUNTIF(合同键,$D1487)=0,"★《维保合同》里没这个项目",IF(N($G1487)&lt;=0,"★收款金额要填",IF($H1487="","★票据类型要选",IF(AND($L1487&lt;&gt;"",COUNTIF(应收单号,$L1487)=0),"★关联的应收单号不存在",IF(AND($L1487&lt;&gt;"",IFERROR(INDEX(应收键,MATCH($L1487,应收单号,0)),"")&lt;&gt;$D1487),"★关联单号不是这个客户的",IF(AND($L1487&lt;&gt;"",ROUND(SUMIF(收款关联,$L1487,收款金额)-IFERROR(INDEX(应收金额,MATCH($L1487,应收单号,0)),0),2)&gt;0.001),"★指定冲销超过那张单的应收","OK"))))))))</f>
        <v/>
      </c>
    </row>
    <row r="1488" customFormat="false" ht="15" hidden="false" customHeight="false" outlineLevel="0" collapsed="false">
      <c r="A1488" s="29" t="str">
        <f aca="false">IF($C1488="","",ROW()-4)</f>
        <v/>
      </c>
      <c r="B1488" s="35" t="str">
        <f aca="false">IF($C1488="","","SK"&amp;TEXT($C1488,"yyyymm")&amp;"-"&amp;TEXT(ROW()-4,"0000"))</f>
        <v/>
      </c>
      <c r="C1488" s="33"/>
      <c r="D1488" s="24"/>
      <c r="E1488" s="30" t="str">
        <f aca="false">IF($D1488="","",IFERROR(INDEX(合同单位,MATCH($D1488,合同键,0)),IFERROR(TRIM(LEFT($D1488,FIND("｜",$D1488)-1)),$D1488)))</f>
        <v/>
      </c>
      <c r="F1488" s="30" t="str">
        <f aca="false">IF($D1488="","",IFERROR(INDEX(合同项目,MATCH($D1488,合同键,0)),IFERROR(TRIM(MID($D1488,FIND("｜",$D1488)+1,99)),"")))</f>
        <v/>
      </c>
      <c r="G1488" s="39"/>
      <c r="H1488" s="25"/>
      <c r="I1488" s="35" t="str">
        <f aca="false">IF($H1488="","",IFERROR(INDEX(票据归类表,MATCH($H1488,票据类型表,0)),"现金无票"))</f>
        <v/>
      </c>
      <c r="J1488" s="25"/>
      <c r="K1488" s="25"/>
      <c r="L1488" s="31"/>
      <c r="M1488" s="29" t="str">
        <f aca="false">IF($C1488="","",YEAR($C1488))</f>
        <v/>
      </c>
      <c r="N1488" s="24"/>
      <c r="O1488" s="35" t="str">
        <f aca="false">IF($C1488="","",IF($D1488="","★没选客户项目",IF(COUNTIF(合同键,$D1488)=0,"★《维保合同》里没这个项目",IF(N($G1488)&lt;=0,"★收款金额要填",IF($H1488="","★票据类型要选",IF(AND($L1488&lt;&gt;"",COUNTIF(应收单号,$L1488)=0),"★关联的应收单号不存在",IF(AND($L1488&lt;&gt;"",IFERROR(INDEX(应收键,MATCH($L1488,应收单号,0)),"")&lt;&gt;$D1488),"★关联单号不是这个客户的",IF(AND($L1488&lt;&gt;"",ROUND(SUMIF(收款关联,$L1488,收款金额)-IFERROR(INDEX(应收金额,MATCH($L1488,应收单号,0)),0),2)&gt;0.001),"★指定冲销超过那张单的应收","OK"))))))))</f>
        <v/>
      </c>
    </row>
    <row r="1489" customFormat="false" ht="15" hidden="false" customHeight="false" outlineLevel="0" collapsed="false">
      <c r="A1489" s="29" t="str">
        <f aca="false">IF($C1489="","",ROW()-4)</f>
        <v/>
      </c>
      <c r="B1489" s="35" t="str">
        <f aca="false">IF($C1489="","","SK"&amp;TEXT($C1489,"yyyymm")&amp;"-"&amp;TEXT(ROW()-4,"0000"))</f>
        <v/>
      </c>
      <c r="C1489" s="33"/>
      <c r="D1489" s="24"/>
      <c r="E1489" s="30" t="str">
        <f aca="false">IF($D1489="","",IFERROR(INDEX(合同单位,MATCH($D1489,合同键,0)),IFERROR(TRIM(LEFT($D1489,FIND("｜",$D1489)-1)),$D1489)))</f>
        <v/>
      </c>
      <c r="F1489" s="30" t="str">
        <f aca="false">IF($D1489="","",IFERROR(INDEX(合同项目,MATCH($D1489,合同键,0)),IFERROR(TRIM(MID($D1489,FIND("｜",$D1489)+1,99)),"")))</f>
        <v/>
      </c>
      <c r="G1489" s="39"/>
      <c r="H1489" s="25"/>
      <c r="I1489" s="35" t="str">
        <f aca="false">IF($H1489="","",IFERROR(INDEX(票据归类表,MATCH($H1489,票据类型表,0)),"现金无票"))</f>
        <v/>
      </c>
      <c r="J1489" s="25"/>
      <c r="K1489" s="25"/>
      <c r="L1489" s="31"/>
      <c r="M1489" s="29" t="str">
        <f aca="false">IF($C1489="","",YEAR($C1489))</f>
        <v/>
      </c>
      <c r="N1489" s="24"/>
      <c r="O1489" s="35" t="str">
        <f aca="false">IF($C1489="","",IF($D1489="","★没选客户项目",IF(COUNTIF(合同键,$D1489)=0,"★《维保合同》里没这个项目",IF(N($G1489)&lt;=0,"★收款金额要填",IF($H1489="","★票据类型要选",IF(AND($L1489&lt;&gt;"",COUNTIF(应收单号,$L1489)=0),"★关联的应收单号不存在",IF(AND($L1489&lt;&gt;"",IFERROR(INDEX(应收键,MATCH($L1489,应收单号,0)),"")&lt;&gt;$D1489),"★关联单号不是这个客户的",IF(AND($L1489&lt;&gt;"",ROUND(SUMIF(收款关联,$L1489,收款金额)-IFERROR(INDEX(应收金额,MATCH($L1489,应收单号,0)),0),2)&gt;0.001),"★指定冲销超过那张单的应收","OK"))))))))</f>
        <v/>
      </c>
    </row>
    <row r="1490" customFormat="false" ht="15" hidden="false" customHeight="false" outlineLevel="0" collapsed="false">
      <c r="A1490" s="29" t="str">
        <f aca="false">IF($C1490="","",ROW()-4)</f>
        <v/>
      </c>
      <c r="B1490" s="35" t="str">
        <f aca="false">IF($C1490="","","SK"&amp;TEXT($C1490,"yyyymm")&amp;"-"&amp;TEXT(ROW()-4,"0000"))</f>
        <v/>
      </c>
      <c r="C1490" s="33"/>
      <c r="D1490" s="24"/>
      <c r="E1490" s="30" t="str">
        <f aca="false">IF($D1490="","",IFERROR(INDEX(合同单位,MATCH($D1490,合同键,0)),IFERROR(TRIM(LEFT($D1490,FIND("｜",$D1490)-1)),$D1490)))</f>
        <v/>
      </c>
      <c r="F1490" s="30" t="str">
        <f aca="false">IF($D1490="","",IFERROR(INDEX(合同项目,MATCH($D1490,合同键,0)),IFERROR(TRIM(MID($D1490,FIND("｜",$D1490)+1,99)),"")))</f>
        <v/>
      </c>
      <c r="G1490" s="39"/>
      <c r="H1490" s="25"/>
      <c r="I1490" s="35" t="str">
        <f aca="false">IF($H1490="","",IFERROR(INDEX(票据归类表,MATCH($H1490,票据类型表,0)),"现金无票"))</f>
        <v/>
      </c>
      <c r="J1490" s="25"/>
      <c r="K1490" s="25"/>
      <c r="L1490" s="31"/>
      <c r="M1490" s="29" t="str">
        <f aca="false">IF($C1490="","",YEAR($C1490))</f>
        <v/>
      </c>
      <c r="N1490" s="24"/>
      <c r="O1490" s="35" t="str">
        <f aca="false">IF($C1490="","",IF($D1490="","★没选客户项目",IF(COUNTIF(合同键,$D1490)=0,"★《维保合同》里没这个项目",IF(N($G1490)&lt;=0,"★收款金额要填",IF($H1490="","★票据类型要选",IF(AND($L1490&lt;&gt;"",COUNTIF(应收单号,$L1490)=0),"★关联的应收单号不存在",IF(AND($L1490&lt;&gt;"",IFERROR(INDEX(应收键,MATCH($L1490,应收单号,0)),"")&lt;&gt;$D1490),"★关联单号不是这个客户的",IF(AND($L1490&lt;&gt;"",ROUND(SUMIF(收款关联,$L1490,收款金额)-IFERROR(INDEX(应收金额,MATCH($L1490,应收单号,0)),0),2)&gt;0.001),"★指定冲销超过那张单的应收","OK"))))))))</f>
        <v/>
      </c>
    </row>
    <row r="1491" customFormat="false" ht="15" hidden="false" customHeight="false" outlineLevel="0" collapsed="false">
      <c r="A1491" s="29" t="str">
        <f aca="false">IF($C1491="","",ROW()-4)</f>
        <v/>
      </c>
      <c r="B1491" s="35" t="str">
        <f aca="false">IF($C1491="","","SK"&amp;TEXT($C1491,"yyyymm")&amp;"-"&amp;TEXT(ROW()-4,"0000"))</f>
        <v/>
      </c>
      <c r="C1491" s="33"/>
      <c r="D1491" s="24"/>
      <c r="E1491" s="30" t="str">
        <f aca="false">IF($D1491="","",IFERROR(INDEX(合同单位,MATCH($D1491,合同键,0)),IFERROR(TRIM(LEFT($D1491,FIND("｜",$D1491)-1)),$D1491)))</f>
        <v/>
      </c>
      <c r="F1491" s="30" t="str">
        <f aca="false">IF($D1491="","",IFERROR(INDEX(合同项目,MATCH($D1491,合同键,0)),IFERROR(TRIM(MID($D1491,FIND("｜",$D1491)+1,99)),"")))</f>
        <v/>
      </c>
      <c r="G1491" s="39"/>
      <c r="H1491" s="25"/>
      <c r="I1491" s="35" t="str">
        <f aca="false">IF($H1491="","",IFERROR(INDEX(票据归类表,MATCH($H1491,票据类型表,0)),"现金无票"))</f>
        <v/>
      </c>
      <c r="J1491" s="25"/>
      <c r="K1491" s="25"/>
      <c r="L1491" s="31"/>
      <c r="M1491" s="29" t="str">
        <f aca="false">IF($C1491="","",YEAR($C1491))</f>
        <v/>
      </c>
      <c r="N1491" s="24"/>
      <c r="O1491" s="35" t="str">
        <f aca="false">IF($C1491="","",IF($D1491="","★没选客户项目",IF(COUNTIF(合同键,$D1491)=0,"★《维保合同》里没这个项目",IF(N($G1491)&lt;=0,"★收款金额要填",IF($H1491="","★票据类型要选",IF(AND($L1491&lt;&gt;"",COUNTIF(应收单号,$L1491)=0),"★关联的应收单号不存在",IF(AND($L1491&lt;&gt;"",IFERROR(INDEX(应收键,MATCH($L1491,应收单号,0)),"")&lt;&gt;$D1491),"★关联单号不是这个客户的",IF(AND($L1491&lt;&gt;"",ROUND(SUMIF(收款关联,$L1491,收款金额)-IFERROR(INDEX(应收金额,MATCH($L1491,应收单号,0)),0),2)&gt;0.001),"★指定冲销超过那张单的应收","OK"))))))))</f>
        <v/>
      </c>
    </row>
    <row r="1492" customFormat="false" ht="15" hidden="false" customHeight="false" outlineLevel="0" collapsed="false">
      <c r="A1492" s="29" t="str">
        <f aca="false">IF($C1492="","",ROW()-4)</f>
        <v/>
      </c>
      <c r="B1492" s="35" t="str">
        <f aca="false">IF($C1492="","","SK"&amp;TEXT($C1492,"yyyymm")&amp;"-"&amp;TEXT(ROW()-4,"0000"))</f>
        <v/>
      </c>
      <c r="C1492" s="33"/>
      <c r="D1492" s="24"/>
      <c r="E1492" s="30" t="str">
        <f aca="false">IF($D1492="","",IFERROR(INDEX(合同单位,MATCH($D1492,合同键,0)),IFERROR(TRIM(LEFT($D1492,FIND("｜",$D1492)-1)),$D1492)))</f>
        <v/>
      </c>
      <c r="F1492" s="30" t="str">
        <f aca="false">IF($D1492="","",IFERROR(INDEX(合同项目,MATCH($D1492,合同键,0)),IFERROR(TRIM(MID($D1492,FIND("｜",$D1492)+1,99)),"")))</f>
        <v/>
      </c>
      <c r="G1492" s="39"/>
      <c r="H1492" s="25"/>
      <c r="I1492" s="35" t="str">
        <f aca="false">IF($H1492="","",IFERROR(INDEX(票据归类表,MATCH($H1492,票据类型表,0)),"现金无票"))</f>
        <v/>
      </c>
      <c r="J1492" s="25"/>
      <c r="K1492" s="25"/>
      <c r="L1492" s="31"/>
      <c r="M1492" s="29" t="str">
        <f aca="false">IF($C1492="","",YEAR($C1492))</f>
        <v/>
      </c>
      <c r="N1492" s="24"/>
      <c r="O1492" s="35" t="str">
        <f aca="false">IF($C1492="","",IF($D1492="","★没选客户项目",IF(COUNTIF(合同键,$D1492)=0,"★《维保合同》里没这个项目",IF(N($G1492)&lt;=0,"★收款金额要填",IF($H1492="","★票据类型要选",IF(AND($L1492&lt;&gt;"",COUNTIF(应收单号,$L1492)=0),"★关联的应收单号不存在",IF(AND($L1492&lt;&gt;"",IFERROR(INDEX(应收键,MATCH($L1492,应收单号,0)),"")&lt;&gt;$D1492),"★关联单号不是这个客户的",IF(AND($L1492&lt;&gt;"",ROUND(SUMIF(收款关联,$L1492,收款金额)-IFERROR(INDEX(应收金额,MATCH($L1492,应收单号,0)),0),2)&gt;0.001),"★指定冲销超过那张单的应收","OK"))))))))</f>
        <v/>
      </c>
    </row>
    <row r="1493" customFormat="false" ht="15" hidden="false" customHeight="false" outlineLevel="0" collapsed="false">
      <c r="A1493" s="29" t="str">
        <f aca="false">IF($C1493="","",ROW()-4)</f>
        <v/>
      </c>
      <c r="B1493" s="35" t="str">
        <f aca="false">IF($C1493="","","SK"&amp;TEXT($C1493,"yyyymm")&amp;"-"&amp;TEXT(ROW()-4,"0000"))</f>
        <v/>
      </c>
      <c r="C1493" s="33"/>
      <c r="D1493" s="24"/>
      <c r="E1493" s="30" t="str">
        <f aca="false">IF($D1493="","",IFERROR(INDEX(合同单位,MATCH($D1493,合同键,0)),IFERROR(TRIM(LEFT($D1493,FIND("｜",$D1493)-1)),$D1493)))</f>
        <v/>
      </c>
      <c r="F1493" s="30" t="str">
        <f aca="false">IF($D1493="","",IFERROR(INDEX(合同项目,MATCH($D1493,合同键,0)),IFERROR(TRIM(MID($D1493,FIND("｜",$D1493)+1,99)),"")))</f>
        <v/>
      </c>
      <c r="G1493" s="39"/>
      <c r="H1493" s="25"/>
      <c r="I1493" s="35" t="str">
        <f aca="false">IF($H1493="","",IFERROR(INDEX(票据归类表,MATCH($H1493,票据类型表,0)),"现金无票"))</f>
        <v/>
      </c>
      <c r="J1493" s="25"/>
      <c r="K1493" s="25"/>
      <c r="L1493" s="31"/>
      <c r="M1493" s="29" t="str">
        <f aca="false">IF($C1493="","",YEAR($C1493))</f>
        <v/>
      </c>
      <c r="N1493" s="24"/>
      <c r="O1493" s="35" t="str">
        <f aca="false">IF($C1493="","",IF($D1493="","★没选客户项目",IF(COUNTIF(合同键,$D1493)=0,"★《维保合同》里没这个项目",IF(N($G1493)&lt;=0,"★收款金额要填",IF($H1493="","★票据类型要选",IF(AND($L1493&lt;&gt;"",COUNTIF(应收单号,$L1493)=0),"★关联的应收单号不存在",IF(AND($L1493&lt;&gt;"",IFERROR(INDEX(应收键,MATCH($L1493,应收单号,0)),"")&lt;&gt;$D1493),"★关联单号不是这个客户的",IF(AND($L1493&lt;&gt;"",ROUND(SUMIF(收款关联,$L1493,收款金额)-IFERROR(INDEX(应收金额,MATCH($L1493,应收单号,0)),0),2)&gt;0.001),"★指定冲销超过那张单的应收","OK"))))))))</f>
        <v/>
      </c>
    </row>
    <row r="1494" customFormat="false" ht="15" hidden="false" customHeight="false" outlineLevel="0" collapsed="false">
      <c r="A1494" s="29" t="str">
        <f aca="false">IF($C1494="","",ROW()-4)</f>
        <v/>
      </c>
      <c r="B1494" s="35" t="str">
        <f aca="false">IF($C1494="","","SK"&amp;TEXT($C1494,"yyyymm")&amp;"-"&amp;TEXT(ROW()-4,"0000"))</f>
        <v/>
      </c>
      <c r="C1494" s="33"/>
      <c r="D1494" s="24"/>
      <c r="E1494" s="30" t="str">
        <f aca="false">IF($D1494="","",IFERROR(INDEX(合同单位,MATCH($D1494,合同键,0)),IFERROR(TRIM(LEFT($D1494,FIND("｜",$D1494)-1)),$D1494)))</f>
        <v/>
      </c>
      <c r="F1494" s="30" t="str">
        <f aca="false">IF($D1494="","",IFERROR(INDEX(合同项目,MATCH($D1494,合同键,0)),IFERROR(TRIM(MID($D1494,FIND("｜",$D1494)+1,99)),"")))</f>
        <v/>
      </c>
      <c r="G1494" s="39"/>
      <c r="H1494" s="25"/>
      <c r="I1494" s="35" t="str">
        <f aca="false">IF($H1494="","",IFERROR(INDEX(票据归类表,MATCH($H1494,票据类型表,0)),"现金无票"))</f>
        <v/>
      </c>
      <c r="J1494" s="25"/>
      <c r="K1494" s="25"/>
      <c r="L1494" s="31"/>
      <c r="M1494" s="29" t="str">
        <f aca="false">IF($C1494="","",YEAR($C1494))</f>
        <v/>
      </c>
      <c r="N1494" s="24"/>
      <c r="O1494" s="35" t="str">
        <f aca="false">IF($C1494="","",IF($D1494="","★没选客户项目",IF(COUNTIF(合同键,$D1494)=0,"★《维保合同》里没这个项目",IF(N($G1494)&lt;=0,"★收款金额要填",IF($H1494="","★票据类型要选",IF(AND($L1494&lt;&gt;"",COUNTIF(应收单号,$L1494)=0),"★关联的应收单号不存在",IF(AND($L1494&lt;&gt;"",IFERROR(INDEX(应收键,MATCH($L1494,应收单号,0)),"")&lt;&gt;$D1494),"★关联单号不是这个客户的",IF(AND($L1494&lt;&gt;"",ROUND(SUMIF(收款关联,$L1494,收款金额)-IFERROR(INDEX(应收金额,MATCH($L1494,应收单号,0)),0),2)&gt;0.001),"★指定冲销超过那张单的应收","OK"))))))))</f>
        <v/>
      </c>
    </row>
    <row r="1495" customFormat="false" ht="15" hidden="false" customHeight="false" outlineLevel="0" collapsed="false">
      <c r="A1495" s="29" t="str">
        <f aca="false">IF($C1495="","",ROW()-4)</f>
        <v/>
      </c>
      <c r="B1495" s="35" t="str">
        <f aca="false">IF($C1495="","","SK"&amp;TEXT($C1495,"yyyymm")&amp;"-"&amp;TEXT(ROW()-4,"0000"))</f>
        <v/>
      </c>
      <c r="C1495" s="33"/>
      <c r="D1495" s="24"/>
      <c r="E1495" s="30" t="str">
        <f aca="false">IF($D1495="","",IFERROR(INDEX(合同单位,MATCH($D1495,合同键,0)),IFERROR(TRIM(LEFT($D1495,FIND("｜",$D1495)-1)),$D1495)))</f>
        <v/>
      </c>
      <c r="F1495" s="30" t="str">
        <f aca="false">IF($D1495="","",IFERROR(INDEX(合同项目,MATCH($D1495,合同键,0)),IFERROR(TRIM(MID($D1495,FIND("｜",$D1495)+1,99)),"")))</f>
        <v/>
      </c>
      <c r="G1495" s="39"/>
      <c r="H1495" s="25"/>
      <c r="I1495" s="35" t="str">
        <f aca="false">IF($H1495="","",IFERROR(INDEX(票据归类表,MATCH($H1495,票据类型表,0)),"现金无票"))</f>
        <v/>
      </c>
      <c r="J1495" s="25"/>
      <c r="K1495" s="25"/>
      <c r="L1495" s="31"/>
      <c r="M1495" s="29" t="str">
        <f aca="false">IF($C1495="","",YEAR($C1495))</f>
        <v/>
      </c>
      <c r="N1495" s="24"/>
      <c r="O1495" s="35" t="str">
        <f aca="false">IF($C1495="","",IF($D1495="","★没选客户项目",IF(COUNTIF(合同键,$D1495)=0,"★《维保合同》里没这个项目",IF(N($G1495)&lt;=0,"★收款金额要填",IF($H1495="","★票据类型要选",IF(AND($L1495&lt;&gt;"",COUNTIF(应收单号,$L1495)=0),"★关联的应收单号不存在",IF(AND($L1495&lt;&gt;"",IFERROR(INDEX(应收键,MATCH($L1495,应收单号,0)),"")&lt;&gt;$D1495),"★关联单号不是这个客户的",IF(AND($L1495&lt;&gt;"",ROUND(SUMIF(收款关联,$L1495,收款金额)-IFERROR(INDEX(应收金额,MATCH($L1495,应收单号,0)),0),2)&gt;0.001),"★指定冲销超过那张单的应收","OK"))))))))</f>
        <v/>
      </c>
    </row>
    <row r="1496" customFormat="false" ht="15" hidden="false" customHeight="false" outlineLevel="0" collapsed="false">
      <c r="A1496" s="29" t="str">
        <f aca="false">IF($C1496="","",ROW()-4)</f>
        <v/>
      </c>
      <c r="B1496" s="35" t="str">
        <f aca="false">IF($C1496="","","SK"&amp;TEXT($C1496,"yyyymm")&amp;"-"&amp;TEXT(ROW()-4,"0000"))</f>
        <v/>
      </c>
      <c r="C1496" s="33"/>
      <c r="D1496" s="24"/>
      <c r="E1496" s="30" t="str">
        <f aca="false">IF($D1496="","",IFERROR(INDEX(合同单位,MATCH($D1496,合同键,0)),IFERROR(TRIM(LEFT($D1496,FIND("｜",$D1496)-1)),$D1496)))</f>
        <v/>
      </c>
      <c r="F1496" s="30" t="str">
        <f aca="false">IF($D1496="","",IFERROR(INDEX(合同项目,MATCH($D1496,合同键,0)),IFERROR(TRIM(MID($D1496,FIND("｜",$D1496)+1,99)),"")))</f>
        <v/>
      </c>
      <c r="G1496" s="39"/>
      <c r="H1496" s="25"/>
      <c r="I1496" s="35" t="str">
        <f aca="false">IF($H1496="","",IFERROR(INDEX(票据归类表,MATCH($H1496,票据类型表,0)),"现金无票"))</f>
        <v/>
      </c>
      <c r="J1496" s="25"/>
      <c r="K1496" s="25"/>
      <c r="L1496" s="31"/>
      <c r="M1496" s="29" t="str">
        <f aca="false">IF($C1496="","",YEAR($C1496))</f>
        <v/>
      </c>
      <c r="N1496" s="24"/>
      <c r="O1496" s="35" t="str">
        <f aca="false">IF($C1496="","",IF($D1496="","★没选客户项目",IF(COUNTIF(合同键,$D1496)=0,"★《维保合同》里没这个项目",IF(N($G1496)&lt;=0,"★收款金额要填",IF($H1496="","★票据类型要选",IF(AND($L1496&lt;&gt;"",COUNTIF(应收单号,$L1496)=0),"★关联的应收单号不存在",IF(AND($L1496&lt;&gt;"",IFERROR(INDEX(应收键,MATCH($L1496,应收单号,0)),"")&lt;&gt;$D1496),"★关联单号不是这个客户的",IF(AND($L1496&lt;&gt;"",ROUND(SUMIF(收款关联,$L1496,收款金额)-IFERROR(INDEX(应收金额,MATCH($L1496,应收单号,0)),0),2)&gt;0.001),"★指定冲销超过那张单的应收","OK"))))))))</f>
        <v/>
      </c>
    </row>
    <row r="1497" customFormat="false" ht="15" hidden="false" customHeight="false" outlineLevel="0" collapsed="false">
      <c r="A1497" s="29" t="str">
        <f aca="false">IF($C1497="","",ROW()-4)</f>
        <v/>
      </c>
      <c r="B1497" s="35" t="str">
        <f aca="false">IF($C1497="","","SK"&amp;TEXT($C1497,"yyyymm")&amp;"-"&amp;TEXT(ROW()-4,"0000"))</f>
        <v/>
      </c>
      <c r="C1497" s="33"/>
      <c r="D1497" s="24"/>
      <c r="E1497" s="30" t="str">
        <f aca="false">IF($D1497="","",IFERROR(INDEX(合同单位,MATCH($D1497,合同键,0)),IFERROR(TRIM(LEFT($D1497,FIND("｜",$D1497)-1)),$D1497)))</f>
        <v/>
      </c>
      <c r="F1497" s="30" t="str">
        <f aca="false">IF($D1497="","",IFERROR(INDEX(合同项目,MATCH($D1497,合同键,0)),IFERROR(TRIM(MID($D1497,FIND("｜",$D1497)+1,99)),"")))</f>
        <v/>
      </c>
      <c r="G1497" s="39"/>
      <c r="H1497" s="25"/>
      <c r="I1497" s="35" t="str">
        <f aca="false">IF($H1497="","",IFERROR(INDEX(票据归类表,MATCH($H1497,票据类型表,0)),"现金无票"))</f>
        <v/>
      </c>
      <c r="J1497" s="25"/>
      <c r="K1497" s="25"/>
      <c r="L1497" s="31"/>
      <c r="M1497" s="29" t="str">
        <f aca="false">IF($C1497="","",YEAR($C1497))</f>
        <v/>
      </c>
      <c r="N1497" s="24"/>
      <c r="O1497" s="35" t="str">
        <f aca="false">IF($C1497="","",IF($D1497="","★没选客户项目",IF(COUNTIF(合同键,$D1497)=0,"★《维保合同》里没这个项目",IF(N($G1497)&lt;=0,"★收款金额要填",IF($H1497="","★票据类型要选",IF(AND($L1497&lt;&gt;"",COUNTIF(应收单号,$L1497)=0),"★关联的应收单号不存在",IF(AND($L1497&lt;&gt;"",IFERROR(INDEX(应收键,MATCH($L1497,应收单号,0)),"")&lt;&gt;$D1497),"★关联单号不是这个客户的",IF(AND($L1497&lt;&gt;"",ROUND(SUMIF(收款关联,$L1497,收款金额)-IFERROR(INDEX(应收金额,MATCH($L1497,应收单号,0)),0),2)&gt;0.001),"★指定冲销超过那张单的应收","OK"))))))))</f>
        <v/>
      </c>
    </row>
    <row r="1498" customFormat="false" ht="15" hidden="false" customHeight="false" outlineLevel="0" collapsed="false">
      <c r="A1498" s="29" t="str">
        <f aca="false">IF($C1498="","",ROW()-4)</f>
        <v/>
      </c>
      <c r="B1498" s="35" t="str">
        <f aca="false">IF($C1498="","","SK"&amp;TEXT($C1498,"yyyymm")&amp;"-"&amp;TEXT(ROW()-4,"0000"))</f>
        <v/>
      </c>
      <c r="C1498" s="33"/>
      <c r="D1498" s="24"/>
      <c r="E1498" s="30" t="str">
        <f aca="false">IF($D1498="","",IFERROR(INDEX(合同单位,MATCH($D1498,合同键,0)),IFERROR(TRIM(LEFT($D1498,FIND("｜",$D1498)-1)),$D1498)))</f>
        <v/>
      </c>
      <c r="F1498" s="30" t="str">
        <f aca="false">IF($D1498="","",IFERROR(INDEX(合同项目,MATCH($D1498,合同键,0)),IFERROR(TRIM(MID($D1498,FIND("｜",$D1498)+1,99)),"")))</f>
        <v/>
      </c>
      <c r="G1498" s="39"/>
      <c r="H1498" s="25"/>
      <c r="I1498" s="35" t="str">
        <f aca="false">IF($H1498="","",IFERROR(INDEX(票据归类表,MATCH($H1498,票据类型表,0)),"现金无票"))</f>
        <v/>
      </c>
      <c r="J1498" s="25"/>
      <c r="K1498" s="25"/>
      <c r="L1498" s="31"/>
      <c r="M1498" s="29" t="str">
        <f aca="false">IF($C1498="","",YEAR($C1498))</f>
        <v/>
      </c>
      <c r="N1498" s="24"/>
      <c r="O1498" s="35" t="str">
        <f aca="false">IF($C1498="","",IF($D1498="","★没选客户项目",IF(COUNTIF(合同键,$D1498)=0,"★《维保合同》里没这个项目",IF(N($G1498)&lt;=0,"★收款金额要填",IF($H1498="","★票据类型要选",IF(AND($L1498&lt;&gt;"",COUNTIF(应收单号,$L1498)=0),"★关联的应收单号不存在",IF(AND($L1498&lt;&gt;"",IFERROR(INDEX(应收键,MATCH($L1498,应收单号,0)),"")&lt;&gt;$D1498),"★关联单号不是这个客户的",IF(AND($L1498&lt;&gt;"",ROUND(SUMIF(收款关联,$L1498,收款金额)-IFERROR(INDEX(应收金额,MATCH($L1498,应收单号,0)),0),2)&gt;0.001),"★指定冲销超过那张单的应收","OK"))))))))</f>
        <v/>
      </c>
    </row>
    <row r="1499" customFormat="false" ht="15" hidden="false" customHeight="false" outlineLevel="0" collapsed="false">
      <c r="A1499" s="29" t="str">
        <f aca="false">IF($C1499="","",ROW()-4)</f>
        <v/>
      </c>
      <c r="B1499" s="35" t="str">
        <f aca="false">IF($C1499="","","SK"&amp;TEXT($C1499,"yyyymm")&amp;"-"&amp;TEXT(ROW()-4,"0000"))</f>
        <v/>
      </c>
      <c r="C1499" s="33"/>
      <c r="D1499" s="24"/>
      <c r="E1499" s="30" t="str">
        <f aca="false">IF($D1499="","",IFERROR(INDEX(合同单位,MATCH($D1499,合同键,0)),IFERROR(TRIM(LEFT($D1499,FIND("｜",$D1499)-1)),$D1499)))</f>
        <v/>
      </c>
      <c r="F1499" s="30" t="str">
        <f aca="false">IF($D1499="","",IFERROR(INDEX(合同项目,MATCH($D1499,合同键,0)),IFERROR(TRIM(MID($D1499,FIND("｜",$D1499)+1,99)),"")))</f>
        <v/>
      </c>
      <c r="G1499" s="39"/>
      <c r="H1499" s="25"/>
      <c r="I1499" s="35" t="str">
        <f aca="false">IF($H1499="","",IFERROR(INDEX(票据归类表,MATCH($H1499,票据类型表,0)),"现金无票"))</f>
        <v/>
      </c>
      <c r="J1499" s="25"/>
      <c r="K1499" s="25"/>
      <c r="L1499" s="31"/>
      <c r="M1499" s="29" t="str">
        <f aca="false">IF($C1499="","",YEAR($C1499))</f>
        <v/>
      </c>
      <c r="N1499" s="24"/>
      <c r="O1499" s="35" t="str">
        <f aca="false">IF($C1499="","",IF($D1499="","★没选客户项目",IF(COUNTIF(合同键,$D1499)=0,"★《维保合同》里没这个项目",IF(N($G1499)&lt;=0,"★收款金额要填",IF($H1499="","★票据类型要选",IF(AND($L1499&lt;&gt;"",COUNTIF(应收单号,$L1499)=0),"★关联的应收单号不存在",IF(AND($L1499&lt;&gt;"",IFERROR(INDEX(应收键,MATCH($L1499,应收单号,0)),"")&lt;&gt;$D1499),"★关联单号不是这个客户的",IF(AND($L1499&lt;&gt;"",ROUND(SUMIF(收款关联,$L1499,收款金额)-IFERROR(INDEX(应收金额,MATCH($L1499,应收单号,0)),0),2)&gt;0.001),"★指定冲销超过那张单的应收","OK"))))))))</f>
        <v/>
      </c>
    </row>
    <row r="1500" customFormat="false" ht="15" hidden="false" customHeight="false" outlineLevel="0" collapsed="false">
      <c r="A1500" s="29" t="str">
        <f aca="false">IF($C1500="","",ROW()-4)</f>
        <v/>
      </c>
      <c r="B1500" s="35" t="str">
        <f aca="false">IF($C1500="","","SK"&amp;TEXT($C1500,"yyyymm")&amp;"-"&amp;TEXT(ROW()-4,"0000"))</f>
        <v/>
      </c>
      <c r="C1500" s="33"/>
      <c r="D1500" s="24"/>
      <c r="E1500" s="30" t="str">
        <f aca="false">IF($D1500="","",IFERROR(INDEX(合同单位,MATCH($D1500,合同键,0)),IFERROR(TRIM(LEFT($D1500,FIND("｜",$D1500)-1)),$D1500)))</f>
        <v/>
      </c>
      <c r="F1500" s="30" t="str">
        <f aca="false">IF($D1500="","",IFERROR(INDEX(合同项目,MATCH($D1500,合同键,0)),IFERROR(TRIM(MID($D1500,FIND("｜",$D1500)+1,99)),"")))</f>
        <v/>
      </c>
      <c r="G1500" s="39"/>
      <c r="H1500" s="25"/>
      <c r="I1500" s="35" t="str">
        <f aca="false">IF($H1500="","",IFERROR(INDEX(票据归类表,MATCH($H1500,票据类型表,0)),"现金无票"))</f>
        <v/>
      </c>
      <c r="J1500" s="25"/>
      <c r="K1500" s="25"/>
      <c r="L1500" s="31"/>
      <c r="M1500" s="29" t="str">
        <f aca="false">IF($C1500="","",YEAR($C1500))</f>
        <v/>
      </c>
      <c r="N1500" s="24"/>
      <c r="O1500" s="35" t="str">
        <f aca="false">IF($C1500="","",IF($D1500="","★没选客户项目",IF(COUNTIF(合同键,$D1500)=0,"★《维保合同》里没这个项目",IF(N($G1500)&lt;=0,"★收款金额要填",IF($H1500="","★票据类型要选",IF(AND($L1500&lt;&gt;"",COUNTIF(应收单号,$L1500)=0),"★关联的应收单号不存在",IF(AND($L1500&lt;&gt;"",IFERROR(INDEX(应收键,MATCH($L1500,应收单号,0)),"")&lt;&gt;$D1500),"★关联单号不是这个客户的",IF(AND($L1500&lt;&gt;"",ROUND(SUMIF(收款关联,$L1500,收款金额)-IFERROR(INDEX(应收金额,MATCH($L1500,应收单号,0)),0),2)&gt;0.001),"★指定冲销超过那张单的应收","OK"))))))))</f>
        <v/>
      </c>
    </row>
    <row r="1501" customFormat="false" ht="15" hidden="false" customHeight="false" outlineLevel="0" collapsed="false">
      <c r="A1501" s="29" t="str">
        <f aca="false">IF($C1501="","",ROW()-4)</f>
        <v/>
      </c>
      <c r="B1501" s="35" t="str">
        <f aca="false">IF($C1501="","","SK"&amp;TEXT($C1501,"yyyymm")&amp;"-"&amp;TEXT(ROW()-4,"0000"))</f>
        <v/>
      </c>
      <c r="C1501" s="33"/>
      <c r="D1501" s="24"/>
      <c r="E1501" s="30" t="str">
        <f aca="false">IF($D1501="","",IFERROR(INDEX(合同单位,MATCH($D1501,合同键,0)),IFERROR(TRIM(LEFT($D1501,FIND("｜",$D1501)-1)),$D1501)))</f>
        <v/>
      </c>
      <c r="F1501" s="30" t="str">
        <f aca="false">IF($D1501="","",IFERROR(INDEX(合同项目,MATCH($D1501,合同键,0)),IFERROR(TRIM(MID($D1501,FIND("｜",$D1501)+1,99)),"")))</f>
        <v/>
      </c>
      <c r="G1501" s="39"/>
      <c r="H1501" s="25"/>
      <c r="I1501" s="35" t="str">
        <f aca="false">IF($H1501="","",IFERROR(INDEX(票据归类表,MATCH($H1501,票据类型表,0)),"现金无票"))</f>
        <v/>
      </c>
      <c r="J1501" s="25"/>
      <c r="K1501" s="25"/>
      <c r="L1501" s="31"/>
      <c r="M1501" s="29" t="str">
        <f aca="false">IF($C1501="","",YEAR($C1501))</f>
        <v/>
      </c>
      <c r="N1501" s="24"/>
      <c r="O1501" s="35" t="str">
        <f aca="false">IF($C1501="","",IF($D1501="","★没选客户项目",IF(COUNTIF(合同键,$D1501)=0,"★《维保合同》里没这个项目",IF(N($G1501)&lt;=0,"★收款金额要填",IF($H1501="","★票据类型要选",IF(AND($L1501&lt;&gt;"",COUNTIF(应收单号,$L1501)=0),"★关联的应收单号不存在",IF(AND($L1501&lt;&gt;"",IFERROR(INDEX(应收键,MATCH($L1501,应收单号,0)),"")&lt;&gt;$D1501),"★关联单号不是这个客户的",IF(AND($L1501&lt;&gt;"",ROUND(SUMIF(收款关联,$L1501,收款金额)-IFERROR(INDEX(应收金额,MATCH($L1501,应收单号,0)),0),2)&gt;0.001),"★指定冲销超过那张单的应收","OK"))))))))</f>
        <v/>
      </c>
    </row>
    <row r="1502" customFormat="false" ht="15" hidden="false" customHeight="false" outlineLevel="0" collapsed="false">
      <c r="A1502" s="29" t="str">
        <f aca="false">IF($C1502="","",ROW()-4)</f>
        <v/>
      </c>
      <c r="B1502" s="35" t="str">
        <f aca="false">IF($C1502="","","SK"&amp;TEXT($C1502,"yyyymm")&amp;"-"&amp;TEXT(ROW()-4,"0000"))</f>
        <v/>
      </c>
      <c r="C1502" s="33"/>
      <c r="D1502" s="24"/>
      <c r="E1502" s="30" t="str">
        <f aca="false">IF($D1502="","",IFERROR(INDEX(合同单位,MATCH($D1502,合同键,0)),IFERROR(TRIM(LEFT($D1502,FIND("｜",$D1502)-1)),$D1502)))</f>
        <v/>
      </c>
      <c r="F1502" s="30" t="str">
        <f aca="false">IF($D1502="","",IFERROR(INDEX(合同项目,MATCH($D1502,合同键,0)),IFERROR(TRIM(MID($D1502,FIND("｜",$D1502)+1,99)),"")))</f>
        <v/>
      </c>
      <c r="G1502" s="39"/>
      <c r="H1502" s="25"/>
      <c r="I1502" s="35" t="str">
        <f aca="false">IF($H1502="","",IFERROR(INDEX(票据归类表,MATCH($H1502,票据类型表,0)),"现金无票"))</f>
        <v/>
      </c>
      <c r="J1502" s="25"/>
      <c r="K1502" s="25"/>
      <c r="L1502" s="31"/>
      <c r="M1502" s="29" t="str">
        <f aca="false">IF($C1502="","",YEAR($C1502))</f>
        <v/>
      </c>
      <c r="N1502" s="24"/>
      <c r="O1502" s="35" t="str">
        <f aca="false">IF($C1502="","",IF($D1502="","★没选客户项目",IF(COUNTIF(合同键,$D1502)=0,"★《维保合同》里没这个项目",IF(N($G1502)&lt;=0,"★收款金额要填",IF($H1502="","★票据类型要选",IF(AND($L1502&lt;&gt;"",COUNTIF(应收单号,$L1502)=0),"★关联的应收单号不存在",IF(AND($L1502&lt;&gt;"",IFERROR(INDEX(应收键,MATCH($L1502,应收单号,0)),"")&lt;&gt;$D1502),"★关联单号不是这个客户的",IF(AND($L1502&lt;&gt;"",ROUND(SUMIF(收款关联,$L1502,收款金额)-IFERROR(INDEX(应收金额,MATCH($L1502,应收单号,0)),0),2)&gt;0.001),"★指定冲销超过那张单的应收","OK"))))))))</f>
        <v/>
      </c>
    </row>
    <row r="1503" customFormat="false" ht="15" hidden="false" customHeight="false" outlineLevel="0" collapsed="false">
      <c r="A1503" s="29" t="str">
        <f aca="false">IF($C1503="","",ROW()-4)</f>
        <v/>
      </c>
      <c r="B1503" s="35" t="str">
        <f aca="false">IF($C1503="","","SK"&amp;TEXT($C1503,"yyyymm")&amp;"-"&amp;TEXT(ROW()-4,"0000"))</f>
        <v/>
      </c>
      <c r="C1503" s="33"/>
      <c r="D1503" s="24"/>
      <c r="E1503" s="30" t="str">
        <f aca="false">IF($D1503="","",IFERROR(INDEX(合同单位,MATCH($D1503,合同键,0)),IFERROR(TRIM(LEFT($D1503,FIND("｜",$D1503)-1)),$D1503)))</f>
        <v/>
      </c>
      <c r="F1503" s="30" t="str">
        <f aca="false">IF($D1503="","",IFERROR(INDEX(合同项目,MATCH($D1503,合同键,0)),IFERROR(TRIM(MID($D1503,FIND("｜",$D1503)+1,99)),"")))</f>
        <v/>
      </c>
      <c r="G1503" s="39"/>
      <c r="H1503" s="25"/>
      <c r="I1503" s="35" t="str">
        <f aca="false">IF($H1503="","",IFERROR(INDEX(票据归类表,MATCH($H1503,票据类型表,0)),"现金无票"))</f>
        <v/>
      </c>
      <c r="J1503" s="25"/>
      <c r="K1503" s="25"/>
      <c r="L1503" s="31"/>
      <c r="M1503" s="29" t="str">
        <f aca="false">IF($C1503="","",YEAR($C1503))</f>
        <v/>
      </c>
      <c r="N1503" s="24"/>
      <c r="O1503" s="35" t="str">
        <f aca="false">IF($C1503="","",IF($D1503="","★没选客户项目",IF(COUNTIF(合同键,$D1503)=0,"★《维保合同》里没这个项目",IF(N($G1503)&lt;=0,"★收款金额要填",IF($H1503="","★票据类型要选",IF(AND($L1503&lt;&gt;"",COUNTIF(应收单号,$L1503)=0),"★关联的应收单号不存在",IF(AND($L1503&lt;&gt;"",IFERROR(INDEX(应收键,MATCH($L1503,应收单号,0)),"")&lt;&gt;$D1503),"★关联单号不是这个客户的",IF(AND($L1503&lt;&gt;"",ROUND(SUMIF(收款关联,$L1503,收款金额)-IFERROR(INDEX(应收金额,MATCH($L1503,应收单号,0)),0),2)&gt;0.001),"★指定冲销超过那张单的应收","OK"))))))))</f>
        <v/>
      </c>
    </row>
    <row r="1504" customFormat="false" ht="15" hidden="false" customHeight="false" outlineLevel="0" collapsed="false">
      <c r="A1504" s="29" t="str">
        <f aca="false">IF($C1504="","",ROW()-4)</f>
        <v/>
      </c>
      <c r="B1504" s="35" t="str">
        <f aca="false">IF($C1504="","","SK"&amp;TEXT($C1504,"yyyymm")&amp;"-"&amp;TEXT(ROW()-4,"0000"))</f>
        <v/>
      </c>
      <c r="C1504" s="33"/>
      <c r="D1504" s="24"/>
      <c r="E1504" s="30" t="str">
        <f aca="false">IF($D1504="","",IFERROR(INDEX(合同单位,MATCH($D1504,合同键,0)),IFERROR(TRIM(LEFT($D1504,FIND("｜",$D1504)-1)),$D1504)))</f>
        <v/>
      </c>
      <c r="F1504" s="30" t="str">
        <f aca="false">IF($D1504="","",IFERROR(INDEX(合同项目,MATCH($D1504,合同键,0)),IFERROR(TRIM(MID($D1504,FIND("｜",$D1504)+1,99)),"")))</f>
        <v/>
      </c>
      <c r="G1504" s="39"/>
      <c r="H1504" s="25"/>
      <c r="I1504" s="35" t="str">
        <f aca="false">IF($H1504="","",IFERROR(INDEX(票据归类表,MATCH($H1504,票据类型表,0)),"现金无票"))</f>
        <v/>
      </c>
      <c r="J1504" s="25"/>
      <c r="K1504" s="25"/>
      <c r="L1504" s="31"/>
      <c r="M1504" s="29" t="str">
        <f aca="false">IF($C1504="","",YEAR($C1504))</f>
        <v/>
      </c>
      <c r="N1504" s="24"/>
      <c r="O1504" s="35" t="str">
        <f aca="false">IF($C1504="","",IF($D1504="","★没选客户项目",IF(COUNTIF(合同键,$D1504)=0,"★《维保合同》里没这个项目",IF(N($G1504)&lt;=0,"★收款金额要填",IF($H1504="","★票据类型要选",IF(AND($L1504&lt;&gt;"",COUNTIF(应收单号,$L1504)=0),"★关联的应收单号不存在",IF(AND($L1504&lt;&gt;"",IFERROR(INDEX(应收键,MATCH($L1504,应收单号,0)),"")&lt;&gt;$D1504),"★关联单号不是这个客户的",IF(AND($L1504&lt;&gt;"",ROUND(SUMIF(收款关联,$L1504,收款金额)-IFERROR(INDEX(应收金额,MATCH($L1504,应收单号,0)),0),2)&gt;0.001),"★指定冲销超过那张单的应收","OK"))))))))</f>
        <v/>
      </c>
    </row>
    <row r="1505" customFormat="false" ht="15" hidden="false" customHeight="false" outlineLevel="0" collapsed="false">
      <c r="A1505" s="29" t="str">
        <f aca="false">IF($C1505="","",ROW()-4)</f>
        <v/>
      </c>
      <c r="B1505" s="35" t="str">
        <f aca="false">IF($C1505="","","SK"&amp;TEXT($C1505,"yyyymm")&amp;"-"&amp;TEXT(ROW()-4,"0000"))</f>
        <v/>
      </c>
      <c r="C1505" s="33"/>
      <c r="D1505" s="24"/>
      <c r="E1505" s="30" t="str">
        <f aca="false">IF($D1505="","",IFERROR(INDEX(合同单位,MATCH($D1505,合同键,0)),IFERROR(TRIM(LEFT($D1505,FIND("｜",$D1505)-1)),$D1505)))</f>
        <v/>
      </c>
      <c r="F1505" s="30" t="str">
        <f aca="false">IF($D1505="","",IFERROR(INDEX(合同项目,MATCH($D1505,合同键,0)),IFERROR(TRIM(MID($D1505,FIND("｜",$D1505)+1,99)),"")))</f>
        <v/>
      </c>
      <c r="G1505" s="39"/>
      <c r="H1505" s="25"/>
      <c r="I1505" s="35" t="str">
        <f aca="false">IF($H1505="","",IFERROR(INDEX(票据归类表,MATCH($H1505,票据类型表,0)),"现金无票"))</f>
        <v/>
      </c>
      <c r="J1505" s="25"/>
      <c r="K1505" s="25"/>
      <c r="L1505" s="31"/>
      <c r="M1505" s="29" t="str">
        <f aca="false">IF($C1505="","",YEAR($C1505))</f>
        <v/>
      </c>
      <c r="N1505" s="24"/>
      <c r="O1505" s="35" t="str">
        <f aca="false">IF($C1505="","",IF($D1505="","★没选客户项目",IF(COUNTIF(合同键,$D1505)=0,"★《维保合同》里没这个项目",IF(N($G1505)&lt;=0,"★收款金额要填",IF($H1505="","★票据类型要选",IF(AND($L1505&lt;&gt;"",COUNTIF(应收单号,$L1505)=0),"★关联的应收单号不存在",IF(AND($L1505&lt;&gt;"",IFERROR(INDEX(应收键,MATCH($L1505,应收单号,0)),"")&lt;&gt;$D1505),"★关联单号不是这个客户的",IF(AND($L1505&lt;&gt;"",ROUND(SUMIF(收款关联,$L1505,收款金额)-IFERROR(INDEX(应收金额,MATCH($L1505,应收单号,0)),0),2)&gt;0.001),"★指定冲销超过那张单的应收","OK"))))))))</f>
        <v/>
      </c>
    </row>
    <row r="1506" customFormat="false" ht="15" hidden="false" customHeight="false" outlineLevel="0" collapsed="false">
      <c r="A1506" s="29" t="str">
        <f aca="false">IF($C1506="","",ROW()-4)</f>
        <v/>
      </c>
      <c r="B1506" s="35" t="str">
        <f aca="false">IF($C1506="","","SK"&amp;TEXT($C1506,"yyyymm")&amp;"-"&amp;TEXT(ROW()-4,"0000"))</f>
        <v/>
      </c>
      <c r="C1506" s="33"/>
      <c r="D1506" s="24"/>
      <c r="E1506" s="30" t="str">
        <f aca="false">IF($D1506="","",IFERROR(INDEX(合同单位,MATCH($D1506,合同键,0)),IFERROR(TRIM(LEFT($D1506,FIND("｜",$D1506)-1)),$D1506)))</f>
        <v/>
      </c>
      <c r="F1506" s="30" t="str">
        <f aca="false">IF($D1506="","",IFERROR(INDEX(合同项目,MATCH($D1506,合同键,0)),IFERROR(TRIM(MID($D1506,FIND("｜",$D1506)+1,99)),"")))</f>
        <v/>
      </c>
      <c r="G1506" s="39"/>
      <c r="H1506" s="25"/>
      <c r="I1506" s="35" t="str">
        <f aca="false">IF($H1506="","",IFERROR(INDEX(票据归类表,MATCH($H1506,票据类型表,0)),"现金无票"))</f>
        <v/>
      </c>
      <c r="J1506" s="25"/>
      <c r="K1506" s="25"/>
      <c r="L1506" s="31"/>
      <c r="M1506" s="29" t="str">
        <f aca="false">IF($C1506="","",YEAR($C1506))</f>
        <v/>
      </c>
      <c r="N1506" s="24"/>
      <c r="O1506" s="35" t="str">
        <f aca="false">IF($C1506="","",IF($D1506="","★没选客户项目",IF(COUNTIF(合同键,$D1506)=0,"★《维保合同》里没这个项目",IF(N($G1506)&lt;=0,"★收款金额要填",IF($H1506="","★票据类型要选",IF(AND($L1506&lt;&gt;"",COUNTIF(应收单号,$L1506)=0),"★关联的应收单号不存在",IF(AND($L1506&lt;&gt;"",IFERROR(INDEX(应收键,MATCH($L1506,应收单号,0)),"")&lt;&gt;$D1506),"★关联单号不是这个客户的",IF(AND($L1506&lt;&gt;"",ROUND(SUMIF(收款关联,$L1506,收款金额)-IFERROR(INDEX(应收金额,MATCH($L1506,应收单号,0)),0),2)&gt;0.001),"★指定冲销超过那张单的应收","OK"))))))))</f>
        <v/>
      </c>
    </row>
    <row r="1507" customFormat="false" ht="15" hidden="false" customHeight="false" outlineLevel="0" collapsed="false">
      <c r="A1507" s="29" t="str">
        <f aca="false">IF($C1507="","",ROW()-4)</f>
        <v/>
      </c>
      <c r="B1507" s="35" t="str">
        <f aca="false">IF($C1507="","","SK"&amp;TEXT($C1507,"yyyymm")&amp;"-"&amp;TEXT(ROW()-4,"0000"))</f>
        <v/>
      </c>
      <c r="C1507" s="33"/>
      <c r="D1507" s="24"/>
      <c r="E1507" s="30" t="str">
        <f aca="false">IF($D1507="","",IFERROR(INDEX(合同单位,MATCH($D1507,合同键,0)),IFERROR(TRIM(LEFT($D1507,FIND("｜",$D1507)-1)),$D1507)))</f>
        <v/>
      </c>
      <c r="F1507" s="30" t="str">
        <f aca="false">IF($D1507="","",IFERROR(INDEX(合同项目,MATCH($D1507,合同键,0)),IFERROR(TRIM(MID($D1507,FIND("｜",$D1507)+1,99)),"")))</f>
        <v/>
      </c>
      <c r="G1507" s="39"/>
      <c r="H1507" s="25"/>
      <c r="I1507" s="35" t="str">
        <f aca="false">IF($H1507="","",IFERROR(INDEX(票据归类表,MATCH($H1507,票据类型表,0)),"现金无票"))</f>
        <v/>
      </c>
      <c r="J1507" s="25"/>
      <c r="K1507" s="25"/>
      <c r="L1507" s="31"/>
      <c r="M1507" s="29" t="str">
        <f aca="false">IF($C1507="","",YEAR($C1507))</f>
        <v/>
      </c>
      <c r="N1507" s="24"/>
      <c r="O1507" s="35" t="str">
        <f aca="false">IF($C1507="","",IF($D1507="","★没选客户项目",IF(COUNTIF(合同键,$D1507)=0,"★《维保合同》里没这个项目",IF(N($G1507)&lt;=0,"★收款金额要填",IF($H1507="","★票据类型要选",IF(AND($L1507&lt;&gt;"",COUNTIF(应收单号,$L1507)=0),"★关联的应收单号不存在",IF(AND($L1507&lt;&gt;"",IFERROR(INDEX(应收键,MATCH($L1507,应收单号,0)),"")&lt;&gt;$D1507),"★关联单号不是这个客户的",IF(AND($L1507&lt;&gt;"",ROUND(SUMIF(收款关联,$L1507,收款金额)-IFERROR(INDEX(应收金额,MATCH($L1507,应收单号,0)),0),2)&gt;0.001),"★指定冲销超过那张单的应收","OK"))))))))</f>
        <v/>
      </c>
    </row>
    <row r="1508" customFormat="false" ht="15" hidden="false" customHeight="false" outlineLevel="0" collapsed="false">
      <c r="A1508" s="29" t="str">
        <f aca="false">IF($C1508="","",ROW()-4)</f>
        <v/>
      </c>
      <c r="B1508" s="35" t="str">
        <f aca="false">IF($C1508="","","SK"&amp;TEXT($C1508,"yyyymm")&amp;"-"&amp;TEXT(ROW()-4,"0000"))</f>
        <v/>
      </c>
      <c r="C1508" s="33"/>
      <c r="D1508" s="24"/>
      <c r="E1508" s="30" t="str">
        <f aca="false">IF($D1508="","",IFERROR(INDEX(合同单位,MATCH($D1508,合同键,0)),IFERROR(TRIM(LEFT($D1508,FIND("｜",$D1508)-1)),$D1508)))</f>
        <v/>
      </c>
      <c r="F1508" s="30" t="str">
        <f aca="false">IF($D1508="","",IFERROR(INDEX(合同项目,MATCH($D1508,合同键,0)),IFERROR(TRIM(MID($D1508,FIND("｜",$D1508)+1,99)),"")))</f>
        <v/>
      </c>
      <c r="G1508" s="39"/>
      <c r="H1508" s="25"/>
      <c r="I1508" s="35" t="str">
        <f aca="false">IF($H1508="","",IFERROR(INDEX(票据归类表,MATCH($H1508,票据类型表,0)),"现金无票"))</f>
        <v/>
      </c>
      <c r="J1508" s="25"/>
      <c r="K1508" s="25"/>
      <c r="L1508" s="31"/>
      <c r="M1508" s="29" t="str">
        <f aca="false">IF($C1508="","",YEAR($C1508))</f>
        <v/>
      </c>
      <c r="N1508" s="24"/>
      <c r="O1508" s="35" t="str">
        <f aca="false">IF($C1508="","",IF($D1508="","★没选客户项目",IF(COUNTIF(合同键,$D1508)=0,"★《维保合同》里没这个项目",IF(N($G1508)&lt;=0,"★收款金额要填",IF($H1508="","★票据类型要选",IF(AND($L1508&lt;&gt;"",COUNTIF(应收单号,$L1508)=0),"★关联的应收单号不存在",IF(AND($L1508&lt;&gt;"",IFERROR(INDEX(应收键,MATCH($L1508,应收单号,0)),"")&lt;&gt;$D1508),"★关联单号不是这个客户的",IF(AND($L1508&lt;&gt;"",ROUND(SUMIF(收款关联,$L1508,收款金额)-IFERROR(INDEX(应收金额,MATCH($L1508,应收单号,0)),0),2)&gt;0.001),"★指定冲销超过那张单的应收","OK"))))))))</f>
        <v/>
      </c>
    </row>
    <row r="1509" customFormat="false" ht="15" hidden="false" customHeight="false" outlineLevel="0" collapsed="false">
      <c r="A1509" s="29" t="str">
        <f aca="false">IF($C1509="","",ROW()-4)</f>
        <v/>
      </c>
      <c r="B1509" s="35" t="str">
        <f aca="false">IF($C1509="","","SK"&amp;TEXT($C1509,"yyyymm")&amp;"-"&amp;TEXT(ROW()-4,"0000"))</f>
        <v/>
      </c>
      <c r="C1509" s="33"/>
      <c r="D1509" s="24"/>
      <c r="E1509" s="30" t="str">
        <f aca="false">IF($D1509="","",IFERROR(INDEX(合同单位,MATCH($D1509,合同键,0)),IFERROR(TRIM(LEFT($D1509,FIND("｜",$D1509)-1)),$D1509)))</f>
        <v/>
      </c>
      <c r="F1509" s="30" t="str">
        <f aca="false">IF($D1509="","",IFERROR(INDEX(合同项目,MATCH($D1509,合同键,0)),IFERROR(TRIM(MID($D1509,FIND("｜",$D1509)+1,99)),"")))</f>
        <v/>
      </c>
      <c r="G1509" s="39"/>
      <c r="H1509" s="25"/>
      <c r="I1509" s="35" t="str">
        <f aca="false">IF($H1509="","",IFERROR(INDEX(票据归类表,MATCH($H1509,票据类型表,0)),"现金无票"))</f>
        <v/>
      </c>
      <c r="J1509" s="25"/>
      <c r="K1509" s="25"/>
      <c r="L1509" s="31"/>
      <c r="M1509" s="29" t="str">
        <f aca="false">IF($C1509="","",YEAR($C1509))</f>
        <v/>
      </c>
      <c r="N1509" s="24"/>
      <c r="O1509" s="35" t="str">
        <f aca="false">IF($C1509="","",IF($D1509="","★没选客户项目",IF(COUNTIF(合同键,$D1509)=0,"★《维保合同》里没这个项目",IF(N($G1509)&lt;=0,"★收款金额要填",IF($H1509="","★票据类型要选",IF(AND($L1509&lt;&gt;"",COUNTIF(应收单号,$L1509)=0),"★关联的应收单号不存在",IF(AND($L1509&lt;&gt;"",IFERROR(INDEX(应收键,MATCH($L1509,应收单号,0)),"")&lt;&gt;$D1509),"★关联单号不是这个客户的",IF(AND($L1509&lt;&gt;"",ROUND(SUMIF(收款关联,$L1509,收款金额)-IFERROR(INDEX(应收金额,MATCH($L1509,应收单号,0)),0),2)&gt;0.001),"★指定冲销超过那张单的应收","OK"))))))))</f>
        <v/>
      </c>
    </row>
    <row r="1510" customFormat="false" ht="15" hidden="false" customHeight="false" outlineLevel="0" collapsed="false">
      <c r="A1510" s="29" t="str">
        <f aca="false">IF($C1510="","",ROW()-4)</f>
        <v/>
      </c>
      <c r="B1510" s="35" t="str">
        <f aca="false">IF($C1510="","","SK"&amp;TEXT($C1510,"yyyymm")&amp;"-"&amp;TEXT(ROW()-4,"0000"))</f>
        <v/>
      </c>
      <c r="C1510" s="33"/>
      <c r="D1510" s="24"/>
      <c r="E1510" s="30" t="str">
        <f aca="false">IF($D1510="","",IFERROR(INDEX(合同单位,MATCH($D1510,合同键,0)),IFERROR(TRIM(LEFT($D1510,FIND("｜",$D1510)-1)),$D1510)))</f>
        <v/>
      </c>
      <c r="F1510" s="30" t="str">
        <f aca="false">IF($D1510="","",IFERROR(INDEX(合同项目,MATCH($D1510,合同键,0)),IFERROR(TRIM(MID($D1510,FIND("｜",$D1510)+1,99)),"")))</f>
        <v/>
      </c>
      <c r="G1510" s="39"/>
      <c r="H1510" s="25"/>
      <c r="I1510" s="35" t="str">
        <f aca="false">IF($H1510="","",IFERROR(INDEX(票据归类表,MATCH($H1510,票据类型表,0)),"现金无票"))</f>
        <v/>
      </c>
      <c r="J1510" s="25"/>
      <c r="K1510" s="25"/>
      <c r="L1510" s="31"/>
      <c r="M1510" s="29" t="str">
        <f aca="false">IF($C1510="","",YEAR($C1510))</f>
        <v/>
      </c>
      <c r="N1510" s="24"/>
      <c r="O1510" s="35" t="str">
        <f aca="false">IF($C1510="","",IF($D1510="","★没选客户项目",IF(COUNTIF(合同键,$D1510)=0,"★《维保合同》里没这个项目",IF(N($G1510)&lt;=0,"★收款金额要填",IF($H1510="","★票据类型要选",IF(AND($L1510&lt;&gt;"",COUNTIF(应收单号,$L1510)=0),"★关联的应收单号不存在",IF(AND($L1510&lt;&gt;"",IFERROR(INDEX(应收键,MATCH($L1510,应收单号,0)),"")&lt;&gt;$D1510),"★关联单号不是这个客户的",IF(AND($L1510&lt;&gt;"",ROUND(SUMIF(收款关联,$L1510,收款金额)-IFERROR(INDEX(应收金额,MATCH($L1510,应收单号,0)),0),2)&gt;0.001),"★指定冲销超过那张单的应收","OK"))))))))</f>
        <v/>
      </c>
    </row>
    <row r="1511" customFormat="false" ht="15" hidden="false" customHeight="false" outlineLevel="0" collapsed="false">
      <c r="A1511" s="29" t="str">
        <f aca="false">IF($C1511="","",ROW()-4)</f>
        <v/>
      </c>
      <c r="B1511" s="35" t="str">
        <f aca="false">IF($C1511="","","SK"&amp;TEXT($C1511,"yyyymm")&amp;"-"&amp;TEXT(ROW()-4,"0000"))</f>
        <v/>
      </c>
      <c r="C1511" s="33"/>
      <c r="D1511" s="24"/>
      <c r="E1511" s="30" t="str">
        <f aca="false">IF($D1511="","",IFERROR(INDEX(合同单位,MATCH($D1511,合同键,0)),IFERROR(TRIM(LEFT($D1511,FIND("｜",$D1511)-1)),$D1511)))</f>
        <v/>
      </c>
      <c r="F1511" s="30" t="str">
        <f aca="false">IF($D1511="","",IFERROR(INDEX(合同项目,MATCH($D1511,合同键,0)),IFERROR(TRIM(MID($D1511,FIND("｜",$D1511)+1,99)),"")))</f>
        <v/>
      </c>
      <c r="G1511" s="39"/>
      <c r="H1511" s="25"/>
      <c r="I1511" s="35" t="str">
        <f aca="false">IF($H1511="","",IFERROR(INDEX(票据归类表,MATCH($H1511,票据类型表,0)),"现金无票"))</f>
        <v/>
      </c>
      <c r="J1511" s="25"/>
      <c r="K1511" s="25"/>
      <c r="L1511" s="31"/>
      <c r="M1511" s="29" t="str">
        <f aca="false">IF($C1511="","",YEAR($C1511))</f>
        <v/>
      </c>
      <c r="N1511" s="24"/>
      <c r="O1511" s="35" t="str">
        <f aca="false">IF($C1511="","",IF($D1511="","★没选客户项目",IF(COUNTIF(合同键,$D1511)=0,"★《维保合同》里没这个项目",IF(N($G1511)&lt;=0,"★收款金额要填",IF($H1511="","★票据类型要选",IF(AND($L1511&lt;&gt;"",COUNTIF(应收单号,$L1511)=0),"★关联的应收单号不存在",IF(AND($L1511&lt;&gt;"",IFERROR(INDEX(应收键,MATCH($L1511,应收单号,0)),"")&lt;&gt;$D1511),"★关联单号不是这个客户的",IF(AND($L1511&lt;&gt;"",ROUND(SUMIF(收款关联,$L1511,收款金额)-IFERROR(INDEX(应收金额,MATCH($L1511,应收单号,0)),0),2)&gt;0.001),"★指定冲销超过那张单的应收","OK"))))))))</f>
        <v/>
      </c>
    </row>
    <row r="1512" customFormat="false" ht="15" hidden="false" customHeight="false" outlineLevel="0" collapsed="false">
      <c r="A1512" s="29" t="str">
        <f aca="false">IF($C1512="","",ROW()-4)</f>
        <v/>
      </c>
      <c r="B1512" s="35" t="str">
        <f aca="false">IF($C1512="","","SK"&amp;TEXT($C1512,"yyyymm")&amp;"-"&amp;TEXT(ROW()-4,"0000"))</f>
        <v/>
      </c>
      <c r="C1512" s="33"/>
      <c r="D1512" s="24"/>
      <c r="E1512" s="30" t="str">
        <f aca="false">IF($D1512="","",IFERROR(INDEX(合同单位,MATCH($D1512,合同键,0)),IFERROR(TRIM(LEFT($D1512,FIND("｜",$D1512)-1)),$D1512)))</f>
        <v/>
      </c>
      <c r="F1512" s="30" t="str">
        <f aca="false">IF($D1512="","",IFERROR(INDEX(合同项目,MATCH($D1512,合同键,0)),IFERROR(TRIM(MID($D1512,FIND("｜",$D1512)+1,99)),"")))</f>
        <v/>
      </c>
      <c r="G1512" s="39"/>
      <c r="H1512" s="25"/>
      <c r="I1512" s="35" t="str">
        <f aca="false">IF($H1512="","",IFERROR(INDEX(票据归类表,MATCH($H1512,票据类型表,0)),"现金无票"))</f>
        <v/>
      </c>
      <c r="J1512" s="25"/>
      <c r="K1512" s="25"/>
      <c r="L1512" s="31"/>
      <c r="M1512" s="29" t="str">
        <f aca="false">IF($C1512="","",YEAR($C1512))</f>
        <v/>
      </c>
      <c r="N1512" s="24"/>
      <c r="O1512" s="35" t="str">
        <f aca="false">IF($C1512="","",IF($D1512="","★没选客户项目",IF(COUNTIF(合同键,$D1512)=0,"★《维保合同》里没这个项目",IF(N($G1512)&lt;=0,"★收款金额要填",IF($H1512="","★票据类型要选",IF(AND($L1512&lt;&gt;"",COUNTIF(应收单号,$L1512)=0),"★关联的应收单号不存在",IF(AND($L1512&lt;&gt;"",IFERROR(INDEX(应收键,MATCH($L1512,应收单号,0)),"")&lt;&gt;$D1512),"★关联单号不是这个客户的",IF(AND($L1512&lt;&gt;"",ROUND(SUMIF(收款关联,$L1512,收款金额)-IFERROR(INDEX(应收金额,MATCH($L1512,应收单号,0)),0),2)&gt;0.001),"★指定冲销超过那张单的应收","OK"))))))))</f>
        <v/>
      </c>
    </row>
    <row r="1513" customFormat="false" ht="15" hidden="false" customHeight="false" outlineLevel="0" collapsed="false">
      <c r="A1513" s="29" t="str">
        <f aca="false">IF($C1513="","",ROW()-4)</f>
        <v/>
      </c>
      <c r="B1513" s="35" t="str">
        <f aca="false">IF($C1513="","","SK"&amp;TEXT($C1513,"yyyymm")&amp;"-"&amp;TEXT(ROW()-4,"0000"))</f>
        <v/>
      </c>
      <c r="C1513" s="33"/>
      <c r="D1513" s="24"/>
      <c r="E1513" s="30" t="str">
        <f aca="false">IF($D1513="","",IFERROR(INDEX(合同单位,MATCH($D1513,合同键,0)),IFERROR(TRIM(LEFT($D1513,FIND("｜",$D1513)-1)),$D1513)))</f>
        <v/>
      </c>
      <c r="F1513" s="30" t="str">
        <f aca="false">IF($D1513="","",IFERROR(INDEX(合同项目,MATCH($D1513,合同键,0)),IFERROR(TRIM(MID($D1513,FIND("｜",$D1513)+1,99)),"")))</f>
        <v/>
      </c>
      <c r="G1513" s="39"/>
      <c r="H1513" s="25"/>
      <c r="I1513" s="35" t="str">
        <f aca="false">IF($H1513="","",IFERROR(INDEX(票据归类表,MATCH($H1513,票据类型表,0)),"现金无票"))</f>
        <v/>
      </c>
      <c r="J1513" s="25"/>
      <c r="K1513" s="25"/>
      <c r="L1513" s="31"/>
      <c r="M1513" s="29" t="str">
        <f aca="false">IF($C1513="","",YEAR($C1513))</f>
        <v/>
      </c>
      <c r="N1513" s="24"/>
      <c r="O1513" s="35" t="str">
        <f aca="false">IF($C1513="","",IF($D1513="","★没选客户项目",IF(COUNTIF(合同键,$D1513)=0,"★《维保合同》里没这个项目",IF(N($G1513)&lt;=0,"★收款金额要填",IF($H1513="","★票据类型要选",IF(AND($L1513&lt;&gt;"",COUNTIF(应收单号,$L1513)=0),"★关联的应收单号不存在",IF(AND($L1513&lt;&gt;"",IFERROR(INDEX(应收键,MATCH($L1513,应收单号,0)),"")&lt;&gt;$D1513),"★关联单号不是这个客户的",IF(AND($L1513&lt;&gt;"",ROUND(SUMIF(收款关联,$L1513,收款金额)-IFERROR(INDEX(应收金额,MATCH($L1513,应收单号,0)),0),2)&gt;0.001),"★指定冲销超过那张单的应收","OK"))))))))</f>
        <v/>
      </c>
    </row>
    <row r="1514" customFormat="false" ht="15" hidden="false" customHeight="false" outlineLevel="0" collapsed="false">
      <c r="A1514" s="29" t="str">
        <f aca="false">IF($C1514="","",ROW()-4)</f>
        <v/>
      </c>
      <c r="B1514" s="35" t="str">
        <f aca="false">IF($C1514="","","SK"&amp;TEXT($C1514,"yyyymm")&amp;"-"&amp;TEXT(ROW()-4,"0000"))</f>
        <v/>
      </c>
      <c r="C1514" s="33"/>
      <c r="D1514" s="24"/>
      <c r="E1514" s="30" t="str">
        <f aca="false">IF($D1514="","",IFERROR(INDEX(合同单位,MATCH($D1514,合同键,0)),IFERROR(TRIM(LEFT($D1514,FIND("｜",$D1514)-1)),$D1514)))</f>
        <v/>
      </c>
      <c r="F1514" s="30" t="str">
        <f aca="false">IF($D1514="","",IFERROR(INDEX(合同项目,MATCH($D1514,合同键,0)),IFERROR(TRIM(MID($D1514,FIND("｜",$D1514)+1,99)),"")))</f>
        <v/>
      </c>
      <c r="G1514" s="39"/>
      <c r="H1514" s="25"/>
      <c r="I1514" s="35" t="str">
        <f aca="false">IF($H1514="","",IFERROR(INDEX(票据归类表,MATCH($H1514,票据类型表,0)),"现金无票"))</f>
        <v/>
      </c>
      <c r="J1514" s="25"/>
      <c r="K1514" s="25"/>
      <c r="L1514" s="31"/>
      <c r="M1514" s="29" t="str">
        <f aca="false">IF($C1514="","",YEAR($C1514))</f>
        <v/>
      </c>
      <c r="N1514" s="24"/>
      <c r="O1514" s="35" t="str">
        <f aca="false">IF($C1514="","",IF($D1514="","★没选客户项目",IF(COUNTIF(合同键,$D1514)=0,"★《维保合同》里没这个项目",IF(N($G1514)&lt;=0,"★收款金额要填",IF($H1514="","★票据类型要选",IF(AND($L1514&lt;&gt;"",COUNTIF(应收单号,$L1514)=0),"★关联的应收单号不存在",IF(AND($L1514&lt;&gt;"",IFERROR(INDEX(应收键,MATCH($L1514,应收单号,0)),"")&lt;&gt;$D1514),"★关联单号不是这个客户的",IF(AND($L1514&lt;&gt;"",ROUND(SUMIF(收款关联,$L1514,收款金额)-IFERROR(INDEX(应收金额,MATCH($L1514,应收单号,0)),0),2)&gt;0.001),"★指定冲销超过那张单的应收","OK"))))))))</f>
        <v/>
      </c>
    </row>
    <row r="1515" customFormat="false" ht="15" hidden="false" customHeight="false" outlineLevel="0" collapsed="false">
      <c r="A1515" s="29" t="str">
        <f aca="false">IF($C1515="","",ROW()-4)</f>
        <v/>
      </c>
      <c r="B1515" s="35" t="str">
        <f aca="false">IF($C1515="","","SK"&amp;TEXT($C1515,"yyyymm")&amp;"-"&amp;TEXT(ROW()-4,"0000"))</f>
        <v/>
      </c>
      <c r="C1515" s="33"/>
      <c r="D1515" s="24"/>
      <c r="E1515" s="30" t="str">
        <f aca="false">IF($D1515="","",IFERROR(INDEX(合同单位,MATCH($D1515,合同键,0)),IFERROR(TRIM(LEFT($D1515,FIND("｜",$D1515)-1)),$D1515)))</f>
        <v/>
      </c>
      <c r="F1515" s="30" t="str">
        <f aca="false">IF($D1515="","",IFERROR(INDEX(合同项目,MATCH($D1515,合同键,0)),IFERROR(TRIM(MID($D1515,FIND("｜",$D1515)+1,99)),"")))</f>
        <v/>
      </c>
      <c r="G1515" s="39"/>
      <c r="H1515" s="25"/>
      <c r="I1515" s="35" t="str">
        <f aca="false">IF($H1515="","",IFERROR(INDEX(票据归类表,MATCH($H1515,票据类型表,0)),"现金无票"))</f>
        <v/>
      </c>
      <c r="J1515" s="25"/>
      <c r="K1515" s="25"/>
      <c r="L1515" s="31"/>
      <c r="M1515" s="29" t="str">
        <f aca="false">IF($C1515="","",YEAR($C1515))</f>
        <v/>
      </c>
      <c r="N1515" s="24"/>
      <c r="O1515" s="35" t="str">
        <f aca="false">IF($C1515="","",IF($D1515="","★没选客户项目",IF(COUNTIF(合同键,$D1515)=0,"★《维保合同》里没这个项目",IF(N($G1515)&lt;=0,"★收款金额要填",IF($H1515="","★票据类型要选",IF(AND($L1515&lt;&gt;"",COUNTIF(应收单号,$L1515)=0),"★关联的应收单号不存在",IF(AND($L1515&lt;&gt;"",IFERROR(INDEX(应收键,MATCH($L1515,应收单号,0)),"")&lt;&gt;$D1515),"★关联单号不是这个客户的",IF(AND($L1515&lt;&gt;"",ROUND(SUMIF(收款关联,$L1515,收款金额)-IFERROR(INDEX(应收金额,MATCH($L1515,应收单号,0)),0),2)&gt;0.001),"★指定冲销超过那张单的应收","OK"))))))))</f>
        <v/>
      </c>
    </row>
    <row r="1516" customFormat="false" ht="15" hidden="false" customHeight="false" outlineLevel="0" collapsed="false">
      <c r="A1516" s="29" t="str">
        <f aca="false">IF($C1516="","",ROW()-4)</f>
        <v/>
      </c>
      <c r="B1516" s="35" t="str">
        <f aca="false">IF($C1516="","","SK"&amp;TEXT($C1516,"yyyymm")&amp;"-"&amp;TEXT(ROW()-4,"0000"))</f>
        <v/>
      </c>
      <c r="C1516" s="33"/>
      <c r="D1516" s="24"/>
      <c r="E1516" s="30" t="str">
        <f aca="false">IF($D1516="","",IFERROR(INDEX(合同单位,MATCH($D1516,合同键,0)),IFERROR(TRIM(LEFT($D1516,FIND("｜",$D1516)-1)),$D1516)))</f>
        <v/>
      </c>
      <c r="F1516" s="30" t="str">
        <f aca="false">IF($D1516="","",IFERROR(INDEX(合同项目,MATCH($D1516,合同键,0)),IFERROR(TRIM(MID($D1516,FIND("｜",$D1516)+1,99)),"")))</f>
        <v/>
      </c>
      <c r="G1516" s="39"/>
      <c r="H1516" s="25"/>
      <c r="I1516" s="35" t="str">
        <f aca="false">IF($H1516="","",IFERROR(INDEX(票据归类表,MATCH($H1516,票据类型表,0)),"现金无票"))</f>
        <v/>
      </c>
      <c r="J1516" s="25"/>
      <c r="K1516" s="25"/>
      <c r="L1516" s="31"/>
      <c r="M1516" s="29" t="str">
        <f aca="false">IF($C1516="","",YEAR($C1516))</f>
        <v/>
      </c>
      <c r="N1516" s="24"/>
      <c r="O1516" s="35" t="str">
        <f aca="false">IF($C1516="","",IF($D1516="","★没选客户项目",IF(COUNTIF(合同键,$D1516)=0,"★《维保合同》里没这个项目",IF(N($G1516)&lt;=0,"★收款金额要填",IF($H1516="","★票据类型要选",IF(AND($L1516&lt;&gt;"",COUNTIF(应收单号,$L1516)=0),"★关联的应收单号不存在",IF(AND($L1516&lt;&gt;"",IFERROR(INDEX(应收键,MATCH($L1516,应收单号,0)),"")&lt;&gt;$D1516),"★关联单号不是这个客户的",IF(AND($L1516&lt;&gt;"",ROUND(SUMIF(收款关联,$L1516,收款金额)-IFERROR(INDEX(应收金额,MATCH($L1516,应收单号,0)),0),2)&gt;0.001),"★指定冲销超过那张单的应收","OK"))))))))</f>
        <v/>
      </c>
    </row>
    <row r="1517" customFormat="false" ht="15" hidden="false" customHeight="false" outlineLevel="0" collapsed="false">
      <c r="A1517" s="29" t="str">
        <f aca="false">IF($C1517="","",ROW()-4)</f>
        <v/>
      </c>
      <c r="B1517" s="35" t="str">
        <f aca="false">IF($C1517="","","SK"&amp;TEXT($C1517,"yyyymm")&amp;"-"&amp;TEXT(ROW()-4,"0000"))</f>
        <v/>
      </c>
      <c r="C1517" s="33"/>
      <c r="D1517" s="24"/>
      <c r="E1517" s="30" t="str">
        <f aca="false">IF($D1517="","",IFERROR(INDEX(合同单位,MATCH($D1517,合同键,0)),IFERROR(TRIM(LEFT($D1517,FIND("｜",$D1517)-1)),$D1517)))</f>
        <v/>
      </c>
      <c r="F1517" s="30" t="str">
        <f aca="false">IF($D1517="","",IFERROR(INDEX(合同项目,MATCH($D1517,合同键,0)),IFERROR(TRIM(MID($D1517,FIND("｜",$D1517)+1,99)),"")))</f>
        <v/>
      </c>
      <c r="G1517" s="39"/>
      <c r="H1517" s="25"/>
      <c r="I1517" s="35" t="str">
        <f aca="false">IF($H1517="","",IFERROR(INDEX(票据归类表,MATCH($H1517,票据类型表,0)),"现金无票"))</f>
        <v/>
      </c>
      <c r="J1517" s="25"/>
      <c r="K1517" s="25"/>
      <c r="L1517" s="31"/>
      <c r="M1517" s="29" t="str">
        <f aca="false">IF($C1517="","",YEAR($C1517))</f>
        <v/>
      </c>
      <c r="N1517" s="24"/>
      <c r="O1517" s="35" t="str">
        <f aca="false">IF($C1517="","",IF($D1517="","★没选客户项目",IF(COUNTIF(合同键,$D1517)=0,"★《维保合同》里没这个项目",IF(N($G1517)&lt;=0,"★收款金额要填",IF($H1517="","★票据类型要选",IF(AND($L1517&lt;&gt;"",COUNTIF(应收单号,$L1517)=0),"★关联的应收单号不存在",IF(AND($L1517&lt;&gt;"",IFERROR(INDEX(应收键,MATCH($L1517,应收单号,0)),"")&lt;&gt;$D1517),"★关联单号不是这个客户的",IF(AND($L1517&lt;&gt;"",ROUND(SUMIF(收款关联,$L1517,收款金额)-IFERROR(INDEX(应收金额,MATCH($L1517,应收单号,0)),0),2)&gt;0.001),"★指定冲销超过那张单的应收","OK"))))))))</f>
        <v/>
      </c>
    </row>
    <row r="1518" customFormat="false" ht="15" hidden="false" customHeight="false" outlineLevel="0" collapsed="false">
      <c r="A1518" s="29" t="str">
        <f aca="false">IF($C1518="","",ROW()-4)</f>
        <v/>
      </c>
      <c r="B1518" s="35" t="str">
        <f aca="false">IF($C1518="","","SK"&amp;TEXT($C1518,"yyyymm")&amp;"-"&amp;TEXT(ROW()-4,"0000"))</f>
        <v/>
      </c>
      <c r="C1518" s="33"/>
      <c r="D1518" s="24"/>
      <c r="E1518" s="30" t="str">
        <f aca="false">IF($D1518="","",IFERROR(INDEX(合同单位,MATCH($D1518,合同键,0)),IFERROR(TRIM(LEFT($D1518,FIND("｜",$D1518)-1)),$D1518)))</f>
        <v/>
      </c>
      <c r="F1518" s="30" t="str">
        <f aca="false">IF($D1518="","",IFERROR(INDEX(合同项目,MATCH($D1518,合同键,0)),IFERROR(TRIM(MID($D1518,FIND("｜",$D1518)+1,99)),"")))</f>
        <v/>
      </c>
      <c r="G1518" s="39"/>
      <c r="H1518" s="25"/>
      <c r="I1518" s="35" t="str">
        <f aca="false">IF($H1518="","",IFERROR(INDEX(票据归类表,MATCH($H1518,票据类型表,0)),"现金无票"))</f>
        <v/>
      </c>
      <c r="J1518" s="25"/>
      <c r="K1518" s="25"/>
      <c r="L1518" s="31"/>
      <c r="M1518" s="29" t="str">
        <f aca="false">IF($C1518="","",YEAR($C1518))</f>
        <v/>
      </c>
      <c r="N1518" s="24"/>
      <c r="O1518" s="35" t="str">
        <f aca="false">IF($C1518="","",IF($D1518="","★没选客户项目",IF(COUNTIF(合同键,$D1518)=0,"★《维保合同》里没这个项目",IF(N($G1518)&lt;=0,"★收款金额要填",IF($H1518="","★票据类型要选",IF(AND($L1518&lt;&gt;"",COUNTIF(应收单号,$L1518)=0),"★关联的应收单号不存在",IF(AND($L1518&lt;&gt;"",IFERROR(INDEX(应收键,MATCH($L1518,应收单号,0)),"")&lt;&gt;$D1518),"★关联单号不是这个客户的",IF(AND($L1518&lt;&gt;"",ROUND(SUMIF(收款关联,$L1518,收款金额)-IFERROR(INDEX(应收金额,MATCH($L1518,应收单号,0)),0),2)&gt;0.001),"★指定冲销超过那张单的应收","OK"))))))))</f>
        <v/>
      </c>
    </row>
    <row r="1519" customFormat="false" ht="15" hidden="false" customHeight="false" outlineLevel="0" collapsed="false">
      <c r="A1519" s="29" t="str">
        <f aca="false">IF($C1519="","",ROW()-4)</f>
        <v/>
      </c>
      <c r="B1519" s="35" t="str">
        <f aca="false">IF($C1519="","","SK"&amp;TEXT($C1519,"yyyymm")&amp;"-"&amp;TEXT(ROW()-4,"0000"))</f>
        <v/>
      </c>
      <c r="C1519" s="33"/>
      <c r="D1519" s="24"/>
      <c r="E1519" s="30" t="str">
        <f aca="false">IF($D1519="","",IFERROR(INDEX(合同单位,MATCH($D1519,合同键,0)),IFERROR(TRIM(LEFT($D1519,FIND("｜",$D1519)-1)),$D1519)))</f>
        <v/>
      </c>
      <c r="F1519" s="30" t="str">
        <f aca="false">IF($D1519="","",IFERROR(INDEX(合同项目,MATCH($D1519,合同键,0)),IFERROR(TRIM(MID($D1519,FIND("｜",$D1519)+1,99)),"")))</f>
        <v/>
      </c>
      <c r="G1519" s="39"/>
      <c r="H1519" s="25"/>
      <c r="I1519" s="35" t="str">
        <f aca="false">IF($H1519="","",IFERROR(INDEX(票据归类表,MATCH($H1519,票据类型表,0)),"现金无票"))</f>
        <v/>
      </c>
      <c r="J1519" s="25"/>
      <c r="K1519" s="25"/>
      <c r="L1519" s="31"/>
      <c r="M1519" s="29" t="str">
        <f aca="false">IF($C1519="","",YEAR($C1519))</f>
        <v/>
      </c>
      <c r="N1519" s="24"/>
      <c r="O1519" s="35" t="str">
        <f aca="false">IF($C1519="","",IF($D1519="","★没选客户项目",IF(COUNTIF(合同键,$D1519)=0,"★《维保合同》里没这个项目",IF(N($G1519)&lt;=0,"★收款金额要填",IF($H1519="","★票据类型要选",IF(AND($L1519&lt;&gt;"",COUNTIF(应收单号,$L1519)=0),"★关联的应收单号不存在",IF(AND($L1519&lt;&gt;"",IFERROR(INDEX(应收键,MATCH($L1519,应收单号,0)),"")&lt;&gt;$D1519),"★关联单号不是这个客户的",IF(AND($L1519&lt;&gt;"",ROUND(SUMIF(收款关联,$L1519,收款金额)-IFERROR(INDEX(应收金额,MATCH($L1519,应收单号,0)),0),2)&gt;0.001),"★指定冲销超过那张单的应收","OK"))))))))</f>
        <v/>
      </c>
    </row>
    <row r="1520" customFormat="false" ht="15" hidden="false" customHeight="false" outlineLevel="0" collapsed="false">
      <c r="A1520" s="29" t="str">
        <f aca="false">IF($C1520="","",ROW()-4)</f>
        <v/>
      </c>
      <c r="B1520" s="35" t="str">
        <f aca="false">IF($C1520="","","SK"&amp;TEXT($C1520,"yyyymm")&amp;"-"&amp;TEXT(ROW()-4,"0000"))</f>
        <v/>
      </c>
      <c r="C1520" s="33"/>
      <c r="D1520" s="24"/>
      <c r="E1520" s="30" t="str">
        <f aca="false">IF($D1520="","",IFERROR(INDEX(合同单位,MATCH($D1520,合同键,0)),IFERROR(TRIM(LEFT($D1520,FIND("｜",$D1520)-1)),$D1520)))</f>
        <v/>
      </c>
      <c r="F1520" s="30" t="str">
        <f aca="false">IF($D1520="","",IFERROR(INDEX(合同项目,MATCH($D1520,合同键,0)),IFERROR(TRIM(MID($D1520,FIND("｜",$D1520)+1,99)),"")))</f>
        <v/>
      </c>
      <c r="G1520" s="39"/>
      <c r="H1520" s="25"/>
      <c r="I1520" s="35" t="str">
        <f aca="false">IF($H1520="","",IFERROR(INDEX(票据归类表,MATCH($H1520,票据类型表,0)),"现金无票"))</f>
        <v/>
      </c>
      <c r="J1520" s="25"/>
      <c r="K1520" s="25"/>
      <c r="L1520" s="31"/>
      <c r="M1520" s="29" t="str">
        <f aca="false">IF($C1520="","",YEAR($C1520))</f>
        <v/>
      </c>
      <c r="N1520" s="24"/>
      <c r="O1520" s="35" t="str">
        <f aca="false">IF($C1520="","",IF($D1520="","★没选客户项目",IF(COUNTIF(合同键,$D1520)=0,"★《维保合同》里没这个项目",IF(N($G1520)&lt;=0,"★收款金额要填",IF($H1520="","★票据类型要选",IF(AND($L1520&lt;&gt;"",COUNTIF(应收单号,$L1520)=0),"★关联的应收单号不存在",IF(AND($L1520&lt;&gt;"",IFERROR(INDEX(应收键,MATCH($L1520,应收单号,0)),"")&lt;&gt;$D1520),"★关联单号不是这个客户的",IF(AND($L1520&lt;&gt;"",ROUND(SUMIF(收款关联,$L1520,收款金额)-IFERROR(INDEX(应收金额,MATCH($L1520,应收单号,0)),0),2)&gt;0.001),"★指定冲销超过那张单的应收","OK"))))))))</f>
        <v/>
      </c>
    </row>
    <row r="1521" customFormat="false" ht="15" hidden="false" customHeight="false" outlineLevel="0" collapsed="false">
      <c r="A1521" s="29" t="str">
        <f aca="false">IF($C1521="","",ROW()-4)</f>
        <v/>
      </c>
      <c r="B1521" s="35" t="str">
        <f aca="false">IF($C1521="","","SK"&amp;TEXT($C1521,"yyyymm")&amp;"-"&amp;TEXT(ROW()-4,"0000"))</f>
        <v/>
      </c>
      <c r="C1521" s="33"/>
      <c r="D1521" s="24"/>
      <c r="E1521" s="30" t="str">
        <f aca="false">IF($D1521="","",IFERROR(INDEX(合同单位,MATCH($D1521,合同键,0)),IFERROR(TRIM(LEFT($D1521,FIND("｜",$D1521)-1)),$D1521)))</f>
        <v/>
      </c>
      <c r="F1521" s="30" t="str">
        <f aca="false">IF($D1521="","",IFERROR(INDEX(合同项目,MATCH($D1521,合同键,0)),IFERROR(TRIM(MID($D1521,FIND("｜",$D1521)+1,99)),"")))</f>
        <v/>
      </c>
      <c r="G1521" s="39"/>
      <c r="H1521" s="25"/>
      <c r="I1521" s="35" t="str">
        <f aca="false">IF($H1521="","",IFERROR(INDEX(票据归类表,MATCH($H1521,票据类型表,0)),"现金无票"))</f>
        <v/>
      </c>
      <c r="J1521" s="25"/>
      <c r="K1521" s="25"/>
      <c r="L1521" s="31"/>
      <c r="M1521" s="29" t="str">
        <f aca="false">IF($C1521="","",YEAR($C1521))</f>
        <v/>
      </c>
      <c r="N1521" s="24"/>
      <c r="O1521" s="35" t="str">
        <f aca="false">IF($C1521="","",IF($D1521="","★没选客户项目",IF(COUNTIF(合同键,$D1521)=0,"★《维保合同》里没这个项目",IF(N($G1521)&lt;=0,"★收款金额要填",IF($H1521="","★票据类型要选",IF(AND($L1521&lt;&gt;"",COUNTIF(应收单号,$L1521)=0),"★关联的应收单号不存在",IF(AND($L1521&lt;&gt;"",IFERROR(INDEX(应收键,MATCH($L1521,应收单号,0)),"")&lt;&gt;$D1521),"★关联单号不是这个客户的",IF(AND($L1521&lt;&gt;"",ROUND(SUMIF(收款关联,$L1521,收款金额)-IFERROR(INDEX(应收金额,MATCH($L1521,应收单号,0)),0),2)&gt;0.001),"★指定冲销超过那张单的应收","OK"))))))))</f>
        <v/>
      </c>
    </row>
    <row r="1522" customFormat="false" ht="15" hidden="false" customHeight="false" outlineLevel="0" collapsed="false">
      <c r="A1522" s="29" t="str">
        <f aca="false">IF($C1522="","",ROW()-4)</f>
        <v/>
      </c>
      <c r="B1522" s="35" t="str">
        <f aca="false">IF($C1522="","","SK"&amp;TEXT($C1522,"yyyymm")&amp;"-"&amp;TEXT(ROW()-4,"0000"))</f>
        <v/>
      </c>
      <c r="C1522" s="33"/>
      <c r="D1522" s="24"/>
      <c r="E1522" s="30" t="str">
        <f aca="false">IF($D1522="","",IFERROR(INDEX(合同单位,MATCH($D1522,合同键,0)),IFERROR(TRIM(LEFT($D1522,FIND("｜",$D1522)-1)),$D1522)))</f>
        <v/>
      </c>
      <c r="F1522" s="30" t="str">
        <f aca="false">IF($D1522="","",IFERROR(INDEX(合同项目,MATCH($D1522,合同键,0)),IFERROR(TRIM(MID($D1522,FIND("｜",$D1522)+1,99)),"")))</f>
        <v/>
      </c>
      <c r="G1522" s="39"/>
      <c r="H1522" s="25"/>
      <c r="I1522" s="35" t="str">
        <f aca="false">IF($H1522="","",IFERROR(INDEX(票据归类表,MATCH($H1522,票据类型表,0)),"现金无票"))</f>
        <v/>
      </c>
      <c r="J1522" s="25"/>
      <c r="K1522" s="25"/>
      <c r="L1522" s="31"/>
      <c r="M1522" s="29" t="str">
        <f aca="false">IF($C1522="","",YEAR($C1522))</f>
        <v/>
      </c>
      <c r="N1522" s="24"/>
      <c r="O1522" s="35" t="str">
        <f aca="false">IF($C1522="","",IF($D1522="","★没选客户项目",IF(COUNTIF(合同键,$D1522)=0,"★《维保合同》里没这个项目",IF(N($G1522)&lt;=0,"★收款金额要填",IF($H1522="","★票据类型要选",IF(AND($L1522&lt;&gt;"",COUNTIF(应收单号,$L1522)=0),"★关联的应收单号不存在",IF(AND($L1522&lt;&gt;"",IFERROR(INDEX(应收键,MATCH($L1522,应收单号,0)),"")&lt;&gt;$D1522),"★关联单号不是这个客户的",IF(AND($L1522&lt;&gt;"",ROUND(SUMIF(收款关联,$L1522,收款金额)-IFERROR(INDEX(应收金额,MATCH($L1522,应收单号,0)),0),2)&gt;0.001),"★指定冲销超过那张单的应收","OK"))))))))</f>
        <v/>
      </c>
    </row>
    <row r="1523" customFormat="false" ht="15" hidden="false" customHeight="false" outlineLevel="0" collapsed="false">
      <c r="A1523" s="29" t="str">
        <f aca="false">IF($C1523="","",ROW()-4)</f>
        <v/>
      </c>
      <c r="B1523" s="35" t="str">
        <f aca="false">IF($C1523="","","SK"&amp;TEXT($C1523,"yyyymm")&amp;"-"&amp;TEXT(ROW()-4,"0000"))</f>
        <v/>
      </c>
      <c r="C1523" s="33"/>
      <c r="D1523" s="24"/>
      <c r="E1523" s="30" t="str">
        <f aca="false">IF($D1523="","",IFERROR(INDEX(合同单位,MATCH($D1523,合同键,0)),IFERROR(TRIM(LEFT($D1523,FIND("｜",$D1523)-1)),$D1523)))</f>
        <v/>
      </c>
      <c r="F1523" s="30" t="str">
        <f aca="false">IF($D1523="","",IFERROR(INDEX(合同项目,MATCH($D1523,合同键,0)),IFERROR(TRIM(MID($D1523,FIND("｜",$D1523)+1,99)),"")))</f>
        <v/>
      </c>
      <c r="G1523" s="39"/>
      <c r="H1523" s="25"/>
      <c r="I1523" s="35" t="str">
        <f aca="false">IF($H1523="","",IFERROR(INDEX(票据归类表,MATCH($H1523,票据类型表,0)),"现金无票"))</f>
        <v/>
      </c>
      <c r="J1523" s="25"/>
      <c r="K1523" s="25"/>
      <c r="L1523" s="31"/>
      <c r="M1523" s="29" t="str">
        <f aca="false">IF($C1523="","",YEAR($C1523))</f>
        <v/>
      </c>
      <c r="N1523" s="24"/>
      <c r="O1523" s="35" t="str">
        <f aca="false">IF($C1523="","",IF($D1523="","★没选客户项目",IF(COUNTIF(合同键,$D1523)=0,"★《维保合同》里没这个项目",IF(N($G1523)&lt;=0,"★收款金额要填",IF($H1523="","★票据类型要选",IF(AND($L1523&lt;&gt;"",COUNTIF(应收单号,$L1523)=0),"★关联的应收单号不存在",IF(AND($L1523&lt;&gt;"",IFERROR(INDEX(应收键,MATCH($L1523,应收单号,0)),"")&lt;&gt;$D1523),"★关联单号不是这个客户的",IF(AND($L1523&lt;&gt;"",ROUND(SUMIF(收款关联,$L1523,收款金额)-IFERROR(INDEX(应收金额,MATCH($L1523,应收单号,0)),0),2)&gt;0.001),"★指定冲销超过那张单的应收","OK"))))))))</f>
        <v/>
      </c>
    </row>
    <row r="1524" customFormat="false" ht="15" hidden="false" customHeight="false" outlineLevel="0" collapsed="false">
      <c r="A1524" s="29" t="str">
        <f aca="false">IF($C1524="","",ROW()-4)</f>
        <v/>
      </c>
      <c r="B1524" s="35" t="str">
        <f aca="false">IF($C1524="","","SK"&amp;TEXT($C1524,"yyyymm")&amp;"-"&amp;TEXT(ROW()-4,"0000"))</f>
        <v/>
      </c>
      <c r="C1524" s="33"/>
      <c r="D1524" s="24"/>
      <c r="E1524" s="30" t="str">
        <f aca="false">IF($D1524="","",IFERROR(INDEX(合同单位,MATCH($D1524,合同键,0)),IFERROR(TRIM(LEFT($D1524,FIND("｜",$D1524)-1)),$D1524)))</f>
        <v/>
      </c>
      <c r="F1524" s="30" t="str">
        <f aca="false">IF($D1524="","",IFERROR(INDEX(合同项目,MATCH($D1524,合同键,0)),IFERROR(TRIM(MID($D1524,FIND("｜",$D1524)+1,99)),"")))</f>
        <v/>
      </c>
      <c r="G1524" s="39"/>
      <c r="H1524" s="25"/>
      <c r="I1524" s="35" t="str">
        <f aca="false">IF($H1524="","",IFERROR(INDEX(票据归类表,MATCH($H1524,票据类型表,0)),"现金无票"))</f>
        <v/>
      </c>
      <c r="J1524" s="25"/>
      <c r="K1524" s="25"/>
      <c r="L1524" s="31"/>
      <c r="M1524" s="29" t="str">
        <f aca="false">IF($C1524="","",YEAR($C1524))</f>
        <v/>
      </c>
      <c r="N1524" s="24"/>
      <c r="O1524" s="35" t="str">
        <f aca="false">IF($C1524="","",IF($D1524="","★没选客户项目",IF(COUNTIF(合同键,$D1524)=0,"★《维保合同》里没这个项目",IF(N($G1524)&lt;=0,"★收款金额要填",IF($H1524="","★票据类型要选",IF(AND($L1524&lt;&gt;"",COUNTIF(应收单号,$L1524)=0),"★关联的应收单号不存在",IF(AND($L1524&lt;&gt;"",IFERROR(INDEX(应收键,MATCH($L1524,应收单号,0)),"")&lt;&gt;$D1524),"★关联单号不是这个客户的",IF(AND($L1524&lt;&gt;"",ROUND(SUMIF(收款关联,$L1524,收款金额)-IFERROR(INDEX(应收金额,MATCH($L1524,应收单号,0)),0),2)&gt;0.001),"★指定冲销超过那张单的应收","OK"))))))))</f>
        <v/>
      </c>
    </row>
    <row r="1525" customFormat="false" ht="15" hidden="false" customHeight="false" outlineLevel="0" collapsed="false">
      <c r="A1525" s="29" t="str">
        <f aca="false">IF($C1525="","",ROW()-4)</f>
        <v/>
      </c>
      <c r="B1525" s="35" t="str">
        <f aca="false">IF($C1525="","","SK"&amp;TEXT($C1525,"yyyymm")&amp;"-"&amp;TEXT(ROW()-4,"0000"))</f>
        <v/>
      </c>
      <c r="C1525" s="33"/>
      <c r="D1525" s="24"/>
      <c r="E1525" s="30" t="str">
        <f aca="false">IF($D1525="","",IFERROR(INDEX(合同单位,MATCH($D1525,合同键,0)),IFERROR(TRIM(LEFT($D1525,FIND("｜",$D1525)-1)),$D1525)))</f>
        <v/>
      </c>
      <c r="F1525" s="30" t="str">
        <f aca="false">IF($D1525="","",IFERROR(INDEX(合同项目,MATCH($D1525,合同键,0)),IFERROR(TRIM(MID($D1525,FIND("｜",$D1525)+1,99)),"")))</f>
        <v/>
      </c>
      <c r="G1525" s="39"/>
      <c r="H1525" s="25"/>
      <c r="I1525" s="35" t="str">
        <f aca="false">IF($H1525="","",IFERROR(INDEX(票据归类表,MATCH($H1525,票据类型表,0)),"现金无票"))</f>
        <v/>
      </c>
      <c r="J1525" s="25"/>
      <c r="K1525" s="25"/>
      <c r="L1525" s="31"/>
      <c r="M1525" s="29" t="str">
        <f aca="false">IF($C1525="","",YEAR($C1525))</f>
        <v/>
      </c>
      <c r="N1525" s="24"/>
      <c r="O1525" s="35" t="str">
        <f aca="false">IF($C1525="","",IF($D1525="","★没选客户项目",IF(COUNTIF(合同键,$D1525)=0,"★《维保合同》里没这个项目",IF(N($G1525)&lt;=0,"★收款金额要填",IF($H1525="","★票据类型要选",IF(AND($L1525&lt;&gt;"",COUNTIF(应收单号,$L1525)=0),"★关联的应收单号不存在",IF(AND($L1525&lt;&gt;"",IFERROR(INDEX(应收键,MATCH($L1525,应收单号,0)),"")&lt;&gt;$D1525),"★关联单号不是这个客户的",IF(AND($L1525&lt;&gt;"",ROUND(SUMIF(收款关联,$L1525,收款金额)-IFERROR(INDEX(应收金额,MATCH($L1525,应收单号,0)),0),2)&gt;0.001),"★指定冲销超过那张单的应收","OK"))))))))</f>
        <v/>
      </c>
    </row>
    <row r="1526" customFormat="false" ht="15" hidden="false" customHeight="false" outlineLevel="0" collapsed="false">
      <c r="A1526" s="29" t="str">
        <f aca="false">IF($C1526="","",ROW()-4)</f>
        <v/>
      </c>
      <c r="B1526" s="35" t="str">
        <f aca="false">IF($C1526="","","SK"&amp;TEXT($C1526,"yyyymm")&amp;"-"&amp;TEXT(ROW()-4,"0000"))</f>
        <v/>
      </c>
      <c r="C1526" s="33"/>
      <c r="D1526" s="24"/>
      <c r="E1526" s="30" t="str">
        <f aca="false">IF($D1526="","",IFERROR(INDEX(合同单位,MATCH($D1526,合同键,0)),IFERROR(TRIM(LEFT($D1526,FIND("｜",$D1526)-1)),$D1526)))</f>
        <v/>
      </c>
      <c r="F1526" s="30" t="str">
        <f aca="false">IF($D1526="","",IFERROR(INDEX(合同项目,MATCH($D1526,合同键,0)),IFERROR(TRIM(MID($D1526,FIND("｜",$D1526)+1,99)),"")))</f>
        <v/>
      </c>
      <c r="G1526" s="39"/>
      <c r="H1526" s="25"/>
      <c r="I1526" s="35" t="str">
        <f aca="false">IF($H1526="","",IFERROR(INDEX(票据归类表,MATCH($H1526,票据类型表,0)),"现金无票"))</f>
        <v/>
      </c>
      <c r="J1526" s="25"/>
      <c r="K1526" s="25"/>
      <c r="L1526" s="31"/>
      <c r="M1526" s="29" t="str">
        <f aca="false">IF($C1526="","",YEAR($C1526))</f>
        <v/>
      </c>
      <c r="N1526" s="24"/>
      <c r="O1526" s="35" t="str">
        <f aca="false">IF($C1526="","",IF($D1526="","★没选客户项目",IF(COUNTIF(合同键,$D1526)=0,"★《维保合同》里没这个项目",IF(N($G1526)&lt;=0,"★收款金额要填",IF($H1526="","★票据类型要选",IF(AND($L1526&lt;&gt;"",COUNTIF(应收单号,$L1526)=0),"★关联的应收单号不存在",IF(AND($L1526&lt;&gt;"",IFERROR(INDEX(应收键,MATCH($L1526,应收单号,0)),"")&lt;&gt;$D1526),"★关联单号不是这个客户的",IF(AND($L1526&lt;&gt;"",ROUND(SUMIF(收款关联,$L1526,收款金额)-IFERROR(INDEX(应收金额,MATCH($L1526,应收单号,0)),0),2)&gt;0.001),"★指定冲销超过那张单的应收","OK"))))))))</f>
        <v/>
      </c>
    </row>
    <row r="1527" customFormat="false" ht="15" hidden="false" customHeight="false" outlineLevel="0" collapsed="false">
      <c r="A1527" s="29" t="str">
        <f aca="false">IF($C1527="","",ROW()-4)</f>
        <v/>
      </c>
      <c r="B1527" s="35" t="str">
        <f aca="false">IF($C1527="","","SK"&amp;TEXT($C1527,"yyyymm")&amp;"-"&amp;TEXT(ROW()-4,"0000"))</f>
        <v/>
      </c>
      <c r="C1527" s="33"/>
      <c r="D1527" s="24"/>
      <c r="E1527" s="30" t="str">
        <f aca="false">IF($D1527="","",IFERROR(INDEX(合同单位,MATCH($D1527,合同键,0)),IFERROR(TRIM(LEFT($D1527,FIND("｜",$D1527)-1)),$D1527)))</f>
        <v/>
      </c>
      <c r="F1527" s="30" t="str">
        <f aca="false">IF($D1527="","",IFERROR(INDEX(合同项目,MATCH($D1527,合同键,0)),IFERROR(TRIM(MID($D1527,FIND("｜",$D1527)+1,99)),"")))</f>
        <v/>
      </c>
      <c r="G1527" s="39"/>
      <c r="H1527" s="25"/>
      <c r="I1527" s="35" t="str">
        <f aca="false">IF($H1527="","",IFERROR(INDEX(票据归类表,MATCH($H1527,票据类型表,0)),"现金无票"))</f>
        <v/>
      </c>
      <c r="J1527" s="25"/>
      <c r="K1527" s="25"/>
      <c r="L1527" s="31"/>
      <c r="M1527" s="29" t="str">
        <f aca="false">IF($C1527="","",YEAR($C1527))</f>
        <v/>
      </c>
      <c r="N1527" s="24"/>
      <c r="O1527" s="35" t="str">
        <f aca="false">IF($C1527="","",IF($D1527="","★没选客户项目",IF(COUNTIF(合同键,$D1527)=0,"★《维保合同》里没这个项目",IF(N($G1527)&lt;=0,"★收款金额要填",IF($H1527="","★票据类型要选",IF(AND($L1527&lt;&gt;"",COUNTIF(应收单号,$L1527)=0),"★关联的应收单号不存在",IF(AND($L1527&lt;&gt;"",IFERROR(INDEX(应收键,MATCH($L1527,应收单号,0)),"")&lt;&gt;$D1527),"★关联单号不是这个客户的",IF(AND($L1527&lt;&gt;"",ROUND(SUMIF(收款关联,$L1527,收款金额)-IFERROR(INDEX(应收金额,MATCH($L1527,应收单号,0)),0),2)&gt;0.001),"★指定冲销超过那张单的应收","OK"))))))))</f>
        <v/>
      </c>
    </row>
    <row r="1528" customFormat="false" ht="15" hidden="false" customHeight="false" outlineLevel="0" collapsed="false">
      <c r="A1528" s="29" t="str">
        <f aca="false">IF($C1528="","",ROW()-4)</f>
        <v/>
      </c>
      <c r="B1528" s="35" t="str">
        <f aca="false">IF($C1528="","","SK"&amp;TEXT($C1528,"yyyymm")&amp;"-"&amp;TEXT(ROW()-4,"0000"))</f>
        <v/>
      </c>
      <c r="C1528" s="33"/>
      <c r="D1528" s="24"/>
      <c r="E1528" s="30" t="str">
        <f aca="false">IF($D1528="","",IFERROR(INDEX(合同单位,MATCH($D1528,合同键,0)),IFERROR(TRIM(LEFT($D1528,FIND("｜",$D1528)-1)),$D1528)))</f>
        <v/>
      </c>
      <c r="F1528" s="30" t="str">
        <f aca="false">IF($D1528="","",IFERROR(INDEX(合同项目,MATCH($D1528,合同键,0)),IFERROR(TRIM(MID($D1528,FIND("｜",$D1528)+1,99)),"")))</f>
        <v/>
      </c>
      <c r="G1528" s="39"/>
      <c r="H1528" s="25"/>
      <c r="I1528" s="35" t="str">
        <f aca="false">IF($H1528="","",IFERROR(INDEX(票据归类表,MATCH($H1528,票据类型表,0)),"现金无票"))</f>
        <v/>
      </c>
      <c r="J1528" s="25"/>
      <c r="K1528" s="25"/>
      <c r="L1528" s="31"/>
      <c r="M1528" s="29" t="str">
        <f aca="false">IF($C1528="","",YEAR($C1528))</f>
        <v/>
      </c>
      <c r="N1528" s="24"/>
      <c r="O1528" s="35" t="str">
        <f aca="false">IF($C1528="","",IF($D1528="","★没选客户项目",IF(COUNTIF(合同键,$D1528)=0,"★《维保合同》里没这个项目",IF(N($G1528)&lt;=0,"★收款金额要填",IF($H1528="","★票据类型要选",IF(AND($L1528&lt;&gt;"",COUNTIF(应收单号,$L1528)=0),"★关联的应收单号不存在",IF(AND($L1528&lt;&gt;"",IFERROR(INDEX(应收键,MATCH($L1528,应收单号,0)),"")&lt;&gt;$D1528),"★关联单号不是这个客户的",IF(AND($L1528&lt;&gt;"",ROUND(SUMIF(收款关联,$L1528,收款金额)-IFERROR(INDEX(应收金额,MATCH($L1528,应收单号,0)),0),2)&gt;0.001),"★指定冲销超过那张单的应收","OK"))))))))</f>
        <v/>
      </c>
    </row>
    <row r="1529" customFormat="false" ht="15" hidden="false" customHeight="false" outlineLevel="0" collapsed="false">
      <c r="A1529" s="29" t="str">
        <f aca="false">IF($C1529="","",ROW()-4)</f>
        <v/>
      </c>
      <c r="B1529" s="35" t="str">
        <f aca="false">IF($C1529="","","SK"&amp;TEXT($C1529,"yyyymm")&amp;"-"&amp;TEXT(ROW()-4,"0000"))</f>
        <v/>
      </c>
      <c r="C1529" s="33"/>
      <c r="D1529" s="24"/>
      <c r="E1529" s="30" t="str">
        <f aca="false">IF($D1529="","",IFERROR(INDEX(合同单位,MATCH($D1529,合同键,0)),IFERROR(TRIM(LEFT($D1529,FIND("｜",$D1529)-1)),$D1529)))</f>
        <v/>
      </c>
      <c r="F1529" s="30" t="str">
        <f aca="false">IF($D1529="","",IFERROR(INDEX(合同项目,MATCH($D1529,合同键,0)),IFERROR(TRIM(MID($D1529,FIND("｜",$D1529)+1,99)),"")))</f>
        <v/>
      </c>
      <c r="G1529" s="39"/>
      <c r="H1529" s="25"/>
      <c r="I1529" s="35" t="str">
        <f aca="false">IF($H1529="","",IFERROR(INDEX(票据归类表,MATCH($H1529,票据类型表,0)),"现金无票"))</f>
        <v/>
      </c>
      <c r="J1529" s="25"/>
      <c r="K1529" s="25"/>
      <c r="L1529" s="31"/>
      <c r="M1529" s="29" t="str">
        <f aca="false">IF($C1529="","",YEAR($C1529))</f>
        <v/>
      </c>
      <c r="N1529" s="24"/>
      <c r="O1529" s="35" t="str">
        <f aca="false">IF($C1529="","",IF($D1529="","★没选客户项目",IF(COUNTIF(合同键,$D1529)=0,"★《维保合同》里没这个项目",IF(N($G1529)&lt;=0,"★收款金额要填",IF($H1529="","★票据类型要选",IF(AND($L1529&lt;&gt;"",COUNTIF(应收单号,$L1529)=0),"★关联的应收单号不存在",IF(AND($L1529&lt;&gt;"",IFERROR(INDEX(应收键,MATCH($L1529,应收单号,0)),"")&lt;&gt;$D1529),"★关联单号不是这个客户的",IF(AND($L1529&lt;&gt;"",ROUND(SUMIF(收款关联,$L1529,收款金额)-IFERROR(INDEX(应收金额,MATCH($L1529,应收单号,0)),0),2)&gt;0.001),"★指定冲销超过那张单的应收","OK"))))))))</f>
        <v/>
      </c>
    </row>
    <row r="1530" customFormat="false" ht="15" hidden="false" customHeight="false" outlineLevel="0" collapsed="false">
      <c r="A1530" s="29" t="str">
        <f aca="false">IF($C1530="","",ROW()-4)</f>
        <v/>
      </c>
      <c r="B1530" s="35" t="str">
        <f aca="false">IF($C1530="","","SK"&amp;TEXT($C1530,"yyyymm")&amp;"-"&amp;TEXT(ROW()-4,"0000"))</f>
        <v/>
      </c>
      <c r="C1530" s="33"/>
      <c r="D1530" s="24"/>
      <c r="E1530" s="30" t="str">
        <f aca="false">IF($D1530="","",IFERROR(INDEX(合同单位,MATCH($D1530,合同键,0)),IFERROR(TRIM(LEFT($D1530,FIND("｜",$D1530)-1)),$D1530)))</f>
        <v/>
      </c>
      <c r="F1530" s="30" t="str">
        <f aca="false">IF($D1530="","",IFERROR(INDEX(合同项目,MATCH($D1530,合同键,0)),IFERROR(TRIM(MID($D1530,FIND("｜",$D1530)+1,99)),"")))</f>
        <v/>
      </c>
      <c r="G1530" s="39"/>
      <c r="H1530" s="25"/>
      <c r="I1530" s="35" t="str">
        <f aca="false">IF($H1530="","",IFERROR(INDEX(票据归类表,MATCH($H1530,票据类型表,0)),"现金无票"))</f>
        <v/>
      </c>
      <c r="J1530" s="25"/>
      <c r="K1530" s="25"/>
      <c r="L1530" s="31"/>
      <c r="M1530" s="29" t="str">
        <f aca="false">IF($C1530="","",YEAR($C1530))</f>
        <v/>
      </c>
      <c r="N1530" s="24"/>
      <c r="O1530" s="35" t="str">
        <f aca="false">IF($C1530="","",IF($D1530="","★没选客户项目",IF(COUNTIF(合同键,$D1530)=0,"★《维保合同》里没这个项目",IF(N($G1530)&lt;=0,"★收款金额要填",IF($H1530="","★票据类型要选",IF(AND($L1530&lt;&gt;"",COUNTIF(应收单号,$L1530)=0),"★关联的应收单号不存在",IF(AND($L1530&lt;&gt;"",IFERROR(INDEX(应收键,MATCH($L1530,应收单号,0)),"")&lt;&gt;$D1530),"★关联单号不是这个客户的",IF(AND($L1530&lt;&gt;"",ROUND(SUMIF(收款关联,$L1530,收款金额)-IFERROR(INDEX(应收金额,MATCH($L1530,应收单号,0)),0),2)&gt;0.001),"★指定冲销超过那张单的应收","OK"))))))))</f>
        <v/>
      </c>
    </row>
    <row r="1531" customFormat="false" ht="15" hidden="false" customHeight="false" outlineLevel="0" collapsed="false">
      <c r="A1531" s="29" t="str">
        <f aca="false">IF($C1531="","",ROW()-4)</f>
        <v/>
      </c>
      <c r="B1531" s="35" t="str">
        <f aca="false">IF($C1531="","","SK"&amp;TEXT($C1531,"yyyymm")&amp;"-"&amp;TEXT(ROW()-4,"0000"))</f>
        <v/>
      </c>
      <c r="C1531" s="33"/>
      <c r="D1531" s="24"/>
      <c r="E1531" s="30" t="str">
        <f aca="false">IF($D1531="","",IFERROR(INDEX(合同单位,MATCH($D1531,合同键,0)),IFERROR(TRIM(LEFT($D1531,FIND("｜",$D1531)-1)),$D1531)))</f>
        <v/>
      </c>
      <c r="F1531" s="30" t="str">
        <f aca="false">IF($D1531="","",IFERROR(INDEX(合同项目,MATCH($D1531,合同键,0)),IFERROR(TRIM(MID($D1531,FIND("｜",$D1531)+1,99)),"")))</f>
        <v/>
      </c>
      <c r="G1531" s="39"/>
      <c r="H1531" s="25"/>
      <c r="I1531" s="35" t="str">
        <f aca="false">IF($H1531="","",IFERROR(INDEX(票据归类表,MATCH($H1531,票据类型表,0)),"现金无票"))</f>
        <v/>
      </c>
      <c r="J1531" s="25"/>
      <c r="K1531" s="25"/>
      <c r="L1531" s="31"/>
      <c r="M1531" s="29" t="str">
        <f aca="false">IF($C1531="","",YEAR($C1531))</f>
        <v/>
      </c>
      <c r="N1531" s="24"/>
      <c r="O1531" s="35" t="str">
        <f aca="false">IF($C1531="","",IF($D1531="","★没选客户项目",IF(COUNTIF(合同键,$D1531)=0,"★《维保合同》里没这个项目",IF(N($G1531)&lt;=0,"★收款金额要填",IF($H1531="","★票据类型要选",IF(AND($L1531&lt;&gt;"",COUNTIF(应收单号,$L1531)=0),"★关联的应收单号不存在",IF(AND($L1531&lt;&gt;"",IFERROR(INDEX(应收键,MATCH($L1531,应收单号,0)),"")&lt;&gt;$D1531),"★关联单号不是这个客户的",IF(AND($L1531&lt;&gt;"",ROUND(SUMIF(收款关联,$L1531,收款金额)-IFERROR(INDEX(应收金额,MATCH($L1531,应收单号,0)),0),2)&gt;0.001),"★指定冲销超过那张单的应收","OK"))))))))</f>
        <v/>
      </c>
    </row>
    <row r="1532" customFormat="false" ht="15" hidden="false" customHeight="false" outlineLevel="0" collapsed="false">
      <c r="A1532" s="29" t="str">
        <f aca="false">IF($C1532="","",ROW()-4)</f>
        <v/>
      </c>
      <c r="B1532" s="35" t="str">
        <f aca="false">IF($C1532="","","SK"&amp;TEXT($C1532,"yyyymm")&amp;"-"&amp;TEXT(ROW()-4,"0000"))</f>
        <v/>
      </c>
      <c r="C1532" s="33"/>
      <c r="D1532" s="24"/>
      <c r="E1532" s="30" t="str">
        <f aca="false">IF($D1532="","",IFERROR(INDEX(合同单位,MATCH($D1532,合同键,0)),IFERROR(TRIM(LEFT($D1532,FIND("｜",$D1532)-1)),$D1532)))</f>
        <v/>
      </c>
      <c r="F1532" s="30" t="str">
        <f aca="false">IF($D1532="","",IFERROR(INDEX(合同项目,MATCH($D1532,合同键,0)),IFERROR(TRIM(MID($D1532,FIND("｜",$D1532)+1,99)),"")))</f>
        <v/>
      </c>
      <c r="G1532" s="39"/>
      <c r="H1532" s="25"/>
      <c r="I1532" s="35" t="str">
        <f aca="false">IF($H1532="","",IFERROR(INDEX(票据归类表,MATCH($H1532,票据类型表,0)),"现金无票"))</f>
        <v/>
      </c>
      <c r="J1532" s="25"/>
      <c r="K1532" s="25"/>
      <c r="L1532" s="31"/>
      <c r="M1532" s="29" t="str">
        <f aca="false">IF($C1532="","",YEAR($C1532))</f>
        <v/>
      </c>
      <c r="N1532" s="24"/>
      <c r="O1532" s="35" t="str">
        <f aca="false">IF($C1532="","",IF($D1532="","★没选客户项目",IF(COUNTIF(合同键,$D1532)=0,"★《维保合同》里没这个项目",IF(N($G1532)&lt;=0,"★收款金额要填",IF($H1532="","★票据类型要选",IF(AND($L1532&lt;&gt;"",COUNTIF(应收单号,$L1532)=0),"★关联的应收单号不存在",IF(AND($L1532&lt;&gt;"",IFERROR(INDEX(应收键,MATCH($L1532,应收单号,0)),"")&lt;&gt;$D1532),"★关联单号不是这个客户的",IF(AND($L1532&lt;&gt;"",ROUND(SUMIF(收款关联,$L1532,收款金额)-IFERROR(INDEX(应收金额,MATCH($L1532,应收单号,0)),0),2)&gt;0.001),"★指定冲销超过那张单的应收","OK"))))))))</f>
        <v/>
      </c>
    </row>
    <row r="1533" customFormat="false" ht="15" hidden="false" customHeight="false" outlineLevel="0" collapsed="false">
      <c r="A1533" s="29" t="str">
        <f aca="false">IF($C1533="","",ROW()-4)</f>
        <v/>
      </c>
      <c r="B1533" s="35" t="str">
        <f aca="false">IF($C1533="","","SK"&amp;TEXT($C1533,"yyyymm")&amp;"-"&amp;TEXT(ROW()-4,"0000"))</f>
        <v/>
      </c>
      <c r="C1533" s="33"/>
      <c r="D1533" s="24"/>
      <c r="E1533" s="30" t="str">
        <f aca="false">IF($D1533="","",IFERROR(INDEX(合同单位,MATCH($D1533,合同键,0)),IFERROR(TRIM(LEFT($D1533,FIND("｜",$D1533)-1)),$D1533)))</f>
        <v/>
      </c>
      <c r="F1533" s="30" t="str">
        <f aca="false">IF($D1533="","",IFERROR(INDEX(合同项目,MATCH($D1533,合同键,0)),IFERROR(TRIM(MID($D1533,FIND("｜",$D1533)+1,99)),"")))</f>
        <v/>
      </c>
      <c r="G1533" s="39"/>
      <c r="H1533" s="25"/>
      <c r="I1533" s="35" t="str">
        <f aca="false">IF($H1533="","",IFERROR(INDEX(票据归类表,MATCH($H1533,票据类型表,0)),"现金无票"))</f>
        <v/>
      </c>
      <c r="J1533" s="25"/>
      <c r="K1533" s="25"/>
      <c r="L1533" s="31"/>
      <c r="M1533" s="29" t="str">
        <f aca="false">IF($C1533="","",YEAR($C1533))</f>
        <v/>
      </c>
      <c r="N1533" s="24"/>
      <c r="O1533" s="35" t="str">
        <f aca="false">IF($C1533="","",IF($D1533="","★没选客户项目",IF(COUNTIF(合同键,$D1533)=0,"★《维保合同》里没这个项目",IF(N($G1533)&lt;=0,"★收款金额要填",IF($H1533="","★票据类型要选",IF(AND($L1533&lt;&gt;"",COUNTIF(应收单号,$L1533)=0),"★关联的应收单号不存在",IF(AND($L1533&lt;&gt;"",IFERROR(INDEX(应收键,MATCH($L1533,应收单号,0)),"")&lt;&gt;$D1533),"★关联单号不是这个客户的",IF(AND($L1533&lt;&gt;"",ROUND(SUMIF(收款关联,$L1533,收款金额)-IFERROR(INDEX(应收金额,MATCH($L1533,应收单号,0)),0),2)&gt;0.001),"★指定冲销超过那张单的应收","OK"))))))))</f>
        <v/>
      </c>
    </row>
    <row r="1534" customFormat="false" ht="15" hidden="false" customHeight="false" outlineLevel="0" collapsed="false">
      <c r="A1534" s="29" t="str">
        <f aca="false">IF($C1534="","",ROW()-4)</f>
        <v/>
      </c>
      <c r="B1534" s="35" t="str">
        <f aca="false">IF($C1534="","","SK"&amp;TEXT($C1534,"yyyymm")&amp;"-"&amp;TEXT(ROW()-4,"0000"))</f>
        <v/>
      </c>
      <c r="C1534" s="33"/>
      <c r="D1534" s="24"/>
      <c r="E1534" s="30" t="str">
        <f aca="false">IF($D1534="","",IFERROR(INDEX(合同单位,MATCH($D1534,合同键,0)),IFERROR(TRIM(LEFT($D1534,FIND("｜",$D1534)-1)),$D1534)))</f>
        <v/>
      </c>
      <c r="F1534" s="30" t="str">
        <f aca="false">IF($D1534="","",IFERROR(INDEX(合同项目,MATCH($D1534,合同键,0)),IFERROR(TRIM(MID($D1534,FIND("｜",$D1534)+1,99)),"")))</f>
        <v/>
      </c>
      <c r="G1534" s="39"/>
      <c r="H1534" s="25"/>
      <c r="I1534" s="35" t="str">
        <f aca="false">IF($H1534="","",IFERROR(INDEX(票据归类表,MATCH($H1534,票据类型表,0)),"现金无票"))</f>
        <v/>
      </c>
      <c r="J1534" s="25"/>
      <c r="K1534" s="25"/>
      <c r="L1534" s="31"/>
      <c r="M1534" s="29" t="str">
        <f aca="false">IF($C1534="","",YEAR($C1534))</f>
        <v/>
      </c>
      <c r="N1534" s="24"/>
      <c r="O1534" s="35" t="str">
        <f aca="false">IF($C1534="","",IF($D1534="","★没选客户项目",IF(COUNTIF(合同键,$D1534)=0,"★《维保合同》里没这个项目",IF(N($G1534)&lt;=0,"★收款金额要填",IF($H1534="","★票据类型要选",IF(AND($L1534&lt;&gt;"",COUNTIF(应收单号,$L1534)=0),"★关联的应收单号不存在",IF(AND($L1534&lt;&gt;"",IFERROR(INDEX(应收键,MATCH($L1534,应收单号,0)),"")&lt;&gt;$D1534),"★关联单号不是这个客户的",IF(AND($L1534&lt;&gt;"",ROUND(SUMIF(收款关联,$L1534,收款金额)-IFERROR(INDEX(应收金额,MATCH($L1534,应收单号,0)),0),2)&gt;0.001),"★指定冲销超过那张单的应收","OK"))))))))</f>
        <v/>
      </c>
    </row>
    <row r="1535" customFormat="false" ht="15" hidden="false" customHeight="false" outlineLevel="0" collapsed="false">
      <c r="A1535" s="29" t="str">
        <f aca="false">IF($C1535="","",ROW()-4)</f>
        <v/>
      </c>
      <c r="B1535" s="35" t="str">
        <f aca="false">IF($C1535="","","SK"&amp;TEXT($C1535,"yyyymm")&amp;"-"&amp;TEXT(ROW()-4,"0000"))</f>
        <v/>
      </c>
      <c r="C1535" s="33"/>
      <c r="D1535" s="24"/>
      <c r="E1535" s="30" t="str">
        <f aca="false">IF($D1535="","",IFERROR(INDEX(合同单位,MATCH($D1535,合同键,0)),IFERROR(TRIM(LEFT($D1535,FIND("｜",$D1535)-1)),$D1535)))</f>
        <v/>
      </c>
      <c r="F1535" s="30" t="str">
        <f aca="false">IF($D1535="","",IFERROR(INDEX(合同项目,MATCH($D1535,合同键,0)),IFERROR(TRIM(MID($D1535,FIND("｜",$D1535)+1,99)),"")))</f>
        <v/>
      </c>
      <c r="G1535" s="39"/>
      <c r="H1535" s="25"/>
      <c r="I1535" s="35" t="str">
        <f aca="false">IF($H1535="","",IFERROR(INDEX(票据归类表,MATCH($H1535,票据类型表,0)),"现金无票"))</f>
        <v/>
      </c>
      <c r="J1535" s="25"/>
      <c r="K1535" s="25"/>
      <c r="L1535" s="31"/>
      <c r="M1535" s="29" t="str">
        <f aca="false">IF($C1535="","",YEAR($C1535))</f>
        <v/>
      </c>
      <c r="N1535" s="24"/>
      <c r="O1535" s="35" t="str">
        <f aca="false">IF($C1535="","",IF($D1535="","★没选客户项目",IF(COUNTIF(合同键,$D1535)=0,"★《维保合同》里没这个项目",IF(N($G1535)&lt;=0,"★收款金额要填",IF($H1535="","★票据类型要选",IF(AND($L1535&lt;&gt;"",COUNTIF(应收单号,$L1535)=0),"★关联的应收单号不存在",IF(AND($L1535&lt;&gt;"",IFERROR(INDEX(应收键,MATCH($L1535,应收单号,0)),"")&lt;&gt;$D1535),"★关联单号不是这个客户的",IF(AND($L1535&lt;&gt;"",ROUND(SUMIF(收款关联,$L1535,收款金额)-IFERROR(INDEX(应收金额,MATCH($L1535,应收单号,0)),0),2)&gt;0.001),"★指定冲销超过那张单的应收","OK"))))))))</f>
        <v/>
      </c>
    </row>
    <row r="1536" customFormat="false" ht="15" hidden="false" customHeight="false" outlineLevel="0" collapsed="false">
      <c r="A1536" s="29" t="str">
        <f aca="false">IF($C1536="","",ROW()-4)</f>
        <v/>
      </c>
      <c r="B1536" s="35" t="str">
        <f aca="false">IF($C1536="","","SK"&amp;TEXT($C1536,"yyyymm")&amp;"-"&amp;TEXT(ROW()-4,"0000"))</f>
        <v/>
      </c>
      <c r="C1536" s="33"/>
      <c r="D1536" s="24"/>
      <c r="E1536" s="30" t="str">
        <f aca="false">IF($D1536="","",IFERROR(INDEX(合同单位,MATCH($D1536,合同键,0)),IFERROR(TRIM(LEFT($D1536,FIND("｜",$D1536)-1)),$D1536)))</f>
        <v/>
      </c>
      <c r="F1536" s="30" t="str">
        <f aca="false">IF($D1536="","",IFERROR(INDEX(合同项目,MATCH($D1536,合同键,0)),IFERROR(TRIM(MID($D1536,FIND("｜",$D1536)+1,99)),"")))</f>
        <v/>
      </c>
      <c r="G1536" s="39"/>
      <c r="H1536" s="25"/>
      <c r="I1536" s="35" t="str">
        <f aca="false">IF($H1536="","",IFERROR(INDEX(票据归类表,MATCH($H1536,票据类型表,0)),"现金无票"))</f>
        <v/>
      </c>
      <c r="J1536" s="25"/>
      <c r="K1536" s="25"/>
      <c r="L1536" s="31"/>
      <c r="M1536" s="29" t="str">
        <f aca="false">IF($C1536="","",YEAR($C1536))</f>
        <v/>
      </c>
      <c r="N1536" s="24"/>
      <c r="O1536" s="35" t="str">
        <f aca="false">IF($C1536="","",IF($D1536="","★没选客户项目",IF(COUNTIF(合同键,$D1536)=0,"★《维保合同》里没这个项目",IF(N($G1536)&lt;=0,"★收款金额要填",IF($H1536="","★票据类型要选",IF(AND($L1536&lt;&gt;"",COUNTIF(应收单号,$L1536)=0),"★关联的应收单号不存在",IF(AND($L1536&lt;&gt;"",IFERROR(INDEX(应收键,MATCH($L1536,应收单号,0)),"")&lt;&gt;$D1536),"★关联单号不是这个客户的",IF(AND($L1536&lt;&gt;"",ROUND(SUMIF(收款关联,$L1536,收款金额)-IFERROR(INDEX(应收金额,MATCH($L1536,应收单号,0)),0),2)&gt;0.001),"★指定冲销超过那张单的应收","OK"))))))))</f>
        <v/>
      </c>
    </row>
    <row r="1537" customFormat="false" ht="15" hidden="false" customHeight="false" outlineLevel="0" collapsed="false">
      <c r="A1537" s="29" t="str">
        <f aca="false">IF($C1537="","",ROW()-4)</f>
        <v/>
      </c>
      <c r="B1537" s="35" t="str">
        <f aca="false">IF($C1537="","","SK"&amp;TEXT($C1537,"yyyymm")&amp;"-"&amp;TEXT(ROW()-4,"0000"))</f>
        <v/>
      </c>
      <c r="C1537" s="33"/>
      <c r="D1537" s="24"/>
      <c r="E1537" s="30" t="str">
        <f aca="false">IF($D1537="","",IFERROR(INDEX(合同单位,MATCH($D1537,合同键,0)),IFERROR(TRIM(LEFT($D1537,FIND("｜",$D1537)-1)),$D1537)))</f>
        <v/>
      </c>
      <c r="F1537" s="30" t="str">
        <f aca="false">IF($D1537="","",IFERROR(INDEX(合同项目,MATCH($D1537,合同键,0)),IFERROR(TRIM(MID($D1537,FIND("｜",$D1537)+1,99)),"")))</f>
        <v/>
      </c>
      <c r="G1537" s="39"/>
      <c r="H1537" s="25"/>
      <c r="I1537" s="35" t="str">
        <f aca="false">IF($H1537="","",IFERROR(INDEX(票据归类表,MATCH($H1537,票据类型表,0)),"现金无票"))</f>
        <v/>
      </c>
      <c r="J1537" s="25"/>
      <c r="K1537" s="25"/>
      <c r="L1537" s="31"/>
      <c r="M1537" s="29" t="str">
        <f aca="false">IF($C1537="","",YEAR($C1537))</f>
        <v/>
      </c>
      <c r="N1537" s="24"/>
      <c r="O1537" s="35" t="str">
        <f aca="false">IF($C1537="","",IF($D1537="","★没选客户项目",IF(COUNTIF(合同键,$D1537)=0,"★《维保合同》里没这个项目",IF(N($G1537)&lt;=0,"★收款金额要填",IF($H1537="","★票据类型要选",IF(AND($L1537&lt;&gt;"",COUNTIF(应收单号,$L1537)=0),"★关联的应收单号不存在",IF(AND($L1537&lt;&gt;"",IFERROR(INDEX(应收键,MATCH($L1537,应收单号,0)),"")&lt;&gt;$D1537),"★关联单号不是这个客户的",IF(AND($L1537&lt;&gt;"",ROUND(SUMIF(收款关联,$L1537,收款金额)-IFERROR(INDEX(应收金额,MATCH($L1537,应收单号,0)),0),2)&gt;0.001),"★指定冲销超过那张单的应收","OK"))))))))</f>
        <v/>
      </c>
    </row>
    <row r="1538" customFormat="false" ht="15" hidden="false" customHeight="false" outlineLevel="0" collapsed="false">
      <c r="A1538" s="29" t="str">
        <f aca="false">IF($C1538="","",ROW()-4)</f>
        <v/>
      </c>
      <c r="B1538" s="35" t="str">
        <f aca="false">IF($C1538="","","SK"&amp;TEXT($C1538,"yyyymm")&amp;"-"&amp;TEXT(ROW()-4,"0000"))</f>
        <v/>
      </c>
      <c r="C1538" s="33"/>
      <c r="D1538" s="24"/>
      <c r="E1538" s="30" t="str">
        <f aca="false">IF($D1538="","",IFERROR(INDEX(合同单位,MATCH($D1538,合同键,0)),IFERROR(TRIM(LEFT($D1538,FIND("｜",$D1538)-1)),$D1538)))</f>
        <v/>
      </c>
      <c r="F1538" s="30" t="str">
        <f aca="false">IF($D1538="","",IFERROR(INDEX(合同项目,MATCH($D1538,合同键,0)),IFERROR(TRIM(MID($D1538,FIND("｜",$D1538)+1,99)),"")))</f>
        <v/>
      </c>
      <c r="G1538" s="39"/>
      <c r="H1538" s="25"/>
      <c r="I1538" s="35" t="str">
        <f aca="false">IF($H1538="","",IFERROR(INDEX(票据归类表,MATCH($H1538,票据类型表,0)),"现金无票"))</f>
        <v/>
      </c>
      <c r="J1538" s="25"/>
      <c r="K1538" s="25"/>
      <c r="L1538" s="31"/>
      <c r="M1538" s="29" t="str">
        <f aca="false">IF($C1538="","",YEAR($C1538))</f>
        <v/>
      </c>
      <c r="N1538" s="24"/>
      <c r="O1538" s="35" t="str">
        <f aca="false">IF($C1538="","",IF($D1538="","★没选客户项目",IF(COUNTIF(合同键,$D1538)=0,"★《维保合同》里没这个项目",IF(N($G1538)&lt;=0,"★收款金额要填",IF($H1538="","★票据类型要选",IF(AND($L1538&lt;&gt;"",COUNTIF(应收单号,$L1538)=0),"★关联的应收单号不存在",IF(AND($L1538&lt;&gt;"",IFERROR(INDEX(应收键,MATCH($L1538,应收单号,0)),"")&lt;&gt;$D1538),"★关联单号不是这个客户的",IF(AND($L1538&lt;&gt;"",ROUND(SUMIF(收款关联,$L1538,收款金额)-IFERROR(INDEX(应收金额,MATCH($L1538,应收单号,0)),0),2)&gt;0.001),"★指定冲销超过那张单的应收","OK"))))))))</f>
        <v/>
      </c>
    </row>
    <row r="1539" customFormat="false" ht="15" hidden="false" customHeight="false" outlineLevel="0" collapsed="false">
      <c r="A1539" s="29" t="str">
        <f aca="false">IF($C1539="","",ROW()-4)</f>
        <v/>
      </c>
      <c r="B1539" s="35" t="str">
        <f aca="false">IF($C1539="","","SK"&amp;TEXT($C1539,"yyyymm")&amp;"-"&amp;TEXT(ROW()-4,"0000"))</f>
        <v/>
      </c>
      <c r="C1539" s="33"/>
      <c r="D1539" s="24"/>
      <c r="E1539" s="30" t="str">
        <f aca="false">IF($D1539="","",IFERROR(INDEX(合同单位,MATCH($D1539,合同键,0)),IFERROR(TRIM(LEFT($D1539,FIND("｜",$D1539)-1)),$D1539)))</f>
        <v/>
      </c>
      <c r="F1539" s="30" t="str">
        <f aca="false">IF($D1539="","",IFERROR(INDEX(合同项目,MATCH($D1539,合同键,0)),IFERROR(TRIM(MID($D1539,FIND("｜",$D1539)+1,99)),"")))</f>
        <v/>
      </c>
      <c r="G1539" s="39"/>
      <c r="H1539" s="25"/>
      <c r="I1539" s="35" t="str">
        <f aca="false">IF($H1539="","",IFERROR(INDEX(票据归类表,MATCH($H1539,票据类型表,0)),"现金无票"))</f>
        <v/>
      </c>
      <c r="J1539" s="25"/>
      <c r="K1539" s="25"/>
      <c r="L1539" s="31"/>
      <c r="M1539" s="29" t="str">
        <f aca="false">IF($C1539="","",YEAR($C1539))</f>
        <v/>
      </c>
      <c r="N1539" s="24"/>
      <c r="O1539" s="35" t="str">
        <f aca="false">IF($C1539="","",IF($D1539="","★没选客户项目",IF(COUNTIF(合同键,$D1539)=0,"★《维保合同》里没这个项目",IF(N($G1539)&lt;=0,"★收款金额要填",IF($H1539="","★票据类型要选",IF(AND($L1539&lt;&gt;"",COUNTIF(应收单号,$L1539)=0),"★关联的应收单号不存在",IF(AND($L1539&lt;&gt;"",IFERROR(INDEX(应收键,MATCH($L1539,应收单号,0)),"")&lt;&gt;$D1539),"★关联单号不是这个客户的",IF(AND($L1539&lt;&gt;"",ROUND(SUMIF(收款关联,$L1539,收款金额)-IFERROR(INDEX(应收金额,MATCH($L1539,应收单号,0)),0),2)&gt;0.001),"★指定冲销超过那张单的应收","OK"))))))))</f>
        <v/>
      </c>
    </row>
    <row r="1540" customFormat="false" ht="15" hidden="false" customHeight="false" outlineLevel="0" collapsed="false">
      <c r="A1540" s="29" t="str">
        <f aca="false">IF($C1540="","",ROW()-4)</f>
        <v/>
      </c>
      <c r="B1540" s="35" t="str">
        <f aca="false">IF($C1540="","","SK"&amp;TEXT($C1540,"yyyymm")&amp;"-"&amp;TEXT(ROW()-4,"0000"))</f>
        <v/>
      </c>
      <c r="C1540" s="33"/>
      <c r="D1540" s="24"/>
      <c r="E1540" s="30" t="str">
        <f aca="false">IF($D1540="","",IFERROR(INDEX(合同单位,MATCH($D1540,合同键,0)),IFERROR(TRIM(LEFT($D1540,FIND("｜",$D1540)-1)),$D1540)))</f>
        <v/>
      </c>
      <c r="F1540" s="30" t="str">
        <f aca="false">IF($D1540="","",IFERROR(INDEX(合同项目,MATCH($D1540,合同键,0)),IFERROR(TRIM(MID($D1540,FIND("｜",$D1540)+1,99)),"")))</f>
        <v/>
      </c>
      <c r="G1540" s="39"/>
      <c r="H1540" s="25"/>
      <c r="I1540" s="35" t="str">
        <f aca="false">IF($H1540="","",IFERROR(INDEX(票据归类表,MATCH($H1540,票据类型表,0)),"现金无票"))</f>
        <v/>
      </c>
      <c r="J1540" s="25"/>
      <c r="K1540" s="25"/>
      <c r="L1540" s="31"/>
      <c r="M1540" s="29" t="str">
        <f aca="false">IF($C1540="","",YEAR($C1540))</f>
        <v/>
      </c>
      <c r="N1540" s="24"/>
      <c r="O1540" s="35" t="str">
        <f aca="false">IF($C1540="","",IF($D1540="","★没选客户项目",IF(COUNTIF(合同键,$D1540)=0,"★《维保合同》里没这个项目",IF(N($G1540)&lt;=0,"★收款金额要填",IF($H1540="","★票据类型要选",IF(AND($L1540&lt;&gt;"",COUNTIF(应收单号,$L1540)=0),"★关联的应收单号不存在",IF(AND($L1540&lt;&gt;"",IFERROR(INDEX(应收键,MATCH($L1540,应收单号,0)),"")&lt;&gt;$D1540),"★关联单号不是这个客户的",IF(AND($L1540&lt;&gt;"",ROUND(SUMIF(收款关联,$L1540,收款金额)-IFERROR(INDEX(应收金额,MATCH($L1540,应收单号,0)),0),2)&gt;0.001),"★指定冲销超过那张单的应收","OK"))))))))</f>
        <v/>
      </c>
    </row>
    <row r="1541" customFormat="false" ht="15" hidden="false" customHeight="false" outlineLevel="0" collapsed="false">
      <c r="A1541" s="29" t="str">
        <f aca="false">IF($C1541="","",ROW()-4)</f>
        <v/>
      </c>
      <c r="B1541" s="35" t="str">
        <f aca="false">IF($C1541="","","SK"&amp;TEXT($C1541,"yyyymm")&amp;"-"&amp;TEXT(ROW()-4,"0000"))</f>
        <v/>
      </c>
      <c r="C1541" s="33"/>
      <c r="D1541" s="24"/>
      <c r="E1541" s="30" t="str">
        <f aca="false">IF($D1541="","",IFERROR(INDEX(合同单位,MATCH($D1541,合同键,0)),IFERROR(TRIM(LEFT($D1541,FIND("｜",$D1541)-1)),$D1541)))</f>
        <v/>
      </c>
      <c r="F1541" s="30" t="str">
        <f aca="false">IF($D1541="","",IFERROR(INDEX(合同项目,MATCH($D1541,合同键,0)),IFERROR(TRIM(MID($D1541,FIND("｜",$D1541)+1,99)),"")))</f>
        <v/>
      </c>
      <c r="G1541" s="39"/>
      <c r="H1541" s="25"/>
      <c r="I1541" s="35" t="str">
        <f aca="false">IF($H1541="","",IFERROR(INDEX(票据归类表,MATCH($H1541,票据类型表,0)),"现金无票"))</f>
        <v/>
      </c>
      <c r="J1541" s="25"/>
      <c r="K1541" s="25"/>
      <c r="L1541" s="31"/>
      <c r="M1541" s="29" t="str">
        <f aca="false">IF($C1541="","",YEAR($C1541))</f>
        <v/>
      </c>
      <c r="N1541" s="24"/>
      <c r="O1541" s="35" t="str">
        <f aca="false">IF($C1541="","",IF($D1541="","★没选客户项目",IF(COUNTIF(合同键,$D1541)=0,"★《维保合同》里没这个项目",IF(N($G1541)&lt;=0,"★收款金额要填",IF($H1541="","★票据类型要选",IF(AND($L1541&lt;&gt;"",COUNTIF(应收单号,$L1541)=0),"★关联的应收单号不存在",IF(AND($L1541&lt;&gt;"",IFERROR(INDEX(应收键,MATCH($L1541,应收单号,0)),"")&lt;&gt;$D1541),"★关联单号不是这个客户的",IF(AND($L1541&lt;&gt;"",ROUND(SUMIF(收款关联,$L1541,收款金额)-IFERROR(INDEX(应收金额,MATCH($L1541,应收单号,0)),0),2)&gt;0.001),"★指定冲销超过那张单的应收","OK"))))))))</f>
        <v/>
      </c>
    </row>
    <row r="1542" customFormat="false" ht="15" hidden="false" customHeight="false" outlineLevel="0" collapsed="false">
      <c r="A1542" s="29" t="str">
        <f aca="false">IF($C1542="","",ROW()-4)</f>
        <v/>
      </c>
      <c r="B1542" s="35" t="str">
        <f aca="false">IF($C1542="","","SK"&amp;TEXT($C1542,"yyyymm")&amp;"-"&amp;TEXT(ROW()-4,"0000"))</f>
        <v/>
      </c>
      <c r="C1542" s="33"/>
      <c r="D1542" s="24"/>
      <c r="E1542" s="30" t="str">
        <f aca="false">IF($D1542="","",IFERROR(INDEX(合同单位,MATCH($D1542,合同键,0)),IFERROR(TRIM(LEFT($D1542,FIND("｜",$D1542)-1)),$D1542)))</f>
        <v/>
      </c>
      <c r="F1542" s="30" t="str">
        <f aca="false">IF($D1542="","",IFERROR(INDEX(合同项目,MATCH($D1542,合同键,0)),IFERROR(TRIM(MID($D1542,FIND("｜",$D1542)+1,99)),"")))</f>
        <v/>
      </c>
      <c r="G1542" s="39"/>
      <c r="H1542" s="25"/>
      <c r="I1542" s="35" t="str">
        <f aca="false">IF($H1542="","",IFERROR(INDEX(票据归类表,MATCH($H1542,票据类型表,0)),"现金无票"))</f>
        <v/>
      </c>
      <c r="J1542" s="25"/>
      <c r="K1542" s="25"/>
      <c r="L1542" s="31"/>
      <c r="M1542" s="29" t="str">
        <f aca="false">IF($C1542="","",YEAR($C1542))</f>
        <v/>
      </c>
      <c r="N1542" s="24"/>
      <c r="O1542" s="35" t="str">
        <f aca="false">IF($C1542="","",IF($D1542="","★没选客户项目",IF(COUNTIF(合同键,$D1542)=0,"★《维保合同》里没这个项目",IF(N($G1542)&lt;=0,"★收款金额要填",IF($H1542="","★票据类型要选",IF(AND($L1542&lt;&gt;"",COUNTIF(应收单号,$L1542)=0),"★关联的应收单号不存在",IF(AND($L1542&lt;&gt;"",IFERROR(INDEX(应收键,MATCH($L1542,应收单号,0)),"")&lt;&gt;$D1542),"★关联单号不是这个客户的",IF(AND($L1542&lt;&gt;"",ROUND(SUMIF(收款关联,$L1542,收款金额)-IFERROR(INDEX(应收金额,MATCH($L1542,应收单号,0)),0),2)&gt;0.001),"★指定冲销超过那张单的应收","OK"))))))))</f>
        <v/>
      </c>
    </row>
    <row r="1543" customFormat="false" ht="15" hidden="false" customHeight="false" outlineLevel="0" collapsed="false">
      <c r="A1543" s="29" t="str">
        <f aca="false">IF($C1543="","",ROW()-4)</f>
        <v/>
      </c>
      <c r="B1543" s="35" t="str">
        <f aca="false">IF($C1543="","","SK"&amp;TEXT($C1543,"yyyymm")&amp;"-"&amp;TEXT(ROW()-4,"0000"))</f>
        <v/>
      </c>
      <c r="C1543" s="33"/>
      <c r="D1543" s="24"/>
      <c r="E1543" s="30" t="str">
        <f aca="false">IF($D1543="","",IFERROR(INDEX(合同单位,MATCH($D1543,合同键,0)),IFERROR(TRIM(LEFT($D1543,FIND("｜",$D1543)-1)),$D1543)))</f>
        <v/>
      </c>
      <c r="F1543" s="30" t="str">
        <f aca="false">IF($D1543="","",IFERROR(INDEX(合同项目,MATCH($D1543,合同键,0)),IFERROR(TRIM(MID($D1543,FIND("｜",$D1543)+1,99)),"")))</f>
        <v/>
      </c>
      <c r="G1543" s="39"/>
      <c r="H1543" s="25"/>
      <c r="I1543" s="35" t="str">
        <f aca="false">IF($H1543="","",IFERROR(INDEX(票据归类表,MATCH($H1543,票据类型表,0)),"现金无票"))</f>
        <v/>
      </c>
      <c r="J1543" s="25"/>
      <c r="K1543" s="25"/>
      <c r="L1543" s="31"/>
      <c r="M1543" s="29" t="str">
        <f aca="false">IF($C1543="","",YEAR($C1543))</f>
        <v/>
      </c>
      <c r="N1543" s="24"/>
      <c r="O1543" s="35" t="str">
        <f aca="false">IF($C1543="","",IF($D1543="","★没选客户项目",IF(COUNTIF(合同键,$D1543)=0,"★《维保合同》里没这个项目",IF(N($G1543)&lt;=0,"★收款金额要填",IF($H1543="","★票据类型要选",IF(AND($L1543&lt;&gt;"",COUNTIF(应收单号,$L1543)=0),"★关联的应收单号不存在",IF(AND($L1543&lt;&gt;"",IFERROR(INDEX(应收键,MATCH($L1543,应收单号,0)),"")&lt;&gt;$D1543),"★关联单号不是这个客户的",IF(AND($L1543&lt;&gt;"",ROUND(SUMIF(收款关联,$L1543,收款金额)-IFERROR(INDEX(应收金额,MATCH($L1543,应收单号,0)),0),2)&gt;0.001),"★指定冲销超过那张单的应收","OK"))))))))</f>
        <v/>
      </c>
    </row>
    <row r="1544" customFormat="false" ht="15" hidden="false" customHeight="false" outlineLevel="0" collapsed="false">
      <c r="A1544" s="29" t="str">
        <f aca="false">IF($C1544="","",ROW()-4)</f>
        <v/>
      </c>
      <c r="B1544" s="35" t="str">
        <f aca="false">IF($C1544="","","SK"&amp;TEXT($C1544,"yyyymm")&amp;"-"&amp;TEXT(ROW()-4,"0000"))</f>
        <v/>
      </c>
      <c r="C1544" s="33"/>
      <c r="D1544" s="24"/>
      <c r="E1544" s="30" t="str">
        <f aca="false">IF($D1544="","",IFERROR(INDEX(合同单位,MATCH($D1544,合同键,0)),IFERROR(TRIM(LEFT($D1544,FIND("｜",$D1544)-1)),$D1544)))</f>
        <v/>
      </c>
      <c r="F1544" s="30" t="str">
        <f aca="false">IF($D1544="","",IFERROR(INDEX(合同项目,MATCH($D1544,合同键,0)),IFERROR(TRIM(MID($D1544,FIND("｜",$D1544)+1,99)),"")))</f>
        <v/>
      </c>
      <c r="G1544" s="39"/>
      <c r="H1544" s="25"/>
      <c r="I1544" s="35" t="str">
        <f aca="false">IF($H1544="","",IFERROR(INDEX(票据归类表,MATCH($H1544,票据类型表,0)),"现金无票"))</f>
        <v/>
      </c>
      <c r="J1544" s="25"/>
      <c r="K1544" s="25"/>
      <c r="L1544" s="31"/>
      <c r="M1544" s="29" t="str">
        <f aca="false">IF($C1544="","",YEAR($C1544))</f>
        <v/>
      </c>
      <c r="N1544" s="24"/>
      <c r="O1544" s="35" t="str">
        <f aca="false">IF($C1544="","",IF($D1544="","★没选客户项目",IF(COUNTIF(合同键,$D1544)=0,"★《维保合同》里没这个项目",IF(N($G1544)&lt;=0,"★收款金额要填",IF($H1544="","★票据类型要选",IF(AND($L1544&lt;&gt;"",COUNTIF(应收单号,$L1544)=0),"★关联的应收单号不存在",IF(AND($L1544&lt;&gt;"",IFERROR(INDEX(应收键,MATCH($L1544,应收单号,0)),"")&lt;&gt;$D1544),"★关联单号不是这个客户的",IF(AND($L1544&lt;&gt;"",ROUND(SUMIF(收款关联,$L1544,收款金额)-IFERROR(INDEX(应收金额,MATCH($L1544,应收单号,0)),0),2)&gt;0.001),"★指定冲销超过那张单的应收","OK"))))))))</f>
        <v/>
      </c>
    </row>
    <row r="1545" customFormat="false" ht="15" hidden="false" customHeight="false" outlineLevel="0" collapsed="false">
      <c r="A1545" s="29" t="str">
        <f aca="false">IF($C1545="","",ROW()-4)</f>
        <v/>
      </c>
      <c r="B1545" s="35" t="str">
        <f aca="false">IF($C1545="","","SK"&amp;TEXT($C1545,"yyyymm")&amp;"-"&amp;TEXT(ROW()-4,"0000"))</f>
        <v/>
      </c>
      <c r="C1545" s="33"/>
      <c r="D1545" s="24"/>
      <c r="E1545" s="30" t="str">
        <f aca="false">IF($D1545="","",IFERROR(INDEX(合同单位,MATCH($D1545,合同键,0)),IFERROR(TRIM(LEFT($D1545,FIND("｜",$D1545)-1)),$D1545)))</f>
        <v/>
      </c>
      <c r="F1545" s="30" t="str">
        <f aca="false">IF($D1545="","",IFERROR(INDEX(合同项目,MATCH($D1545,合同键,0)),IFERROR(TRIM(MID($D1545,FIND("｜",$D1545)+1,99)),"")))</f>
        <v/>
      </c>
      <c r="G1545" s="39"/>
      <c r="H1545" s="25"/>
      <c r="I1545" s="35" t="str">
        <f aca="false">IF($H1545="","",IFERROR(INDEX(票据归类表,MATCH($H1545,票据类型表,0)),"现金无票"))</f>
        <v/>
      </c>
      <c r="J1545" s="25"/>
      <c r="K1545" s="25"/>
      <c r="L1545" s="31"/>
      <c r="M1545" s="29" t="str">
        <f aca="false">IF($C1545="","",YEAR($C1545))</f>
        <v/>
      </c>
      <c r="N1545" s="24"/>
      <c r="O1545" s="35" t="str">
        <f aca="false">IF($C1545="","",IF($D1545="","★没选客户项目",IF(COUNTIF(合同键,$D1545)=0,"★《维保合同》里没这个项目",IF(N($G1545)&lt;=0,"★收款金额要填",IF($H1545="","★票据类型要选",IF(AND($L1545&lt;&gt;"",COUNTIF(应收单号,$L1545)=0),"★关联的应收单号不存在",IF(AND($L1545&lt;&gt;"",IFERROR(INDEX(应收键,MATCH($L1545,应收单号,0)),"")&lt;&gt;$D1545),"★关联单号不是这个客户的",IF(AND($L1545&lt;&gt;"",ROUND(SUMIF(收款关联,$L1545,收款金额)-IFERROR(INDEX(应收金额,MATCH($L1545,应收单号,0)),0),2)&gt;0.001),"★指定冲销超过那张单的应收","OK"))))))))</f>
        <v/>
      </c>
    </row>
    <row r="1546" customFormat="false" ht="15" hidden="false" customHeight="false" outlineLevel="0" collapsed="false">
      <c r="A1546" s="29" t="str">
        <f aca="false">IF($C1546="","",ROW()-4)</f>
        <v/>
      </c>
      <c r="B1546" s="35" t="str">
        <f aca="false">IF($C1546="","","SK"&amp;TEXT($C1546,"yyyymm")&amp;"-"&amp;TEXT(ROW()-4,"0000"))</f>
        <v/>
      </c>
      <c r="C1546" s="33"/>
      <c r="D1546" s="24"/>
      <c r="E1546" s="30" t="str">
        <f aca="false">IF($D1546="","",IFERROR(INDEX(合同单位,MATCH($D1546,合同键,0)),IFERROR(TRIM(LEFT($D1546,FIND("｜",$D1546)-1)),$D1546)))</f>
        <v/>
      </c>
      <c r="F1546" s="30" t="str">
        <f aca="false">IF($D1546="","",IFERROR(INDEX(合同项目,MATCH($D1546,合同键,0)),IFERROR(TRIM(MID($D1546,FIND("｜",$D1546)+1,99)),"")))</f>
        <v/>
      </c>
      <c r="G1546" s="39"/>
      <c r="H1546" s="25"/>
      <c r="I1546" s="35" t="str">
        <f aca="false">IF($H1546="","",IFERROR(INDEX(票据归类表,MATCH($H1546,票据类型表,0)),"现金无票"))</f>
        <v/>
      </c>
      <c r="J1546" s="25"/>
      <c r="K1546" s="25"/>
      <c r="L1546" s="31"/>
      <c r="M1546" s="29" t="str">
        <f aca="false">IF($C1546="","",YEAR($C1546))</f>
        <v/>
      </c>
      <c r="N1546" s="24"/>
      <c r="O1546" s="35" t="str">
        <f aca="false">IF($C1546="","",IF($D1546="","★没选客户项目",IF(COUNTIF(合同键,$D1546)=0,"★《维保合同》里没这个项目",IF(N($G1546)&lt;=0,"★收款金额要填",IF($H1546="","★票据类型要选",IF(AND($L1546&lt;&gt;"",COUNTIF(应收单号,$L1546)=0),"★关联的应收单号不存在",IF(AND($L1546&lt;&gt;"",IFERROR(INDEX(应收键,MATCH($L1546,应收单号,0)),"")&lt;&gt;$D1546),"★关联单号不是这个客户的",IF(AND($L1546&lt;&gt;"",ROUND(SUMIF(收款关联,$L1546,收款金额)-IFERROR(INDEX(应收金额,MATCH($L1546,应收单号,0)),0),2)&gt;0.001),"★指定冲销超过那张单的应收","OK"))))))))</f>
        <v/>
      </c>
    </row>
    <row r="1547" customFormat="false" ht="15" hidden="false" customHeight="false" outlineLevel="0" collapsed="false">
      <c r="A1547" s="29" t="str">
        <f aca="false">IF($C1547="","",ROW()-4)</f>
        <v/>
      </c>
      <c r="B1547" s="35" t="str">
        <f aca="false">IF($C1547="","","SK"&amp;TEXT($C1547,"yyyymm")&amp;"-"&amp;TEXT(ROW()-4,"0000"))</f>
        <v/>
      </c>
      <c r="C1547" s="33"/>
      <c r="D1547" s="24"/>
      <c r="E1547" s="30" t="str">
        <f aca="false">IF($D1547="","",IFERROR(INDEX(合同单位,MATCH($D1547,合同键,0)),IFERROR(TRIM(LEFT($D1547,FIND("｜",$D1547)-1)),$D1547)))</f>
        <v/>
      </c>
      <c r="F1547" s="30" t="str">
        <f aca="false">IF($D1547="","",IFERROR(INDEX(合同项目,MATCH($D1547,合同键,0)),IFERROR(TRIM(MID($D1547,FIND("｜",$D1547)+1,99)),"")))</f>
        <v/>
      </c>
      <c r="G1547" s="39"/>
      <c r="H1547" s="25"/>
      <c r="I1547" s="35" t="str">
        <f aca="false">IF($H1547="","",IFERROR(INDEX(票据归类表,MATCH($H1547,票据类型表,0)),"现金无票"))</f>
        <v/>
      </c>
      <c r="J1547" s="25"/>
      <c r="K1547" s="25"/>
      <c r="L1547" s="31"/>
      <c r="M1547" s="29" t="str">
        <f aca="false">IF($C1547="","",YEAR($C1547))</f>
        <v/>
      </c>
      <c r="N1547" s="24"/>
      <c r="O1547" s="35" t="str">
        <f aca="false">IF($C1547="","",IF($D1547="","★没选客户项目",IF(COUNTIF(合同键,$D1547)=0,"★《维保合同》里没这个项目",IF(N($G1547)&lt;=0,"★收款金额要填",IF($H1547="","★票据类型要选",IF(AND($L1547&lt;&gt;"",COUNTIF(应收单号,$L1547)=0),"★关联的应收单号不存在",IF(AND($L1547&lt;&gt;"",IFERROR(INDEX(应收键,MATCH($L1547,应收单号,0)),"")&lt;&gt;$D1547),"★关联单号不是这个客户的",IF(AND($L1547&lt;&gt;"",ROUND(SUMIF(收款关联,$L1547,收款金额)-IFERROR(INDEX(应收金额,MATCH($L1547,应收单号,0)),0),2)&gt;0.001),"★指定冲销超过那张单的应收","OK"))))))))</f>
        <v/>
      </c>
    </row>
    <row r="1548" customFormat="false" ht="15" hidden="false" customHeight="false" outlineLevel="0" collapsed="false">
      <c r="A1548" s="29" t="str">
        <f aca="false">IF($C1548="","",ROW()-4)</f>
        <v/>
      </c>
      <c r="B1548" s="35" t="str">
        <f aca="false">IF($C1548="","","SK"&amp;TEXT($C1548,"yyyymm")&amp;"-"&amp;TEXT(ROW()-4,"0000"))</f>
        <v/>
      </c>
      <c r="C1548" s="33"/>
      <c r="D1548" s="24"/>
      <c r="E1548" s="30" t="str">
        <f aca="false">IF($D1548="","",IFERROR(INDEX(合同单位,MATCH($D1548,合同键,0)),IFERROR(TRIM(LEFT($D1548,FIND("｜",$D1548)-1)),$D1548)))</f>
        <v/>
      </c>
      <c r="F1548" s="30" t="str">
        <f aca="false">IF($D1548="","",IFERROR(INDEX(合同项目,MATCH($D1548,合同键,0)),IFERROR(TRIM(MID($D1548,FIND("｜",$D1548)+1,99)),"")))</f>
        <v/>
      </c>
      <c r="G1548" s="39"/>
      <c r="H1548" s="25"/>
      <c r="I1548" s="35" t="str">
        <f aca="false">IF($H1548="","",IFERROR(INDEX(票据归类表,MATCH($H1548,票据类型表,0)),"现金无票"))</f>
        <v/>
      </c>
      <c r="J1548" s="25"/>
      <c r="K1548" s="25"/>
      <c r="L1548" s="31"/>
      <c r="M1548" s="29" t="str">
        <f aca="false">IF($C1548="","",YEAR($C1548))</f>
        <v/>
      </c>
      <c r="N1548" s="24"/>
      <c r="O1548" s="35" t="str">
        <f aca="false">IF($C1548="","",IF($D1548="","★没选客户项目",IF(COUNTIF(合同键,$D1548)=0,"★《维保合同》里没这个项目",IF(N($G1548)&lt;=0,"★收款金额要填",IF($H1548="","★票据类型要选",IF(AND($L1548&lt;&gt;"",COUNTIF(应收单号,$L1548)=0),"★关联的应收单号不存在",IF(AND($L1548&lt;&gt;"",IFERROR(INDEX(应收键,MATCH($L1548,应收单号,0)),"")&lt;&gt;$D1548),"★关联单号不是这个客户的",IF(AND($L1548&lt;&gt;"",ROUND(SUMIF(收款关联,$L1548,收款金额)-IFERROR(INDEX(应收金额,MATCH($L1548,应收单号,0)),0),2)&gt;0.001),"★指定冲销超过那张单的应收","OK"))))))))</f>
        <v/>
      </c>
    </row>
    <row r="1549" customFormat="false" ht="15" hidden="false" customHeight="false" outlineLevel="0" collapsed="false">
      <c r="A1549" s="29" t="str">
        <f aca="false">IF($C1549="","",ROW()-4)</f>
        <v/>
      </c>
      <c r="B1549" s="35" t="str">
        <f aca="false">IF($C1549="","","SK"&amp;TEXT($C1549,"yyyymm")&amp;"-"&amp;TEXT(ROW()-4,"0000"))</f>
        <v/>
      </c>
      <c r="C1549" s="33"/>
      <c r="D1549" s="24"/>
      <c r="E1549" s="30" t="str">
        <f aca="false">IF($D1549="","",IFERROR(INDEX(合同单位,MATCH($D1549,合同键,0)),IFERROR(TRIM(LEFT($D1549,FIND("｜",$D1549)-1)),$D1549)))</f>
        <v/>
      </c>
      <c r="F1549" s="30" t="str">
        <f aca="false">IF($D1549="","",IFERROR(INDEX(合同项目,MATCH($D1549,合同键,0)),IFERROR(TRIM(MID($D1549,FIND("｜",$D1549)+1,99)),"")))</f>
        <v/>
      </c>
      <c r="G1549" s="39"/>
      <c r="H1549" s="25"/>
      <c r="I1549" s="35" t="str">
        <f aca="false">IF($H1549="","",IFERROR(INDEX(票据归类表,MATCH($H1549,票据类型表,0)),"现金无票"))</f>
        <v/>
      </c>
      <c r="J1549" s="25"/>
      <c r="K1549" s="25"/>
      <c r="L1549" s="31"/>
      <c r="M1549" s="29" t="str">
        <f aca="false">IF($C1549="","",YEAR($C1549))</f>
        <v/>
      </c>
      <c r="N1549" s="24"/>
      <c r="O1549" s="35" t="str">
        <f aca="false">IF($C1549="","",IF($D1549="","★没选客户项目",IF(COUNTIF(合同键,$D1549)=0,"★《维保合同》里没这个项目",IF(N($G1549)&lt;=0,"★收款金额要填",IF($H1549="","★票据类型要选",IF(AND($L1549&lt;&gt;"",COUNTIF(应收单号,$L1549)=0),"★关联的应收单号不存在",IF(AND($L1549&lt;&gt;"",IFERROR(INDEX(应收键,MATCH($L1549,应收单号,0)),"")&lt;&gt;$D1549),"★关联单号不是这个客户的",IF(AND($L1549&lt;&gt;"",ROUND(SUMIF(收款关联,$L1549,收款金额)-IFERROR(INDEX(应收金额,MATCH($L1549,应收单号,0)),0),2)&gt;0.001),"★指定冲销超过那张单的应收","OK"))))))))</f>
        <v/>
      </c>
    </row>
    <row r="1550" customFormat="false" ht="15" hidden="false" customHeight="false" outlineLevel="0" collapsed="false">
      <c r="A1550" s="29" t="str">
        <f aca="false">IF($C1550="","",ROW()-4)</f>
        <v/>
      </c>
      <c r="B1550" s="35" t="str">
        <f aca="false">IF($C1550="","","SK"&amp;TEXT($C1550,"yyyymm")&amp;"-"&amp;TEXT(ROW()-4,"0000"))</f>
        <v/>
      </c>
      <c r="C1550" s="33"/>
      <c r="D1550" s="24"/>
      <c r="E1550" s="30" t="str">
        <f aca="false">IF($D1550="","",IFERROR(INDEX(合同单位,MATCH($D1550,合同键,0)),IFERROR(TRIM(LEFT($D1550,FIND("｜",$D1550)-1)),$D1550)))</f>
        <v/>
      </c>
      <c r="F1550" s="30" t="str">
        <f aca="false">IF($D1550="","",IFERROR(INDEX(合同项目,MATCH($D1550,合同键,0)),IFERROR(TRIM(MID($D1550,FIND("｜",$D1550)+1,99)),"")))</f>
        <v/>
      </c>
      <c r="G1550" s="39"/>
      <c r="H1550" s="25"/>
      <c r="I1550" s="35" t="str">
        <f aca="false">IF($H1550="","",IFERROR(INDEX(票据归类表,MATCH($H1550,票据类型表,0)),"现金无票"))</f>
        <v/>
      </c>
      <c r="J1550" s="25"/>
      <c r="K1550" s="25"/>
      <c r="L1550" s="31"/>
      <c r="M1550" s="29" t="str">
        <f aca="false">IF($C1550="","",YEAR($C1550))</f>
        <v/>
      </c>
      <c r="N1550" s="24"/>
      <c r="O1550" s="35" t="str">
        <f aca="false">IF($C1550="","",IF($D1550="","★没选客户项目",IF(COUNTIF(合同键,$D1550)=0,"★《维保合同》里没这个项目",IF(N($G1550)&lt;=0,"★收款金额要填",IF($H1550="","★票据类型要选",IF(AND($L1550&lt;&gt;"",COUNTIF(应收单号,$L1550)=0),"★关联的应收单号不存在",IF(AND($L1550&lt;&gt;"",IFERROR(INDEX(应收键,MATCH($L1550,应收单号,0)),"")&lt;&gt;$D1550),"★关联单号不是这个客户的",IF(AND($L1550&lt;&gt;"",ROUND(SUMIF(收款关联,$L1550,收款金额)-IFERROR(INDEX(应收金额,MATCH($L1550,应收单号,0)),0),2)&gt;0.001),"★指定冲销超过那张单的应收","OK"))))))))</f>
        <v/>
      </c>
    </row>
    <row r="1551" customFormat="false" ht="15" hidden="false" customHeight="false" outlineLevel="0" collapsed="false">
      <c r="A1551" s="29" t="str">
        <f aca="false">IF($C1551="","",ROW()-4)</f>
        <v/>
      </c>
      <c r="B1551" s="35" t="str">
        <f aca="false">IF($C1551="","","SK"&amp;TEXT($C1551,"yyyymm")&amp;"-"&amp;TEXT(ROW()-4,"0000"))</f>
        <v/>
      </c>
      <c r="C1551" s="33"/>
      <c r="D1551" s="24"/>
      <c r="E1551" s="30" t="str">
        <f aca="false">IF($D1551="","",IFERROR(INDEX(合同单位,MATCH($D1551,合同键,0)),IFERROR(TRIM(LEFT($D1551,FIND("｜",$D1551)-1)),$D1551)))</f>
        <v/>
      </c>
      <c r="F1551" s="30" t="str">
        <f aca="false">IF($D1551="","",IFERROR(INDEX(合同项目,MATCH($D1551,合同键,0)),IFERROR(TRIM(MID($D1551,FIND("｜",$D1551)+1,99)),"")))</f>
        <v/>
      </c>
      <c r="G1551" s="39"/>
      <c r="H1551" s="25"/>
      <c r="I1551" s="35" t="str">
        <f aca="false">IF($H1551="","",IFERROR(INDEX(票据归类表,MATCH($H1551,票据类型表,0)),"现金无票"))</f>
        <v/>
      </c>
      <c r="J1551" s="25"/>
      <c r="K1551" s="25"/>
      <c r="L1551" s="31"/>
      <c r="M1551" s="29" t="str">
        <f aca="false">IF($C1551="","",YEAR($C1551))</f>
        <v/>
      </c>
      <c r="N1551" s="24"/>
      <c r="O1551" s="35" t="str">
        <f aca="false">IF($C1551="","",IF($D1551="","★没选客户项目",IF(COUNTIF(合同键,$D1551)=0,"★《维保合同》里没这个项目",IF(N($G1551)&lt;=0,"★收款金额要填",IF($H1551="","★票据类型要选",IF(AND($L1551&lt;&gt;"",COUNTIF(应收单号,$L1551)=0),"★关联的应收单号不存在",IF(AND($L1551&lt;&gt;"",IFERROR(INDEX(应收键,MATCH($L1551,应收单号,0)),"")&lt;&gt;$D1551),"★关联单号不是这个客户的",IF(AND($L1551&lt;&gt;"",ROUND(SUMIF(收款关联,$L1551,收款金额)-IFERROR(INDEX(应收金额,MATCH($L1551,应收单号,0)),0),2)&gt;0.001),"★指定冲销超过那张单的应收","OK"))))))))</f>
        <v/>
      </c>
    </row>
    <row r="1552" customFormat="false" ht="15" hidden="false" customHeight="false" outlineLevel="0" collapsed="false">
      <c r="A1552" s="29" t="str">
        <f aca="false">IF($C1552="","",ROW()-4)</f>
        <v/>
      </c>
      <c r="B1552" s="35" t="str">
        <f aca="false">IF($C1552="","","SK"&amp;TEXT($C1552,"yyyymm")&amp;"-"&amp;TEXT(ROW()-4,"0000"))</f>
        <v/>
      </c>
      <c r="C1552" s="33"/>
      <c r="D1552" s="24"/>
      <c r="E1552" s="30" t="str">
        <f aca="false">IF($D1552="","",IFERROR(INDEX(合同单位,MATCH($D1552,合同键,0)),IFERROR(TRIM(LEFT($D1552,FIND("｜",$D1552)-1)),$D1552)))</f>
        <v/>
      </c>
      <c r="F1552" s="30" t="str">
        <f aca="false">IF($D1552="","",IFERROR(INDEX(合同项目,MATCH($D1552,合同键,0)),IFERROR(TRIM(MID($D1552,FIND("｜",$D1552)+1,99)),"")))</f>
        <v/>
      </c>
      <c r="G1552" s="39"/>
      <c r="H1552" s="25"/>
      <c r="I1552" s="35" t="str">
        <f aca="false">IF($H1552="","",IFERROR(INDEX(票据归类表,MATCH($H1552,票据类型表,0)),"现金无票"))</f>
        <v/>
      </c>
      <c r="J1552" s="25"/>
      <c r="K1552" s="25"/>
      <c r="L1552" s="31"/>
      <c r="M1552" s="29" t="str">
        <f aca="false">IF($C1552="","",YEAR($C1552))</f>
        <v/>
      </c>
      <c r="N1552" s="24"/>
      <c r="O1552" s="35" t="str">
        <f aca="false">IF($C1552="","",IF($D1552="","★没选客户项目",IF(COUNTIF(合同键,$D1552)=0,"★《维保合同》里没这个项目",IF(N($G1552)&lt;=0,"★收款金额要填",IF($H1552="","★票据类型要选",IF(AND($L1552&lt;&gt;"",COUNTIF(应收单号,$L1552)=0),"★关联的应收单号不存在",IF(AND($L1552&lt;&gt;"",IFERROR(INDEX(应收键,MATCH($L1552,应收单号,0)),"")&lt;&gt;$D1552),"★关联单号不是这个客户的",IF(AND($L1552&lt;&gt;"",ROUND(SUMIF(收款关联,$L1552,收款金额)-IFERROR(INDEX(应收金额,MATCH($L1552,应收单号,0)),0),2)&gt;0.001),"★指定冲销超过那张单的应收","OK"))))))))</f>
        <v/>
      </c>
    </row>
    <row r="1553" customFormat="false" ht="15" hidden="false" customHeight="false" outlineLevel="0" collapsed="false">
      <c r="A1553" s="29" t="str">
        <f aca="false">IF($C1553="","",ROW()-4)</f>
        <v/>
      </c>
      <c r="B1553" s="35" t="str">
        <f aca="false">IF($C1553="","","SK"&amp;TEXT($C1553,"yyyymm")&amp;"-"&amp;TEXT(ROW()-4,"0000"))</f>
        <v/>
      </c>
      <c r="C1553" s="33"/>
      <c r="D1553" s="24"/>
      <c r="E1553" s="30" t="str">
        <f aca="false">IF($D1553="","",IFERROR(INDEX(合同单位,MATCH($D1553,合同键,0)),IFERROR(TRIM(LEFT($D1553,FIND("｜",$D1553)-1)),$D1553)))</f>
        <v/>
      </c>
      <c r="F1553" s="30" t="str">
        <f aca="false">IF($D1553="","",IFERROR(INDEX(合同项目,MATCH($D1553,合同键,0)),IFERROR(TRIM(MID($D1553,FIND("｜",$D1553)+1,99)),"")))</f>
        <v/>
      </c>
      <c r="G1553" s="39"/>
      <c r="H1553" s="25"/>
      <c r="I1553" s="35" t="str">
        <f aca="false">IF($H1553="","",IFERROR(INDEX(票据归类表,MATCH($H1553,票据类型表,0)),"现金无票"))</f>
        <v/>
      </c>
      <c r="J1553" s="25"/>
      <c r="K1553" s="25"/>
      <c r="L1553" s="31"/>
      <c r="M1553" s="29" t="str">
        <f aca="false">IF($C1553="","",YEAR($C1553))</f>
        <v/>
      </c>
      <c r="N1553" s="24"/>
      <c r="O1553" s="35" t="str">
        <f aca="false">IF($C1553="","",IF($D1553="","★没选客户项目",IF(COUNTIF(合同键,$D1553)=0,"★《维保合同》里没这个项目",IF(N($G1553)&lt;=0,"★收款金额要填",IF($H1553="","★票据类型要选",IF(AND($L1553&lt;&gt;"",COUNTIF(应收单号,$L1553)=0),"★关联的应收单号不存在",IF(AND($L1553&lt;&gt;"",IFERROR(INDEX(应收键,MATCH($L1553,应收单号,0)),"")&lt;&gt;$D1553),"★关联单号不是这个客户的",IF(AND($L1553&lt;&gt;"",ROUND(SUMIF(收款关联,$L1553,收款金额)-IFERROR(INDEX(应收金额,MATCH($L1553,应收单号,0)),0),2)&gt;0.001),"★指定冲销超过那张单的应收","OK"))))))))</f>
        <v/>
      </c>
    </row>
    <row r="1554" customFormat="false" ht="15" hidden="false" customHeight="false" outlineLevel="0" collapsed="false">
      <c r="A1554" s="29" t="str">
        <f aca="false">IF($C1554="","",ROW()-4)</f>
        <v/>
      </c>
      <c r="B1554" s="35" t="str">
        <f aca="false">IF($C1554="","","SK"&amp;TEXT($C1554,"yyyymm")&amp;"-"&amp;TEXT(ROW()-4,"0000"))</f>
        <v/>
      </c>
      <c r="C1554" s="33"/>
      <c r="D1554" s="24"/>
      <c r="E1554" s="30" t="str">
        <f aca="false">IF($D1554="","",IFERROR(INDEX(合同单位,MATCH($D1554,合同键,0)),IFERROR(TRIM(LEFT($D1554,FIND("｜",$D1554)-1)),$D1554)))</f>
        <v/>
      </c>
      <c r="F1554" s="30" t="str">
        <f aca="false">IF($D1554="","",IFERROR(INDEX(合同项目,MATCH($D1554,合同键,0)),IFERROR(TRIM(MID($D1554,FIND("｜",$D1554)+1,99)),"")))</f>
        <v/>
      </c>
      <c r="G1554" s="39"/>
      <c r="H1554" s="25"/>
      <c r="I1554" s="35" t="str">
        <f aca="false">IF($H1554="","",IFERROR(INDEX(票据归类表,MATCH($H1554,票据类型表,0)),"现金无票"))</f>
        <v/>
      </c>
      <c r="J1554" s="25"/>
      <c r="K1554" s="25"/>
      <c r="L1554" s="31"/>
      <c r="M1554" s="29" t="str">
        <f aca="false">IF($C1554="","",YEAR($C1554))</f>
        <v/>
      </c>
      <c r="N1554" s="24"/>
      <c r="O1554" s="35" t="str">
        <f aca="false">IF($C1554="","",IF($D1554="","★没选客户项目",IF(COUNTIF(合同键,$D1554)=0,"★《维保合同》里没这个项目",IF(N($G1554)&lt;=0,"★收款金额要填",IF($H1554="","★票据类型要选",IF(AND($L1554&lt;&gt;"",COUNTIF(应收单号,$L1554)=0),"★关联的应收单号不存在",IF(AND($L1554&lt;&gt;"",IFERROR(INDEX(应收键,MATCH($L1554,应收单号,0)),"")&lt;&gt;$D1554),"★关联单号不是这个客户的",IF(AND($L1554&lt;&gt;"",ROUND(SUMIF(收款关联,$L1554,收款金额)-IFERROR(INDEX(应收金额,MATCH($L1554,应收单号,0)),0),2)&gt;0.001),"★指定冲销超过那张单的应收","OK"))))))))</f>
        <v/>
      </c>
    </row>
    <row r="1555" customFormat="false" ht="15" hidden="false" customHeight="false" outlineLevel="0" collapsed="false">
      <c r="A1555" s="29" t="str">
        <f aca="false">IF($C1555="","",ROW()-4)</f>
        <v/>
      </c>
      <c r="B1555" s="35" t="str">
        <f aca="false">IF($C1555="","","SK"&amp;TEXT($C1555,"yyyymm")&amp;"-"&amp;TEXT(ROW()-4,"0000"))</f>
        <v/>
      </c>
      <c r="C1555" s="33"/>
      <c r="D1555" s="24"/>
      <c r="E1555" s="30" t="str">
        <f aca="false">IF($D1555="","",IFERROR(INDEX(合同单位,MATCH($D1555,合同键,0)),IFERROR(TRIM(LEFT($D1555,FIND("｜",$D1555)-1)),$D1555)))</f>
        <v/>
      </c>
      <c r="F1555" s="30" t="str">
        <f aca="false">IF($D1555="","",IFERROR(INDEX(合同项目,MATCH($D1555,合同键,0)),IFERROR(TRIM(MID($D1555,FIND("｜",$D1555)+1,99)),"")))</f>
        <v/>
      </c>
      <c r="G1555" s="39"/>
      <c r="H1555" s="25"/>
      <c r="I1555" s="35" t="str">
        <f aca="false">IF($H1555="","",IFERROR(INDEX(票据归类表,MATCH($H1555,票据类型表,0)),"现金无票"))</f>
        <v/>
      </c>
      <c r="J1555" s="25"/>
      <c r="K1555" s="25"/>
      <c r="L1555" s="31"/>
      <c r="M1555" s="29" t="str">
        <f aca="false">IF($C1555="","",YEAR($C1555))</f>
        <v/>
      </c>
      <c r="N1555" s="24"/>
      <c r="O1555" s="35" t="str">
        <f aca="false">IF($C1555="","",IF($D1555="","★没选客户项目",IF(COUNTIF(合同键,$D1555)=0,"★《维保合同》里没这个项目",IF(N($G1555)&lt;=0,"★收款金额要填",IF($H1555="","★票据类型要选",IF(AND($L1555&lt;&gt;"",COUNTIF(应收单号,$L1555)=0),"★关联的应收单号不存在",IF(AND($L1555&lt;&gt;"",IFERROR(INDEX(应收键,MATCH($L1555,应收单号,0)),"")&lt;&gt;$D1555),"★关联单号不是这个客户的",IF(AND($L1555&lt;&gt;"",ROUND(SUMIF(收款关联,$L1555,收款金额)-IFERROR(INDEX(应收金额,MATCH($L1555,应收单号,0)),0),2)&gt;0.001),"★指定冲销超过那张单的应收","OK"))))))))</f>
        <v/>
      </c>
    </row>
    <row r="1556" customFormat="false" ht="15" hidden="false" customHeight="false" outlineLevel="0" collapsed="false">
      <c r="A1556" s="29" t="str">
        <f aca="false">IF($C1556="","",ROW()-4)</f>
        <v/>
      </c>
      <c r="B1556" s="35" t="str">
        <f aca="false">IF($C1556="","","SK"&amp;TEXT($C1556,"yyyymm")&amp;"-"&amp;TEXT(ROW()-4,"0000"))</f>
        <v/>
      </c>
      <c r="C1556" s="33"/>
      <c r="D1556" s="24"/>
      <c r="E1556" s="30" t="str">
        <f aca="false">IF($D1556="","",IFERROR(INDEX(合同单位,MATCH($D1556,合同键,0)),IFERROR(TRIM(LEFT($D1556,FIND("｜",$D1556)-1)),$D1556)))</f>
        <v/>
      </c>
      <c r="F1556" s="30" t="str">
        <f aca="false">IF($D1556="","",IFERROR(INDEX(合同项目,MATCH($D1556,合同键,0)),IFERROR(TRIM(MID($D1556,FIND("｜",$D1556)+1,99)),"")))</f>
        <v/>
      </c>
      <c r="G1556" s="39"/>
      <c r="H1556" s="25"/>
      <c r="I1556" s="35" t="str">
        <f aca="false">IF($H1556="","",IFERROR(INDEX(票据归类表,MATCH($H1556,票据类型表,0)),"现金无票"))</f>
        <v/>
      </c>
      <c r="J1556" s="25"/>
      <c r="K1556" s="25"/>
      <c r="L1556" s="31"/>
      <c r="M1556" s="29" t="str">
        <f aca="false">IF($C1556="","",YEAR($C1556))</f>
        <v/>
      </c>
      <c r="N1556" s="24"/>
      <c r="O1556" s="35" t="str">
        <f aca="false">IF($C1556="","",IF($D1556="","★没选客户项目",IF(COUNTIF(合同键,$D1556)=0,"★《维保合同》里没这个项目",IF(N($G1556)&lt;=0,"★收款金额要填",IF($H1556="","★票据类型要选",IF(AND($L1556&lt;&gt;"",COUNTIF(应收单号,$L1556)=0),"★关联的应收单号不存在",IF(AND($L1556&lt;&gt;"",IFERROR(INDEX(应收键,MATCH($L1556,应收单号,0)),"")&lt;&gt;$D1556),"★关联单号不是这个客户的",IF(AND($L1556&lt;&gt;"",ROUND(SUMIF(收款关联,$L1556,收款金额)-IFERROR(INDEX(应收金额,MATCH($L1556,应收单号,0)),0),2)&gt;0.001),"★指定冲销超过那张单的应收","OK"))))))))</f>
        <v/>
      </c>
    </row>
    <row r="1557" customFormat="false" ht="15" hidden="false" customHeight="false" outlineLevel="0" collapsed="false">
      <c r="A1557" s="29" t="str">
        <f aca="false">IF($C1557="","",ROW()-4)</f>
        <v/>
      </c>
      <c r="B1557" s="35" t="str">
        <f aca="false">IF($C1557="","","SK"&amp;TEXT($C1557,"yyyymm")&amp;"-"&amp;TEXT(ROW()-4,"0000"))</f>
        <v/>
      </c>
      <c r="C1557" s="33"/>
      <c r="D1557" s="24"/>
      <c r="E1557" s="30" t="str">
        <f aca="false">IF($D1557="","",IFERROR(INDEX(合同单位,MATCH($D1557,合同键,0)),IFERROR(TRIM(LEFT($D1557,FIND("｜",$D1557)-1)),$D1557)))</f>
        <v/>
      </c>
      <c r="F1557" s="30" t="str">
        <f aca="false">IF($D1557="","",IFERROR(INDEX(合同项目,MATCH($D1557,合同键,0)),IFERROR(TRIM(MID($D1557,FIND("｜",$D1557)+1,99)),"")))</f>
        <v/>
      </c>
      <c r="G1557" s="39"/>
      <c r="H1557" s="25"/>
      <c r="I1557" s="35" t="str">
        <f aca="false">IF($H1557="","",IFERROR(INDEX(票据归类表,MATCH($H1557,票据类型表,0)),"现金无票"))</f>
        <v/>
      </c>
      <c r="J1557" s="25"/>
      <c r="K1557" s="25"/>
      <c r="L1557" s="31"/>
      <c r="M1557" s="29" t="str">
        <f aca="false">IF($C1557="","",YEAR($C1557))</f>
        <v/>
      </c>
      <c r="N1557" s="24"/>
      <c r="O1557" s="35" t="str">
        <f aca="false">IF($C1557="","",IF($D1557="","★没选客户项目",IF(COUNTIF(合同键,$D1557)=0,"★《维保合同》里没这个项目",IF(N($G1557)&lt;=0,"★收款金额要填",IF($H1557="","★票据类型要选",IF(AND($L1557&lt;&gt;"",COUNTIF(应收单号,$L1557)=0),"★关联的应收单号不存在",IF(AND($L1557&lt;&gt;"",IFERROR(INDEX(应收键,MATCH($L1557,应收单号,0)),"")&lt;&gt;$D1557),"★关联单号不是这个客户的",IF(AND($L1557&lt;&gt;"",ROUND(SUMIF(收款关联,$L1557,收款金额)-IFERROR(INDEX(应收金额,MATCH($L1557,应收单号,0)),0),2)&gt;0.001),"★指定冲销超过那张单的应收","OK"))))))))</f>
        <v/>
      </c>
    </row>
    <row r="1558" customFormat="false" ht="15" hidden="false" customHeight="false" outlineLevel="0" collapsed="false">
      <c r="A1558" s="29" t="str">
        <f aca="false">IF($C1558="","",ROW()-4)</f>
        <v/>
      </c>
      <c r="B1558" s="35" t="str">
        <f aca="false">IF($C1558="","","SK"&amp;TEXT($C1558,"yyyymm")&amp;"-"&amp;TEXT(ROW()-4,"0000"))</f>
        <v/>
      </c>
      <c r="C1558" s="33"/>
      <c r="D1558" s="24"/>
      <c r="E1558" s="30" t="str">
        <f aca="false">IF($D1558="","",IFERROR(INDEX(合同单位,MATCH($D1558,合同键,0)),IFERROR(TRIM(LEFT($D1558,FIND("｜",$D1558)-1)),$D1558)))</f>
        <v/>
      </c>
      <c r="F1558" s="30" t="str">
        <f aca="false">IF($D1558="","",IFERROR(INDEX(合同项目,MATCH($D1558,合同键,0)),IFERROR(TRIM(MID($D1558,FIND("｜",$D1558)+1,99)),"")))</f>
        <v/>
      </c>
      <c r="G1558" s="39"/>
      <c r="H1558" s="25"/>
      <c r="I1558" s="35" t="str">
        <f aca="false">IF($H1558="","",IFERROR(INDEX(票据归类表,MATCH($H1558,票据类型表,0)),"现金无票"))</f>
        <v/>
      </c>
      <c r="J1558" s="25"/>
      <c r="K1558" s="25"/>
      <c r="L1558" s="31"/>
      <c r="M1558" s="29" t="str">
        <f aca="false">IF($C1558="","",YEAR($C1558))</f>
        <v/>
      </c>
      <c r="N1558" s="24"/>
      <c r="O1558" s="35" t="str">
        <f aca="false">IF($C1558="","",IF($D1558="","★没选客户项目",IF(COUNTIF(合同键,$D1558)=0,"★《维保合同》里没这个项目",IF(N($G1558)&lt;=0,"★收款金额要填",IF($H1558="","★票据类型要选",IF(AND($L1558&lt;&gt;"",COUNTIF(应收单号,$L1558)=0),"★关联的应收单号不存在",IF(AND($L1558&lt;&gt;"",IFERROR(INDEX(应收键,MATCH($L1558,应收单号,0)),"")&lt;&gt;$D1558),"★关联单号不是这个客户的",IF(AND($L1558&lt;&gt;"",ROUND(SUMIF(收款关联,$L1558,收款金额)-IFERROR(INDEX(应收金额,MATCH($L1558,应收单号,0)),0),2)&gt;0.001),"★指定冲销超过那张单的应收","OK"))))))))</f>
        <v/>
      </c>
    </row>
    <row r="1559" customFormat="false" ht="15" hidden="false" customHeight="false" outlineLevel="0" collapsed="false">
      <c r="A1559" s="29" t="str">
        <f aca="false">IF($C1559="","",ROW()-4)</f>
        <v/>
      </c>
      <c r="B1559" s="35" t="str">
        <f aca="false">IF($C1559="","","SK"&amp;TEXT($C1559,"yyyymm")&amp;"-"&amp;TEXT(ROW()-4,"0000"))</f>
        <v/>
      </c>
      <c r="C1559" s="33"/>
      <c r="D1559" s="24"/>
      <c r="E1559" s="30" t="str">
        <f aca="false">IF($D1559="","",IFERROR(INDEX(合同单位,MATCH($D1559,合同键,0)),IFERROR(TRIM(LEFT($D1559,FIND("｜",$D1559)-1)),$D1559)))</f>
        <v/>
      </c>
      <c r="F1559" s="30" t="str">
        <f aca="false">IF($D1559="","",IFERROR(INDEX(合同项目,MATCH($D1559,合同键,0)),IFERROR(TRIM(MID($D1559,FIND("｜",$D1559)+1,99)),"")))</f>
        <v/>
      </c>
      <c r="G1559" s="39"/>
      <c r="H1559" s="25"/>
      <c r="I1559" s="35" t="str">
        <f aca="false">IF($H1559="","",IFERROR(INDEX(票据归类表,MATCH($H1559,票据类型表,0)),"现金无票"))</f>
        <v/>
      </c>
      <c r="J1559" s="25"/>
      <c r="K1559" s="25"/>
      <c r="L1559" s="31"/>
      <c r="M1559" s="29" t="str">
        <f aca="false">IF($C1559="","",YEAR($C1559))</f>
        <v/>
      </c>
      <c r="N1559" s="24"/>
      <c r="O1559" s="35" t="str">
        <f aca="false">IF($C1559="","",IF($D1559="","★没选客户项目",IF(COUNTIF(合同键,$D1559)=0,"★《维保合同》里没这个项目",IF(N($G1559)&lt;=0,"★收款金额要填",IF($H1559="","★票据类型要选",IF(AND($L1559&lt;&gt;"",COUNTIF(应收单号,$L1559)=0),"★关联的应收单号不存在",IF(AND($L1559&lt;&gt;"",IFERROR(INDEX(应收键,MATCH($L1559,应收单号,0)),"")&lt;&gt;$D1559),"★关联单号不是这个客户的",IF(AND($L1559&lt;&gt;"",ROUND(SUMIF(收款关联,$L1559,收款金额)-IFERROR(INDEX(应收金额,MATCH($L1559,应收单号,0)),0),2)&gt;0.001),"★指定冲销超过那张单的应收","OK"))))))))</f>
        <v/>
      </c>
    </row>
    <row r="1560" customFormat="false" ht="15" hidden="false" customHeight="false" outlineLevel="0" collapsed="false">
      <c r="A1560" s="29" t="str">
        <f aca="false">IF($C1560="","",ROW()-4)</f>
        <v/>
      </c>
      <c r="B1560" s="35" t="str">
        <f aca="false">IF($C1560="","","SK"&amp;TEXT($C1560,"yyyymm")&amp;"-"&amp;TEXT(ROW()-4,"0000"))</f>
        <v/>
      </c>
      <c r="C1560" s="33"/>
      <c r="D1560" s="24"/>
      <c r="E1560" s="30" t="str">
        <f aca="false">IF($D1560="","",IFERROR(INDEX(合同单位,MATCH($D1560,合同键,0)),IFERROR(TRIM(LEFT($D1560,FIND("｜",$D1560)-1)),$D1560)))</f>
        <v/>
      </c>
      <c r="F1560" s="30" t="str">
        <f aca="false">IF($D1560="","",IFERROR(INDEX(合同项目,MATCH($D1560,合同键,0)),IFERROR(TRIM(MID($D1560,FIND("｜",$D1560)+1,99)),"")))</f>
        <v/>
      </c>
      <c r="G1560" s="39"/>
      <c r="H1560" s="25"/>
      <c r="I1560" s="35" t="str">
        <f aca="false">IF($H1560="","",IFERROR(INDEX(票据归类表,MATCH($H1560,票据类型表,0)),"现金无票"))</f>
        <v/>
      </c>
      <c r="J1560" s="25"/>
      <c r="K1560" s="25"/>
      <c r="L1560" s="31"/>
      <c r="M1560" s="29" t="str">
        <f aca="false">IF($C1560="","",YEAR($C1560))</f>
        <v/>
      </c>
      <c r="N1560" s="24"/>
      <c r="O1560" s="35" t="str">
        <f aca="false">IF($C1560="","",IF($D1560="","★没选客户项目",IF(COUNTIF(合同键,$D1560)=0,"★《维保合同》里没这个项目",IF(N($G1560)&lt;=0,"★收款金额要填",IF($H1560="","★票据类型要选",IF(AND($L1560&lt;&gt;"",COUNTIF(应收单号,$L1560)=0),"★关联的应收单号不存在",IF(AND($L1560&lt;&gt;"",IFERROR(INDEX(应收键,MATCH($L1560,应收单号,0)),"")&lt;&gt;$D1560),"★关联单号不是这个客户的",IF(AND($L1560&lt;&gt;"",ROUND(SUMIF(收款关联,$L1560,收款金额)-IFERROR(INDEX(应收金额,MATCH($L1560,应收单号,0)),0),2)&gt;0.001),"★指定冲销超过那张单的应收","OK"))))))))</f>
        <v/>
      </c>
    </row>
    <row r="1561" customFormat="false" ht="15" hidden="false" customHeight="false" outlineLevel="0" collapsed="false">
      <c r="A1561" s="29" t="str">
        <f aca="false">IF($C1561="","",ROW()-4)</f>
        <v/>
      </c>
      <c r="B1561" s="35" t="str">
        <f aca="false">IF($C1561="","","SK"&amp;TEXT($C1561,"yyyymm")&amp;"-"&amp;TEXT(ROW()-4,"0000"))</f>
        <v/>
      </c>
      <c r="C1561" s="33"/>
      <c r="D1561" s="24"/>
      <c r="E1561" s="30" t="str">
        <f aca="false">IF($D1561="","",IFERROR(INDEX(合同单位,MATCH($D1561,合同键,0)),IFERROR(TRIM(LEFT($D1561,FIND("｜",$D1561)-1)),$D1561)))</f>
        <v/>
      </c>
      <c r="F1561" s="30" t="str">
        <f aca="false">IF($D1561="","",IFERROR(INDEX(合同项目,MATCH($D1561,合同键,0)),IFERROR(TRIM(MID($D1561,FIND("｜",$D1561)+1,99)),"")))</f>
        <v/>
      </c>
      <c r="G1561" s="39"/>
      <c r="H1561" s="25"/>
      <c r="I1561" s="35" t="str">
        <f aca="false">IF($H1561="","",IFERROR(INDEX(票据归类表,MATCH($H1561,票据类型表,0)),"现金无票"))</f>
        <v/>
      </c>
      <c r="J1561" s="25"/>
      <c r="K1561" s="25"/>
      <c r="L1561" s="31"/>
      <c r="M1561" s="29" t="str">
        <f aca="false">IF($C1561="","",YEAR($C1561))</f>
        <v/>
      </c>
      <c r="N1561" s="24"/>
      <c r="O1561" s="35" t="str">
        <f aca="false">IF($C1561="","",IF($D1561="","★没选客户项目",IF(COUNTIF(合同键,$D1561)=0,"★《维保合同》里没这个项目",IF(N($G1561)&lt;=0,"★收款金额要填",IF($H1561="","★票据类型要选",IF(AND($L1561&lt;&gt;"",COUNTIF(应收单号,$L1561)=0),"★关联的应收单号不存在",IF(AND($L1561&lt;&gt;"",IFERROR(INDEX(应收键,MATCH($L1561,应收单号,0)),"")&lt;&gt;$D1561),"★关联单号不是这个客户的",IF(AND($L1561&lt;&gt;"",ROUND(SUMIF(收款关联,$L1561,收款金额)-IFERROR(INDEX(应收金额,MATCH($L1561,应收单号,0)),0),2)&gt;0.001),"★指定冲销超过那张单的应收","OK"))))))))</f>
        <v/>
      </c>
    </row>
    <row r="1562" customFormat="false" ht="15" hidden="false" customHeight="false" outlineLevel="0" collapsed="false">
      <c r="A1562" s="29" t="str">
        <f aca="false">IF($C1562="","",ROW()-4)</f>
        <v/>
      </c>
      <c r="B1562" s="35" t="str">
        <f aca="false">IF($C1562="","","SK"&amp;TEXT($C1562,"yyyymm")&amp;"-"&amp;TEXT(ROW()-4,"0000"))</f>
        <v/>
      </c>
      <c r="C1562" s="33"/>
      <c r="D1562" s="24"/>
      <c r="E1562" s="30" t="str">
        <f aca="false">IF($D1562="","",IFERROR(INDEX(合同单位,MATCH($D1562,合同键,0)),IFERROR(TRIM(LEFT($D1562,FIND("｜",$D1562)-1)),$D1562)))</f>
        <v/>
      </c>
      <c r="F1562" s="30" t="str">
        <f aca="false">IF($D1562="","",IFERROR(INDEX(合同项目,MATCH($D1562,合同键,0)),IFERROR(TRIM(MID($D1562,FIND("｜",$D1562)+1,99)),"")))</f>
        <v/>
      </c>
      <c r="G1562" s="39"/>
      <c r="H1562" s="25"/>
      <c r="I1562" s="35" t="str">
        <f aca="false">IF($H1562="","",IFERROR(INDEX(票据归类表,MATCH($H1562,票据类型表,0)),"现金无票"))</f>
        <v/>
      </c>
      <c r="J1562" s="25"/>
      <c r="K1562" s="25"/>
      <c r="L1562" s="31"/>
      <c r="M1562" s="29" t="str">
        <f aca="false">IF($C1562="","",YEAR($C1562))</f>
        <v/>
      </c>
      <c r="N1562" s="24"/>
      <c r="O1562" s="35" t="str">
        <f aca="false">IF($C1562="","",IF($D1562="","★没选客户项目",IF(COUNTIF(合同键,$D1562)=0,"★《维保合同》里没这个项目",IF(N($G1562)&lt;=0,"★收款金额要填",IF($H1562="","★票据类型要选",IF(AND($L1562&lt;&gt;"",COUNTIF(应收单号,$L1562)=0),"★关联的应收单号不存在",IF(AND($L1562&lt;&gt;"",IFERROR(INDEX(应收键,MATCH($L1562,应收单号,0)),"")&lt;&gt;$D1562),"★关联单号不是这个客户的",IF(AND($L1562&lt;&gt;"",ROUND(SUMIF(收款关联,$L1562,收款金额)-IFERROR(INDEX(应收金额,MATCH($L1562,应收单号,0)),0),2)&gt;0.001),"★指定冲销超过那张单的应收","OK"))))))))</f>
        <v/>
      </c>
    </row>
    <row r="1563" customFormat="false" ht="15" hidden="false" customHeight="false" outlineLevel="0" collapsed="false">
      <c r="A1563" s="29" t="str">
        <f aca="false">IF($C1563="","",ROW()-4)</f>
        <v/>
      </c>
      <c r="B1563" s="35" t="str">
        <f aca="false">IF($C1563="","","SK"&amp;TEXT($C1563,"yyyymm")&amp;"-"&amp;TEXT(ROW()-4,"0000"))</f>
        <v/>
      </c>
      <c r="C1563" s="33"/>
      <c r="D1563" s="24"/>
      <c r="E1563" s="30" t="str">
        <f aca="false">IF($D1563="","",IFERROR(INDEX(合同单位,MATCH($D1563,合同键,0)),IFERROR(TRIM(LEFT($D1563,FIND("｜",$D1563)-1)),$D1563)))</f>
        <v/>
      </c>
      <c r="F1563" s="30" t="str">
        <f aca="false">IF($D1563="","",IFERROR(INDEX(合同项目,MATCH($D1563,合同键,0)),IFERROR(TRIM(MID($D1563,FIND("｜",$D1563)+1,99)),"")))</f>
        <v/>
      </c>
      <c r="G1563" s="39"/>
      <c r="H1563" s="25"/>
      <c r="I1563" s="35" t="str">
        <f aca="false">IF($H1563="","",IFERROR(INDEX(票据归类表,MATCH($H1563,票据类型表,0)),"现金无票"))</f>
        <v/>
      </c>
      <c r="J1563" s="25"/>
      <c r="K1563" s="25"/>
      <c r="L1563" s="31"/>
      <c r="M1563" s="29" t="str">
        <f aca="false">IF($C1563="","",YEAR($C1563))</f>
        <v/>
      </c>
      <c r="N1563" s="24"/>
      <c r="O1563" s="35" t="str">
        <f aca="false">IF($C1563="","",IF($D1563="","★没选客户项目",IF(COUNTIF(合同键,$D1563)=0,"★《维保合同》里没这个项目",IF(N($G1563)&lt;=0,"★收款金额要填",IF($H1563="","★票据类型要选",IF(AND($L1563&lt;&gt;"",COUNTIF(应收单号,$L1563)=0),"★关联的应收单号不存在",IF(AND($L1563&lt;&gt;"",IFERROR(INDEX(应收键,MATCH($L1563,应收单号,0)),"")&lt;&gt;$D1563),"★关联单号不是这个客户的",IF(AND($L1563&lt;&gt;"",ROUND(SUMIF(收款关联,$L1563,收款金额)-IFERROR(INDEX(应收金额,MATCH($L1563,应收单号,0)),0),2)&gt;0.001),"★指定冲销超过那张单的应收","OK"))))))))</f>
        <v/>
      </c>
    </row>
    <row r="1564" customFormat="false" ht="15" hidden="false" customHeight="false" outlineLevel="0" collapsed="false">
      <c r="A1564" s="29" t="str">
        <f aca="false">IF($C1564="","",ROW()-4)</f>
        <v/>
      </c>
      <c r="B1564" s="35" t="str">
        <f aca="false">IF($C1564="","","SK"&amp;TEXT($C1564,"yyyymm")&amp;"-"&amp;TEXT(ROW()-4,"0000"))</f>
        <v/>
      </c>
      <c r="C1564" s="33"/>
      <c r="D1564" s="24"/>
      <c r="E1564" s="30" t="str">
        <f aca="false">IF($D1564="","",IFERROR(INDEX(合同单位,MATCH($D1564,合同键,0)),IFERROR(TRIM(LEFT($D1564,FIND("｜",$D1564)-1)),$D1564)))</f>
        <v/>
      </c>
      <c r="F1564" s="30" t="str">
        <f aca="false">IF($D1564="","",IFERROR(INDEX(合同项目,MATCH($D1564,合同键,0)),IFERROR(TRIM(MID($D1564,FIND("｜",$D1564)+1,99)),"")))</f>
        <v/>
      </c>
      <c r="G1564" s="39"/>
      <c r="H1564" s="25"/>
      <c r="I1564" s="35" t="str">
        <f aca="false">IF($H1564="","",IFERROR(INDEX(票据归类表,MATCH($H1564,票据类型表,0)),"现金无票"))</f>
        <v/>
      </c>
      <c r="J1564" s="25"/>
      <c r="K1564" s="25"/>
      <c r="L1564" s="31"/>
      <c r="M1564" s="29" t="str">
        <f aca="false">IF($C1564="","",YEAR($C1564))</f>
        <v/>
      </c>
      <c r="N1564" s="24"/>
      <c r="O1564" s="35" t="str">
        <f aca="false">IF($C1564="","",IF($D1564="","★没选客户项目",IF(COUNTIF(合同键,$D1564)=0,"★《维保合同》里没这个项目",IF(N($G1564)&lt;=0,"★收款金额要填",IF($H1564="","★票据类型要选",IF(AND($L1564&lt;&gt;"",COUNTIF(应收单号,$L1564)=0),"★关联的应收单号不存在",IF(AND($L1564&lt;&gt;"",IFERROR(INDEX(应收键,MATCH($L1564,应收单号,0)),"")&lt;&gt;$D1564),"★关联单号不是这个客户的",IF(AND($L1564&lt;&gt;"",ROUND(SUMIF(收款关联,$L1564,收款金额)-IFERROR(INDEX(应收金额,MATCH($L1564,应收单号,0)),0),2)&gt;0.001),"★指定冲销超过那张单的应收","OK"))))))))</f>
        <v/>
      </c>
    </row>
    <row r="1565" customFormat="false" ht="15" hidden="false" customHeight="false" outlineLevel="0" collapsed="false">
      <c r="A1565" s="29" t="str">
        <f aca="false">IF($C1565="","",ROW()-4)</f>
        <v/>
      </c>
      <c r="B1565" s="35" t="str">
        <f aca="false">IF($C1565="","","SK"&amp;TEXT($C1565,"yyyymm")&amp;"-"&amp;TEXT(ROW()-4,"0000"))</f>
        <v/>
      </c>
      <c r="C1565" s="33"/>
      <c r="D1565" s="24"/>
      <c r="E1565" s="30" t="str">
        <f aca="false">IF($D1565="","",IFERROR(INDEX(合同单位,MATCH($D1565,合同键,0)),IFERROR(TRIM(LEFT($D1565,FIND("｜",$D1565)-1)),$D1565)))</f>
        <v/>
      </c>
      <c r="F1565" s="30" t="str">
        <f aca="false">IF($D1565="","",IFERROR(INDEX(合同项目,MATCH($D1565,合同键,0)),IFERROR(TRIM(MID($D1565,FIND("｜",$D1565)+1,99)),"")))</f>
        <v/>
      </c>
      <c r="G1565" s="39"/>
      <c r="H1565" s="25"/>
      <c r="I1565" s="35" t="str">
        <f aca="false">IF($H1565="","",IFERROR(INDEX(票据归类表,MATCH($H1565,票据类型表,0)),"现金无票"))</f>
        <v/>
      </c>
      <c r="J1565" s="25"/>
      <c r="K1565" s="25"/>
      <c r="L1565" s="31"/>
      <c r="M1565" s="29" t="str">
        <f aca="false">IF($C1565="","",YEAR($C1565))</f>
        <v/>
      </c>
      <c r="N1565" s="24"/>
      <c r="O1565" s="35" t="str">
        <f aca="false">IF($C1565="","",IF($D1565="","★没选客户项目",IF(COUNTIF(合同键,$D1565)=0,"★《维保合同》里没这个项目",IF(N($G1565)&lt;=0,"★收款金额要填",IF($H1565="","★票据类型要选",IF(AND($L1565&lt;&gt;"",COUNTIF(应收单号,$L1565)=0),"★关联的应收单号不存在",IF(AND($L1565&lt;&gt;"",IFERROR(INDEX(应收键,MATCH($L1565,应收单号,0)),"")&lt;&gt;$D1565),"★关联单号不是这个客户的",IF(AND($L1565&lt;&gt;"",ROUND(SUMIF(收款关联,$L1565,收款金额)-IFERROR(INDEX(应收金额,MATCH($L1565,应收单号,0)),0),2)&gt;0.001),"★指定冲销超过那张单的应收","OK"))))))))</f>
        <v/>
      </c>
    </row>
    <row r="1566" customFormat="false" ht="15" hidden="false" customHeight="false" outlineLevel="0" collapsed="false">
      <c r="A1566" s="29" t="str">
        <f aca="false">IF($C1566="","",ROW()-4)</f>
        <v/>
      </c>
      <c r="B1566" s="35" t="str">
        <f aca="false">IF($C1566="","","SK"&amp;TEXT($C1566,"yyyymm")&amp;"-"&amp;TEXT(ROW()-4,"0000"))</f>
        <v/>
      </c>
      <c r="C1566" s="33"/>
      <c r="D1566" s="24"/>
      <c r="E1566" s="30" t="str">
        <f aca="false">IF($D1566="","",IFERROR(INDEX(合同单位,MATCH($D1566,合同键,0)),IFERROR(TRIM(LEFT($D1566,FIND("｜",$D1566)-1)),$D1566)))</f>
        <v/>
      </c>
      <c r="F1566" s="30" t="str">
        <f aca="false">IF($D1566="","",IFERROR(INDEX(合同项目,MATCH($D1566,合同键,0)),IFERROR(TRIM(MID($D1566,FIND("｜",$D1566)+1,99)),"")))</f>
        <v/>
      </c>
      <c r="G1566" s="39"/>
      <c r="H1566" s="25"/>
      <c r="I1566" s="35" t="str">
        <f aca="false">IF($H1566="","",IFERROR(INDEX(票据归类表,MATCH($H1566,票据类型表,0)),"现金无票"))</f>
        <v/>
      </c>
      <c r="J1566" s="25"/>
      <c r="K1566" s="25"/>
      <c r="L1566" s="31"/>
      <c r="M1566" s="29" t="str">
        <f aca="false">IF($C1566="","",YEAR($C1566))</f>
        <v/>
      </c>
      <c r="N1566" s="24"/>
      <c r="O1566" s="35" t="str">
        <f aca="false">IF($C1566="","",IF($D1566="","★没选客户项目",IF(COUNTIF(合同键,$D1566)=0,"★《维保合同》里没这个项目",IF(N($G1566)&lt;=0,"★收款金额要填",IF($H1566="","★票据类型要选",IF(AND($L1566&lt;&gt;"",COUNTIF(应收单号,$L1566)=0),"★关联的应收单号不存在",IF(AND($L1566&lt;&gt;"",IFERROR(INDEX(应收键,MATCH($L1566,应收单号,0)),"")&lt;&gt;$D1566),"★关联单号不是这个客户的",IF(AND($L1566&lt;&gt;"",ROUND(SUMIF(收款关联,$L1566,收款金额)-IFERROR(INDEX(应收金额,MATCH($L1566,应收单号,0)),0),2)&gt;0.001),"★指定冲销超过那张单的应收","OK"))))))))</f>
        <v/>
      </c>
    </row>
    <row r="1567" customFormat="false" ht="15" hidden="false" customHeight="false" outlineLevel="0" collapsed="false">
      <c r="A1567" s="29" t="str">
        <f aca="false">IF($C1567="","",ROW()-4)</f>
        <v/>
      </c>
      <c r="B1567" s="35" t="str">
        <f aca="false">IF($C1567="","","SK"&amp;TEXT($C1567,"yyyymm")&amp;"-"&amp;TEXT(ROW()-4,"0000"))</f>
        <v/>
      </c>
      <c r="C1567" s="33"/>
      <c r="D1567" s="24"/>
      <c r="E1567" s="30" t="str">
        <f aca="false">IF($D1567="","",IFERROR(INDEX(合同单位,MATCH($D1567,合同键,0)),IFERROR(TRIM(LEFT($D1567,FIND("｜",$D1567)-1)),$D1567)))</f>
        <v/>
      </c>
      <c r="F1567" s="30" t="str">
        <f aca="false">IF($D1567="","",IFERROR(INDEX(合同项目,MATCH($D1567,合同键,0)),IFERROR(TRIM(MID($D1567,FIND("｜",$D1567)+1,99)),"")))</f>
        <v/>
      </c>
      <c r="G1567" s="39"/>
      <c r="H1567" s="25"/>
      <c r="I1567" s="35" t="str">
        <f aca="false">IF($H1567="","",IFERROR(INDEX(票据归类表,MATCH($H1567,票据类型表,0)),"现金无票"))</f>
        <v/>
      </c>
      <c r="J1567" s="25"/>
      <c r="K1567" s="25"/>
      <c r="L1567" s="31"/>
      <c r="M1567" s="29" t="str">
        <f aca="false">IF($C1567="","",YEAR($C1567))</f>
        <v/>
      </c>
      <c r="N1567" s="24"/>
      <c r="O1567" s="35" t="str">
        <f aca="false">IF($C1567="","",IF($D1567="","★没选客户项目",IF(COUNTIF(合同键,$D1567)=0,"★《维保合同》里没这个项目",IF(N($G1567)&lt;=0,"★收款金额要填",IF($H1567="","★票据类型要选",IF(AND($L1567&lt;&gt;"",COUNTIF(应收单号,$L1567)=0),"★关联的应收单号不存在",IF(AND($L1567&lt;&gt;"",IFERROR(INDEX(应收键,MATCH($L1567,应收单号,0)),"")&lt;&gt;$D1567),"★关联单号不是这个客户的",IF(AND($L1567&lt;&gt;"",ROUND(SUMIF(收款关联,$L1567,收款金额)-IFERROR(INDEX(应收金额,MATCH($L1567,应收单号,0)),0),2)&gt;0.001),"★指定冲销超过那张单的应收","OK"))))))))</f>
        <v/>
      </c>
    </row>
    <row r="1568" customFormat="false" ht="15" hidden="false" customHeight="false" outlineLevel="0" collapsed="false">
      <c r="A1568" s="29" t="str">
        <f aca="false">IF($C1568="","",ROW()-4)</f>
        <v/>
      </c>
      <c r="B1568" s="35" t="str">
        <f aca="false">IF($C1568="","","SK"&amp;TEXT($C1568,"yyyymm")&amp;"-"&amp;TEXT(ROW()-4,"0000"))</f>
        <v/>
      </c>
      <c r="C1568" s="33"/>
      <c r="D1568" s="24"/>
      <c r="E1568" s="30" t="str">
        <f aca="false">IF($D1568="","",IFERROR(INDEX(合同单位,MATCH($D1568,合同键,0)),IFERROR(TRIM(LEFT($D1568,FIND("｜",$D1568)-1)),$D1568)))</f>
        <v/>
      </c>
      <c r="F1568" s="30" t="str">
        <f aca="false">IF($D1568="","",IFERROR(INDEX(合同项目,MATCH($D1568,合同键,0)),IFERROR(TRIM(MID($D1568,FIND("｜",$D1568)+1,99)),"")))</f>
        <v/>
      </c>
      <c r="G1568" s="39"/>
      <c r="H1568" s="25"/>
      <c r="I1568" s="35" t="str">
        <f aca="false">IF($H1568="","",IFERROR(INDEX(票据归类表,MATCH($H1568,票据类型表,0)),"现金无票"))</f>
        <v/>
      </c>
      <c r="J1568" s="25"/>
      <c r="K1568" s="25"/>
      <c r="L1568" s="31"/>
      <c r="M1568" s="29" t="str">
        <f aca="false">IF($C1568="","",YEAR($C1568))</f>
        <v/>
      </c>
      <c r="N1568" s="24"/>
      <c r="O1568" s="35" t="str">
        <f aca="false">IF($C1568="","",IF($D1568="","★没选客户项目",IF(COUNTIF(合同键,$D1568)=0,"★《维保合同》里没这个项目",IF(N($G1568)&lt;=0,"★收款金额要填",IF($H1568="","★票据类型要选",IF(AND($L1568&lt;&gt;"",COUNTIF(应收单号,$L1568)=0),"★关联的应收单号不存在",IF(AND($L1568&lt;&gt;"",IFERROR(INDEX(应收键,MATCH($L1568,应收单号,0)),"")&lt;&gt;$D1568),"★关联单号不是这个客户的",IF(AND($L1568&lt;&gt;"",ROUND(SUMIF(收款关联,$L1568,收款金额)-IFERROR(INDEX(应收金额,MATCH($L1568,应收单号,0)),0),2)&gt;0.001),"★指定冲销超过那张单的应收","OK"))))))))</f>
        <v/>
      </c>
    </row>
    <row r="1569" customFormat="false" ht="15" hidden="false" customHeight="false" outlineLevel="0" collapsed="false">
      <c r="A1569" s="29" t="str">
        <f aca="false">IF($C1569="","",ROW()-4)</f>
        <v/>
      </c>
      <c r="B1569" s="35" t="str">
        <f aca="false">IF($C1569="","","SK"&amp;TEXT($C1569,"yyyymm")&amp;"-"&amp;TEXT(ROW()-4,"0000"))</f>
        <v/>
      </c>
      <c r="C1569" s="33"/>
      <c r="D1569" s="24"/>
      <c r="E1569" s="30" t="str">
        <f aca="false">IF($D1569="","",IFERROR(INDEX(合同单位,MATCH($D1569,合同键,0)),IFERROR(TRIM(LEFT($D1569,FIND("｜",$D1569)-1)),$D1569)))</f>
        <v/>
      </c>
      <c r="F1569" s="30" t="str">
        <f aca="false">IF($D1569="","",IFERROR(INDEX(合同项目,MATCH($D1569,合同键,0)),IFERROR(TRIM(MID($D1569,FIND("｜",$D1569)+1,99)),"")))</f>
        <v/>
      </c>
      <c r="G1569" s="39"/>
      <c r="H1569" s="25"/>
      <c r="I1569" s="35" t="str">
        <f aca="false">IF($H1569="","",IFERROR(INDEX(票据归类表,MATCH($H1569,票据类型表,0)),"现金无票"))</f>
        <v/>
      </c>
      <c r="J1569" s="25"/>
      <c r="K1569" s="25"/>
      <c r="L1569" s="31"/>
      <c r="M1569" s="29" t="str">
        <f aca="false">IF($C1569="","",YEAR($C1569))</f>
        <v/>
      </c>
      <c r="N1569" s="24"/>
      <c r="O1569" s="35" t="str">
        <f aca="false">IF($C1569="","",IF($D1569="","★没选客户项目",IF(COUNTIF(合同键,$D1569)=0,"★《维保合同》里没这个项目",IF(N($G1569)&lt;=0,"★收款金额要填",IF($H1569="","★票据类型要选",IF(AND($L1569&lt;&gt;"",COUNTIF(应收单号,$L1569)=0),"★关联的应收单号不存在",IF(AND($L1569&lt;&gt;"",IFERROR(INDEX(应收键,MATCH($L1569,应收单号,0)),"")&lt;&gt;$D1569),"★关联单号不是这个客户的",IF(AND($L1569&lt;&gt;"",ROUND(SUMIF(收款关联,$L1569,收款金额)-IFERROR(INDEX(应收金额,MATCH($L1569,应收单号,0)),0),2)&gt;0.001),"★指定冲销超过那张单的应收","OK"))))))))</f>
        <v/>
      </c>
    </row>
    <row r="1570" customFormat="false" ht="15" hidden="false" customHeight="false" outlineLevel="0" collapsed="false">
      <c r="A1570" s="29" t="str">
        <f aca="false">IF($C1570="","",ROW()-4)</f>
        <v/>
      </c>
      <c r="B1570" s="35" t="str">
        <f aca="false">IF($C1570="","","SK"&amp;TEXT($C1570,"yyyymm")&amp;"-"&amp;TEXT(ROW()-4,"0000"))</f>
        <v/>
      </c>
      <c r="C1570" s="33"/>
      <c r="D1570" s="24"/>
      <c r="E1570" s="30" t="str">
        <f aca="false">IF($D1570="","",IFERROR(INDEX(合同单位,MATCH($D1570,合同键,0)),IFERROR(TRIM(LEFT($D1570,FIND("｜",$D1570)-1)),$D1570)))</f>
        <v/>
      </c>
      <c r="F1570" s="30" t="str">
        <f aca="false">IF($D1570="","",IFERROR(INDEX(合同项目,MATCH($D1570,合同键,0)),IFERROR(TRIM(MID($D1570,FIND("｜",$D1570)+1,99)),"")))</f>
        <v/>
      </c>
      <c r="G1570" s="39"/>
      <c r="H1570" s="25"/>
      <c r="I1570" s="35" t="str">
        <f aca="false">IF($H1570="","",IFERROR(INDEX(票据归类表,MATCH($H1570,票据类型表,0)),"现金无票"))</f>
        <v/>
      </c>
      <c r="J1570" s="25"/>
      <c r="K1570" s="25"/>
      <c r="L1570" s="31"/>
      <c r="M1570" s="29" t="str">
        <f aca="false">IF($C1570="","",YEAR($C1570))</f>
        <v/>
      </c>
      <c r="N1570" s="24"/>
      <c r="O1570" s="35" t="str">
        <f aca="false">IF($C1570="","",IF($D1570="","★没选客户项目",IF(COUNTIF(合同键,$D1570)=0,"★《维保合同》里没这个项目",IF(N($G1570)&lt;=0,"★收款金额要填",IF($H1570="","★票据类型要选",IF(AND($L1570&lt;&gt;"",COUNTIF(应收单号,$L1570)=0),"★关联的应收单号不存在",IF(AND($L1570&lt;&gt;"",IFERROR(INDEX(应收键,MATCH($L1570,应收单号,0)),"")&lt;&gt;$D1570),"★关联单号不是这个客户的",IF(AND($L1570&lt;&gt;"",ROUND(SUMIF(收款关联,$L1570,收款金额)-IFERROR(INDEX(应收金额,MATCH($L1570,应收单号,0)),0),2)&gt;0.001),"★指定冲销超过那张单的应收","OK"))))))))</f>
        <v/>
      </c>
    </row>
    <row r="1571" customFormat="false" ht="15" hidden="false" customHeight="false" outlineLevel="0" collapsed="false">
      <c r="A1571" s="29" t="str">
        <f aca="false">IF($C1571="","",ROW()-4)</f>
        <v/>
      </c>
      <c r="B1571" s="35" t="str">
        <f aca="false">IF($C1571="","","SK"&amp;TEXT($C1571,"yyyymm")&amp;"-"&amp;TEXT(ROW()-4,"0000"))</f>
        <v/>
      </c>
      <c r="C1571" s="33"/>
      <c r="D1571" s="24"/>
      <c r="E1571" s="30" t="str">
        <f aca="false">IF($D1571="","",IFERROR(INDEX(合同单位,MATCH($D1571,合同键,0)),IFERROR(TRIM(LEFT($D1571,FIND("｜",$D1571)-1)),$D1571)))</f>
        <v/>
      </c>
      <c r="F1571" s="30" t="str">
        <f aca="false">IF($D1571="","",IFERROR(INDEX(合同项目,MATCH($D1571,合同键,0)),IFERROR(TRIM(MID($D1571,FIND("｜",$D1571)+1,99)),"")))</f>
        <v/>
      </c>
      <c r="G1571" s="39"/>
      <c r="H1571" s="25"/>
      <c r="I1571" s="35" t="str">
        <f aca="false">IF($H1571="","",IFERROR(INDEX(票据归类表,MATCH($H1571,票据类型表,0)),"现金无票"))</f>
        <v/>
      </c>
      <c r="J1571" s="25"/>
      <c r="K1571" s="25"/>
      <c r="L1571" s="31"/>
      <c r="M1571" s="29" t="str">
        <f aca="false">IF($C1571="","",YEAR($C1571))</f>
        <v/>
      </c>
      <c r="N1571" s="24"/>
      <c r="O1571" s="35" t="str">
        <f aca="false">IF($C1571="","",IF($D1571="","★没选客户项目",IF(COUNTIF(合同键,$D1571)=0,"★《维保合同》里没这个项目",IF(N($G1571)&lt;=0,"★收款金额要填",IF($H1571="","★票据类型要选",IF(AND($L1571&lt;&gt;"",COUNTIF(应收单号,$L1571)=0),"★关联的应收单号不存在",IF(AND($L1571&lt;&gt;"",IFERROR(INDEX(应收键,MATCH($L1571,应收单号,0)),"")&lt;&gt;$D1571),"★关联单号不是这个客户的",IF(AND($L1571&lt;&gt;"",ROUND(SUMIF(收款关联,$L1571,收款金额)-IFERROR(INDEX(应收金额,MATCH($L1571,应收单号,0)),0),2)&gt;0.001),"★指定冲销超过那张单的应收","OK"))))))))</f>
        <v/>
      </c>
    </row>
    <row r="1572" customFormat="false" ht="15" hidden="false" customHeight="false" outlineLevel="0" collapsed="false">
      <c r="A1572" s="29" t="str">
        <f aca="false">IF($C1572="","",ROW()-4)</f>
        <v/>
      </c>
      <c r="B1572" s="35" t="str">
        <f aca="false">IF($C1572="","","SK"&amp;TEXT($C1572,"yyyymm")&amp;"-"&amp;TEXT(ROW()-4,"0000"))</f>
        <v/>
      </c>
      <c r="C1572" s="33"/>
      <c r="D1572" s="24"/>
      <c r="E1572" s="30" t="str">
        <f aca="false">IF($D1572="","",IFERROR(INDEX(合同单位,MATCH($D1572,合同键,0)),IFERROR(TRIM(LEFT($D1572,FIND("｜",$D1572)-1)),$D1572)))</f>
        <v/>
      </c>
      <c r="F1572" s="30" t="str">
        <f aca="false">IF($D1572="","",IFERROR(INDEX(合同项目,MATCH($D1572,合同键,0)),IFERROR(TRIM(MID($D1572,FIND("｜",$D1572)+1,99)),"")))</f>
        <v/>
      </c>
      <c r="G1572" s="39"/>
      <c r="H1572" s="25"/>
      <c r="I1572" s="35" t="str">
        <f aca="false">IF($H1572="","",IFERROR(INDEX(票据归类表,MATCH($H1572,票据类型表,0)),"现金无票"))</f>
        <v/>
      </c>
      <c r="J1572" s="25"/>
      <c r="K1572" s="25"/>
      <c r="L1572" s="31"/>
      <c r="M1572" s="29" t="str">
        <f aca="false">IF($C1572="","",YEAR($C1572))</f>
        <v/>
      </c>
      <c r="N1572" s="24"/>
      <c r="O1572" s="35" t="str">
        <f aca="false">IF($C1572="","",IF($D1572="","★没选客户项目",IF(COUNTIF(合同键,$D1572)=0,"★《维保合同》里没这个项目",IF(N($G1572)&lt;=0,"★收款金额要填",IF($H1572="","★票据类型要选",IF(AND($L1572&lt;&gt;"",COUNTIF(应收单号,$L1572)=0),"★关联的应收单号不存在",IF(AND($L1572&lt;&gt;"",IFERROR(INDEX(应收键,MATCH($L1572,应收单号,0)),"")&lt;&gt;$D1572),"★关联单号不是这个客户的",IF(AND($L1572&lt;&gt;"",ROUND(SUMIF(收款关联,$L1572,收款金额)-IFERROR(INDEX(应收金额,MATCH($L1572,应收单号,0)),0),2)&gt;0.001),"★指定冲销超过那张单的应收","OK"))))))))</f>
        <v/>
      </c>
    </row>
    <row r="1573" customFormat="false" ht="15" hidden="false" customHeight="false" outlineLevel="0" collapsed="false">
      <c r="A1573" s="29" t="str">
        <f aca="false">IF($C1573="","",ROW()-4)</f>
        <v/>
      </c>
      <c r="B1573" s="35" t="str">
        <f aca="false">IF($C1573="","","SK"&amp;TEXT($C1573,"yyyymm")&amp;"-"&amp;TEXT(ROW()-4,"0000"))</f>
        <v/>
      </c>
      <c r="C1573" s="33"/>
      <c r="D1573" s="24"/>
      <c r="E1573" s="30" t="str">
        <f aca="false">IF($D1573="","",IFERROR(INDEX(合同单位,MATCH($D1573,合同键,0)),IFERROR(TRIM(LEFT($D1573,FIND("｜",$D1573)-1)),$D1573)))</f>
        <v/>
      </c>
      <c r="F1573" s="30" t="str">
        <f aca="false">IF($D1573="","",IFERROR(INDEX(合同项目,MATCH($D1573,合同键,0)),IFERROR(TRIM(MID($D1573,FIND("｜",$D1573)+1,99)),"")))</f>
        <v/>
      </c>
      <c r="G1573" s="39"/>
      <c r="H1573" s="25"/>
      <c r="I1573" s="35" t="str">
        <f aca="false">IF($H1573="","",IFERROR(INDEX(票据归类表,MATCH($H1573,票据类型表,0)),"现金无票"))</f>
        <v/>
      </c>
      <c r="J1573" s="25"/>
      <c r="K1573" s="25"/>
      <c r="L1573" s="31"/>
      <c r="M1573" s="29" t="str">
        <f aca="false">IF($C1573="","",YEAR($C1573))</f>
        <v/>
      </c>
      <c r="N1573" s="24"/>
      <c r="O1573" s="35" t="str">
        <f aca="false">IF($C1573="","",IF($D1573="","★没选客户项目",IF(COUNTIF(合同键,$D1573)=0,"★《维保合同》里没这个项目",IF(N($G1573)&lt;=0,"★收款金额要填",IF($H1573="","★票据类型要选",IF(AND($L1573&lt;&gt;"",COUNTIF(应收单号,$L1573)=0),"★关联的应收单号不存在",IF(AND($L1573&lt;&gt;"",IFERROR(INDEX(应收键,MATCH($L1573,应收单号,0)),"")&lt;&gt;$D1573),"★关联单号不是这个客户的",IF(AND($L1573&lt;&gt;"",ROUND(SUMIF(收款关联,$L1573,收款金额)-IFERROR(INDEX(应收金额,MATCH($L1573,应收单号,0)),0),2)&gt;0.001),"★指定冲销超过那张单的应收","OK"))))))))</f>
        <v/>
      </c>
    </row>
    <row r="1574" customFormat="false" ht="15" hidden="false" customHeight="false" outlineLevel="0" collapsed="false">
      <c r="A1574" s="29" t="str">
        <f aca="false">IF($C1574="","",ROW()-4)</f>
        <v/>
      </c>
      <c r="B1574" s="35" t="str">
        <f aca="false">IF($C1574="","","SK"&amp;TEXT($C1574,"yyyymm")&amp;"-"&amp;TEXT(ROW()-4,"0000"))</f>
        <v/>
      </c>
      <c r="C1574" s="33"/>
      <c r="D1574" s="24"/>
      <c r="E1574" s="30" t="str">
        <f aca="false">IF($D1574="","",IFERROR(INDEX(合同单位,MATCH($D1574,合同键,0)),IFERROR(TRIM(LEFT($D1574,FIND("｜",$D1574)-1)),$D1574)))</f>
        <v/>
      </c>
      <c r="F1574" s="30" t="str">
        <f aca="false">IF($D1574="","",IFERROR(INDEX(合同项目,MATCH($D1574,合同键,0)),IFERROR(TRIM(MID($D1574,FIND("｜",$D1574)+1,99)),"")))</f>
        <v/>
      </c>
      <c r="G1574" s="39"/>
      <c r="H1574" s="25"/>
      <c r="I1574" s="35" t="str">
        <f aca="false">IF($H1574="","",IFERROR(INDEX(票据归类表,MATCH($H1574,票据类型表,0)),"现金无票"))</f>
        <v/>
      </c>
      <c r="J1574" s="25"/>
      <c r="K1574" s="25"/>
      <c r="L1574" s="31"/>
      <c r="M1574" s="29" t="str">
        <f aca="false">IF($C1574="","",YEAR($C1574))</f>
        <v/>
      </c>
      <c r="N1574" s="24"/>
      <c r="O1574" s="35" t="str">
        <f aca="false">IF($C1574="","",IF($D1574="","★没选客户项目",IF(COUNTIF(合同键,$D1574)=0,"★《维保合同》里没这个项目",IF(N($G1574)&lt;=0,"★收款金额要填",IF($H1574="","★票据类型要选",IF(AND($L1574&lt;&gt;"",COUNTIF(应收单号,$L1574)=0),"★关联的应收单号不存在",IF(AND($L1574&lt;&gt;"",IFERROR(INDEX(应收键,MATCH($L1574,应收单号,0)),"")&lt;&gt;$D1574),"★关联单号不是这个客户的",IF(AND($L1574&lt;&gt;"",ROUND(SUMIF(收款关联,$L1574,收款金额)-IFERROR(INDEX(应收金额,MATCH($L1574,应收单号,0)),0),2)&gt;0.001),"★指定冲销超过那张单的应收","OK"))))))))</f>
        <v/>
      </c>
    </row>
    <row r="1575" customFormat="false" ht="15" hidden="false" customHeight="false" outlineLevel="0" collapsed="false">
      <c r="A1575" s="29" t="str">
        <f aca="false">IF($C1575="","",ROW()-4)</f>
        <v/>
      </c>
      <c r="B1575" s="35" t="str">
        <f aca="false">IF($C1575="","","SK"&amp;TEXT($C1575,"yyyymm")&amp;"-"&amp;TEXT(ROW()-4,"0000"))</f>
        <v/>
      </c>
      <c r="C1575" s="33"/>
      <c r="D1575" s="24"/>
      <c r="E1575" s="30" t="str">
        <f aca="false">IF($D1575="","",IFERROR(INDEX(合同单位,MATCH($D1575,合同键,0)),IFERROR(TRIM(LEFT($D1575,FIND("｜",$D1575)-1)),$D1575)))</f>
        <v/>
      </c>
      <c r="F1575" s="30" t="str">
        <f aca="false">IF($D1575="","",IFERROR(INDEX(合同项目,MATCH($D1575,合同键,0)),IFERROR(TRIM(MID($D1575,FIND("｜",$D1575)+1,99)),"")))</f>
        <v/>
      </c>
      <c r="G1575" s="39"/>
      <c r="H1575" s="25"/>
      <c r="I1575" s="35" t="str">
        <f aca="false">IF($H1575="","",IFERROR(INDEX(票据归类表,MATCH($H1575,票据类型表,0)),"现金无票"))</f>
        <v/>
      </c>
      <c r="J1575" s="25"/>
      <c r="K1575" s="25"/>
      <c r="L1575" s="31"/>
      <c r="M1575" s="29" t="str">
        <f aca="false">IF($C1575="","",YEAR($C1575))</f>
        <v/>
      </c>
      <c r="N1575" s="24"/>
      <c r="O1575" s="35" t="str">
        <f aca="false">IF($C1575="","",IF($D1575="","★没选客户项目",IF(COUNTIF(合同键,$D1575)=0,"★《维保合同》里没这个项目",IF(N($G1575)&lt;=0,"★收款金额要填",IF($H1575="","★票据类型要选",IF(AND($L1575&lt;&gt;"",COUNTIF(应收单号,$L1575)=0),"★关联的应收单号不存在",IF(AND($L1575&lt;&gt;"",IFERROR(INDEX(应收键,MATCH($L1575,应收单号,0)),"")&lt;&gt;$D1575),"★关联单号不是这个客户的",IF(AND($L1575&lt;&gt;"",ROUND(SUMIF(收款关联,$L1575,收款金额)-IFERROR(INDEX(应收金额,MATCH($L1575,应收单号,0)),0),2)&gt;0.001),"★指定冲销超过那张单的应收","OK"))))))))</f>
        <v/>
      </c>
    </row>
    <row r="1576" customFormat="false" ht="15" hidden="false" customHeight="false" outlineLevel="0" collapsed="false">
      <c r="A1576" s="29" t="str">
        <f aca="false">IF($C1576="","",ROW()-4)</f>
        <v/>
      </c>
      <c r="B1576" s="35" t="str">
        <f aca="false">IF($C1576="","","SK"&amp;TEXT($C1576,"yyyymm")&amp;"-"&amp;TEXT(ROW()-4,"0000"))</f>
        <v/>
      </c>
      <c r="C1576" s="33"/>
      <c r="D1576" s="24"/>
      <c r="E1576" s="30" t="str">
        <f aca="false">IF($D1576="","",IFERROR(INDEX(合同单位,MATCH($D1576,合同键,0)),IFERROR(TRIM(LEFT($D1576,FIND("｜",$D1576)-1)),$D1576)))</f>
        <v/>
      </c>
      <c r="F1576" s="30" t="str">
        <f aca="false">IF($D1576="","",IFERROR(INDEX(合同项目,MATCH($D1576,合同键,0)),IFERROR(TRIM(MID($D1576,FIND("｜",$D1576)+1,99)),"")))</f>
        <v/>
      </c>
      <c r="G1576" s="39"/>
      <c r="H1576" s="25"/>
      <c r="I1576" s="35" t="str">
        <f aca="false">IF($H1576="","",IFERROR(INDEX(票据归类表,MATCH($H1576,票据类型表,0)),"现金无票"))</f>
        <v/>
      </c>
      <c r="J1576" s="25"/>
      <c r="K1576" s="25"/>
      <c r="L1576" s="31"/>
      <c r="M1576" s="29" t="str">
        <f aca="false">IF($C1576="","",YEAR($C1576))</f>
        <v/>
      </c>
      <c r="N1576" s="24"/>
      <c r="O1576" s="35" t="str">
        <f aca="false">IF($C1576="","",IF($D1576="","★没选客户项目",IF(COUNTIF(合同键,$D1576)=0,"★《维保合同》里没这个项目",IF(N($G1576)&lt;=0,"★收款金额要填",IF($H1576="","★票据类型要选",IF(AND($L1576&lt;&gt;"",COUNTIF(应收单号,$L1576)=0),"★关联的应收单号不存在",IF(AND($L1576&lt;&gt;"",IFERROR(INDEX(应收键,MATCH($L1576,应收单号,0)),"")&lt;&gt;$D1576),"★关联单号不是这个客户的",IF(AND($L1576&lt;&gt;"",ROUND(SUMIF(收款关联,$L1576,收款金额)-IFERROR(INDEX(应收金额,MATCH($L1576,应收单号,0)),0),2)&gt;0.001),"★指定冲销超过那张单的应收","OK"))))))))</f>
        <v/>
      </c>
    </row>
    <row r="1577" customFormat="false" ht="15" hidden="false" customHeight="false" outlineLevel="0" collapsed="false">
      <c r="A1577" s="29" t="str">
        <f aca="false">IF($C1577="","",ROW()-4)</f>
        <v/>
      </c>
      <c r="B1577" s="35" t="str">
        <f aca="false">IF($C1577="","","SK"&amp;TEXT($C1577,"yyyymm")&amp;"-"&amp;TEXT(ROW()-4,"0000"))</f>
        <v/>
      </c>
      <c r="C1577" s="33"/>
      <c r="D1577" s="24"/>
      <c r="E1577" s="30" t="str">
        <f aca="false">IF($D1577="","",IFERROR(INDEX(合同单位,MATCH($D1577,合同键,0)),IFERROR(TRIM(LEFT($D1577,FIND("｜",$D1577)-1)),$D1577)))</f>
        <v/>
      </c>
      <c r="F1577" s="30" t="str">
        <f aca="false">IF($D1577="","",IFERROR(INDEX(合同项目,MATCH($D1577,合同键,0)),IFERROR(TRIM(MID($D1577,FIND("｜",$D1577)+1,99)),"")))</f>
        <v/>
      </c>
      <c r="G1577" s="39"/>
      <c r="H1577" s="25"/>
      <c r="I1577" s="35" t="str">
        <f aca="false">IF($H1577="","",IFERROR(INDEX(票据归类表,MATCH($H1577,票据类型表,0)),"现金无票"))</f>
        <v/>
      </c>
      <c r="J1577" s="25"/>
      <c r="K1577" s="25"/>
      <c r="L1577" s="31"/>
      <c r="M1577" s="29" t="str">
        <f aca="false">IF($C1577="","",YEAR($C1577))</f>
        <v/>
      </c>
      <c r="N1577" s="24"/>
      <c r="O1577" s="35" t="str">
        <f aca="false">IF($C1577="","",IF($D1577="","★没选客户项目",IF(COUNTIF(合同键,$D1577)=0,"★《维保合同》里没这个项目",IF(N($G1577)&lt;=0,"★收款金额要填",IF($H1577="","★票据类型要选",IF(AND($L1577&lt;&gt;"",COUNTIF(应收单号,$L1577)=0),"★关联的应收单号不存在",IF(AND($L1577&lt;&gt;"",IFERROR(INDEX(应收键,MATCH($L1577,应收单号,0)),"")&lt;&gt;$D1577),"★关联单号不是这个客户的",IF(AND($L1577&lt;&gt;"",ROUND(SUMIF(收款关联,$L1577,收款金额)-IFERROR(INDEX(应收金额,MATCH($L1577,应收单号,0)),0),2)&gt;0.001),"★指定冲销超过那张单的应收","OK"))))))))</f>
        <v/>
      </c>
    </row>
    <row r="1578" customFormat="false" ht="15" hidden="false" customHeight="false" outlineLevel="0" collapsed="false">
      <c r="A1578" s="29" t="str">
        <f aca="false">IF($C1578="","",ROW()-4)</f>
        <v/>
      </c>
      <c r="B1578" s="35" t="str">
        <f aca="false">IF($C1578="","","SK"&amp;TEXT($C1578,"yyyymm")&amp;"-"&amp;TEXT(ROW()-4,"0000"))</f>
        <v/>
      </c>
      <c r="C1578" s="33"/>
      <c r="D1578" s="24"/>
      <c r="E1578" s="30" t="str">
        <f aca="false">IF($D1578="","",IFERROR(INDEX(合同单位,MATCH($D1578,合同键,0)),IFERROR(TRIM(LEFT($D1578,FIND("｜",$D1578)-1)),$D1578)))</f>
        <v/>
      </c>
      <c r="F1578" s="30" t="str">
        <f aca="false">IF($D1578="","",IFERROR(INDEX(合同项目,MATCH($D1578,合同键,0)),IFERROR(TRIM(MID($D1578,FIND("｜",$D1578)+1,99)),"")))</f>
        <v/>
      </c>
      <c r="G1578" s="39"/>
      <c r="H1578" s="25"/>
      <c r="I1578" s="35" t="str">
        <f aca="false">IF($H1578="","",IFERROR(INDEX(票据归类表,MATCH($H1578,票据类型表,0)),"现金无票"))</f>
        <v/>
      </c>
      <c r="J1578" s="25"/>
      <c r="K1578" s="25"/>
      <c r="L1578" s="31"/>
      <c r="M1578" s="29" t="str">
        <f aca="false">IF($C1578="","",YEAR($C1578))</f>
        <v/>
      </c>
      <c r="N1578" s="24"/>
      <c r="O1578" s="35" t="str">
        <f aca="false">IF($C1578="","",IF($D1578="","★没选客户项目",IF(COUNTIF(合同键,$D1578)=0,"★《维保合同》里没这个项目",IF(N($G1578)&lt;=0,"★收款金额要填",IF($H1578="","★票据类型要选",IF(AND($L1578&lt;&gt;"",COUNTIF(应收单号,$L1578)=0),"★关联的应收单号不存在",IF(AND($L1578&lt;&gt;"",IFERROR(INDEX(应收键,MATCH($L1578,应收单号,0)),"")&lt;&gt;$D1578),"★关联单号不是这个客户的",IF(AND($L1578&lt;&gt;"",ROUND(SUMIF(收款关联,$L1578,收款金额)-IFERROR(INDEX(应收金额,MATCH($L1578,应收单号,0)),0),2)&gt;0.001),"★指定冲销超过那张单的应收","OK"))))))))</f>
        <v/>
      </c>
    </row>
    <row r="1579" customFormat="false" ht="15" hidden="false" customHeight="false" outlineLevel="0" collapsed="false">
      <c r="A1579" s="29" t="str">
        <f aca="false">IF($C1579="","",ROW()-4)</f>
        <v/>
      </c>
      <c r="B1579" s="35" t="str">
        <f aca="false">IF($C1579="","","SK"&amp;TEXT($C1579,"yyyymm")&amp;"-"&amp;TEXT(ROW()-4,"0000"))</f>
        <v/>
      </c>
      <c r="C1579" s="33"/>
      <c r="D1579" s="24"/>
      <c r="E1579" s="30" t="str">
        <f aca="false">IF($D1579="","",IFERROR(INDEX(合同单位,MATCH($D1579,合同键,0)),IFERROR(TRIM(LEFT($D1579,FIND("｜",$D1579)-1)),$D1579)))</f>
        <v/>
      </c>
      <c r="F1579" s="30" t="str">
        <f aca="false">IF($D1579="","",IFERROR(INDEX(合同项目,MATCH($D1579,合同键,0)),IFERROR(TRIM(MID($D1579,FIND("｜",$D1579)+1,99)),"")))</f>
        <v/>
      </c>
      <c r="G1579" s="39"/>
      <c r="H1579" s="25"/>
      <c r="I1579" s="35" t="str">
        <f aca="false">IF($H1579="","",IFERROR(INDEX(票据归类表,MATCH($H1579,票据类型表,0)),"现金无票"))</f>
        <v/>
      </c>
      <c r="J1579" s="25"/>
      <c r="K1579" s="25"/>
      <c r="L1579" s="31"/>
      <c r="M1579" s="29" t="str">
        <f aca="false">IF($C1579="","",YEAR($C1579))</f>
        <v/>
      </c>
      <c r="N1579" s="24"/>
      <c r="O1579" s="35" t="str">
        <f aca="false">IF($C1579="","",IF($D1579="","★没选客户项目",IF(COUNTIF(合同键,$D1579)=0,"★《维保合同》里没这个项目",IF(N($G1579)&lt;=0,"★收款金额要填",IF($H1579="","★票据类型要选",IF(AND($L1579&lt;&gt;"",COUNTIF(应收单号,$L1579)=0),"★关联的应收单号不存在",IF(AND($L1579&lt;&gt;"",IFERROR(INDEX(应收键,MATCH($L1579,应收单号,0)),"")&lt;&gt;$D1579),"★关联单号不是这个客户的",IF(AND($L1579&lt;&gt;"",ROUND(SUMIF(收款关联,$L1579,收款金额)-IFERROR(INDEX(应收金额,MATCH($L1579,应收单号,0)),0),2)&gt;0.001),"★指定冲销超过那张单的应收","OK"))))))))</f>
        <v/>
      </c>
    </row>
    <row r="1580" customFormat="false" ht="15" hidden="false" customHeight="false" outlineLevel="0" collapsed="false">
      <c r="A1580" s="29" t="str">
        <f aca="false">IF($C1580="","",ROW()-4)</f>
        <v/>
      </c>
      <c r="B1580" s="35" t="str">
        <f aca="false">IF($C1580="","","SK"&amp;TEXT($C1580,"yyyymm")&amp;"-"&amp;TEXT(ROW()-4,"0000"))</f>
        <v/>
      </c>
      <c r="C1580" s="33"/>
      <c r="D1580" s="24"/>
      <c r="E1580" s="30" t="str">
        <f aca="false">IF($D1580="","",IFERROR(INDEX(合同单位,MATCH($D1580,合同键,0)),IFERROR(TRIM(LEFT($D1580,FIND("｜",$D1580)-1)),$D1580)))</f>
        <v/>
      </c>
      <c r="F1580" s="30" t="str">
        <f aca="false">IF($D1580="","",IFERROR(INDEX(合同项目,MATCH($D1580,合同键,0)),IFERROR(TRIM(MID($D1580,FIND("｜",$D1580)+1,99)),"")))</f>
        <v/>
      </c>
      <c r="G1580" s="39"/>
      <c r="H1580" s="25"/>
      <c r="I1580" s="35" t="str">
        <f aca="false">IF($H1580="","",IFERROR(INDEX(票据归类表,MATCH($H1580,票据类型表,0)),"现金无票"))</f>
        <v/>
      </c>
      <c r="J1580" s="25"/>
      <c r="K1580" s="25"/>
      <c r="L1580" s="31"/>
      <c r="M1580" s="29" t="str">
        <f aca="false">IF($C1580="","",YEAR($C1580))</f>
        <v/>
      </c>
      <c r="N1580" s="24"/>
      <c r="O1580" s="35" t="str">
        <f aca="false">IF($C1580="","",IF($D1580="","★没选客户项目",IF(COUNTIF(合同键,$D1580)=0,"★《维保合同》里没这个项目",IF(N($G1580)&lt;=0,"★收款金额要填",IF($H1580="","★票据类型要选",IF(AND($L1580&lt;&gt;"",COUNTIF(应收单号,$L1580)=0),"★关联的应收单号不存在",IF(AND($L1580&lt;&gt;"",IFERROR(INDEX(应收键,MATCH($L1580,应收单号,0)),"")&lt;&gt;$D1580),"★关联单号不是这个客户的",IF(AND($L1580&lt;&gt;"",ROUND(SUMIF(收款关联,$L1580,收款金额)-IFERROR(INDEX(应收金额,MATCH($L1580,应收单号,0)),0),2)&gt;0.001),"★指定冲销超过那张单的应收","OK"))))))))</f>
        <v/>
      </c>
    </row>
    <row r="1581" customFormat="false" ht="15" hidden="false" customHeight="false" outlineLevel="0" collapsed="false">
      <c r="A1581" s="29" t="str">
        <f aca="false">IF($C1581="","",ROW()-4)</f>
        <v/>
      </c>
      <c r="B1581" s="35" t="str">
        <f aca="false">IF($C1581="","","SK"&amp;TEXT($C1581,"yyyymm")&amp;"-"&amp;TEXT(ROW()-4,"0000"))</f>
        <v/>
      </c>
      <c r="C1581" s="33"/>
      <c r="D1581" s="24"/>
      <c r="E1581" s="30" t="str">
        <f aca="false">IF($D1581="","",IFERROR(INDEX(合同单位,MATCH($D1581,合同键,0)),IFERROR(TRIM(LEFT($D1581,FIND("｜",$D1581)-1)),$D1581)))</f>
        <v/>
      </c>
      <c r="F1581" s="30" t="str">
        <f aca="false">IF($D1581="","",IFERROR(INDEX(合同项目,MATCH($D1581,合同键,0)),IFERROR(TRIM(MID($D1581,FIND("｜",$D1581)+1,99)),"")))</f>
        <v/>
      </c>
      <c r="G1581" s="39"/>
      <c r="H1581" s="25"/>
      <c r="I1581" s="35" t="str">
        <f aca="false">IF($H1581="","",IFERROR(INDEX(票据归类表,MATCH($H1581,票据类型表,0)),"现金无票"))</f>
        <v/>
      </c>
      <c r="J1581" s="25"/>
      <c r="K1581" s="25"/>
      <c r="L1581" s="31"/>
      <c r="M1581" s="29" t="str">
        <f aca="false">IF($C1581="","",YEAR($C1581))</f>
        <v/>
      </c>
      <c r="N1581" s="24"/>
      <c r="O1581" s="35" t="str">
        <f aca="false">IF($C1581="","",IF($D1581="","★没选客户项目",IF(COUNTIF(合同键,$D1581)=0,"★《维保合同》里没这个项目",IF(N($G1581)&lt;=0,"★收款金额要填",IF($H1581="","★票据类型要选",IF(AND($L1581&lt;&gt;"",COUNTIF(应收单号,$L1581)=0),"★关联的应收单号不存在",IF(AND($L1581&lt;&gt;"",IFERROR(INDEX(应收键,MATCH($L1581,应收单号,0)),"")&lt;&gt;$D1581),"★关联单号不是这个客户的",IF(AND($L1581&lt;&gt;"",ROUND(SUMIF(收款关联,$L1581,收款金额)-IFERROR(INDEX(应收金额,MATCH($L1581,应收单号,0)),0),2)&gt;0.001),"★指定冲销超过那张单的应收","OK"))))))))</f>
        <v/>
      </c>
    </row>
    <row r="1582" customFormat="false" ht="15" hidden="false" customHeight="false" outlineLevel="0" collapsed="false">
      <c r="A1582" s="29" t="str">
        <f aca="false">IF($C1582="","",ROW()-4)</f>
        <v/>
      </c>
      <c r="B1582" s="35" t="str">
        <f aca="false">IF($C1582="","","SK"&amp;TEXT($C1582,"yyyymm")&amp;"-"&amp;TEXT(ROW()-4,"0000"))</f>
        <v/>
      </c>
      <c r="C1582" s="33"/>
      <c r="D1582" s="24"/>
      <c r="E1582" s="30" t="str">
        <f aca="false">IF($D1582="","",IFERROR(INDEX(合同单位,MATCH($D1582,合同键,0)),IFERROR(TRIM(LEFT($D1582,FIND("｜",$D1582)-1)),$D1582)))</f>
        <v/>
      </c>
      <c r="F1582" s="30" t="str">
        <f aca="false">IF($D1582="","",IFERROR(INDEX(合同项目,MATCH($D1582,合同键,0)),IFERROR(TRIM(MID($D1582,FIND("｜",$D1582)+1,99)),"")))</f>
        <v/>
      </c>
      <c r="G1582" s="39"/>
      <c r="H1582" s="25"/>
      <c r="I1582" s="35" t="str">
        <f aca="false">IF($H1582="","",IFERROR(INDEX(票据归类表,MATCH($H1582,票据类型表,0)),"现金无票"))</f>
        <v/>
      </c>
      <c r="J1582" s="25"/>
      <c r="K1582" s="25"/>
      <c r="L1582" s="31"/>
      <c r="M1582" s="29" t="str">
        <f aca="false">IF($C1582="","",YEAR($C1582))</f>
        <v/>
      </c>
      <c r="N1582" s="24"/>
      <c r="O1582" s="35" t="str">
        <f aca="false">IF($C1582="","",IF($D1582="","★没选客户项目",IF(COUNTIF(合同键,$D1582)=0,"★《维保合同》里没这个项目",IF(N($G1582)&lt;=0,"★收款金额要填",IF($H1582="","★票据类型要选",IF(AND($L1582&lt;&gt;"",COUNTIF(应收单号,$L1582)=0),"★关联的应收单号不存在",IF(AND($L1582&lt;&gt;"",IFERROR(INDEX(应收键,MATCH($L1582,应收单号,0)),"")&lt;&gt;$D1582),"★关联单号不是这个客户的",IF(AND($L1582&lt;&gt;"",ROUND(SUMIF(收款关联,$L1582,收款金额)-IFERROR(INDEX(应收金额,MATCH($L1582,应收单号,0)),0),2)&gt;0.001),"★指定冲销超过那张单的应收","OK"))))))))</f>
        <v/>
      </c>
    </row>
    <row r="1583" customFormat="false" ht="15" hidden="false" customHeight="false" outlineLevel="0" collapsed="false">
      <c r="A1583" s="29" t="str">
        <f aca="false">IF($C1583="","",ROW()-4)</f>
        <v/>
      </c>
      <c r="B1583" s="35" t="str">
        <f aca="false">IF($C1583="","","SK"&amp;TEXT($C1583,"yyyymm")&amp;"-"&amp;TEXT(ROW()-4,"0000"))</f>
        <v/>
      </c>
      <c r="C1583" s="33"/>
      <c r="D1583" s="24"/>
      <c r="E1583" s="30" t="str">
        <f aca="false">IF($D1583="","",IFERROR(INDEX(合同单位,MATCH($D1583,合同键,0)),IFERROR(TRIM(LEFT($D1583,FIND("｜",$D1583)-1)),$D1583)))</f>
        <v/>
      </c>
      <c r="F1583" s="30" t="str">
        <f aca="false">IF($D1583="","",IFERROR(INDEX(合同项目,MATCH($D1583,合同键,0)),IFERROR(TRIM(MID($D1583,FIND("｜",$D1583)+1,99)),"")))</f>
        <v/>
      </c>
      <c r="G1583" s="39"/>
      <c r="H1583" s="25"/>
      <c r="I1583" s="35" t="str">
        <f aca="false">IF($H1583="","",IFERROR(INDEX(票据归类表,MATCH($H1583,票据类型表,0)),"现金无票"))</f>
        <v/>
      </c>
      <c r="J1583" s="25"/>
      <c r="K1583" s="25"/>
      <c r="L1583" s="31"/>
      <c r="M1583" s="29" t="str">
        <f aca="false">IF($C1583="","",YEAR($C1583))</f>
        <v/>
      </c>
      <c r="N1583" s="24"/>
      <c r="O1583" s="35" t="str">
        <f aca="false">IF($C1583="","",IF($D1583="","★没选客户项目",IF(COUNTIF(合同键,$D1583)=0,"★《维保合同》里没这个项目",IF(N($G1583)&lt;=0,"★收款金额要填",IF($H1583="","★票据类型要选",IF(AND($L1583&lt;&gt;"",COUNTIF(应收单号,$L1583)=0),"★关联的应收单号不存在",IF(AND($L1583&lt;&gt;"",IFERROR(INDEX(应收键,MATCH($L1583,应收单号,0)),"")&lt;&gt;$D1583),"★关联单号不是这个客户的",IF(AND($L1583&lt;&gt;"",ROUND(SUMIF(收款关联,$L1583,收款金额)-IFERROR(INDEX(应收金额,MATCH($L1583,应收单号,0)),0),2)&gt;0.001),"★指定冲销超过那张单的应收","OK"))))))))</f>
        <v/>
      </c>
    </row>
    <row r="1584" customFormat="false" ht="15" hidden="false" customHeight="false" outlineLevel="0" collapsed="false">
      <c r="A1584" s="29" t="str">
        <f aca="false">IF($C1584="","",ROW()-4)</f>
        <v/>
      </c>
      <c r="B1584" s="35" t="str">
        <f aca="false">IF($C1584="","","SK"&amp;TEXT($C1584,"yyyymm")&amp;"-"&amp;TEXT(ROW()-4,"0000"))</f>
        <v/>
      </c>
      <c r="C1584" s="33"/>
      <c r="D1584" s="24"/>
      <c r="E1584" s="30" t="str">
        <f aca="false">IF($D1584="","",IFERROR(INDEX(合同单位,MATCH($D1584,合同键,0)),IFERROR(TRIM(LEFT($D1584,FIND("｜",$D1584)-1)),$D1584)))</f>
        <v/>
      </c>
      <c r="F1584" s="30" t="str">
        <f aca="false">IF($D1584="","",IFERROR(INDEX(合同项目,MATCH($D1584,合同键,0)),IFERROR(TRIM(MID($D1584,FIND("｜",$D1584)+1,99)),"")))</f>
        <v/>
      </c>
      <c r="G1584" s="39"/>
      <c r="H1584" s="25"/>
      <c r="I1584" s="35" t="str">
        <f aca="false">IF($H1584="","",IFERROR(INDEX(票据归类表,MATCH($H1584,票据类型表,0)),"现金无票"))</f>
        <v/>
      </c>
      <c r="J1584" s="25"/>
      <c r="K1584" s="25"/>
      <c r="L1584" s="31"/>
      <c r="M1584" s="29" t="str">
        <f aca="false">IF($C1584="","",YEAR($C1584))</f>
        <v/>
      </c>
      <c r="N1584" s="24"/>
      <c r="O1584" s="35" t="str">
        <f aca="false">IF($C1584="","",IF($D1584="","★没选客户项目",IF(COUNTIF(合同键,$D1584)=0,"★《维保合同》里没这个项目",IF(N($G1584)&lt;=0,"★收款金额要填",IF($H1584="","★票据类型要选",IF(AND($L1584&lt;&gt;"",COUNTIF(应收单号,$L1584)=0),"★关联的应收单号不存在",IF(AND($L1584&lt;&gt;"",IFERROR(INDEX(应收键,MATCH($L1584,应收单号,0)),"")&lt;&gt;$D1584),"★关联单号不是这个客户的",IF(AND($L1584&lt;&gt;"",ROUND(SUMIF(收款关联,$L1584,收款金额)-IFERROR(INDEX(应收金额,MATCH($L1584,应收单号,0)),0),2)&gt;0.001),"★指定冲销超过那张单的应收","OK"))))))))</f>
        <v/>
      </c>
    </row>
    <row r="1585" customFormat="false" ht="15" hidden="false" customHeight="false" outlineLevel="0" collapsed="false">
      <c r="A1585" s="29" t="str">
        <f aca="false">IF($C1585="","",ROW()-4)</f>
        <v/>
      </c>
      <c r="B1585" s="35" t="str">
        <f aca="false">IF($C1585="","","SK"&amp;TEXT($C1585,"yyyymm")&amp;"-"&amp;TEXT(ROW()-4,"0000"))</f>
        <v/>
      </c>
      <c r="C1585" s="33"/>
      <c r="D1585" s="24"/>
      <c r="E1585" s="30" t="str">
        <f aca="false">IF($D1585="","",IFERROR(INDEX(合同单位,MATCH($D1585,合同键,0)),IFERROR(TRIM(LEFT($D1585,FIND("｜",$D1585)-1)),$D1585)))</f>
        <v/>
      </c>
      <c r="F1585" s="30" t="str">
        <f aca="false">IF($D1585="","",IFERROR(INDEX(合同项目,MATCH($D1585,合同键,0)),IFERROR(TRIM(MID($D1585,FIND("｜",$D1585)+1,99)),"")))</f>
        <v/>
      </c>
      <c r="G1585" s="39"/>
      <c r="H1585" s="25"/>
      <c r="I1585" s="35" t="str">
        <f aca="false">IF($H1585="","",IFERROR(INDEX(票据归类表,MATCH($H1585,票据类型表,0)),"现金无票"))</f>
        <v/>
      </c>
      <c r="J1585" s="25"/>
      <c r="K1585" s="25"/>
      <c r="L1585" s="31"/>
      <c r="M1585" s="29" t="str">
        <f aca="false">IF($C1585="","",YEAR($C1585))</f>
        <v/>
      </c>
      <c r="N1585" s="24"/>
      <c r="O1585" s="35" t="str">
        <f aca="false">IF($C1585="","",IF($D1585="","★没选客户项目",IF(COUNTIF(合同键,$D1585)=0,"★《维保合同》里没这个项目",IF(N($G1585)&lt;=0,"★收款金额要填",IF($H1585="","★票据类型要选",IF(AND($L1585&lt;&gt;"",COUNTIF(应收单号,$L1585)=0),"★关联的应收单号不存在",IF(AND($L1585&lt;&gt;"",IFERROR(INDEX(应收键,MATCH($L1585,应收单号,0)),"")&lt;&gt;$D1585),"★关联单号不是这个客户的",IF(AND($L1585&lt;&gt;"",ROUND(SUMIF(收款关联,$L1585,收款金额)-IFERROR(INDEX(应收金额,MATCH($L1585,应收单号,0)),0),2)&gt;0.001),"★指定冲销超过那张单的应收","OK"))))))))</f>
        <v/>
      </c>
    </row>
    <row r="1586" customFormat="false" ht="15" hidden="false" customHeight="false" outlineLevel="0" collapsed="false">
      <c r="A1586" s="29" t="str">
        <f aca="false">IF($C1586="","",ROW()-4)</f>
        <v/>
      </c>
      <c r="B1586" s="35" t="str">
        <f aca="false">IF($C1586="","","SK"&amp;TEXT($C1586,"yyyymm")&amp;"-"&amp;TEXT(ROW()-4,"0000"))</f>
        <v/>
      </c>
      <c r="C1586" s="33"/>
      <c r="D1586" s="24"/>
      <c r="E1586" s="30" t="str">
        <f aca="false">IF($D1586="","",IFERROR(INDEX(合同单位,MATCH($D1586,合同键,0)),IFERROR(TRIM(LEFT($D1586,FIND("｜",$D1586)-1)),$D1586)))</f>
        <v/>
      </c>
      <c r="F1586" s="30" t="str">
        <f aca="false">IF($D1586="","",IFERROR(INDEX(合同项目,MATCH($D1586,合同键,0)),IFERROR(TRIM(MID($D1586,FIND("｜",$D1586)+1,99)),"")))</f>
        <v/>
      </c>
      <c r="G1586" s="39"/>
      <c r="H1586" s="25"/>
      <c r="I1586" s="35" t="str">
        <f aca="false">IF($H1586="","",IFERROR(INDEX(票据归类表,MATCH($H1586,票据类型表,0)),"现金无票"))</f>
        <v/>
      </c>
      <c r="J1586" s="25"/>
      <c r="K1586" s="25"/>
      <c r="L1586" s="31"/>
      <c r="M1586" s="29" t="str">
        <f aca="false">IF($C1586="","",YEAR($C1586))</f>
        <v/>
      </c>
      <c r="N1586" s="24"/>
      <c r="O1586" s="35" t="str">
        <f aca="false">IF($C1586="","",IF($D1586="","★没选客户项目",IF(COUNTIF(合同键,$D1586)=0,"★《维保合同》里没这个项目",IF(N($G1586)&lt;=0,"★收款金额要填",IF($H1586="","★票据类型要选",IF(AND($L1586&lt;&gt;"",COUNTIF(应收单号,$L1586)=0),"★关联的应收单号不存在",IF(AND($L1586&lt;&gt;"",IFERROR(INDEX(应收键,MATCH($L1586,应收单号,0)),"")&lt;&gt;$D1586),"★关联单号不是这个客户的",IF(AND($L1586&lt;&gt;"",ROUND(SUMIF(收款关联,$L1586,收款金额)-IFERROR(INDEX(应收金额,MATCH($L1586,应收单号,0)),0),2)&gt;0.001),"★指定冲销超过那张单的应收","OK"))))))))</f>
        <v/>
      </c>
    </row>
    <row r="1587" customFormat="false" ht="15" hidden="false" customHeight="false" outlineLevel="0" collapsed="false">
      <c r="A1587" s="29" t="str">
        <f aca="false">IF($C1587="","",ROW()-4)</f>
        <v/>
      </c>
      <c r="B1587" s="35" t="str">
        <f aca="false">IF($C1587="","","SK"&amp;TEXT($C1587,"yyyymm")&amp;"-"&amp;TEXT(ROW()-4,"0000"))</f>
        <v/>
      </c>
      <c r="C1587" s="33"/>
      <c r="D1587" s="24"/>
      <c r="E1587" s="30" t="str">
        <f aca="false">IF($D1587="","",IFERROR(INDEX(合同单位,MATCH($D1587,合同键,0)),IFERROR(TRIM(LEFT($D1587,FIND("｜",$D1587)-1)),$D1587)))</f>
        <v/>
      </c>
      <c r="F1587" s="30" t="str">
        <f aca="false">IF($D1587="","",IFERROR(INDEX(合同项目,MATCH($D1587,合同键,0)),IFERROR(TRIM(MID($D1587,FIND("｜",$D1587)+1,99)),"")))</f>
        <v/>
      </c>
      <c r="G1587" s="39"/>
      <c r="H1587" s="25"/>
      <c r="I1587" s="35" t="str">
        <f aca="false">IF($H1587="","",IFERROR(INDEX(票据归类表,MATCH($H1587,票据类型表,0)),"现金无票"))</f>
        <v/>
      </c>
      <c r="J1587" s="25"/>
      <c r="K1587" s="25"/>
      <c r="L1587" s="31"/>
      <c r="M1587" s="29" t="str">
        <f aca="false">IF($C1587="","",YEAR($C1587))</f>
        <v/>
      </c>
      <c r="N1587" s="24"/>
      <c r="O1587" s="35" t="str">
        <f aca="false">IF($C1587="","",IF($D1587="","★没选客户项目",IF(COUNTIF(合同键,$D1587)=0,"★《维保合同》里没这个项目",IF(N($G1587)&lt;=0,"★收款金额要填",IF($H1587="","★票据类型要选",IF(AND($L1587&lt;&gt;"",COUNTIF(应收单号,$L1587)=0),"★关联的应收单号不存在",IF(AND($L1587&lt;&gt;"",IFERROR(INDEX(应收键,MATCH($L1587,应收单号,0)),"")&lt;&gt;$D1587),"★关联单号不是这个客户的",IF(AND($L1587&lt;&gt;"",ROUND(SUMIF(收款关联,$L1587,收款金额)-IFERROR(INDEX(应收金额,MATCH($L1587,应收单号,0)),0),2)&gt;0.001),"★指定冲销超过那张单的应收","OK"))))))))</f>
        <v/>
      </c>
    </row>
    <row r="1588" customFormat="false" ht="15" hidden="false" customHeight="false" outlineLevel="0" collapsed="false">
      <c r="A1588" s="29" t="str">
        <f aca="false">IF($C1588="","",ROW()-4)</f>
        <v/>
      </c>
      <c r="B1588" s="35" t="str">
        <f aca="false">IF($C1588="","","SK"&amp;TEXT($C1588,"yyyymm")&amp;"-"&amp;TEXT(ROW()-4,"0000"))</f>
        <v/>
      </c>
      <c r="C1588" s="33"/>
      <c r="D1588" s="24"/>
      <c r="E1588" s="30" t="str">
        <f aca="false">IF($D1588="","",IFERROR(INDEX(合同单位,MATCH($D1588,合同键,0)),IFERROR(TRIM(LEFT($D1588,FIND("｜",$D1588)-1)),$D1588)))</f>
        <v/>
      </c>
      <c r="F1588" s="30" t="str">
        <f aca="false">IF($D1588="","",IFERROR(INDEX(合同项目,MATCH($D1588,合同键,0)),IFERROR(TRIM(MID($D1588,FIND("｜",$D1588)+1,99)),"")))</f>
        <v/>
      </c>
      <c r="G1588" s="39"/>
      <c r="H1588" s="25"/>
      <c r="I1588" s="35" t="str">
        <f aca="false">IF($H1588="","",IFERROR(INDEX(票据归类表,MATCH($H1588,票据类型表,0)),"现金无票"))</f>
        <v/>
      </c>
      <c r="J1588" s="25"/>
      <c r="K1588" s="25"/>
      <c r="L1588" s="31"/>
      <c r="M1588" s="29" t="str">
        <f aca="false">IF($C1588="","",YEAR($C1588))</f>
        <v/>
      </c>
      <c r="N1588" s="24"/>
      <c r="O1588" s="35" t="str">
        <f aca="false">IF($C1588="","",IF($D1588="","★没选客户项目",IF(COUNTIF(合同键,$D1588)=0,"★《维保合同》里没这个项目",IF(N($G1588)&lt;=0,"★收款金额要填",IF($H1588="","★票据类型要选",IF(AND($L1588&lt;&gt;"",COUNTIF(应收单号,$L1588)=0),"★关联的应收单号不存在",IF(AND($L1588&lt;&gt;"",IFERROR(INDEX(应收键,MATCH($L1588,应收单号,0)),"")&lt;&gt;$D1588),"★关联单号不是这个客户的",IF(AND($L1588&lt;&gt;"",ROUND(SUMIF(收款关联,$L1588,收款金额)-IFERROR(INDEX(应收金额,MATCH($L1588,应收单号,0)),0),2)&gt;0.001),"★指定冲销超过那张单的应收","OK"))))))))</f>
        <v/>
      </c>
    </row>
    <row r="1589" customFormat="false" ht="15" hidden="false" customHeight="false" outlineLevel="0" collapsed="false">
      <c r="A1589" s="29" t="str">
        <f aca="false">IF($C1589="","",ROW()-4)</f>
        <v/>
      </c>
      <c r="B1589" s="35" t="str">
        <f aca="false">IF($C1589="","","SK"&amp;TEXT($C1589,"yyyymm")&amp;"-"&amp;TEXT(ROW()-4,"0000"))</f>
        <v/>
      </c>
      <c r="C1589" s="33"/>
      <c r="D1589" s="24"/>
      <c r="E1589" s="30" t="str">
        <f aca="false">IF($D1589="","",IFERROR(INDEX(合同单位,MATCH($D1589,合同键,0)),IFERROR(TRIM(LEFT($D1589,FIND("｜",$D1589)-1)),$D1589)))</f>
        <v/>
      </c>
      <c r="F1589" s="30" t="str">
        <f aca="false">IF($D1589="","",IFERROR(INDEX(合同项目,MATCH($D1589,合同键,0)),IFERROR(TRIM(MID($D1589,FIND("｜",$D1589)+1,99)),"")))</f>
        <v/>
      </c>
      <c r="G1589" s="39"/>
      <c r="H1589" s="25"/>
      <c r="I1589" s="35" t="str">
        <f aca="false">IF($H1589="","",IFERROR(INDEX(票据归类表,MATCH($H1589,票据类型表,0)),"现金无票"))</f>
        <v/>
      </c>
      <c r="J1589" s="25"/>
      <c r="K1589" s="25"/>
      <c r="L1589" s="31"/>
      <c r="M1589" s="29" t="str">
        <f aca="false">IF($C1589="","",YEAR($C1589))</f>
        <v/>
      </c>
      <c r="N1589" s="24"/>
      <c r="O1589" s="35" t="str">
        <f aca="false">IF($C1589="","",IF($D1589="","★没选客户项目",IF(COUNTIF(合同键,$D1589)=0,"★《维保合同》里没这个项目",IF(N($G1589)&lt;=0,"★收款金额要填",IF($H1589="","★票据类型要选",IF(AND($L1589&lt;&gt;"",COUNTIF(应收单号,$L1589)=0),"★关联的应收单号不存在",IF(AND($L1589&lt;&gt;"",IFERROR(INDEX(应收键,MATCH($L1589,应收单号,0)),"")&lt;&gt;$D1589),"★关联单号不是这个客户的",IF(AND($L1589&lt;&gt;"",ROUND(SUMIF(收款关联,$L1589,收款金额)-IFERROR(INDEX(应收金额,MATCH($L1589,应收单号,0)),0),2)&gt;0.001),"★指定冲销超过那张单的应收","OK"))))))))</f>
        <v/>
      </c>
    </row>
    <row r="1590" customFormat="false" ht="15" hidden="false" customHeight="false" outlineLevel="0" collapsed="false">
      <c r="A1590" s="29" t="str">
        <f aca="false">IF($C1590="","",ROW()-4)</f>
        <v/>
      </c>
      <c r="B1590" s="35" t="str">
        <f aca="false">IF($C1590="","","SK"&amp;TEXT($C1590,"yyyymm")&amp;"-"&amp;TEXT(ROW()-4,"0000"))</f>
        <v/>
      </c>
      <c r="C1590" s="33"/>
      <c r="D1590" s="24"/>
      <c r="E1590" s="30" t="str">
        <f aca="false">IF($D1590="","",IFERROR(INDEX(合同单位,MATCH($D1590,合同键,0)),IFERROR(TRIM(LEFT($D1590,FIND("｜",$D1590)-1)),$D1590)))</f>
        <v/>
      </c>
      <c r="F1590" s="30" t="str">
        <f aca="false">IF($D1590="","",IFERROR(INDEX(合同项目,MATCH($D1590,合同键,0)),IFERROR(TRIM(MID($D1590,FIND("｜",$D1590)+1,99)),"")))</f>
        <v/>
      </c>
      <c r="G1590" s="39"/>
      <c r="H1590" s="25"/>
      <c r="I1590" s="35" t="str">
        <f aca="false">IF($H1590="","",IFERROR(INDEX(票据归类表,MATCH($H1590,票据类型表,0)),"现金无票"))</f>
        <v/>
      </c>
      <c r="J1590" s="25"/>
      <c r="K1590" s="25"/>
      <c r="L1590" s="31"/>
      <c r="M1590" s="29" t="str">
        <f aca="false">IF($C1590="","",YEAR($C1590))</f>
        <v/>
      </c>
      <c r="N1590" s="24"/>
      <c r="O1590" s="35" t="str">
        <f aca="false">IF($C1590="","",IF($D1590="","★没选客户项目",IF(COUNTIF(合同键,$D1590)=0,"★《维保合同》里没这个项目",IF(N($G1590)&lt;=0,"★收款金额要填",IF($H1590="","★票据类型要选",IF(AND($L1590&lt;&gt;"",COUNTIF(应收单号,$L1590)=0),"★关联的应收单号不存在",IF(AND($L1590&lt;&gt;"",IFERROR(INDEX(应收键,MATCH($L1590,应收单号,0)),"")&lt;&gt;$D1590),"★关联单号不是这个客户的",IF(AND($L1590&lt;&gt;"",ROUND(SUMIF(收款关联,$L1590,收款金额)-IFERROR(INDEX(应收金额,MATCH($L1590,应收单号,0)),0),2)&gt;0.001),"★指定冲销超过那张单的应收","OK"))))))))</f>
        <v/>
      </c>
    </row>
    <row r="1591" customFormat="false" ht="15" hidden="false" customHeight="false" outlineLevel="0" collapsed="false">
      <c r="A1591" s="29" t="str">
        <f aca="false">IF($C1591="","",ROW()-4)</f>
        <v/>
      </c>
      <c r="B1591" s="35" t="str">
        <f aca="false">IF($C1591="","","SK"&amp;TEXT($C1591,"yyyymm")&amp;"-"&amp;TEXT(ROW()-4,"0000"))</f>
        <v/>
      </c>
      <c r="C1591" s="33"/>
      <c r="D1591" s="24"/>
      <c r="E1591" s="30" t="str">
        <f aca="false">IF($D1591="","",IFERROR(INDEX(合同单位,MATCH($D1591,合同键,0)),IFERROR(TRIM(LEFT($D1591,FIND("｜",$D1591)-1)),$D1591)))</f>
        <v/>
      </c>
      <c r="F1591" s="30" t="str">
        <f aca="false">IF($D1591="","",IFERROR(INDEX(合同项目,MATCH($D1591,合同键,0)),IFERROR(TRIM(MID($D1591,FIND("｜",$D1591)+1,99)),"")))</f>
        <v/>
      </c>
      <c r="G1591" s="39"/>
      <c r="H1591" s="25"/>
      <c r="I1591" s="35" t="str">
        <f aca="false">IF($H1591="","",IFERROR(INDEX(票据归类表,MATCH($H1591,票据类型表,0)),"现金无票"))</f>
        <v/>
      </c>
      <c r="J1591" s="25"/>
      <c r="K1591" s="25"/>
      <c r="L1591" s="31"/>
      <c r="M1591" s="29" t="str">
        <f aca="false">IF($C1591="","",YEAR($C1591))</f>
        <v/>
      </c>
      <c r="N1591" s="24"/>
      <c r="O1591" s="35" t="str">
        <f aca="false">IF($C1591="","",IF($D1591="","★没选客户项目",IF(COUNTIF(合同键,$D1591)=0,"★《维保合同》里没这个项目",IF(N($G1591)&lt;=0,"★收款金额要填",IF($H1591="","★票据类型要选",IF(AND($L1591&lt;&gt;"",COUNTIF(应收单号,$L1591)=0),"★关联的应收单号不存在",IF(AND($L1591&lt;&gt;"",IFERROR(INDEX(应收键,MATCH($L1591,应收单号,0)),"")&lt;&gt;$D1591),"★关联单号不是这个客户的",IF(AND($L1591&lt;&gt;"",ROUND(SUMIF(收款关联,$L1591,收款金额)-IFERROR(INDEX(应收金额,MATCH($L1591,应收单号,0)),0),2)&gt;0.001),"★指定冲销超过那张单的应收","OK"))))))))</f>
        <v/>
      </c>
    </row>
    <row r="1592" customFormat="false" ht="15" hidden="false" customHeight="false" outlineLevel="0" collapsed="false">
      <c r="A1592" s="29" t="str">
        <f aca="false">IF($C1592="","",ROW()-4)</f>
        <v/>
      </c>
      <c r="B1592" s="35" t="str">
        <f aca="false">IF($C1592="","","SK"&amp;TEXT($C1592,"yyyymm")&amp;"-"&amp;TEXT(ROW()-4,"0000"))</f>
        <v/>
      </c>
      <c r="C1592" s="33"/>
      <c r="D1592" s="24"/>
      <c r="E1592" s="30" t="str">
        <f aca="false">IF($D1592="","",IFERROR(INDEX(合同单位,MATCH($D1592,合同键,0)),IFERROR(TRIM(LEFT($D1592,FIND("｜",$D1592)-1)),$D1592)))</f>
        <v/>
      </c>
      <c r="F1592" s="30" t="str">
        <f aca="false">IF($D1592="","",IFERROR(INDEX(合同项目,MATCH($D1592,合同键,0)),IFERROR(TRIM(MID($D1592,FIND("｜",$D1592)+1,99)),"")))</f>
        <v/>
      </c>
      <c r="G1592" s="39"/>
      <c r="H1592" s="25"/>
      <c r="I1592" s="35" t="str">
        <f aca="false">IF($H1592="","",IFERROR(INDEX(票据归类表,MATCH($H1592,票据类型表,0)),"现金无票"))</f>
        <v/>
      </c>
      <c r="J1592" s="25"/>
      <c r="K1592" s="25"/>
      <c r="L1592" s="31"/>
      <c r="M1592" s="29" t="str">
        <f aca="false">IF($C1592="","",YEAR($C1592))</f>
        <v/>
      </c>
      <c r="N1592" s="24"/>
      <c r="O1592" s="35" t="str">
        <f aca="false">IF($C1592="","",IF($D1592="","★没选客户项目",IF(COUNTIF(合同键,$D1592)=0,"★《维保合同》里没这个项目",IF(N($G1592)&lt;=0,"★收款金额要填",IF($H1592="","★票据类型要选",IF(AND($L1592&lt;&gt;"",COUNTIF(应收单号,$L1592)=0),"★关联的应收单号不存在",IF(AND($L1592&lt;&gt;"",IFERROR(INDEX(应收键,MATCH($L1592,应收单号,0)),"")&lt;&gt;$D1592),"★关联单号不是这个客户的",IF(AND($L1592&lt;&gt;"",ROUND(SUMIF(收款关联,$L1592,收款金额)-IFERROR(INDEX(应收金额,MATCH($L1592,应收单号,0)),0),2)&gt;0.001),"★指定冲销超过那张单的应收","OK"))))))))</f>
        <v/>
      </c>
    </row>
    <row r="1593" customFormat="false" ht="15" hidden="false" customHeight="false" outlineLevel="0" collapsed="false">
      <c r="A1593" s="29" t="str">
        <f aca="false">IF($C1593="","",ROW()-4)</f>
        <v/>
      </c>
      <c r="B1593" s="35" t="str">
        <f aca="false">IF($C1593="","","SK"&amp;TEXT($C1593,"yyyymm")&amp;"-"&amp;TEXT(ROW()-4,"0000"))</f>
        <v/>
      </c>
      <c r="C1593" s="33"/>
      <c r="D1593" s="24"/>
      <c r="E1593" s="30" t="str">
        <f aca="false">IF($D1593="","",IFERROR(INDEX(合同单位,MATCH($D1593,合同键,0)),IFERROR(TRIM(LEFT($D1593,FIND("｜",$D1593)-1)),$D1593)))</f>
        <v/>
      </c>
      <c r="F1593" s="30" t="str">
        <f aca="false">IF($D1593="","",IFERROR(INDEX(合同项目,MATCH($D1593,合同键,0)),IFERROR(TRIM(MID($D1593,FIND("｜",$D1593)+1,99)),"")))</f>
        <v/>
      </c>
      <c r="G1593" s="39"/>
      <c r="H1593" s="25"/>
      <c r="I1593" s="35" t="str">
        <f aca="false">IF($H1593="","",IFERROR(INDEX(票据归类表,MATCH($H1593,票据类型表,0)),"现金无票"))</f>
        <v/>
      </c>
      <c r="J1593" s="25"/>
      <c r="K1593" s="25"/>
      <c r="L1593" s="31"/>
      <c r="M1593" s="29" t="str">
        <f aca="false">IF($C1593="","",YEAR($C1593))</f>
        <v/>
      </c>
      <c r="N1593" s="24"/>
      <c r="O1593" s="35" t="str">
        <f aca="false">IF($C1593="","",IF($D1593="","★没选客户项目",IF(COUNTIF(合同键,$D1593)=0,"★《维保合同》里没这个项目",IF(N($G1593)&lt;=0,"★收款金额要填",IF($H1593="","★票据类型要选",IF(AND($L1593&lt;&gt;"",COUNTIF(应收单号,$L1593)=0),"★关联的应收单号不存在",IF(AND($L1593&lt;&gt;"",IFERROR(INDEX(应收键,MATCH($L1593,应收单号,0)),"")&lt;&gt;$D1593),"★关联单号不是这个客户的",IF(AND($L1593&lt;&gt;"",ROUND(SUMIF(收款关联,$L1593,收款金额)-IFERROR(INDEX(应收金额,MATCH($L1593,应收单号,0)),0),2)&gt;0.001),"★指定冲销超过那张单的应收","OK"))))))))</f>
        <v/>
      </c>
    </row>
    <row r="1594" customFormat="false" ht="15" hidden="false" customHeight="false" outlineLevel="0" collapsed="false">
      <c r="A1594" s="29" t="str">
        <f aca="false">IF($C1594="","",ROW()-4)</f>
        <v/>
      </c>
      <c r="B1594" s="35" t="str">
        <f aca="false">IF($C1594="","","SK"&amp;TEXT($C1594,"yyyymm")&amp;"-"&amp;TEXT(ROW()-4,"0000"))</f>
        <v/>
      </c>
      <c r="C1594" s="33"/>
      <c r="D1594" s="24"/>
      <c r="E1594" s="30" t="str">
        <f aca="false">IF($D1594="","",IFERROR(INDEX(合同单位,MATCH($D1594,合同键,0)),IFERROR(TRIM(LEFT($D1594,FIND("｜",$D1594)-1)),$D1594)))</f>
        <v/>
      </c>
      <c r="F1594" s="30" t="str">
        <f aca="false">IF($D1594="","",IFERROR(INDEX(合同项目,MATCH($D1594,合同键,0)),IFERROR(TRIM(MID($D1594,FIND("｜",$D1594)+1,99)),"")))</f>
        <v/>
      </c>
      <c r="G1594" s="39"/>
      <c r="H1594" s="25"/>
      <c r="I1594" s="35" t="str">
        <f aca="false">IF($H1594="","",IFERROR(INDEX(票据归类表,MATCH($H1594,票据类型表,0)),"现金无票"))</f>
        <v/>
      </c>
      <c r="J1594" s="25"/>
      <c r="K1594" s="25"/>
      <c r="L1594" s="31"/>
      <c r="M1594" s="29" t="str">
        <f aca="false">IF($C1594="","",YEAR($C1594))</f>
        <v/>
      </c>
      <c r="N1594" s="24"/>
      <c r="O1594" s="35" t="str">
        <f aca="false">IF($C1594="","",IF($D1594="","★没选客户项目",IF(COUNTIF(合同键,$D1594)=0,"★《维保合同》里没这个项目",IF(N($G1594)&lt;=0,"★收款金额要填",IF($H1594="","★票据类型要选",IF(AND($L1594&lt;&gt;"",COUNTIF(应收单号,$L1594)=0),"★关联的应收单号不存在",IF(AND($L1594&lt;&gt;"",IFERROR(INDEX(应收键,MATCH($L1594,应收单号,0)),"")&lt;&gt;$D1594),"★关联单号不是这个客户的",IF(AND($L1594&lt;&gt;"",ROUND(SUMIF(收款关联,$L1594,收款金额)-IFERROR(INDEX(应收金额,MATCH($L1594,应收单号,0)),0),2)&gt;0.001),"★指定冲销超过那张单的应收","OK"))))))))</f>
        <v/>
      </c>
    </row>
    <row r="1595" customFormat="false" ht="15" hidden="false" customHeight="false" outlineLevel="0" collapsed="false">
      <c r="A1595" s="29" t="str">
        <f aca="false">IF($C1595="","",ROW()-4)</f>
        <v/>
      </c>
      <c r="B1595" s="35" t="str">
        <f aca="false">IF($C1595="","","SK"&amp;TEXT($C1595,"yyyymm")&amp;"-"&amp;TEXT(ROW()-4,"0000"))</f>
        <v/>
      </c>
      <c r="C1595" s="33"/>
      <c r="D1595" s="24"/>
      <c r="E1595" s="30" t="str">
        <f aca="false">IF($D1595="","",IFERROR(INDEX(合同单位,MATCH($D1595,合同键,0)),IFERROR(TRIM(LEFT($D1595,FIND("｜",$D1595)-1)),$D1595)))</f>
        <v/>
      </c>
      <c r="F1595" s="30" t="str">
        <f aca="false">IF($D1595="","",IFERROR(INDEX(合同项目,MATCH($D1595,合同键,0)),IFERROR(TRIM(MID($D1595,FIND("｜",$D1595)+1,99)),"")))</f>
        <v/>
      </c>
      <c r="G1595" s="39"/>
      <c r="H1595" s="25"/>
      <c r="I1595" s="35" t="str">
        <f aca="false">IF($H1595="","",IFERROR(INDEX(票据归类表,MATCH($H1595,票据类型表,0)),"现金无票"))</f>
        <v/>
      </c>
      <c r="J1595" s="25"/>
      <c r="K1595" s="25"/>
      <c r="L1595" s="31"/>
      <c r="M1595" s="29" t="str">
        <f aca="false">IF($C1595="","",YEAR($C1595))</f>
        <v/>
      </c>
      <c r="N1595" s="24"/>
      <c r="O1595" s="35" t="str">
        <f aca="false">IF($C1595="","",IF($D1595="","★没选客户项目",IF(COUNTIF(合同键,$D1595)=0,"★《维保合同》里没这个项目",IF(N($G1595)&lt;=0,"★收款金额要填",IF($H1595="","★票据类型要选",IF(AND($L1595&lt;&gt;"",COUNTIF(应收单号,$L1595)=0),"★关联的应收单号不存在",IF(AND($L1595&lt;&gt;"",IFERROR(INDEX(应收键,MATCH($L1595,应收单号,0)),"")&lt;&gt;$D1595),"★关联单号不是这个客户的",IF(AND($L1595&lt;&gt;"",ROUND(SUMIF(收款关联,$L1595,收款金额)-IFERROR(INDEX(应收金额,MATCH($L1595,应收单号,0)),0),2)&gt;0.001),"★指定冲销超过那张单的应收","OK"))))))))</f>
        <v/>
      </c>
    </row>
    <row r="1596" customFormat="false" ht="15" hidden="false" customHeight="false" outlineLevel="0" collapsed="false">
      <c r="A1596" s="29" t="str">
        <f aca="false">IF($C1596="","",ROW()-4)</f>
        <v/>
      </c>
      <c r="B1596" s="35" t="str">
        <f aca="false">IF($C1596="","","SK"&amp;TEXT($C1596,"yyyymm")&amp;"-"&amp;TEXT(ROW()-4,"0000"))</f>
        <v/>
      </c>
      <c r="C1596" s="33"/>
      <c r="D1596" s="24"/>
      <c r="E1596" s="30" t="str">
        <f aca="false">IF($D1596="","",IFERROR(INDEX(合同单位,MATCH($D1596,合同键,0)),IFERROR(TRIM(LEFT($D1596,FIND("｜",$D1596)-1)),$D1596)))</f>
        <v/>
      </c>
      <c r="F1596" s="30" t="str">
        <f aca="false">IF($D1596="","",IFERROR(INDEX(合同项目,MATCH($D1596,合同键,0)),IFERROR(TRIM(MID($D1596,FIND("｜",$D1596)+1,99)),"")))</f>
        <v/>
      </c>
      <c r="G1596" s="39"/>
      <c r="H1596" s="25"/>
      <c r="I1596" s="35" t="str">
        <f aca="false">IF($H1596="","",IFERROR(INDEX(票据归类表,MATCH($H1596,票据类型表,0)),"现金无票"))</f>
        <v/>
      </c>
      <c r="J1596" s="25"/>
      <c r="K1596" s="25"/>
      <c r="L1596" s="31"/>
      <c r="M1596" s="29" t="str">
        <f aca="false">IF($C1596="","",YEAR($C1596))</f>
        <v/>
      </c>
      <c r="N1596" s="24"/>
      <c r="O1596" s="35" t="str">
        <f aca="false">IF($C1596="","",IF($D1596="","★没选客户项目",IF(COUNTIF(合同键,$D1596)=0,"★《维保合同》里没这个项目",IF(N($G1596)&lt;=0,"★收款金额要填",IF($H1596="","★票据类型要选",IF(AND($L1596&lt;&gt;"",COUNTIF(应收单号,$L1596)=0),"★关联的应收单号不存在",IF(AND($L1596&lt;&gt;"",IFERROR(INDEX(应收键,MATCH($L1596,应收单号,0)),"")&lt;&gt;$D1596),"★关联单号不是这个客户的",IF(AND($L1596&lt;&gt;"",ROUND(SUMIF(收款关联,$L1596,收款金额)-IFERROR(INDEX(应收金额,MATCH($L1596,应收单号,0)),0),2)&gt;0.001),"★指定冲销超过那张单的应收","OK"))))))))</f>
        <v/>
      </c>
    </row>
    <row r="1597" customFormat="false" ht="15" hidden="false" customHeight="false" outlineLevel="0" collapsed="false">
      <c r="A1597" s="29" t="str">
        <f aca="false">IF($C1597="","",ROW()-4)</f>
        <v/>
      </c>
      <c r="B1597" s="35" t="str">
        <f aca="false">IF($C1597="","","SK"&amp;TEXT($C1597,"yyyymm")&amp;"-"&amp;TEXT(ROW()-4,"0000"))</f>
        <v/>
      </c>
      <c r="C1597" s="33"/>
      <c r="D1597" s="24"/>
      <c r="E1597" s="30" t="str">
        <f aca="false">IF($D1597="","",IFERROR(INDEX(合同单位,MATCH($D1597,合同键,0)),IFERROR(TRIM(LEFT($D1597,FIND("｜",$D1597)-1)),$D1597)))</f>
        <v/>
      </c>
      <c r="F1597" s="30" t="str">
        <f aca="false">IF($D1597="","",IFERROR(INDEX(合同项目,MATCH($D1597,合同键,0)),IFERROR(TRIM(MID($D1597,FIND("｜",$D1597)+1,99)),"")))</f>
        <v/>
      </c>
      <c r="G1597" s="39"/>
      <c r="H1597" s="25"/>
      <c r="I1597" s="35" t="str">
        <f aca="false">IF($H1597="","",IFERROR(INDEX(票据归类表,MATCH($H1597,票据类型表,0)),"现金无票"))</f>
        <v/>
      </c>
      <c r="J1597" s="25"/>
      <c r="K1597" s="25"/>
      <c r="L1597" s="31"/>
      <c r="M1597" s="29" t="str">
        <f aca="false">IF($C1597="","",YEAR($C1597))</f>
        <v/>
      </c>
      <c r="N1597" s="24"/>
      <c r="O1597" s="35" t="str">
        <f aca="false">IF($C1597="","",IF($D1597="","★没选客户项目",IF(COUNTIF(合同键,$D1597)=0,"★《维保合同》里没这个项目",IF(N($G1597)&lt;=0,"★收款金额要填",IF($H1597="","★票据类型要选",IF(AND($L1597&lt;&gt;"",COUNTIF(应收单号,$L1597)=0),"★关联的应收单号不存在",IF(AND($L1597&lt;&gt;"",IFERROR(INDEX(应收键,MATCH($L1597,应收单号,0)),"")&lt;&gt;$D1597),"★关联单号不是这个客户的",IF(AND($L1597&lt;&gt;"",ROUND(SUMIF(收款关联,$L1597,收款金额)-IFERROR(INDEX(应收金额,MATCH($L1597,应收单号,0)),0),2)&gt;0.001),"★指定冲销超过那张单的应收","OK"))))))))</f>
        <v/>
      </c>
    </row>
    <row r="1598" customFormat="false" ht="15" hidden="false" customHeight="false" outlineLevel="0" collapsed="false">
      <c r="A1598" s="29" t="str">
        <f aca="false">IF($C1598="","",ROW()-4)</f>
        <v/>
      </c>
      <c r="B1598" s="35" t="str">
        <f aca="false">IF($C1598="","","SK"&amp;TEXT($C1598,"yyyymm")&amp;"-"&amp;TEXT(ROW()-4,"0000"))</f>
        <v/>
      </c>
      <c r="C1598" s="33"/>
      <c r="D1598" s="24"/>
      <c r="E1598" s="30" t="str">
        <f aca="false">IF($D1598="","",IFERROR(INDEX(合同单位,MATCH($D1598,合同键,0)),IFERROR(TRIM(LEFT($D1598,FIND("｜",$D1598)-1)),$D1598)))</f>
        <v/>
      </c>
      <c r="F1598" s="30" t="str">
        <f aca="false">IF($D1598="","",IFERROR(INDEX(合同项目,MATCH($D1598,合同键,0)),IFERROR(TRIM(MID($D1598,FIND("｜",$D1598)+1,99)),"")))</f>
        <v/>
      </c>
      <c r="G1598" s="39"/>
      <c r="H1598" s="25"/>
      <c r="I1598" s="35" t="str">
        <f aca="false">IF($H1598="","",IFERROR(INDEX(票据归类表,MATCH($H1598,票据类型表,0)),"现金无票"))</f>
        <v/>
      </c>
      <c r="J1598" s="25"/>
      <c r="K1598" s="25"/>
      <c r="L1598" s="31"/>
      <c r="M1598" s="29" t="str">
        <f aca="false">IF($C1598="","",YEAR($C1598))</f>
        <v/>
      </c>
      <c r="N1598" s="24"/>
      <c r="O1598" s="35" t="str">
        <f aca="false">IF($C1598="","",IF($D1598="","★没选客户项目",IF(COUNTIF(合同键,$D1598)=0,"★《维保合同》里没这个项目",IF(N($G1598)&lt;=0,"★收款金额要填",IF($H1598="","★票据类型要选",IF(AND($L1598&lt;&gt;"",COUNTIF(应收单号,$L1598)=0),"★关联的应收单号不存在",IF(AND($L1598&lt;&gt;"",IFERROR(INDEX(应收键,MATCH($L1598,应收单号,0)),"")&lt;&gt;$D1598),"★关联单号不是这个客户的",IF(AND($L1598&lt;&gt;"",ROUND(SUMIF(收款关联,$L1598,收款金额)-IFERROR(INDEX(应收金额,MATCH($L1598,应收单号,0)),0),2)&gt;0.001),"★指定冲销超过那张单的应收","OK"))))))))</f>
        <v/>
      </c>
    </row>
    <row r="1599" customFormat="false" ht="15" hidden="false" customHeight="false" outlineLevel="0" collapsed="false">
      <c r="A1599" s="29" t="str">
        <f aca="false">IF($C1599="","",ROW()-4)</f>
        <v/>
      </c>
      <c r="B1599" s="35" t="str">
        <f aca="false">IF($C1599="","","SK"&amp;TEXT($C1599,"yyyymm")&amp;"-"&amp;TEXT(ROW()-4,"0000"))</f>
        <v/>
      </c>
      <c r="C1599" s="33"/>
      <c r="D1599" s="24"/>
      <c r="E1599" s="30" t="str">
        <f aca="false">IF($D1599="","",IFERROR(INDEX(合同单位,MATCH($D1599,合同键,0)),IFERROR(TRIM(LEFT($D1599,FIND("｜",$D1599)-1)),$D1599)))</f>
        <v/>
      </c>
      <c r="F1599" s="30" t="str">
        <f aca="false">IF($D1599="","",IFERROR(INDEX(合同项目,MATCH($D1599,合同键,0)),IFERROR(TRIM(MID($D1599,FIND("｜",$D1599)+1,99)),"")))</f>
        <v/>
      </c>
      <c r="G1599" s="39"/>
      <c r="H1599" s="25"/>
      <c r="I1599" s="35" t="str">
        <f aca="false">IF($H1599="","",IFERROR(INDEX(票据归类表,MATCH($H1599,票据类型表,0)),"现金无票"))</f>
        <v/>
      </c>
      <c r="J1599" s="25"/>
      <c r="K1599" s="25"/>
      <c r="L1599" s="31"/>
      <c r="M1599" s="29" t="str">
        <f aca="false">IF($C1599="","",YEAR($C1599))</f>
        <v/>
      </c>
      <c r="N1599" s="24"/>
      <c r="O1599" s="35" t="str">
        <f aca="false">IF($C1599="","",IF($D1599="","★没选客户项目",IF(COUNTIF(合同键,$D1599)=0,"★《维保合同》里没这个项目",IF(N($G1599)&lt;=0,"★收款金额要填",IF($H1599="","★票据类型要选",IF(AND($L1599&lt;&gt;"",COUNTIF(应收单号,$L1599)=0),"★关联的应收单号不存在",IF(AND($L1599&lt;&gt;"",IFERROR(INDEX(应收键,MATCH($L1599,应收单号,0)),"")&lt;&gt;$D1599),"★关联单号不是这个客户的",IF(AND($L1599&lt;&gt;"",ROUND(SUMIF(收款关联,$L1599,收款金额)-IFERROR(INDEX(应收金额,MATCH($L1599,应收单号,0)),0),2)&gt;0.001),"★指定冲销超过那张单的应收","OK"))))))))</f>
        <v/>
      </c>
    </row>
    <row r="1600" customFormat="false" ht="15" hidden="false" customHeight="false" outlineLevel="0" collapsed="false">
      <c r="A1600" s="29" t="str">
        <f aca="false">IF($C1600="","",ROW()-4)</f>
        <v/>
      </c>
      <c r="B1600" s="35" t="str">
        <f aca="false">IF($C1600="","","SK"&amp;TEXT($C1600,"yyyymm")&amp;"-"&amp;TEXT(ROW()-4,"0000"))</f>
        <v/>
      </c>
      <c r="C1600" s="33"/>
      <c r="D1600" s="24"/>
      <c r="E1600" s="30" t="str">
        <f aca="false">IF($D1600="","",IFERROR(INDEX(合同单位,MATCH($D1600,合同键,0)),IFERROR(TRIM(LEFT($D1600,FIND("｜",$D1600)-1)),$D1600)))</f>
        <v/>
      </c>
      <c r="F1600" s="30" t="str">
        <f aca="false">IF($D1600="","",IFERROR(INDEX(合同项目,MATCH($D1600,合同键,0)),IFERROR(TRIM(MID($D1600,FIND("｜",$D1600)+1,99)),"")))</f>
        <v/>
      </c>
      <c r="G1600" s="39"/>
      <c r="H1600" s="25"/>
      <c r="I1600" s="35" t="str">
        <f aca="false">IF($H1600="","",IFERROR(INDEX(票据归类表,MATCH($H1600,票据类型表,0)),"现金无票"))</f>
        <v/>
      </c>
      <c r="J1600" s="25"/>
      <c r="K1600" s="25"/>
      <c r="L1600" s="31"/>
      <c r="M1600" s="29" t="str">
        <f aca="false">IF($C1600="","",YEAR($C1600))</f>
        <v/>
      </c>
      <c r="N1600" s="24"/>
      <c r="O1600" s="35" t="str">
        <f aca="false">IF($C1600="","",IF($D1600="","★没选客户项目",IF(COUNTIF(合同键,$D1600)=0,"★《维保合同》里没这个项目",IF(N($G1600)&lt;=0,"★收款金额要填",IF($H1600="","★票据类型要选",IF(AND($L1600&lt;&gt;"",COUNTIF(应收单号,$L1600)=0),"★关联的应收单号不存在",IF(AND($L1600&lt;&gt;"",IFERROR(INDEX(应收键,MATCH($L1600,应收单号,0)),"")&lt;&gt;$D1600),"★关联单号不是这个客户的",IF(AND($L1600&lt;&gt;"",ROUND(SUMIF(收款关联,$L1600,收款金额)-IFERROR(INDEX(应收金额,MATCH($L1600,应收单号,0)),0),2)&gt;0.001),"★指定冲销超过那张单的应收","OK"))))))))</f>
        <v/>
      </c>
    </row>
    <row r="1601" customFormat="false" ht="15" hidden="false" customHeight="false" outlineLevel="0" collapsed="false">
      <c r="A1601" s="29" t="str">
        <f aca="false">IF($C1601="","",ROW()-4)</f>
        <v/>
      </c>
      <c r="B1601" s="35" t="str">
        <f aca="false">IF($C1601="","","SK"&amp;TEXT($C1601,"yyyymm")&amp;"-"&amp;TEXT(ROW()-4,"0000"))</f>
        <v/>
      </c>
      <c r="C1601" s="33"/>
      <c r="D1601" s="24"/>
      <c r="E1601" s="30" t="str">
        <f aca="false">IF($D1601="","",IFERROR(INDEX(合同单位,MATCH($D1601,合同键,0)),IFERROR(TRIM(LEFT($D1601,FIND("｜",$D1601)-1)),$D1601)))</f>
        <v/>
      </c>
      <c r="F1601" s="30" t="str">
        <f aca="false">IF($D1601="","",IFERROR(INDEX(合同项目,MATCH($D1601,合同键,0)),IFERROR(TRIM(MID($D1601,FIND("｜",$D1601)+1,99)),"")))</f>
        <v/>
      </c>
      <c r="G1601" s="39"/>
      <c r="H1601" s="25"/>
      <c r="I1601" s="35" t="str">
        <f aca="false">IF($H1601="","",IFERROR(INDEX(票据归类表,MATCH($H1601,票据类型表,0)),"现金无票"))</f>
        <v/>
      </c>
      <c r="J1601" s="25"/>
      <c r="K1601" s="25"/>
      <c r="L1601" s="31"/>
      <c r="M1601" s="29" t="str">
        <f aca="false">IF($C1601="","",YEAR($C1601))</f>
        <v/>
      </c>
      <c r="N1601" s="24"/>
      <c r="O1601" s="35" t="str">
        <f aca="false">IF($C1601="","",IF($D1601="","★没选客户项目",IF(COUNTIF(合同键,$D1601)=0,"★《维保合同》里没这个项目",IF(N($G1601)&lt;=0,"★收款金额要填",IF($H1601="","★票据类型要选",IF(AND($L1601&lt;&gt;"",COUNTIF(应收单号,$L1601)=0),"★关联的应收单号不存在",IF(AND($L1601&lt;&gt;"",IFERROR(INDEX(应收键,MATCH($L1601,应收单号,0)),"")&lt;&gt;$D1601),"★关联单号不是这个客户的",IF(AND($L1601&lt;&gt;"",ROUND(SUMIF(收款关联,$L1601,收款金额)-IFERROR(INDEX(应收金额,MATCH($L1601,应收单号,0)),0),2)&gt;0.001),"★指定冲销超过那张单的应收","OK"))))))))</f>
        <v/>
      </c>
    </row>
    <row r="1602" customFormat="false" ht="15" hidden="false" customHeight="false" outlineLevel="0" collapsed="false">
      <c r="A1602" s="29" t="str">
        <f aca="false">IF($C1602="","",ROW()-4)</f>
        <v/>
      </c>
      <c r="B1602" s="35" t="str">
        <f aca="false">IF($C1602="","","SK"&amp;TEXT($C1602,"yyyymm")&amp;"-"&amp;TEXT(ROW()-4,"0000"))</f>
        <v/>
      </c>
      <c r="C1602" s="33"/>
      <c r="D1602" s="24"/>
      <c r="E1602" s="30" t="str">
        <f aca="false">IF($D1602="","",IFERROR(INDEX(合同单位,MATCH($D1602,合同键,0)),IFERROR(TRIM(LEFT($D1602,FIND("｜",$D1602)-1)),$D1602)))</f>
        <v/>
      </c>
      <c r="F1602" s="30" t="str">
        <f aca="false">IF($D1602="","",IFERROR(INDEX(合同项目,MATCH($D1602,合同键,0)),IFERROR(TRIM(MID($D1602,FIND("｜",$D1602)+1,99)),"")))</f>
        <v/>
      </c>
      <c r="G1602" s="39"/>
      <c r="H1602" s="25"/>
      <c r="I1602" s="35" t="str">
        <f aca="false">IF($H1602="","",IFERROR(INDEX(票据归类表,MATCH($H1602,票据类型表,0)),"现金无票"))</f>
        <v/>
      </c>
      <c r="J1602" s="25"/>
      <c r="K1602" s="25"/>
      <c r="L1602" s="31"/>
      <c r="M1602" s="29" t="str">
        <f aca="false">IF($C1602="","",YEAR($C1602))</f>
        <v/>
      </c>
      <c r="N1602" s="24"/>
      <c r="O1602" s="35" t="str">
        <f aca="false">IF($C1602="","",IF($D1602="","★没选客户项目",IF(COUNTIF(合同键,$D1602)=0,"★《维保合同》里没这个项目",IF(N($G1602)&lt;=0,"★收款金额要填",IF($H1602="","★票据类型要选",IF(AND($L1602&lt;&gt;"",COUNTIF(应收单号,$L1602)=0),"★关联的应收单号不存在",IF(AND($L1602&lt;&gt;"",IFERROR(INDEX(应收键,MATCH($L1602,应收单号,0)),"")&lt;&gt;$D1602),"★关联单号不是这个客户的",IF(AND($L1602&lt;&gt;"",ROUND(SUMIF(收款关联,$L1602,收款金额)-IFERROR(INDEX(应收金额,MATCH($L1602,应收单号,0)),0),2)&gt;0.001),"★指定冲销超过那张单的应收","OK"))))))))</f>
        <v/>
      </c>
    </row>
    <row r="1603" customFormat="false" ht="15" hidden="false" customHeight="false" outlineLevel="0" collapsed="false">
      <c r="A1603" s="29" t="str">
        <f aca="false">IF($C1603="","",ROW()-4)</f>
        <v/>
      </c>
      <c r="B1603" s="35" t="str">
        <f aca="false">IF($C1603="","","SK"&amp;TEXT($C1603,"yyyymm")&amp;"-"&amp;TEXT(ROW()-4,"0000"))</f>
        <v/>
      </c>
      <c r="C1603" s="33"/>
      <c r="D1603" s="24"/>
      <c r="E1603" s="30" t="str">
        <f aca="false">IF($D1603="","",IFERROR(INDEX(合同单位,MATCH($D1603,合同键,0)),IFERROR(TRIM(LEFT($D1603,FIND("｜",$D1603)-1)),$D1603)))</f>
        <v/>
      </c>
      <c r="F1603" s="30" t="str">
        <f aca="false">IF($D1603="","",IFERROR(INDEX(合同项目,MATCH($D1603,合同键,0)),IFERROR(TRIM(MID($D1603,FIND("｜",$D1603)+1,99)),"")))</f>
        <v/>
      </c>
      <c r="G1603" s="39"/>
      <c r="H1603" s="25"/>
      <c r="I1603" s="35" t="str">
        <f aca="false">IF($H1603="","",IFERROR(INDEX(票据归类表,MATCH($H1603,票据类型表,0)),"现金无票"))</f>
        <v/>
      </c>
      <c r="J1603" s="25"/>
      <c r="K1603" s="25"/>
      <c r="L1603" s="31"/>
      <c r="M1603" s="29" t="str">
        <f aca="false">IF($C1603="","",YEAR($C1603))</f>
        <v/>
      </c>
      <c r="N1603" s="24"/>
      <c r="O1603" s="35" t="str">
        <f aca="false">IF($C1603="","",IF($D1603="","★没选客户项目",IF(COUNTIF(合同键,$D1603)=0,"★《维保合同》里没这个项目",IF(N($G1603)&lt;=0,"★收款金额要填",IF($H1603="","★票据类型要选",IF(AND($L1603&lt;&gt;"",COUNTIF(应收单号,$L1603)=0),"★关联的应收单号不存在",IF(AND($L1603&lt;&gt;"",IFERROR(INDEX(应收键,MATCH($L1603,应收单号,0)),"")&lt;&gt;$D1603),"★关联单号不是这个客户的",IF(AND($L1603&lt;&gt;"",ROUND(SUMIF(收款关联,$L1603,收款金额)-IFERROR(INDEX(应收金额,MATCH($L1603,应收单号,0)),0),2)&gt;0.001),"★指定冲销超过那张单的应收","OK"))))))))</f>
        <v/>
      </c>
    </row>
    <row r="1604" customFormat="false" ht="15" hidden="false" customHeight="false" outlineLevel="0" collapsed="false">
      <c r="A1604" s="29" t="str">
        <f aca="false">IF($C1604="","",ROW()-4)</f>
        <v/>
      </c>
      <c r="B1604" s="35" t="str">
        <f aca="false">IF($C1604="","","SK"&amp;TEXT($C1604,"yyyymm")&amp;"-"&amp;TEXT(ROW()-4,"0000"))</f>
        <v/>
      </c>
      <c r="C1604" s="33"/>
      <c r="D1604" s="24"/>
      <c r="E1604" s="30" t="str">
        <f aca="false">IF($D1604="","",IFERROR(INDEX(合同单位,MATCH($D1604,合同键,0)),IFERROR(TRIM(LEFT($D1604,FIND("｜",$D1604)-1)),$D1604)))</f>
        <v/>
      </c>
      <c r="F1604" s="30" t="str">
        <f aca="false">IF($D1604="","",IFERROR(INDEX(合同项目,MATCH($D1604,合同键,0)),IFERROR(TRIM(MID($D1604,FIND("｜",$D1604)+1,99)),"")))</f>
        <v/>
      </c>
      <c r="G1604" s="39"/>
      <c r="H1604" s="25"/>
      <c r="I1604" s="35" t="str">
        <f aca="false">IF($H1604="","",IFERROR(INDEX(票据归类表,MATCH($H1604,票据类型表,0)),"现金无票"))</f>
        <v/>
      </c>
      <c r="J1604" s="25"/>
      <c r="K1604" s="25"/>
      <c r="L1604" s="31"/>
      <c r="M1604" s="29" t="str">
        <f aca="false">IF($C1604="","",YEAR($C1604))</f>
        <v/>
      </c>
      <c r="N1604" s="24"/>
      <c r="O1604" s="35" t="str">
        <f aca="false">IF($C1604="","",IF($D1604="","★没选客户项目",IF(COUNTIF(合同键,$D1604)=0,"★《维保合同》里没这个项目",IF(N($G1604)&lt;=0,"★收款金额要填",IF($H1604="","★票据类型要选",IF(AND($L1604&lt;&gt;"",COUNTIF(应收单号,$L1604)=0),"★关联的应收单号不存在",IF(AND($L1604&lt;&gt;"",IFERROR(INDEX(应收键,MATCH($L1604,应收单号,0)),"")&lt;&gt;$D1604),"★关联单号不是这个客户的",IF(AND($L1604&lt;&gt;"",ROUND(SUMIF(收款关联,$L1604,收款金额)-IFERROR(INDEX(应收金额,MATCH($L1604,应收单号,0)),0),2)&gt;0.001),"★指定冲销超过那张单的应收","OK"))))))))</f>
        <v/>
      </c>
    </row>
    <row r="1605" customFormat="false" ht="15" hidden="false" customHeight="false" outlineLevel="0" collapsed="false">
      <c r="A1605" s="29" t="str">
        <f aca="false">IF($C1605="","",ROW()-4)</f>
        <v/>
      </c>
      <c r="B1605" s="35" t="str">
        <f aca="false">IF($C1605="","","SK"&amp;TEXT($C1605,"yyyymm")&amp;"-"&amp;TEXT(ROW()-4,"0000"))</f>
        <v/>
      </c>
      <c r="C1605" s="33"/>
      <c r="D1605" s="24"/>
      <c r="E1605" s="30" t="str">
        <f aca="false">IF($D1605="","",IFERROR(INDEX(合同单位,MATCH($D1605,合同键,0)),IFERROR(TRIM(LEFT($D1605,FIND("｜",$D1605)-1)),$D1605)))</f>
        <v/>
      </c>
      <c r="F1605" s="30" t="str">
        <f aca="false">IF($D1605="","",IFERROR(INDEX(合同项目,MATCH($D1605,合同键,0)),IFERROR(TRIM(MID($D1605,FIND("｜",$D1605)+1,99)),"")))</f>
        <v/>
      </c>
      <c r="G1605" s="39"/>
      <c r="H1605" s="25"/>
      <c r="I1605" s="35" t="str">
        <f aca="false">IF($H1605="","",IFERROR(INDEX(票据归类表,MATCH($H1605,票据类型表,0)),"现金无票"))</f>
        <v/>
      </c>
      <c r="J1605" s="25"/>
      <c r="K1605" s="25"/>
      <c r="L1605" s="31"/>
      <c r="M1605" s="29" t="str">
        <f aca="false">IF($C1605="","",YEAR($C1605))</f>
        <v/>
      </c>
      <c r="N1605" s="24"/>
      <c r="O1605" s="35" t="str">
        <f aca="false">IF($C1605="","",IF($D1605="","★没选客户项目",IF(COUNTIF(合同键,$D1605)=0,"★《维保合同》里没这个项目",IF(N($G1605)&lt;=0,"★收款金额要填",IF($H1605="","★票据类型要选",IF(AND($L1605&lt;&gt;"",COUNTIF(应收单号,$L1605)=0),"★关联的应收单号不存在",IF(AND($L1605&lt;&gt;"",IFERROR(INDEX(应收键,MATCH($L1605,应收单号,0)),"")&lt;&gt;$D1605),"★关联单号不是这个客户的",IF(AND($L1605&lt;&gt;"",ROUND(SUMIF(收款关联,$L1605,收款金额)-IFERROR(INDEX(应收金额,MATCH($L1605,应收单号,0)),0),2)&gt;0.001),"★指定冲销超过那张单的应收","OK"))))))))</f>
        <v/>
      </c>
    </row>
    <row r="1606" customFormat="false" ht="15" hidden="false" customHeight="false" outlineLevel="0" collapsed="false">
      <c r="A1606" s="29" t="str">
        <f aca="false">IF($C1606="","",ROW()-4)</f>
        <v/>
      </c>
      <c r="B1606" s="35" t="str">
        <f aca="false">IF($C1606="","","SK"&amp;TEXT($C1606,"yyyymm")&amp;"-"&amp;TEXT(ROW()-4,"0000"))</f>
        <v/>
      </c>
      <c r="C1606" s="33"/>
      <c r="D1606" s="24"/>
      <c r="E1606" s="30" t="str">
        <f aca="false">IF($D1606="","",IFERROR(INDEX(合同单位,MATCH($D1606,合同键,0)),IFERROR(TRIM(LEFT($D1606,FIND("｜",$D1606)-1)),$D1606)))</f>
        <v/>
      </c>
      <c r="F1606" s="30" t="str">
        <f aca="false">IF($D1606="","",IFERROR(INDEX(合同项目,MATCH($D1606,合同键,0)),IFERROR(TRIM(MID($D1606,FIND("｜",$D1606)+1,99)),"")))</f>
        <v/>
      </c>
      <c r="G1606" s="39"/>
      <c r="H1606" s="25"/>
      <c r="I1606" s="35" t="str">
        <f aca="false">IF($H1606="","",IFERROR(INDEX(票据归类表,MATCH($H1606,票据类型表,0)),"现金无票"))</f>
        <v/>
      </c>
      <c r="J1606" s="25"/>
      <c r="K1606" s="25"/>
      <c r="L1606" s="31"/>
      <c r="M1606" s="29" t="str">
        <f aca="false">IF($C1606="","",YEAR($C1606))</f>
        <v/>
      </c>
      <c r="N1606" s="24"/>
      <c r="O1606" s="35" t="str">
        <f aca="false">IF($C1606="","",IF($D1606="","★没选客户项目",IF(COUNTIF(合同键,$D1606)=0,"★《维保合同》里没这个项目",IF(N($G1606)&lt;=0,"★收款金额要填",IF($H1606="","★票据类型要选",IF(AND($L1606&lt;&gt;"",COUNTIF(应收单号,$L1606)=0),"★关联的应收单号不存在",IF(AND($L1606&lt;&gt;"",IFERROR(INDEX(应收键,MATCH($L1606,应收单号,0)),"")&lt;&gt;$D1606),"★关联单号不是这个客户的",IF(AND($L1606&lt;&gt;"",ROUND(SUMIF(收款关联,$L1606,收款金额)-IFERROR(INDEX(应收金额,MATCH($L1606,应收单号,0)),0),2)&gt;0.001),"★指定冲销超过那张单的应收","OK"))))))))</f>
        <v/>
      </c>
    </row>
    <row r="1607" customFormat="false" ht="15" hidden="false" customHeight="false" outlineLevel="0" collapsed="false">
      <c r="A1607" s="29" t="str">
        <f aca="false">IF($C1607="","",ROW()-4)</f>
        <v/>
      </c>
      <c r="B1607" s="35" t="str">
        <f aca="false">IF($C1607="","","SK"&amp;TEXT($C1607,"yyyymm")&amp;"-"&amp;TEXT(ROW()-4,"0000"))</f>
        <v/>
      </c>
      <c r="C1607" s="33"/>
      <c r="D1607" s="24"/>
      <c r="E1607" s="30" t="str">
        <f aca="false">IF($D1607="","",IFERROR(INDEX(合同单位,MATCH($D1607,合同键,0)),IFERROR(TRIM(LEFT($D1607,FIND("｜",$D1607)-1)),$D1607)))</f>
        <v/>
      </c>
      <c r="F1607" s="30" t="str">
        <f aca="false">IF($D1607="","",IFERROR(INDEX(合同项目,MATCH($D1607,合同键,0)),IFERROR(TRIM(MID($D1607,FIND("｜",$D1607)+1,99)),"")))</f>
        <v/>
      </c>
      <c r="G1607" s="39"/>
      <c r="H1607" s="25"/>
      <c r="I1607" s="35" t="str">
        <f aca="false">IF($H1607="","",IFERROR(INDEX(票据归类表,MATCH($H1607,票据类型表,0)),"现金无票"))</f>
        <v/>
      </c>
      <c r="J1607" s="25"/>
      <c r="K1607" s="25"/>
      <c r="L1607" s="31"/>
      <c r="M1607" s="29" t="str">
        <f aca="false">IF($C1607="","",YEAR($C1607))</f>
        <v/>
      </c>
      <c r="N1607" s="24"/>
      <c r="O1607" s="35" t="str">
        <f aca="false">IF($C1607="","",IF($D1607="","★没选客户项目",IF(COUNTIF(合同键,$D1607)=0,"★《维保合同》里没这个项目",IF(N($G1607)&lt;=0,"★收款金额要填",IF($H1607="","★票据类型要选",IF(AND($L1607&lt;&gt;"",COUNTIF(应收单号,$L1607)=0),"★关联的应收单号不存在",IF(AND($L1607&lt;&gt;"",IFERROR(INDEX(应收键,MATCH($L1607,应收单号,0)),"")&lt;&gt;$D1607),"★关联单号不是这个客户的",IF(AND($L1607&lt;&gt;"",ROUND(SUMIF(收款关联,$L1607,收款金额)-IFERROR(INDEX(应收金额,MATCH($L1607,应收单号,0)),0),2)&gt;0.001),"★指定冲销超过那张单的应收","OK"))))))))</f>
        <v/>
      </c>
    </row>
    <row r="1608" customFormat="false" ht="15" hidden="false" customHeight="false" outlineLevel="0" collapsed="false">
      <c r="A1608" s="29" t="str">
        <f aca="false">IF($C1608="","",ROW()-4)</f>
        <v/>
      </c>
      <c r="B1608" s="35" t="str">
        <f aca="false">IF($C1608="","","SK"&amp;TEXT($C1608,"yyyymm")&amp;"-"&amp;TEXT(ROW()-4,"0000"))</f>
        <v/>
      </c>
      <c r="C1608" s="33"/>
      <c r="D1608" s="24"/>
      <c r="E1608" s="30" t="str">
        <f aca="false">IF($D1608="","",IFERROR(INDEX(合同单位,MATCH($D1608,合同键,0)),IFERROR(TRIM(LEFT($D1608,FIND("｜",$D1608)-1)),$D1608)))</f>
        <v/>
      </c>
      <c r="F1608" s="30" t="str">
        <f aca="false">IF($D1608="","",IFERROR(INDEX(合同项目,MATCH($D1608,合同键,0)),IFERROR(TRIM(MID($D1608,FIND("｜",$D1608)+1,99)),"")))</f>
        <v/>
      </c>
      <c r="G1608" s="39"/>
      <c r="H1608" s="25"/>
      <c r="I1608" s="35" t="str">
        <f aca="false">IF($H1608="","",IFERROR(INDEX(票据归类表,MATCH($H1608,票据类型表,0)),"现金无票"))</f>
        <v/>
      </c>
      <c r="J1608" s="25"/>
      <c r="K1608" s="25"/>
      <c r="L1608" s="31"/>
      <c r="M1608" s="29" t="str">
        <f aca="false">IF($C1608="","",YEAR($C1608))</f>
        <v/>
      </c>
      <c r="N1608" s="24"/>
      <c r="O1608" s="35" t="str">
        <f aca="false">IF($C1608="","",IF($D1608="","★没选客户项目",IF(COUNTIF(合同键,$D1608)=0,"★《维保合同》里没这个项目",IF(N($G1608)&lt;=0,"★收款金额要填",IF($H1608="","★票据类型要选",IF(AND($L1608&lt;&gt;"",COUNTIF(应收单号,$L1608)=0),"★关联的应收单号不存在",IF(AND($L1608&lt;&gt;"",IFERROR(INDEX(应收键,MATCH($L1608,应收单号,0)),"")&lt;&gt;$D1608),"★关联单号不是这个客户的",IF(AND($L1608&lt;&gt;"",ROUND(SUMIF(收款关联,$L1608,收款金额)-IFERROR(INDEX(应收金额,MATCH($L1608,应收单号,0)),0),2)&gt;0.001),"★指定冲销超过那张单的应收","OK"))))))))</f>
        <v/>
      </c>
    </row>
    <row r="1609" customFormat="false" ht="15" hidden="false" customHeight="false" outlineLevel="0" collapsed="false">
      <c r="A1609" s="29" t="str">
        <f aca="false">IF($C1609="","",ROW()-4)</f>
        <v/>
      </c>
      <c r="B1609" s="35" t="str">
        <f aca="false">IF($C1609="","","SK"&amp;TEXT($C1609,"yyyymm")&amp;"-"&amp;TEXT(ROW()-4,"0000"))</f>
        <v/>
      </c>
      <c r="C1609" s="33"/>
      <c r="D1609" s="24"/>
      <c r="E1609" s="30" t="str">
        <f aca="false">IF($D1609="","",IFERROR(INDEX(合同单位,MATCH($D1609,合同键,0)),IFERROR(TRIM(LEFT($D1609,FIND("｜",$D1609)-1)),$D1609)))</f>
        <v/>
      </c>
      <c r="F1609" s="30" t="str">
        <f aca="false">IF($D1609="","",IFERROR(INDEX(合同项目,MATCH($D1609,合同键,0)),IFERROR(TRIM(MID($D1609,FIND("｜",$D1609)+1,99)),"")))</f>
        <v/>
      </c>
      <c r="G1609" s="39"/>
      <c r="H1609" s="25"/>
      <c r="I1609" s="35" t="str">
        <f aca="false">IF($H1609="","",IFERROR(INDEX(票据归类表,MATCH($H1609,票据类型表,0)),"现金无票"))</f>
        <v/>
      </c>
      <c r="J1609" s="25"/>
      <c r="K1609" s="25"/>
      <c r="L1609" s="31"/>
      <c r="M1609" s="29" t="str">
        <f aca="false">IF($C1609="","",YEAR($C1609))</f>
        <v/>
      </c>
      <c r="N1609" s="24"/>
      <c r="O1609" s="35" t="str">
        <f aca="false">IF($C1609="","",IF($D1609="","★没选客户项目",IF(COUNTIF(合同键,$D1609)=0,"★《维保合同》里没这个项目",IF(N($G1609)&lt;=0,"★收款金额要填",IF($H1609="","★票据类型要选",IF(AND($L1609&lt;&gt;"",COUNTIF(应收单号,$L1609)=0),"★关联的应收单号不存在",IF(AND($L1609&lt;&gt;"",IFERROR(INDEX(应收键,MATCH($L1609,应收单号,0)),"")&lt;&gt;$D1609),"★关联单号不是这个客户的",IF(AND($L1609&lt;&gt;"",ROUND(SUMIF(收款关联,$L1609,收款金额)-IFERROR(INDEX(应收金额,MATCH($L1609,应收单号,0)),0),2)&gt;0.001),"★指定冲销超过那张单的应收","OK"))))))))</f>
        <v/>
      </c>
    </row>
    <row r="1610" customFormat="false" ht="15" hidden="false" customHeight="false" outlineLevel="0" collapsed="false">
      <c r="A1610" s="29" t="str">
        <f aca="false">IF($C1610="","",ROW()-4)</f>
        <v/>
      </c>
      <c r="B1610" s="35" t="str">
        <f aca="false">IF($C1610="","","SK"&amp;TEXT($C1610,"yyyymm")&amp;"-"&amp;TEXT(ROW()-4,"0000"))</f>
        <v/>
      </c>
      <c r="C1610" s="33"/>
      <c r="D1610" s="24"/>
      <c r="E1610" s="30" t="str">
        <f aca="false">IF($D1610="","",IFERROR(INDEX(合同单位,MATCH($D1610,合同键,0)),IFERROR(TRIM(LEFT($D1610,FIND("｜",$D1610)-1)),$D1610)))</f>
        <v/>
      </c>
      <c r="F1610" s="30" t="str">
        <f aca="false">IF($D1610="","",IFERROR(INDEX(合同项目,MATCH($D1610,合同键,0)),IFERROR(TRIM(MID($D1610,FIND("｜",$D1610)+1,99)),"")))</f>
        <v/>
      </c>
      <c r="G1610" s="39"/>
      <c r="H1610" s="25"/>
      <c r="I1610" s="35" t="str">
        <f aca="false">IF($H1610="","",IFERROR(INDEX(票据归类表,MATCH($H1610,票据类型表,0)),"现金无票"))</f>
        <v/>
      </c>
      <c r="J1610" s="25"/>
      <c r="K1610" s="25"/>
      <c r="L1610" s="31"/>
      <c r="M1610" s="29" t="str">
        <f aca="false">IF($C1610="","",YEAR($C1610))</f>
        <v/>
      </c>
      <c r="N1610" s="24"/>
      <c r="O1610" s="35" t="str">
        <f aca="false">IF($C1610="","",IF($D1610="","★没选客户项目",IF(COUNTIF(合同键,$D1610)=0,"★《维保合同》里没这个项目",IF(N($G1610)&lt;=0,"★收款金额要填",IF($H1610="","★票据类型要选",IF(AND($L1610&lt;&gt;"",COUNTIF(应收单号,$L1610)=0),"★关联的应收单号不存在",IF(AND($L1610&lt;&gt;"",IFERROR(INDEX(应收键,MATCH($L1610,应收单号,0)),"")&lt;&gt;$D1610),"★关联单号不是这个客户的",IF(AND($L1610&lt;&gt;"",ROUND(SUMIF(收款关联,$L1610,收款金额)-IFERROR(INDEX(应收金额,MATCH($L1610,应收单号,0)),0),2)&gt;0.001),"★指定冲销超过那张单的应收","OK"))))))))</f>
        <v/>
      </c>
    </row>
    <row r="1611" customFormat="false" ht="15" hidden="false" customHeight="false" outlineLevel="0" collapsed="false">
      <c r="A1611" s="29" t="str">
        <f aca="false">IF($C1611="","",ROW()-4)</f>
        <v/>
      </c>
      <c r="B1611" s="35" t="str">
        <f aca="false">IF($C1611="","","SK"&amp;TEXT($C1611,"yyyymm")&amp;"-"&amp;TEXT(ROW()-4,"0000"))</f>
        <v/>
      </c>
      <c r="C1611" s="33"/>
      <c r="D1611" s="24"/>
      <c r="E1611" s="30" t="str">
        <f aca="false">IF($D1611="","",IFERROR(INDEX(合同单位,MATCH($D1611,合同键,0)),IFERROR(TRIM(LEFT($D1611,FIND("｜",$D1611)-1)),$D1611)))</f>
        <v/>
      </c>
      <c r="F1611" s="30" t="str">
        <f aca="false">IF($D1611="","",IFERROR(INDEX(合同项目,MATCH($D1611,合同键,0)),IFERROR(TRIM(MID($D1611,FIND("｜",$D1611)+1,99)),"")))</f>
        <v/>
      </c>
      <c r="G1611" s="39"/>
      <c r="H1611" s="25"/>
      <c r="I1611" s="35" t="str">
        <f aca="false">IF($H1611="","",IFERROR(INDEX(票据归类表,MATCH($H1611,票据类型表,0)),"现金无票"))</f>
        <v/>
      </c>
      <c r="J1611" s="25"/>
      <c r="K1611" s="25"/>
      <c r="L1611" s="31"/>
      <c r="M1611" s="29" t="str">
        <f aca="false">IF($C1611="","",YEAR($C1611))</f>
        <v/>
      </c>
      <c r="N1611" s="24"/>
      <c r="O1611" s="35" t="str">
        <f aca="false">IF($C1611="","",IF($D1611="","★没选客户项目",IF(COUNTIF(合同键,$D1611)=0,"★《维保合同》里没这个项目",IF(N($G1611)&lt;=0,"★收款金额要填",IF($H1611="","★票据类型要选",IF(AND($L1611&lt;&gt;"",COUNTIF(应收单号,$L1611)=0),"★关联的应收单号不存在",IF(AND($L1611&lt;&gt;"",IFERROR(INDEX(应收键,MATCH($L1611,应收单号,0)),"")&lt;&gt;$D1611),"★关联单号不是这个客户的",IF(AND($L1611&lt;&gt;"",ROUND(SUMIF(收款关联,$L1611,收款金额)-IFERROR(INDEX(应收金额,MATCH($L1611,应收单号,0)),0),2)&gt;0.001),"★指定冲销超过那张单的应收","OK"))))))))</f>
        <v/>
      </c>
    </row>
    <row r="1612" customFormat="false" ht="15" hidden="false" customHeight="false" outlineLevel="0" collapsed="false">
      <c r="A1612" s="29" t="str">
        <f aca="false">IF($C1612="","",ROW()-4)</f>
        <v/>
      </c>
      <c r="B1612" s="35" t="str">
        <f aca="false">IF($C1612="","","SK"&amp;TEXT($C1612,"yyyymm")&amp;"-"&amp;TEXT(ROW()-4,"0000"))</f>
        <v/>
      </c>
      <c r="C1612" s="33"/>
      <c r="D1612" s="24"/>
      <c r="E1612" s="30" t="str">
        <f aca="false">IF($D1612="","",IFERROR(INDEX(合同单位,MATCH($D1612,合同键,0)),IFERROR(TRIM(LEFT($D1612,FIND("｜",$D1612)-1)),$D1612)))</f>
        <v/>
      </c>
      <c r="F1612" s="30" t="str">
        <f aca="false">IF($D1612="","",IFERROR(INDEX(合同项目,MATCH($D1612,合同键,0)),IFERROR(TRIM(MID($D1612,FIND("｜",$D1612)+1,99)),"")))</f>
        <v/>
      </c>
      <c r="G1612" s="39"/>
      <c r="H1612" s="25"/>
      <c r="I1612" s="35" t="str">
        <f aca="false">IF($H1612="","",IFERROR(INDEX(票据归类表,MATCH($H1612,票据类型表,0)),"现金无票"))</f>
        <v/>
      </c>
      <c r="J1612" s="25"/>
      <c r="K1612" s="25"/>
      <c r="L1612" s="31"/>
      <c r="M1612" s="29" t="str">
        <f aca="false">IF($C1612="","",YEAR($C1612))</f>
        <v/>
      </c>
      <c r="N1612" s="24"/>
      <c r="O1612" s="35" t="str">
        <f aca="false">IF($C1612="","",IF($D1612="","★没选客户项目",IF(COUNTIF(合同键,$D1612)=0,"★《维保合同》里没这个项目",IF(N($G1612)&lt;=0,"★收款金额要填",IF($H1612="","★票据类型要选",IF(AND($L1612&lt;&gt;"",COUNTIF(应收单号,$L1612)=0),"★关联的应收单号不存在",IF(AND($L1612&lt;&gt;"",IFERROR(INDEX(应收键,MATCH($L1612,应收单号,0)),"")&lt;&gt;$D1612),"★关联单号不是这个客户的",IF(AND($L1612&lt;&gt;"",ROUND(SUMIF(收款关联,$L1612,收款金额)-IFERROR(INDEX(应收金额,MATCH($L1612,应收单号,0)),0),2)&gt;0.001),"★指定冲销超过那张单的应收","OK"))))))))</f>
        <v/>
      </c>
    </row>
    <row r="1613" customFormat="false" ht="15" hidden="false" customHeight="false" outlineLevel="0" collapsed="false">
      <c r="A1613" s="29" t="str">
        <f aca="false">IF($C1613="","",ROW()-4)</f>
        <v/>
      </c>
      <c r="B1613" s="35" t="str">
        <f aca="false">IF($C1613="","","SK"&amp;TEXT($C1613,"yyyymm")&amp;"-"&amp;TEXT(ROW()-4,"0000"))</f>
        <v/>
      </c>
      <c r="C1613" s="33"/>
      <c r="D1613" s="24"/>
      <c r="E1613" s="30" t="str">
        <f aca="false">IF($D1613="","",IFERROR(INDEX(合同单位,MATCH($D1613,合同键,0)),IFERROR(TRIM(LEFT($D1613,FIND("｜",$D1613)-1)),$D1613)))</f>
        <v/>
      </c>
      <c r="F1613" s="30" t="str">
        <f aca="false">IF($D1613="","",IFERROR(INDEX(合同项目,MATCH($D1613,合同键,0)),IFERROR(TRIM(MID($D1613,FIND("｜",$D1613)+1,99)),"")))</f>
        <v/>
      </c>
      <c r="G1613" s="39"/>
      <c r="H1613" s="25"/>
      <c r="I1613" s="35" t="str">
        <f aca="false">IF($H1613="","",IFERROR(INDEX(票据归类表,MATCH($H1613,票据类型表,0)),"现金无票"))</f>
        <v/>
      </c>
      <c r="J1613" s="25"/>
      <c r="K1613" s="25"/>
      <c r="L1613" s="31"/>
      <c r="M1613" s="29" t="str">
        <f aca="false">IF($C1613="","",YEAR($C1613))</f>
        <v/>
      </c>
      <c r="N1613" s="24"/>
      <c r="O1613" s="35" t="str">
        <f aca="false">IF($C1613="","",IF($D1613="","★没选客户项目",IF(COUNTIF(合同键,$D1613)=0,"★《维保合同》里没这个项目",IF(N($G1613)&lt;=0,"★收款金额要填",IF($H1613="","★票据类型要选",IF(AND($L1613&lt;&gt;"",COUNTIF(应收单号,$L1613)=0),"★关联的应收单号不存在",IF(AND($L1613&lt;&gt;"",IFERROR(INDEX(应收键,MATCH($L1613,应收单号,0)),"")&lt;&gt;$D1613),"★关联单号不是这个客户的",IF(AND($L1613&lt;&gt;"",ROUND(SUMIF(收款关联,$L1613,收款金额)-IFERROR(INDEX(应收金额,MATCH($L1613,应收单号,0)),0),2)&gt;0.001),"★指定冲销超过那张单的应收","OK"))))))))</f>
        <v/>
      </c>
    </row>
    <row r="1614" customFormat="false" ht="15" hidden="false" customHeight="false" outlineLevel="0" collapsed="false">
      <c r="A1614" s="29" t="str">
        <f aca="false">IF($C1614="","",ROW()-4)</f>
        <v/>
      </c>
      <c r="B1614" s="35" t="str">
        <f aca="false">IF($C1614="","","SK"&amp;TEXT($C1614,"yyyymm")&amp;"-"&amp;TEXT(ROW()-4,"0000"))</f>
        <v/>
      </c>
      <c r="C1614" s="33"/>
      <c r="D1614" s="24"/>
      <c r="E1614" s="30" t="str">
        <f aca="false">IF($D1614="","",IFERROR(INDEX(合同单位,MATCH($D1614,合同键,0)),IFERROR(TRIM(LEFT($D1614,FIND("｜",$D1614)-1)),$D1614)))</f>
        <v/>
      </c>
      <c r="F1614" s="30" t="str">
        <f aca="false">IF($D1614="","",IFERROR(INDEX(合同项目,MATCH($D1614,合同键,0)),IFERROR(TRIM(MID($D1614,FIND("｜",$D1614)+1,99)),"")))</f>
        <v/>
      </c>
      <c r="G1614" s="39"/>
      <c r="H1614" s="25"/>
      <c r="I1614" s="35" t="str">
        <f aca="false">IF($H1614="","",IFERROR(INDEX(票据归类表,MATCH($H1614,票据类型表,0)),"现金无票"))</f>
        <v/>
      </c>
      <c r="J1614" s="25"/>
      <c r="K1614" s="25"/>
      <c r="L1614" s="31"/>
      <c r="M1614" s="29" t="str">
        <f aca="false">IF($C1614="","",YEAR($C1614))</f>
        <v/>
      </c>
      <c r="N1614" s="24"/>
      <c r="O1614" s="35" t="str">
        <f aca="false">IF($C1614="","",IF($D1614="","★没选客户项目",IF(COUNTIF(合同键,$D1614)=0,"★《维保合同》里没这个项目",IF(N($G1614)&lt;=0,"★收款金额要填",IF($H1614="","★票据类型要选",IF(AND($L1614&lt;&gt;"",COUNTIF(应收单号,$L1614)=0),"★关联的应收单号不存在",IF(AND($L1614&lt;&gt;"",IFERROR(INDEX(应收键,MATCH($L1614,应收单号,0)),"")&lt;&gt;$D1614),"★关联单号不是这个客户的",IF(AND($L1614&lt;&gt;"",ROUND(SUMIF(收款关联,$L1614,收款金额)-IFERROR(INDEX(应收金额,MATCH($L1614,应收单号,0)),0),2)&gt;0.001),"★指定冲销超过那张单的应收","OK"))))))))</f>
        <v/>
      </c>
    </row>
    <row r="1615" customFormat="false" ht="15" hidden="false" customHeight="false" outlineLevel="0" collapsed="false">
      <c r="A1615" s="29" t="str">
        <f aca="false">IF($C1615="","",ROW()-4)</f>
        <v/>
      </c>
      <c r="B1615" s="35" t="str">
        <f aca="false">IF($C1615="","","SK"&amp;TEXT($C1615,"yyyymm")&amp;"-"&amp;TEXT(ROW()-4,"0000"))</f>
        <v/>
      </c>
      <c r="C1615" s="33"/>
      <c r="D1615" s="24"/>
      <c r="E1615" s="30" t="str">
        <f aca="false">IF($D1615="","",IFERROR(INDEX(合同单位,MATCH($D1615,合同键,0)),IFERROR(TRIM(LEFT($D1615,FIND("｜",$D1615)-1)),$D1615)))</f>
        <v/>
      </c>
      <c r="F1615" s="30" t="str">
        <f aca="false">IF($D1615="","",IFERROR(INDEX(合同项目,MATCH($D1615,合同键,0)),IFERROR(TRIM(MID($D1615,FIND("｜",$D1615)+1,99)),"")))</f>
        <v/>
      </c>
      <c r="G1615" s="39"/>
      <c r="H1615" s="25"/>
      <c r="I1615" s="35" t="str">
        <f aca="false">IF($H1615="","",IFERROR(INDEX(票据归类表,MATCH($H1615,票据类型表,0)),"现金无票"))</f>
        <v/>
      </c>
      <c r="J1615" s="25"/>
      <c r="K1615" s="25"/>
      <c r="L1615" s="31"/>
      <c r="M1615" s="29" t="str">
        <f aca="false">IF($C1615="","",YEAR($C1615))</f>
        <v/>
      </c>
      <c r="N1615" s="24"/>
      <c r="O1615" s="35" t="str">
        <f aca="false">IF($C1615="","",IF($D1615="","★没选客户项目",IF(COUNTIF(合同键,$D1615)=0,"★《维保合同》里没这个项目",IF(N($G1615)&lt;=0,"★收款金额要填",IF($H1615="","★票据类型要选",IF(AND($L1615&lt;&gt;"",COUNTIF(应收单号,$L1615)=0),"★关联的应收单号不存在",IF(AND($L1615&lt;&gt;"",IFERROR(INDEX(应收键,MATCH($L1615,应收单号,0)),"")&lt;&gt;$D1615),"★关联单号不是这个客户的",IF(AND($L1615&lt;&gt;"",ROUND(SUMIF(收款关联,$L1615,收款金额)-IFERROR(INDEX(应收金额,MATCH($L1615,应收单号,0)),0),2)&gt;0.001),"★指定冲销超过那张单的应收","OK"))))))))</f>
        <v/>
      </c>
    </row>
    <row r="1616" customFormat="false" ht="15" hidden="false" customHeight="false" outlineLevel="0" collapsed="false">
      <c r="A1616" s="29" t="str">
        <f aca="false">IF($C1616="","",ROW()-4)</f>
        <v/>
      </c>
      <c r="B1616" s="35" t="str">
        <f aca="false">IF($C1616="","","SK"&amp;TEXT($C1616,"yyyymm")&amp;"-"&amp;TEXT(ROW()-4,"0000"))</f>
        <v/>
      </c>
      <c r="C1616" s="33"/>
      <c r="D1616" s="24"/>
      <c r="E1616" s="30" t="str">
        <f aca="false">IF($D1616="","",IFERROR(INDEX(合同单位,MATCH($D1616,合同键,0)),IFERROR(TRIM(LEFT($D1616,FIND("｜",$D1616)-1)),$D1616)))</f>
        <v/>
      </c>
      <c r="F1616" s="30" t="str">
        <f aca="false">IF($D1616="","",IFERROR(INDEX(合同项目,MATCH($D1616,合同键,0)),IFERROR(TRIM(MID($D1616,FIND("｜",$D1616)+1,99)),"")))</f>
        <v/>
      </c>
      <c r="G1616" s="39"/>
      <c r="H1616" s="25"/>
      <c r="I1616" s="35" t="str">
        <f aca="false">IF($H1616="","",IFERROR(INDEX(票据归类表,MATCH($H1616,票据类型表,0)),"现金无票"))</f>
        <v/>
      </c>
      <c r="J1616" s="25"/>
      <c r="K1616" s="25"/>
      <c r="L1616" s="31"/>
      <c r="M1616" s="29" t="str">
        <f aca="false">IF($C1616="","",YEAR($C1616))</f>
        <v/>
      </c>
      <c r="N1616" s="24"/>
      <c r="O1616" s="35" t="str">
        <f aca="false">IF($C1616="","",IF($D1616="","★没选客户项目",IF(COUNTIF(合同键,$D1616)=0,"★《维保合同》里没这个项目",IF(N($G1616)&lt;=0,"★收款金额要填",IF($H1616="","★票据类型要选",IF(AND($L1616&lt;&gt;"",COUNTIF(应收单号,$L1616)=0),"★关联的应收单号不存在",IF(AND($L1616&lt;&gt;"",IFERROR(INDEX(应收键,MATCH($L1616,应收单号,0)),"")&lt;&gt;$D1616),"★关联单号不是这个客户的",IF(AND($L1616&lt;&gt;"",ROUND(SUMIF(收款关联,$L1616,收款金额)-IFERROR(INDEX(应收金额,MATCH($L1616,应收单号,0)),0),2)&gt;0.001),"★指定冲销超过那张单的应收","OK"))))))))</f>
        <v/>
      </c>
    </row>
    <row r="1617" customFormat="false" ht="15" hidden="false" customHeight="false" outlineLevel="0" collapsed="false">
      <c r="A1617" s="29" t="str">
        <f aca="false">IF($C1617="","",ROW()-4)</f>
        <v/>
      </c>
      <c r="B1617" s="35" t="str">
        <f aca="false">IF($C1617="","","SK"&amp;TEXT($C1617,"yyyymm")&amp;"-"&amp;TEXT(ROW()-4,"0000"))</f>
        <v/>
      </c>
      <c r="C1617" s="33"/>
      <c r="D1617" s="24"/>
      <c r="E1617" s="30" t="str">
        <f aca="false">IF($D1617="","",IFERROR(INDEX(合同单位,MATCH($D1617,合同键,0)),IFERROR(TRIM(LEFT($D1617,FIND("｜",$D1617)-1)),$D1617)))</f>
        <v/>
      </c>
      <c r="F1617" s="30" t="str">
        <f aca="false">IF($D1617="","",IFERROR(INDEX(合同项目,MATCH($D1617,合同键,0)),IFERROR(TRIM(MID($D1617,FIND("｜",$D1617)+1,99)),"")))</f>
        <v/>
      </c>
      <c r="G1617" s="39"/>
      <c r="H1617" s="25"/>
      <c r="I1617" s="35" t="str">
        <f aca="false">IF($H1617="","",IFERROR(INDEX(票据归类表,MATCH($H1617,票据类型表,0)),"现金无票"))</f>
        <v/>
      </c>
      <c r="J1617" s="25"/>
      <c r="K1617" s="25"/>
      <c r="L1617" s="31"/>
      <c r="M1617" s="29" t="str">
        <f aca="false">IF($C1617="","",YEAR($C1617))</f>
        <v/>
      </c>
      <c r="N1617" s="24"/>
      <c r="O1617" s="35" t="str">
        <f aca="false">IF($C1617="","",IF($D1617="","★没选客户项目",IF(COUNTIF(合同键,$D1617)=0,"★《维保合同》里没这个项目",IF(N($G1617)&lt;=0,"★收款金额要填",IF($H1617="","★票据类型要选",IF(AND($L1617&lt;&gt;"",COUNTIF(应收单号,$L1617)=0),"★关联的应收单号不存在",IF(AND($L1617&lt;&gt;"",IFERROR(INDEX(应收键,MATCH($L1617,应收单号,0)),"")&lt;&gt;$D1617),"★关联单号不是这个客户的",IF(AND($L1617&lt;&gt;"",ROUND(SUMIF(收款关联,$L1617,收款金额)-IFERROR(INDEX(应收金额,MATCH($L1617,应收单号,0)),0),2)&gt;0.001),"★指定冲销超过那张单的应收","OK"))))))))</f>
        <v/>
      </c>
    </row>
    <row r="1618" customFormat="false" ht="15" hidden="false" customHeight="false" outlineLevel="0" collapsed="false">
      <c r="A1618" s="29" t="str">
        <f aca="false">IF($C1618="","",ROW()-4)</f>
        <v/>
      </c>
      <c r="B1618" s="35" t="str">
        <f aca="false">IF($C1618="","","SK"&amp;TEXT($C1618,"yyyymm")&amp;"-"&amp;TEXT(ROW()-4,"0000"))</f>
        <v/>
      </c>
      <c r="C1618" s="33"/>
      <c r="D1618" s="24"/>
      <c r="E1618" s="30" t="str">
        <f aca="false">IF($D1618="","",IFERROR(INDEX(合同单位,MATCH($D1618,合同键,0)),IFERROR(TRIM(LEFT($D1618,FIND("｜",$D1618)-1)),$D1618)))</f>
        <v/>
      </c>
      <c r="F1618" s="30" t="str">
        <f aca="false">IF($D1618="","",IFERROR(INDEX(合同项目,MATCH($D1618,合同键,0)),IFERROR(TRIM(MID($D1618,FIND("｜",$D1618)+1,99)),"")))</f>
        <v/>
      </c>
      <c r="G1618" s="39"/>
      <c r="H1618" s="25"/>
      <c r="I1618" s="35" t="str">
        <f aca="false">IF($H1618="","",IFERROR(INDEX(票据归类表,MATCH($H1618,票据类型表,0)),"现金无票"))</f>
        <v/>
      </c>
      <c r="J1618" s="25"/>
      <c r="K1618" s="25"/>
      <c r="L1618" s="31"/>
      <c r="M1618" s="29" t="str">
        <f aca="false">IF($C1618="","",YEAR($C1618))</f>
        <v/>
      </c>
      <c r="N1618" s="24"/>
      <c r="O1618" s="35" t="str">
        <f aca="false">IF($C1618="","",IF($D1618="","★没选客户项目",IF(COUNTIF(合同键,$D1618)=0,"★《维保合同》里没这个项目",IF(N($G1618)&lt;=0,"★收款金额要填",IF($H1618="","★票据类型要选",IF(AND($L1618&lt;&gt;"",COUNTIF(应收单号,$L1618)=0),"★关联的应收单号不存在",IF(AND($L1618&lt;&gt;"",IFERROR(INDEX(应收键,MATCH($L1618,应收单号,0)),"")&lt;&gt;$D1618),"★关联单号不是这个客户的",IF(AND($L1618&lt;&gt;"",ROUND(SUMIF(收款关联,$L1618,收款金额)-IFERROR(INDEX(应收金额,MATCH($L1618,应收单号,0)),0),2)&gt;0.001),"★指定冲销超过那张单的应收","OK"))))))))</f>
        <v/>
      </c>
    </row>
    <row r="1619" customFormat="false" ht="15" hidden="false" customHeight="false" outlineLevel="0" collapsed="false">
      <c r="A1619" s="29" t="str">
        <f aca="false">IF($C1619="","",ROW()-4)</f>
        <v/>
      </c>
      <c r="B1619" s="35" t="str">
        <f aca="false">IF($C1619="","","SK"&amp;TEXT($C1619,"yyyymm")&amp;"-"&amp;TEXT(ROW()-4,"0000"))</f>
        <v/>
      </c>
      <c r="C1619" s="33"/>
      <c r="D1619" s="24"/>
      <c r="E1619" s="30" t="str">
        <f aca="false">IF($D1619="","",IFERROR(INDEX(合同单位,MATCH($D1619,合同键,0)),IFERROR(TRIM(LEFT($D1619,FIND("｜",$D1619)-1)),$D1619)))</f>
        <v/>
      </c>
      <c r="F1619" s="30" t="str">
        <f aca="false">IF($D1619="","",IFERROR(INDEX(合同项目,MATCH($D1619,合同键,0)),IFERROR(TRIM(MID($D1619,FIND("｜",$D1619)+1,99)),"")))</f>
        <v/>
      </c>
      <c r="G1619" s="39"/>
      <c r="H1619" s="25"/>
      <c r="I1619" s="35" t="str">
        <f aca="false">IF($H1619="","",IFERROR(INDEX(票据归类表,MATCH($H1619,票据类型表,0)),"现金无票"))</f>
        <v/>
      </c>
      <c r="J1619" s="25"/>
      <c r="K1619" s="25"/>
      <c r="L1619" s="31"/>
      <c r="M1619" s="29" t="str">
        <f aca="false">IF($C1619="","",YEAR($C1619))</f>
        <v/>
      </c>
      <c r="N1619" s="24"/>
      <c r="O1619" s="35" t="str">
        <f aca="false">IF($C1619="","",IF($D1619="","★没选客户项目",IF(COUNTIF(合同键,$D1619)=0,"★《维保合同》里没这个项目",IF(N($G1619)&lt;=0,"★收款金额要填",IF($H1619="","★票据类型要选",IF(AND($L1619&lt;&gt;"",COUNTIF(应收单号,$L1619)=0),"★关联的应收单号不存在",IF(AND($L1619&lt;&gt;"",IFERROR(INDEX(应收键,MATCH($L1619,应收单号,0)),"")&lt;&gt;$D1619),"★关联单号不是这个客户的",IF(AND($L1619&lt;&gt;"",ROUND(SUMIF(收款关联,$L1619,收款金额)-IFERROR(INDEX(应收金额,MATCH($L1619,应收单号,0)),0),2)&gt;0.001),"★指定冲销超过那张单的应收","OK"))))))))</f>
        <v/>
      </c>
    </row>
    <row r="1620" customFormat="false" ht="15" hidden="false" customHeight="false" outlineLevel="0" collapsed="false">
      <c r="A1620" s="29" t="str">
        <f aca="false">IF($C1620="","",ROW()-4)</f>
        <v/>
      </c>
      <c r="B1620" s="35" t="str">
        <f aca="false">IF($C1620="","","SK"&amp;TEXT($C1620,"yyyymm")&amp;"-"&amp;TEXT(ROW()-4,"0000"))</f>
        <v/>
      </c>
      <c r="C1620" s="33"/>
      <c r="D1620" s="24"/>
      <c r="E1620" s="30" t="str">
        <f aca="false">IF($D1620="","",IFERROR(INDEX(合同单位,MATCH($D1620,合同键,0)),IFERROR(TRIM(LEFT($D1620,FIND("｜",$D1620)-1)),$D1620)))</f>
        <v/>
      </c>
      <c r="F1620" s="30" t="str">
        <f aca="false">IF($D1620="","",IFERROR(INDEX(合同项目,MATCH($D1620,合同键,0)),IFERROR(TRIM(MID($D1620,FIND("｜",$D1620)+1,99)),"")))</f>
        <v/>
      </c>
      <c r="G1620" s="39"/>
      <c r="H1620" s="25"/>
      <c r="I1620" s="35" t="str">
        <f aca="false">IF($H1620="","",IFERROR(INDEX(票据归类表,MATCH($H1620,票据类型表,0)),"现金无票"))</f>
        <v/>
      </c>
      <c r="J1620" s="25"/>
      <c r="K1620" s="25"/>
      <c r="L1620" s="31"/>
      <c r="M1620" s="29" t="str">
        <f aca="false">IF($C1620="","",YEAR($C1620))</f>
        <v/>
      </c>
      <c r="N1620" s="24"/>
      <c r="O1620" s="35" t="str">
        <f aca="false">IF($C1620="","",IF($D1620="","★没选客户项目",IF(COUNTIF(合同键,$D1620)=0,"★《维保合同》里没这个项目",IF(N($G1620)&lt;=0,"★收款金额要填",IF($H1620="","★票据类型要选",IF(AND($L1620&lt;&gt;"",COUNTIF(应收单号,$L1620)=0),"★关联的应收单号不存在",IF(AND($L1620&lt;&gt;"",IFERROR(INDEX(应收键,MATCH($L1620,应收单号,0)),"")&lt;&gt;$D1620),"★关联单号不是这个客户的",IF(AND($L1620&lt;&gt;"",ROUND(SUMIF(收款关联,$L1620,收款金额)-IFERROR(INDEX(应收金额,MATCH($L1620,应收单号,0)),0),2)&gt;0.001),"★指定冲销超过那张单的应收","OK"))))))))</f>
        <v/>
      </c>
    </row>
    <row r="1621" customFormat="false" ht="15" hidden="false" customHeight="false" outlineLevel="0" collapsed="false">
      <c r="A1621" s="29" t="str">
        <f aca="false">IF($C1621="","",ROW()-4)</f>
        <v/>
      </c>
      <c r="B1621" s="35" t="str">
        <f aca="false">IF($C1621="","","SK"&amp;TEXT($C1621,"yyyymm")&amp;"-"&amp;TEXT(ROW()-4,"0000"))</f>
        <v/>
      </c>
      <c r="C1621" s="33"/>
      <c r="D1621" s="24"/>
      <c r="E1621" s="30" t="str">
        <f aca="false">IF($D1621="","",IFERROR(INDEX(合同单位,MATCH($D1621,合同键,0)),IFERROR(TRIM(LEFT($D1621,FIND("｜",$D1621)-1)),$D1621)))</f>
        <v/>
      </c>
      <c r="F1621" s="30" t="str">
        <f aca="false">IF($D1621="","",IFERROR(INDEX(合同项目,MATCH($D1621,合同键,0)),IFERROR(TRIM(MID($D1621,FIND("｜",$D1621)+1,99)),"")))</f>
        <v/>
      </c>
      <c r="G1621" s="39"/>
      <c r="H1621" s="25"/>
      <c r="I1621" s="35" t="str">
        <f aca="false">IF($H1621="","",IFERROR(INDEX(票据归类表,MATCH($H1621,票据类型表,0)),"现金无票"))</f>
        <v/>
      </c>
      <c r="J1621" s="25"/>
      <c r="K1621" s="25"/>
      <c r="L1621" s="31"/>
      <c r="M1621" s="29" t="str">
        <f aca="false">IF($C1621="","",YEAR($C1621))</f>
        <v/>
      </c>
      <c r="N1621" s="24"/>
      <c r="O1621" s="35" t="str">
        <f aca="false">IF($C1621="","",IF($D1621="","★没选客户项目",IF(COUNTIF(合同键,$D1621)=0,"★《维保合同》里没这个项目",IF(N($G1621)&lt;=0,"★收款金额要填",IF($H1621="","★票据类型要选",IF(AND($L1621&lt;&gt;"",COUNTIF(应收单号,$L1621)=0),"★关联的应收单号不存在",IF(AND($L1621&lt;&gt;"",IFERROR(INDEX(应收键,MATCH($L1621,应收单号,0)),"")&lt;&gt;$D1621),"★关联单号不是这个客户的",IF(AND($L1621&lt;&gt;"",ROUND(SUMIF(收款关联,$L1621,收款金额)-IFERROR(INDEX(应收金额,MATCH($L1621,应收单号,0)),0),2)&gt;0.001),"★指定冲销超过那张单的应收","OK"))))))))</f>
        <v/>
      </c>
    </row>
    <row r="1622" customFormat="false" ht="15" hidden="false" customHeight="false" outlineLevel="0" collapsed="false">
      <c r="A1622" s="29" t="str">
        <f aca="false">IF($C1622="","",ROW()-4)</f>
        <v/>
      </c>
      <c r="B1622" s="35" t="str">
        <f aca="false">IF($C1622="","","SK"&amp;TEXT($C1622,"yyyymm")&amp;"-"&amp;TEXT(ROW()-4,"0000"))</f>
        <v/>
      </c>
      <c r="C1622" s="33"/>
      <c r="D1622" s="24"/>
      <c r="E1622" s="30" t="str">
        <f aca="false">IF($D1622="","",IFERROR(INDEX(合同单位,MATCH($D1622,合同键,0)),IFERROR(TRIM(LEFT($D1622,FIND("｜",$D1622)-1)),$D1622)))</f>
        <v/>
      </c>
      <c r="F1622" s="30" t="str">
        <f aca="false">IF($D1622="","",IFERROR(INDEX(合同项目,MATCH($D1622,合同键,0)),IFERROR(TRIM(MID($D1622,FIND("｜",$D1622)+1,99)),"")))</f>
        <v/>
      </c>
      <c r="G1622" s="39"/>
      <c r="H1622" s="25"/>
      <c r="I1622" s="35" t="str">
        <f aca="false">IF($H1622="","",IFERROR(INDEX(票据归类表,MATCH($H1622,票据类型表,0)),"现金无票"))</f>
        <v/>
      </c>
      <c r="J1622" s="25"/>
      <c r="K1622" s="25"/>
      <c r="L1622" s="31"/>
      <c r="M1622" s="29" t="str">
        <f aca="false">IF($C1622="","",YEAR($C1622))</f>
        <v/>
      </c>
      <c r="N1622" s="24"/>
      <c r="O1622" s="35" t="str">
        <f aca="false">IF($C1622="","",IF($D1622="","★没选客户项目",IF(COUNTIF(合同键,$D1622)=0,"★《维保合同》里没这个项目",IF(N($G1622)&lt;=0,"★收款金额要填",IF($H1622="","★票据类型要选",IF(AND($L1622&lt;&gt;"",COUNTIF(应收单号,$L1622)=0),"★关联的应收单号不存在",IF(AND($L1622&lt;&gt;"",IFERROR(INDEX(应收键,MATCH($L1622,应收单号,0)),"")&lt;&gt;$D1622),"★关联单号不是这个客户的",IF(AND($L1622&lt;&gt;"",ROUND(SUMIF(收款关联,$L1622,收款金额)-IFERROR(INDEX(应收金额,MATCH($L1622,应收单号,0)),0),2)&gt;0.001),"★指定冲销超过那张单的应收","OK"))))))))</f>
        <v/>
      </c>
    </row>
    <row r="1623" customFormat="false" ht="15" hidden="false" customHeight="false" outlineLevel="0" collapsed="false">
      <c r="A1623" s="29" t="str">
        <f aca="false">IF($C1623="","",ROW()-4)</f>
        <v/>
      </c>
      <c r="B1623" s="35" t="str">
        <f aca="false">IF($C1623="","","SK"&amp;TEXT($C1623,"yyyymm")&amp;"-"&amp;TEXT(ROW()-4,"0000"))</f>
        <v/>
      </c>
      <c r="C1623" s="33"/>
      <c r="D1623" s="24"/>
      <c r="E1623" s="30" t="str">
        <f aca="false">IF($D1623="","",IFERROR(INDEX(合同单位,MATCH($D1623,合同键,0)),IFERROR(TRIM(LEFT($D1623,FIND("｜",$D1623)-1)),$D1623)))</f>
        <v/>
      </c>
      <c r="F1623" s="30" t="str">
        <f aca="false">IF($D1623="","",IFERROR(INDEX(合同项目,MATCH($D1623,合同键,0)),IFERROR(TRIM(MID($D1623,FIND("｜",$D1623)+1,99)),"")))</f>
        <v/>
      </c>
      <c r="G1623" s="39"/>
      <c r="H1623" s="25"/>
      <c r="I1623" s="35" t="str">
        <f aca="false">IF($H1623="","",IFERROR(INDEX(票据归类表,MATCH($H1623,票据类型表,0)),"现金无票"))</f>
        <v/>
      </c>
      <c r="J1623" s="25"/>
      <c r="K1623" s="25"/>
      <c r="L1623" s="31"/>
      <c r="M1623" s="29" t="str">
        <f aca="false">IF($C1623="","",YEAR($C1623))</f>
        <v/>
      </c>
      <c r="N1623" s="24"/>
      <c r="O1623" s="35" t="str">
        <f aca="false">IF($C1623="","",IF($D1623="","★没选客户项目",IF(COUNTIF(合同键,$D1623)=0,"★《维保合同》里没这个项目",IF(N($G1623)&lt;=0,"★收款金额要填",IF($H1623="","★票据类型要选",IF(AND($L1623&lt;&gt;"",COUNTIF(应收单号,$L1623)=0),"★关联的应收单号不存在",IF(AND($L1623&lt;&gt;"",IFERROR(INDEX(应收键,MATCH($L1623,应收单号,0)),"")&lt;&gt;$D1623),"★关联单号不是这个客户的",IF(AND($L1623&lt;&gt;"",ROUND(SUMIF(收款关联,$L1623,收款金额)-IFERROR(INDEX(应收金额,MATCH($L1623,应收单号,0)),0),2)&gt;0.001),"★指定冲销超过那张单的应收","OK"))))))))</f>
        <v/>
      </c>
    </row>
    <row r="1624" customFormat="false" ht="15" hidden="false" customHeight="false" outlineLevel="0" collapsed="false">
      <c r="A1624" s="29" t="str">
        <f aca="false">IF($C1624="","",ROW()-4)</f>
        <v/>
      </c>
      <c r="B1624" s="35" t="str">
        <f aca="false">IF($C1624="","","SK"&amp;TEXT($C1624,"yyyymm")&amp;"-"&amp;TEXT(ROW()-4,"0000"))</f>
        <v/>
      </c>
      <c r="C1624" s="33"/>
      <c r="D1624" s="24"/>
      <c r="E1624" s="30" t="str">
        <f aca="false">IF($D1624="","",IFERROR(INDEX(合同单位,MATCH($D1624,合同键,0)),IFERROR(TRIM(LEFT($D1624,FIND("｜",$D1624)-1)),$D1624)))</f>
        <v/>
      </c>
      <c r="F1624" s="30" t="str">
        <f aca="false">IF($D1624="","",IFERROR(INDEX(合同项目,MATCH($D1624,合同键,0)),IFERROR(TRIM(MID($D1624,FIND("｜",$D1624)+1,99)),"")))</f>
        <v/>
      </c>
      <c r="G1624" s="39"/>
      <c r="H1624" s="25"/>
      <c r="I1624" s="35" t="str">
        <f aca="false">IF($H1624="","",IFERROR(INDEX(票据归类表,MATCH($H1624,票据类型表,0)),"现金无票"))</f>
        <v/>
      </c>
      <c r="J1624" s="25"/>
      <c r="K1624" s="25"/>
      <c r="L1624" s="31"/>
      <c r="M1624" s="29" t="str">
        <f aca="false">IF($C1624="","",YEAR($C1624))</f>
        <v/>
      </c>
      <c r="N1624" s="24"/>
      <c r="O1624" s="35" t="str">
        <f aca="false">IF($C1624="","",IF($D1624="","★没选客户项目",IF(COUNTIF(合同键,$D1624)=0,"★《维保合同》里没这个项目",IF(N($G1624)&lt;=0,"★收款金额要填",IF($H1624="","★票据类型要选",IF(AND($L1624&lt;&gt;"",COUNTIF(应收单号,$L1624)=0),"★关联的应收单号不存在",IF(AND($L1624&lt;&gt;"",IFERROR(INDEX(应收键,MATCH($L1624,应收单号,0)),"")&lt;&gt;$D1624),"★关联单号不是这个客户的",IF(AND($L1624&lt;&gt;"",ROUND(SUMIF(收款关联,$L1624,收款金额)-IFERROR(INDEX(应收金额,MATCH($L1624,应收单号,0)),0),2)&gt;0.001),"★指定冲销超过那张单的应收","OK"))))))))</f>
        <v/>
      </c>
    </row>
    <row r="1625" customFormat="false" ht="15" hidden="false" customHeight="false" outlineLevel="0" collapsed="false">
      <c r="A1625" s="29" t="str">
        <f aca="false">IF($C1625="","",ROW()-4)</f>
        <v/>
      </c>
      <c r="B1625" s="35" t="str">
        <f aca="false">IF($C1625="","","SK"&amp;TEXT($C1625,"yyyymm")&amp;"-"&amp;TEXT(ROW()-4,"0000"))</f>
        <v/>
      </c>
      <c r="C1625" s="33"/>
      <c r="D1625" s="24"/>
      <c r="E1625" s="30" t="str">
        <f aca="false">IF($D1625="","",IFERROR(INDEX(合同单位,MATCH($D1625,合同键,0)),IFERROR(TRIM(LEFT($D1625,FIND("｜",$D1625)-1)),$D1625)))</f>
        <v/>
      </c>
      <c r="F1625" s="30" t="str">
        <f aca="false">IF($D1625="","",IFERROR(INDEX(合同项目,MATCH($D1625,合同键,0)),IFERROR(TRIM(MID($D1625,FIND("｜",$D1625)+1,99)),"")))</f>
        <v/>
      </c>
      <c r="G1625" s="39"/>
      <c r="H1625" s="25"/>
      <c r="I1625" s="35" t="str">
        <f aca="false">IF($H1625="","",IFERROR(INDEX(票据归类表,MATCH($H1625,票据类型表,0)),"现金无票"))</f>
        <v/>
      </c>
      <c r="J1625" s="25"/>
      <c r="K1625" s="25"/>
      <c r="L1625" s="31"/>
      <c r="M1625" s="29" t="str">
        <f aca="false">IF($C1625="","",YEAR($C1625))</f>
        <v/>
      </c>
      <c r="N1625" s="24"/>
      <c r="O1625" s="35" t="str">
        <f aca="false">IF($C1625="","",IF($D1625="","★没选客户项目",IF(COUNTIF(合同键,$D1625)=0,"★《维保合同》里没这个项目",IF(N($G1625)&lt;=0,"★收款金额要填",IF($H1625="","★票据类型要选",IF(AND($L1625&lt;&gt;"",COUNTIF(应收单号,$L1625)=0),"★关联的应收单号不存在",IF(AND($L1625&lt;&gt;"",IFERROR(INDEX(应收键,MATCH($L1625,应收单号,0)),"")&lt;&gt;$D1625),"★关联单号不是这个客户的",IF(AND($L1625&lt;&gt;"",ROUND(SUMIF(收款关联,$L1625,收款金额)-IFERROR(INDEX(应收金额,MATCH($L1625,应收单号,0)),0),2)&gt;0.001),"★指定冲销超过那张单的应收","OK"))))))))</f>
        <v/>
      </c>
    </row>
    <row r="1626" customFormat="false" ht="15" hidden="false" customHeight="false" outlineLevel="0" collapsed="false">
      <c r="A1626" s="29" t="str">
        <f aca="false">IF($C1626="","",ROW()-4)</f>
        <v/>
      </c>
      <c r="B1626" s="35" t="str">
        <f aca="false">IF($C1626="","","SK"&amp;TEXT($C1626,"yyyymm")&amp;"-"&amp;TEXT(ROW()-4,"0000"))</f>
        <v/>
      </c>
      <c r="C1626" s="33"/>
      <c r="D1626" s="24"/>
      <c r="E1626" s="30" t="str">
        <f aca="false">IF($D1626="","",IFERROR(INDEX(合同单位,MATCH($D1626,合同键,0)),IFERROR(TRIM(LEFT($D1626,FIND("｜",$D1626)-1)),$D1626)))</f>
        <v/>
      </c>
      <c r="F1626" s="30" t="str">
        <f aca="false">IF($D1626="","",IFERROR(INDEX(合同项目,MATCH($D1626,合同键,0)),IFERROR(TRIM(MID($D1626,FIND("｜",$D1626)+1,99)),"")))</f>
        <v/>
      </c>
      <c r="G1626" s="39"/>
      <c r="H1626" s="25"/>
      <c r="I1626" s="35" t="str">
        <f aca="false">IF($H1626="","",IFERROR(INDEX(票据归类表,MATCH($H1626,票据类型表,0)),"现金无票"))</f>
        <v/>
      </c>
      <c r="J1626" s="25"/>
      <c r="K1626" s="25"/>
      <c r="L1626" s="31"/>
      <c r="M1626" s="29" t="str">
        <f aca="false">IF($C1626="","",YEAR($C1626))</f>
        <v/>
      </c>
      <c r="N1626" s="24"/>
      <c r="O1626" s="35" t="str">
        <f aca="false">IF($C1626="","",IF($D1626="","★没选客户项目",IF(COUNTIF(合同键,$D1626)=0,"★《维保合同》里没这个项目",IF(N($G1626)&lt;=0,"★收款金额要填",IF($H1626="","★票据类型要选",IF(AND($L1626&lt;&gt;"",COUNTIF(应收单号,$L1626)=0),"★关联的应收单号不存在",IF(AND($L1626&lt;&gt;"",IFERROR(INDEX(应收键,MATCH($L1626,应收单号,0)),"")&lt;&gt;$D1626),"★关联单号不是这个客户的",IF(AND($L1626&lt;&gt;"",ROUND(SUMIF(收款关联,$L1626,收款金额)-IFERROR(INDEX(应收金额,MATCH($L1626,应收单号,0)),0),2)&gt;0.001),"★指定冲销超过那张单的应收","OK"))))))))</f>
        <v/>
      </c>
    </row>
    <row r="1627" customFormat="false" ht="15" hidden="false" customHeight="false" outlineLevel="0" collapsed="false">
      <c r="A1627" s="29" t="str">
        <f aca="false">IF($C1627="","",ROW()-4)</f>
        <v/>
      </c>
      <c r="B1627" s="35" t="str">
        <f aca="false">IF($C1627="","","SK"&amp;TEXT($C1627,"yyyymm")&amp;"-"&amp;TEXT(ROW()-4,"0000"))</f>
        <v/>
      </c>
      <c r="C1627" s="33"/>
      <c r="D1627" s="24"/>
      <c r="E1627" s="30" t="str">
        <f aca="false">IF($D1627="","",IFERROR(INDEX(合同单位,MATCH($D1627,合同键,0)),IFERROR(TRIM(LEFT($D1627,FIND("｜",$D1627)-1)),$D1627)))</f>
        <v/>
      </c>
      <c r="F1627" s="30" t="str">
        <f aca="false">IF($D1627="","",IFERROR(INDEX(合同项目,MATCH($D1627,合同键,0)),IFERROR(TRIM(MID($D1627,FIND("｜",$D1627)+1,99)),"")))</f>
        <v/>
      </c>
      <c r="G1627" s="39"/>
      <c r="H1627" s="25"/>
      <c r="I1627" s="35" t="str">
        <f aca="false">IF($H1627="","",IFERROR(INDEX(票据归类表,MATCH($H1627,票据类型表,0)),"现金无票"))</f>
        <v/>
      </c>
      <c r="J1627" s="25"/>
      <c r="K1627" s="25"/>
      <c r="L1627" s="31"/>
      <c r="M1627" s="29" t="str">
        <f aca="false">IF($C1627="","",YEAR($C1627))</f>
        <v/>
      </c>
      <c r="N1627" s="24"/>
      <c r="O1627" s="35" t="str">
        <f aca="false">IF($C1627="","",IF($D1627="","★没选客户项目",IF(COUNTIF(合同键,$D1627)=0,"★《维保合同》里没这个项目",IF(N($G1627)&lt;=0,"★收款金额要填",IF($H1627="","★票据类型要选",IF(AND($L1627&lt;&gt;"",COUNTIF(应收单号,$L1627)=0),"★关联的应收单号不存在",IF(AND($L1627&lt;&gt;"",IFERROR(INDEX(应收键,MATCH($L1627,应收单号,0)),"")&lt;&gt;$D1627),"★关联单号不是这个客户的",IF(AND($L1627&lt;&gt;"",ROUND(SUMIF(收款关联,$L1627,收款金额)-IFERROR(INDEX(应收金额,MATCH($L1627,应收单号,0)),0),2)&gt;0.001),"★指定冲销超过那张单的应收","OK"))))))))</f>
        <v/>
      </c>
    </row>
    <row r="1628" customFormat="false" ht="15" hidden="false" customHeight="false" outlineLevel="0" collapsed="false">
      <c r="A1628" s="29" t="str">
        <f aca="false">IF($C1628="","",ROW()-4)</f>
        <v/>
      </c>
      <c r="B1628" s="35" t="str">
        <f aca="false">IF($C1628="","","SK"&amp;TEXT($C1628,"yyyymm")&amp;"-"&amp;TEXT(ROW()-4,"0000"))</f>
        <v/>
      </c>
      <c r="C1628" s="33"/>
      <c r="D1628" s="24"/>
      <c r="E1628" s="30" t="str">
        <f aca="false">IF($D1628="","",IFERROR(INDEX(合同单位,MATCH($D1628,合同键,0)),IFERROR(TRIM(LEFT($D1628,FIND("｜",$D1628)-1)),$D1628)))</f>
        <v/>
      </c>
      <c r="F1628" s="30" t="str">
        <f aca="false">IF($D1628="","",IFERROR(INDEX(合同项目,MATCH($D1628,合同键,0)),IFERROR(TRIM(MID($D1628,FIND("｜",$D1628)+1,99)),"")))</f>
        <v/>
      </c>
      <c r="G1628" s="39"/>
      <c r="H1628" s="25"/>
      <c r="I1628" s="35" t="str">
        <f aca="false">IF($H1628="","",IFERROR(INDEX(票据归类表,MATCH($H1628,票据类型表,0)),"现金无票"))</f>
        <v/>
      </c>
      <c r="J1628" s="25"/>
      <c r="K1628" s="25"/>
      <c r="L1628" s="31"/>
      <c r="M1628" s="29" t="str">
        <f aca="false">IF($C1628="","",YEAR($C1628))</f>
        <v/>
      </c>
      <c r="N1628" s="24"/>
      <c r="O1628" s="35" t="str">
        <f aca="false">IF($C1628="","",IF($D1628="","★没选客户项目",IF(COUNTIF(合同键,$D1628)=0,"★《维保合同》里没这个项目",IF(N($G1628)&lt;=0,"★收款金额要填",IF($H1628="","★票据类型要选",IF(AND($L1628&lt;&gt;"",COUNTIF(应收单号,$L1628)=0),"★关联的应收单号不存在",IF(AND($L1628&lt;&gt;"",IFERROR(INDEX(应收键,MATCH($L1628,应收单号,0)),"")&lt;&gt;$D1628),"★关联单号不是这个客户的",IF(AND($L1628&lt;&gt;"",ROUND(SUMIF(收款关联,$L1628,收款金额)-IFERROR(INDEX(应收金额,MATCH($L1628,应收单号,0)),0),2)&gt;0.001),"★指定冲销超过那张单的应收","OK"))))))))</f>
        <v/>
      </c>
    </row>
    <row r="1629" customFormat="false" ht="15" hidden="false" customHeight="false" outlineLevel="0" collapsed="false">
      <c r="A1629" s="29" t="str">
        <f aca="false">IF($C1629="","",ROW()-4)</f>
        <v/>
      </c>
      <c r="B1629" s="35" t="str">
        <f aca="false">IF($C1629="","","SK"&amp;TEXT($C1629,"yyyymm")&amp;"-"&amp;TEXT(ROW()-4,"0000"))</f>
        <v/>
      </c>
      <c r="C1629" s="33"/>
      <c r="D1629" s="24"/>
      <c r="E1629" s="30" t="str">
        <f aca="false">IF($D1629="","",IFERROR(INDEX(合同单位,MATCH($D1629,合同键,0)),IFERROR(TRIM(LEFT($D1629,FIND("｜",$D1629)-1)),$D1629)))</f>
        <v/>
      </c>
      <c r="F1629" s="30" t="str">
        <f aca="false">IF($D1629="","",IFERROR(INDEX(合同项目,MATCH($D1629,合同键,0)),IFERROR(TRIM(MID($D1629,FIND("｜",$D1629)+1,99)),"")))</f>
        <v/>
      </c>
      <c r="G1629" s="39"/>
      <c r="H1629" s="25"/>
      <c r="I1629" s="35" t="str">
        <f aca="false">IF($H1629="","",IFERROR(INDEX(票据归类表,MATCH($H1629,票据类型表,0)),"现金无票"))</f>
        <v/>
      </c>
      <c r="J1629" s="25"/>
      <c r="K1629" s="25"/>
      <c r="L1629" s="31"/>
      <c r="M1629" s="29" t="str">
        <f aca="false">IF($C1629="","",YEAR($C1629))</f>
        <v/>
      </c>
      <c r="N1629" s="24"/>
      <c r="O1629" s="35" t="str">
        <f aca="false">IF($C1629="","",IF($D1629="","★没选客户项目",IF(COUNTIF(合同键,$D1629)=0,"★《维保合同》里没这个项目",IF(N($G1629)&lt;=0,"★收款金额要填",IF($H1629="","★票据类型要选",IF(AND($L1629&lt;&gt;"",COUNTIF(应收单号,$L1629)=0),"★关联的应收单号不存在",IF(AND($L1629&lt;&gt;"",IFERROR(INDEX(应收键,MATCH($L1629,应收单号,0)),"")&lt;&gt;$D1629),"★关联单号不是这个客户的",IF(AND($L1629&lt;&gt;"",ROUND(SUMIF(收款关联,$L1629,收款金额)-IFERROR(INDEX(应收金额,MATCH($L1629,应收单号,0)),0),2)&gt;0.001),"★指定冲销超过那张单的应收","OK"))))))))</f>
        <v/>
      </c>
    </row>
    <row r="1630" customFormat="false" ht="15" hidden="false" customHeight="false" outlineLevel="0" collapsed="false">
      <c r="A1630" s="29" t="str">
        <f aca="false">IF($C1630="","",ROW()-4)</f>
        <v/>
      </c>
      <c r="B1630" s="35" t="str">
        <f aca="false">IF($C1630="","","SK"&amp;TEXT($C1630,"yyyymm")&amp;"-"&amp;TEXT(ROW()-4,"0000"))</f>
        <v/>
      </c>
      <c r="C1630" s="33"/>
      <c r="D1630" s="24"/>
      <c r="E1630" s="30" t="str">
        <f aca="false">IF($D1630="","",IFERROR(INDEX(合同单位,MATCH($D1630,合同键,0)),IFERROR(TRIM(LEFT($D1630,FIND("｜",$D1630)-1)),$D1630)))</f>
        <v/>
      </c>
      <c r="F1630" s="30" t="str">
        <f aca="false">IF($D1630="","",IFERROR(INDEX(合同项目,MATCH($D1630,合同键,0)),IFERROR(TRIM(MID($D1630,FIND("｜",$D1630)+1,99)),"")))</f>
        <v/>
      </c>
      <c r="G1630" s="39"/>
      <c r="H1630" s="25"/>
      <c r="I1630" s="35" t="str">
        <f aca="false">IF($H1630="","",IFERROR(INDEX(票据归类表,MATCH($H1630,票据类型表,0)),"现金无票"))</f>
        <v/>
      </c>
      <c r="J1630" s="25"/>
      <c r="K1630" s="25"/>
      <c r="L1630" s="31"/>
      <c r="M1630" s="29" t="str">
        <f aca="false">IF($C1630="","",YEAR($C1630))</f>
        <v/>
      </c>
      <c r="N1630" s="24"/>
      <c r="O1630" s="35" t="str">
        <f aca="false">IF($C1630="","",IF($D1630="","★没选客户项目",IF(COUNTIF(合同键,$D1630)=0,"★《维保合同》里没这个项目",IF(N($G1630)&lt;=0,"★收款金额要填",IF($H1630="","★票据类型要选",IF(AND($L1630&lt;&gt;"",COUNTIF(应收单号,$L1630)=0),"★关联的应收单号不存在",IF(AND($L1630&lt;&gt;"",IFERROR(INDEX(应收键,MATCH($L1630,应收单号,0)),"")&lt;&gt;$D1630),"★关联单号不是这个客户的",IF(AND($L1630&lt;&gt;"",ROUND(SUMIF(收款关联,$L1630,收款金额)-IFERROR(INDEX(应收金额,MATCH($L1630,应收单号,0)),0),2)&gt;0.001),"★指定冲销超过那张单的应收","OK"))))))))</f>
        <v/>
      </c>
    </row>
    <row r="1631" customFormat="false" ht="15" hidden="false" customHeight="false" outlineLevel="0" collapsed="false">
      <c r="A1631" s="29" t="str">
        <f aca="false">IF($C1631="","",ROW()-4)</f>
        <v/>
      </c>
      <c r="B1631" s="35" t="str">
        <f aca="false">IF($C1631="","","SK"&amp;TEXT($C1631,"yyyymm")&amp;"-"&amp;TEXT(ROW()-4,"0000"))</f>
        <v/>
      </c>
      <c r="C1631" s="33"/>
      <c r="D1631" s="24"/>
      <c r="E1631" s="30" t="str">
        <f aca="false">IF($D1631="","",IFERROR(INDEX(合同单位,MATCH($D1631,合同键,0)),IFERROR(TRIM(LEFT($D1631,FIND("｜",$D1631)-1)),$D1631)))</f>
        <v/>
      </c>
      <c r="F1631" s="30" t="str">
        <f aca="false">IF($D1631="","",IFERROR(INDEX(合同项目,MATCH($D1631,合同键,0)),IFERROR(TRIM(MID($D1631,FIND("｜",$D1631)+1,99)),"")))</f>
        <v/>
      </c>
      <c r="G1631" s="39"/>
      <c r="H1631" s="25"/>
      <c r="I1631" s="35" t="str">
        <f aca="false">IF($H1631="","",IFERROR(INDEX(票据归类表,MATCH($H1631,票据类型表,0)),"现金无票"))</f>
        <v/>
      </c>
      <c r="J1631" s="25"/>
      <c r="K1631" s="25"/>
      <c r="L1631" s="31"/>
      <c r="M1631" s="29" t="str">
        <f aca="false">IF($C1631="","",YEAR($C1631))</f>
        <v/>
      </c>
      <c r="N1631" s="24"/>
      <c r="O1631" s="35" t="str">
        <f aca="false">IF($C1631="","",IF($D1631="","★没选客户项目",IF(COUNTIF(合同键,$D1631)=0,"★《维保合同》里没这个项目",IF(N($G1631)&lt;=0,"★收款金额要填",IF($H1631="","★票据类型要选",IF(AND($L1631&lt;&gt;"",COUNTIF(应收单号,$L1631)=0),"★关联的应收单号不存在",IF(AND($L1631&lt;&gt;"",IFERROR(INDEX(应收键,MATCH($L1631,应收单号,0)),"")&lt;&gt;$D1631),"★关联单号不是这个客户的",IF(AND($L1631&lt;&gt;"",ROUND(SUMIF(收款关联,$L1631,收款金额)-IFERROR(INDEX(应收金额,MATCH($L1631,应收单号,0)),0),2)&gt;0.001),"★指定冲销超过那张单的应收","OK"))))))))</f>
        <v/>
      </c>
    </row>
    <row r="1632" customFormat="false" ht="15" hidden="false" customHeight="false" outlineLevel="0" collapsed="false">
      <c r="A1632" s="29" t="str">
        <f aca="false">IF($C1632="","",ROW()-4)</f>
        <v/>
      </c>
      <c r="B1632" s="35" t="str">
        <f aca="false">IF($C1632="","","SK"&amp;TEXT($C1632,"yyyymm")&amp;"-"&amp;TEXT(ROW()-4,"0000"))</f>
        <v/>
      </c>
      <c r="C1632" s="33"/>
      <c r="D1632" s="24"/>
      <c r="E1632" s="30" t="str">
        <f aca="false">IF($D1632="","",IFERROR(INDEX(合同单位,MATCH($D1632,合同键,0)),IFERROR(TRIM(LEFT($D1632,FIND("｜",$D1632)-1)),$D1632)))</f>
        <v/>
      </c>
      <c r="F1632" s="30" t="str">
        <f aca="false">IF($D1632="","",IFERROR(INDEX(合同项目,MATCH($D1632,合同键,0)),IFERROR(TRIM(MID($D1632,FIND("｜",$D1632)+1,99)),"")))</f>
        <v/>
      </c>
      <c r="G1632" s="39"/>
      <c r="H1632" s="25"/>
      <c r="I1632" s="35" t="str">
        <f aca="false">IF($H1632="","",IFERROR(INDEX(票据归类表,MATCH($H1632,票据类型表,0)),"现金无票"))</f>
        <v/>
      </c>
      <c r="J1632" s="25"/>
      <c r="K1632" s="25"/>
      <c r="L1632" s="31"/>
      <c r="M1632" s="29" t="str">
        <f aca="false">IF($C1632="","",YEAR($C1632))</f>
        <v/>
      </c>
      <c r="N1632" s="24"/>
      <c r="O1632" s="35" t="str">
        <f aca="false">IF($C1632="","",IF($D1632="","★没选客户项目",IF(COUNTIF(合同键,$D1632)=0,"★《维保合同》里没这个项目",IF(N($G1632)&lt;=0,"★收款金额要填",IF($H1632="","★票据类型要选",IF(AND($L1632&lt;&gt;"",COUNTIF(应收单号,$L1632)=0),"★关联的应收单号不存在",IF(AND($L1632&lt;&gt;"",IFERROR(INDEX(应收键,MATCH($L1632,应收单号,0)),"")&lt;&gt;$D1632),"★关联单号不是这个客户的",IF(AND($L1632&lt;&gt;"",ROUND(SUMIF(收款关联,$L1632,收款金额)-IFERROR(INDEX(应收金额,MATCH($L1632,应收单号,0)),0),2)&gt;0.001),"★指定冲销超过那张单的应收","OK"))))))))</f>
        <v/>
      </c>
    </row>
    <row r="1633" customFormat="false" ht="15" hidden="false" customHeight="false" outlineLevel="0" collapsed="false">
      <c r="A1633" s="29" t="str">
        <f aca="false">IF($C1633="","",ROW()-4)</f>
        <v/>
      </c>
      <c r="B1633" s="35" t="str">
        <f aca="false">IF($C1633="","","SK"&amp;TEXT($C1633,"yyyymm")&amp;"-"&amp;TEXT(ROW()-4,"0000"))</f>
        <v/>
      </c>
      <c r="C1633" s="33"/>
      <c r="D1633" s="24"/>
      <c r="E1633" s="30" t="str">
        <f aca="false">IF($D1633="","",IFERROR(INDEX(合同单位,MATCH($D1633,合同键,0)),IFERROR(TRIM(LEFT($D1633,FIND("｜",$D1633)-1)),$D1633)))</f>
        <v/>
      </c>
      <c r="F1633" s="30" t="str">
        <f aca="false">IF($D1633="","",IFERROR(INDEX(合同项目,MATCH($D1633,合同键,0)),IFERROR(TRIM(MID($D1633,FIND("｜",$D1633)+1,99)),"")))</f>
        <v/>
      </c>
      <c r="G1633" s="39"/>
      <c r="H1633" s="25"/>
      <c r="I1633" s="35" t="str">
        <f aca="false">IF($H1633="","",IFERROR(INDEX(票据归类表,MATCH($H1633,票据类型表,0)),"现金无票"))</f>
        <v/>
      </c>
      <c r="J1633" s="25"/>
      <c r="K1633" s="25"/>
      <c r="L1633" s="31"/>
      <c r="M1633" s="29" t="str">
        <f aca="false">IF($C1633="","",YEAR($C1633))</f>
        <v/>
      </c>
      <c r="N1633" s="24"/>
      <c r="O1633" s="35" t="str">
        <f aca="false">IF($C1633="","",IF($D1633="","★没选客户项目",IF(COUNTIF(合同键,$D1633)=0,"★《维保合同》里没这个项目",IF(N($G1633)&lt;=0,"★收款金额要填",IF($H1633="","★票据类型要选",IF(AND($L1633&lt;&gt;"",COUNTIF(应收单号,$L1633)=0),"★关联的应收单号不存在",IF(AND($L1633&lt;&gt;"",IFERROR(INDEX(应收键,MATCH($L1633,应收单号,0)),"")&lt;&gt;$D1633),"★关联单号不是这个客户的",IF(AND($L1633&lt;&gt;"",ROUND(SUMIF(收款关联,$L1633,收款金额)-IFERROR(INDEX(应收金额,MATCH($L1633,应收单号,0)),0),2)&gt;0.001),"★指定冲销超过那张单的应收","OK"))))))))</f>
        <v/>
      </c>
    </row>
    <row r="1634" customFormat="false" ht="15" hidden="false" customHeight="false" outlineLevel="0" collapsed="false">
      <c r="A1634" s="29" t="str">
        <f aca="false">IF($C1634="","",ROW()-4)</f>
        <v/>
      </c>
      <c r="B1634" s="35" t="str">
        <f aca="false">IF($C1634="","","SK"&amp;TEXT($C1634,"yyyymm")&amp;"-"&amp;TEXT(ROW()-4,"0000"))</f>
        <v/>
      </c>
      <c r="C1634" s="33"/>
      <c r="D1634" s="24"/>
      <c r="E1634" s="30" t="str">
        <f aca="false">IF($D1634="","",IFERROR(INDEX(合同单位,MATCH($D1634,合同键,0)),IFERROR(TRIM(LEFT($D1634,FIND("｜",$D1634)-1)),$D1634)))</f>
        <v/>
      </c>
      <c r="F1634" s="30" t="str">
        <f aca="false">IF($D1634="","",IFERROR(INDEX(合同项目,MATCH($D1634,合同键,0)),IFERROR(TRIM(MID($D1634,FIND("｜",$D1634)+1,99)),"")))</f>
        <v/>
      </c>
      <c r="G1634" s="39"/>
      <c r="H1634" s="25"/>
      <c r="I1634" s="35" t="str">
        <f aca="false">IF($H1634="","",IFERROR(INDEX(票据归类表,MATCH($H1634,票据类型表,0)),"现金无票"))</f>
        <v/>
      </c>
      <c r="J1634" s="25"/>
      <c r="K1634" s="25"/>
      <c r="L1634" s="31"/>
      <c r="M1634" s="29" t="str">
        <f aca="false">IF($C1634="","",YEAR($C1634))</f>
        <v/>
      </c>
      <c r="N1634" s="24"/>
      <c r="O1634" s="35" t="str">
        <f aca="false">IF($C1634="","",IF($D1634="","★没选客户项目",IF(COUNTIF(合同键,$D1634)=0,"★《维保合同》里没这个项目",IF(N($G1634)&lt;=0,"★收款金额要填",IF($H1634="","★票据类型要选",IF(AND($L1634&lt;&gt;"",COUNTIF(应收单号,$L1634)=0),"★关联的应收单号不存在",IF(AND($L1634&lt;&gt;"",IFERROR(INDEX(应收键,MATCH($L1634,应收单号,0)),"")&lt;&gt;$D1634),"★关联单号不是这个客户的",IF(AND($L1634&lt;&gt;"",ROUND(SUMIF(收款关联,$L1634,收款金额)-IFERROR(INDEX(应收金额,MATCH($L1634,应收单号,0)),0),2)&gt;0.001),"★指定冲销超过那张单的应收","OK"))))))))</f>
        <v/>
      </c>
    </row>
    <row r="1635" customFormat="false" ht="15" hidden="false" customHeight="false" outlineLevel="0" collapsed="false">
      <c r="A1635" s="29" t="str">
        <f aca="false">IF($C1635="","",ROW()-4)</f>
        <v/>
      </c>
      <c r="B1635" s="35" t="str">
        <f aca="false">IF($C1635="","","SK"&amp;TEXT($C1635,"yyyymm")&amp;"-"&amp;TEXT(ROW()-4,"0000"))</f>
        <v/>
      </c>
      <c r="C1635" s="33"/>
      <c r="D1635" s="24"/>
      <c r="E1635" s="30" t="str">
        <f aca="false">IF($D1635="","",IFERROR(INDEX(合同单位,MATCH($D1635,合同键,0)),IFERROR(TRIM(LEFT($D1635,FIND("｜",$D1635)-1)),$D1635)))</f>
        <v/>
      </c>
      <c r="F1635" s="30" t="str">
        <f aca="false">IF($D1635="","",IFERROR(INDEX(合同项目,MATCH($D1635,合同键,0)),IFERROR(TRIM(MID($D1635,FIND("｜",$D1635)+1,99)),"")))</f>
        <v/>
      </c>
      <c r="G1635" s="39"/>
      <c r="H1635" s="25"/>
      <c r="I1635" s="35" t="str">
        <f aca="false">IF($H1635="","",IFERROR(INDEX(票据归类表,MATCH($H1635,票据类型表,0)),"现金无票"))</f>
        <v/>
      </c>
      <c r="J1635" s="25"/>
      <c r="K1635" s="25"/>
      <c r="L1635" s="31"/>
      <c r="M1635" s="29" t="str">
        <f aca="false">IF($C1635="","",YEAR($C1635))</f>
        <v/>
      </c>
      <c r="N1635" s="24"/>
      <c r="O1635" s="35" t="str">
        <f aca="false">IF($C1635="","",IF($D1635="","★没选客户项目",IF(COUNTIF(合同键,$D1635)=0,"★《维保合同》里没这个项目",IF(N($G1635)&lt;=0,"★收款金额要填",IF($H1635="","★票据类型要选",IF(AND($L1635&lt;&gt;"",COUNTIF(应收单号,$L1635)=0),"★关联的应收单号不存在",IF(AND($L1635&lt;&gt;"",IFERROR(INDEX(应收键,MATCH($L1635,应收单号,0)),"")&lt;&gt;$D1635),"★关联单号不是这个客户的",IF(AND($L1635&lt;&gt;"",ROUND(SUMIF(收款关联,$L1635,收款金额)-IFERROR(INDEX(应收金额,MATCH($L1635,应收单号,0)),0),2)&gt;0.001),"★指定冲销超过那张单的应收","OK"))))))))</f>
        <v/>
      </c>
    </row>
    <row r="1636" customFormat="false" ht="15" hidden="false" customHeight="false" outlineLevel="0" collapsed="false">
      <c r="A1636" s="29" t="str">
        <f aca="false">IF($C1636="","",ROW()-4)</f>
        <v/>
      </c>
      <c r="B1636" s="35" t="str">
        <f aca="false">IF($C1636="","","SK"&amp;TEXT($C1636,"yyyymm")&amp;"-"&amp;TEXT(ROW()-4,"0000"))</f>
        <v/>
      </c>
      <c r="C1636" s="33"/>
      <c r="D1636" s="24"/>
      <c r="E1636" s="30" t="str">
        <f aca="false">IF($D1636="","",IFERROR(INDEX(合同单位,MATCH($D1636,合同键,0)),IFERROR(TRIM(LEFT($D1636,FIND("｜",$D1636)-1)),$D1636)))</f>
        <v/>
      </c>
      <c r="F1636" s="30" t="str">
        <f aca="false">IF($D1636="","",IFERROR(INDEX(合同项目,MATCH($D1636,合同键,0)),IFERROR(TRIM(MID($D1636,FIND("｜",$D1636)+1,99)),"")))</f>
        <v/>
      </c>
      <c r="G1636" s="39"/>
      <c r="H1636" s="25"/>
      <c r="I1636" s="35" t="str">
        <f aca="false">IF($H1636="","",IFERROR(INDEX(票据归类表,MATCH($H1636,票据类型表,0)),"现金无票"))</f>
        <v/>
      </c>
      <c r="J1636" s="25"/>
      <c r="K1636" s="25"/>
      <c r="L1636" s="31"/>
      <c r="M1636" s="29" t="str">
        <f aca="false">IF($C1636="","",YEAR($C1636))</f>
        <v/>
      </c>
      <c r="N1636" s="24"/>
      <c r="O1636" s="35" t="str">
        <f aca="false">IF($C1636="","",IF($D1636="","★没选客户项目",IF(COUNTIF(合同键,$D1636)=0,"★《维保合同》里没这个项目",IF(N($G1636)&lt;=0,"★收款金额要填",IF($H1636="","★票据类型要选",IF(AND($L1636&lt;&gt;"",COUNTIF(应收单号,$L1636)=0),"★关联的应收单号不存在",IF(AND($L1636&lt;&gt;"",IFERROR(INDEX(应收键,MATCH($L1636,应收单号,0)),"")&lt;&gt;$D1636),"★关联单号不是这个客户的",IF(AND($L1636&lt;&gt;"",ROUND(SUMIF(收款关联,$L1636,收款金额)-IFERROR(INDEX(应收金额,MATCH($L1636,应收单号,0)),0),2)&gt;0.001),"★指定冲销超过那张单的应收","OK"))))))))</f>
        <v/>
      </c>
    </row>
    <row r="1637" customFormat="false" ht="15" hidden="false" customHeight="false" outlineLevel="0" collapsed="false">
      <c r="A1637" s="29" t="str">
        <f aca="false">IF($C1637="","",ROW()-4)</f>
        <v/>
      </c>
      <c r="B1637" s="35" t="str">
        <f aca="false">IF($C1637="","","SK"&amp;TEXT($C1637,"yyyymm")&amp;"-"&amp;TEXT(ROW()-4,"0000"))</f>
        <v/>
      </c>
      <c r="C1637" s="33"/>
      <c r="D1637" s="24"/>
      <c r="E1637" s="30" t="str">
        <f aca="false">IF($D1637="","",IFERROR(INDEX(合同单位,MATCH($D1637,合同键,0)),IFERROR(TRIM(LEFT($D1637,FIND("｜",$D1637)-1)),$D1637)))</f>
        <v/>
      </c>
      <c r="F1637" s="30" t="str">
        <f aca="false">IF($D1637="","",IFERROR(INDEX(合同项目,MATCH($D1637,合同键,0)),IFERROR(TRIM(MID($D1637,FIND("｜",$D1637)+1,99)),"")))</f>
        <v/>
      </c>
      <c r="G1637" s="39"/>
      <c r="H1637" s="25"/>
      <c r="I1637" s="35" t="str">
        <f aca="false">IF($H1637="","",IFERROR(INDEX(票据归类表,MATCH($H1637,票据类型表,0)),"现金无票"))</f>
        <v/>
      </c>
      <c r="J1637" s="25"/>
      <c r="K1637" s="25"/>
      <c r="L1637" s="31"/>
      <c r="M1637" s="29" t="str">
        <f aca="false">IF($C1637="","",YEAR($C1637))</f>
        <v/>
      </c>
      <c r="N1637" s="24"/>
      <c r="O1637" s="35" t="str">
        <f aca="false">IF($C1637="","",IF($D1637="","★没选客户项目",IF(COUNTIF(合同键,$D1637)=0,"★《维保合同》里没这个项目",IF(N($G1637)&lt;=0,"★收款金额要填",IF($H1637="","★票据类型要选",IF(AND($L1637&lt;&gt;"",COUNTIF(应收单号,$L1637)=0),"★关联的应收单号不存在",IF(AND($L1637&lt;&gt;"",IFERROR(INDEX(应收键,MATCH($L1637,应收单号,0)),"")&lt;&gt;$D1637),"★关联单号不是这个客户的",IF(AND($L1637&lt;&gt;"",ROUND(SUMIF(收款关联,$L1637,收款金额)-IFERROR(INDEX(应收金额,MATCH($L1637,应收单号,0)),0),2)&gt;0.001),"★指定冲销超过那张单的应收","OK"))))))))</f>
        <v/>
      </c>
    </row>
    <row r="1638" customFormat="false" ht="15" hidden="false" customHeight="false" outlineLevel="0" collapsed="false">
      <c r="A1638" s="29" t="str">
        <f aca="false">IF($C1638="","",ROW()-4)</f>
        <v/>
      </c>
      <c r="B1638" s="35" t="str">
        <f aca="false">IF($C1638="","","SK"&amp;TEXT($C1638,"yyyymm")&amp;"-"&amp;TEXT(ROW()-4,"0000"))</f>
        <v/>
      </c>
      <c r="C1638" s="33"/>
      <c r="D1638" s="24"/>
      <c r="E1638" s="30" t="str">
        <f aca="false">IF($D1638="","",IFERROR(INDEX(合同单位,MATCH($D1638,合同键,0)),IFERROR(TRIM(LEFT($D1638,FIND("｜",$D1638)-1)),$D1638)))</f>
        <v/>
      </c>
      <c r="F1638" s="30" t="str">
        <f aca="false">IF($D1638="","",IFERROR(INDEX(合同项目,MATCH($D1638,合同键,0)),IFERROR(TRIM(MID($D1638,FIND("｜",$D1638)+1,99)),"")))</f>
        <v/>
      </c>
      <c r="G1638" s="39"/>
      <c r="H1638" s="25"/>
      <c r="I1638" s="35" t="str">
        <f aca="false">IF($H1638="","",IFERROR(INDEX(票据归类表,MATCH($H1638,票据类型表,0)),"现金无票"))</f>
        <v/>
      </c>
      <c r="J1638" s="25"/>
      <c r="K1638" s="25"/>
      <c r="L1638" s="31"/>
      <c r="M1638" s="29" t="str">
        <f aca="false">IF($C1638="","",YEAR($C1638))</f>
        <v/>
      </c>
      <c r="N1638" s="24"/>
      <c r="O1638" s="35" t="str">
        <f aca="false">IF($C1638="","",IF($D1638="","★没选客户项目",IF(COUNTIF(合同键,$D1638)=0,"★《维保合同》里没这个项目",IF(N($G1638)&lt;=0,"★收款金额要填",IF($H1638="","★票据类型要选",IF(AND($L1638&lt;&gt;"",COUNTIF(应收单号,$L1638)=0),"★关联的应收单号不存在",IF(AND($L1638&lt;&gt;"",IFERROR(INDEX(应收键,MATCH($L1638,应收单号,0)),"")&lt;&gt;$D1638),"★关联单号不是这个客户的",IF(AND($L1638&lt;&gt;"",ROUND(SUMIF(收款关联,$L1638,收款金额)-IFERROR(INDEX(应收金额,MATCH($L1638,应收单号,0)),0),2)&gt;0.001),"★指定冲销超过那张单的应收","OK"))))))))</f>
        <v/>
      </c>
    </row>
    <row r="1639" customFormat="false" ht="15" hidden="false" customHeight="false" outlineLevel="0" collapsed="false">
      <c r="A1639" s="29" t="str">
        <f aca="false">IF($C1639="","",ROW()-4)</f>
        <v/>
      </c>
      <c r="B1639" s="35" t="str">
        <f aca="false">IF($C1639="","","SK"&amp;TEXT($C1639,"yyyymm")&amp;"-"&amp;TEXT(ROW()-4,"0000"))</f>
        <v/>
      </c>
      <c r="C1639" s="33"/>
      <c r="D1639" s="24"/>
      <c r="E1639" s="30" t="str">
        <f aca="false">IF($D1639="","",IFERROR(INDEX(合同单位,MATCH($D1639,合同键,0)),IFERROR(TRIM(LEFT($D1639,FIND("｜",$D1639)-1)),$D1639)))</f>
        <v/>
      </c>
      <c r="F1639" s="30" t="str">
        <f aca="false">IF($D1639="","",IFERROR(INDEX(合同项目,MATCH($D1639,合同键,0)),IFERROR(TRIM(MID($D1639,FIND("｜",$D1639)+1,99)),"")))</f>
        <v/>
      </c>
      <c r="G1639" s="39"/>
      <c r="H1639" s="25"/>
      <c r="I1639" s="35" t="str">
        <f aca="false">IF($H1639="","",IFERROR(INDEX(票据归类表,MATCH($H1639,票据类型表,0)),"现金无票"))</f>
        <v/>
      </c>
      <c r="J1639" s="25"/>
      <c r="K1639" s="25"/>
      <c r="L1639" s="31"/>
      <c r="M1639" s="29" t="str">
        <f aca="false">IF($C1639="","",YEAR($C1639))</f>
        <v/>
      </c>
      <c r="N1639" s="24"/>
      <c r="O1639" s="35" t="str">
        <f aca="false">IF($C1639="","",IF($D1639="","★没选客户项目",IF(COUNTIF(合同键,$D1639)=0,"★《维保合同》里没这个项目",IF(N($G1639)&lt;=0,"★收款金额要填",IF($H1639="","★票据类型要选",IF(AND($L1639&lt;&gt;"",COUNTIF(应收单号,$L1639)=0),"★关联的应收单号不存在",IF(AND($L1639&lt;&gt;"",IFERROR(INDEX(应收键,MATCH($L1639,应收单号,0)),"")&lt;&gt;$D1639),"★关联单号不是这个客户的",IF(AND($L1639&lt;&gt;"",ROUND(SUMIF(收款关联,$L1639,收款金额)-IFERROR(INDEX(应收金额,MATCH($L1639,应收单号,0)),0),2)&gt;0.001),"★指定冲销超过那张单的应收","OK"))))))))</f>
        <v/>
      </c>
    </row>
    <row r="1640" customFormat="false" ht="15" hidden="false" customHeight="false" outlineLevel="0" collapsed="false">
      <c r="A1640" s="29" t="str">
        <f aca="false">IF($C1640="","",ROW()-4)</f>
        <v/>
      </c>
      <c r="B1640" s="35" t="str">
        <f aca="false">IF($C1640="","","SK"&amp;TEXT($C1640,"yyyymm")&amp;"-"&amp;TEXT(ROW()-4,"0000"))</f>
        <v/>
      </c>
      <c r="C1640" s="33"/>
      <c r="D1640" s="24"/>
      <c r="E1640" s="30" t="str">
        <f aca="false">IF($D1640="","",IFERROR(INDEX(合同单位,MATCH($D1640,合同键,0)),IFERROR(TRIM(LEFT($D1640,FIND("｜",$D1640)-1)),$D1640)))</f>
        <v/>
      </c>
      <c r="F1640" s="30" t="str">
        <f aca="false">IF($D1640="","",IFERROR(INDEX(合同项目,MATCH($D1640,合同键,0)),IFERROR(TRIM(MID($D1640,FIND("｜",$D1640)+1,99)),"")))</f>
        <v/>
      </c>
      <c r="G1640" s="39"/>
      <c r="H1640" s="25"/>
      <c r="I1640" s="35" t="str">
        <f aca="false">IF($H1640="","",IFERROR(INDEX(票据归类表,MATCH($H1640,票据类型表,0)),"现金无票"))</f>
        <v/>
      </c>
      <c r="J1640" s="25"/>
      <c r="K1640" s="25"/>
      <c r="L1640" s="31"/>
      <c r="M1640" s="29" t="str">
        <f aca="false">IF($C1640="","",YEAR($C1640))</f>
        <v/>
      </c>
      <c r="N1640" s="24"/>
      <c r="O1640" s="35" t="str">
        <f aca="false">IF($C1640="","",IF($D1640="","★没选客户项目",IF(COUNTIF(合同键,$D1640)=0,"★《维保合同》里没这个项目",IF(N($G1640)&lt;=0,"★收款金额要填",IF($H1640="","★票据类型要选",IF(AND($L1640&lt;&gt;"",COUNTIF(应收单号,$L1640)=0),"★关联的应收单号不存在",IF(AND($L1640&lt;&gt;"",IFERROR(INDEX(应收键,MATCH($L1640,应收单号,0)),"")&lt;&gt;$D1640),"★关联单号不是这个客户的",IF(AND($L1640&lt;&gt;"",ROUND(SUMIF(收款关联,$L1640,收款金额)-IFERROR(INDEX(应收金额,MATCH($L1640,应收单号,0)),0),2)&gt;0.001),"★指定冲销超过那张单的应收","OK"))))))))</f>
        <v/>
      </c>
    </row>
    <row r="1641" customFormat="false" ht="15" hidden="false" customHeight="false" outlineLevel="0" collapsed="false">
      <c r="A1641" s="29" t="str">
        <f aca="false">IF($C1641="","",ROW()-4)</f>
        <v/>
      </c>
      <c r="B1641" s="35" t="str">
        <f aca="false">IF($C1641="","","SK"&amp;TEXT($C1641,"yyyymm")&amp;"-"&amp;TEXT(ROW()-4,"0000"))</f>
        <v/>
      </c>
      <c r="C1641" s="33"/>
      <c r="D1641" s="24"/>
      <c r="E1641" s="30" t="str">
        <f aca="false">IF($D1641="","",IFERROR(INDEX(合同单位,MATCH($D1641,合同键,0)),IFERROR(TRIM(LEFT($D1641,FIND("｜",$D1641)-1)),$D1641)))</f>
        <v/>
      </c>
      <c r="F1641" s="30" t="str">
        <f aca="false">IF($D1641="","",IFERROR(INDEX(合同项目,MATCH($D1641,合同键,0)),IFERROR(TRIM(MID($D1641,FIND("｜",$D1641)+1,99)),"")))</f>
        <v/>
      </c>
      <c r="G1641" s="39"/>
      <c r="H1641" s="25"/>
      <c r="I1641" s="35" t="str">
        <f aca="false">IF($H1641="","",IFERROR(INDEX(票据归类表,MATCH($H1641,票据类型表,0)),"现金无票"))</f>
        <v/>
      </c>
      <c r="J1641" s="25"/>
      <c r="K1641" s="25"/>
      <c r="L1641" s="31"/>
      <c r="M1641" s="29" t="str">
        <f aca="false">IF($C1641="","",YEAR($C1641))</f>
        <v/>
      </c>
      <c r="N1641" s="24"/>
      <c r="O1641" s="35" t="str">
        <f aca="false">IF($C1641="","",IF($D1641="","★没选客户项目",IF(COUNTIF(合同键,$D1641)=0,"★《维保合同》里没这个项目",IF(N($G1641)&lt;=0,"★收款金额要填",IF($H1641="","★票据类型要选",IF(AND($L1641&lt;&gt;"",COUNTIF(应收单号,$L1641)=0),"★关联的应收单号不存在",IF(AND($L1641&lt;&gt;"",IFERROR(INDEX(应收键,MATCH($L1641,应收单号,0)),"")&lt;&gt;$D1641),"★关联单号不是这个客户的",IF(AND($L1641&lt;&gt;"",ROUND(SUMIF(收款关联,$L1641,收款金额)-IFERROR(INDEX(应收金额,MATCH($L1641,应收单号,0)),0),2)&gt;0.001),"★指定冲销超过那张单的应收","OK"))))))))</f>
        <v/>
      </c>
    </row>
    <row r="1642" customFormat="false" ht="15" hidden="false" customHeight="false" outlineLevel="0" collapsed="false">
      <c r="A1642" s="29" t="str">
        <f aca="false">IF($C1642="","",ROW()-4)</f>
        <v/>
      </c>
      <c r="B1642" s="35" t="str">
        <f aca="false">IF($C1642="","","SK"&amp;TEXT($C1642,"yyyymm")&amp;"-"&amp;TEXT(ROW()-4,"0000"))</f>
        <v/>
      </c>
      <c r="C1642" s="33"/>
      <c r="D1642" s="24"/>
      <c r="E1642" s="30" t="str">
        <f aca="false">IF($D1642="","",IFERROR(INDEX(合同单位,MATCH($D1642,合同键,0)),IFERROR(TRIM(LEFT($D1642,FIND("｜",$D1642)-1)),$D1642)))</f>
        <v/>
      </c>
      <c r="F1642" s="30" t="str">
        <f aca="false">IF($D1642="","",IFERROR(INDEX(合同项目,MATCH($D1642,合同键,0)),IFERROR(TRIM(MID($D1642,FIND("｜",$D1642)+1,99)),"")))</f>
        <v/>
      </c>
      <c r="G1642" s="39"/>
      <c r="H1642" s="25"/>
      <c r="I1642" s="35" t="str">
        <f aca="false">IF($H1642="","",IFERROR(INDEX(票据归类表,MATCH($H1642,票据类型表,0)),"现金无票"))</f>
        <v/>
      </c>
      <c r="J1642" s="25"/>
      <c r="K1642" s="25"/>
      <c r="L1642" s="31"/>
      <c r="M1642" s="29" t="str">
        <f aca="false">IF($C1642="","",YEAR($C1642))</f>
        <v/>
      </c>
      <c r="N1642" s="24"/>
      <c r="O1642" s="35" t="str">
        <f aca="false">IF($C1642="","",IF($D1642="","★没选客户项目",IF(COUNTIF(合同键,$D1642)=0,"★《维保合同》里没这个项目",IF(N($G1642)&lt;=0,"★收款金额要填",IF($H1642="","★票据类型要选",IF(AND($L1642&lt;&gt;"",COUNTIF(应收单号,$L1642)=0),"★关联的应收单号不存在",IF(AND($L1642&lt;&gt;"",IFERROR(INDEX(应收键,MATCH($L1642,应收单号,0)),"")&lt;&gt;$D1642),"★关联单号不是这个客户的",IF(AND($L1642&lt;&gt;"",ROUND(SUMIF(收款关联,$L1642,收款金额)-IFERROR(INDEX(应收金额,MATCH($L1642,应收单号,0)),0),2)&gt;0.001),"★指定冲销超过那张单的应收","OK"))))))))</f>
        <v/>
      </c>
    </row>
    <row r="1643" customFormat="false" ht="15" hidden="false" customHeight="false" outlineLevel="0" collapsed="false">
      <c r="A1643" s="29" t="str">
        <f aca="false">IF($C1643="","",ROW()-4)</f>
        <v/>
      </c>
      <c r="B1643" s="35" t="str">
        <f aca="false">IF($C1643="","","SK"&amp;TEXT($C1643,"yyyymm")&amp;"-"&amp;TEXT(ROW()-4,"0000"))</f>
        <v/>
      </c>
      <c r="C1643" s="33"/>
      <c r="D1643" s="24"/>
      <c r="E1643" s="30" t="str">
        <f aca="false">IF($D1643="","",IFERROR(INDEX(合同单位,MATCH($D1643,合同键,0)),IFERROR(TRIM(LEFT($D1643,FIND("｜",$D1643)-1)),$D1643)))</f>
        <v/>
      </c>
      <c r="F1643" s="30" t="str">
        <f aca="false">IF($D1643="","",IFERROR(INDEX(合同项目,MATCH($D1643,合同键,0)),IFERROR(TRIM(MID($D1643,FIND("｜",$D1643)+1,99)),"")))</f>
        <v/>
      </c>
      <c r="G1643" s="39"/>
      <c r="H1643" s="25"/>
      <c r="I1643" s="35" t="str">
        <f aca="false">IF($H1643="","",IFERROR(INDEX(票据归类表,MATCH($H1643,票据类型表,0)),"现金无票"))</f>
        <v/>
      </c>
      <c r="J1643" s="25"/>
      <c r="K1643" s="25"/>
      <c r="L1643" s="31"/>
      <c r="M1643" s="29" t="str">
        <f aca="false">IF($C1643="","",YEAR($C1643))</f>
        <v/>
      </c>
      <c r="N1643" s="24"/>
      <c r="O1643" s="35" t="str">
        <f aca="false">IF($C1643="","",IF($D1643="","★没选客户项目",IF(COUNTIF(合同键,$D1643)=0,"★《维保合同》里没这个项目",IF(N($G1643)&lt;=0,"★收款金额要填",IF($H1643="","★票据类型要选",IF(AND($L1643&lt;&gt;"",COUNTIF(应收单号,$L1643)=0),"★关联的应收单号不存在",IF(AND($L1643&lt;&gt;"",IFERROR(INDEX(应收键,MATCH($L1643,应收单号,0)),"")&lt;&gt;$D1643),"★关联单号不是这个客户的",IF(AND($L1643&lt;&gt;"",ROUND(SUMIF(收款关联,$L1643,收款金额)-IFERROR(INDEX(应收金额,MATCH($L1643,应收单号,0)),0),2)&gt;0.001),"★指定冲销超过那张单的应收","OK"))))))))</f>
        <v/>
      </c>
    </row>
    <row r="1644" customFormat="false" ht="15" hidden="false" customHeight="false" outlineLevel="0" collapsed="false">
      <c r="A1644" s="29" t="str">
        <f aca="false">IF($C1644="","",ROW()-4)</f>
        <v/>
      </c>
      <c r="B1644" s="35" t="str">
        <f aca="false">IF($C1644="","","SK"&amp;TEXT($C1644,"yyyymm")&amp;"-"&amp;TEXT(ROW()-4,"0000"))</f>
        <v/>
      </c>
      <c r="C1644" s="33"/>
      <c r="D1644" s="24"/>
      <c r="E1644" s="30" t="str">
        <f aca="false">IF($D1644="","",IFERROR(INDEX(合同单位,MATCH($D1644,合同键,0)),IFERROR(TRIM(LEFT($D1644,FIND("｜",$D1644)-1)),$D1644)))</f>
        <v/>
      </c>
      <c r="F1644" s="30" t="str">
        <f aca="false">IF($D1644="","",IFERROR(INDEX(合同项目,MATCH($D1644,合同键,0)),IFERROR(TRIM(MID($D1644,FIND("｜",$D1644)+1,99)),"")))</f>
        <v/>
      </c>
      <c r="G1644" s="39"/>
      <c r="H1644" s="25"/>
      <c r="I1644" s="35" t="str">
        <f aca="false">IF($H1644="","",IFERROR(INDEX(票据归类表,MATCH($H1644,票据类型表,0)),"现金无票"))</f>
        <v/>
      </c>
      <c r="J1644" s="25"/>
      <c r="K1644" s="25"/>
      <c r="L1644" s="31"/>
      <c r="M1644" s="29" t="str">
        <f aca="false">IF($C1644="","",YEAR($C1644))</f>
        <v/>
      </c>
      <c r="N1644" s="24"/>
      <c r="O1644" s="35" t="str">
        <f aca="false">IF($C1644="","",IF($D1644="","★没选客户项目",IF(COUNTIF(合同键,$D1644)=0,"★《维保合同》里没这个项目",IF(N($G1644)&lt;=0,"★收款金额要填",IF($H1644="","★票据类型要选",IF(AND($L1644&lt;&gt;"",COUNTIF(应收单号,$L1644)=0),"★关联的应收单号不存在",IF(AND($L1644&lt;&gt;"",IFERROR(INDEX(应收键,MATCH($L1644,应收单号,0)),"")&lt;&gt;$D1644),"★关联单号不是这个客户的",IF(AND($L1644&lt;&gt;"",ROUND(SUMIF(收款关联,$L1644,收款金额)-IFERROR(INDEX(应收金额,MATCH($L1644,应收单号,0)),0),2)&gt;0.001),"★指定冲销超过那张单的应收","OK"))))))))</f>
        <v/>
      </c>
    </row>
    <row r="1645" customFormat="false" ht="15" hidden="false" customHeight="false" outlineLevel="0" collapsed="false">
      <c r="A1645" s="29" t="str">
        <f aca="false">IF($C1645="","",ROW()-4)</f>
        <v/>
      </c>
      <c r="B1645" s="35" t="str">
        <f aca="false">IF($C1645="","","SK"&amp;TEXT($C1645,"yyyymm")&amp;"-"&amp;TEXT(ROW()-4,"0000"))</f>
        <v/>
      </c>
      <c r="C1645" s="33"/>
      <c r="D1645" s="24"/>
      <c r="E1645" s="30" t="str">
        <f aca="false">IF($D1645="","",IFERROR(INDEX(合同单位,MATCH($D1645,合同键,0)),IFERROR(TRIM(LEFT($D1645,FIND("｜",$D1645)-1)),$D1645)))</f>
        <v/>
      </c>
      <c r="F1645" s="30" t="str">
        <f aca="false">IF($D1645="","",IFERROR(INDEX(合同项目,MATCH($D1645,合同键,0)),IFERROR(TRIM(MID($D1645,FIND("｜",$D1645)+1,99)),"")))</f>
        <v/>
      </c>
      <c r="G1645" s="39"/>
      <c r="H1645" s="25"/>
      <c r="I1645" s="35" t="str">
        <f aca="false">IF($H1645="","",IFERROR(INDEX(票据归类表,MATCH($H1645,票据类型表,0)),"现金无票"))</f>
        <v/>
      </c>
      <c r="J1645" s="25"/>
      <c r="K1645" s="25"/>
      <c r="L1645" s="31"/>
      <c r="M1645" s="29" t="str">
        <f aca="false">IF($C1645="","",YEAR($C1645))</f>
        <v/>
      </c>
      <c r="N1645" s="24"/>
      <c r="O1645" s="35" t="str">
        <f aca="false">IF($C1645="","",IF($D1645="","★没选客户项目",IF(COUNTIF(合同键,$D1645)=0,"★《维保合同》里没这个项目",IF(N($G1645)&lt;=0,"★收款金额要填",IF($H1645="","★票据类型要选",IF(AND($L1645&lt;&gt;"",COUNTIF(应收单号,$L1645)=0),"★关联的应收单号不存在",IF(AND($L1645&lt;&gt;"",IFERROR(INDEX(应收键,MATCH($L1645,应收单号,0)),"")&lt;&gt;$D1645),"★关联单号不是这个客户的",IF(AND($L1645&lt;&gt;"",ROUND(SUMIF(收款关联,$L1645,收款金额)-IFERROR(INDEX(应收金额,MATCH($L1645,应收单号,0)),0),2)&gt;0.001),"★指定冲销超过那张单的应收","OK"))))))))</f>
        <v/>
      </c>
    </row>
    <row r="1646" customFormat="false" ht="15" hidden="false" customHeight="false" outlineLevel="0" collapsed="false">
      <c r="A1646" s="29" t="str">
        <f aca="false">IF($C1646="","",ROW()-4)</f>
        <v/>
      </c>
      <c r="B1646" s="35" t="str">
        <f aca="false">IF($C1646="","","SK"&amp;TEXT($C1646,"yyyymm")&amp;"-"&amp;TEXT(ROW()-4,"0000"))</f>
        <v/>
      </c>
      <c r="C1646" s="33"/>
      <c r="D1646" s="24"/>
      <c r="E1646" s="30" t="str">
        <f aca="false">IF($D1646="","",IFERROR(INDEX(合同单位,MATCH($D1646,合同键,0)),IFERROR(TRIM(LEFT($D1646,FIND("｜",$D1646)-1)),$D1646)))</f>
        <v/>
      </c>
      <c r="F1646" s="30" t="str">
        <f aca="false">IF($D1646="","",IFERROR(INDEX(合同项目,MATCH($D1646,合同键,0)),IFERROR(TRIM(MID($D1646,FIND("｜",$D1646)+1,99)),"")))</f>
        <v/>
      </c>
      <c r="G1646" s="39"/>
      <c r="H1646" s="25"/>
      <c r="I1646" s="35" t="str">
        <f aca="false">IF($H1646="","",IFERROR(INDEX(票据归类表,MATCH($H1646,票据类型表,0)),"现金无票"))</f>
        <v/>
      </c>
      <c r="J1646" s="25"/>
      <c r="K1646" s="25"/>
      <c r="L1646" s="31"/>
      <c r="M1646" s="29" t="str">
        <f aca="false">IF($C1646="","",YEAR($C1646))</f>
        <v/>
      </c>
      <c r="N1646" s="24"/>
      <c r="O1646" s="35" t="str">
        <f aca="false">IF($C1646="","",IF($D1646="","★没选客户项目",IF(COUNTIF(合同键,$D1646)=0,"★《维保合同》里没这个项目",IF(N($G1646)&lt;=0,"★收款金额要填",IF($H1646="","★票据类型要选",IF(AND($L1646&lt;&gt;"",COUNTIF(应收单号,$L1646)=0),"★关联的应收单号不存在",IF(AND($L1646&lt;&gt;"",IFERROR(INDEX(应收键,MATCH($L1646,应收单号,0)),"")&lt;&gt;$D1646),"★关联单号不是这个客户的",IF(AND($L1646&lt;&gt;"",ROUND(SUMIF(收款关联,$L1646,收款金额)-IFERROR(INDEX(应收金额,MATCH($L1646,应收单号,0)),0),2)&gt;0.001),"★指定冲销超过那张单的应收","OK"))))))))</f>
        <v/>
      </c>
    </row>
    <row r="1647" customFormat="false" ht="15" hidden="false" customHeight="false" outlineLevel="0" collapsed="false">
      <c r="A1647" s="29" t="str">
        <f aca="false">IF($C1647="","",ROW()-4)</f>
        <v/>
      </c>
      <c r="B1647" s="35" t="str">
        <f aca="false">IF($C1647="","","SK"&amp;TEXT($C1647,"yyyymm")&amp;"-"&amp;TEXT(ROW()-4,"0000"))</f>
        <v/>
      </c>
      <c r="C1647" s="33"/>
      <c r="D1647" s="24"/>
      <c r="E1647" s="30" t="str">
        <f aca="false">IF($D1647="","",IFERROR(INDEX(合同单位,MATCH($D1647,合同键,0)),IFERROR(TRIM(LEFT($D1647,FIND("｜",$D1647)-1)),$D1647)))</f>
        <v/>
      </c>
      <c r="F1647" s="30" t="str">
        <f aca="false">IF($D1647="","",IFERROR(INDEX(合同项目,MATCH($D1647,合同键,0)),IFERROR(TRIM(MID($D1647,FIND("｜",$D1647)+1,99)),"")))</f>
        <v/>
      </c>
      <c r="G1647" s="39"/>
      <c r="H1647" s="25"/>
      <c r="I1647" s="35" t="str">
        <f aca="false">IF($H1647="","",IFERROR(INDEX(票据归类表,MATCH($H1647,票据类型表,0)),"现金无票"))</f>
        <v/>
      </c>
      <c r="J1647" s="25"/>
      <c r="K1647" s="25"/>
      <c r="L1647" s="31"/>
      <c r="M1647" s="29" t="str">
        <f aca="false">IF($C1647="","",YEAR($C1647))</f>
        <v/>
      </c>
      <c r="N1647" s="24"/>
      <c r="O1647" s="35" t="str">
        <f aca="false">IF($C1647="","",IF($D1647="","★没选客户项目",IF(COUNTIF(合同键,$D1647)=0,"★《维保合同》里没这个项目",IF(N($G1647)&lt;=0,"★收款金额要填",IF($H1647="","★票据类型要选",IF(AND($L1647&lt;&gt;"",COUNTIF(应收单号,$L1647)=0),"★关联的应收单号不存在",IF(AND($L1647&lt;&gt;"",IFERROR(INDEX(应收键,MATCH($L1647,应收单号,0)),"")&lt;&gt;$D1647),"★关联单号不是这个客户的",IF(AND($L1647&lt;&gt;"",ROUND(SUMIF(收款关联,$L1647,收款金额)-IFERROR(INDEX(应收金额,MATCH($L1647,应收单号,0)),0),2)&gt;0.001),"★指定冲销超过那张单的应收","OK"))))))))</f>
        <v/>
      </c>
    </row>
    <row r="1648" customFormat="false" ht="15" hidden="false" customHeight="false" outlineLevel="0" collapsed="false">
      <c r="A1648" s="29" t="str">
        <f aca="false">IF($C1648="","",ROW()-4)</f>
        <v/>
      </c>
      <c r="B1648" s="35" t="str">
        <f aca="false">IF($C1648="","","SK"&amp;TEXT($C1648,"yyyymm")&amp;"-"&amp;TEXT(ROW()-4,"0000"))</f>
        <v/>
      </c>
      <c r="C1648" s="33"/>
      <c r="D1648" s="24"/>
      <c r="E1648" s="30" t="str">
        <f aca="false">IF($D1648="","",IFERROR(INDEX(合同单位,MATCH($D1648,合同键,0)),IFERROR(TRIM(LEFT($D1648,FIND("｜",$D1648)-1)),$D1648)))</f>
        <v/>
      </c>
      <c r="F1648" s="30" t="str">
        <f aca="false">IF($D1648="","",IFERROR(INDEX(合同项目,MATCH($D1648,合同键,0)),IFERROR(TRIM(MID($D1648,FIND("｜",$D1648)+1,99)),"")))</f>
        <v/>
      </c>
      <c r="G1648" s="39"/>
      <c r="H1648" s="25"/>
      <c r="I1648" s="35" t="str">
        <f aca="false">IF($H1648="","",IFERROR(INDEX(票据归类表,MATCH($H1648,票据类型表,0)),"现金无票"))</f>
        <v/>
      </c>
      <c r="J1648" s="25"/>
      <c r="K1648" s="25"/>
      <c r="L1648" s="31"/>
      <c r="M1648" s="29" t="str">
        <f aca="false">IF($C1648="","",YEAR($C1648))</f>
        <v/>
      </c>
      <c r="N1648" s="24"/>
      <c r="O1648" s="35" t="str">
        <f aca="false">IF($C1648="","",IF($D1648="","★没选客户项目",IF(COUNTIF(合同键,$D1648)=0,"★《维保合同》里没这个项目",IF(N($G1648)&lt;=0,"★收款金额要填",IF($H1648="","★票据类型要选",IF(AND($L1648&lt;&gt;"",COUNTIF(应收单号,$L1648)=0),"★关联的应收单号不存在",IF(AND($L1648&lt;&gt;"",IFERROR(INDEX(应收键,MATCH($L1648,应收单号,0)),"")&lt;&gt;$D1648),"★关联单号不是这个客户的",IF(AND($L1648&lt;&gt;"",ROUND(SUMIF(收款关联,$L1648,收款金额)-IFERROR(INDEX(应收金额,MATCH($L1648,应收单号,0)),0),2)&gt;0.001),"★指定冲销超过那张单的应收","OK"))))))))</f>
        <v/>
      </c>
    </row>
    <row r="1649" customFormat="false" ht="15" hidden="false" customHeight="false" outlineLevel="0" collapsed="false">
      <c r="A1649" s="29" t="str">
        <f aca="false">IF($C1649="","",ROW()-4)</f>
        <v/>
      </c>
      <c r="B1649" s="35" t="str">
        <f aca="false">IF($C1649="","","SK"&amp;TEXT($C1649,"yyyymm")&amp;"-"&amp;TEXT(ROW()-4,"0000"))</f>
        <v/>
      </c>
      <c r="C1649" s="33"/>
      <c r="D1649" s="24"/>
      <c r="E1649" s="30" t="str">
        <f aca="false">IF($D1649="","",IFERROR(INDEX(合同单位,MATCH($D1649,合同键,0)),IFERROR(TRIM(LEFT($D1649,FIND("｜",$D1649)-1)),$D1649)))</f>
        <v/>
      </c>
      <c r="F1649" s="30" t="str">
        <f aca="false">IF($D1649="","",IFERROR(INDEX(合同项目,MATCH($D1649,合同键,0)),IFERROR(TRIM(MID($D1649,FIND("｜",$D1649)+1,99)),"")))</f>
        <v/>
      </c>
      <c r="G1649" s="39"/>
      <c r="H1649" s="25"/>
      <c r="I1649" s="35" t="str">
        <f aca="false">IF($H1649="","",IFERROR(INDEX(票据归类表,MATCH($H1649,票据类型表,0)),"现金无票"))</f>
        <v/>
      </c>
      <c r="J1649" s="25"/>
      <c r="K1649" s="25"/>
      <c r="L1649" s="31"/>
      <c r="M1649" s="29" t="str">
        <f aca="false">IF($C1649="","",YEAR($C1649))</f>
        <v/>
      </c>
      <c r="N1649" s="24"/>
      <c r="O1649" s="35" t="str">
        <f aca="false">IF($C1649="","",IF($D1649="","★没选客户项目",IF(COUNTIF(合同键,$D1649)=0,"★《维保合同》里没这个项目",IF(N($G1649)&lt;=0,"★收款金额要填",IF($H1649="","★票据类型要选",IF(AND($L1649&lt;&gt;"",COUNTIF(应收单号,$L1649)=0),"★关联的应收单号不存在",IF(AND($L1649&lt;&gt;"",IFERROR(INDEX(应收键,MATCH($L1649,应收单号,0)),"")&lt;&gt;$D1649),"★关联单号不是这个客户的",IF(AND($L1649&lt;&gt;"",ROUND(SUMIF(收款关联,$L1649,收款金额)-IFERROR(INDEX(应收金额,MATCH($L1649,应收单号,0)),0),2)&gt;0.001),"★指定冲销超过那张单的应收","OK"))))))))</f>
        <v/>
      </c>
    </row>
    <row r="1650" customFormat="false" ht="15" hidden="false" customHeight="false" outlineLevel="0" collapsed="false">
      <c r="A1650" s="29" t="str">
        <f aca="false">IF($C1650="","",ROW()-4)</f>
        <v/>
      </c>
      <c r="B1650" s="35" t="str">
        <f aca="false">IF($C1650="","","SK"&amp;TEXT($C1650,"yyyymm")&amp;"-"&amp;TEXT(ROW()-4,"0000"))</f>
        <v/>
      </c>
      <c r="C1650" s="33"/>
      <c r="D1650" s="24"/>
      <c r="E1650" s="30" t="str">
        <f aca="false">IF($D1650="","",IFERROR(INDEX(合同单位,MATCH($D1650,合同键,0)),IFERROR(TRIM(LEFT($D1650,FIND("｜",$D1650)-1)),$D1650)))</f>
        <v/>
      </c>
      <c r="F1650" s="30" t="str">
        <f aca="false">IF($D1650="","",IFERROR(INDEX(合同项目,MATCH($D1650,合同键,0)),IFERROR(TRIM(MID($D1650,FIND("｜",$D1650)+1,99)),"")))</f>
        <v/>
      </c>
      <c r="G1650" s="39"/>
      <c r="H1650" s="25"/>
      <c r="I1650" s="35" t="str">
        <f aca="false">IF($H1650="","",IFERROR(INDEX(票据归类表,MATCH($H1650,票据类型表,0)),"现金无票"))</f>
        <v/>
      </c>
      <c r="J1650" s="25"/>
      <c r="K1650" s="25"/>
      <c r="L1650" s="31"/>
      <c r="M1650" s="29" t="str">
        <f aca="false">IF($C1650="","",YEAR($C1650))</f>
        <v/>
      </c>
      <c r="N1650" s="24"/>
      <c r="O1650" s="35" t="str">
        <f aca="false">IF($C1650="","",IF($D1650="","★没选客户项目",IF(COUNTIF(合同键,$D1650)=0,"★《维保合同》里没这个项目",IF(N($G1650)&lt;=0,"★收款金额要填",IF($H1650="","★票据类型要选",IF(AND($L1650&lt;&gt;"",COUNTIF(应收单号,$L1650)=0),"★关联的应收单号不存在",IF(AND($L1650&lt;&gt;"",IFERROR(INDEX(应收键,MATCH($L1650,应收单号,0)),"")&lt;&gt;$D1650),"★关联单号不是这个客户的",IF(AND($L1650&lt;&gt;"",ROUND(SUMIF(收款关联,$L1650,收款金额)-IFERROR(INDEX(应收金额,MATCH($L1650,应收单号,0)),0),2)&gt;0.001),"★指定冲销超过那张单的应收","OK"))))))))</f>
        <v/>
      </c>
    </row>
    <row r="1651" customFormat="false" ht="15" hidden="false" customHeight="false" outlineLevel="0" collapsed="false">
      <c r="A1651" s="29" t="str">
        <f aca="false">IF($C1651="","",ROW()-4)</f>
        <v/>
      </c>
      <c r="B1651" s="35" t="str">
        <f aca="false">IF($C1651="","","SK"&amp;TEXT($C1651,"yyyymm")&amp;"-"&amp;TEXT(ROW()-4,"0000"))</f>
        <v/>
      </c>
      <c r="C1651" s="33"/>
      <c r="D1651" s="24"/>
      <c r="E1651" s="30" t="str">
        <f aca="false">IF($D1651="","",IFERROR(INDEX(合同单位,MATCH($D1651,合同键,0)),IFERROR(TRIM(LEFT($D1651,FIND("｜",$D1651)-1)),$D1651)))</f>
        <v/>
      </c>
      <c r="F1651" s="30" t="str">
        <f aca="false">IF($D1651="","",IFERROR(INDEX(合同项目,MATCH($D1651,合同键,0)),IFERROR(TRIM(MID($D1651,FIND("｜",$D1651)+1,99)),"")))</f>
        <v/>
      </c>
      <c r="G1651" s="39"/>
      <c r="H1651" s="25"/>
      <c r="I1651" s="35" t="str">
        <f aca="false">IF($H1651="","",IFERROR(INDEX(票据归类表,MATCH($H1651,票据类型表,0)),"现金无票"))</f>
        <v/>
      </c>
      <c r="J1651" s="25"/>
      <c r="K1651" s="25"/>
      <c r="L1651" s="31"/>
      <c r="M1651" s="29" t="str">
        <f aca="false">IF($C1651="","",YEAR($C1651))</f>
        <v/>
      </c>
      <c r="N1651" s="24"/>
      <c r="O1651" s="35" t="str">
        <f aca="false">IF($C1651="","",IF($D1651="","★没选客户项目",IF(COUNTIF(合同键,$D1651)=0,"★《维保合同》里没这个项目",IF(N($G1651)&lt;=0,"★收款金额要填",IF($H1651="","★票据类型要选",IF(AND($L1651&lt;&gt;"",COUNTIF(应收单号,$L1651)=0),"★关联的应收单号不存在",IF(AND($L1651&lt;&gt;"",IFERROR(INDEX(应收键,MATCH($L1651,应收单号,0)),"")&lt;&gt;$D1651),"★关联单号不是这个客户的",IF(AND($L1651&lt;&gt;"",ROUND(SUMIF(收款关联,$L1651,收款金额)-IFERROR(INDEX(应收金额,MATCH($L1651,应收单号,0)),0),2)&gt;0.001),"★指定冲销超过那张单的应收","OK"))))))))</f>
        <v/>
      </c>
    </row>
    <row r="1652" customFormat="false" ht="15" hidden="false" customHeight="false" outlineLevel="0" collapsed="false">
      <c r="A1652" s="29" t="str">
        <f aca="false">IF($C1652="","",ROW()-4)</f>
        <v/>
      </c>
      <c r="B1652" s="35" t="str">
        <f aca="false">IF($C1652="","","SK"&amp;TEXT($C1652,"yyyymm")&amp;"-"&amp;TEXT(ROW()-4,"0000"))</f>
        <v/>
      </c>
      <c r="C1652" s="33"/>
      <c r="D1652" s="24"/>
      <c r="E1652" s="30" t="str">
        <f aca="false">IF($D1652="","",IFERROR(INDEX(合同单位,MATCH($D1652,合同键,0)),IFERROR(TRIM(LEFT($D1652,FIND("｜",$D1652)-1)),$D1652)))</f>
        <v/>
      </c>
      <c r="F1652" s="30" t="str">
        <f aca="false">IF($D1652="","",IFERROR(INDEX(合同项目,MATCH($D1652,合同键,0)),IFERROR(TRIM(MID($D1652,FIND("｜",$D1652)+1,99)),"")))</f>
        <v/>
      </c>
      <c r="G1652" s="39"/>
      <c r="H1652" s="25"/>
      <c r="I1652" s="35" t="str">
        <f aca="false">IF($H1652="","",IFERROR(INDEX(票据归类表,MATCH($H1652,票据类型表,0)),"现金无票"))</f>
        <v/>
      </c>
      <c r="J1652" s="25"/>
      <c r="K1652" s="25"/>
      <c r="L1652" s="31"/>
      <c r="M1652" s="29" t="str">
        <f aca="false">IF($C1652="","",YEAR($C1652))</f>
        <v/>
      </c>
      <c r="N1652" s="24"/>
      <c r="O1652" s="35" t="str">
        <f aca="false">IF($C1652="","",IF($D1652="","★没选客户项目",IF(COUNTIF(合同键,$D1652)=0,"★《维保合同》里没这个项目",IF(N($G1652)&lt;=0,"★收款金额要填",IF($H1652="","★票据类型要选",IF(AND($L1652&lt;&gt;"",COUNTIF(应收单号,$L1652)=0),"★关联的应收单号不存在",IF(AND($L1652&lt;&gt;"",IFERROR(INDEX(应收键,MATCH($L1652,应收单号,0)),"")&lt;&gt;$D1652),"★关联单号不是这个客户的",IF(AND($L1652&lt;&gt;"",ROUND(SUMIF(收款关联,$L1652,收款金额)-IFERROR(INDEX(应收金额,MATCH($L1652,应收单号,0)),0),2)&gt;0.001),"★指定冲销超过那张单的应收","OK"))))))))</f>
        <v/>
      </c>
    </row>
    <row r="1653" customFormat="false" ht="15" hidden="false" customHeight="false" outlineLevel="0" collapsed="false">
      <c r="A1653" s="29" t="str">
        <f aca="false">IF($C1653="","",ROW()-4)</f>
        <v/>
      </c>
      <c r="B1653" s="35" t="str">
        <f aca="false">IF($C1653="","","SK"&amp;TEXT($C1653,"yyyymm")&amp;"-"&amp;TEXT(ROW()-4,"0000"))</f>
        <v/>
      </c>
      <c r="C1653" s="33"/>
      <c r="D1653" s="24"/>
      <c r="E1653" s="30" t="str">
        <f aca="false">IF($D1653="","",IFERROR(INDEX(合同单位,MATCH($D1653,合同键,0)),IFERROR(TRIM(LEFT($D1653,FIND("｜",$D1653)-1)),$D1653)))</f>
        <v/>
      </c>
      <c r="F1653" s="30" t="str">
        <f aca="false">IF($D1653="","",IFERROR(INDEX(合同项目,MATCH($D1653,合同键,0)),IFERROR(TRIM(MID($D1653,FIND("｜",$D1653)+1,99)),"")))</f>
        <v/>
      </c>
      <c r="G1653" s="39"/>
      <c r="H1653" s="25"/>
      <c r="I1653" s="35" t="str">
        <f aca="false">IF($H1653="","",IFERROR(INDEX(票据归类表,MATCH($H1653,票据类型表,0)),"现金无票"))</f>
        <v/>
      </c>
      <c r="J1653" s="25"/>
      <c r="K1653" s="25"/>
      <c r="L1653" s="31"/>
      <c r="M1653" s="29" t="str">
        <f aca="false">IF($C1653="","",YEAR($C1653))</f>
        <v/>
      </c>
      <c r="N1653" s="24"/>
      <c r="O1653" s="35" t="str">
        <f aca="false">IF($C1653="","",IF($D1653="","★没选客户项目",IF(COUNTIF(合同键,$D1653)=0,"★《维保合同》里没这个项目",IF(N($G1653)&lt;=0,"★收款金额要填",IF($H1653="","★票据类型要选",IF(AND($L1653&lt;&gt;"",COUNTIF(应收单号,$L1653)=0),"★关联的应收单号不存在",IF(AND($L1653&lt;&gt;"",IFERROR(INDEX(应收键,MATCH($L1653,应收单号,0)),"")&lt;&gt;$D1653),"★关联单号不是这个客户的",IF(AND($L1653&lt;&gt;"",ROUND(SUMIF(收款关联,$L1653,收款金额)-IFERROR(INDEX(应收金额,MATCH($L1653,应收单号,0)),0),2)&gt;0.001),"★指定冲销超过那张单的应收","OK"))))))))</f>
        <v/>
      </c>
    </row>
    <row r="1654" customFormat="false" ht="15" hidden="false" customHeight="false" outlineLevel="0" collapsed="false">
      <c r="A1654" s="29" t="str">
        <f aca="false">IF($C1654="","",ROW()-4)</f>
        <v/>
      </c>
      <c r="B1654" s="35" t="str">
        <f aca="false">IF($C1654="","","SK"&amp;TEXT($C1654,"yyyymm")&amp;"-"&amp;TEXT(ROW()-4,"0000"))</f>
        <v/>
      </c>
      <c r="C1654" s="33"/>
      <c r="D1654" s="24"/>
      <c r="E1654" s="30" t="str">
        <f aca="false">IF($D1654="","",IFERROR(INDEX(合同单位,MATCH($D1654,合同键,0)),IFERROR(TRIM(LEFT($D1654,FIND("｜",$D1654)-1)),$D1654)))</f>
        <v/>
      </c>
      <c r="F1654" s="30" t="str">
        <f aca="false">IF($D1654="","",IFERROR(INDEX(合同项目,MATCH($D1654,合同键,0)),IFERROR(TRIM(MID($D1654,FIND("｜",$D1654)+1,99)),"")))</f>
        <v/>
      </c>
      <c r="G1654" s="39"/>
      <c r="H1654" s="25"/>
      <c r="I1654" s="35" t="str">
        <f aca="false">IF($H1654="","",IFERROR(INDEX(票据归类表,MATCH($H1654,票据类型表,0)),"现金无票"))</f>
        <v/>
      </c>
      <c r="J1654" s="25"/>
      <c r="K1654" s="25"/>
      <c r="L1654" s="31"/>
      <c r="M1654" s="29" t="str">
        <f aca="false">IF($C1654="","",YEAR($C1654))</f>
        <v/>
      </c>
      <c r="N1654" s="24"/>
      <c r="O1654" s="35" t="str">
        <f aca="false">IF($C1654="","",IF($D1654="","★没选客户项目",IF(COUNTIF(合同键,$D1654)=0,"★《维保合同》里没这个项目",IF(N($G1654)&lt;=0,"★收款金额要填",IF($H1654="","★票据类型要选",IF(AND($L1654&lt;&gt;"",COUNTIF(应收单号,$L1654)=0),"★关联的应收单号不存在",IF(AND($L1654&lt;&gt;"",IFERROR(INDEX(应收键,MATCH($L1654,应收单号,0)),"")&lt;&gt;$D1654),"★关联单号不是这个客户的",IF(AND($L1654&lt;&gt;"",ROUND(SUMIF(收款关联,$L1654,收款金额)-IFERROR(INDEX(应收金额,MATCH($L1654,应收单号,0)),0),2)&gt;0.001),"★指定冲销超过那张单的应收","OK"))))))))</f>
        <v/>
      </c>
    </row>
    <row r="1655" customFormat="false" ht="15" hidden="false" customHeight="false" outlineLevel="0" collapsed="false">
      <c r="A1655" s="29" t="str">
        <f aca="false">IF($C1655="","",ROW()-4)</f>
        <v/>
      </c>
      <c r="B1655" s="35" t="str">
        <f aca="false">IF($C1655="","","SK"&amp;TEXT($C1655,"yyyymm")&amp;"-"&amp;TEXT(ROW()-4,"0000"))</f>
        <v/>
      </c>
      <c r="C1655" s="33"/>
      <c r="D1655" s="24"/>
      <c r="E1655" s="30" t="str">
        <f aca="false">IF($D1655="","",IFERROR(INDEX(合同单位,MATCH($D1655,合同键,0)),IFERROR(TRIM(LEFT($D1655,FIND("｜",$D1655)-1)),$D1655)))</f>
        <v/>
      </c>
      <c r="F1655" s="30" t="str">
        <f aca="false">IF($D1655="","",IFERROR(INDEX(合同项目,MATCH($D1655,合同键,0)),IFERROR(TRIM(MID($D1655,FIND("｜",$D1655)+1,99)),"")))</f>
        <v/>
      </c>
      <c r="G1655" s="39"/>
      <c r="H1655" s="25"/>
      <c r="I1655" s="35" t="str">
        <f aca="false">IF($H1655="","",IFERROR(INDEX(票据归类表,MATCH($H1655,票据类型表,0)),"现金无票"))</f>
        <v/>
      </c>
      <c r="J1655" s="25"/>
      <c r="K1655" s="25"/>
      <c r="L1655" s="31"/>
      <c r="M1655" s="29" t="str">
        <f aca="false">IF($C1655="","",YEAR($C1655))</f>
        <v/>
      </c>
      <c r="N1655" s="24"/>
      <c r="O1655" s="35" t="str">
        <f aca="false">IF($C1655="","",IF($D1655="","★没选客户项目",IF(COUNTIF(合同键,$D1655)=0,"★《维保合同》里没这个项目",IF(N($G1655)&lt;=0,"★收款金额要填",IF($H1655="","★票据类型要选",IF(AND($L1655&lt;&gt;"",COUNTIF(应收单号,$L1655)=0),"★关联的应收单号不存在",IF(AND($L1655&lt;&gt;"",IFERROR(INDEX(应收键,MATCH($L1655,应收单号,0)),"")&lt;&gt;$D1655),"★关联单号不是这个客户的",IF(AND($L1655&lt;&gt;"",ROUND(SUMIF(收款关联,$L1655,收款金额)-IFERROR(INDEX(应收金额,MATCH($L1655,应收单号,0)),0),2)&gt;0.001),"★指定冲销超过那张单的应收","OK"))))))))</f>
        <v/>
      </c>
    </row>
    <row r="1656" customFormat="false" ht="15" hidden="false" customHeight="false" outlineLevel="0" collapsed="false">
      <c r="A1656" s="29" t="str">
        <f aca="false">IF($C1656="","",ROW()-4)</f>
        <v/>
      </c>
      <c r="B1656" s="35" t="str">
        <f aca="false">IF($C1656="","","SK"&amp;TEXT($C1656,"yyyymm")&amp;"-"&amp;TEXT(ROW()-4,"0000"))</f>
        <v/>
      </c>
      <c r="C1656" s="33"/>
      <c r="D1656" s="24"/>
      <c r="E1656" s="30" t="str">
        <f aca="false">IF($D1656="","",IFERROR(INDEX(合同单位,MATCH($D1656,合同键,0)),IFERROR(TRIM(LEFT($D1656,FIND("｜",$D1656)-1)),$D1656)))</f>
        <v/>
      </c>
      <c r="F1656" s="30" t="str">
        <f aca="false">IF($D1656="","",IFERROR(INDEX(合同项目,MATCH($D1656,合同键,0)),IFERROR(TRIM(MID($D1656,FIND("｜",$D1656)+1,99)),"")))</f>
        <v/>
      </c>
      <c r="G1656" s="39"/>
      <c r="H1656" s="25"/>
      <c r="I1656" s="35" t="str">
        <f aca="false">IF($H1656="","",IFERROR(INDEX(票据归类表,MATCH($H1656,票据类型表,0)),"现金无票"))</f>
        <v/>
      </c>
      <c r="J1656" s="25"/>
      <c r="K1656" s="25"/>
      <c r="L1656" s="31"/>
      <c r="M1656" s="29" t="str">
        <f aca="false">IF($C1656="","",YEAR($C1656))</f>
        <v/>
      </c>
      <c r="N1656" s="24"/>
      <c r="O1656" s="35" t="str">
        <f aca="false">IF($C1656="","",IF($D1656="","★没选客户项目",IF(COUNTIF(合同键,$D1656)=0,"★《维保合同》里没这个项目",IF(N($G1656)&lt;=0,"★收款金额要填",IF($H1656="","★票据类型要选",IF(AND($L1656&lt;&gt;"",COUNTIF(应收单号,$L1656)=0),"★关联的应收单号不存在",IF(AND($L1656&lt;&gt;"",IFERROR(INDEX(应收键,MATCH($L1656,应收单号,0)),"")&lt;&gt;$D1656),"★关联单号不是这个客户的",IF(AND($L1656&lt;&gt;"",ROUND(SUMIF(收款关联,$L1656,收款金额)-IFERROR(INDEX(应收金额,MATCH($L1656,应收单号,0)),0),2)&gt;0.001),"★指定冲销超过那张单的应收","OK"))))))))</f>
        <v/>
      </c>
    </row>
    <row r="1657" customFormat="false" ht="15" hidden="false" customHeight="false" outlineLevel="0" collapsed="false">
      <c r="A1657" s="29" t="str">
        <f aca="false">IF($C1657="","",ROW()-4)</f>
        <v/>
      </c>
      <c r="B1657" s="35" t="str">
        <f aca="false">IF($C1657="","","SK"&amp;TEXT($C1657,"yyyymm")&amp;"-"&amp;TEXT(ROW()-4,"0000"))</f>
        <v/>
      </c>
      <c r="C1657" s="33"/>
      <c r="D1657" s="24"/>
      <c r="E1657" s="30" t="str">
        <f aca="false">IF($D1657="","",IFERROR(INDEX(合同单位,MATCH($D1657,合同键,0)),IFERROR(TRIM(LEFT($D1657,FIND("｜",$D1657)-1)),$D1657)))</f>
        <v/>
      </c>
      <c r="F1657" s="30" t="str">
        <f aca="false">IF($D1657="","",IFERROR(INDEX(合同项目,MATCH($D1657,合同键,0)),IFERROR(TRIM(MID($D1657,FIND("｜",$D1657)+1,99)),"")))</f>
        <v/>
      </c>
      <c r="G1657" s="39"/>
      <c r="H1657" s="25"/>
      <c r="I1657" s="35" t="str">
        <f aca="false">IF($H1657="","",IFERROR(INDEX(票据归类表,MATCH($H1657,票据类型表,0)),"现金无票"))</f>
        <v/>
      </c>
      <c r="J1657" s="25"/>
      <c r="K1657" s="25"/>
      <c r="L1657" s="31"/>
      <c r="M1657" s="29" t="str">
        <f aca="false">IF($C1657="","",YEAR($C1657))</f>
        <v/>
      </c>
      <c r="N1657" s="24"/>
      <c r="O1657" s="35" t="str">
        <f aca="false">IF($C1657="","",IF($D1657="","★没选客户项目",IF(COUNTIF(合同键,$D1657)=0,"★《维保合同》里没这个项目",IF(N($G1657)&lt;=0,"★收款金额要填",IF($H1657="","★票据类型要选",IF(AND($L1657&lt;&gt;"",COUNTIF(应收单号,$L1657)=0),"★关联的应收单号不存在",IF(AND($L1657&lt;&gt;"",IFERROR(INDEX(应收键,MATCH($L1657,应收单号,0)),"")&lt;&gt;$D1657),"★关联单号不是这个客户的",IF(AND($L1657&lt;&gt;"",ROUND(SUMIF(收款关联,$L1657,收款金额)-IFERROR(INDEX(应收金额,MATCH($L1657,应收单号,0)),0),2)&gt;0.001),"★指定冲销超过那张单的应收","OK"))))))))</f>
        <v/>
      </c>
    </row>
    <row r="1658" customFormat="false" ht="15" hidden="false" customHeight="false" outlineLevel="0" collapsed="false">
      <c r="A1658" s="29" t="str">
        <f aca="false">IF($C1658="","",ROW()-4)</f>
        <v/>
      </c>
      <c r="B1658" s="35" t="str">
        <f aca="false">IF($C1658="","","SK"&amp;TEXT($C1658,"yyyymm")&amp;"-"&amp;TEXT(ROW()-4,"0000"))</f>
        <v/>
      </c>
      <c r="C1658" s="33"/>
      <c r="D1658" s="24"/>
      <c r="E1658" s="30" t="str">
        <f aca="false">IF($D1658="","",IFERROR(INDEX(合同单位,MATCH($D1658,合同键,0)),IFERROR(TRIM(LEFT($D1658,FIND("｜",$D1658)-1)),$D1658)))</f>
        <v/>
      </c>
      <c r="F1658" s="30" t="str">
        <f aca="false">IF($D1658="","",IFERROR(INDEX(合同项目,MATCH($D1658,合同键,0)),IFERROR(TRIM(MID($D1658,FIND("｜",$D1658)+1,99)),"")))</f>
        <v/>
      </c>
      <c r="G1658" s="39"/>
      <c r="H1658" s="25"/>
      <c r="I1658" s="35" t="str">
        <f aca="false">IF($H1658="","",IFERROR(INDEX(票据归类表,MATCH($H1658,票据类型表,0)),"现金无票"))</f>
        <v/>
      </c>
      <c r="J1658" s="25"/>
      <c r="K1658" s="25"/>
      <c r="L1658" s="31"/>
      <c r="M1658" s="29" t="str">
        <f aca="false">IF($C1658="","",YEAR($C1658))</f>
        <v/>
      </c>
      <c r="N1658" s="24"/>
      <c r="O1658" s="35" t="str">
        <f aca="false">IF($C1658="","",IF($D1658="","★没选客户项目",IF(COUNTIF(合同键,$D1658)=0,"★《维保合同》里没这个项目",IF(N($G1658)&lt;=0,"★收款金额要填",IF($H1658="","★票据类型要选",IF(AND($L1658&lt;&gt;"",COUNTIF(应收单号,$L1658)=0),"★关联的应收单号不存在",IF(AND($L1658&lt;&gt;"",IFERROR(INDEX(应收键,MATCH($L1658,应收单号,0)),"")&lt;&gt;$D1658),"★关联单号不是这个客户的",IF(AND($L1658&lt;&gt;"",ROUND(SUMIF(收款关联,$L1658,收款金额)-IFERROR(INDEX(应收金额,MATCH($L1658,应收单号,0)),0),2)&gt;0.001),"★指定冲销超过那张单的应收","OK"))))))))</f>
        <v/>
      </c>
    </row>
    <row r="1659" customFormat="false" ht="15" hidden="false" customHeight="false" outlineLevel="0" collapsed="false">
      <c r="A1659" s="29" t="str">
        <f aca="false">IF($C1659="","",ROW()-4)</f>
        <v/>
      </c>
      <c r="B1659" s="35" t="str">
        <f aca="false">IF($C1659="","","SK"&amp;TEXT($C1659,"yyyymm")&amp;"-"&amp;TEXT(ROW()-4,"0000"))</f>
        <v/>
      </c>
      <c r="C1659" s="33"/>
      <c r="D1659" s="24"/>
      <c r="E1659" s="30" t="str">
        <f aca="false">IF($D1659="","",IFERROR(INDEX(合同单位,MATCH($D1659,合同键,0)),IFERROR(TRIM(LEFT($D1659,FIND("｜",$D1659)-1)),$D1659)))</f>
        <v/>
      </c>
      <c r="F1659" s="30" t="str">
        <f aca="false">IF($D1659="","",IFERROR(INDEX(合同项目,MATCH($D1659,合同键,0)),IFERROR(TRIM(MID($D1659,FIND("｜",$D1659)+1,99)),"")))</f>
        <v/>
      </c>
      <c r="G1659" s="39"/>
      <c r="H1659" s="25"/>
      <c r="I1659" s="35" t="str">
        <f aca="false">IF($H1659="","",IFERROR(INDEX(票据归类表,MATCH($H1659,票据类型表,0)),"现金无票"))</f>
        <v/>
      </c>
      <c r="J1659" s="25"/>
      <c r="K1659" s="25"/>
      <c r="L1659" s="31"/>
      <c r="M1659" s="29" t="str">
        <f aca="false">IF($C1659="","",YEAR($C1659))</f>
        <v/>
      </c>
      <c r="N1659" s="24"/>
      <c r="O1659" s="35" t="str">
        <f aca="false">IF($C1659="","",IF($D1659="","★没选客户项目",IF(COUNTIF(合同键,$D1659)=0,"★《维保合同》里没这个项目",IF(N($G1659)&lt;=0,"★收款金额要填",IF($H1659="","★票据类型要选",IF(AND($L1659&lt;&gt;"",COUNTIF(应收单号,$L1659)=0),"★关联的应收单号不存在",IF(AND($L1659&lt;&gt;"",IFERROR(INDEX(应收键,MATCH($L1659,应收单号,0)),"")&lt;&gt;$D1659),"★关联单号不是这个客户的",IF(AND($L1659&lt;&gt;"",ROUND(SUMIF(收款关联,$L1659,收款金额)-IFERROR(INDEX(应收金额,MATCH($L1659,应收单号,0)),0),2)&gt;0.001),"★指定冲销超过那张单的应收","OK"))))))))</f>
        <v/>
      </c>
    </row>
    <row r="1660" customFormat="false" ht="15" hidden="false" customHeight="false" outlineLevel="0" collapsed="false">
      <c r="A1660" s="29" t="str">
        <f aca="false">IF($C1660="","",ROW()-4)</f>
        <v/>
      </c>
      <c r="B1660" s="35" t="str">
        <f aca="false">IF($C1660="","","SK"&amp;TEXT($C1660,"yyyymm")&amp;"-"&amp;TEXT(ROW()-4,"0000"))</f>
        <v/>
      </c>
      <c r="C1660" s="33"/>
      <c r="D1660" s="24"/>
      <c r="E1660" s="30" t="str">
        <f aca="false">IF($D1660="","",IFERROR(INDEX(合同单位,MATCH($D1660,合同键,0)),IFERROR(TRIM(LEFT($D1660,FIND("｜",$D1660)-1)),$D1660)))</f>
        <v/>
      </c>
      <c r="F1660" s="30" t="str">
        <f aca="false">IF($D1660="","",IFERROR(INDEX(合同项目,MATCH($D1660,合同键,0)),IFERROR(TRIM(MID($D1660,FIND("｜",$D1660)+1,99)),"")))</f>
        <v/>
      </c>
      <c r="G1660" s="39"/>
      <c r="H1660" s="25"/>
      <c r="I1660" s="35" t="str">
        <f aca="false">IF($H1660="","",IFERROR(INDEX(票据归类表,MATCH($H1660,票据类型表,0)),"现金无票"))</f>
        <v/>
      </c>
      <c r="J1660" s="25"/>
      <c r="K1660" s="25"/>
      <c r="L1660" s="31"/>
      <c r="M1660" s="29" t="str">
        <f aca="false">IF($C1660="","",YEAR($C1660))</f>
        <v/>
      </c>
      <c r="N1660" s="24"/>
      <c r="O1660" s="35" t="str">
        <f aca="false">IF($C1660="","",IF($D1660="","★没选客户项目",IF(COUNTIF(合同键,$D1660)=0,"★《维保合同》里没这个项目",IF(N($G1660)&lt;=0,"★收款金额要填",IF($H1660="","★票据类型要选",IF(AND($L1660&lt;&gt;"",COUNTIF(应收单号,$L1660)=0),"★关联的应收单号不存在",IF(AND($L1660&lt;&gt;"",IFERROR(INDEX(应收键,MATCH($L1660,应收单号,0)),"")&lt;&gt;$D1660),"★关联单号不是这个客户的",IF(AND($L1660&lt;&gt;"",ROUND(SUMIF(收款关联,$L1660,收款金额)-IFERROR(INDEX(应收金额,MATCH($L1660,应收单号,0)),0),2)&gt;0.001),"★指定冲销超过那张单的应收","OK"))))))))</f>
        <v/>
      </c>
    </row>
    <row r="1661" customFormat="false" ht="15" hidden="false" customHeight="false" outlineLevel="0" collapsed="false">
      <c r="A1661" s="29" t="str">
        <f aca="false">IF($C1661="","",ROW()-4)</f>
        <v/>
      </c>
      <c r="B1661" s="35" t="str">
        <f aca="false">IF($C1661="","","SK"&amp;TEXT($C1661,"yyyymm")&amp;"-"&amp;TEXT(ROW()-4,"0000"))</f>
        <v/>
      </c>
      <c r="C1661" s="33"/>
      <c r="D1661" s="24"/>
      <c r="E1661" s="30" t="str">
        <f aca="false">IF($D1661="","",IFERROR(INDEX(合同单位,MATCH($D1661,合同键,0)),IFERROR(TRIM(LEFT($D1661,FIND("｜",$D1661)-1)),$D1661)))</f>
        <v/>
      </c>
      <c r="F1661" s="30" t="str">
        <f aca="false">IF($D1661="","",IFERROR(INDEX(合同项目,MATCH($D1661,合同键,0)),IFERROR(TRIM(MID($D1661,FIND("｜",$D1661)+1,99)),"")))</f>
        <v/>
      </c>
      <c r="G1661" s="39"/>
      <c r="H1661" s="25"/>
      <c r="I1661" s="35" t="str">
        <f aca="false">IF($H1661="","",IFERROR(INDEX(票据归类表,MATCH($H1661,票据类型表,0)),"现金无票"))</f>
        <v/>
      </c>
      <c r="J1661" s="25"/>
      <c r="K1661" s="25"/>
      <c r="L1661" s="31"/>
      <c r="M1661" s="29" t="str">
        <f aca="false">IF($C1661="","",YEAR($C1661))</f>
        <v/>
      </c>
      <c r="N1661" s="24"/>
      <c r="O1661" s="35" t="str">
        <f aca="false">IF($C1661="","",IF($D1661="","★没选客户项目",IF(COUNTIF(合同键,$D1661)=0,"★《维保合同》里没这个项目",IF(N($G1661)&lt;=0,"★收款金额要填",IF($H1661="","★票据类型要选",IF(AND($L1661&lt;&gt;"",COUNTIF(应收单号,$L1661)=0),"★关联的应收单号不存在",IF(AND($L1661&lt;&gt;"",IFERROR(INDEX(应收键,MATCH($L1661,应收单号,0)),"")&lt;&gt;$D1661),"★关联单号不是这个客户的",IF(AND($L1661&lt;&gt;"",ROUND(SUMIF(收款关联,$L1661,收款金额)-IFERROR(INDEX(应收金额,MATCH($L1661,应收单号,0)),0),2)&gt;0.001),"★指定冲销超过那张单的应收","OK"))))))))</f>
        <v/>
      </c>
    </row>
    <row r="1662" customFormat="false" ht="15" hidden="false" customHeight="false" outlineLevel="0" collapsed="false">
      <c r="A1662" s="29" t="str">
        <f aca="false">IF($C1662="","",ROW()-4)</f>
        <v/>
      </c>
      <c r="B1662" s="35" t="str">
        <f aca="false">IF($C1662="","","SK"&amp;TEXT($C1662,"yyyymm")&amp;"-"&amp;TEXT(ROW()-4,"0000"))</f>
        <v/>
      </c>
      <c r="C1662" s="33"/>
      <c r="D1662" s="24"/>
      <c r="E1662" s="30" t="str">
        <f aca="false">IF($D1662="","",IFERROR(INDEX(合同单位,MATCH($D1662,合同键,0)),IFERROR(TRIM(LEFT($D1662,FIND("｜",$D1662)-1)),$D1662)))</f>
        <v/>
      </c>
      <c r="F1662" s="30" t="str">
        <f aca="false">IF($D1662="","",IFERROR(INDEX(合同项目,MATCH($D1662,合同键,0)),IFERROR(TRIM(MID($D1662,FIND("｜",$D1662)+1,99)),"")))</f>
        <v/>
      </c>
      <c r="G1662" s="39"/>
      <c r="H1662" s="25"/>
      <c r="I1662" s="35" t="str">
        <f aca="false">IF($H1662="","",IFERROR(INDEX(票据归类表,MATCH($H1662,票据类型表,0)),"现金无票"))</f>
        <v/>
      </c>
      <c r="J1662" s="25"/>
      <c r="K1662" s="25"/>
      <c r="L1662" s="31"/>
      <c r="M1662" s="29" t="str">
        <f aca="false">IF($C1662="","",YEAR($C1662))</f>
        <v/>
      </c>
      <c r="N1662" s="24"/>
      <c r="O1662" s="35" t="str">
        <f aca="false">IF($C1662="","",IF($D1662="","★没选客户项目",IF(COUNTIF(合同键,$D1662)=0,"★《维保合同》里没这个项目",IF(N($G1662)&lt;=0,"★收款金额要填",IF($H1662="","★票据类型要选",IF(AND($L1662&lt;&gt;"",COUNTIF(应收单号,$L1662)=0),"★关联的应收单号不存在",IF(AND($L1662&lt;&gt;"",IFERROR(INDEX(应收键,MATCH($L1662,应收单号,0)),"")&lt;&gt;$D1662),"★关联单号不是这个客户的",IF(AND($L1662&lt;&gt;"",ROUND(SUMIF(收款关联,$L1662,收款金额)-IFERROR(INDEX(应收金额,MATCH($L1662,应收单号,0)),0),2)&gt;0.001),"★指定冲销超过那张单的应收","OK"))))))))</f>
        <v/>
      </c>
    </row>
    <row r="1663" customFormat="false" ht="15" hidden="false" customHeight="false" outlineLevel="0" collapsed="false">
      <c r="A1663" s="29" t="str">
        <f aca="false">IF($C1663="","",ROW()-4)</f>
        <v/>
      </c>
      <c r="B1663" s="35" t="str">
        <f aca="false">IF($C1663="","","SK"&amp;TEXT($C1663,"yyyymm")&amp;"-"&amp;TEXT(ROW()-4,"0000"))</f>
        <v/>
      </c>
      <c r="C1663" s="33"/>
      <c r="D1663" s="24"/>
      <c r="E1663" s="30" t="str">
        <f aca="false">IF($D1663="","",IFERROR(INDEX(合同单位,MATCH($D1663,合同键,0)),IFERROR(TRIM(LEFT($D1663,FIND("｜",$D1663)-1)),$D1663)))</f>
        <v/>
      </c>
      <c r="F1663" s="30" t="str">
        <f aca="false">IF($D1663="","",IFERROR(INDEX(合同项目,MATCH($D1663,合同键,0)),IFERROR(TRIM(MID($D1663,FIND("｜",$D1663)+1,99)),"")))</f>
        <v/>
      </c>
      <c r="G1663" s="39"/>
      <c r="H1663" s="25"/>
      <c r="I1663" s="35" t="str">
        <f aca="false">IF($H1663="","",IFERROR(INDEX(票据归类表,MATCH($H1663,票据类型表,0)),"现金无票"))</f>
        <v/>
      </c>
      <c r="J1663" s="25"/>
      <c r="K1663" s="25"/>
      <c r="L1663" s="31"/>
      <c r="M1663" s="29" t="str">
        <f aca="false">IF($C1663="","",YEAR($C1663))</f>
        <v/>
      </c>
      <c r="N1663" s="24"/>
      <c r="O1663" s="35" t="str">
        <f aca="false">IF($C1663="","",IF($D1663="","★没选客户项目",IF(COUNTIF(合同键,$D1663)=0,"★《维保合同》里没这个项目",IF(N($G1663)&lt;=0,"★收款金额要填",IF($H1663="","★票据类型要选",IF(AND($L1663&lt;&gt;"",COUNTIF(应收单号,$L1663)=0),"★关联的应收单号不存在",IF(AND($L1663&lt;&gt;"",IFERROR(INDEX(应收键,MATCH($L1663,应收单号,0)),"")&lt;&gt;$D1663),"★关联单号不是这个客户的",IF(AND($L1663&lt;&gt;"",ROUND(SUMIF(收款关联,$L1663,收款金额)-IFERROR(INDEX(应收金额,MATCH($L1663,应收单号,0)),0),2)&gt;0.001),"★指定冲销超过那张单的应收","OK"))))))))</f>
        <v/>
      </c>
    </row>
    <row r="1664" customFormat="false" ht="15" hidden="false" customHeight="false" outlineLevel="0" collapsed="false">
      <c r="A1664" s="29" t="str">
        <f aca="false">IF($C1664="","",ROW()-4)</f>
        <v/>
      </c>
      <c r="B1664" s="35" t="str">
        <f aca="false">IF($C1664="","","SK"&amp;TEXT($C1664,"yyyymm")&amp;"-"&amp;TEXT(ROW()-4,"0000"))</f>
        <v/>
      </c>
      <c r="C1664" s="33"/>
      <c r="D1664" s="24"/>
      <c r="E1664" s="30" t="str">
        <f aca="false">IF($D1664="","",IFERROR(INDEX(合同单位,MATCH($D1664,合同键,0)),IFERROR(TRIM(LEFT($D1664,FIND("｜",$D1664)-1)),$D1664)))</f>
        <v/>
      </c>
      <c r="F1664" s="30" t="str">
        <f aca="false">IF($D1664="","",IFERROR(INDEX(合同项目,MATCH($D1664,合同键,0)),IFERROR(TRIM(MID($D1664,FIND("｜",$D1664)+1,99)),"")))</f>
        <v/>
      </c>
      <c r="G1664" s="39"/>
      <c r="H1664" s="25"/>
      <c r="I1664" s="35" t="str">
        <f aca="false">IF($H1664="","",IFERROR(INDEX(票据归类表,MATCH($H1664,票据类型表,0)),"现金无票"))</f>
        <v/>
      </c>
      <c r="J1664" s="25"/>
      <c r="K1664" s="25"/>
      <c r="L1664" s="31"/>
      <c r="M1664" s="29" t="str">
        <f aca="false">IF($C1664="","",YEAR($C1664))</f>
        <v/>
      </c>
      <c r="N1664" s="24"/>
      <c r="O1664" s="35" t="str">
        <f aca="false">IF($C1664="","",IF($D1664="","★没选客户项目",IF(COUNTIF(合同键,$D1664)=0,"★《维保合同》里没这个项目",IF(N($G1664)&lt;=0,"★收款金额要填",IF($H1664="","★票据类型要选",IF(AND($L1664&lt;&gt;"",COUNTIF(应收单号,$L1664)=0),"★关联的应收单号不存在",IF(AND($L1664&lt;&gt;"",IFERROR(INDEX(应收键,MATCH($L1664,应收单号,0)),"")&lt;&gt;$D1664),"★关联单号不是这个客户的",IF(AND($L1664&lt;&gt;"",ROUND(SUMIF(收款关联,$L1664,收款金额)-IFERROR(INDEX(应收金额,MATCH($L1664,应收单号,0)),0),2)&gt;0.001),"★指定冲销超过那张单的应收","OK"))))))))</f>
        <v/>
      </c>
    </row>
    <row r="1665" customFormat="false" ht="15" hidden="false" customHeight="false" outlineLevel="0" collapsed="false">
      <c r="A1665" s="29" t="str">
        <f aca="false">IF($C1665="","",ROW()-4)</f>
        <v/>
      </c>
      <c r="B1665" s="35" t="str">
        <f aca="false">IF($C1665="","","SK"&amp;TEXT($C1665,"yyyymm")&amp;"-"&amp;TEXT(ROW()-4,"0000"))</f>
        <v/>
      </c>
      <c r="C1665" s="33"/>
      <c r="D1665" s="24"/>
      <c r="E1665" s="30" t="str">
        <f aca="false">IF($D1665="","",IFERROR(INDEX(合同单位,MATCH($D1665,合同键,0)),IFERROR(TRIM(LEFT($D1665,FIND("｜",$D1665)-1)),$D1665)))</f>
        <v/>
      </c>
      <c r="F1665" s="30" t="str">
        <f aca="false">IF($D1665="","",IFERROR(INDEX(合同项目,MATCH($D1665,合同键,0)),IFERROR(TRIM(MID($D1665,FIND("｜",$D1665)+1,99)),"")))</f>
        <v/>
      </c>
      <c r="G1665" s="39"/>
      <c r="H1665" s="25"/>
      <c r="I1665" s="35" t="str">
        <f aca="false">IF($H1665="","",IFERROR(INDEX(票据归类表,MATCH($H1665,票据类型表,0)),"现金无票"))</f>
        <v/>
      </c>
      <c r="J1665" s="25"/>
      <c r="K1665" s="25"/>
      <c r="L1665" s="31"/>
      <c r="M1665" s="29" t="str">
        <f aca="false">IF($C1665="","",YEAR($C1665))</f>
        <v/>
      </c>
      <c r="N1665" s="24"/>
      <c r="O1665" s="35" t="str">
        <f aca="false">IF($C1665="","",IF($D1665="","★没选客户项目",IF(COUNTIF(合同键,$D1665)=0,"★《维保合同》里没这个项目",IF(N($G1665)&lt;=0,"★收款金额要填",IF($H1665="","★票据类型要选",IF(AND($L1665&lt;&gt;"",COUNTIF(应收单号,$L1665)=0),"★关联的应收单号不存在",IF(AND($L1665&lt;&gt;"",IFERROR(INDEX(应收键,MATCH($L1665,应收单号,0)),"")&lt;&gt;$D1665),"★关联单号不是这个客户的",IF(AND($L1665&lt;&gt;"",ROUND(SUMIF(收款关联,$L1665,收款金额)-IFERROR(INDEX(应收金额,MATCH($L1665,应收单号,0)),0),2)&gt;0.001),"★指定冲销超过那张单的应收","OK"))))))))</f>
        <v/>
      </c>
    </row>
    <row r="1666" customFormat="false" ht="15" hidden="false" customHeight="false" outlineLevel="0" collapsed="false">
      <c r="A1666" s="29" t="str">
        <f aca="false">IF($C1666="","",ROW()-4)</f>
        <v/>
      </c>
      <c r="B1666" s="35" t="str">
        <f aca="false">IF($C1666="","","SK"&amp;TEXT($C1666,"yyyymm")&amp;"-"&amp;TEXT(ROW()-4,"0000"))</f>
        <v/>
      </c>
      <c r="C1666" s="33"/>
      <c r="D1666" s="24"/>
      <c r="E1666" s="30" t="str">
        <f aca="false">IF($D1666="","",IFERROR(INDEX(合同单位,MATCH($D1666,合同键,0)),IFERROR(TRIM(LEFT($D1666,FIND("｜",$D1666)-1)),$D1666)))</f>
        <v/>
      </c>
      <c r="F1666" s="30" t="str">
        <f aca="false">IF($D1666="","",IFERROR(INDEX(合同项目,MATCH($D1666,合同键,0)),IFERROR(TRIM(MID($D1666,FIND("｜",$D1666)+1,99)),"")))</f>
        <v/>
      </c>
      <c r="G1666" s="39"/>
      <c r="H1666" s="25"/>
      <c r="I1666" s="35" t="str">
        <f aca="false">IF($H1666="","",IFERROR(INDEX(票据归类表,MATCH($H1666,票据类型表,0)),"现金无票"))</f>
        <v/>
      </c>
      <c r="J1666" s="25"/>
      <c r="K1666" s="25"/>
      <c r="L1666" s="31"/>
      <c r="M1666" s="29" t="str">
        <f aca="false">IF($C1666="","",YEAR($C1666))</f>
        <v/>
      </c>
      <c r="N1666" s="24"/>
      <c r="O1666" s="35" t="str">
        <f aca="false">IF($C1666="","",IF($D1666="","★没选客户项目",IF(COUNTIF(合同键,$D1666)=0,"★《维保合同》里没这个项目",IF(N($G1666)&lt;=0,"★收款金额要填",IF($H1666="","★票据类型要选",IF(AND($L1666&lt;&gt;"",COUNTIF(应收单号,$L1666)=0),"★关联的应收单号不存在",IF(AND($L1666&lt;&gt;"",IFERROR(INDEX(应收键,MATCH($L1666,应收单号,0)),"")&lt;&gt;$D1666),"★关联单号不是这个客户的",IF(AND($L1666&lt;&gt;"",ROUND(SUMIF(收款关联,$L1666,收款金额)-IFERROR(INDEX(应收金额,MATCH($L1666,应收单号,0)),0),2)&gt;0.001),"★指定冲销超过那张单的应收","OK"))))))))</f>
        <v/>
      </c>
    </row>
    <row r="1667" customFormat="false" ht="15" hidden="false" customHeight="false" outlineLevel="0" collapsed="false">
      <c r="A1667" s="29" t="str">
        <f aca="false">IF($C1667="","",ROW()-4)</f>
        <v/>
      </c>
      <c r="B1667" s="35" t="str">
        <f aca="false">IF($C1667="","","SK"&amp;TEXT($C1667,"yyyymm")&amp;"-"&amp;TEXT(ROW()-4,"0000"))</f>
        <v/>
      </c>
      <c r="C1667" s="33"/>
      <c r="D1667" s="24"/>
      <c r="E1667" s="30" t="str">
        <f aca="false">IF($D1667="","",IFERROR(INDEX(合同单位,MATCH($D1667,合同键,0)),IFERROR(TRIM(LEFT($D1667,FIND("｜",$D1667)-1)),$D1667)))</f>
        <v/>
      </c>
      <c r="F1667" s="30" t="str">
        <f aca="false">IF($D1667="","",IFERROR(INDEX(合同项目,MATCH($D1667,合同键,0)),IFERROR(TRIM(MID($D1667,FIND("｜",$D1667)+1,99)),"")))</f>
        <v/>
      </c>
      <c r="G1667" s="39"/>
      <c r="H1667" s="25"/>
      <c r="I1667" s="35" t="str">
        <f aca="false">IF($H1667="","",IFERROR(INDEX(票据归类表,MATCH($H1667,票据类型表,0)),"现金无票"))</f>
        <v/>
      </c>
      <c r="J1667" s="25"/>
      <c r="K1667" s="25"/>
      <c r="L1667" s="31"/>
      <c r="M1667" s="29" t="str">
        <f aca="false">IF($C1667="","",YEAR($C1667))</f>
        <v/>
      </c>
      <c r="N1667" s="24"/>
      <c r="O1667" s="35" t="str">
        <f aca="false">IF($C1667="","",IF($D1667="","★没选客户项目",IF(COUNTIF(合同键,$D1667)=0,"★《维保合同》里没这个项目",IF(N($G1667)&lt;=0,"★收款金额要填",IF($H1667="","★票据类型要选",IF(AND($L1667&lt;&gt;"",COUNTIF(应收单号,$L1667)=0),"★关联的应收单号不存在",IF(AND($L1667&lt;&gt;"",IFERROR(INDEX(应收键,MATCH($L1667,应收单号,0)),"")&lt;&gt;$D1667),"★关联单号不是这个客户的",IF(AND($L1667&lt;&gt;"",ROUND(SUMIF(收款关联,$L1667,收款金额)-IFERROR(INDEX(应收金额,MATCH($L1667,应收单号,0)),0),2)&gt;0.001),"★指定冲销超过那张单的应收","OK"))))))))</f>
        <v/>
      </c>
    </row>
    <row r="1668" customFormat="false" ht="15" hidden="false" customHeight="false" outlineLevel="0" collapsed="false">
      <c r="A1668" s="29" t="str">
        <f aca="false">IF($C1668="","",ROW()-4)</f>
        <v/>
      </c>
      <c r="B1668" s="35" t="str">
        <f aca="false">IF($C1668="","","SK"&amp;TEXT($C1668,"yyyymm")&amp;"-"&amp;TEXT(ROW()-4,"0000"))</f>
        <v/>
      </c>
      <c r="C1668" s="33"/>
      <c r="D1668" s="24"/>
      <c r="E1668" s="30" t="str">
        <f aca="false">IF($D1668="","",IFERROR(INDEX(合同单位,MATCH($D1668,合同键,0)),IFERROR(TRIM(LEFT($D1668,FIND("｜",$D1668)-1)),$D1668)))</f>
        <v/>
      </c>
      <c r="F1668" s="30" t="str">
        <f aca="false">IF($D1668="","",IFERROR(INDEX(合同项目,MATCH($D1668,合同键,0)),IFERROR(TRIM(MID($D1668,FIND("｜",$D1668)+1,99)),"")))</f>
        <v/>
      </c>
      <c r="G1668" s="39"/>
      <c r="H1668" s="25"/>
      <c r="I1668" s="35" t="str">
        <f aca="false">IF($H1668="","",IFERROR(INDEX(票据归类表,MATCH($H1668,票据类型表,0)),"现金无票"))</f>
        <v/>
      </c>
      <c r="J1668" s="25"/>
      <c r="K1668" s="25"/>
      <c r="L1668" s="31"/>
      <c r="M1668" s="29" t="str">
        <f aca="false">IF($C1668="","",YEAR($C1668))</f>
        <v/>
      </c>
      <c r="N1668" s="24"/>
      <c r="O1668" s="35" t="str">
        <f aca="false">IF($C1668="","",IF($D1668="","★没选客户项目",IF(COUNTIF(合同键,$D1668)=0,"★《维保合同》里没这个项目",IF(N($G1668)&lt;=0,"★收款金额要填",IF($H1668="","★票据类型要选",IF(AND($L1668&lt;&gt;"",COUNTIF(应收单号,$L1668)=0),"★关联的应收单号不存在",IF(AND($L1668&lt;&gt;"",IFERROR(INDEX(应收键,MATCH($L1668,应收单号,0)),"")&lt;&gt;$D1668),"★关联单号不是这个客户的",IF(AND($L1668&lt;&gt;"",ROUND(SUMIF(收款关联,$L1668,收款金额)-IFERROR(INDEX(应收金额,MATCH($L1668,应收单号,0)),0),2)&gt;0.001),"★指定冲销超过那张单的应收","OK"))))))))</f>
        <v/>
      </c>
    </row>
    <row r="1669" customFormat="false" ht="15" hidden="false" customHeight="false" outlineLevel="0" collapsed="false">
      <c r="A1669" s="29" t="str">
        <f aca="false">IF($C1669="","",ROW()-4)</f>
        <v/>
      </c>
      <c r="B1669" s="35" t="str">
        <f aca="false">IF($C1669="","","SK"&amp;TEXT($C1669,"yyyymm")&amp;"-"&amp;TEXT(ROW()-4,"0000"))</f>
        <v/>
      </c>
      <c r="C1669" s="33"/>
      <c r="D1669" s="24"/>
      <c r="E1669" s="30" t="str">
        <f aca="false">IF($D1669="","",IFERROR(INDEX(合同单位,MATCH($D1669,合同键,0)),IFERROR(TRIM(LEFT($D1669,FIND("｜",$D1669)-1)),$D1669)))</f>
        <v/>
      </c>
      <c r="F1669" s="30" t="str">
        <f aca="false">IF($D1669="","",IFERROR(INDEX(合同项目,MATCH($D1669,合同键,0)),IFERROR(TRIM(MID($D1669,FIND("｜",$D1669)+1,99)),"")))</f>
        <v/>
      </c>
      <c r="G1669" s="39"/>
      <c r="H1669" s="25"/>
      <c r="I1669" s="35" t="str">
        <f aca="false">IF($H1669="","",IFERROR(INDEX(票据归类表,MATCH($H1669,票据类型表,0)),"现金无票"))</f>
        <v/>
      </c>
      <c r="J1669" s="25"/>
      <c r="K1669" s="25"/>
      <c r="L1669" s="31"/>
      <c r="M1669" s="29" t="str">
        <f aca="false">IF($C1669="","",YEAR($C1669))</f>
        <v/>
      </c>
      <c r="N1669" s="24"/>
      <c r="O1669" s="35" t="str">
        <f aca="false">IF($C1669="","",IF($D1669="","★没选客户项目",IF(COUNTIF(合同键,$D1669)=0,"★《维保合同》里没这个项目",IF(N($G1669)&lt;=0,"★收款金额要填",IF($H1669="","★票据类型要选",IF(AND($L1669&lt;&gt;"",COUNTIF(应收单号,$L1669)=0),"★关联的应收单号不存在",IF(AND($L1669&lt;&gt;"",IFERROR(INDEX(应收键,MATCH($L1669,应收单号,0)),"")&lt;&gt;$D1669),"★关联单号不是这个客户的",IF(AND($L1669&lt;&gt;"",ROUND(SUMIF(收款关联,$L1669,收款金额)-IFERROR(INDEX(应收金额,MATCH($L1669,应收单号,0)),0),2)&gt;0.001),"★指定冲销超过那张单的应收","OK"))))))))</f>
        <v/>
      </c>
    </row>
    <row r="1670" customFormat="false" ht="15" hidden="false" customHeight="false" outlineLevel="0" collapsed="false">
      <c r="A1670" s="29" t="str">
        <f aca="false">IF($C1670="","",ROW()-4)</f>
        <v/>
      </c>
      <c r="B1670" s="35" t="str">
        <f aca="false">IF($C1670="","","SK"&amp;TEXT($C1670,"yyyymm")&amp;"-"&amp;TEXT(ROW()-4,"0000"))</f>
        <v/>
      </c>
      <c r="C1670" s="33"/>
      <c r="D1670" s="24"/>
      <c r="E1670" s="30" t="str">
        <f aca="false">IF($D1670="","",IFERROR(INDEX(合同单位,MATCH($D1670,合同键,0)),IFERROR(TRIM(LEFT($D1670,FIND("｜",$D1670)-1)),$D1670)))</f>
        <v/>
      </c>
      <c r="F1670" s="30" t="str">
        <f aca="false">IF($D1670="","",IFERROR(INDEX(合同项目,MATCH($D1670,合同键,0)),IFERROR(TRIM(MID($D1670,FIND("｜",$D1670)+1,99)),"")))</f>
        <v/>
      </c>
      <c r="G1670" s="39"/>
      <c r="H1670" s="25"/>
      <c r="I1670" s="35" t="str">
        <f aca="false">IF($H1670="","",IFERROR(INDEX(票据归类表,MATCH($H1670,票据类型表,0)),"现金无票"))</f>
        <v/>
      </c>
      <c r="J1670" s="25"/>
      <c r="K1670" s="25"/>
      <c r="L1670" s="31"/>
      <c r="M1670" s="29" t="str">
        <f aca="false">IF($C1670="","",YEAR($C1670))</f>
        <v/>
      </c>
      <c r="N1670" s="24"/>
      <c r="O1670" s="35" t="str">
        <f aca="false">IF($C1670="","",IF($D1670="","★没选客户项目",IF(COUNTIF(合同键,$D1670)=0,"★《维保合同》里没这个项目",IF(N($G1670)&lt;=0,"★收款金额要填",IF($H1670="","★票据类型要选",IF(AND($L1670&lt;&gt;"",COUNTIF(应收单号,$L1670)=0),"★关联的应收单号不存在",IF(AND($L1670&lt;&gt;"",IFERROR(INDEX(应收键,MATCH($L1670,应收单号,0)),"")&lt;&gt;$D1670),"★关联单号不是这个客户的",IF(AND($L1670&lt;&gt;"",ROUND(SUMIF(收款关联,$L1670,收款金额)-IFERROR(INDEX(应收金额,MATCH($L1670,应收单号,0)),0),2)&gt;0.001),"★指定冲销超过那张单的应收","OK"))))))))</f>
        <v/>
      </c>
    </row>
    <row r="1671" customFormat="false" ht="15" hidden="false" customHeight="false" outlineLevel="0" collapsed="false">
      <c r="A1671" s="29" t="str">
        <f aca="false">IF($C1671="","",ROW()-4)</f>
        <v/>
      </c>
      <c r="B1671" s="35" t="str">
        <f aca="false">IF($C1671="","","SK"&amp;TEXT($C1671,"yyyymm")&amp;"-"&amp;TEXT(ROW()-4,"0000"))</f>
        <v/>
      </c>
      <c r="C1671" s="33"/>
      <c r="D1671" s="24"/>
      <c r="E1671" s="30" t="str">
        <f aca="false">IF($D1671="","",IFERROR(INDEX(合同单位,MATCH($D1671,合同键,0)),IFERROR(TRIM(LEFT($D1671,FIND("｜",$D1671)-1)),$D1671)))</f>
        <v/>
      </c>
      <c r="F1671" s="30" t="str">
        <f aca="false">IF($D1671="","",IFERROR(INDEX(合同项目,MATCH($D1671,合同键,0)),IFERROR(TRIM(MID($D1671,FIND("｜",$D1671)+1,99)),"")))</f>
        <v/>
      </c>
      <c r="G1671" s="39"/>
      <c r="H1671" s="25"/>
      <c r="I1671" s="35" t="str">
        <f aca="false">IF($H1671="","",IFERROR(INDEX(票据归类表,MATCH($H1671,票据类型表,0)),"现金无票"))</f>
        <v/>
      </c>
      <c r="J1671" s="25"/>
      <c r="K1671" s="25"/>
      <c r="L1671" s="31"/>
      <c r="M1671" s="29" t="str">
        <f aca="false">IF($C1671="","",YEAR($C1671))</f>
        <v/>
      </c>
      <c r="N1671" s="24"/>
      <c r="O1671" s="35" t="str">
        <f aca="false">IF($C1671="","",IF($D1671="","★没选客户项目",IF(COUNTIF(合同键,$D1671)=0,"★《维保合同》里没这个项目",IF(N($G1671)&lt;=0,"★收款金额要填",IF($H1671="","★票据类型要选",IF(AND($L1671&lt;&gt;"",COUNTIF(应收单号,$L1671)=0),"★关联的应收单号不存在",IF(AND($L1671&lt;&gt;"",IFERROR(INDEX(应收键,MATCH($L1671,应收单号,0)),"")&lt;&gt;$D1671),"★关联单号不是这个客户的",IF(AND($L1671&lt;&gt;"",ROUND(SUMIF(收款关联,$L1671,收款金额)-IFERROR(INDEX(应收金额,MATCH($L1671,应收单号,0)),0),2)&gt;0.001),"★指定冲销超过那张单的应收","OK"))))))))</f>
        <v/>
      </c>
    </row>
    <row r="1672" customFormat="false" ht="15" hidden="false" customHeight="false" outlineLevel="0" collapsed="false">
      <c r="A1672" s="29" t="str">
        <f aca="false">IF($C1672="","",ROW()-4)</f>
        <v/>
      </c>
      <c r="B1672" s="35" t="str">
        <f aca="false">IF($C1672="","","SK"&amp;TEXT($C1672,"yyyymm")&amp;"-"&amp;TEXT(ROW()-4,"0000"))</f>
        <v/>
      </c>
      <c r="C1672" s="33"/>
      <c r="D1672" s="24"/>
      <c r="E1672" s="30" t="str">
        <f aca="false">IF($D1672="","",IFERROR(INDEX(合同单位,MATCH($D1672,合同键,0)),IFERROR(TRIM(LEFT($D1672,FIND("｜",$D1672)-1)),$D1672)))</f>
        <v/>
      </c>
      <c r="F1672" s="30" t="str">
        <f aca="false">IF($D1672="","",IFERROR(INDEX(合同项目,MATCH($D1672,合同键,0)),IFERROR(TRIM(MID($D1672,FIND("｜",$D1672)+1,99)),"")))</f>
        <v/>
      </c>
      <c r="G1672" s="39"/>
      <c r="H1672" s="25"/>
      <c r="I1672" s="35" t="str">
        <f aca="false">IF($H1672="","",IFERROR(INDEX(票据归类表,MATCH($H1672,票据类型表,0)),"现金无票"))</f>
        <v/>
      </c>
      <c r="J1672" s="25"/>
      <c r="K1672" s="25"/>
      <c r="L1672" s="31"/>
      <c r="M1672" s="29" t="str">
        <f aca="false">IF($C1672="","",YEAR($C1672))</f>
        <v/>
      </c>
      <c r="N1672" s="24"/>
      <c r="O1672" s="35" t="str">
        <f aca="false">IF($C1672="","",IF($D1672="","★没选客户项目",IF(COUNTIF(合同键,$D1672)=0,"★《维保合同》里没这个项目",IF(N($G1672)&lt;=0,"★收款金额要填",IF($H1672="","★票据类型要选",IF(AND($L1672&lt;&gt;"",COUNTIF(应收单号,$L1672)=0),"★关联的应收单号不存在",IF(AND($L1672&lt;&gt;"",IFERROR(INDEX(应收键,MATCH($L1672,应收单号,0)),"")&lt;&gt;$D1672),"★关联单号不是这个客户的",IF(AND($L1672&lt;&gt;"",ROUND(SUMIF(收款关联,$L1672,收款金额)-IFERROR(INDEX(应收金额,MATCH($L1672,应收单号,0)),0),2)&gt;0.001),"★指定冲销超过那张单的应收","OK"))))))))</f>
        <v/>
      </c>
    </row>
    <row r="1673" customFormat="false" ht="15" hidden="false" customHeight="false" outlineLevel="0" collapsed="false">
      <c r="A1673" s="29" t="str">
        <f aca="false">IF($C1673="","",ROW()-4)</f>
        <v/>
      </c>
      <c r="B1673" s="35" t="str">
        <f aca="false">IF($C1673="","","SK"&amp;TEXT($C1673,"yyyymm")&amp;"-"&amp;TEXT(ROW()-4,"0000"))</f>
        <v/>
      </c>
      <c r="C1673" s="33"/>
      <c r="D1673" s="24"/>
      <c r="E1673" s="30" t="str">
        <f aca="false">IF($D1673="","",IFERROR(INDEX(合同单位,MATCH($D1673,合同键,0)),IFERROR(TRIM(LEFT($D1673,FIND("｜",$D1673)-1)),$D1673)))</f>
        <v/>
      </c>
      <c r="F1673" s="30" t="str">
        <f aca="false">IF($D1673="","",IFERROR(INDEX(合同项目,MATCH($D1673,合同键,0)),IFERROR(TRIM(MID($D1673,FIND("｜",$D1673)+1,99)),"")))</f>
        <v/>
      </c>
      <c r="G1673" s="39"/>
      <c r="H1673" s="25"/>
      <c r="I1673" s="35" t="str">
        <f aca="false">IF($H1673="","",IFERROR(INDEX(票据归类表,MATCH($H1673,票据类型表,0)),"现金无票"))</f>
        <v/>
      </c>
      <c r="J1673" s="25"/>
      <c r="K1673" s="25"/>
      <c r="L1673" s="31"/>
      <c r="M1673" s="29" t="str">
        <f aca="false">IF($C1673="","",YEAR($C1673))</f>
        <v/>
      </c>
      <c r="N1673" s="24"/>
      <c r="O1673" s="35" t="str">
        <f aca="false">IF($C1673="","",IF($D1673="","★没选客户项目",IF(COUNTIF(合同键,$D1673)=0,"★《维保合同》里没这个项目",IF(N($G1673)&lt;=0,"★收款金额要填",IF($H1673="","★票据类型要选",IF(AND($L1673&lt;&gt;"",COUNTIF(应收单号,$L1673)=0),"★关联的应收单号不存在",IF(AND($L1673&lt;&gt;"",IFERROR(INDEX(应收键,MATCH($L1673,应收单号,0)),"")&lt;&gt;$D1673),"★关联单号不是这个客户的",IF(AND($L1673&lt;&gt;"",ROUND(SUMIF(收款关联,$L1673,收款金额)-IFERROR(INDEX(应收金额,MATCH($L1673,应收单号,0)),0),2)&gt;0.001),"★指定冲销超过那张单的应收","OK"))))))))</f>
        <v/>
      </c>
    </row>
    <row r="1674" customFormat="false" ht="15" hidden="false" customHeight="false" outlineLevel="0" collapsed="false">
      <c r="A1674" s="29" t="str">
        <f aca="false">IF($C1674="","",ROW()-4)</f>
        <v/>
      </c>
      <c r="B1674" s="35" t="str">
        <f aca="false">IF($C1674="","","SK"&amp;TEXT($C1674,"yyyymm")&amp;"-"&amp;TEXT(ROW()-4,"0000"))</f>
        <v/>
      </c>
      <c r="C1674" s="33"/>
      <c r="D1674" s="24"/>
      <c r="E1674" s="30" t="str">
        <f aca="false">IF($D1674="","",IFERROR(INDEX(合同单位,MATCH($D1674,合同键,0)),IFERROR(TRIM(LEFT($D1674,FIND("｜",$D1674)-1)),$D1674)))</f>
        <v/>
      </c>
      <c r="F1674" s="30" t="str">
        <f aca="false">IF($D1674="","",IFERROR(INDEX(合同项目,MATCH($D1674,合同键,0)),IFERROR(TRIM(MID($D1674,FIND("｜",$D1674)+1,99)),"")))</f>
        <v/>
      </c>
      <c r="G1674" s="39"/>
      <c r="H1674" s="25"/>
      <c r="I1674" s="35" t="str">
        <f aca="false">IF($H1674="","",IFERROR(INDEX(票据归类表,MATCH($H1674,票据类型表,0)),"现金无票"))</f>
        <v/>
      </c>
      <c r="J1674" s="25"/>
      <c r="K1674" s="25"/>
      <c r="L1674" s="31"/>
      <c r="M1674" s="29" t="str">
        <f aca="false">IF($C1674="","",YEAR($C1674))</f>
        <v/>
      </c>
      <c r="N1674" s="24"/>
      <c r="O1674" s="35" t="str">
        <f aca="false">IF($C1674="","",IF($D1674="","★没选客户项目",IF(COUNTIF(合同键,$D1674)=0,"★《维保合同》里没这个项目",IF(N($G1674)&lt;=0,"★收款金额要填",IF($H1674="","★票据类型要选",IF(AND($L1674&lt;&gt;"",COUNTIF(应收单号,$L1674)=0),"★关联的应收单号不存在",IF(AND($L1674&lt;&gt;"",IFERROR(INDEX(应收键,MATCH($L1674,应收单号,0)),"")&lt;&gt;$D1674),"★关联单号不是这个客户的",IF(AND($L1674&lt;&gt;"",ROUND(SUMIF(收款关联,$L1674,收款金额)-IFERROR(INDEX(应收金额,MATCH($L1674,应收单号,0)),0),2)&gt;0.001),"★指定冲销超过那张单的应收","OK"))))))))</f>
        <v/>
      </c>
    </row>
    <row r="1675" customFormat="false" ht="15" hidden="false" customHeight="false" outlineLevel="0" collapsed="false">
      <c r="A1675" s="29" t="str">
        <f aca="false">IF($C1675="","",ROW()-4)</f>
        <v/>
      </c>
      <c r="B1675" s="35" t="str">
        <f aca="false">IF($C1675="","","SK"&amp;TEXT($C1675,"yyyymm")&amp;"-"&amp;TEXT(ROW()-4,"0000"))</f>
        <v/>
      </c>
      <c r="C1675" s="33"/>
      <c r="D1675" s="24"/>
      <c r="E1675" s="30" t="str">
        <f aca="false">IF($D1675="","",IFERROR(INDEX(合同单位,MATCH($D1675,合同键,0)),IFERROR(TRIM(LEFT($D1675,FIND("｜",$D1675)-1)),$D1675)))</f>
        <v/>
      </c>
      <c r="F1675" s="30" t="str">
        <f aca="false">IF($D1675="","",IFERROR(INDEX(合同项目,MATCH($D1675,合同键,0)),IFERROR(TRIM(MID($D1675,FIND("｜",$D1675)+1,99)),"")))</f>
        <v/>
      </c>
      <c r="G1675" s="39"/>
      <c r="H1675" s="25"/>
      <c r="I1675" s="35" t="str">
        <f aca="false">IF($H1675="","",IFERROR(INDEX(票据归类表,MATCH($H1675,票据类型表,0)),"现金无票"))</f>
        <v/>
      </c>
      <c r="J1675" s="25"/>
      <c r="K1675" s="25"/>
      <c r="L1675" s="31"/>
      <c r="M1675" s="29" t="str">
        <f aca="false">IF($C1675="","",YEAR($C1675))</f>
        <v/>
      </c>
      <c r="N1675" s="24"/>
      <c r="O1675" s="35" t="str">
        <f aca="false">IF($C1675="","",IF($D1675="","★没选客户项目",IF(COUNTIF(合同键,$D1675)=0,"★《维保合同》里没这个项目",IF(N($G1675)&lt;=0,"★收款金额要填",IF($H1675="","★票据类型要选",IF(AND($L1675&lt;&gt;"",COUNTIF(应收单号,$L1675)=0),"★关联的应收单号不存在",IF(AND($L1675&lt;&gt;"",IFERROR(INDEX(应收键,MATCH($L1675,应收单号,0)),"")&lt;&gt;$D1675),"★关联单号不是这个客户的",IF(AND($L1675&lt;&gt;"",ROUND(SUMIF(收款关联,$L1675,收款金额)-IFERROR(INDEX(应收金额,MATCH($L1675,应收单号,0)),0),2)&gt;0.001),"★指定冲销超过那张单的应收","OK"))))))))</f>
        <v/>
      </c>
    </row>
    <row r="1676" customFormat="false" ht="15" hidden="false" customHeight="false" outlineLevel="0" collapsed="false">
      <c r="A1676" s="29" t="str">
        <f aca="false">IF($C1676="","",ROW()-4)</f>
        <v/>
      </c>
      <c r="B1676" s="35" t="str">
        <f aca="false">IF($C1676="","","SK"&amp;TEXT($C1676,"yyyymm")&amp;"-"&amp;TEXT(ROW()-4,"0000"))</f>
        <v/>
      </c>
      <c r="C1676" s="33"/>
      <c r="D1676" s="24"/>
      <c r="E1676" s="30" t="str">
        <f aca="false">IF($D1676="","",IFERROR(INDEX(合同单位,MATCH($D1676,合同键,0)),IFERROR(TRIM(LEFT($D1676,FIND("｜",$D1676)-1)),$D1676)))</f>
        <v/>
      </c>
      <c r="F1676" s="30" t="str">
        <f aca="false">IF($D1676="","",IFERROR(INDEX(合同项目,MATCH($D1676,合同键,0)),IFERROR(TRIM(MID($D1676,FIND("｜",$D1676)+1,99)),"")))</f>
        <v/>
      </c>
      <c r="G1676" s="39"/>
      <c r="H1676" s="25"/>
      <c r="I1676" s="35" t="str">
        <f aca="false">IF($H1676="","",IFERROR(INDEX(票据归类表,MATCH($H1676,票据类型表,0)),"现金无票"))</f>
        <v/>
      </c>
      <c r="J1676" s="25"/>
      <c r="K1676" s="25"/>
      <c r="L1676" s="31"/>
      <c r="M1676" s="29" t="str">
        <f aca="false">IF($C1676="","",YEAR($C1676))</f>
        <v/>
      </c>
      <c r="N1676" s="24"/>
      <c r="O1676" s="35" t="str">
        <f aca="false">IF($C1676="","",IF($D1676="","★没选客户项目",IF(COUNTIF(合同键,$D1676)=0,"★《维保合同》里没这个项目",IF(N($G1676)&lt;=0,"★收款金额要填",IF($H1676="","★票据类型要选",IF(AND($L1676&lt;&gt;"",COUNTIF(应收单号,$L1676)=0),"★关联的应收单号不存在",IF(AND($L1676&lt;&gt;"",IFERROR(INDEX(应收键,MATCH($L1676,应收单号,0)),"")&lt;&gt;$D1676),"★关联单号不是这个客户的",IF(AND($L1676&lt;&gt;"",ROUND(SUMIF(收款关联,$L1676,收款金额)-IFERROR(INDEX(应收金额,MATCH($L1676,应收单号,0)),0),2)&gt;0.001),"★指定冲销超过那张单的应收","OK"))))))))</f>
        <v/>
      </c>
    </row>
    <row r="1677" customFormat="false" ht="15" hidden="false" customHeight="false" outlineLevel="0" collapsed="false">
      <c r="A1677" s="29" t="str">
        <f aca="false">IF($C1677="","",ROW()-4)</f>
        <v/>
      </c>
      <c r="B1677" s="35" t="str">
        <f aca="false">IF($C1677="","","SK"&amp;TEXT($C1677,"yyyymm")&amp;"-"&amp;TEXT(ROW()-4,"0000"))</f>
        <v/>
      </c>
      <c r="C1677" s="33"/>
      <c r="D1677" s="24"/>
      <c r="E1677" s="30" t="str">
        <f aca="false">IF($D1677="","",IFERROR(INDEX(合同单位,MATCH($D1677,合同键,0)),IFERROR(TRIM(LEFT($D1677,FIND("｜",$D1677)-1)),$D1677)))</f>
        <v/>
      </c>
      <c r="F1677" s="30" t="str">
        <f aca="false">IF($D1677="","",IFERROR(INDEX(合同项目,MATCH($D1677,合同键,0)),IFERROR(TRIM(MID($D1677,FIND("｜",$D1677)+1,99)),"")))</f>
        <v/>
      </c>
      <c r="G1677" s="39"/>
      <c r="H1677" s="25"/>
      <c r="I1677" s="35" t="str">
        <f aca="false">IF($H1677="","",IFERROR(INDEX(票据归类表,MATCH($H1677,票据类型表,0)),"现金无票"))</f>
        <v/>
      </c>
      <c r="J1677" s="25"/>
      <c r="K1677" s="25"/>
      <c r="L1677" s="31"/>
      <c r="M1677" s="29" t="str">
        <f aca="false">IF($C1677="","",YEAR($C1677))</f>
        <v/>
      </c>
      <c r="N1677" s="24"/>
      <c r="O1677" s="35" t="str">
        <f aca="false">IF($C1677="","",IF($D1677="","★没选客户项目",IF(COUNTIF(合同键,$D1677)=0,"★《维保合同》里没这个项目",IF(N($G1677)&lt;=0,"★收款金额要填",IF($H1677="","★票据类型要选",IF(AND($L1677&lt;&gt;"",COUNTIF(应收单号,$L1677)=0),"★关联的应收单号不存在",IF(AND($L1677&lt;&gt;"",IFERROR(INDEX(应收键,MATCH($L1677,应收单号,0)),"")&lt;&gt;$D1677),"★关联单号不是这个客户的",IF(AND($L1677&lt;&gt;"",ROUND(SUMIF(收款关联,$L1677,收款金额)-IFERROR(INDEX(应收金额,MATCH($L1677,应收单号,0)),0),2)&gt;0.001),"★指定冲销超过那张单的应收","OK"))))))))</f>
        <v/>
      </c>
    </row>
    <row r="1678" customFormat="false" ht="15" hidden="false" customHeight="false" outlineLevel="0" collapsed="false">
      <c r="A1678" s="29" t="str">
        <f aca="false">IF($C1678="","",ROW()-4)</f>
        <v/>
      </c>
      <c r="B1678" s="35" t="str">
        <f aca="false">IF($C1678="","","SK"&amp;TEXT($C1678,"yyyymm")&amp;"-"&amp;TEXT(ROW()-4,"0000"))</f>
        <v/>
      </c>
      <c r="C1678" s="33"/>
      <c r="D1678" s="24"/>
      <c r="E1678" s="30" t="str">
        <f aca="false">IF($D1678="","",IFERROR(INDEX(合同单位,MATCH($D1678,合同键,0)),IFERROR(TRIM(LEFT($D1678,FIND("｜",$D1678)-1)),$D1678)))</f>
        <v/>
      </c>
      <c r="F1678" s="30" t="str">
        <f aca="false">IF($D1678="","",IFERROR(INDEX(合同项目,MATCH($D1678,合同键,0)),IFERROR(TRIM(MID($D1678,FIND("｜",$D1678)+1,99)),"")))</f>
        <v/>
      </c>
      <c r="G1678" s="39"/>
      <c r="H1678" s="25"/>
      <c r="I1678" s="35" t="str">
        <f aca="false">IF($H1678="","",IFERROR(INDEX(票据归类表,MATCH($H1678,票据类型表,0)),"现金无票"))</f>
        <v/>
      </c>
      <c r="J1678" s="25"/>
      <c r="K1678" s="25"/>
      <c r="L1678" s="31"/>
      <c r="M1678" s="29" t="str">
        <f aca="false">IF($C1678="","",YEAR($C1678))</f>
        <v/>
      </c>
      <c r="N1678" s="24"/>
      <c r="O1678" s="35" t="str">
        <f aca="false">IF($C1678="","",IF($D1678="","★没选客户项目",IF(COUNTIF(合同键,$D1678)=0,"★《维保合同》里没这个项目",IF(N($G1678)&lt;=0,"★收款金额要填",IF($H1678="","★票据类型要选",IF(AND($L1678&lt;&gt;"",COUNTIF(应收单号,$L1678)=0),"★关联的应收单号不存在",IF(AND($L1678&lt;&gt;"",IFERROR(INDEX(应收键,MATCH($L1678,应收单号,0)),"")&lt;&gt;$D1678),"★关联单号不是这个客户的",IF(AND($L1678&lt;&gt;"",ROUND(SUMIF(收款关联,$L1678,收款金额)-IFERROR(INDEX(应收金额,MATCH($L1678,应收单号,0)),0),2)&gt;0.001),"★指定冲销超过那张单的应收","OK"))))))))</f>
        <v/>
      </c>
    </row>
    <row r="1679" customFormat="false" ht="15" hidden="false" customHeight="false" outlineLevel="0" collapsed="false">
      <c r="A1679" s="29" t="str">
        <f aca="false">IF($C1679="","",ROW()-4)</f>
        <v/>
      </c>
      <c r="B1679" s="35" t="str">
        <f aca="false">IF($C1679="","","SK"&amp;TEXT($C1679,"yyyymm")&amp;"-"&amp;TEXT(ROW()-4,"0000"))</f>
        <v/>
      </c>
      <c r="C1679" s="33"/>
      <c r="D1679" s="24"/>
      <c r="E1679" s="30" t="str">
        <f aca="false">IF($D1679="","",IFERROR(INDEX(合同单位,MATCH($D1679,合同键,0)),IFERROR(TRIM(LEFT($D1679,FIND("｜",$D1679)-1)),$D1679)))</f>
        <v/>
      </c>
      <c r="F1679" s="30" t="str">
        <f aca="false">IF($D1679="","",IFERROR(INDEX(合同项目,MATCH($D1679,合同键,0)),IFERROR(TRIM(MID($D1679,FIND("｜",$D1679)+1,99)),"")))</f>
        <v/>
      </c>
      <c r="G1679" s="39"/>
      <c r="H1679" s="25"/>
      <c r="I1679" s="35" t="str">
        <f aca="false">IF($H1679="","",IFERROR(INDEX(票据归类表,MATCH($H1679,票据类型表,0)),"现金无票"))</f>
        <v/>
      </c>
      <c r="J1679" s="25"/>
      <c r="K1679" s="25"/>
      <c r="L1679" s="31"/>
      <c r="M1679" s="29" t="str">
        <f aca="false">IF($C1679="","",YEAR($C1679))</f>
        <v/>
      </c>
      <c r="N1679" s="24"/>
      <c r="O1679" s="35" t="str">
        <f aca="false">IF($C1679="","",IF($D1679="","★没选客户项目",IF(COUNTIF(合同键,$D1679)=0,"★《维保合同》里没这个项目",IF(N($G1679)&lt;=0,"★收款金额要填",IF($H1679="","★票据类型要选",IF(AND($L1679&lt;&gt;"",COUNTIF(应收单号,$L1679)=0),"★关联的应收单号不存在",IF(AND($L1679&lt;&gt;"",IFERROR(INDEX(应收键,MATCH($L1679,应收单号,0)),"")&lt;&gt;$D1679),"★关联单号不是这个客户的",IF(AND($L1679&lt;&gt;"",ROUND(SUMIF(收款关联,$L1679,收款金额)-IFERROR(INDEX(应收金额,MATCH($L1679,应收单号,0)),0),2)&gt;0.001),"★指定冲销超过那张单的应收","OK"))))))))</f>
        <v/>
      </c>
    </row>
    <row r="1680" customFormat="false" ht="15" hidden="false" customHeight="false" outlineLevel="0" collapsed="false">
      <c r="A1680" s="29" t="str">
        <f aca="false">IF($C1680="","",ROW()-4)</f>
        <v/>
      </c>
      <c r="B1680" s="35" t="str">
        <f aca="false">IF($C1680="","","SK"&amp;TEXT($C1680,"yyyymm")&amp;"-"&amp;TEXT(ROW()-4,"0000"))</f>
        <v/>
      </c>
      <c r="C1680" s="33"/>
      <c r="D1680" s="24"/>
      <c r="E1680" s="30" t="str">
        <f aca="false">IF($D1680="","",IFERROR(INDEX(合同单位,MATCH($D1680,合同键,0)),IFERROR(TRIM(LEFT($D1680,FIND("｜",$D1680)-1)),$D1680)))</f>
        <v/>
      </c>
      <c r="F1680" s="30" t="str">
        <f aca="false">IF($D1680="","",IFERROR(INDEX(合同项目,MATCH($D1680,合同键,0)),IFERROR(TRIM(MID($D1680,FIND("｜",$D1680)+1,99)),"")))</f>
        <v/>
      </c>
      <c r="G1680" s="39"/>
      <c r="H1680" s="25"/>
      <c r="I1680" s="35" t="str">
        <f aca="false">IF($H1680="","",IFERROR(INDEX(票据归类表,MATCH($H1680,票据类型表,0)),"现金无票"))</f>
        <v/>
      </c>
      <c r="J1680" s="25"/>
      <c r="K1680" s="25"/>
      <c r="L1680" s="31"/>
      <c r="M1680" s="29" t="str">
        <f aca="false">IF($C1680="","",YEAR($C1680))</f>
        <v/>
      </c>
      <c r="N1680" s="24"/>
      <c r="O1680" s="35" t="str">
        <f aca="false">IF($C1680="","",IF($D1680="","★没选客户项目",IF(COUNTIF(合同键,$D1680)=0,"★《维保合同》里没这个项目",IF(N($G1680)&lt;=0,"★收款金额要填",IF($H1680="","★票据类型要选",IF(AND($L1680&lt;&gt;"",COUNTIF(应收单号,$L1680)=0),"★关联的应收单号不存在",IF(AND($L1680&lt;&gt;"",IFERROR(INDEX(应收键,MATCH($L1680,应收单号,0)),"")&lt;&gt;$D1680),"★关联单号不是这个客户的",IF(AND($L1680&lt;&gt;"",ROUND(SUMIF(收款关联,$L1680,收款金额)-IFERROR(INDEX(应收金额,MATCH($L1680,应收单号,0)),0),2)&gt;0.001),"★指定冲销超过那张单的应收","OK"))))))))</f>
        <v/>
      </c>
    </row>
    <row r="1681" customFormat="false" ht="15" hidden="false" customHeight="false" outlineLevel="0" collapsed="false">
      <c r="A1681" s="29" t="str">
        <f aca="false">IF($C1681="","",ROW()-4)</f>
        <v/>
      </c>
      <c r="B1681" s="35" t="str">
        <f aca="false">IF($C1681="","","SK"&amp;TEXT($C1681,"yyyymm")&amp;"-"&amp;TEXT(ROW()-4,"0000"))</f>
        <v/>
      </c>
      <c r="C1681" s="33"/>
      <c r="D1681" s="24"/>
      <c r="E1681" s="30" t="str">
        <f aca="false">IF($D1681="","",IFERROR(INDEX(合同单位,MATCH($D1681,合同键,0)),IFERROR(TRIM(LEFT($D1681,FIND("｜",$D1681)-1)),$D1681)))</f>
        <v/>
      </c>
      <c r="F1681" s="30" t="str">
        <f aca="false">IF($D1681="","",IFERROR(INDEX(合同项目,MATCH($D1681,合同键,0)),IFERROR(TRIM(MID($D1681,FIND("｜",$D1681)+1,99)),"")))</f>
        <v/>
      </c>
      <c r="G1681" s="39"/>
      <c r="H1681" s="25"/>
      <c r="I1681" s="35" t="str">
        <f aca="false">IF($H1681="","",IFERROR(INDEX(票据归类表,MATCH($H1681,票据类型表,0)),"现金无票"))</f>
        <v/>
      </c>
      <c r="J1681" s="25"/>
      <c r="K1681" s="25"/>
      <c r="L1681" s="31"/>
      <c r="M1681" s="29" t="str">
        <f aca="false">IF($C1681="","",YEAR($C1681))</f>
        <v/>
      </c>
      <c r="N1681" s="24"/>
      <c r="O1681" s="35" t="str">
        <f aca="false">IF($C1681="","",IF($D1681="","★没选客户项目",IF(COUNTIF(合同键,$D1681)=0,"★《维保合同》里没这个项目",IF(N($G1681)&lt;=0,"★收款金额要填",IF($H1681="","★票据类型要选",IF(AND($L1681&lt;&gt;"",COUNTIF(应收单号,$L1681)=0),"★关联的应收单号不存在",IF(AND($L1681&lt;&gt;"",IFERROR(INDEX(应收键,MATCH($L1681,应收单号,0)),"")&lt;&gt;$D1681),"★关联单号不是这个客户的",IF(AND($L1681&lt;&gt;"",ROUND(SUMIF(收款关联,$L1681,收款金额)-IFERROR(INDEX(应收金额,MATCH($L1681,应收单号,0)),0),2)&gt;0.001),"★指定冲销超过那张单的应收","OK"))))))))</f>
        <v/>
      </c>
    </row>
    <row r="1682" customFormat="false" ht="15" hidden="false" customHeight="false" outlineLevel="0" collapsed="false">
      <c r="A1682" s="29" t="str">
        <f aca="false">IF($C1682="","",ROW()-4)</f>
        <v/>
      </c>
      <c r="B1682" s="35" t="str">
        <f aca="false">IF($C1682="","","SK"&amp;TEXT($C1682,"yyyymm")&amp;"-"&amp;TEXT(ROW()-4,"0000"))</f>
        <v/>
      </c>
      <c r="C1682" s="33"/>
      <c r="D1682" s="24"/>
      <c r="E1682" s="30" t="str">
        <f aca="false">IF($D1682="","",IFERROR(INDEX(合同单位,MATCH($D1682,合同键,0)),IFERROR(TRIM(LEFT($D1682,FIND("｜",$D1682)-1)),$D1682)))</f>
        <v/>
      </c>
      <c r="F1682" s="30" t="str">
        <f aca="false">IF($D1682="","",IFERROR(INDEX(合同项目,MATCH($D1682,合同键,0)),IFERROR(TRIM(MID($D1682,FIND("｜",$D1682)+1,99)),"")))</f>
        <v/>
      </c>
      <c r="G1682" s="39"/>
      <c r="H1682" s="25"/>
      <c r="I1682" s="35" t="str">
        <f aca="false">IF($H1682="","",IFERROR(INDEX(票据归类表,MATCH($H1682,票据类型表,0)),"现金无票"))</f>
        <v/>
      </c>
      <c r="J1682" s="25"/>
      <c r="K1682" s="25"/>
      <c r="L1682" s="31"/>
      <c r="M1682" s="29" t="str">
        <f aca="false">IF($C1682="","",YEAR($C1682))</f>
        <v/>
      </c>
      <c r="N1682" s="24"/>
      <c r="O1682" s="35" t="str">
        <f aca="false">IF($C1682="","",IF($D1682="","★没选客户项目",IF(COUNTIF(合同键,$D1682)=0,"★《维保合同》里没这个项目",IF(N($G1682)&lt;=0,"★收款金额要填",IF($H1682="","★票据类型要选",IF(AND($L1682&lt;&gt;"",COUNTIF(应收单号,$L1682)=0),"★关联的应收单号不存在",IF(AND($L1682&lt;&gt;"",IFERROR(INDEX(应收键,MATCH($L1682,应收单号,0)),"")&lt;&gt;$D1682),"★关联单号不是这个客户的",IF(AND($L1682&lt;&gt;"",ROUND(SUMIF(收款关联,$L1682,收款金额)-IFERROR(INDEX(应收金额,MATCH($L1682,应收单号,0)),0),2)&gt;0.001),"★指定冲销超过那张单的应收","OK"))))))))</f>
        <v/>
      </c>
    </row>
    <row r="1683" customFormat="false" ht="15" hidden="false" customHeight="false" outlineLevel="0" collapsed="false">
      <c r="A1683" s="29" t="str">
        <f aca="false">IF($C1683="","",ROW()-4)</f>
        <v/>
      </c>
      <c r="B1683" s="35" t="str">
        <f aca="false">IF($C1683="","","SK"&amp;TEXT($C1683,"yyyymm")&amp;"-"&amp;TEXT(ROW()-4,"0000"))</f>
        <v/>
      </c>
      <c r="C1683" s="33"/>
      <c r="D1683" s="24"/>
      <c r="E1683" s="30" t="str">
        <f aca="false">IF($D1683="","",IFERROR(INDEX(合同单位,MATCH($D1683,合同键,0)),IFERROR(TRIM(LEFT($D1683,FIND("｜",$D1683)-1)),$D1683)))</f>
        <v/>
      </c>
      <c r="F1683" s="30" t="str">
        <f aca="false">IF($D1683="","",IFERROR(INDEX(合同项目,MATCH($D1683,合同键,0)),IFERROR(TRIM(MID($D1683,FIND("｜",$D1683)+1,99)),"")))</f>
        <v/>
      </c>
      <c r="G1683" s="39"/>
      <c r="H1683" s="25"/>
      <c r="I1683" s="35" t="str">
        <f aca="false">IF($H1683="","",IFERROR(INDEX(票据归类表,MATCH($H1683,票据类型表,0)),"现金无票"))</f>
        <v/>
      </c>
      <c r="J1683" s="25"/>
      <c r="K1683" s="25"/>
      <c r="L1683" s="31"/>
      <c r="M1683" s="29" t="str">
        <f aca="false">IF($C1683="","",YEAR($C1683))</f>
        <v/>
      </c>
      <c r="N1683" s="24"/>
      <c r="O1683" s="35" t="str">
        <f aca="false">IF($C1683="","",IF($D1683="","★没选客户项目",IF(COUNTIF(合同键,$D1683)=0,"★《维保合同》里没这个项目",IF(N($G1683)&lt;=0,"★收款金额要填",IF($H1683="","★票据类型要选",IF(AND($L1683&lt;&gt;"",COUNTIF(应收单号,$L1683)=0),"★关联的应收单号不存在",IF(AND($L1683&lt;&gt;"",IFERROR(INDEX(应收键,MATCH($L1683,应收单号,0)),"")&lt;&gt;$D1683),"★关联单号不是这个客户的",IF(AND($L1683&lt;&gt;"",ROUND(SUMIF(收款关联,$L1683,收款金额)-IFERROR(INDEX(应收金额,MATCH($L1683,应收单号,0)),0),2)&gt;0.001),"★指定冲销超过那张单的应收","OK"))))))))</f>
        <v/>
      </c>
    </row>
    <row r="1684" customFormat="false" ht="15" hidden="false" customHeight="false" outlineLevel="0" collapsed="false">
      <c r="A1684" s="29" t="str">
        <f aca="false">IF($C1684="","",ROW()-4)</f>
        <v/>
      </c>
      <c r="B1684" s="35" t="str">
        <f aca="false">IF($C1684="","","SK"&amp;TEXT($C1684,"yyyymm")&amp;"-"&amp;TEXT(ROW()-4,"0000"))</f>
        <v/>
      </c>
      <c r="C1684" s="33"/>
      <c r="D1684" s="24"/>
      <c r="E1684" s="30" t="str">
        <f aca="false">IF($D1684="","",IFERROR(INDEX(合同单位,MATCH($D1684,合同键,0)),IFERROR(TRIM(LEFT($D1684,FIND("｜",$D1684)-1)),$D1684)))</f>
        <v/>
      </c>
      <c r="F1684" s="30" t="str">
        <f aca="false">IF($D1684="","",IFERROR(INDEX(合同项目,MATCH($D1684,合同键,0)),IFERROR(TRIM(MID($D1684,FIND("｜",$D1684)+1,99)),"")))</f>
        <v/>
      </c>
      <c r="G1684" s="39"/>
      <c r="H1684" s="25"/>
      <c r="I1684" s="35" t="str">
        <f aca="false">IF($H1684="","",IFERROR(INDEX(票据归类表,MATCH($H1684,票据类型表,0)),"现金无票"))</f>
        <v/>
      </c>
      <c r="J1684" s="25"/>
      <c r="K1684" s="25"/>
      <c r="L1684" s="31"/>
      <c r="M1684" s="29" t="str">
        <f aca="false">IF($C1684="","",YEAR($C1684))</f>
        <v/>
      </c>
      <c r="N1684" s="24"/>
      <c r="O1684" s="35" t="str">
        <f aca="false">IF($C1684="","",IF($D1684="","★没选客户项目",IF(COUNTIF(合同键,$D1684)=0,"★《维保合同》里没这个项目",IF(N($G1684)&lt;=0,"★收款金额要填",IF($H1684="","★票据类型要选",IF(AND($L1684&lt;&gt;"",COUNTIF(应收单号,$L1684)=0),"★关联的应收单号不存在",IF(AND($L1684&lt;&gt;"",IFERROR(INDEX(应收键,MATCH($L1684,应收单号,0)),"")&lt;&gt;$D1684),"★关联单号不是这个客户的",IF(AND($L1684&lt;&gt;"",ROUND(SUMIF(收款关联,$L1684,收款金额)-IFERROR(INDEX(应收金额,MATCH($L1684,应收单号,0)),0),2)&gt;0.001),"★指定冲销超过那张单的应收","OK"))))))))</f>
        <v/>
      </c>
    </row>
    <row r="1685" customFormat="false" ht="15" hidden="false" customHeight="false" outlineLevel="0" collapsed="false">
      <c r="A1685" s="29" t="str">
        <f aca="false">IF($C1685="","",ROW()-4)</f>
        <v/>
      </c>
      <c r="B1685" s="35" t="str">
        <f aca="false">IF($C1685="","","SK"&amp;TEXT($C1685,"yyyymm")&amp;"-"&amp;TEXT(ROW()-4,"0000"))</f>
        <v/>
      </c>
      <c r="C1685" s="33"/>
      <c r="D1685" s="24"/>
      <c r="E1685" s="30" t="str">
        <f aca="false">IF($D1685="","",IFERROR(INDEX(合同单位,MATCH($D1685,合同键,0)),IFERROR(TRIM(LEFT($D1685,FIND("｜",$D1685)-1)),$D1685)))</f>
        <v/>
      </c>
      <c r="F1685" s="30" t="str">
        <f aca="false">IF($D1685="","",IFERROR(INDEX(合同项目,MATCH($D1685,合同键,0)),IFERROR(TRIM(MID($D1685,FIND("｜",$D1685)+1,99)),"")))</f>
        <v/>
      </c>
      <c r="G1685" s="39"/>
      <c r="H1685" s="25"/>
      <c r="I1685" s="35" t="str">
        <f aca="false">IF($H1685="","",IFERROR(INDEX(票据归类表,MATCH($H1685,票据类型表,0)),"现金无票"))</f>
        <v/>
      </c>
      <c r="J1685" s="25"/>
      <c r="K1685" s="25"/>
      <c r="L1685" s="31"/>
      <c r="M1685" s="29" t="str">
        <f aca="false">IF($C1685="","",YEAR($C1685))</f>
        <v/>
      </c>
      <c r="N1685" s="24"/>
      <c r="O1685" s="35" t="str">
        <f aca="false">IF($C1685="","",IF($D1685="","★没选客户项目",IF(COUNTIF(合同键,$D1685)=0,"★《维保合同》里没这个项目",IF(N($G1685)&lt;=0,"★收款金额要填",IF($H1685="","★票据类型要选",IF(AND($L1685&lt;&gt;"",COUNTIF(应收单号,$L1685)=0),"★关联的应收单号不存在",IF(AND($L1685&lt;&gt;"",IFERROR(INDEX(应收键,MATCH($L1685,应收单号,0)),"")&lt;&gt;$D1685),"★关联单号不是这个客户的",IF(AND($L1685&lt;&gt;"",ROUND(SUMIF(收款关联,$L1685,收款金额)-IFERROR(INDEX(应收金额,MATCH($L1685,应收单号,0)),0),2)&gt;0.001),"★指定冲销超过那张单的应收","OK"))))))))</f>
        <v/>
      </c>
    </row>
    <row r="1686" customFormat="false" ht="15" hidden="false" customHeight="false" outlineLevel="0" collapsed="false">
      <c r="A1686" s="29" t="str">
        <f aca="false">IF($C1686="","",ROW()-4)</f>
        <v/>
      </c>
      <c r="B1686" s="35" t="str">
        <f aca="false">IF($C1686="","","SK"&amp;TEXT($C1686,"yyyymm")&amp;"-"&amp;TEXT(ROW()-4,"0000"))</f>
        <v/>
      </c>
      <c r="C1686" s="33"/>
      <c r="D1686" s="24"/>
      <c r="E1686" s="30" t="str">
        <f aca="false">IF($D1686="","",IFERROR(INDEX(合同单位,MATCH($D1686,合同键,0)),IFERROR(TRIM(LEFT($D1686,FIND("｜",$D1686)-1)),$D1686)))</f>
        <v/>
      </c>
      <c r="F1686" s="30" t="str">
        <f aca="false">IF($D1686="","",IFERROR(INDEX(合同项目,MATCH($D1686,合同键,0)),IFERROR(TRIM(MID($D1686,FIND("｜",$D1686)+1,99)),"")))</f>
        <v/>
      </c>
      <c r="G1686" s="39"/>
      <c r="H1686" s="25"/>
      <c r="I1686" s="35" t="str">
        <f aca="false">IF($H1686="","",IFERROR(INDEX(票据归类表,MATCH($H1686,票据类型表,0)),"现金无票"))</f>
        <v/>
      </c>
      <c r="J1686" s="25"/>
      <c r="K1686" s="25"/>
      <c r="L1686" s="31"/>
      <c r="M1686" s="29" t="str">
        <f aca="false">IF($C1686="","",YEAR($C1686))</f>
        <v/>
      </c>
      <c r="N1686" s="24"/>
      <c r="O1686" s="35" t="str">
        <f aca="false">IF($C1686="","",IF($D1686="","★没选客户项目",IF(COUNTIF(合同键,$D1686)=0,"★《维保合同》里没这个项目",IF(N($G1686)&lt;=0,"★收款金额要填",IF($H1686="","★票据类型要选",IF(AND($L1686&lt;&gt;"",COUNTIF(应收单号,$L1686)=0),"★关联的应收单号不存在",IF(AND($L1686&lt;&gt;"",IFERROR(INDEX(应收键,MATCH($L1686,应收单号,0)),"")&lt;&gt;$D1686),"★关联单号不是这个客户的",IF(AND($L1686&lt;&gt;"",ROUND(SUMIF(收款关联,$L1686,收款金额)-IFERROR(INDEX(应收金额,MATCH($L1686,应收单号,0)),0),2)&gt;0.001),"★指定冲销超过那张单的应收","OK"))))))))</f>
        <v/>
      </c>
    </row>
    <row r="1687" customFormat="false" ht="15" hidden="false" customHeight="false" outlineLevel="0" collapsed="false">
      <c r="A1687" s="29" t="str">
        <f aca="false">IF($C1687="","",ROW()-4)</f>
        <v/>
      </c>
      <c r="B1687" s="35" t="str">
        <f aca="false">IF($C1687="","","SK"&amp;TEXT($C1687,"yyyymm")&amp;"-"&amp;TEXT(ROW()-4,"0000"))</f>
        <v/>
      </c>
      <c r="C1687" s="33"/>
      <c r="D1687" s="24"/>
      <c r="E1687" s="30" t="str">
        <f aca="false">IF($D1687="","",IFERROR(INDEX(合同单位,MATCH($D1687,合同键,0)),IFERROR(TRIM(LEFT($D1687,FIND("｜",$D1687)-1)),$D1687)))</f>
        <v/>
      </c>
      <c r="F1687" s="30" t="str">
        <f aca="false">IF($D1687="","",IFERROR(INDEX(合同项目,MATCH($D1687,合同键,0)),IFERROR(TRIM(MID($D1687,FIND("｜",$D1687)+1,99)),"")))</f>
        <v/>
      </c>
      <c r="G1687" s="39"/>
      <c r="H1687" s="25"/>
      <c r="I1687" s="35" t="str">
        <f aca="false">IF($H1687="","",IFERROR(INDEX(票据归类表,MATCH($H1687,票据类型表,0)),"现金无票"))</f>
        <v/>
      </c>
      <c r="J1687" s="25"/>
      <c r="K1687" s="25"/>
      <c r="L1687" s="31"/>
      <c r="M1687" s="29" t="str">
        <f aca="false">IF($C1687="","",YEAR($C1687))</f>
        <v/>
      </c>
      <c r="N1687" s="24"/>
      <c r="O1687" s="35" t="str">
        <f aca="false">IF($C1687="","",IF($D1687="","★没选客户项目",IF(COUNTIF(合同键,$D1687)=0,"★《维保合同》里没这个项目",IF(N($G1687)&lt;=0,"★收款金额要填",IF($H1687="","★票据类型要选",IF(AND($L1687&lt;&gt;"",COUNTIF(应收单号,$L1687)=0),"★关联的应收单号不存在",IF(AND($L1687&lt;&gt;"",IFERROR(INDEX(应收键,MATCH($L1687,应收单号,0)),"")&lt;&gt;$D1687),"★关联单号不是这个客户的",IF(AND($L1687&lt;&gt;"",ROUND(SUMIF(收款关联,$L1687,收款金额)-IFERROR(INDEX(应收金额,MATCH($L1687,应收单号,0)),0),2)&gt;0.001),"★指定冲销超过那张单的应收","OK"))))))))</f>
        <v/>
      </c>
    </row>
    <row r="1688" customFormat="false" ht="15" hidden="false" customHeight="false" outlineLevel="0" collapsed="false">
      <c r="A1688" s="29" t="str">
        <f aca="false">IF($C1688="","",ROW()-4)</f>
        <v/>
      </c>
      <c r="B1688" s="35" t="str">
        <f aca="false">IF($C1688="","","SK"&amp;TEXT($C1688,"yyyymm")&amp;"-"&amp;TEXT(ROW()-4,"0000"))</f>
        <v/>
      </c>
      <c r="C1688" s="33"/>
      <c r="D1688" s="24"/>
      <c r="E1688" s="30" t="str">
        <f aca="false">IF($D1688="","",IFERROR(INDEX(合同单位,MATCH($D1688,合同键,0)),IFERROR(TRIM(LEFT($D1688,FIND("｜",$D1688)-1)),$D1688)))</f>
        <v/>
      </c>
      <c r="F1688" s="30" t="str">
        <f aca="false">IF($D1688="","",IFERROR(INDEX(合同项目,MATCH($D1688,合同键,0)),IFERROR(TRIM(MID($D1688,FIND("｜",$D1688)+1,99)),"")))</f>
        <v/>
      </c>
      <c r="G1688" s="39"/>
      <c r="H1688" s="25"/>
      <c r="I1688" s="35" t="str">
        <f aca="false">IF($H1688="","",IFERROR(INDEX(票据归类表,MATCH($H1688,票据类型表,0)),"现金无票"))</f>
        <v/>
      </c>
      <c r="J1688" s="25"/>
      <c r="K1688" s="25"/>
      <c r="L1688" s="31"/>
      <c r="M1688" s="29" t="str">
        <f aca="false">IF($C1688="","",YEAR($C1688))</f>
        <v/>
      </c>
      <c r="N1688" s="24"/>
      <c r="O1688" s="35" t="str">
        <f aca="false">IF($C1688="","",IF($D1688="","★没选客户项目",IF(COUNTIF(合同键,$D1688)=0,"★《维保合同》里没这个项目",IF(N($G1688)&lt;=0,"★收款金额要填",IF($H1688="","★票据类型要选",IF(AND($L1688&lt;&gt;"",COUNTIF(应收单号,$L1688)=0),"★关联的应收单号不存在",IF(AND($L1688&lt;&gt;"",IFERROR(INDEX(应收键,MATCH($L1688,应收单号,0)),"")&lt;&gt;$D1688),"★关联单号不是这个客户的",IF(AND($L1688&lt;&gt;"",ROUND(SUMIF(收款关联,$L1688,收款金额)-IFERROR(INDEX(应收金额,MATCH($L1688,应收单号,0)),0),2)&gt;0.001),"★指定冲销超过那张单的应收","OK"))))))))</f>
        <v/>
      </c>
    </row>
    <row r="1689" customFormat="false" ht="15" hidden="false" customHeight="false" outlineLevel="0" collapsed="false">
      <c r="A1689" s="29" t="str">
        <f aca="false">IF($C1689="","",ROW()-4)</f>
        <v/>
      </c>
      <c r="B1689" s="35" t="str">
        <f aca="false">IF($C1689="","","SK"&amp;TEXT($C1689,"yyyymm")&amp;"-"&amp;TEXT(ROW()-4,"0000"))</f>
        <v/>
      </c>
      <c r="C1689" s="33"/>
      <c r="D1689" s="24"/>
      <c r="E1689" s="30" t="str">
        <f aca="false">IF($D1689="","",IFERROR(INDEX(合同单位,MATCH($D1689,合同键,0)),IFERROR(TRIM(LEFT($D1689,FIND("｜",$D1689)-1)),$D1689)))</f>
        <v/>
      </c>
      <c r="F1689" s="30" t="str">
        <f aca="false">IF($D1689="","",IFERROR(INDEX(合同项目,MATCH($D1689,合同键,0)),IFERROR(TRIM(MID($D1689,FIND("｜",$D1689)+1,99)),"")))</f>
        <v/>
      </c>
      <c r="G1689" s="39"/>
      <c r="H1689" s="25"/>
      <c r="I1689" s="35" t="str">
        <f aca="false">IF($H1689="","",IFERROR(INDEX(票据归类表,MATCH($H1689,票据类型表,0)),"现金无票"))</f>
        <v/>
      </c>
      <c r="J1689" s="25"/>
      <c r="K1689" s="25"/>
      <c r="L1689" s="31"/>
      <c r="M1689" s="29" t="str">
        <f aca="false">IF($C1689="","",YEAR($C1689))</f>
        <v/>
      </c>
      <c r="N1689" s="24"/>
      <c r="O1689" s="35" t="str">
        <f aca="false">IF($C1689="","",IF($D1689="","★没选客户项目",IF(COUNTIF(合同键,$D1689)=0,"★《维保合同》里没这个项目",IF(N($G1689)&lt;=0,"★收款金额要填",IF($H1689="","★票据类型要选",IF(AND($L1689&lt;&gt;"",COUNTIF(应收单号,$L1689)=0),"★关联的应收单号不存在",IF(AND($L1689&lt;&gt;"",IFERROR(INDEX(应收键,MATCH($L1689,应收单号,0)),"")&lt;&gt;$D1689),"★关联单号不是这个客户的",IF(AND($L1689&lt;&gt;"",ROUND(SUMIF(收款关联,$L1689,收款金额)-IFERROR(INDEX(应收金额,MATCH($L1689,应收单号,0)),0),2)&gt;0.001),"★指定冲销超过那张单的应收","OK"))))))))</f>
        <v/>
      </c>
    </row>
    <row r="1690" customFormat="false" ht="15" hidden="false" customHeight="false" outlineLevel="0" collapsed="false">
      <c r="A1690" s="29" t="str">
        <f aca="false">IF($C1690="","",ROW()-4)</f>
        <v/>
      </c>
      <c r="B1690" s="35" t="str">
        <f aca="false">IF($C1690="","","SK"&amp;TEXT($C1690,"yyyymm")&amp;"-"&amp;TEXT(ROW()-4,"0000"))</f>
        <v/>
      </c>
      <c r="C1690" s="33"/>
      <c r="D1690" s="24"/>
      <c r="E1690" s="30" t="str">
        <f aca="false">IF($D1690="","",IFERROR(INDEX(合同单位,MATCH($D1690,合同键,0)),IFERROR(TRIM(LEFT($D1690,FIND("｜",$D1690)-1)),$D1690)))</f>
        <v/>
      </c>
      <c r="F1690" s="30" t="str">
        <f aca="false">IF($D1690="","",IFERROR(INDEX(合同项目,MATCH($D1690,合同键,0)),IFERROR(TRIM(MID($D1690,FIND("｜",$D1690)+1,99)),"")))</f>
        <v/>
      </c>
      <c r="G1690" s="39"/>
      <c r="H1690" s="25"/>
      <c r="I1690" s="35" t="str">
        <f aca="false">IF($H1690="","",IFERROR(INDEX(票据归类表,MATCH($H1690,票据类型表,0)),"现金无票"))</f>
        <v/>
      </c>
      <c r="J1690" s="25"/>
      <c r="K1690" s="25"/>
      <c r="L1690" s="31"/>
      <c r="M1690" s="29" t="str">
        <f aca="false">IF($C1690="","",YEAR($C1690))</f>
        <v/>
      </c>
      <c r="N1690" s="24"/>
      <c r="O1690" s="35" t="str">
        <f aca="false">IF($C1690="","",IF($D1690="","★没选客户项目",IF(COUNTIF(合同键,$D1690)=0,"★《维保合同》里没这个项目",IF(N($G1690)&lt;=0,"★收款金额要填",IF($H1690="","★票据类型要选",IF(AND($L1690&lt;&gt;"",COUNTIF(应收单号,$L1690)=0),"★关联的应收单号不存在",IF(AND($L1690&lt;&gt;"",IFERROR(INDEX(应收键,MATCH($L1690,应收单号,0)),"")&lt;&gt;$D1690),"★关联单号不是这个客户的",IF(AND($L1690&lt;&gt;"",ROUND(SUMIF(收款关联,$L1690,收款金额)-IFERROR(INDEX(应收金额,MATCH($L1690,应收单号,0)),0),2)&gt;0.001),"★指定冲销超过那张单的应收","OK"))))))))</f>
        <v/>
      </c>
    </row>
    <row r="1691" customFormat="false" ht="15" hidden="false" customHeight="false" outlineLevel="0" collapsed="false">
      <c r="A1691" s="29" t="str">
        <f aca="false">IF($C1691="","",ROW()-4)</f>
        <v/>
      </c>
      <c r="B1691" s="35" t="str">
        <f aca="false">IF($C1691="","","SK"&amp;TEXT($C1691,"yyyymm")&amp;"-"&amp;TEXT(ROW()-4,"0000"))</f>
        <v/>
      </c>
      <c r="C1691" s="33"/>
      <c r="D1691" s="24"/>
      <c r="E1691" s="30" t="str">
        <f aca="false">IF($D1691="","",IFERROR(INDEX(合同单位,MATCH($D1691,合同键,0)),IFERROR(TRIM(LEFT($D1691,FIND("｜",$D1691)-1)),$D1691)))</f>
        <v/>
      </c>
      <c r="F1691" s="30" t="str">
        <f aca="false">IF($D1691="","",IFERROR(INDEX(合同项目,MATCH($D1691,合同键,0)),IFERROR(TRIM(MID($D1691,FIND("｜",$D1691)+1,99)),"")))</f>
        <v/>
      </c>
      <c r="G1691" s="39"/>
      <c r="H1691" s="25"/>
      <c r="I1691" s="35" t="str">
        <f aca="false">IF($H1691="","",IFERROR(INDEX(票据归类表,MATCH($H1691,票据类型表,0)),"现金无票"))</f>
        <v/>
      </c>
      <c r="J1691" s="25"/>
      <c r="K1691" s="25"/>
      <c r="L1691" s="31"/>
      <c r="M1691" s="29" t="str">
        <f aca="false">IF($C1691="","",YEAR($C1691))</f>
        <v/>
      </c>
      <c r="N1691" s="24"/>
      <c r="O1691" s="35" t="str">
        <f aca="false">IF($C1691="","",IF($D1691="","★没选客户项目",IF(COUNTIF(合同键,$D1691)=0,"★《维保合同》里没这个项目",IF(N($G1691)&lt;=0,"★收款金额要填",IF($H1691="","★票据类型要选",IF(AND($L1691&lt;&gt;"",COUNTIF(应收单号,$L1691)=0),"★关联的应收单号不存在",IF(AND($L1691&lt;&gt;"",IFERROR(INDEX(应收键,MATCH($L1691,应收单号,0)),"")&lt;&gt;$D1691),"★关联单号不是这个客户的",IF(AND($L1691&lt;&gt;"",ROUND(SUMIF(收款关联,$L1691,收款金额)-IFERROR(INDEX(应收金额,MATCH($L1691,应收单号,0)),0),2)&gt;0.001),"★指定冲销超过那张单的应收","OK"))))))))</f>
        <v/>
      </c>
    </row>
    <row r="1692" customFormat="false" ht="15" hidden="false" customHeight="false" outlineLevel="0" collapsed="false">
      <c r="A1692" s="29" t="str">
        <f aca="false">IF($C1692="","",ROW()-4)</f>
        <v/>
      </c>
      <c r="B1692" s="35" t="str">
        <f aca="false">IF($C1692="","","SK"&amp;TEXT($C1692,"yyyymm")&amp;"-"&amp;TEXT(ROW()-4,"0000"))</f>
        <v/>
      </c>
      <c r="C1692" s="33"/>
      <c r="D1692" s="24"/>
      <c r="E1692" s="30" t="str">
        <f aca="false">IF($D1692="","",IFERROR(INDEX(合同单位,MATCH($D1692,合同键,0)),IFERROR(TRIM(LEFT($D1692,FIND("｜",$D1692)-1)),$D1692)))</f>
        <v/>
      </c>
      <c r="F1692" s="30" t="str">
        <f aca="false">IF($D1692="","",IFERROR(INDEX(合同项目,MATCH($D1692,合同键,0)),IFERROR(TRIM(MID($D1692,FIND("｜",$D1692)+1,99)),"")))</f>
        <v/>
      </c>
      <c r="G1692" s="39"/>
      <c r="H1692" s="25"/>
      <c r="I1692" s="35" t="str">
        <f aca="false">IF($H1692="","",IFERROR(INDEX(票据归类表,MATCH($H1692,票据类型表,0)),"现金无票"))</f>
        <v/>
      </c>
      <c r="J1692" s="25"/>
      <c r="K1692" s="25"/>
      <c r="L1692" s="31"/>
      <c r="M1692" s="29" t="str">
        <f aca="false">IF($C1692="","",YEAR($C1692))</f>
        <v/>
      </c>
      <c r="N1692" s="24"/>
      <c r="O1692" s="35" t="str">
        <f aca="false">IF($C1692="","",IF($D1692="","★没选客户项目",IF(COUNTIF(合同键,$D1692)=0,"★《维保合同》里没这个项目",IF(N($G1692)&lt;=0,"★收款金额要填",IF($H1692="","★票据类型要选",IF(AND($L1692&lt;&gt;"",COUNTIF(应收单号,$L1692)=0),"★关联的应收单号不存在",IF(AND($L1692&lt;&gt;"",IFERROR(INDEX(应收键,MATCH($L1692,应收单号,0)),"")&lt;&gt;$D1692),"★关联单号不是这个客户的",IF(AND($L1692&lt;&gt;"",ROUND(SUMIF(收款关联,$L1692,收款金额)-IFERROR(INDEX(应收金额,MATCH($L1692,应收单号,0)),0),2)&gt;0.001),"★指定冲销超过那张单的应收","OK"))))))))</f>
        <v/>
      </c>
    </row>
    <row r="1693" customFormat="false" ht="15" hidden="false" customHeight="false" outlineLevel="0" collapsed="false">
      <c r="A1693" s="29" t="str">
        <f aca="false">IF($C1693="","",ROW()-4)</f>
        <v/>
      </c>
      <c r="B1693" s="35" t="str">
        <f aca="false">IF($C1693="","","SK"&amp;TEXT($C1693,"yyyymm")&amp;"-"&amp;TEXT(ROW()-4,"0000"))</f>
        <v/>
      </c>
      <c r="C1693" s="33"/>
      <c r="D1693" s="24"/>
      <c r="E1693" s="30" t="str">
        <f aca="false">IF($D1693="","",IFERROR(INDEX(合同单位,MATCH($D1693,合同键,0)),IFERROR(TRIM(LEFT($D1693,FIND("｜",$D1693)-1)),$D1693)))</f>
        <v/>
      </c>
      <c r="F1693" s="30" t="str">
        <f aca="false">IF($D1693="","",IFERROR(INDEX(合同项目,MATCH($D1693,合同键,0)),IFERROR(TRIM(MID($D1693,FIND("｜",$D1693)+1,99)),"")))</f>
        <v/>
      </c>
      <c r="G1693" s="39"/>
      <c r="H1693" s="25"/>
      <c r="I1693" s="35" t="str">
        <f aca="false">IF($H1693="","",IFERROR(INDEX(票据归类表,MATCH($H1693,票据类型表,0)),"现金无票"))</f>
        <v/>
      </c>
      <c r="J1693" s="25"/>
      <c r="K1693" s="25"/>
      <c r="L1693" s="31"/>
      <c r="M1693" s="29" t="str">
        <f aca="false">IF($C1693="","",YEAR($C1693))</f>
        <v/>
      </c>
      <c r="N1693" s="24"/>
      <c r="O1693" s="35" t="str">
        <f aca="false">IF($C1693="","",IF($D1693="","★没选客户项目",IF(COUNTIF(合同键,$D1693)=0,"★《维保合同》里没这个项目",IF(N($G1693)&lt;=0,"★收款金额要填",IF($H1693="","★票据类型要选",IF(AND($L1693&lt;&gt;"",COUNTIF(应收单号,$L1693)=0),"★关联的应收单号不存在",IF(AND($L1693&lt;&gt;"",IFERROR(INDEX(应收键,MATCH($L1693,应收单号,0)),"")&lt;&gt;$D1693),"★关联单号不是这个客户的",IF(AND($L1693&lt;&gt;"",ROUND(SUMIF(收款关联,$L1693,收款金额)-IFERROR(INDEX(应收金额,MATCH($L1693,应收单号,0)),0),2)&gt;0.001),"★指定冲销超过那张单的应收","OK"))))))))</f>
        <v/>
      </c>
    </row>
    <row r="1694" customFormat="false" ht="15" hidden="false" customHeight="false" outlineLevel="0" collapsed="false">
      <c r="A1694" s="29" t="str">
        <f aca="false">IF($C1694="","",ROW()-4)</f>
        <v/>
      </c>
      <c r="B1694" s="35" t="str">
        <f aca="false">IF($C1694="","","SK"&amp;TEXT($C1694,"yyyymm")&amp;"-"&amp;TEXT(ROW()-4,"0000"))</f>
        <v/>
      </c>
      <c r="C1694" s="33"/>
      <c r="D1694" s="24"/>
      <c r="E1694" s="30" t="str">
        <f aca="false">IF($D1694="","",IFERROR(INDEX(合同单位,MATCH($D1694,合同键,0)),IFERROR(TRIM(LEFT($D1694,FIND("｜",$D1694)-1)),$D1694)))</f>
        <v/>
      </c>
      <c r="F1694" s="30" t="str">
        <f aca="false">IF($D1694="","",IFERROR(INDEX(合同项目,MATCH($D1694,合同键,0)),IFERROR(TRIM(MID($D1694,FIND("｜",$D1694)+1,99)),"")))</f>
        <v/>
      </c>
      <c r="G1694" s="39"/>
      <c r="H1694" s="25"/>
      <c r="I1694" s="35" t="str">
        <f aca="false">IF($H1694="","",IFERROR(INDEX(票据归类表,MATCH($H1694,票据类型表,0)),"现金无票"))</f>
        <v/>
      </c>
      <c r="J1694" s="25"/>
      <c r="K1694" s="25"/>
      <c r="L1694" s="31"/>
      <c r="M1694" s="29" t="str">
        <f aca="false">IF($C1694="","",YEAR($C1694))</f>
        <v/>
      </c>
      <c r="N1694" s="24"/>
      <c r="O1694" s="35" t="str">
        <f aca="false">IF($C1694="","",IF($D1694="","★没选客户项目",IF(COUNTIF(合同键,$D1694)=0,"★《维保合同》里没这个项目",IF(N($G1694)&lt;=0,"★收款金额要填",IF($H1694="","★票据类型要选",IF(AND($L1694&lt;&gt;"",COUNTIF(应收单号,$L1694)=0),"★关联的应收单号不存在",IF(AND($L1694&lt;&gt;"",IFERROR(INDEX(应收键,MATCH($L1694,应收单号,0)),"")&lt;&gt;$D1694),"★关联单号不是这个客户的",IF(AND($L1694&lt;&gt;"",ROUND(SUMIF(收款关联,$L1694,收款金额)-IFERROR(INDEX(应收金额,MATCH($L1694,应收单号,0)),0),2)&gt;0.001),"★指定冲销超过那张单的应收","OK"))))))))</f>
        <v/>
      </c>
    </row>
    <row r="1695" customFormat="false" ht="15" hidden="false" customHeight="false" outlineLevel="0" collapsed="false">
      <c r="A1695" s="29" t="str">
        <f aca="false">IF($C1695="","",ROW()-4)</f>
        <v/>
      </c>
      <c r="B1695" s="35" t="str">
        <f aca="false">IF($C1695="","","SK"&amp;TEXT($C1695,"yyyymm")&amp;"-"&amp;TEXT(ROW()-4,"0000"))</f>
        <v/>
      </c>
      <c r="C1695" s="33"/>
      <c r="D1695" s="24"/>
      <c r="E1695" s="30" t="str">
        <f aca="false">IF($D1695="","",IFERROR(INDEX(合同单位,MATCH($D1695,合同键,0)),IFERROR(TRIM(LEFT($D1695,FIND("｜",$D1695)-1)),$D1695)))</f>
        <v/>
      </c>
      <c r="F1695" s="30" t="str">
        <f aca="false">IF($D1695="","",IFERROR(INDEX(合同项目,MATCH($D1695,合同键,0)),IFERROR(TRIM(MID($D1695,FIND("｜",$D1695)+1,99)),"")))</f>
        <v/>
      </c>
      <c r="G1695" s="39"/>
      <c r="H1695" s="25"/>
      <c r="I1695" s="35" t="str">
        <f aca="false">IF($H1695="","",IFERROR(INDEX(票据归类表,MATCH($H1695,票据类型表,0)),"现金无票"))</f>
        <v/>
      </c>
      <c r="J1695" s="25"/>
      <c r="K1695" s="25"/>
      <c r="L1695" s="31"/>
      <c r="M1695" s="29" t="str">
        <f aca="false">IF($C1695="","",YEAR($C1695))</f>
        <v/>
      </c>
      <c r="N1695" s="24"/>
      <c r="O1695" s="35" t="str">
        <f aca="false">IF($C1695="","",IF($D1695="","★没选客户项目",IF(COUNTIF(合同键,$D1695)=0,"★《维保合同》里没这个项目",IF(N($G1695)&lt;=0,"★收款金额要填",IF($H1695="","★票据类型要选",IF(AND($L1695&lt;&gt;"",COUNTIF(应收单号,$L1695)=0),"★关联的应收单号不存在",IF(AND($L1695&lt;&gt;"",IFERROR(INDEX(应收键,MATCH($L1695,应收单号,0)),"")&lt;&gt;$D1695),"★关联单号不是这个客户的",IF(AND($L1695&lt;&gt;"",ROUND(SUMIF(收款关联,$L1695,收款金额)-IFERROR(INDEX(应收金额,MATCH($L1695,应收单号,0)),0),2)&gt;0.001),"★指定冲销超过那张单的应收","OK"))))))))</f>
        <v/>
      </c>
    </row>
    <row r="1696" customFormat="false" ht="15" hidden="false" customHeight="false" outlineLevel="0" collapsed="false">
      <c r="A1696" s="29" t="str">
        <f aca="false">IF($C1696="","",ROW()-4)</f>
        <v/>
      </c>
      <c r="B1696" s="35" t="str">
        <f aca="false">IF($C1696="","","SK"&amp;TEXT($C1696,"yyyymm")&amp;"-"&amp;TEXT(ROW()-4,"0000"))</f>
        <v/>
      </c>
      <c r="C1696" s="33"/>
      <c r="D1696" s="24"/>
      <c r="E1696" s="30" t="str">
        <f aca="false">IF($D1696="","",IFERROR(INDEX(合同单位,MATCH($D1696,合同键,0)),IFERROR(TRIM(LEFT($D1696,FIND("｜",$D1696)-1)),$D1696)))</f>
        <v/>
      </c>
      <c r="F1696" s="30" t="str">
        <f aca="false">IF($D1696="","",IFERROR(INDEX(合同项目,MATCH($D1696,合同键,0)),IFERROR(TRIM(MID($D1696,FIND("｜",$D1696)+1,99)),"")))</f>
        <v/>
      </c>
      <c r="G1696" s="39"/>
      <c r="H1696" s="25"/>
      <c r="I1696" s="35" t="str">
        <f aca="false">IF($H1696="","",IFERROR(INDEX(票据归类表,MATCH($H1696,票据类型表,0)),"现金无票"))</f>
        <v/>
      </c>
      <c r="J1696" s="25"/>
      <c r="K1696" s="25"/>
      <c r="L1696" s="31"/>
      <c r="M1696" s="29" t="str">
        <f aca="false">IF($C1696="","",YEAR($C1696))</f>
        <v/>
      </c>
      <c r="N1696" s="24"/>
      <c r="O1696" s="35" t="str">
        <f aca="false">IF($C1696="","",IF($D1696="","★没选客户项目",IF(COUNTIF(合同键,$D1696)=0,"★《维保合同》里没这个项目",IF(N($G1696)&lt;=0,"★收款金额要填",IF($H1696="","★票据类型要选",IF(AND($L1696&lt;&gt;"",COUNTIF(应收单号,$L1696)=0),"★关联的应收单号不存在",IF(AND($L1696&lt;&gt;"",IFERROR(INDEX(应收键,MATCH($L1696,应收单号,0)),"")&lt;&gt;$D1696),"★关联单号不是这个客户的",IF(AND($L1696&lt;&gt;"",ROUND(SUMIF(收款关联,$L1696,收款金额)-IFERROR(INDEX(应收金额,MATCH($L1696,应收单号,0)),0),2)&gt;0.001),"★指定冲销超过那张单的应收","OK"))))))))</f>
        <v/>
      </c>
    </row>
    <row r="1697" customFormat="false" ht="15" hidden="false" customHeight="false" outlineLevel="0" collapsed="false">
      <c r="A1697" s="29" t="str">
        <f aca="false">IF($C1697="","",ROW()-4)</f>
        <v/>
      </c>
      <c r="B1697" s="35" t="str">
        <f aca="false">IF($C1697="","","SK"&amp;TEXT($C1697,"yyyymm")&amp;"-"&amp;TEXT(ROW()-4,"0000"))</f>
        <v/>
      </c>
      <c r="C1697" s="33"/>
      <c r="D1697" s="24"/>
      <c r="E1697" s="30" t="str">
        <f aca="false">IF($D1697="","",IFERROR(INDEX(合同单位,MATCH($D1697,合同键,0)),IFERROR(TRIM(LEFT($D1697,FIND("｜",$D1697)-1)),$D1697)))</f>
        <v/>
      </c>
      <c r="F1697" s="30" t="str">
        <f aca="false">IF($D1697="","",IFERROR(INDEX(合同项目,MATCH($D1697,合同键,0)),IFERROR(TRIM(MID($D1697,FIND("｜",$D1697)+1,99)),"")))</f>
        <v/>
      </c>
      <c r="G1697" s="39"/>
      <c r="H1697" s="25"/>
      <c r="I1697" s="35" t="str">
        <f aca="false">IF($H1697="","",IFERROR(INDEX(票据归类表,MATCH($H1697,票据类型表,0)),"现金无票"))</f>
        <v/>
      </c>
      <c r="J1697" s="25"/>
      <c r="K1697" s="25"/>
      <c r="L1697" s="31"/>
      <c r="M1697" s="29" t="str">
        <f aca="false">IF($C1697="","",YEAR($C1697))</f>
        <v/>
      </c>
      <c r="N1697" s="24"/>
      <c r="O1697" s="35" t="str">
        <f aca="false">IF($C1697="","",IF($D1697="","★没选客户项目",IF(COUNTIF(合同键,$D1697)=0,"★《维保合同》里没这个项目",IF(N($G1697)&lt;=0,"★收款金额要填",IF($H1697="","★票据类型要选",IF(AND($L1697&lt;&gt;"",COUNTIF(应收单号,$L1697)=0),"★关联的应收单号不存在",IF(AND($L1697&lt;&gt;"",IFERROR(INDEX(应收键,MATCH($L1697,应收单号,0)),"")&lt;&gt;$D1697),"★关联单号不是这个客户的",IF(AND($L1697&lt;&gt;"",ROUND(SUMIF(收款关联,$L1697,收款金额)-IFERROR(INDEX(应收金额,MATCH($L1697,应收单号,0)),0),2)&gt;0.001),"★指定冲销超过那张单的应收","OK"))))))))</f>
        <v/>
      </c>
    </row>
    <row r="1698" customFormat="false" ht="15" hidden="false" customHeight="false" outlineLevel="0" collapsed="false">
      <c r="A1698" s="29" t="str">
        <f aca="false">IF($C1698="","",ROW()-4)</f>
        <v/>
      </c>
      <c r="B1698" s="35" t="str">
        <f aca="false">IF($C1698="","","SK"&amp;TEXT($C1698,"yyyymm")&amp;"-"&amp;TEXT(ROW()-4,"0000"))</f>
        <v/>
      </c>
      <c r="C1698" s="33"/>
      <c r="D1698" s="24"/>
      <c r="E1698" s="30" t="str">
        <f aca="false">IF($D1698="","",IFERROR(INDEX(合同单位,MATCH($D1698,合同键,0)),IFERROR(TRIM(LEFT($D1698,FIND("｜",$D1698)-1)),$D1698)))</f>
        <v/>
      </c>
      <c r="F1698" s="30" t="str">
        <f aca="false">IF($D1698="","",IFERROR(INDEX(合同项目,MATCH($D1698,合同键,0)),IFERROR(TRIM(MID($D1698,FIND("｜",$D1698)+1,99)),"")))</f>
        <v/>
      </c>
      <c r="G1698" s="39"/>
      <c r="H1698" s="25"/>
      <c r="I1698" s="35" t="str">
        <f aca="false">IF($H1698="","",IFERROR(INDEX(票据归类表,MATCH($H1698,票据类型表,0)),"现金无票"))</f>
        <v/>
      </c>
      <c r="J1698" s="25"/>
      <c r="K1698" s="25"/>
      <c r="L1698" s="31"/>
      <c r="M1698" s="29" t="str">
        <f aca="false">IF($C1698="","",YEAR($C1698))</f>
        <v/>
      </c>
      <c r="N1698" s="24"/>
      <c r="O1698" s="35" t="str">
        <f aca="false">IF($C1698="","",IF($D1698="","★没选客户项目",IF(COUNTIF(合同键,$D1698)=0,"★《维保合同》里没这个项目",IF(N($G1698)&lt;=0,"★收款金额要填",IF($H1698="","★票据类型要选",IF(AND($L1698&lt;&gt;"",COUNTIF(应收单号,$L1698)=0),"★关联的应收单号不存在",IF(AND($L1698&lt;&gt;"",IFERROR(INDEX(应收键,MATCH($L1698,应收单号,0)),"")&lt;&gt;$D1698),"★关联单号不是这个客户的",IF(AND($L1698&lt;&gt;"",ROUND(SUMIF(收款关联,$L1698,收款金额)-IFERROR(INDEX(应收金额,MATCH($L1698,应收单号,0)),0),2)&gt;0.001),"★指定冲销超过那张单的应收","OK"))))))))</f>
        <v/>
      </c>
    </row>
    <row r="1699" customFormat="false" ht="15" hidden="false" customHeight="false" outlineLevel="0" collapsed="false">
      <c r="A1699" s="29" t="str">
        <f aca="false">IF($C1699="","",ROW()-4)</f>
        <v/>
      </c>
      <c r="B1699" s="35" t="str">
        <f aca="false">IF($C1699="","","SK"&amp;TEXT($C1699,"yyyymm")&amp;"-"&amp;TEXT(ROW()-4,"0000"))</f>
        <v/>
      </c>
      <c r="C1699" s="33"/>
      <c r="D1699" s="24"/>
      <c r="E1699" s="30" t="str">
        <f aca="false">IF($D1699="","",IFERROR(INDEX(合同单位,MATCH($D1699,合同键,0)),IFERROR(TRIM(LEFT($D1699,FIND("｜",$D1699)-1)),$D1699)))</f>
        <v/>
      </c>
      <c r="F1699" s="30" t="str">
        <f aca="false">IF($D1699="","",IFERROR(INDEX(合同项目,MATCH($D1699,合同键,0)),IFERROR(TRIM(MID($D1699,FIND("｜",$D1699)+1,99)),"")))</f>
        <v/>
      </c>
      <c r="G1699" s="39"/>
      <c r="H1699" s="25"/>
      <c r="I1699" s="35" t="str">
        <f aca="false">IF($H1699="","",IFERROR(INDEX(票据归类表,MATCH($H1699,票据类型表,0)),"现金无票"))</f>
        <v/>
      </c>
      <c r="J1699" s="25"/>
      <c r="K1699" s="25"/>
      <c r="L1699" s="31"/>
      <c r="M1699" s="29" t="str">
        <f aca="false">IF($C1699="","",YEAR($C1699))</f>
        <v/>
      </c>
      <c r="N1699" s="24"/>
      <c r="O1699" s="35" t="str">
        <f aca="false">IF($C1699="","",IF($D1699="","★没选客户项目",IF(COUNTIF(合同键,$D1699)=0,"★《维保合同》里没这个项目",IF(N($G1699)&lt;=0,"★收款金额要填",IF($H1699="","★票据类型要选",IF(AND($L1699&lt;&gt;"",COUNTIF(应收单号,$L1699)=0),"★关联的应收单号不存在",IF(AND($L1699&lt;&gt;"",IFERROR(INDEX(应收键,MATCH($L1699,应收单号,0)),"")&lt;&gt;$D1699),"★关联单号不是这个客户的",IF(AND($L1699&lt;&gt;"",ROUND(SUMIF(收款关联,$L1699,收款金额)-IFERROR(INDEX(应收金额,MATCH($L1699,应收单号,0)),0),2)&gt;0.001),"★指定冲销超过那张单的应收","OK"))))))))</f>
        <v/>
      </c>
    </row>
    <row r="1700" customFormat="false" ht="15" hidden="false" customHeight="false" outlineLevel="0" collapsed="false">
      <c r="A1700" s="29" t="str">
        <f aca="false">IF($C1700="","",ROW()-4)</f>
        <v/>
      </c>
      <c r="B1700" s="35" t="str">
        <f aca="false">IF($C1700="","","SK"&amp;TEXT($C1700,"yyyymm")&amp;"-"&amp;TEXT(ROW()-4,"0000"))</f>
        <v/>
      </c>
      <c r="C1700" s="33"/>
      <c r="D1700" s="24"/>
      <c r="E1700" s="30" t="str">
        <f aca="false">IF($D1700="","",IFERROR(INDEX(合同单位,MATCH($D1700,合同键,0)),IFERROR(TRIM(LEFT($D1700,FIND("｜",$D1700)-1)),$D1700)))</f>
        <v/>
      </c>
      <c r="F1700" s="30" t="str">
        <f aca="false">IF($D1700="","",IFERROR(INDEX(合同项目,MATCH($D1700,合同键,0)),IFERROR(TRIM(MID($D1700,FIND("｜",$D1700)+1,99)),"")))</f>
        <v/>
      </c>
      <c r="G1700" s="39"/>
      <c r="H1700" s="25"/>
      <c r="I1700" s="35" t="str">
        <f aca="false">IF($H1700="","",IFERROR(INDEX(票据归类表,MATCH($H1700,票据类型表,0)),"现金无票"))</f>
        <v/>
      </c>
      <c r="J1700" s="25"/>
      <c r="K1700" s="25"/>
      <c r="L1700" s="31"/>
      <c r="M1700" s="29" t="str">
        <f aca="false">IF($C1700="","",YEAR($C1700))</f>
        <v/>
      </c>
      <c r="N1700" s="24"/>
      <c r="O1700" s="35" t="str">
        <f aca="false">IF($C1700="","",IF($D1700="","★没选客户项目",IF(COUNTIF(合同键,$D1700)=0,"★《维保合同》里没这个项目",IF(N($G1700)&lt;=0,"★收款金额要填",IF($H1700="","★票据类型要选",IF(AND($L1700&lt;&gt;"",COUNTIF(应收单号,$L1700)=0),"★关联的应收单号不存在",IF(AND($L1700&lt;&gt;"",IFERROR(INDEX(应收键,MATCH($L1700,应收单号,0)),"")&lt;&gt;$D1700),"★关联单号不是这个客户的",IF(AND($L1700&lt;&gt;"",ROUND(SUMIF(收款关联,$L1700,收款金额)-IFERROR(INDEX(应收金额,MATCH($L1700,应收单号,0)),0),2)&gt;0.001),"★指定冲销超过那张单的应收","OK"))))))))</f>
        <v/>
      </c>
    </row>
    <row r="1701" customFormat="false" ht="15" hidden="false" customHeight="false" outlineLevel="0" collapsed="false">
      <c r="A1701" s="29" t="str">
        <f aca="false">IF($C1701="","",ROW()-4)</f>
        <v/>
      </c>
      <c r="B1701" s="35" t="str">
        <f aca="false">IF($C1701="","","SK"&amp;TEXT($C1701,"yyyymm")&amp;"-"&amp;TEXT(ROW()-4,"0000"))</f>
        <v/>
      </c>
      <c r="C1701" s="33"/>
      <c r="D1701" s="24"/>
      <c r="E1701" s="30" t="str">
        <f aca="false">IF($D1701="","",IFERROR(INDEX(合同单位,MATCH($D1701,合同键,0)),IFERROR(TRIM(LEFT($D1701,FIND("｜",$D1701)-1)),$D1701)))</f>
        <v/>
      </c>
      <c r="F1701" s="30" t="str">
        <f aca="false">IF($D1701="","",IFERROR(INDEX(合同项目,MATCH($D1701,合同键,0)),IFERROR(TRIM(MID($D1701,FIND("｜",$D1701)+1,99)),"")))</f>
        <v/>
      </c>
      <c r="G1701" s="39"/>
      <c r="H1701" s="25"/>
      <c r="I1701" s="35" t="str">
        <f aca="false">IF($H1701="","",IFERROR(INDEX(票据归类表,MATCH($H1701,票据类型表,0)),"现金无票"))</f>
        <v/>
      </c>
      <c r="J1701" s="25"/>
      <c r="K1701" s="25"/>
      <c r="L1701" s="31"/>
      <c r="M1701" s="29" t="str">
        <f aca="false">IF($C1701="","",YEAR($C1701))</f>
        <v/>
      </c>
      <c r="N1701" s="24"/>
      <c r="O1701" s="35" t="str">
        <f aca="false">IF($C1701="","",IF($D1701="","★没选客户项目",IF(COUNTIF(合同键,$D1701)=0,"★《维保合同》里没这个项目",IF(N($G1701)&lt;=0,"★收款金额要填",IF($H1701="","★票据类型要选",IF(AND($L1701&lt;&gt;"",COUNTIF(应收单号,$L1701)=0),"★关联的应收单号不存在",IF(AND($L1701&lt;&gt;"",IFERROR(INDEX(应收键,MATCH($L1701,应收单号,0)),"")&lt;&gt;$D1701),"★关联单号不是这个客户的",IF(AND($L1701&lt;&gt;"",ROUND(SUMIF(收款关联,$L1701,收款金额)-IFERROR(INDEX(应收金额,MATCH($L1701,应收单号,0)),0),2)&gt;0.001),"★指定冲销超过那张单的应收","OK"))))))))</f>
        <v/>
      </c>
    </row>
    <row r="1702" customFormat="false" ht="15" hidden="false" customHeight="false" outlineLevel="0" collapsed="false">
      <c r="A1702" s="29" t="str">
        <f aca="false">IF($C1702="","",ROW()-4)</f>
        <v/>
      </c>
      <c r="B1702" s="35" t="str">
        <f aca="false">IF($C1702="","","SK"&amp;TEXT($C1702,"yyyymm")&amp;"-"&amp;TEXT(ROW()-4,"0000"))</f>
        <v/>
      </c>
      <c r="C1702" s="33"/>
      <c r="D1702" s="24"/>
      <c r="E1702" s="30" t="str">
        <f aca="false">IF($D1702="","",IFERROR(INDEX(合同单位,MATCH($D1702,合同键,0)),IFERROR(TRIM(LEFT($D1702,FIND("｜",$D1702)-1)),$D1702)))</f>
        <v/>
      </c>
      <c r="F1702" s="30" t="str">
        <f aca="false">IF($D1702="","",IFERROR(INDEX(合同项目,MATCH($D1702,合同键,0)),IFERROR(TRIM(MID($D1702,FIND("｜",$D1702)+1,99)),"")))</f>
        <v/>
      </c>
      <c r="G1702" s="39"/>
      <c r="H1702" s="25"/>
      <c r="I1702" s="35" t="str">
        <f aca="false">IF($H1702="","",IFERROR(INDEX(票据归类表,MATCH($H1702,票据类型表,0)),"现金无票"))</f>
        <v/>
      </c>
      <c r="J1702" s="25"/>
      <c r="K1702" s="25"/>
      <c r="L1702" s="31"/>
      <c r="M1702" s="29" t="str">
        <f aca="false">IF($C1702="","",YEAR($C1702))</f>
        <v/>
      </c>
      <c r="N1702" s="24"/>
      <c r="O1702" s="35" t="str">
        <f aca="false">IF($C1702="","",IF($D1702="","★没选客户项目",IF(COUNTIF(合同键,$D1702)=0,"★《维保合同》里没这个项目",IF(N($G1702)&lt;=0,"★收款金额要填",IF($H1702="","★票据类型要选",IF(AND($L1702&lt;&gt;"",COUNTIF(应收单号,$L1702)=0),"★关联的应收单号不存在",IF(AND($L1702&lt;&gt;"",IFERROR(INDEX(应收键,MATCH($L1702,应收单号,0)),"")&lt;&gt;$D1702),"★关联单号不是这个客户的",IF(AND($L1702&lt;&gt;"",ROUND(SUMIF(收款关联,$L1702,收款金额)-IFERROR(INDEX(应收金额,MATCH($L1702,应收单号,0)),0),2)&gt;0.001),"★指定冲销超过那张单的应收","OK"))))))))</f>
        <v/>
      </c>
    </row>
    <row r="1703" customFormat="false" ht="15" hidden="false" customHeight="false" outlineLevel="0" collapsed="false">
      <c r="A1703" s="29" t="str">
        <f aca="false">IF($C1703="","",ROW()-4)</f>
        <v/>
      </c>
      <c r="B1703" s="35" t="str">
        <f aca="false">IF($C1703="","","SK"&amp;TEXT($C1703,"yyyymm")&amp;"-"&amp;TEXT(ROW()-4,"0000"))</f>
        <v/>
      </c>
      <c r="C1703" s="33"/>
      <c r="D1703" s="24"/>
      <c r="E1703" s="30" t="str">
        <f aca="false">IF($D1703="","",IFERROR(INDEX(合同单位,MATCH($D1703,合同键,0)),IFERROR(TRIM(LEFT($D1703,FIND("｜",$D1703)-1)),$D1703)))</f>
        <v/>
      </c>
      <c r="F1703" s="30" t="str">
        <f aca="false">IF($D1703="","",IFERROR(INDEX(合同项目,MATCH($D1703,合同键,0)),IFERROR(TRIM(MID($D1703,FIND("｜",$D1703)+1,99)),"")))</f>
        <v/>
      </c>
      <c r="G1703" s="39"/>
      <c r="H1703" s="25"/>
      <c r="I1703" s="35" t="str">
        <f aca="false">IF($H1703="","",IFERROR(INDEX(票据归类表,MATCH($H1703,票据类型表,0)),"现金无票"))</f>
        <v/>
      </c>
      <c r="J1703" s="25"/>
      <c r="K1703" s="25"/>
      <c r="L1703" s="31"/>
      <c r="M1703" s="29" t="str">
        <f aca="false">IF($C1703="","",YEAR($C1703))</f>
        <v/>
      </c>
      <c r="N1703" s="24"/>
      <c r="O1703" s="35" t="str">
        <f aca="false">IF($C1703="","",IF($D1703="","★没选客户项目",IF(COUNTIF(合同键,$D1703)=0,"★《维保合同》里没这个项目",IF(N($G1703)&lt;=0,"★收款金额要填",IF($H1703="","★票据类型要选",IF(AND($L1703&lt;&gt;"",COUNTIF(应收单号,$L1703)=0),"★关联的应收单号不存在",IF(AND($L1703&lt;&gt;"",IFERROR(INDEX(应收键,MATCH($L1703,应收单号,0)),"")&lt;&gt;$D1703),"★关联单号不是这个客户的",IF(AND($L1703&lt;&gt;"",ROUND(SUMIF(收款关联,$L1703,收款金额)-IFERROR(INDEX(应收金额,MATCH($L1703,应收单号,0)),0),2)&gt;0.001),"★指定冲销超过那张单的应收","OK"))))))))</f>
        <v/>
      </c>
    </row>
    <row r="1704" customFormat="false" ht="15" hidden="false" customHeight="false" outlineLevel="0" collapsed="false">
      <c r="A1704" s="29" t="str">
        <f aca="false">IF($C1704="","",ROW()-4)</f>
        <v/>
      </c>
      <c r="B1704" s="35" t="str">
        <f aca="false">IF($C1704="","","SK"&amp;TEXT($C1704,"yyyymm")&amp;"-"&amp;TEXT(ROW()-4,"0000"))</f>
        <v/>
      </c>
      <c r="C1704" s="33"/>
      <c r="D1704" s="24"/>
      <c r="E1704" s="30" t="str">
        <f aca="false">IF($D1704="","",IFERROR(INDEX(合同单位,MATCH($D1704,合同键,0)),IFERROR(TRIM(LEFT($D1704,FIND("｜",$D1704)-1)),$D1704)))</f>
        <v/>
      </c>
      <c r="F1704" s="30" t="str">
        <f aca="false">IF($D1704="","",IFERROR(INDEX(合同项目,MATCH($D1704,合同键,0)),IFERROR(TRIM(MID($D1704,FIND("｜",$D1704)+1,99)),"")))</f>
        <v/>
      </c>
      <c r="G1704" s="39"/>
      <c r="H1704" s="25"/>
      <c r="I1704" s="35" t="str">
        <f aca="false">IF($H1704="","",IFERROR(INDEX(票据归类表,MATCH($H1704,票据类型表,0)),"现金无票"))</f>
        <v/>
      </c>
      <c r="J1704" s="25"/>
      <c r="K1704" s="25"/>
      <c r="L1704" s="31"/>
      <c r="M1704" s="29" t="str">
        <f aca="false">IF($C1704="","",YEAR($C1704))</f>
        <v/>
      </c>
      <c r="N1704" s="24"/>
      <c r="O1704" s="35" t="str">
        <f aca="false">IF($C1704="","",IF($D1704="","★没选客户项目",IF(COUNTIF(合同键,$D1704)=0,"★《维保合同》里没这个项目",IF(N($G1704)&lt;=0,"★收款金额要填",IF($H1704="","★票据类型要选",IF(AND($L1704&lt;&gt;"",COUNTIF(应收单号,$L1704)=0),"★关联的应收单号不存在",IF(AND($L1704&lt;&gt;"",IFERROR(INDEX(应收键,MATCH($L1704,应收单号,0)),"")&lt;&gt;$D1704),"★关联单号不是这个客户的",IF(AND($L1704&lt;&gt;"",ROUND(SUMIF(收款关联,$L1704,收款金额)-IFERROR(INDEX(应收金额,MATCH($L1704,应收单号,0)),0),2)&gt;0.001),"★指定冲销超过那张单的应收","OK"))))))))</f>
        <v/>
      </c>
    </row>
    <row r="1705" customFormat="false" ht="15" hidden="false" customHeight="false" outlineLevel="0" collapsed="false">
      <c r="A1705" s="29" t="str">
        <f aca="false">IF($C1705="","",ROW()-4)</f>
        <v/>
      </c>
      <c r="B1705" s="35" t="str">
        <f aca="false">IF($C1705="","","SK"&amp;TEXT($C1705,"yyyymm")&amp;"-"&amp;TEXT(ROW()-4,"0000"))</f>
        <v/>
      </c>
      <c r="C1705" s="33"/>
      <c r="D1705" s="24"/>
      <c r="E1705" s="30" t="str">
        <f aca="false">IF($D1705="","",IFERROR(INDEX(合同单位,MATCH($D1705,合同键,0)),IFERROR(TRIM(LEFT($D1705,FIND("｜",$D1705)-1)),$D1705)))</f>
        <v/>
      </c>
      <c r="F1705" s="30" t="str">
        <f aca="false">IF($D1705="","",IFERROR(INDEX(合同项目,MATCH($D1705,合同键,0)),IFERROR(TRIM(MID($D1705,FIND("｜",$D1705)+1,99)),"")))</f>
        <v/>
      </c>
      <c r="G1705" s="39"/>
      <c r="H1705" s="25"/>
      <c r="I1705" s="35" t="str">
        <f aca="false">IF($H1705="","",IFERROR(INDEX(票据归类表,MATCH($H1705,票据类型表,0)),"现金无票"))</f>
        <v/>
      </c>
      <c r="J1705" s="25"/>
      <c r="K1705" s="25"/>
      <c r="L1705" s="31"/>
      <c r="M1705" s="29" t="str">
        <f aca="false">IF($C1705="","",YEAR($C1705))</f>
        <v/>
      </c>
      <c r="N1705" s="24"/>
      <c r="O1705" s="35" t="str">
        <f aca="false">IF($C1705="","",IF($D1705="","★没选客户项目",IF(COUNTIF(合同键,$D1705)=0,"★《维保合同》里没这个项目",IF(N($G1705)&lt;=0,"★收款金额要填",IF($H1705="","★票据类型要选",IF(AND($L1705&lt;&gt;"",COUNTIF(应收单号,$L1705)=0),"★关联的应收单号不存在",IF(AND($L1705&lt;&gt;"",IFERROR(INDEX(应收键,MATCH($L1705,应收单号,0)),"")&lt;&gt;$D1705),"★关联单号不是这个客户的",IF(AND($L1705&lt;&gt;"",ROUND(SUMIF(收款关联,$L1705,收款金额)-IFERROR(INDEX(应收金额,MATCH($L1705,应收单号,0)),0),2)&gt;0.001),"★指定冲销超过那张单的应收","OK"))))))))</f>
        <v/>
      </c>
    </row>
    <row r="1706" customFormat="false" ht="15" hidden="false" customHeight="false" outlineLevel="0" collapsed="false">
      <c r="A1706" s="29" t="str">
        <f aca="false">IF($C1706="","",ROW()-4)</f>
        <v/>
      </c>
      <c r="B1706" s="35" t="str">
        <f aca="false">IF($C1706="","","SK"&amp;TEXT($C1706,"yyyymm")&amp;"-"&amp;TEXT(ROW()-4,"0000"))</f>
        <v/>
      </c>
      <c r="C1706" s="33"/>
      <c r="D1706" s="24"/>
      <c r="E1706" s="30" t="str">
        <f aca="false">IF($D1706="","",IFERROR(INDEX(合同单位,MATCH($D1706,合同键,0)),IFERROR(TRIM(LEFT($D1706,FIND("｜",$D1706)-1)),$D1706)))</f>
        <v/>
      </c>
      <c r="F1706" s="30" t="str">
        <f aca="false">IF($D1706="","",IFERROR(INDEX(合同项目,MATCH($D1706,合同键,0)),IFERROR(TRIM(MID($D1706,FIND("｜",$D1706)+1,99)),"")))</f>
        <v/>
      </c>
      <c r="G1706" s="39"/>
      <c r="H1706" s="25"/>
      <c r="I1706" s="35" t="str">
        <f aca="false">IF($H1706="","",IFERROR(INDEX(票据归类表,MATCH($H1706,票据类型表,0)),"现金无票"))</f>
        <v/>
      </c>
      <c r="J1706" s="25"/>
      <c r="K1706" s="25"/>
      <c r="L1706" s="31"/>
      <c r="M1706" s="29" t="str">
        <f aca="false">IF($C1706="","",YEAR($C1706))</f>
        <v/>
      </c>
      <c r="N1706" s="24"/>
      <c r="O1706" s="35" t="str">
        <f aca="false">IF($C1706="","",IF($D1706="","★没选客户项目",IF(COUNTIF(合同键,$D1706)=0,"★《维保合同》里没这个项目",IF(N($G1706)&lt;=0,"★收款金额要填",IF($H1706="","★票据类型要选",IF(AND($L1706&lt;&gt;"",COUNTIF(应收单号,$L1706)=0),"★关联的应收单号不存在",IF(AND($L1706&lt;&gt;"",IFERROR(INDEX(应收键,MATCH($L1706,应收单号,0)),"")&lt;&gt;$D1706),"★关联单号不是这个客户的",IF(AND($L1706&lt;&gt;"",ROUND(SUMIF(收款关联,$L1706,收款金额)-IFERROR(INDEX(应收金额,MATCH($L1706,应收单号,0)),0),2)&gt;0.001),"★指定冲销超过那张单的应收","OK"))))))))</f>
        <v/>
      </c>
    </row>
    <row r="1707" customFormat="false" ht="15" hidden="false" customHeight="false" outlineLevel="0" collapsed="false">
      <c r="A1707" s="29" t="str">
        <f aca="false">IF($C1707="","",ROW()-4)</f>
        <v/>
      </c>
      <c r="B1707" s="35" t="str">
        <f aca="false">IF($C1707="","","SK"&amp;TEXT($C1707,"yyyymm")&amp;"-"&amp;TEXT(ROW()-4,"0000"))</f>
        <v/>
      </c>
      <c r="C1707" s="33"/>
      <c r="D1707" s="24"/>
      <c r="E1707" s="30" t="str">
        <f aca="false">IF($D1707="","",IFERROR(INDEX(合同单位,MATCH($D1707,合同键,0)),IFERROR(TRIM(LEFT($D1707,FIND("｜",$D1707)-1)),$D1707)))</f>
        <v/>
      </c>
      <c r="F1707" s="30" t="str">
        <f aca="false">IF($D1707="","",IFERROR(INDEX(合同项目,MATCH($D1707,合同键,0)),IFERROR(TRIM(MID($D1707,FIND("｜",$D1707)+1,99)),"")))</f>
        <v/>
      </c>
      <c r="G1707" s="39"/>
      <c r="H1707" s="25"/>
      <c r="I1707" s="35" t="str">
        <f aca="false">IF($H1707="","",IFERROR(INDEX(票据归类表,MATCH($H1707,票据类型表,0)),"现金无票"))</f>
        <v/>
      </c>
      <c r="J1707" s="25"/>
      <c r="K1707" s="25"/>
      <c r="L1707" s="31"/>
      <c r="M1707" s="29" t="str">
        <f aca="false">IF($C1707="","",YEAR($C1707))</f>
        <v/>
      </c>
      <c r="N1707" s="24"/>
      <c r="O1707" s="35" t="str">
        <f aca="false">IF($C1707="","",IF($D1707="","★没选客户项目",IF(COUNTIF(合同键,$D1707)=0,"★《维保合同》里没这个项目",IF(N($G1707)&lt;=0,"★收款金额要填",IF($H1707="","★票据类型要选",IF(AND($L1707&lt;&gt;"",COUNTIF(应收单号,$L1707)=0),"★关联的应收单号不存在",IF(AND($L1707&lt;&gt;"",IFERROR(INDEX(应收键,MATCH($L1707,应收单号,0)),"")&lt;&gt;$D1707),"★关联单号不是这个客户的",IF(AND($L1707&lt;&gt;"",ROUND(SUMIF(收款关联,$L1707,收款金额)-IFERROR(INDEX(应收金额,MATCH($L1707,应收单号,0)),0),2)&gt;0.001),"★指定冲销超过那张单的应收","OK"))))))))</f>
        <v/>
      </c>
    </row>
    <row r="1708" customFormat="false" ht="15" hidden="false" customHeight="false" outlineLevel="0" collapsed="false">
      <c r="A1708" s="29" t="str">
        <f aca="false">IF($C1708="","",ROW()-4)</f>
        <v/>
      </c>
      <c r="B1708" s="35" t="str">
        <f aca="false">IF($C1708="","","SK"&amp;TEXT($C1708,"yyyymm")&amp;"-"&amp;TEXT(ROW()-4,"0000"))</f>
        <v/>
      </c>
      <c r="C1708" s="33"/>
      <c r="D1708" s="24"/>
      <c r="E1708" s="30" t="str">
        <f aca="false">IF($D1708="","",IFERROR(INDEX(合同单位,MATCH($D1708,合同键,0)),IFERROR(TRIM(LEFT($D1708,FIND("｜",$D1708)-1)),$D1708)))</f>
        <v/>
      </c>
      <c r="F1708" s="30" t="str">
        <f aca="false">IF($D1708="","",IFERROR(INDEX(合同项目,MATCH($D1708,合同键,0)),IFERROR(TRIM(MID($D1708,FIND("｜",$D1708)+1,99)),"")))</f>
        <v/>
      </c>
      <c r="G1708" s="39"/>
      <c r="H1708" s="25"/>
      <c r="I1708" s="35" t="str">
        <f aca="false">IF($H1708="","",IFERROR(INDEX(票据归类表,MATCH($H1708,票据类型表,0)),"现金无票"))</f>
        <v/>
      </c>
      <c r="J1708" s="25"/>
      <c r="K1708" s="25"/>
      <c r="L1708" s="31"/>
      <c r="M1708" s="29" t="str">
        <f aca="false">IF($C1708="","",YEAR($C1708))</f>
        <v/>
      </c>
      <c r="N1708" s="24"/>
      <c r="O1708" s="35" t="str">
        <f aca="false">IF($C1708="","",IF($D1708="","★没选客户项目",IF(COUNTIF(合同键,$D1708)=0,"★《维保合同》里没这个项目",IF(N($G1708)&lt;=0,"★收款金额要填",IF($H1708="","★票据类型要选",IF(AND($L1708&lt;&gt;"",COUNTIF(应收单号,$L1708)=0),"★关联的应收单号不存在",IF(AND($L1708&lt;&gt;"",IFERROR(INDEX(应收键,MATCH($L1708,应收单号,0)),"")&lt;&gt;$D1708),"★关联单号不是这个客户的",IF(AND($L1708&lt;&gt;"",ROUND(SUMIF(收款关联,$L1708,收款金额)-IFERROR(INDEX(应收金额,MATCH($L1708,应收单号,0)),0),2)&gt;0.001),"★指定冲销超过那张单的应收","OK"))))))))</f>
        <v/>
      </c>
    </row>
    <row r="1709" customFormat="false" ht="15" hidden="false" customHeight="false" outlineLevel="0" collapsed="false">
      <c r="A1709" s="29" t="str">
        <f aca="false">IF($C1709="","",ROW()-4)</f>
        <v/>
      </c>
      <c r="B1709" s="35" t="str">
        <f aca="false">IF($C1709="","","SK"&amp;TEXT($C1709,"yyyymm")&amp;"-"&amp;TEXT(ROW()-4,"0000"))</f>
        <v/>
      </c>
      <c r="C1709" s="33"/>
      <c r="D1709" s="24"/>
      <c r="E1709" s="30" t="str">
        <f aca="false">IF($D1709="","",IFERROR(INDEX(合同单位,MATCH($D1709,合同键,0)),IFERROR(TRIM(LEFT($D1709,FIND("｜",$D1709)-1)),$D1709)))</f>
        <v/>
      </c>
      <c r="F1709" s="30" t="str">
        <f aca="false">IF($D1709="","",IFERROR(INDEX(合同项目,MATCH($D1709,合同键,0)),IFERROR(TRIM(MID($D1709,FIND("｜",$D1709)+1,99)),"")))</f>
        <v/>
      </c>
      <c r="G1709" s="39"/>
      <c r="H1709" s="25"/>
      <c r="I1709" s="35" t="str">
        <f aca="false">IF($H1709="","",IFERROR(INDEX(票据归类表,MATCH($H1709,票据类型表,0)),"现金无票"))</f>
        <v/>
      </c>
      <c r="J1709" s="25"/>
      <c r="K1709" s="25"/>
      <c r="L1709" s="31"/>
      <c r="M1709" s="29" t="str">
        <f aca="false">IF($C1709="","",YEAR($C1709))</f>
        <v/>
      </c>
      <c r="N1709" s="24"/>
      <c r="O1709" s="35" t="str">
        <f aca="false">IF($C1709="","",IF($D1709="","★没选客户项目",IF(COUNTIF(合同键,$D1709)=0,"★《维保合同》里没这个项目",IF(N($G1709)&lt;=0,"★收款金额要填",IF($H1709="","★票据类型要选",IF(AND($L1709&lt;&gt;"",COUNTIF(应收单号,$L1709)=0),"★关联的应收单号不存在",IF(AND($L1709&lt;&gt;"",IFERROR(INDEX(应收键,MATCH($L1709,应收单号,0)),"")&lt;&gt;$D1709),"★关联单号不是这个客户的",IF(AND($L1709&lt;&gt;"",ROUND(SUMIF(收款关联,$L1709,收款金额)-IFERROR(INDEX(应收金额,MATCH($L1709,应收单号,0)),0),2)&gt;0.001),"★指定冲销超过那张单的应收","OK"))))))))</f>
        <v/>
      </c>
    </row>
    <row r="1710" customFormat="false" ht="15" hidden="false" customHeight="false" outlineLevel="0" collapsed="false">
      <c r="A1710" s="29" t="str">
        <f aca="false">IF($C1710="","",ROW()-4)</f>
        <v/>
      </c>
      <c r="B1710" s="35" t="str">
        <f aca="false">IF($C1710="","","SK"&amp;TEXT($C1710,"yyyymm")&amp;"-"&amp;TEXT(ROW()-4,"0000"))</f>
        <v/>
      </c>
      <c r="C1710" s="33"/>
      <c r="D1710" s="24"/>
      <c r="E1710" s="30" t="str">
        <f aca="false">IF($D1710="","",IFERROR(INDEX(合同单位,MATCH($D1710,合同键,0)),IFERROR(TRIM(LEFT($D1710,FIND("｜",$D1710)-1)),$D1710)))</f>
        <v/>
      </c>
      <c r="F1710" s="30" t="str">
        <f aca="false">IF($D1710="","",IFERROR(INDEX(合同项目,MATCH($D1710,合同键,0)),IFERROR(TRIM(MID($D1710,FIND("｜",$D1710)+1,99)),"")))</f>
        <v/>
      </c>
      <c r="G1710" s="39"/>
      <c r="H1710" s="25"/>
      <c r="I1710" s="35" t="str">
        <f aca="false">IF($H1710="","",IFERROR(INDEX(票据归类表,MATCH($H1710,票据类型表,0)),"现金无票"))</f>
        <v/>
      </c>
      <c r="J1710" s="25"/>
      <c r="K1710" s="25"/>
      <c r="L1710" s="31"/>
      <c r="M1710" s="29" t="str">
        <f aca="false">IF($C1710="","",YEAR($C1710))</f>
        <v/>
      </c>
      <c r="N1710" s="24"/>
      <c r="O1710" s="35" t="str">
        <f aca="false">IF($C1710="","",IF($D1710="","★没选客户项目",IF(COUNTIF(合同键,$D1710)=0,"★《维保合同》里没这个项目",IF(N($G1710)&lt;=0,"★收款金额要填",IF($H1710="","★票据类型要选",IF(AND($L1710&lt;&gt;"",COUNTIF(应收单号,$L1710)=0),"★关联的应收单号不存在",IF(AND($L1710&lt;&gt;"",IFERROR(INDEX(应收键,MATCH($L1710,应收单号,0)),"")&lt;&gt;$D1710),"★关联单号不是这个客户的",IF(AND($L1710&lt;&gt;"",ROUND(SUMIF(收款关联,$L1710,收款金额)-IFERROR(INDEX(应收金额,MATCH($L1710,应收单号,0)),0),2)&gt;0.001),"★指定冲销超过那张单的应收","OK"))))))))</f>
        <v/>
      </c>
    </row>
    <row r="1711" customFormat="false" ht="15" hidden="false" customHeight="false" outlineLevel="0" collapsed="false">
      <c r="A1711" s="29" t="str">
        <f aca="false">IF($C1711="","",ROW()-4)</f>
        <v/>
      </c>
      <c r="B1711" s="35" t="str">
        <f aca="false">IF($C1711="","","SK"&amp;TEXT($C1711,"yyyymm")&amp;"-"&amp;TEXT(ROW()-4,"0000"))</f>
        <v/>
      </c>
      <c r="C1711" s="33"/>
      <c r="D1711" s="24"/>
      <c r="E1711" s="30" t="str">
        <f aca="false">IF($D1711="","",IFERROR(INDEX(合同单位,MATCH($D1711,合同键,0)),IFERROR(TRIM(LEFT($D1711,FIND("｜",$D1711)-1)),$D1711)))</f>
        <v/>
      </c>
      <c r="F1711" s="30" t="str">
        <f aca="false">IF($D1711="","",IFERROR(INDEX(合同项目,MATCH($D1711,合同键,0)),IFERROR(TRIM(MID($D1711,FIND("｜",$D1711)+1,99)),"")))</f>
        <v/>
      </c>
      <c r="G1711" s="39"/>
      <c r="H1711" s="25"/>
      <c r="I1711" s="35" t="str">
        <f aca="false">IF($H1711="","",IFERROR(INDEX(票据归类表,MATCH($H1711,票据类型表,0)),"现金无票"))</f>
        <v/>
      </c>
      <c r="J1711" s="25"/>
      <c r="K1711" s="25"/>
      <c r="L1711" s="31"/>
      <c r="M1711" s="29" t="str">
        <f aca="false">IF($C1711="","",YEAR($C1711))</f>
        <v/>
      </c>
      <c r="N1711" s="24"/>
      <c r="O1711" s="35" t="str">
        <f aca="false">IF($C1711="","",IF($D1711="","★没选客户项目",IF(COUNTIF(合同键,$D1711)=0,"★《维保合同》里没这个项目",IF(N($G1711)&lt;=0,"★收款金额要填",IF($H1711="","★票据类型要选",IF(AND($L1711&lt;&gt;"",COUNTIF(应收单号,$L1711)=0),"★关联的应收单号不存在",IF(AND($L1711&lt;&gt;"",IFERROR(INDEX(应收键,MATCH($L1711,应收单号,0)),"")&lt;&gt;$D1711),"★关联单号不是这个客户的",IF(AND($L1711&lt;&gt;"",ROUND(SUMIF(收款关联,$L1711,收款金额)-IFERROR(INDEX(应收金额,MATCH($L1711,应收单号,0)),0),2)&gt;0.001),"★指定冲销超过那张单的应收","OK"))))))))</f>
        <v/>
      </c>
    </row>
    <row r="1712" customFormat="false" ht="15" hidden="false" customHeight="false" outlineLevel="0" collapsed="false">
      <c r="A1712" s="29" t="str">
        <f aca="false">IF($C1712="","",ROW()-4)</f>
        <v/>
      </c>
      <c r="B1712" s="35" t="str">
        <f aca="false">IF($C1712="","","SK"&amp;TEXT($C1712,"yyyymm")&amp;"-"&amp;TEXT(ROW()-4,"0000"))</f>
        <v/>
      </c>
      <c r="C1712" s="33"/>
      <c r="D1712" s="24"/>
      <c r="E1712" s="30" t="str">
        <f aca="false">IF($D1712="","",IFERROR(INDEX(合同单位,MATCH($D1712,合同键,0)),IFERROR(TRIM(LEFT($D1712,FIND("｜",$D1712)-1)),$D1712)))</f>
        <v/>
      </c>
      <c r="F1712" s="30" t="str">
        <f aca="false">IF($D1712="","",IFERROR(INDEX(合同项目,MATCH($D1712,合同键,0)),IFERROR(TRIM(MID($D1712,FIND("｜",$D1712)+1,99)),"")))</f>
        <v/>
      </c>
      <c r="G1712" s="39"/>
      <c r="H1712" s="25"/>
      <c r="I1712" s="35" t="str">
        <f aca="false">IF($H1712="","",IFERROR(INDEX(票据归类表,MATCH($H1712,票据类型表,0)),"现金无票"))</f>
        <v/>
      </c>
      <c r="J1712" s="25"/>
      <c r="K1712" s="25"/>
      <c r="L1712" s="31"/>
      <c r="M1712" s="29" t="str">
        <f aca="false">IF($C1712="","",YEAR($C1712))</f>
        <v/>
      </c>
      <c r="N1712" s="24"/>
      <c r="O1712" s="35" t="str">
        <f aca="false">IF($C1712="","",IF($D1712="","★没选客户项目",IF(COUNTIF(合同键,$D1712)=0,"★《维保合同》里没这个项目",IF(N($G1712)&lt;=0,"★收款金额要填",IF($H1712="","★票据类型要选",IF(AND($L1712&lt;&gt;"",COUNTIF(应收单号,$L1712)=0),"★关联的应收单号不存在",IF(AND($L1712&lt;&gt;"",IFERROR(INDEX(应收键,MATCH($L1712,应收单号,0)),"")&lt;&gt;$D1712),"★关联单号不是这个客户的",IF(AND($L1712&lt;&gt;"",ROUND(SUMIF(收款关联,$L1712,收款金额)-IFERROR(INDEX(应收金额,MATCH($L1712,应收单号,0)),0),2)&gt;0.001),"★指定冲销超过那张单的应收","OK"))))))))</f>
        <v/>
      </c>
    </row>
    <row r="1713" customFormat="false" ht="15" hidden="false" customHeight="false" outlineLevel="0" collapsed="false">
      <c r="A1713" s="29" t="str">
        <f aca="false">IF($C1713="","",ROW()-4)</f>
        <v/>
      </c>
      <c r="B1713" s="35" t="str">
        <f aca="false">IF($C1713="","","SK"&amp;TEXT($C1713,"yyyymm")&amp;"-"&amp;TEXT(ROW()-4,"0000"))</f>
        <v/>
      </c>
      <c r="C1713" s="33"/>
      <c r="D1713" s="24"/>
      <c r="E1713" s="30" t="str">
        <f aca="false">IF($D1713="","",IFERROR(INDEX(合同单位,MATCH($D1713,合同键,0)),IFERROR(TRIM(LEFT($D1713,FIND("｜",$D1713)-1)),$D1713)))</f>
        <v/>
      </c>
      <c r="F1713" s="30" t="str">
        <f aca="false">IF($D1713="","",IFERROR(INDEX(合同项目,MATCH($D1713,合同键,0)),IFERROR(TRIM(MID($D1713,FIND("｜",$D1713)+1,99)),"")))</f>
        <v/>
      </c>
      <c r="G1713" s="39"/>
      <c r="H1713" s="25"/>
      <c r="I1713" s="35" t="str">
        <f aca="false">IF($H1713="","",IFERROR(INDEX(票据归类表,MATCH($H1713,票据类型表,0)),"现金无票"))</f>
        <v/>
      </c>
      <c r="J1713" s="25"/>
      <c r="K1713" s="25"/>
      <c r="L1713" s="31"/>
      <c r="M1713" s="29" t="str">
        <f aca="false">IF($C1713="","",YEAR($C1713))</f>
        <v/>
      </c>
      <c r="N1713" s="24"/>
      <c r="O1713" s="35" t="str">
        <f aca="false">IF($C1713="","",IF($D1713="","★没选客户项目",IF(COUNTIF(合同键,$D1713)=0,"★《维保合同》里没这个项目",IF(N($G1713)&lt;=0,"★收款金额要填",IF($H1713="","★票据类型要选",IF(AND($L1713&lt;&gt;"",COUNTIF(应收单号,$L1713)=0),"★关联的应收单号不存在",IF(AND($L1713&lt;&gt;"",IFERROR(INDEX(应收键,MATCH($L1713,应收单号,0)),"")&lt;&gt;$D1713),"★关联单号不是这个客户的",IF(AND($L1713&lt;&gt;"",ROUND(SUMIF(收款关联,$L1713,收款金额)-IFERROR(INDEX(应收金额,MATCH($L1713,应收单号,0)),0),2)&gt;0.001),"★指定冲销超过那张单的应收","OK"))))))))</f>
        <v/>
      </c>
    </row>
    <row r="1714" customFormat="false" ht="15" hidden="false" customHeight="false" outlineLevel="0" collapsed="false">
      <c r="A1714" s="29" t="str">
        <f aca="false">IF($C1714="","",ROW()-4)</f>
        <v/>
      </c>
      <c r="B1714" s="35" t="str">
        <f aca="false">IF($C1714="","","SK"&amp;TEXT($C1714,"yyyymm")&amp;"-"&amp;TEXT(ROW()-4,"0000"))</f>
        <v/>
      </c>
      <c r="C1714" s="33"/>
      <c r="D1714" s="24"/>
      <c r="E1714" s="30" t="str">
        <f aca="false">IF($D1714="","",IFERROR(INDEX(合同单位,MATCH($D1714,合同键,0)),IFERROR(TRIM(LEFT($D1714,FIND("｜",$D1714)-1)),$D1714)))</f>
        <v/>
      </c>
      <c r="F1714" s="30" t="str">
        <f aca="false">IF($D1714="","",IFERROR(INDEX(合同项目,MATCH($D1714,合同键,0)),IFERROR(TRIM(MID($D1714,FIND("｜",$D1714)+1,99)),"")))</f>
        <v/>
      </c>
      <c r="G1714" s="39"/>
      <c r="H1714" s="25"/>
      <c r="I1714" s="35" t="str">
        <f aca="false">IF($H1714="","",IFERROR(INDEX(票据归类表,MATCH($H1714,票据类型表,0)),"现金无票"))</f>
        <v/>
      </c>
      <c r="J1714" s="25"/>
      <c r="K1714" s="25"/>
      <c r="L1714" s="31"/>
      <c r="M1714" s="29" t="str">
        <f aca="false">IF($C1714="","",YEAR($C1714))</f>
        <v/>
      </c>
      <c r="N1714" s="24"/>
      <c r="O1714" s="35" t="str">
        <f aca="false">IF($C1714="","",IF($D1714="","★没选客户项目",IF(COUNTIF(合同键,$D1714)=0,"★《维保合同》里没这个项目",IF(N($G1714)&lt;=0,"★收款金额要填",IF($H1714="","★票据类型要选",IF(AND($L1714&lt;&gt;"",COUNTIF(应收单号,$L1714)=0),"★关联的应收单号不存在",IF(AND($L1714&lt;&gt;"",IFERROR(INDEX(应收键,MATCH($L1714,应收单号,0)),"")&lt;&gt;$D1714),"★关联单号不是这个客户的",IF(AND($L1714&lt;&gt;"",ROUND(SUMIF(收款关联,$L1714,收款金额)-IFERROR(INDEX(应收金额,MATCH($L1714,应收单号,0)),0),2)&gt;0.001),"★指定冲销超过那张单的应收","OK"))))))))</f>
        <v/>
      </c>
    </row>
    <row r="1715" customFormat="false" ht="15" hidden="false" customHeight="false" outlineLevel="0" collapsed="false">
      <c r="A1715" s="29" t="str">
        <f aca="false">IF($C1715="","",ROW()-4)</f>
        <v/>
      </c>
      <c r="B1715" s="35" t="str">
        <f aca="false">IF($C1715="","","SK"&amp;TEXT($C1715,"yyyymm")&amp;"-"&amp;TEXT(ROW()-4,"0000"))</f>
        <v/>
      </c>
      <c r="C1715" s="33"/>
      <c r="D1715" s="24"/>
      <c r="E1715" s="30" t="str">
        <f aca="false">IF($D1715="","",IFERROR(INDEX(合同单位,MATCH($D1715,合同键,0)),IFERROR(TRIM(LEFT($D1715,FIND("｜",$D1715)-1)),$D1715)))</f>
        <v/>
      </c>
      <c r="F1715" s="30" t="str">
        <f aca="false">IF($D1715="","",IFERROR(INDEX(合同项目,MATCH($D1715,合同键,0)),IFERROR(TRIM(MID($D1715,FIND("｜",$D1715)+1,99)),"")))</f>
        <v/>
      </c>
      <c r="G1715" s="39"/>
      <c r="H1715" s="25"/>
      <c r="I1715" s="35" t="str">
        <f aca="false">IF($H1715="","",IFERROR(INDEX(票据归类表,MATCH($H1715,票据类型表,0)),"现金无票"))</f>
        <v/>
      </c>
      <c r="J1715" s="25"/>
      <c r="K1715" s="25"/>
      <c r="L1715" s="31"/>
      <c r="M1715" s="29" t="str">
        <f aca="false">IF($C1715="","",YEAR($C1715))</f>
        <v/>
      </c>
      <c r="N1715" s="24"/>
      <c r="O1715" s="35" t="str">
        <f aca="false">IF($C1715="","",IF($D1715="","★没选客户项目",IF(COUNTIF(合同键,$D1715)=0,"★《维保合同》里没这个项目",IF(N($G1715)&lt;=0,"★收款金额要填",IF($H1715="","★票据类型要选",IF(AND($L1715&lt;&gt;"",COUNTIF(应收单号,$L1715)=0),"★关联的应收单号不存在",IF(AND($L1715&lt;&gt;"",IFERROR(INDEX(应收键,MATCH($L1715,应收单号,0)),"")&lt;&gt;$D1715),"★关联单号不是这个客户的",IF(AND($L1715&lt;&gt;"",ROUND(SUMIF(收款关联,$L1715,收款金额)-IFERROR(INDEX(应收金额,MATCH($L1715,应收单号,0)),0),2)&gt;0.001),"★指定冲销超过那张单的应收","OK"))))))))</f>
        <v/>
      </c>
    </row>
    <row r="1716" customFormat="false" ht="15" hidden="false" customHeight="false" outlineLevel="0" collapsed="false">
      <c r="A1716" s="29" t="str">
        <f aca="false">IF($C1716="","",ROW()-4)</f>
        <v/>
      </c>
      <c r="B1716" s="35" t="str">
        <f aca="false">IF($C1716="","","SK"&amp;TEXT($C1716,"yyyymm")&amp;"-"&amp;TEXT(ROW()-4,"0000"))</f>
        <v/>
      </c>
      <c r="C1716" s="33"/>
      <c r="D1716" s="24"/>
      <c r="E1716" s="30" t="str">
        <f aca="false">IF($D1716="","",IFERROR(INDEX(合同单位,MATCH($D1716,合同键,0)),IFERROR(TRIM(LEFT($D1716,FIND("｜",$D1716)-1)),$D1716)))</f>
        <v/>
      </c>
      <c r="F1716" s="30" t="str">
        <f aca="false">IF($D1716="","",IFERROR(INDEX(合同项目,MATCH($D1716,合同键,0)),IFERROR(TRIM(MID($D1716,FIND("｜",$D1716)+1,99)),"")))</f>
        <v/>
      </c>
      <c r="G1716" s="39"/>
      <c r="H1716" s="25"/>
      <c r="I1716" s="35" t="str">
        <f aca="false">IF($H1716="","",IFERROR(INDEX(票据归类表,MATCH($H1716,票据类型表,0)),"现金无票"))</f>
        <v/>
      </c>
      <c r="J1716" s="25"/>
      <c r="K1716" s="25"/>
      <c r="L1716" s="31"/>
      <c r="M1716" s="29" t="str">
        <f aca="false">IF($C1716="","",YEAR($C1716))</f>
        <v/>
      </c>
      <c r="N1716" s="24"/>
      <c r="O1716" s="35" t="str">
        <f aca="false">IF($C1716="","",IF($D1716="","★没选客户项目",IF(COUNTIF(合同键,$D1716)=0,"★《维保合同》里没这个项目",IF(N($G1716)&lt;=0,"★收款金额要填",IF($H1716="","★票据类型要选",IF(AND($L1716&lt;&gt;"",COUNTIF(应收单号,$L1716)=0),"★关联的应收单号不存在",IF(AND($L1716&lt;&gt;"",IFERROR(INDEX(应收键,MATCH($L1716,应收单号,0)),"")&lt;&gt;$D1716),"★关联单号不是这个客户的",IF(AND($L1716&lt;&gt;"",ROUND(SUMIF(收款关联,$L1716,收款金额)-IFERROR(INDEX(应收金额,MATCH($L1716,应收单号,0)),0),2)&gt;0.001),"★指定冲销超过那张单的应收","OK"))))))))</f>
        <v/>
      </c>
    </row>
    <row r="1717" customFormat="false" ht="15" hidden="false" customHeight="false" outlineLevel="0" collapsed="false">
      <c r="A1717" s="29" t="str">
        <f aca="false">IF($C1717="","",ROW()-4)</f>
        <v/>
      </c>
      <c r="B1717" s="35" t="str">
        <f aca="false">IF($C1717="","","SK"&amp;TEXT($C1717,"yyyymm")&amp;"-"&amp;TEXT(ROW()-4,"0000"))</f>
        <v/>
      </c>
      <c r="C1717" s="33"/>
      <c r="D1717" s="24"/>
      <c r="E1717" s="30" t="str">
        <f aca="false">IF($D1717="","",IFERROR(INDEX(合同单位,MATCH($D1717,合同键,0)),IFERROR(TRIM(LEFT($D1717,FIND("｜",$D1717)-1)),$D1717)))</f>
        <v/>
      </c>
      <c r="F1717" s="30" t="str">
        <f aca="false">IF($D1717="","",IFERROR(INDEX(合同项目,MATCH($D1717,合同键,0)),IFERROR(TRIM(MID($D1717,FIND("｜",$D1717)+1,99)),"")))</f>
        <v/>
      </c>
      <c r="G1717" s="39"/>
      <c r="H1717" s="25"/>
      <c r="I1717" s="35" t="str">
        <f aca="false">IF($H1717="","",IFERROR(INDEX(票据归类表,MATCH($H1717,票据类型表,0)),"现金无票"))</f>
        <v/>
      </c>
      <c r="J1717" s="25"/>
      <c r="K1717" s="25"/>
      <c r="L1717" s="31"/>
      <c r="M1717" s="29" t="str">
        <f aca="false">IF($C1717="","",YEAR($C1717))</f>
        <v/>
      </c>
      <c r="N1717" s="24"/>
      <c r="O1717" s="35" t="str">
        <f aca="false">IF($C1717="","",IF($D1717="","★没选客户项目",IF(COUNTIF(合同键,$D1717)=0,"★《维保合同》里没这个项目",IF(N($G1717)&lt;=0,"★收款金额要填",IF($H1717="","★票据类型要选",IF(AND($L1717&lt;&gt;"",COUNTIF(应收单号,$L1717)=0),"★关联的应收单号不存在",IF(AND($L1717&lt;&gt;"",IFERROR(INDEX(应收键,MATCH($L1717,应收单号,0)),"")&lt;&gt;$D1717),"★关联单号不是这个客户的",IF(AND($L1717&lt;&gt;"",ROUND(SUMIF(收款关联,$L1717,收款金额)-IFERROR(INDEX(应收金额,MATCH($L1717,应收单号,0)),0),2)&gt;0.001),"★指定冲销超过那张单的应收","OK"))))))))</f>
        <v/>
      </c>
    </row>
    <row r="1718" customFormat="false" ht="15" hidden="false" customHeight="false" outlineLevel="0" collapsed="false">
      <c r="A1718" s="29" t="str">
        <f aca="false">IF($C1718="","",ROW()-4)</f>
        <v/>
      </c>
      <c r="B1718" s="35" t="str">
        <f aca="false">IF($C1718="","","SK"&amp;TEXT($C1718,"yyyymm")&amp;"-"&amp;TEXT(ROW()-4,"0000"))</f>
        <v/>
      </c>
      <c r="C1718" s="33"/>
      <c r="D1718" s="24"/>
      <c r="E1718" s="30" t="str">
        <f aca="false">IF($D1718="","",IFERROR(INDEX(合同单位,MATCH($D1718,合同键,0)),IFERROR(TRIM(LEFT($D1718,FIND("｜",$D1718)-1)),$D1718)))</f>
        <v/>
      </c>
      <c r="F1718" s="30" t="str">
        <f aca="false">IF($D1718="","",IFERROR(INDEX(合同项目,MATCH($D1718,合同键,0)),IFERROR(TRIM(MID($D1718,FIND("｜",$D1718)+1,99)),"")))</f>
        <v/>
      </c>
      <c r="G1718" s="39"/>
      <c r="H1718" s="25"/>
      <c r="I1718" s="35" t="str">
        <f aca="false">IF($H1718="","",IFERROR(INDEX(票据归类表,MATCH($H1718,票据类型表,0)),"现金无票"))</f>
        <v/>
      </c>
      <c r="J1718" s="25"/>
      <c r="K1718" s="25"/>
      <c r="L1718" s="31"/>
      <c r="M1718" s="29" t="str">
        <f aca="false">IF($C1718="","",YEAR($C1718))</f>
        <v/>
      </c>
      <c r="N1718" s="24"/>
      <c r="O1718" s="35" t="str">
        <f aca="false">IF($C1718="","",IF($D1718="","★没选客户项目",IF(COUNTIF(合同键,$D1718)=0,"★《维保合同》里没这个项目",IF(N($G1718)&lt;=0,"★收款金额要填",IF($H1718="","★票据类型要选",IF(AND($L1718&lt;&gt;"",COUNTIF(应收单号,$L1718)=0),"★关联的应收单号不存在",IF(AND($L1718&lt;&gt;"",IFERROR(INDEX(应收键,MATCH($L1718,应收单号,0)),"")&lt;&gt;$D1718),"★关联单号不是这个客户的",IF(AND($L1718&lt;&gt;"",ROUND(SUMIF(收款关联,$L1718,收款金额)-IFERROR(INDEX(应收金额,MATCH($L1718,应收单号,0)),0),2)&gt;0.001),"★指定冲销超过那张单的应收","OK"))))))))</f>
        <v/>
      </c>
    </row>
    <row r="1719" customFormat="false" ht="15" hidden="false" customHeight="false" outlineLevel="0" collapsed="false">
      <c r="A1719" s="29" t="str">
        <f aca="false">IF($C1719="","",ROW()-4)</f>
        <v/>
      </c>
      <c r="B1719" s="35" t="str">
        <f aca="false">IF($C1719="","","SK"&amp;TEXT($C1719,"yyyymm")&amp;"-"&amp;TEXT(ROW()-4,"0000"))</f>
        <v/>
      </c>
      <c r="C1719" s="33"/>
      <c r="D1719" s="24"/>
      <c r="E1719" s="30" t="str">
        <f aca="false">IF($D1719="","",IFERROR(INDEX(合同单位,MATCH($D1719,合同键,0)),IFERROR(TRIM(LEFT($D1719,FIND("｜",$D1719)-1)),$D1719)))</f>
        <v/>
      </c>
      <c r="F1719" s="30" t="str">
        <f aca="false">IF($D1719="","",IFERROR(INDEX(合同项目,MATCH($D1719,合同键,0)),IFERROR(TRIM(MID($D1719,FIND("｜",$D1719)+1,99)),"")))</f>
        <v/>
      </c>
      <c r="G1719" s="39"/>
      <c r="H1719" s="25"/>
      <c r="I1719" s="35" t="str">
        <f aca="false">IF($H1719="","",IFERROR(INDEX(票据归类表,MATCH($H1719,票据类型表,0)),"现金无票"))</f>
        <v/>
      </c>
      <c r="J1719" s="25"/>
      <c r="K1719" s="25"/>
      <c r="L1719" s="31"/>
      <c r="M1719" s="29" t="str">
        <f aca="false">IF($C1719="","",YEAR($C1719))</f>
        <v/>
      </c>
      <c r="N1719" s="24"/>
      <c r="O1719" s="35" t="str">
        <f aca="false">IF($C1719="","",IF($D1719="","★没选客户项目",IF(COUNTIF(合同键,$D1719)=0,"★《维保合同》里没这个项目",IF(N($G1719)&lt;=0,"★收款金额要填",IF($H1719="","★票据类型要选",IF(AND($L1719&lt;&gt;"",COUNTIF(应收单号,$L1719)=0),"★关联的应收单号不存在",IF(AND($L1719&lt;&gt;"",IFERROR(INDEX(应收键,MATCH($L1719,应收单号,0)),"")&lt;&gt;$D1719),"★关联单号不是这个客户的",IF(AND($L1719&lt;&gt;"",ROUND(SUMIF(收款关联,$L1719,收款金额)-IFERROR(INDEX(应收金额,MATCH($L1719,应收单号,0)),0),2)&gt;0.001),"★指定冲销超过那张单的应收","OK"))))))))</f>
        <v/>
      </c>
    </row>
    <row r="1720" customFormat="false" ht="15" hidden="false" customHeight="false" outlineLevel="0" collapsed="false">
      <c r="A1720" s="29" t="str">
        <f aca="false">IF($C1720="","",ROW()-4)</f>
        <v/>
      </c>
      <c r="B1720" s="35" t="str">
        <f aca="false">IF($C1720="","","SK"&amp;TEXT($C1720,"yyyymm")&amp;"-"&amp;TEXT(ROW()-4,"0000"))</f>
        <v/>
      </c>
      <c r="C1720" s="33"/>
      <c r="D1720" s="24"/>
      <c r="E1720" s="30" t="str">
        <f aca="false">IF($D1720="","",IFERROR(INDEX(合同单位,MATCH($D1720,合同键,0)),IFERROR(TRIM(LEFT($D1720,FIND("｜",$D1720)-1)),$D1720)))</f>
        <v/>
      </c>
      <c r="F1720" s="30" t="str">
        <f aca="false">IF($D1720="","",IFERROR(INDEX(合同项目,MATCH($D1720,合同键,0)),IFERROR(TRIM(MID($D1720,FIND("｜",$D1720)+1,99)),"")))</f>
        <v/>
      </c>
      <c r="G1720" s="39"/>
      <c r="H1720" s="25"/>
      <c r="I1720" s="35" t="str">
        <f aca="false">IF($H1720="","",IFERROR(INDEX(票据归类表,MATCH($H1720,票据类型表,0)),"现金无票"))</f>
        <v/>
      </c>
      <c r="J1720" s="25"/>
      <c r="K1720" s="25"/>
      <c r="L1720" s="31"/>
      <c r="M1720" s="29" t="str">
        <f aca="false">IF($C1720="","",YEAR($C1720))</f>
        <v/>
      </c>
      <c r="N1720" s="24"/>
      <c r="O1720" s="35" t="str">
        <f aca="false">IF($C1720="","",IF($D1720="","★没选客户项目",IF(COUNTIF(合同键,$D1720)=0,"★《维保合同》里没这个项目",IF(N($G1720)&lt;=0,"★收款金额要填",IF($H1720="","★票据类型要选",IF(AND($L1720&lt;&gt;"",COUNTIF(应收单号,$L1720)=0),"★关联的应收单号不存在",IF(AND($L1720&lt;&gt;"",IFERROR(INDEX(应收键,MATCH($L1720,应收单号,0)),"")&lt;&gt;$D1720),"★关联单号不是这个客户的",IF(AND($L1720&lt;&gt;"",ROUND(SUMIF(收款关联,$L1720,收款金额)-IFERROR(INDEX(应收金额,MATCH($L1720,应收单号,0)),0),2)&gt;0.001),"★指定冲销超过那张单的应收","OK"))))))))</f>
        <v/>
      </c>
    </row>
    <row r="1721" customFormat="false" ht="15" hidden="false" customHeight="false" outlineLevel="0" collapsed="false">
      <c r="A1721" s="29" t="str">
        <f aca="false">IF($C1721="","",ROW()-4)</f>
        <v/>
      </c>
      <c r="B1721" s="35" t="str">
        <f aca="false">IF($C1721="","","SK"&amp;TEXT($C1721,"yyyymm")&amp;"-"&amp;TEXT(ROW()-4,"0000"))</f>
        <v/>
      </c>
      <c r="C1721" s="33"/>
      <c r="D1721" s="24"/>
      <c r="E1721" s="30" t="str">
        <f aca="false">IF($D1721="","",IFERROR(INDEX(合同单位,MATCH($D1721,合同键,0)),IFERROR(TRIM(LEFT($D1721,FIND("｜",$D1721)-1)),$D1721)))</f>
        <v/>
      </c>
      <c r="F1721" s="30" t="str">
        <f aca="false">IF($D1721="","",IFERROR(INDEX(合同项目,MATCH($D1721,合同键,0)),IFERROR(TRIM(MID($D1721,FIND("｜",$D1721)+1,99)),"")))</f>
        <v/>
      </c>
      <c r="G1721" s="39"/>
      <c r="H1721" s="25"/>
      <c r="I1721" s="35" t="str">
        <f aca="false">IF($H1721="","",IFERROR(INDEX(票据归类表,MATCH($H1721,票据类型表,0)),"现金无票"))</f>
        <v/>
      </c>
      <c r="J1721" s="25"/>
      <c r="K1721" s="25"/>
      <c r="L1721" s="31"/>
      <c r="M1721" s="29" t="str">
        <f aca="false">IF($C1721="","",YEAR($C1721))</f>
        <v/>
      </c>
      <c r="N1721" s="24"/>
      <c r="O1721" s="35" t="str">
        <f aca="false">IF($C1721="","",IF($D1721="","★没选客户项目",IF(COUNTIF(合同键,$D1721)=0,"★《维保合同》里没这个项目",IF(N($G1721)&lt;=0,"★收款金额要填",IF($H1721="","★票据类型要选",IF(AND($L1721&lt;&gt;"",COUNTIF(应收单号,$L1721)=0),"★关联的应收单号不存在",IF(AND($L1721&lt;&gt;"",IFERROR(INDEX(应收键,MATCH($L1721,应收单号,0)),"")&lt;&gt;$D1721),"★关联单号不是这个客户的",IF(AND($L1721&lt;&gt;"",ROUND(SUMIF(收款关联,$L1721,收款金额)-IFERROR(INDEX(应收金额,MATCH($L1721,应收单号,0)),0),2)&gt;0.001),"★指定冲销超过那张单的应收","OK"))))))))</f>
        <v/>
      </c>
    </row>
    <row r="1722" customFormat="false" ht="15" hidden="false" customHeight="false" outlineLevel="0" collapsed="false">
      <c r="A1722" s="29" t="str">
        <f aca="false">IF($C1722="","",ROW()-4)</f>
        <v/>
      </c>
      <c r="B1722" s="35" t="str">
        <f aca="false">IF($C1722="","","SK"&amp;TEXT($C1722,"yyyymm")&amp;"-"&amp;TEXT(ROW()-4,"0000"))</f>
        <v/>
      </c>
      <c r="C1722" s="33"/>
      <c r="D1722" s="24"/>
      <c r="E1722" s="30" t="str">
        <f aca="false">IF($D1722="","",IFERROR(INDEX(合同单位,MATCH($D1722,合同键,0)),IFERROR(TRIM(LEFT($D1722,FIND("｜",$D1722)-1)),$D1722)))</f>
        <v/>
      </c>
      <c r="F1722" s="30" t="str">
        <f aca="false">IF($D1722="","",IFERROR(INDEX(合同项目,MATCH($D1722,合同键,0)),IFERROR(TRIM(MID($D1722,FIND("｜",$D1722)+1,99)),"")))</f>
        <v/>
      </c>
      <c r="G1722" s="39"/>
      <c r="H1722" s="25"/>
      <c r="I1722" s="35" t="str">
        <f aca="false">IF($H1722="","",IFERROR(INDEX(票据归类表,MATCH($H1722,票据类型表,0)),"现金无票"))</f>
        <v/>
      </c>
      <c r="J1722" s="25"/>
      <c r="K1722" s="25"/>
      <c r="L1722" s="31"/>
      <c r="M1722" s="29" t="str">
        <f aca="false">IF($C1722="","",YEAR($C1722))</f>
        <v/>
      </c>
      <c r="N1722" s="24"/>
      <c r="O1722" s="35" t="str">
        <f aca="false">IF($C1722="","",IF($D1722="","★没选客户项目",IF(COUNTIF(合同键,$D1722)=0,"★《维保合同》里没这个项目",IF(N($G1722)&lt;=0,"★收款金额要填",IF($H1722="","★票据类型要选",IF(AND($L1722&lt;&gt;"",COUNTIF(应收单号,$L1722)=0),"★关联的应收单号不存在",IF(AND($L1722&lt;&gt;"",IFERROR(INDEX(应收键,MATCH($L1722,应收单号,0)),"")&lt;&gt;$D1722),"★关联单号不是这个客户的",IF(AND($L1722&lt;&gt;"",ROUND(SUMIF(收款关联,$L1722,收款金额)-IFERROR(INDEX(应收金额,MATCH($L1722,应收单号,0)),0),2)&gt;0.001),"★指定冲销超过那张单的应收","OK"))))))))</f>
        <v/>
      </c>
    </row>
    <row r="1723" customFormat="false" ht="15" hidden="false" customHeight="false" outlineLevel="0" collapsed="false">
      <c r="A1723" s="29" t="str">
        <f aca="false">IF($C1723="","",ROW()-4)</f>
        <v/>
      </c>
      <c r="B1723" s="35" t="str">
        <f aca="false">IF($C1723="","","SK"&amp;TEXT($C1723,"yyyymm")&amp;"-"&amp;TEXT(ROW()-4,"0000"))</f>
        <v/>
      </c>
      <c r="C1723" s="33"/>
      <c r="D1723" s="24"/>
      <c r="E1723" s="30" t="str">
        <f aca="false">IF($D1723="","",IFERROR(INDEX(合同单位,MATCH($D1723,合同键,0)),IFERROR(TRIM(LEFT($D1723,FIND("｜",$D1723)-1)),$D1723)))</f>
        <v/>
      </c>
      <c r="F1723" s="30" t="str">
        <f aca="false">IF($D1723="","",IFERROR(INDEX(合同项目,MATCH($D1723,合同键,0)),IFERROR(TRIM(MID($D1723,FIND("｜",$D1723)+1,99)),"")))</f>
        <v/>
      </c>
      <c r="G1723" s="39"/>
      <c r="H1723" s="25"/>
      <c r="I1723" s="35" t="str">
        <f aca="false">IF($H1723="","",IFERROR(INDEX(票据归类表,MATCH($H1723,票据类型表,0)),"现金无票"))</f>
        <v/>
      </c>
      <c r="J1723" s="25"/>
      <c r="K1723" s="25"/>
      <c r="L1723" s="31"/>
      <c r="M1723" s="29" t="str">
        <f aca="false">IF($C1723="","",YEAR($C1723))</f>
        <v/>
      </c>
      <c r="N1723" s="24"/>
      <c r="O1723" s="35" t="str">
        <f aca="false">IF($C1723="","",IF($D1723="","★没选客户项目",IF(COUNTIF(合同键,$D1723)=0,"★《维保合同》里没这个项目",IF(N($G1723)&lt;=0,"★收款金额要填",IF($H1723="","★票据类型要选",IF(AND($L1723&lt;&gt;"",COUNTIF(应收单号,$L1723)=0),"★关联的应收单号不存在",IF(AND($L1723&lt;&gt;"",IFERROR(INDEX(应收键,MATCH($L1723,应收单号,0)),"")&lt;&gt;$D1723),"★关联单号不是这个客户的",IF(AND($L1723&lt;&gt;"",ROUND(SUMIF(收款关联,$L1723,收款金额)-IFERROR(INDEX(应收金额,MATCH($L1723,应收单号,0)),0),2)&gt;0.001),"★指定冲销超过那张单的应收","OK"))))))))</f>
        <v/>
      </c>
    </row>
    <row r="1724" customFormat="false" ht="15" hidden="false" customHeight="false" outlineLevel="0" collapsed="false">
      <c r="A1724" s="29" t="str">
        <f aca="false">IF($C1724="","",ROW()-4)</f>
        <v/>
      </c>
      <c r="B1724" s="35" t="str">
        <f aca="false">IF($C1724="","","SK"&amp;TEXT($C1724,"yyyymm")&amp;"-"&amp;TEXT(ROW()-4,"0000"))</f>
        <v/>
      </c>
      <c r="C1724" s="33"/>
      <c r="D1724" s="24"/>
      <c r="E1724" s="30" t="str">
        <f aca="false">IF($D1724="","",IFERROR(INDEX(合同单位,MATCH($D1724,合同键,0)),IFERROR(TRIM(LEFT($D1724,FIND("｜",$D1724)-1)),$D1724)))</f>
        <v/>
      </c>
      <c r="F1724" s="30" t="str">
        <f aca="false">IF($D1724="","",IFERROR(INDEX(合同项目,MATCH($D1724,合同键,0)),IFERROR(TRIM(MID($D1724,FIND("｜",$D1724)+1,99)),"")))</f>
        <v/>
      </c>
      <c r="G1724" s="39"/>
      <c r="H1724" s="25"/>
      <c r="I1724" s="35" t="str">
        <f aca="false">IF($H1724="","",IFERROR(INDEX(票据归类表,MATCH($H1724,票据类型表,0)),"现金无票"))</f>
        <v/>
      </c>
      <c r="J1724" s="25"/>
      <c r="K1724" s="25"/>
      <c r="L1724" s="31"/>
      <c r="M1724" s="29" t="str">
        <f aca="false">IF($C1724="","",YEAR($C1724))</f>
        <v/>
      </c>
      <c r="N1724" s="24"/>
      <c r="O1724" s="35" t="str">
        <f aca="false">IF($C1724="","",IF($D1724="","★没选客户项目",IF(COUNTIF(合同键,$D1724)=0,"★《维保合同》里没这个项目",IF(N($G1724)&lt;=0,"★收款金额要填",IF($H1724="","★票据类型要选",IF(AND($L1724&lt;&gt;"",COUNTIF(应收单号,$L1724)=0),"★关联的应收单号不存在",IF(AND($L1724&lt;&gt;"",IFERROR(INDEX(应收键,MATCH($L1724,应收单号,0)),"")&lt;&gt;$D1724),"★关联单号不是这个客户的",IF(AND($L1724&lt;&gt;"",ROUND(SUMIF(收款关联,$L1724,收款金额)-IFERROR(INDEX(应收金额,MATCH($L1724,应收单号,0)),0),2)&gt;0.001),"★指定冲销超过那张单的应收","OK"))))))))</f>
        <v/>
      </c>
    </row>
    <row r="1725" customFormat="false" ht="15" hidden="false" customHeight="false" outlineLevel="0" collapsed="false">
      <c r="A1725" s="29" t="str">
        <f aca="false">IF($C1725="","",ROW()-4)</f>
        <v/>
      </c>
      <c r="B1725" s="35" t="str">
        <f aca="false">IF($C1725="","","SK"&amp;TEXT($C1725,"yyyymm")&amp;"-"&amp;TEXT(ROW()-4,"0000"))</f>
        <v/>
      </c>
      <c r="C1725" s="33"/>
      <c r="D1725" s="24"/>
      <c r="E1725" s="30" t="str">
        <f aca="false">IF($D1725="","",IFERROR(INDEX(合同单位,MATCH($D1725,合同键,0)),IFERROR(TRIM(LEFT($D1725,FIND("｜",$D1725)-1)),$D1725)))</f>
        <v/>
      </c>
      <c r="F1725" s="30" t="str">
        <f aca="false">IF($D1725="","",IFERROR(INDEX(合同项目,MATCH($D1725,合同键,0)),IFERROR(TRIM(MID($D1725,FIND("｜",$D1725)+1,99)),"")))</f>
        <v/>
      </c>
      <c r="G1725" s="39"/>
      <c r="H1725" s="25"/>
      <c r="I1725" s="35" t="str">
        <f aca="false">IF($H1725="","",IFERROR(INDEX(票据归类表,MATCH($H1725,票据类型表,0)),"现金无票"))</f>
        <v/>
      </c>
      <c r="J1725" s="25"/>
      <c r="K1725" s="25"/>
      <c r="L1725" s="31"/>
      <c r="M1725" s="29" t="str">
        <f aca="false">IF($C1725="","",YEAR($C1725))</f>
        <v/>
      </c>
      <c r="N1725" s="24"/>
      <c r="O1725" s="35" t="str">
        <f aca="false">IF($C1725="","",IF($D1725="","★没选客户项目",IF(COUNTIF(合同键,$D1725)=0,"★《维保合同》里没这个项目",IF(N($G1725)&lt;=0,"★收款金额要填",IF($H1725="","★票据类型要选",IF(AND($L1725&lt;&gt;"",COUNTIF(应收单号,$L1725)=0),"★关联的应收单号不存在",IF(AND($L1725&lt;&gt;"",IFERROR(INDEX(应收键,MATCH($L1725,应收单号,0)),"")&lt;&gt;$D1725),"★关联单号不是这个客户的",IF(AND($L1725&lt;&gt;"",ROUND(SUMIF(收款关联,$L1725,收款金额)-IFERROR(INDEX(应收金额,MATCH($L1725,应收单号,0)),0),2)&gt;0.001),"★指定冲销超过那张单的应收","OK"))))))))</f>
        <v/>
      </c>
    </row>
    <row r="1726" customFormat="false" ht="15" hidden="false" customHeight="false" outlineLevel="0" collapsed="false">
      <c r="A1726" s="29" t="str">
        <f aca="false">IF($C1726="","",ROW()-4)</f>
        <v/>
      </c>
      <c r="B1726" s="35" t="str">
        <f aca="false">IF($C1726="","","SK"&amp;TEXT($C1726,"yyyymm")&amp;"-"&amp;TEXT(ROW()-4,"0000"))</f>
        <v/>
      </c>
      <c r="C1726" s="33"/>
      <c r="D1726" s="24"/>
      <c r="E1726" s="30" t="str">
        <f aca="false">IF($D1726="","",IFERROR(INDEX(合同单位,MATCH($D1726,合同键,0)),IFERROR(TRIM(LEFT($D1726,FIND("｜",$D1726)-1)),$D1726)))</f>
        <v/>
      </c>
      <c r="F1726" s="30" t="str">
        <f aca="false">IF($D1726="","",IFERROR(INDEX(合同项目,MATCH($D1726,合同键,0)),IFERROR(TRIM(MID($D1726,FIND("｜",$D1726)+1,99)),"")))</f>
        <v/>
      </c>
      <c r="G1726" s="39"/>
      <c r="H1726" s="25"/>
      <c r="I1726" s="35" t="str">
        <f aca="false">IF($H1726="","",IFERROR(INDEX(票据归类表,MATCH($H1726,票据类型表,0)),"现金无票"))</f>
        <v/>
      </c>
      <c r="J1726" s="25"/>
      <c r="K1726" s="25"/>
      <c r="L1726" s="31"/>
      <c r="M1726" s="29" t="str">
        <f aca="false">IF($C1726="","",YEAR($C1726))</f>
        <v/>
      </c>
      <c r="N1726" s="24"/>
      <c r="O1726" s="35" t="str">
        <f aca="false">IF($C1726="","",IF($D1726="","★没选客户项目",IF(COUNTIF(合同键,$D1726)=0,"★《维保合同》里没这个项目",IF(N($G1726)&lt;=0,"★收款金额要填",IF($H1726="","★票据类型要选",IF(AND($L1726&lt;&gt;"",COUNTIF(应收单号,$L1726)=0),"★关联的应收单号不存在",IF(AND($L1726&lt;&gt;"",IFERROR(INDEX(应收键,MATCH($L1726,应收单号,0)),"")&lt;&gt;$D1726),"★关联单号不是这个客户的",IF(AND($L1726&lt;&gt;"",ROUND(SUMIF(收款关联,$L1726,收款金额)-IFERROR(INDEX(应收金额,MATCH($L1726,应收单号,0)),0),2)&gt;0.001),"★指定冲销超过那张单的应收","OK"))))))))</f>
        <v/>
      </c>
    </row>
    <row r="1727" customFormat="false" ht="15" hidden="false" customHeight="false" outlineLevel="0" collapsed="false">
      <c r="A1727" s="29" t="str">
        <f aca="false">IF($C1727="","",ROW()-4)</f>
        <v/>
      </c>
      <c r="B1727" s="35" t="str">
        <f aca="false">IF($C1727="","","SK"&amp;TEXT($C1727,"yyyymm")&amp;"-"&amp;TEXT(ROW()-4,"0000"))</f>
        <v/>
      </c>
      <c r="C1727" s="33"/>
      <c r="D1727" s="24"/>
      <c r="E1727" s="30" t="str">
        <f aca="false">IF($D1727="","",IFERROR(INDEX(合同单位,MATCH($D1727,合同键,0)),IFERROR(TRIM(LEFT($D1727,FIND("｜",$D1727)-1)),$D1727)))</f>
        <v/>
      </c>
      <c r="F1727" s="30" t="str">
        <f aca="false">IF($D1727="","",IFERROR(INDEX(合同项目,MATCH($D1727,合同键,0)),IFERROR(TRIM(MID($D1727,FIND("｜",$D1727)+1,99)),"")))</f>
        <v/>
      </c>
      <c r="G1727" s="39"/>
      <c r="H1727" s="25"/>
      <c r="I1727" s="35" t="str">
        <f aca="false">IF($H1727="","",IFERROR(INDEX(票据归类表,MATCH($H1727,票据类型表,0)),"现金无票"))</f>
        <v/>
      </c>
      <c r="J1727" s="25"/>
      <c r="K1727" s="25"/>
      <c r="L1727" s="31"/>
      <c r="M1727" s="29" t="str">
        <f aca="false">IF($C1727="","",YEAR($C1727))</f>
        <v/>
      </c>
      <c r="N1727" s="24"/>
      <c r="O1727" s="35" t="str">
        <f aca="false">IF($C1727="","",IF($D1727="","★没选客户项目",IF(COUNTIF(合同键,$D1727)=0,"★《维保合同》里没这个项目",IF(N($G1727)&lt;=0,"★收款金额要填",IF($H1727="","★票据类型要选",IF(AND($L1727&lt;&gt;"",COUNTIF(应收单号,$L1727)=0),"★关联的应收单号不存在",IF(AND($L1727&lt;&gt;"",IFERROR(INDEX(应收键,MATCH($L1727,应收单号,0)),"")&lt;&gt;$D1727),"★关联单号不是这个客户的",IF(AND($L1727&lt;&gt;"",ROUND(SUMIF(收款关联,$L1727,收款金额)-IFERROR(INDEX(应收金额,MATCH($L1727,应收单号,0)),0),2)&gt;0.001),"★指定冲销超过那张单的应收","OK"))))))))</f>
        <v/>
      </c>
    </row>
    <row r="1728" customFormat="false" ht="15" hidden="false" customHeight="false" outlineLevel="0" collapsed="false">
      <c r="A1728" s="29" t="str">
        <f aca="false">IF($C1728="","",ROW()-4)</f>
        <v/>
      </c>
      <c r="B1728" s="35" t="str">
        <f aca="false">IF($C1728="","","SK"&amp;TEXT($C1728,"yyyymm")&amp;"-"&amp;TEXT(ROW()-4,"0000"))</f>
        <v/>
      </c>
      <c r="C1728" s="33"/>
      <c r="D1728" s="24"/>
      <c r="E1728" s="30" t="str">
        <f aca="false">IF($D1728="","",IFERROR(INDEX(合同单位,MATCH($D1728,合同键,0)),IFERROR(TRIM(LEFT($D1728,FIND("｜",$D1728)-1)),$D1728)))</f>
        <v/>
      </c>
      <c r="F1728" s="30" t="str">
        <f aca="false">IF($D1728="","",IFERROR(INDEX(合同项目,MATCH($D1728,合同键,0)),IFERROR(TRIM(MID($D1728,FIND("｜",$D1728)+1,99)),"")))</f>
        <v/>
      </c>
      <c r="G1728" s="39"/>
      <c r="H1728" s="25"/>
      <c r="I1728" s="35" t="str">
        <f aca="false">IF($H1728="","",IFERROR(INDEX(票据归类表,MATCH($H1728,票据类型表,0)),"现金无票"))</f>
        <v/>
      </c>
      <c r="J1728" s="25"/>
      <c r="K1728" s="25"/>
      <c r="L1728" s="31"/>
      <c r="M1728" s="29" t="str">
        <f aca="false">IF($C1728="","",YEAR($C1728))</f>
        <v/>
      </c>
      <c r="N1728" s="24"/>
      <c r="O1728" s="35" t="str">
        <f aca="false">IF($C1728="","",IF($D1728="","★没选客户项目",IF(COUNTIF(合同键,$D1728)=0,"★《维保合同》里没这个项目",IF(N($G1728)&lt;=0,"★收款金额要填",IF($H1728="","★票据类型要选",IF(AND($L1728&lt;&gt;"",COUNTIF(应收单号,$L1728)=0),"★关联的应收单号不存在",IF(AND($L1728&lt;&gt;"",IFERROR(INDEX(应收键,MATCH($L1728,应收单号,0)),"")&lt;&gt;$D1728),"★关联单号不是这个客户的",IF(AND($L1728&lt;&gt;"",ROUND(SUMIF(收款关联,$L1728,收款金额)-IFERROR(INDEX(应收金额,MATCH($L1728,应收单号,0)),0),2)&gt;0.001),"★指定冲销超过那张单的应收","OK"))))))))</f>
        <v/>
      </c>
    </row>
    <row r="1729" customFormat="false" ht="15" hidden="false" customHeight="false" outlineLevel="0" collapsed="false">
      <c r="A1729" s="29" t="str">
        <f aca="false">IF($C1729="","",ROW()-4)</f>
        <v/>
      </c>
      <c r="B1729" s="35" t="str">
        <f aca="false">IF($C1729="","","SK"&amp;TEXT($C1729,"yyyymm")&amp;"-"&amp;TEXT(ROW()-4,"0000"))</f>
        <v/>
      </c>
      <c r="C1729" s="33"/>
      <c r="D1729" s="24"/>
      <c r="E1729" s="30" t="str">
        <f aca="false">IF($D1729="","",IFERROR(INDEX(合同单位,MATCH($D1729,合同键,0)),IFERROR(TRIM(LEFT($D1729,FIND("｜",$D1729)-1)),$D1729)))</f>
        <v/>
      </c>
      <c r="F1729" s="30" t="str">
        <f aca="false">IF($D1729="","",IFERROR(INDEX(合同项目,MATCH($D1729,合同键,0)),IFERROR(TRIM(MID($D1729,FIND("｜",$D1729)+1,99)),"")))</f>
        <v/>
      </c>
      <c r="G1729" s="39"/>
      <c r="H1729" s="25"/>
      <c r="I1729" s="35" t="str">
        <f aca="false">IF($H1729="","",IFERROR(INDEX(票据归类表,MATCH($H1729,票据类型表,0)),"现金无票"))</f>
        <v/>
      </c>
      <c r="J1729" s="25"/>
      <c r="K1729" s="25"/>
      <c r="L1729" s="31"/>
      <c r="M1729" s="29" t="str">
        <f aca="false">IF($C1729="","",YEAR($C1729))</f>
        <v/>
      </c>
      <c r="N1729" s="24"/>
      <c r="O1729" s="35" t="str">
        <f aca="false">IF($C1729="","",IF($D1729="","★没选客户项目",IF(COUNTIF(合同键,$D1729)=0,"★《维保合同》里没这个项目",IF(N($G1729)&lt;=0,"★收款金额要填",IF($H1729="","★票据类型要选",IF(AND($L1729&lt;&gt;"",COUNTIF(应收单号,$L1729)=0),"★关联的应收单号不存在",IF(AND($L1729&lt;&gt;"",IFERROR(INDEX(应收键,MATCH($L1729,应收单号,0)),"")&lt;&gt;$D1729),"★关联单号不是这个客户的",IF(AND($L1729&lt;&gt;"",ROUND(SUMIF(收款关联,$L1729,收款金额)-IFERROR(INDEX(应收金额,MATCH($L1729,应收单号,0)),0),2)&gt;0.001),"★指定冲销超过那张单的应收","OK"))))))))</f>
        <v/>
      </c>
    </row>
    <row r="1730" customFormat="false" ht="15" hidden="false" customHeight="false" outlineLevel="0" collapsed="false">
      <c r="A1730" s="29" t="str">
        <f aca="false">IF($C1730="","",ROW()-4)</f>
        <v/>
      </c>
      <c r="B1730" s="35" t="str">
        <f aca="false">IF($C1730="","","SK"&amp;TEXT($C1730,"yyyymm")&amp;"-"&amp;TEXT(ROW()-4,"0000"))</f>
        <v/>
      </c>
      <c r="C1730" s="33"/>
      <c r="D1730" s="24"/>
      <c r="E1730" s="30" t="str">
        <f aca="false">IF($D1730="","",IFERROR(INDEX(合同单位,MATCH($D1730,合同键,0)),IFERROR(TRIM(LEFT($D1730,FIND("｜",$D1730)-1)),$D1730)))</f>
        <v/>
      </c>
      <c r="F1730" s="30" t="str">
        <f aca="false">IF($D1730="","",IFERROR(INDEX(合同项目,MATCH($D1730,合同键,0)),IFERROR(TRIM(MID($D1730,FIND("｜",$D1730)+1,99)),"")))</f>
        <v/>
      </c>
      <c r="G1730" s="39"/>
      <c r="H1730" s="25"/>
      <c r="I1730" s="35" t="str">
        <f aca="false">IF($H1730="","",IFERROR(INDEX(票据归类表,MATCH($H1730,票据类型表,0)),"现金无票"))</f>
        <v/>
      </c>
      <c r="J1730" s="25"/>
      <c r="K1730" s="25"/>
      <c r="L1730" s="31"/>
      <c r="M1730" s="29" t="str">
        <f aca="false">IF($C1730="","",YEAR($C1730))</f>
        <v/>
      </c>
      <c r="N1730" s="24"/>
      <c r="O1730" s="35" t="str">
        <f aca="false">IF($C1730="","",IF($D1730="","★没选客户项目",IF(COUNTIF(合同键,$D1730)=0,"★《维保合同》里没这个项目",IF(N($G1730)&lt;=0,"★收款金额要填",IF($H1730="","★票据类型要选",IF(AND($L1730&lt;&gt;"",COUNTIF(应收单号,$L1730)=0),"★关联的应收单号不存在",IF(AND($L1730&lt;&gt;"",IFERROR(INDEX(应收键,MATCH($L1730,应收单号,0)),"")&lt;&gt;$D1730),"★关联单号不是这个客户的",IF(AND($L1730&lt;&gt;"",ROUND(SUMIF(收款关联,$L1730,收款金额)-IFERROR(INDEX(应收金额,MATCH($L1730,应收单号,0)),0),2)&gt;0.001),"★指定冲销超过那张单的应收","OK"))))))))</f>
        <v/>
      </c>
    </row>
    <row r="1731" customFormat="false" ht="15" hidden="false" customHeight="false" outlineLevel="0" collapsed="false">
      <c r="A1731" s="29" t="str">
        <f aca="false">IF($C1731="","",ROW()-4)</f>
        <v/>
      </c>
      <c r="B1731" s="35" t="str">
        <f aca="false">IF($C1731="","","SK"&amp;TEXT($C1731,"yyyymm")&amp;"-"&amp;TEXT(ROW()-4,"0000"))</f>
        <v/>
      </c>
      <c r="C1731" s="33"/>
      <c r="D1731" s="24"/>
      <c r="E1731" s="30" t="str">
        <f aca="false">IF($D1731="","",IFERROR(INDEX(合同单位,MATCH($D1731,合同键,0)),IFERROR(TRIM(LEFT($D1731,FIND("｜",$D1731)-1)),$D1731)))</f>
        <v/>
      </c>
      <c r="F1731" s="30" t="str">
        <f aca="false">IF($D1731="","",IFERROR(INDEX(合同项目,MATCH($D1731,合同键,0)),IFERROR(TRIM(MID($D1731,FIND("｜",$D1731)+1,99)),"")))</f>
        <v/>
      </c>
      <c r="G1731" s="39"/>
      <c r="H1731" s="25"/>
      <c r="I1731" s="35" t="str">
        <f aca="false">IF($H1731="","",IFERROR(INDEX(票据归类表,MATCH($H1731,票据类型表,0)),"现金无票"))</f>
        <v/>
      </c>
      <c r="J1731" s="25"/>
      <c r="K1731" s="25"/>
      <c r="L1731" s="31"/>
      <c r="M1731" s="29" t="str">
        <f aca="false">IF($C1731="","",YEAR($C1731))</f>
        <v/>
      </c>
      <c r="N1731" s="24"/>
      <c r="O1731" s="35" t="str">
        <f aca="false">IF($C1731="","",IF($D1731="","★没选客户项目",IF(COUNTIF(合同键,$D1731)=0,"★《维保合同》里没这个项目",IF(N($G1731)&lt;=0,"★收款金额要填",IF($H1731="","★票据类型要选",IF(AND($L1731&lt;&gt;"",COUNTIF(应收单号,$L1731)=0),"★关联的应收单号不存在",IF(AND($L1731&lt;&gt;"",IFERROR(INDEX(应收键,MATCH($L1731,应收单号,0)),"")&lt;&gt;$D1731),"★关联单号不是这个客户的",IF(AND($L1731&lt;&gt;"",ROUND(SUMIF(收款关联,$L1731,收款金额)-IFERROR(INDEX(应收金额,MATCH($L1731,应收单号,0)),0),2)&gt;0.001),"★指定冲销超过那张单的应收","OK"))))))))</f>
        <v/>
      </c>
    </row>
    <row r="1732" customFormat="false" ht="15" hidden="false" customHeight="false" outlineLevel="0" collapsed="false">
      <c r="A1732" s="29" t="str">
        <f aca="false">IF($C1732="","",ROW()-4)</f>
        <v/>
      </c>
      <c r="B1732" s="35" t="str">
        <f aca="false">IF($C1732="","","SK"&amp;TEXT($C1732,"yyyymm")&amp;"-"&amp;TEXT(ROW()-4,"0000"))</f>
        <v/>
      </c>
      <c r="C1732" s="33"/>
      <c r="D1732" s="24"/>
      <c r="E1732" s="30" t="str">
        <f aca="false">IF($D1732="","",IFERROR(INDEX(合同单位,MATCH($D1732,合同键,0)),IFERROR(TRIM(LEFT($D1732,FIND("｜",$D1732)-1)),$D1732)))</f>
        <v/>
      </c>
      <c r="F1732" s="30" t="str">
        <f aca="false">IF($D1732="","",IFERROR(INDEX(合同项目,MATCH($D1732,合同键,0)),IFERROR(TRIM(MID($D1732,FIND("｜",$D1732)+1,99)),"")))</f>
        <v/>
      </c>
      <c r="G1732" s="39"/>
      <c r="H1732" s="25"/>
      <c r="I1732" s="35" t="str">
        <f aca="false">IF($H1732="","",IFERROR(INDEX(票据归类表,MATCH($H1732,票据类型表,0)),"现金无票"))</f>
        <v/>
      </c>
      <c r="J1732" s="25"/>
      <c r="K1732" s="25"/>
      <c r="L1732" s="31"/>
      <c r="M1732" s="29" t="str">
        <f aca="false">IF($C1732="","",YEAR($C1732))</f>
        <v/>
      </c>
      <c r="N1732" s="24"/>
      <c r="O1732" s="35" t="str">
        <f aca="false">IF($C1732="","",IF($D1732="","★没选客户项目",IF(COUNTIF(合同键,$D1732)=0,"★《维保合同》里没这个项目",IF(N($G1732)&lt;=0,"★收款金额要填",IF($H1732="","★票据类型要选",IF(AND($L1732&lt;&gt;"",COUNTIF(应收单号,$L1732)=0),"★关联的应收单号不存在",IF(AND($L1732&lt;&gt;"",IFERROR(INDEX(应收键,MATCH($L1732,应收单号,0)),"")&lt;&gt;$D1732),"★关联单号不是这个客户的",IF(AND($L1732&lt;&gt;"",ROUND(SUMIF(收款关联,$L1732,收款金额)-IFERROR(INDEX(应收金额,MATCH($L1732,应收单号,0)),0),2)&gt;0.001),"★指定冲销超过那张单的应收","OK"))))))))</f>
        <v/>
      </c>
    </row>
    <row r="1733" customFormat="false" ht="15" hidden="false" customHeight="false" outlineLevel="0" collapsed="false">
      <c r="A1733" s="29" t="str">
        <f aca="false">IF($C1733="","",ROW()-4)</f>
        <v/>
      </c>
      <c r="B1733" s="35" t="str">
        <f aca="false">IF($C1733="","","SK"&amp;TEXT($C1733,"yyyymm")&amp;"-"&amp;TEXT(ROW()-4,"0000"))</f>
        <v/>
      </c>
      <c r="C1733" s="33"/>
      <c r="D1733" s="24"/>
      <c r="E1733" s="30" t="str">
        <f aca="false">IF($D1733="","",IFERROR(INDEX(合同单位,MATCH($D1733,合同键,0)),IFERROR(TRIM(LEFT($D1733,FIND("｜",$D1733)-1)),$D1733)))</f>
        <v/>
      </c>
      <c r="F1733" s="30" t="str">
        <f aca="false">IF($D1733="","",IFERROR(INDEX(合同项目,MATCH($D1733,合同键,0)),IFERROR(TRIM(MID($D1733,FIND("｜",$D1733)+1,99)),"")))</f>
        <v/>
      </c>
      <c r="G1733" s="39"/>
      <c r="H1733" s="25"/>
      <c r="I1733" s="35" t="str">
        <f aca="false">IF($H1733="","",IFERROR(INDEX(票据归类表,MATCH($H1733,票据类型表,0)),"现金无票"))</f>
        <v/>
      </c>
      <c r="J1733" s="25"/>
      <c r="K1733" s="25"/>
      <c r="L1733" s="31"/>
      <c r="M1733" s="29" t="str">
        <f aca="false">IF($C1733="","",YEAR($C1733))</f>
        <v/>
      </c>
      <c r="N1733" s="24"/>
      <c r="O1733" s="35" t="str">
        <f aca="false">IF($C1733="","",IF($D1733="","★没选客户项目",IF(COUNTIF(合同键,$D1733)=0,"★《维保合同》里没这个项目",IF(N($G1733)&lt;=0,"★收款金额要填",IF($H1733="","★票据类型要选",IF(AND($L1733&lt;&gt;"",COUNTIF(应收单号,$L1733)=0),"★关联的应收单号不存在",IF(AND($L1733&lt;&gt;"",IFERROR(INDEX(应收键,MATCH($L1733,应收单号,0)),"")&lt;&gt;$D1733),"★关联单号不是这个客户的",IF(AND($L1733&lt;&gt;"",ROUND(SUMIF(收款关联,$L1733,收款金额)-IFERROR(INDEX(应收金额,MATCH($L1733,应收单号,0)),0),2)&gt;0.001),"★指定冲销超过那张单的应收","OK"))))))))</f>
        <v/>
      </c>
    </row>
    <row r="1734" customFormat="false" ht="15" hidden="false" customHeight="false" outlineLevel="0" collapsed="false">
      <c r="A1734" s="29" t="str">
        <f aca="false">IF($C1734="","",ROW()-4)</f>
        <v/>
      </c>
      <c r="B1734" s="35" t="str">
        <f aca="false">IF($C1734="","","SK"&amp;TEXT($C1734,"yyyymm")&amp;"-"&amp;TEXT(ROW()-4,"0000"))</f>
        <v/>
      </c>
      <c r="C1734" s="33"/>
      <c r="D1734" s="24"/>
      <c r="E1734" s="30" t="str">
        <f aca="false">IF($D1734="","",IFERROR(INDEX(合同单位,MATCH($D1734,合同键,0)),IFERROR(TRIM(LEFT($D1734,FIND("｜",$D1734)-1)),$D1734)))</f>
        <v/>
      </c>
      <c r="F1734" s="30" t="str">
        <f aca="false">IF($D1734="","",IFERROR(INDEX(合同项目,MATCH($D1734,合同键,0)),IFERROR(TRIM(MID($D1734,FIND("｜",$D1734)+1,99)),"")))</f>
        <v/>
      </c>
      <c r="G1734" s="39"/>
      <c r="H1734" s="25"/>
      <c r="I1734" s="35" t="str">
        <f aca="false">IF($H1734="","",IFERROR(INDEX(票据归类表,MATCH($H1734,票据类型表,0)),"现金无票"))</f>
        <v/>
      </c>
      <c r="J1734" s="25"/>
      <c r="K1734" s="25"/>
      <c r="L1734" s="31"/>
      <c r="M1734" s="29" t="str">
        <f aca="false">IF($C1734="","",YEAR($C1734))</f>
        <v/>
      </c>
      <c r="N1734" s="24"/>
      <c r="O1734" s="35" t="str">
        <f aca="false">IF($C1734="","",IF($D1734="","★没选客户项目",IF(COUNTIF(合同键,$D1734)=0,"★《维保合同》里没这个项目",IF(N($G1734)&lt;=0,"★收款金额要填",IF($H1734="","★票据类型要选",IF(AND($L1734&lt;&gt;"",COUNTIF(应收单号,$L1734)=0),"★关联的应收单号不存在",IF(AND($L1734&lt;&gt;"",IFERROR(INDEX(应收键,MATCH($L1734,应收单号,0)),"")&lt;&gt;$D1734),"★关联单号不是这个客户的",IF(AND($L1734&lt;&gt;"",ROUND(SUMIF(收款关联,$L1734,收款金额)-IFERROR(INDEX(应收金额,MATCH($L1734,应收单号,0)),0),2)&gt;0.001),"★指定冲销超过那张单的应收","OK"))))))))</f>
        <v/>
      </c>
    </row>
    <row r="1735" customFormat="false" ht="15" hidden="false" customHeight="false" outlineLevel="0" collapsed="false">
      <c r="A1735" s="29" t="str">
        <f aca="false">IF($C1735="","",ROW()-4)</f>
        <v/>
      </c>
      <c r="B1735" s="35" t="str">
        <f aca="false">IF($C1735="","","SK"&amp;TEXT($C1735,"yyyymm")&amp;"-"&amp;TEXT(ROW()-4,"0000"))</f>
        <v/>
      </c>
      <c r="C1735" s="33"/>
      <c r="D1735" s="24"/>
      <c r="E1735" s="30" t="str">
        <f aca="false">IF($D1735="","",IFERROR(INDEX(合同单位,MATCH($D1735,合同键,0)),IFERROR(TRIM(LEFT($D1735,FIND("｜",$D1735)-1)),$D1735)))</f>
        <v/>
      </c>
      <c r="F1735" s="30" t="str">
        <f aca="false">IF($D1735="","",IFERROR(INDEX(合同项目,MATCH($D1735,合同键,0)),IFERROR(TRIM(MID($D1735,FIND("｜",$D1735)+1,99)),"")))</f>
        <v/>
      </c>
      <c r="G1735" s="39"/>
      <c r="H1735" s="25"/>
      <c r="I1735" s="35" t="str">
        <f aca="false">IF($H1735="","",IFERROR(INDEX(票据归类表,MATCH($H1735,票据类型表,0)),"现金无票"))</f>
        <v/>
      </c>
      <c r="J1735" s="25"/>
      <c r="K1735" s="25"/>
      <c r="L1735" s="31"/>
      <c r="M1735" s="29" t="str">
        <f aca="false">IF($C1735="","",YEAR($C1735))</f>
        <v/>
      </c>
      <c r="N1735" s="24"/>
      <c r="O1735" s="35" t="str">
        <f aca="false">IF($C1735="","",IF($D1735="","★没选客户项目",IF(COUNTIF(合同键,$D1735)=0,"★《维保合同》里没这个项目",IF(N($G1735)&lt;=0,"★收款金额要填",IF($H1735="","★票据类型要选",IF(AND($L1735&lt;&gt;"",COUNTIF(应收单号,$L1735)=0),"★关联的应收单号不存在",IF(AND($L1735&lt;&gt;"",IFERROR(INDEX(应收键,MATCH($L1735,应收单号,0)),"")&lt;&gt;$D1735),"★关联单号不是这个客户的",IF(AND($L1735&lt;&gt;"",ROUND(SUMIF(收款关联,$L1735,收款金额)-IFERROR(INDEX(应收金额,MATCH($L1735,应收单号,0)),0),2)&gt;0.001),"★指定冲销超过那张单的应收","OK"))))))))</f>
        <v/>
      </c>
    </row>
    <row r="1736" customFormat="false" ht="15" hidden="false" customHeight="false" outlineLevel="0" collapsed="false">
      <c r="A1736" s="29" t="str">
        <f aca="false">IF($C1736="","",ROW()-4)</f>
        <v/>
      </c>
      <c r="B1736" s="35" t="str">
        <f aca="false">IF($C1736="","","SK"&amp;TEXT($C1736,"yyyymm")&amp;"-"&amp;TEXT(ROW()-4,"0000"))</f>
        <v/>
      </c>
      <c r="C1736" s="33"/>
      <c r="D1736" s="24"/>
      <c r="E1736" s="30" t="str">
        <f aca="false">IF($D1736="","",IFERROR(INDEX(合同单位,MATCH($D1736,合同键,0)),IFERROR(TRIM(LEFT($D1736,FIND("｜",$D1736)-1)),$D1736)))</f>
        <v/>
      </c>
      <c r="F1736" s="30" t="str">
        <f aca="false">IF($D1736="","",IFERROR(INDEX(合同项目,MATCH($D1736,合同键,0)),IFERROR(TRIM(MID($D1736,FIND("｜",$D1736)+1,99)),"")))</f>
        <v/>
      </c>
      <c r="G1736" s="39"/>
      <c r="H1736" s="25"/>
      <c r="I1736" s="35" t="str">
        <f aca="false">IF($H1736="","",IFERROR(INDEX(票据归类表,MATCH($H1736,票据类型表,0)),"现金无票"))</f>
        <v/>
      </c>
      <c r="J1736" s="25"/>
      <c r="K1736" s="25"/>
      <c r="L1736" s="31"/>
      <c r="M1736" s="29" t="str">
        <f aca="false">IF($C1736="","",YEAR($C1736))</f>
        <v/>
      </c>
      <c r="N1736" s="24"/>
      <c r="O1736" s="35" t="str">
        <f aca="false">IF($C1736="","",IF($D1736="","★没选客户项目",IF(COUNTIF(合同键,$D1736)=0,"★《维保合同》里没这个项目",IF(N($G1736)&lt;=0,"★收款金额要填",IF($H1736="","★票据类型要选",IF(AND($L1736&lt;&gt;"",COUNTIF(应收单号,$L1736)=0),"★关联的应收单号不存在",IF(AND($L1736&lt;&gt;"",IFERROR(INDEX(应收键,MATCH($L1736,应收单号,0)),"")&lt;&gt;$D1736),"★关联单号不是这个客户的",IF(AND($L1736&lt;&gt;"",ROUND(SUMIF(收款关联,$L1736,收款金额)-IFERROR(INDEX(应收金额,MATCH($L1736,应收单号,0)),0),2)&gt;0.001),"★指定冲销超过那张单的应收","OK"))))))))</f>
        <v/>
      </c>
    </row>
    <row r="1737" customFormat="false" ht="15" hidden="false" customHeight="false" outlineLevel="0" collapsed="false">
      <c r="A1737" s="29" t="str">
        <f aca="false">IF($C1737="","",ROW()-4)</f>
        <v/>
      </c>
      <c r="B1737" s="35" t="str">
        <f aca="false">IF($C1737="","","SK"&amp;TEXT($C1737,"yyyymm")&amp;"-"&amp;TEXT(ROW()-4,"0000"))</f>
        <v/>
      </c>
      <c r="C1737" s="33"/>
      <c r="D1737" s="24"/>
      <c r="E1737" s="30" t="str">
        <f aca="false">IF($D1737="","",IFERROR(INDEX(合同单位,MATCH($D1737,合同键,0)),IFERROR(TRIM(LEFT($D1737,FIND("｜",$D1737)-1)),$D1737)))</f>
        <v/>
      </c>
      <c r="F1737" s="30" t="str">
        <f aca="false">IF($D1737="","",IFERROR(INDEX(合同项目,MATCH($D1737,合同键,0)),IFERROR(TRIM(MID($D1737,FIND("｜",$D1737)+1,99)),"")))</f>
        <v/>
      </c>
      <c r="G1737" s="39"/>
      <c r="H1737" s="25"/>
      <c r="I1737" s="35" t="str">
        <f aca="false">IF($H1737="","",IFERROR(INDEX(票据归类表,MATCH($H1737,票据类型表,0)),"现金无票"))</f>
        <v/>
      </c>
      <c r="J1737" s="25"/>
      <c r="K1737" s="25"/>
      <c r="L1737" s="31"/>
      <c r="M1737" s="29" t="str">
        <f aca="false">IF($C1737="","",YEAR($C1737))</f>
        <v/>
      </c>
      <c r="N1737" s="24"/>
      <c r="O1737" s="35" t="str">
        <f aca="false">IF($C1737="","",IF($D1737="","★没选客户项目",IF(COUNTIF(合同键,$D1737)=0,"★《维保合同》里没这个项目",IF(N($G1737)&lt;=0,"★收款金额要填",IF($H1737="","★票据类型要选",IF(AND($L1737&lt;&gt;"",COUNTIF(应收单号,$L1737)=0),"★关联的应收单号不存在",IF(AND($L1737&lt;&gt;"",IFERROR(INDEX(应收键,MATCH($L1737,应收单号,0)),"")&lt;&gt;$D1737),"★关联单号不是这个客户的",IF(AND($L1737&lt;&gt;"",ROUND(SUMIF(收款关联,$L1737,收款金额)-IFERROR(INDEX(应收金额,MATCH($L1737,应收单号,0)),0),2)&gt;0.001),"★指定冲销超过那张单的应收","OK"))))))))</f>
        <v/>
      </c>
    </row>
    <row r="1738" customFormat="false" ht="15" hidden="false" customHeight="false" outlineLevel="0" collapsed="false">
      <c r="A1738" s="29" t="str">
        <f aca="false">IF($C1738="","",ROW()-4)</f>
        <v/>
      </c>
      <c r="B1738" s="35" t="str">
        <f aca="false">IF($C1738="","","SK"&amp;TEXT($C1738,"yyyymm")&amp;"-"&amp;TEXT(ROW()-4,"0000"))</f>
        <v/>
      </c>
      <c r="C1738" s="33"/>
      <c r="D1738" s="24"/>
      <c r="E1738" s="30" t="str">
        <f aca="false">IF($D1738="","",IFERROR(INDEX(合同单位,MATCH($D1738,合同键,0)),IFERROR(TRIM(LEFT($D1738,FIND("｜",$D1738)-1)),$D1738)))</f>
        <v/>
      </c>
      <c r="F1738" s="30" t="str">
        <f aca="false">IF($D1738="","",IFERROR(INDEX(合同项目,MATCH($D1738,合同键,0)),IFERROR(TRIM(MID($D1738,FIND("｜",$D1738)+1,99)),"")))</f>
        <v/>
      </c>
      <c r="G1738" s="39"/>
      <c r="H1738" s="25"/>
      <c r="I1738" s="35" t="str">
        <f aca="false">IF($H1738="","",IFERROR(INDEX(票据归类表,MATCH($H1738,票据类型表,0)),"现金无票"))</f>
        <v/>
      </c>
      <c r="J1738" s="25"/>
      <c r="K1738" s="25"/>
      <c r="L1738" s="31"/>
      <c r="M1738" s="29" t="str">
        <f aca="false">IF($C1738="","",YEAR($C1738))</f>
        <v/>
      </c>
      <c r="N1738" s="24"/>
      <c r="O1738" s="35" t="str">
        <f aca="false">IF($C1738="","",IF($D1738="","★没选客户项目",IF(COUNTIF(合同键,$D1738)=0,"★《维保合同》里没这个项目",IF(N($G1738)&lt;=0,"★收款金额要填",IF($H1738="","★票据类型要选",IF(AND($L1738&lt;&gt;"",COUNTIF(应收单号,$L1738)=0),"★关联的应收单号不存在",IF(AND($L1738&lt;&gt;"",IFERROR(INDEX(应收键,MATCH($L1738,应收单号,0)),"")&lt;&gt;$D1738),"★关联单号不是这个客户的",IF(AND($L1738&lt;&gt;"",ROUND(SUMIF(收款关联,$L1738,收款金额)-IFERROR(INDEX(应收金额,MATCH($L1738,应收单号,0)),0),2)&gt;0.001),"★指定冲销超过那张单的应收","OK"))))))))</f>
        <v/>
      </c>
    </row>
    <row r="1739" customFormat="false" ht="15" hidden="false" customHeight="false" outlineLevel="0" collapsed="false">
      <c r="A1739" s="29" t="str">
        <f aca="false">IF($C1739="","",ROW()-4)</f>
        <v/>
      </c>
      <c r="B1739" s="35" t="str">
        <f aca="false">IF($C1739="","","SK"&amp;TEXT($C1739,"yyyymm")&amp;"-"&amp;TEXT(ROW()-4,"0000"))</f>
        <v/>
      </c>
      <c r="C1739" s="33"/>
      <c r="D1739" s="24"/>
      <c r="E1739" s="30" t="str">
        <f aca="false">IF($D1739="","",IFERROR(INDEX(合同单位,MATCH($D1739,合同键,0)),IFERROR(TRIM(LEFT($D1739,FIND("｜",$D1739)-1)),$D1739)))</f>
        <v/>
      </c>
      <c r="F1739" s="30" t="str">
        <f aca="false">IF($D1739="","",IFERROR(INDEX(合同项目,MATCH($D1739,合同键,0)),IFERROR(TRIM(MID($D1739,FIND("｜",$D1739)+1,99)),"")))</f>
        <v/>
      </c>
      <c r="G1739" s="39"/>
      <c r="H1739" s="25"/>
      <c r="I1739" s="35" t="str">
        <f aca="false">IF($H1739="","",IFERROR(INDEX(票据归类表,MATCH($H1739,票据类型表,0)),"现金无票"))</f>
        <v/>
      </c>
      <c r="J1739" s="25"/>
      <c r="K1739" s="25"/>
      <c r="L1739" s="31"/>
      <c r="M1739" s="29" t="str">
        <f aca="false">IF($C1739="","",YEAR($C1739))</f>
        <v/>
      </c>
      <c r="N1739" s="24"/>
      <c r="O1739" s="35" t="str">
        <f aca="false">IF($C1739="","",IF($D1739="","★没选客户项目",IF(COUNTIF(合同键,$D1739)=0,"★《维保合同》里没这个项目",IF(N($G1739)&lt;=0,"★收款金额要填",IF($H1739="","★票据类型要选",IF(AND($L1739&lt;&gt;"",COUNTIF(应收单号,$L1739)=0),"★关联的应收单号不存在",IF(AND($L1739&lt;&gt;"",IFERROR(INDEX(应收键,MATCH($L1739,应收单号,0)),"")&lt;&gt;$D1739),"★关联单号不是这个客户的",IF(AND($L1739&lt;&gt;"",ROUND(SUMIF(收款关联,$L1739,收款金额)-IFERROR(INDEX(应收金额,MATCH($L1739,应收单号,0)),0),2)&gt;0.001),"★指定冲销超过那张单的应收","OK"))))))))</f>
        <v/>
      </c>
    </row>
    <row r="1740" customFormat="false" ht="15" hidden="false" customHeight="false" outlineLevel="0" collapsed="false">
      <c r="A1740" s="29" t="str">
        <f aca="false">IF($C1740="","",ROW()-4)</f>
        <v/>
      </c>
      <c r="B1740" s="35" t="str">
        <f aca="false">IF($C1740="","","SK"&amp;TEXT($C1740,"yyyymm")&amp;"-"&amp;TEXT(ROW()-4,"0000"))</f>
        <v/>
      </c>
      <c r="C1740" s="33"/>
      <c r="D1740" s="24"/>
      <c r="E1740" s="30" t="str">
        <f aca="false">IF($D1740="","",IFERROR(INDEX(合同单位,MATCH($D1740,合同键,0)),IFERROR(TRIM(LEFT($D1740,FIND("｜",$D1740)-1)),$D1740)))</f>
        <v/>
      </c>
      <c r="F1740" s="30" t="str">
        <f aca="false">IF($D1740="","",IFERROR(INDEX(合同项目,MATCH($D1740,合同键,0)),IFERROR(TRIM(MID($D1740,FIND("｜",$D1740)+1,99)),"")))</f>
        <v/>
      </c>
      <c r="G1740" s="39"/>
      <c r="H1740" s="25"/>
      <c r="I1740" s="35" t="str">
        <f aca="false">IF($H1740="","",IFERROR(INDEX(票据归类表,MATCH($H1740,票据类型表,0)),"现金无票"))</f>
        <v/>
      </c>
      <c r="J1740" s="25"/>
      <c r="K1740" s="25"/>
      <c r="L1740" s="31"/>
      <c r="M1740" s="29" t="str">
        <f aca="false">IF($C1740="","",YEAR($C1740))</f>
        <v/>
      </c>
      <c r="N1740" s="24"/>
      <c r="O1740" s="35" t="str">
        <f aca="false">IF($C1740="","",IF($D1740="","★没选客户项目",IF(COUNTIF(合同键,$D1740)=0,"★《维保合同》里没这个项目",IF(N($G1740)&lt;=0,"★收款金额要填",IF($H1740="","★票据类型要选",IF(AND($L1740&lt;&gt;"",COUNTIF(应收单号,$L1740)=0),"★关联的应收单号不存在",IF(AND($L1740&lt;&gt;"",IFERROR(INDEX(应收键,MATCH($L1740,应收单号,0)),"")&lt;&gt;$D1740),"★关联单号不是这个客户的",IF(AND($L1740&lt;&gt;"",ROUND(SUMIF(收款关联,$L1740,收款金额)-IFERROR(INDEX(应收金额,MATCH($L1740,应收单号,0)),0),2)&gt;0.001),"★指定冲销超过那张单的应收","OK"))))))))</f>
        <v/>
      </c>
    </row>
    <row r="1741" customFormat="false" ht="15" hidden="false" customHeight="false" outlineLevel="0" collapsed="false">
      <c r="A1741" s="29" t="str">
        <f aca="false">IF($C1741="","",ROW()-4)</f>
        <v/>
      </c>
      <c r="B1741" s="35" t="str">
        <f aca="false">IF($C1741="","","SK"&amp;TEXT($C1741,"yyyymm")&amp;"-"&amp;TEXT(ROW()-4,"0000"))</f>
        <v/>
      </c>
      <c r="C1741" s="33"/>
      <c r="D1741" s="24"/>
      <c r="E1741" s="30" t="str">
        <f aca="false">IF($D1741="","",IFERROR(INDEX(合同单位,MATCH($D1741,合同键,0)),IFERROR(TRIM(LEFT($D1741,FIND("｜",$D1741)-1)),$D1741)))</f>
        <v/>
      </c>
      <c r="F1741" s="30" t="str">
        <f aca="false">IF($D1741="","",IFERROR(INDEX(合同项目,MATCH($D1741,合同键,0)),IFERROR(TRIM(MID($D1741,FIND("｜",$D1741)+1,99)),"")))</f>
        <v/>
      </c>
      <c r="G1741" s="39"/>
      <c r="H1741" s="25"/>
      <c r="I1741" s="35" t="str">
        <f aca="false">IF($H1741="","",IFERROR(INDEX(票据归类表,MATCH($H1741,票据类型表,0)),"现金无票"))</f>
        <v/>
      </c>
      <c r="J1741" s="25"/>
      <c r="K1741" s="25"/>
      <c r="L1741" s="31"/>
      <c r="M1741" s="29" t="str">
        <f aca="false">IF($C1741="","",YEAR($C1741))</f>
        <v/>
      </c>
      <c r="N1741" s="24"/>
      <c r="O1741" s="35" t="str">
        <f aca="false">IF($C1741="","",IF($D1741="","★没选客户项目",IF(COUNTIF(合同键,$D1741)=0,"★《维保合同》里没这个项目",IF(N($G1741)&lt;=0,"★收款金额要填",IF($H1741="","★票据类型要选",IF(AND($L1741&lt;&gt;"",COUNTIF(应收单号,$L1741)=0),"★关联的应收单号不存在",IF(AND($L1741&lt;&gt;"",IFERROR(INDEX(应收键,MATCH($L1741,应收单号,0)),"")&lt;&gt;$D1741),"★关联单号不是这个客户的",IF(AND($L1741&lt;&gt;"",ROUND(SUMIF(收款关联,$L1741,收款金额)-IFERROR(INDEX(应收金额,MATCH($L1741,应收单号,0)),0),2)&gt;0.001),"★指定冲销超过那张单的应收","OK"))))))))</f>
        <v/>
      </c>
    </row>
    <row r="1742" customFormat="false" ht="15" hidden="false" customHeight="false" outlineLevel="0" collapsed="false">
      <c r="A1742" s="29" t="str">
        <f aca="false">IF($C1742="","",ROW()-4)</f>
        <v/>
      </c>
      <c r="B1742" s="35" t="str">
        <f aca="false">IF($C1742="","","SK"&amp;TEXT($C1742,"yyyymm")&amp;"-"&amp;TEXT(ROW()-4,"0000"))</f>
        <v/>
      </c>
      <c r="C1742" s="33"/>
      <c r="D1742" s="24"/>
      <c r="E1742" s="30" t="str">
        <f aca="false">IF($D1742="","",IFERROR(INDEX(合同单位,MATCH($D1742,合同键,0)),IFERROR(TRIM(LEFT($D1742,FIND("｜",$D1742)-1)),$D1742)))</f>
        <v/>
      </c>
      <c r="F1742" s="30" t="str">
        <f aca="false">IF($D1742="","",IFERROR(INDEX(合同项目,MATCH($D1742,合同键,0)),IFERROR(TRIM(MID($D1742,FIND("｜",$D1742)+1,99)),"")))</f>
        <v/>
      </c>
      <c r="G1742" s="39"/>
      <c r="H1742" s="25"/>
      <c r="I1742" s="35" t="str">
        <f aca="false">IF($H1742="","",IFERROR(INDEX(票据归类表,MATCH($H1742,票据类型表,0)),"现金无票"))</f>
        <v/>
      </c>
      <c r="J1742" s="25"/>
      <c r="K1742" s="25"/>
      <c r="L1742" s="31"/>
      <c r="M1742" s="29" t="str">
        <f aca="false">IF($C1742="","",YEAR($C1742))</f>
        <v/>
      </c>
      <c r="N1742" s="24"/>
      <c r="O1742" s="35" t="str">
        <f aca="false">IF($C1742="","",IF($D1742="","★没选客户项目",IF(COUNTIF(合同键,$D1742)=0,"★《维保合同》里没这个项目",IF(N($G1742)&lt;=0,"★收款金额要填",IF($H1742="","★票据类型要选",IF(AND($L1742&lt;&gt;"",COUNTIF(应收单号,$L1742)=0),"★关联的应收单号不存在",IF(AND($L1742&lt;&gt;"",IFERROR(INDEX(应收键,MATCH($L1742,应收单号,0)),"")&lt;&gt;$D1742),"★关联单号不是这个客户的",IF(AND($L1742&lt;&gt;"",ROUND(SUMIF(收款关联,$L1742,收款金额)-IFERROR(INDEX(应收金额,MATCH($L1742,应收单号,0)),0),2)&gt;0.001),"★指定冲销超过那张单的应收","OK"))))))))</f>
        <v/>
      </c>
    </row>
    <row r="1743" customFormat="false" ht="15" hidden="false" customHeight="false" outlineLevel="0" collapsed="false">
      <c r="A1743" s="29" t="str">
        <f aca="false">IF($C1743="","",ROW()-4)</f>
        <v/>
      </c>
      <c r="B1743" s="35" t="str">
        <f aca="false">IF($C1743="","","SK"&amp;TEXT($C1743,"yyyymm")&amp;"-"&amp;TEXT(ROW()-4,"0000"))</f>
        <v/>
      </c>
      <c r="C1743" s="33"/>
      <c r="D1743" s="24"/>
      <c r="E1743" s="30" t="str">
        <f aca="false">IF($D1743="","",IFERROR(INDEX(合同单位,MATCH($D1743,合同键,0)),IFERROR(TRIM(LEFT($D1743,FIND("｜",$D1743)-1)),$D1743)))</f>
        <v/>
      </c>
      <c r="F1743" s="30" t="str">
        <f aca="false">IF($D1743="","",IFERROR(INDEX(合同项目,MATCH($D1743,合同键,0)),IFERROR(TRIM(MID($D1743,FIND("｜",$D1743)+1,99)),"")))</f>
        <v/>
      </c>
      <c r="G1743" s="39"/>
      <c r="H1743" s="25"/>
      <c r="I1743" s="35" t="str">
        <f aca="false">IF($H1743="","",IFERROR(INDEX(票据归类表,MATCH($H1743,票据类型表,0)),"现金无票"))</f>
        <v/>
      </c>
      <c r="J1743" s="25"/>
      <c r="K1743" s="25"/>
      <c r="L1743" s="31"/>
      <c r="M1743" s="29" t="str">
        <f aca="false">IF($C1743="","",YEAR($C1743))</f>
        <v/>
      </c>
      <c r="N1743" s="24"/>
      <c r="O1743" s="35" t="str">
        <f aca="false">IF($C1743="","",IF($D1743="","★没选客户项目",IF(COUNTIF(合同键,$D1743)=0,"★《维保合同》里没这个项目",IF(N($G1743)&lt;=0,"★收款金额要填",IF($H1743="","★票据类型要选",IF(AND($L1743&lt;&gt;"",COUNTIF(应收单号,$L1743)=0),"★关联的应收单号不存在",IF(AND($L1743&lt;&gt;"",IFERROR(INDEX(应收键,MATCH($L1743,应收单号,0)),"")&lt;&gt;$D1743),"★关联单号不是这个客户的",IF(AND($L1743&lt;&gt;"",ROUND(SUMIF(收款关联,$L1743,收款金额)-IFERROR(INDEX(应收金额,MATCH($L1743,应收单号,0)),0),2)&gt;0.001),"★指定冲销超过那张单的应收","OK"))))))))</f>
        <v/>
      </c>
    </row>
    <row r="1744" customFormat="false" ht="15" hidden="false" customHeight="false" outlineLevel="0" collapsed="false">
      <c r="A1744" s="29" t="str">
        <f aca="false">IF($C1744="","",ROW()-4)</f>
        <v/>
      </c>
      <c r="B1744" s="35" t="str">
        <f aca="false">IF($C1744="","","SK"&amp;TEXT($C1744,"yyyymm")&amp;"-"&amp;TEXT(ROW()-4,"0000"))</f>
        <v/>
      </c>
      <c r="C1744" s="33"/>
      <c r="D1744" s="24"/>
      <c r="E1744" s="30" t="str">
        <f aca="false">IF($D1744="","",IFERROR(INDEX(合同单位,MATCH($D1744,合同键,0)),IFERROR(TRIM(LEFT($D1744,FIND("｜",$D1744)-1)),$D1744)))</f>
        <v/>
      </c>
      <c r="F1744" s="30" t="str">
        <f aca="false">IF($D1744="","",IFERROR(INDEX(合同项目,MATCH($D1744,合同键,0)),IFERROR(TRIM(MID($D1744,FIND("｜",$D1744)+1,99)),"")))</f>
        <v/>
      </c>
      <c r="G1744" s="39"/>
      <c r="H1744" s="25"/>
      <c r="I1744" s="35" t="str">
        <f aca="false">IF($H1744="","",IFERROR(INDEX(票据归类表,MATCH($H1744,票据类型表,0)),"现金无票"))</f>
        <v/>
      </c>
      <c r="J1744" s="25"/>
      <c r="K1744" s="25"/>
      <c r="L1744" s="31"/>
      <c r="M1744" s="29" t="str">
        <f aca="false">IF($C1744="","",YEAR($C1744))</f>
        <v/>
      </c>
      <c r="N1744" s="24"/>
      <c r="O1744" s="35" t="str">
        <f aca="false">IF($C1744="","",IF($D1744="","★没选客户项目",IF(COUNTIF(合同键,$D1744)=0,"★《维保合同》里没这个项目",IF(N($G1744)&lt;=0,"★收款金额要填",IF($H1744="","★票据类型要选",IF(AND($L1744&lt;&gt;"",COUNTIF(应收单号,$L1744)=0),"★关联的应收单号不存在",IF(AND($L1744&lt;&gt;"",IFERROR(INDEX(应收键,MATCH($L1744,应收单号,0)),"")&lt;&gt;$D1744),"★关联单号不是这个客户的",IF(AND($L1744&lt;&gt;"",ROUND(SUMIF(收款关联,$L1744,收款金额)-IFERROR(INDEX(应收金额,MATCH($L1744,应收单号,0)),0),2)&gt;0.001),"★指定冲销超过那张单的应收","OK"))))))))</f>
        <v/>
      </c>
    </row>
    <row r="1745" customFormat="false" ht="15" hidden="false" customHeight="false" outlineLevel="0" collapsed="false">
      <c r="A1745" s="29" t="str">
        <f aca="false">IF($C1745="","",ROW()-4)</f>
        <v/>
      </c>
      <c r="B1745" s="35" t="str">
        <f aca="false">IF($C1745="","","SK"&amp;TEXT($C1745,"yyyymm")&amp;"-"&amp;TEXT(ROW()-4,"0000"))</f>
        <v/>
      </c>
      <c r="C1745" s="33"/>
      <c r="D1745" s="24"/>
      <c r="E1745" s="30" t="str">
        <f aca="false">IF($D1745="","",IFERROR(INDEX(合同单位,MATCH($D1745,合同键,0)),IFERROR(TRIM(LEFT($D1745,FIND("｜",$D1745)-1)),$D1745)))</f>
        <v/>
      </c>
      <c r="F1745" s="30" t="str">
        <f aca="false">IF($D1745="","",IFERROR(INDEX(合同项目,MATCH($D1745,合同键,0)),IFERROR(TRIM(MID($D1745,FIND("｜",$D1745)+1,99)),"")))</f>
        <v/>
      </c>
      <c r="G1745" s="39"/>
      <c r="H1745" s="25"/>
      <c r="I1745" s="35" t="str">
        <f aca="false">IF($H1745="","",IFERROR(INDEX(票据归类表,MATCH($H1745,票据类型表,0)),"现金无票"))</f>
        <v/>
      </c>
      <c r="J1745" s="25"/>
      <c r="K1745" s="25"/>
      <c r="L1745" s="31"/>
      <c r="M1745" s="29" t="str">
        <f aca="false">IF($C1745="","",YEAR($C1745))</f>
        <v/>
      </c>
      <c r="N1745" s="24"/>
      <c r="O1745" s="35" t="str">
        <f aca="false">IF($C1745="","",IF($D1745="","★没选客户项目",IF(COUNTIF(合同键,$D1745)=0,"★《维保合同》里没这个项目",IF(N($G1745)&lt;=0,"★收款金额要填",IF($H1745="","★票据类型要选",IF(AND($L1745&lt;&gt;"",COUNTIF(应收单号,$L1745)=0),"★关联的应收单号不存在",IF(AND($L1745&lt;&gt;"",IFERROR(INDEX(应收键,MATCH($L1745,应收单号,0)),"")&lt;&gt;$D1745),"★关联单号不是这个客户的",IF(AND($L1745&lt;&gt;"",ROUND(SUMIF(收款关联,$L1745,收款金额)-IFERROR(INDEX(应收金额,MATCH($L1745,应收单号,0)),0),2)&gt;0.001),"★指定冲销超过那张单的应收","OK"))))))))</f>
        <v/>
      </c>
    </row>
    <row r="1746" customFormat="false" ht="15" hidden="false" customHeight="false" outlineLevel="0" collapsed="false">
      <c r="A1746" s="29" t="str">
        <f aca="false">IF($C1746="","",ROW()-4)</f>
        <v/>
      </c>
      <c r="B1746" s="35" t="str">
        <f aca="false">IF($C1746="","","SK"&amp;TEXT($C1746,"yyyymm")&amp;"-"&amp;TEXT(ROW()-4,"0000"))</f>
        <v/>
      </c>
      <c r="C1746" s="33"/>
      <c r="D1746" s="24"/>
      <c r="E1746" s="30" t="str">
        <f aca="false">IF($D1746="","",IFERROR(INDEX(合同单位,MATCH($D1746,合同键,0)),IFERROR(TRIM(LEFT($D1746,FIND("｜",$D1746)-1)),$D1746)))</f>
        <v/>
      </c>
      <c r="F1746" s="30" t="str">
        <f aca="false">IF($D1746="","",IFERROR(INDEX(合同项目,MATCH($D1746,合同键,0)),IFERROR(TRIM(MID($D1746,FIND("｜",$D1746)+1,99)),"")))</f>
        <v/>
      </c>
      <c r="G1746" s="39"/>
      <c r="H1746" s="25"/>
      <c r="I1746" s="35" t="str">
        <f aca="false">IF($H1746="","",IFERROR(INDEX(票据归类表,MATCH($H1746,票据类型表,0)),"现金无票"))</f>
        <v/>
      </c>
      <c r="J1746" s="25"/>
      <c r="K1746" s="25"/>
      <c r="L1746" s="31"/>
      <c r="M1746" s="29" t="str">
        <f aca="false">IF($C1746="","",YEAR($C1746))</f>
        <v/>
      </c>
      <c r="N1746" s="24"/>
      <c r="O1746" s="35" t="str">
        <f aca="false">IF($C1746="","",IF($D1746="","★没选客户项目",IF(COUNTIF(合同键,$D1746)=0,"★《维保合同》里没这个项目",IF(N($G1746)&lt;=0,"★收款金额要填",IF($H1746="","★票据类型要选",IF(AND($L1746&lt;&gt;"",COUNTIF(应收单号,$L1746)=0),"★关联的应收单号不存在",IF(AND($L1746&lt;&gt;"",IFERROR(INDEX(应收键,MATCH($L1746,应收单号,0)),"")&lt;&gt;$D1746),"★关联单号不是这个客户的",IF(AND($L1746&lt;&gt;"",ROUND(SUMIF(收款关联,$L1746,收款金额)-IFERROR(INDEX(应收金额,MATCH($L1746,应收单号,0)),0),2)&gt;0.001),"★指定冲销超过那张单的应收","OK"))))))))</f>
        <v/>
      </c>
    </row>
    <row r="1747" customFormat="false" ht="15" hidden="false" customHeight="false" outlineLevel="0" collapsed="false">
      <c r="A1747" s="29" t="str">
        <f aca="false">IF($C1747="","",ROW()-4)</f>
        <v/>
      </c>
      <c r="B1747" s="35" t="str">
        <f aca="false">IF($C1747="","","SK"&amp;TEXT($C1747,"yyyymm")&amp;"-"&amp;TEXT(ROW()-4,"0000"))</f>
        <v/>
      </c>
      <c r="C1747" s="33"/>
      <c r="D1747" s="24"/>
      <c r="E1747" s="30" t="str">
        <f aca="false">IF($D1747="","",IFERROR(INDEX(合同单位,MATCH($D1747,合同键,0)),IFERROR(TRIM(LEFT($D1747,FIND("｜",$D1747)-1)),$D1747)))</f>
        <v/>
      </c>
      <c r="F1747" s="30" t="str">
        <f aca="false">IF($D1747="","",IFERROR(INDEX(合同项目,MATCH($D1747,合同键,0)),IFERROR(TRIM(MID($D1747,FIND("｜",$D1747)+1,99)),"")))</f>
        <v/>
      </c>
      <c r="G1747" s="39"/>
      <c r="H1747" s="25"/>
      <c r="I1747" s="35" t="str">
        <f aca="false">IF($H1747="","",IFERROR(INDEX(票据归类表,MATCH($H1747,票据类型表,0)),"现金无票"))</f>
        <v/>
      </c>
      <c r="J1747" s="25"/>
      <c r="K1747" s="25"/>
      <c r="L1747" s="31"/>
      <c r="M1747" s="29" t="str">
        <f aca="false">IF($C1747="","",YEAR($C1747))</f>
        <v/>
      </c>
      <c r="N1747" s="24"/>
      <c r="O1747" s="35" t="str">
        <f aca="false">IF($C1747="","",IF($D1747="","★没选客户项目",IF(COUNTIF(合同键,$D1747)=0,"★《维保合同》里没这个项目",IF(N($G1747)&lt;=0,"★收款金额要填",IF($H1747="","★票据类型要选",IF(AND($L1747&lt;&gt;"",COUNTIF(应收单号,$L1747)=0),"★关联的应收单号不存在",IF(AND($L1747&lt;&gt;"",IFERROR(INDEX(应收键,MATCH($L1747,应收单号,0)),"")&lt;&gt;$D1747),"★关联单号不是这个客户的",IF(AND($L1747&lt;&gt;"",ROUND(SUMIF(收款关联,$L1747,收款金额)-IFERROR(INDEX(应收金额,MATCH($L1747,应收单号,0)),0),2)&gt;0.001),"★指定冲销超过那张单的应收","OK"))))))))</f>
        <v/>
      </c>
    </row>
    <row r="1748" customFormat="false" ht="15" hidden="false" customHeight="false" outlineLevel="0" collapsed="false">
      <c r="A1748" s="29" t="str">
        <f aca="false">IF($C1748="","",ROW()-4)</f>
        <v/>
      </c>
      <c r="B1748" s="35" t="str">
        <f aca="false">IF($C1748="","","SK"&amp;TEXT($C1748,"yyyymm")&amp;"-"&amp;TEXT(ROW()-4,"0000"))</f>
        <v/>
      </c>
      <c r="C1748" s="33"/>
      <c r="D1748" s="24"/>
      <c r="E1748" s="30" t="str">
        <f aca="false">IF($D1748="","",IFERROR(INDEX(合同单位,MATCH($D1748,合同键,0)),IFERROR(TRIM(LEFT($D1748,FIND("｜",$D1748)-1)),$D1748)))</f>
        <v/>
      </c>
      <c r="F1748" s="30" t="str">
        <f aca="false">IF($D1748="","",IFERROR(INDEX(合同项目,MATCH($D1748,合同键,0)),IFERROR(TRIM(MID($D1748,FIND("｜",$D1748)+1,99)),"")))</f>
        <v/>
      </c>
      <c r="G1748" s="39"/>
      <c r="H1748" s="25"/>
      <c r="I1748" s="35" t="str">
        <f aca="false">IF($H1748="","",IFERROR(INDEX(票据归类表,MATCH($H1748,票据类型表,0)),"现金无票"))</f>
        <v/>
      </c>
      <c r="J1748" s="25"/>
      <c r="K1748" s="25"/>
      <c r="L1748" s="31"/>
      <c r="M1748" s="29" t="str">
        <f aca="false">IF($C1748="","",YEAR($C1748))</f>
        <v/>
      </c>
      <c r="N1748" s="24"/>
      <c r="O1748" s="35" t="str">
        <f aca="false">IF($C1748="","",IF($D1748="","★没选客户项目",IF(COUNTIF(合同键,$D1748)=0,"★《维保合同》里没这个项目",IF(N($G1748)&lt;=0,"★收款金额要填",IF($H1748="","★票据类型要选",IF(AND($L1748&lt;&gt;"",COUNTIF(应收单号,$L1748)=0),"★关联的应收单号不存在",IF(AND($L1748&lt;&gt;"",IFERROR(INDEX(应收键,MATCH($L1748,应收单号,0)),"")&lt;&gt;$D1748),"★关联单号不是这个客户的",IF(AND($L1748&lt;&gt;"",ROUND(SUMIF(收款关联,$L1748,收款金额)-IFERROR(INDEX(应收金额,MATCH($L1748,应收单号,0)),0),2)&gt;0.001),"★指定冲销超过那张单的应收","OK"))))))))</f>
        <v/>
      </c>
    </row>
    <row r="1749" customFormat="false" ht="15" hidden="false" customHeight="false" outlineLevel="0" collapsed="false">
      <c r="A1749" s="29" t="str">
        <f aca="false">IF($C1749="","",ROW()-4)</f>
        <v/>
      </c>
      <c r="B1749" s="35" t="str">
        <f aca="false">IF($C1749="","","SK"&amp;TEXT($C1749,"yyyymm")&amp;"-"&amp;TEXT(ROW()-4,"0000"))</f>
        <v/>
      </c>
      <c r="C1749" s="33"/>
      <c r="D1749" s="24"/>
      <c r="E1749" s="30" t="str">
        <f aca="false">IF($D1749="","",IFERROR(INDEX(合同单位,MATCH($D1749,合同键,0)),IFERROR(TRIM(LEFT($D1749,FIND("｜",$D1749)-1)),$D1749)))</f>
        <v/>
      </c>
      <c r="F1749" s="30" t="str">
        <f aca="false">IF($D1749="","",IFERROR(INDEX(合同项目,MATCH($D1749,合同键,0)),IFERROR(TRIM(MID($D1749,FIND("｜",$D1749)+1,99)),"")))</f>
        <v/>
      </c>
      <c r="G1749" s="39"/>
      <c r="H1749" s="25"/>
      <c r="I1749" s="35" t="str">
        <f aca="false">IF($H1749="","",IFERROR(INDEX(票据归类表,MATCH($H1749,票据类型表,0)),"现金无票"))</f>
        <v/>
      </c>
      <c r="J1749" s="25"/>
      <c r="K1749" s="25"/>
      <c r="L1749" s="31"/>
      <c r="M1749" s="29" t="str">
        <f aca="false">IF($C1749="","",YEAR($C1749))</f>
        <v/>
      </c>
      <c r="N1749" s="24"/>
      <c r="O1749" s="35" t="str">
        <f aca="false">IF($C1749="","",IF($D1749="","★没选客户项目",IF(COUNTIF(合同键,$D1749)=0,"★《维保合同》里没这个项目",IF(N($G1749)&lt;=0,"★收款金额要填",IF($H1749="","★票据类型要选",IF(AND($L1749&lt;&gt;"",COUNTIF(应收单号,$L1749)=0),"★关联的应收单号不存在",IF(AND($L1749&lt;&gt;"",IFERROR(INDEX(应收键,MATCH($L1749,应收单号,0)),"")&lt;&gt;$D1749),"★关联单号不是这个客户的",IF(AND($L1749&lt;&gt;"",ROUND(SUMIF(收款关联,$L1749,收款金额)-IFERROR(INDEX(应收金额,MATCH($L1749,应收单号,0)),0),2)&gt;0.001),"★指定冲销超过那张单的应收","OK"))))))))</f>
        <v/>
      </c>
    </row>
    <row r="1750" customFormat="false" ht="15" hidden="false" customHeight="false" outlineLevel="0" collapsed="false">
      <c r="A1750" s="29" t="str">
        <f aca="false">IF($C1750="","",ROW()-4)</f>
        <v/>
      </c>
      <c r="B1750" s="35" t="str">
        <f aca="false">IF($C1750="","","SK"&amp;TEXT($C1750,"yyyymm")&amp;"-"&amp;TEXT(ROW()-4,"0000"))</f>
        <v/>
      </c>
      <c r="C1750" s="33"/>
      <c r="D1750" s="24"/>
      <c r="E1750" s="30" t="str">
        <f aca="false">IF($D1750="","",IFERROR(INDEX(合同单位,MATCH($D1750,合同键,0)),IFERROR(TRIM(LEFT($D1750,FIND("｜",$D1750)-1)),$D1750)))</f>
        <v/>
      </c>
      <c r="F1750" s="30" t="str">
        <f aca="false">IF($D1750="","",IFERROR(INDEX(合同项目,MATCH($D1750,合同键,0)),IFERROR(TRIM(MID($D1750,FIND("｜",$D1750)+1,99)),"")))</f>
        <v/>
      </c>
      <c r="G1750" s="39"/>
      <c r="H1750" s="25"/>
      <c r="I1750" s="35" t="str">
        <f aca="false">IF($H1750="","",IFERROR(INDEX(票据归类表,MATCH($H1750,票据类型表,0)),"现金无票"))</f>
        <v/>
      </c>
      <c r="J1750" s="25"/>
      <c r="K1750" s="25"/>
      <c r="L1750" s="31"/>
      <c r="M1750" s="29" t="str">
        <f aca="false">IF($C1750="","",YEAR($C1750))</f>
        <v/>
      </c>
      <c r="N1750" s="24"/>
      <c r="O1750" s="35" t="str">
        <f aca="false">IF($C1750="","",IF($D1750="","★没选客户项目",IF(COUNTIF(合同键,$D1750)=0,"★《维保合同》里没这个项目",IF(N($G1750)&lt;=0,"★收款金额要填",IF($H1750="","★票据类型要选",IF(AND($L1750&lt;&gt;"",COUNTIF(应收单号,$L1750)=0),"★关联的应收单号不存在",IF(AND($L1750&lt;&gt;"",IFERROR(INDEX(应收键,MATCH($L1750,应收单号,0)),"")&lt;&gt;$D1750),"★关联单号不是这个客户的",IF(AND($L1750&lt;&gt;"",ROUND(SUMIF(收款关联,$L1750,收款金额)-IFERROR(INDEX(应收金额,MATCH($L1750,应收单号,0)),0),2)&gt;0.001),"★指定冲销超过那张单的应收","OK"))))))))</f>
        <v/>
      </c>
    </row>
    <row r="1751" customFormat="false" ht="15" hidden="false" customHeight="false" outlineLevel="0" collapsed="false">
      <c r="A1751" s="29" t="str">
        <f aca="false">IF($C1751="","",ROW()-4)</f>
        <v/>
      </c>
      <c r="B1751" s="35" t="str">
        <f aca="false">IF($C1751="","","SK"&amp;TEXT($C1751,"yyyymm")&amp;"-"&amp;TEXT(ROW()-4,"0000"))</f>
        <v/>
      </c>
      <c r="C1751" s="33"/>
      <c r="D1751" s="24"/>
      <c r="E1751" s="30" t="str">
        <f aca="false">IF($D1751="","",IFERROR(INDEX(合同单位,MATCH($D1751,合同键,0)),IFERROR(TRIM(LEFT($D1751,FIND("｜",$D1751)-1)),$D1751)))</f>
        <v/>
      </c>
      <c r="F1751" s="30" t="str">
        <f aca="false">IF($D1751="","",IFERROR(INDEX(合同项目,MATCH($D1751,合同键,0)),IFERROR(TRIM(MID($D1751,FIND("｜",$D1751)+1,99)),"")))</f>
        <v/>
      </c>
      <c r="G1751" s="39"/>
      <c r="H1751" s="25"/>
      <c r="I1751" s="35" t="str">
        <f aca="false">IF($H1751="","",IFERROR(INDEX(票据归类表,MATCH($H1751,票据类型表,0)),"现金无票"))</f>
        <v/>
      </c>
      <c r="J1751" s="25"/>
      <c r="K1751" s="25"/>
      <c r="L1751" s="31"/>
      <c r="M1751" s="29" t="str">
        <f aca="false">IF($C1751="","",YEAR($C1751))</f>
        <v/>
      </c>
      <c r="N1751" s="24"/>
      <c r="O1751" s="35" t="str">
        <f aca="false">IF($C1751="","",IF($D1751="","★没选客户项目",IF(COUNTIF(合同键,$D1751)=0,"★《维保合同》里没这个项目",IF(N($G1751)&lt;=0,"★收款金额要填",IF($H1751="","★票据类型要选",IF(AND($L1751&lt;&gt;"",COUNTIF(应收单号,$L1751)=0),"★关联的应收单号不存在",IF(AND($L1751&lt;&gt;"",IFERROR(INDEX(应收键,MATCH($L1751,应收单号,0)),"")&lt;&gt;$D1751),"★关联单号不是这个客户的",IF(AND($L1751&lt;&gt;"",ROUND(SUMIF(收款关联,$L1751,收款金额)-IFERROR(INDEX(应收金额,MATCH($L1751,应收单号,0)),0),2)&gt;0.001),"★指定冲销超过那张单的应收","OK"))))))))</f>
        <v/>
      </c>
    </row>
    <row r="1752" customFormat="false" ht="15" hidden="false" customHeight="false" outlineLevel="0" collapsed="false">
      <c r="A1752" s="29" t="str">
        <f aca="false">IF($C1752="","",ROW()-4)</f>
        <v/>
      </c>
      <c r="B1752" s="35" t="str">
        <f aca="false">IF($C1752="","","SK"&amp;TEXT($C1752,"yyyymm")&amp;"-"&amp;TEXT(ROW()-4,"0000"))</f>
        <v/>
      </c>
      <c r="C1752" s="33"/>
      <c r="D1752" s="24"/>
      <c r="E1752" s="30" t="str">
        <f aca="false">IF($D1752="","",IFERROR(INDEX(合同单位,MATCH($D1752,合同键,0)),IFERROR(TRIM(LEFT($D1752,FIND("｜",$D1752)-1)),$D1752)))</f>
        <v/>
      </c>
      <c r="F1752" s="30" t="str">
        <f aca="false">IF($D1752="","",IFERROR(INDEX(合同项目,MATCH($D1752,合同键,0)),IFERROR(TRIM(MID($D1752,FIND("｜",$D1752)+1,99)),"")))</f>
        <v/>
      </c>
      <c r="G1752" s="39"/>
      <c r="H1752" s="25"/>
      <c r="I1752" s="35" t="str">
        <f aca="false">IF($H1752="","",IFERROR(INDEX(票据归类表,MATCH($H1752,票据类型表,0)),"现金无票"))</f>
        <v/>
      </c>
      <c r="J1752" s="25"/>
      <c r="K1752" s="25"/>
      <c r="L1752" s="31"/>
      <c r="M1752" s="29" t="str">
        <f aca="false">IF($C1752="","",YEAR($C1752))</f>
        <v/>
      </c>
      <c r="N1752" s="24"/>
      <c r="O1752" s="35" t="str">
        <f aca="false">IF($C1752="","",IF($D1752="","★没选客户项目",IF(COUNTIF(合同键,$D1752)=0,"★《维保合同》里没这个项目",IF(N($G1752)&lt;=0,"★收款金额要填",IF($H1752="","★票据类型要选",IF(AND($L1752&lt;&gt;"",COUNTIF(应收单号,$L1752)=0),"★关联的应收单号不存在",IF(AND($L1752&lt;&gt;"",IFERROR(INDEX(应收键,MATCH($L1752,应收单号,0)),"")&lt;&gt;$D1752),"★关联单号不是这个客户的",IF(AND($L1752&lt;&gt;"",ROUND(SUMIF(收款关联,$L1752,收款金额)-IFERROR(INDEX(应收金额,MATCH($L1752,应收单号,0)),0),2)&gt;0.001),"★指定冲销超过那张单的应收","OK"))))))))</f>
        <v/>
      </c>
    </row>
    <row r="1753" customFormat="false" ht="15" hidden="false" customHeight="false" outlineLevel="0" collapsed="false">
      <c r="A1753" s="29" t="str">
        <f aca="false">IF($C1753="","",ROW()-4)</f>
        <v/>
      </c>
      <c r="B1753" s="35" t="str">
        <f aca="false">IF($C1753="","","SK"&amp;TEXT($C1753,"yyyymm")&amp;"-"&amp;TEXT(ROW()-4,"0000"))</f>
        <v/>
      </c>
      <c r="C1753" s="33"/>
      <c r="D1753" s="24"/>
      <c r="E1753" s="30" t="str">
        <f aca="false">IF($D1753="","",IFERROR(INDEX(合同单位,MATCH($D1753,合同键,0)),IFERROR(TRIM(LEFT($D1753,FIND("｜",$D1753)-1)),$D1753)))</f>
        <v/>
      </c>
      <c r="F1753" s="30" t="str">
        <f aca="false">IF($D1753="","",IFERROR(INDEX(合同项目,MATCH($D1753,合同键,0)),IFERROR(TRIM(MID($D1753,FIND("｜",$D1753)+1,99)),"")))</f>
        <v/>
      </c>
      <c r="G1753" s="39"/>
      <c r="H1753" s="25"/>
      <c r="I1753" s="35" t="str">
        <f aca="false">IF($H1753="","",IFERROR(INDEX(票据归类表,MATCH($H1753,票据类型表,0)),"现金无票"))</f>
        <v/>
      </c>
      <c r="J1753" s="25"/>
      <c r="K1753" s="25"/>
      <c r="L1753" s="31"/>
      <c r="M1753" s="29" t="str">
        <f aca="false">IF($C1753="","",YEAR($C1753))</f>
        <v/>
      </c>
      <c r="N1753" s="24"/>
      <c r="O1753" s="35" t="str">
        <f aca="false">IF($C1753="","",IF($D1753="","★没选客户项目",IF(COUNTIF(合同键,$D1753)=0,"★《维保合同》里没这个项目",IF(N($G1753)&lt;=0,"★收款金额要填",IF($H1753="","★票据类型要选",IF(AND($L1753&lt;&gt;"",COUNTIF(应收单号,$L1753)=0),"★关联的应收单号不存在",IF(AND($L1753&lt;&gt;"",IFERROR(INDEX(应收键,MATCH($L1753,应收单号,0)),"")&lt;&gt;$D1753),"★关联单号不是这个客户的",IF(AND($L1753&lt;&gt;"",ROUND(SUMIF(收款关联,$L1753,收款金额)-IFERROR(INDEX(应收金额,MATCH($L1753,应收单号,0)),0),2)&gt;0.001),"★指定冲销超过那张单的应收","OK"))))))))</f>
        <v/>
      </c>
    </row>
    <row r="1754" customFormat="false" ht="15" hidden="false" customHeight="false" outlineLevel="0" collapsed="false">
      <c r="A1754" s="29" t="str">
        <f aca="false">IF($C1754="","",ROW()-4)</f>
        <v/>
      </c>
      <c r="B1754" s="35" t="str">
        <f aca="false">IF($C1754="","","SK"&amp;TEXT($C1754,"yyyymm")&amp;"-"&amp;TEXT(ROW()-4,"0000"))</f>
        <v/>
      </c>
      <c r="C1754" s="33"/>
      <c r="D1754" s="24"/>
      <c r="E1754" s="30" t="str">
        <f aca="false">IF($D1754="","",IFERROR(INDEX(合同单位,MATCH($D1754,合同键,0)),IFERROR(TRIM(LEFT($D1754,FIND("｜",$D1754)-1)),$D1754)))</f>
        <v/>
      </c>
      <c r="F1754" s="30" t="str">
        <f aca="false">IF($D1754="","",IFERROR(INDEX(合同项目,MATCH($D1754,合同键,0)),IFERROR(TRIM(MID($D1754,FIND("｜",$D1754)+1,99)),"")))</f>
        <v/>
      </c>
      <c r="G1754" s="39"/>
      <c r="H1754" s="25"/>
      <c r="I1754" s="35" t="str">
        <f aca="false">IF($H1754="","",IFERROR(INDEX(票据归类表,MATCH($H1754,票据类型表,0)),"现金无票"))</f>
        <v/>
      </c>
      <c r="J1754" s="25"/>
      <c r="K1754" s="25"/>
      <c r="L1754" s="31"/>
      <c r="M1754" s="29" t="str">
        <f aca="false">IF($C1754="","",YEAR($C1754))</f>
        <v/>
      </c>
      <c r="N1754" s="24"/>
      <c r="O1754" s="35" t="str">
        <f aca="false">IF($C1754="","",IF($D1754="","★没选客户项目",IF(COUNTIF(合同键,$D1754)=0,"★《维保合同》里没这个项目",IF(N($G1754)&lt;=0,"★收款金额要填",IF($H1754="","★票据类型要选",IF(AND($L1754&lt;&gt;"",COUNTIF(应收单号,$L1754)=0),"★关联的应收单号不存在",IF(AND($L1754&lt;&gt;"",IFERROR(INDEX(应收键,MATCH($L1754,应收单号,0)),"")&lt;&gt;$D1754),"★关联单号不是这个客户的",IF(AND($L1754&lt;&gt;"",ROUND(SUMIF(收款关联,$L1754,收款金额)-IFERROR(INDEX(应收金额,MATCH($L1754,应收单号,0)),0),2)&gt;0.001),"★指定冲销超过那张单的应收","OK"))))))))</f>
        <v/>
      </c>
    </row>
    <row r="1755" customFormat="false" ht="15" hidden="false" customHeight="false" outlineLevel="0" collapsed="false">
      <c r="A1755" s="29" t="str">
        <f aca="false">IF($C1755="","",ROW()-4)</f>
        <v/>
      </c>
      <c r="B1755" s="35" t="str">
        <f aca="false">IF($C1755="","","SK"&amp;TEXT($C1755,"yyyymm")&amp;"-"&amp;TEXT(ROW()-4,"0000"))</f>
        <v/>
      </c>
      <c r="C1755" s="33"/>
      <c r="D1755" s="24"/>
      <c r="E1755" s="30" t="str">
        <f aca="false">IF($D1755="","",IFERROR(INDEX(合同单位,MATCH($D1755,合同键,0)),IFERROR(TRIM(LEFT($D1755,FIND("｜",$D1755)-1)),$D1755)))</f>
        <v/>
      </c>
      <c r="F1755" s="30" t="str">
        <f aca="false">IF($D1755="","",IFERROR(INDEX(合同项目,MATCH($D1755,合同键,0)),IFERROR(TRIM(MID($D1755,FIND("｜",$D1755)+1,99)),"")))</f>
        <v/>
      </c>
      <c r="G1755" s="39"/>
      <c r="H1755" s="25"/>
      <c r="I1755" s="35" t="str">
        <f aca="false">IF($H1755="","",IFERROR(INDEX(票据归类表,MATCH($H1755,票据类型表,0)),"现金无票"))</f>
        <v/>
      </c>
      <c r="J1755" s="25"/>
      <c r="K1755" s="25"/>
      <c r="L1755" s="31"/>
      <c r="M1755" s="29" t="str">
        <f aca="false">IF($C1755="","",YEAR($C1755))</f>
        <v/>
      </c>
      <c r="N1755" s="24"/>
      <c r="O1755" s="35" t="str">
        <f aca="false">IF($C1755="","",IF($D1755="","★没选客户项目",IF(COUNTIF(合同键,$D1755)=0,"★《维保合同》里没这个项目",IF(N($G1755)&lt;=0,"★收款金额要填",IF($H1755="","★票据类型要选",IF(AND($L1755&lt;&gt;"",COUNTIF(应收单号,$L1755)=0),"★关联的应收单号不存在",IF(AND($L1755&lt;&gt;"",IFERROR(INDEX(应收键,MATCH($L1755,应收单号,0)),"")&lt;&gt;$D1755),"★关联单号不是这个客户的",IF(AND($L1755&lt;&gt;"",ROUND(SUMIF(收款关联,$L1755,收款金额)-IFERROR(INDEX(应收金额,MATCH($L1755,应收单号,0)),0),2)&gt;0.001),"★指定冲销超过那张单的应收","OK"))))))))</f>
        <v/>
      </c>
    </row>
    <row r="1756" customFormat="false" ht="15" hidden="false" customHeight="false" outlineLevel="0" collapsed="false">
      <c r="A1756" s="29" t="str">
        <f aca="false">IF($C1756="","",ROW()-4)</f>
        <v/>
      </c>
      <c r="B1756" s="35" t="str">
        <f aca="false">IF($C1756="","","SK"&amp;TEXT($C1756,"yyyymm")&amp;"-"&amp;TEXT(ROW()-4,"0000"))</f>
        <v/>
      </c>
      <c r="C1756" s="33"/>
      <c r="D1756" s="24"/>
      <c r="E1756" s="30" t="str">
        <f aca="false">IF($D1756="","",IFERROR(INDEX(合同单位,MATCH($D1756,合同键,0)),IFERROR(TRIM(LEFT($D1756,FIND("｜",$D1756)-1)),$D1756)))</f>
        <v/>
      </c>
      <c r="F1756" s="30" t="str">
        <f aca="false">IF($D1756="","",IFERROR(INDEX(合同项目,MATCH($D1756,合同键,0)),IFERROR(TRIM(MID($D1756,FIND("｜",$D1756)+1,99)),"")))</f>
        <v/>
      </c>
      <c r="G1756" s="39"/>
      <c r="H1756" s="25"/>
      <c r="I1756" s="35" t="str">
        <f aca="false">IF($H1756="","",IFERROR(INDEX(票据归类表,MATCH($H1756,票据类型表,0)),"现金无票"))</f>
        <v/>
      </c>
      <c r="J1756" s="25"/>
      <c r="K1756" s="25"/>
      <c r="L1756" s="31"/>
      <c r="M1756" s="29" t="str">
        <f aca="false">IF($C1756="","",YEAR($C1756))</f>
        <v/>
      </c>
      <c r="N1756" s="24"/>
      <c r="O1756" s="35" t="str">
        <f aca="false">IF($C1756="","",IF($D1756="","★没选客户项目",IF(COUNTIF(合同键,$D1756)=0,"★《维保合同》里没这个项目",IF(N($G1756)&lt;=0,"★收款金额要填",IF($H1756="","★票据类型要选",IF(AND($L1756&lt;&gt;"",COUNTIF(应收单号,$L1756)=0),"★关联的应收单号不存在",IF(AND($L1756&lt;&gt;"",IFERROR(INDEX(应收键,MATCH($L1756,应收单号,0)),"")&lt;&gt;$D1756),"★关联单号不是这个客户的",IF(AND($L1756&lt;&gt;"",ROUND(SUMIF(收款关联,$L1756,收款金额)-IFERROR(INDEX(应收金额,MATCH($L1756,应收单号,0)),0),2)&gt;0.001),"★指定冲销超过那张单的应收","OK"))))))))</f>
        <v/>
      </c>
    </row>
    <row r="1757" customFormat="false" ht="15" hidden="false" customHeight="false" outlineLevel="0" collapsed="false">
      <c r="A1757" s="29" t="str">
        <f aca="false">IF($C1757="","",ROW()-4)</f>
        <v/>
      </c>
      <c r="B1757" s="35" t="str">
        <f aca="false">IF($C1757="","","SK"&amp;TEXT($C1757,"yyyymm")&amp;"-"&amp;TEXT(ROW()-4,"0000"))</f>
        <v/>
      </c>
      <c r="C1757" s="33"/>
      <c r="D1757" s="24"/>
      <c r="E1757" s="30" t="str">
        <f aca="false">IF($D1757="","",IFERROR(INDEX(合同单位,MATCH($D1757,合同键,0)),IFERROR(TRIM(LEFT($D1757,FIND("｜",$D1757)-1)),$D1757)))</f>
        <v/>
      </c>
      <c r="F1757" s="30" t="str">
        <f aca="false">IF($D1757="","",IFERROR(INDEX(合同项目,MATCH($D1757,合同键,0)),IFERROR(TRIM(MID($D1757,FIND("｜",$D1757)+1,99)),"")))</f>
        <v/>
      </c>
      <c r="G1757" s="39"/>
      <c r="H1757" s="25"/>
      <c r="I1757" s="35" t="str">
        <f aca="false">IF($H1757="","",IFERROR(INDEX(票据归类表,MATCH($H1757,票据类型表,0)),"现金无票"))</f>
        <v/>
      </c>
      <c r="J1757" s="25"/>
      <c r="K1757" s="25"/>
      <c r="L1757" s="31"/>
      <c r="M1757" s="29" t="str">
        <f aca="false">IF($C1757="","",YEAR($C1757))</f>
        <v/>
      </c>
      <c r="N1757" s="24"/>
      <c r="O1757" s="35" t="str">
        <f aca="false">IF($C1757="","",IF($D1757="","★没选客户项目",IF(COUNTIF(合同键,$D1757)=0,"★《维保合同》里没这个项目",IF(N($G1757)&lt;=0,"★收款金额要填",IF($H1757="","★票据类型要选",IF(AND($L1757&lt;&gt;"",COUNTIF(应收单号,$L1757)=0),"★关联的应收单号不存在",IF(AND($L1757&lt;&gt;"",IFERROR(INDEX(应收键,MATCH($L1757,应收单号,0)),"")&lt;&gt;$D1757),"★关联单号不是这个客户的",IF(AND($L1757&lt;&gt;"",ROUND(SUMIF(收款关联,$L1757,收款金额)-IFERROR(INDEX(应收金额,MATCH($L1757,应收单号,0)),0),2)&gt;0.001),"★指定冲销超过那张单的应收","OK"))))))))</f>
        <v/>
      </c>
    </row>
    <row r="1758" customFormat="false" ht="15" hidden="false" customHeight="false" outlineLevel="0" collapsed="false">
      <c r="A1758" s="29" t="str">
        <f aca="false">IF($C1758="","",ROW()-4)</f>
        <v/>
      </c>
      <c r="B1758" s="35" t="str">
        <f aca="false">IF($C1758="","","SK"&amp;TEXT($C1758,"yyyymm")&amp;"-"&amp;TEXT(ROW()-4,"0000"))</f>
        <v/>
      </c>
      <c r="C1758" s="33"/>
      <c r="D1758" s="24"/>
      <c r="E1758" s="30" t="str">
        <f aca="false">IF($D1758="","",IFERROR(INDEX(合同单位,MATCH($D1758,合同键,0)),IFERROR(TRIM(LEFT($D1758,FIND("｜",$D1758)-1)),$D1758)))</f>
        <v/>
      </c>
      <c r="F1758" s="30" t="str">
        <f aca="false">IF($D1758="","",IFERROR(INDEX(合同项目,MATCH($D1758,合同键,0)),IFERROR(TRIM(MID($D1758,FIND("｜",$D1758)+1,99)),"")))</f>
        <v/>
      </c>
      <c r="G1758" s="39"/>
      <c r="H1758" s="25"/>
      <c r="I1758" s="35" t="str">
        <f aca="false">IF($H1758="","",IFERROR(INDEX(票据归类表,MATCH($H1758,票据类型表,0)),"现金无票"))</f>
        <v/>
      </c>
      <c r="J1758" s="25"/>
      <c r="K1758" s="25"/>
      <c r="L1758" s="31"/>
      <c r="M1758" s="29" t="str">
        <f aca="false">IF($C1758="","",YEAR($C1758))</f>
        <v/>
      </c>
      <c r="N1758" s="24"/>
      <c r="O1758" s="35" t="str">
        <f aca="false">IF($C1758="","",IF($D1758="","★没选客户项目",IF(COUNTIF(合同键,$D1758)=0,"★《维保合同》里没这个项目",IF(N($G1758)&lt;=0,"★收款金额要填",IF($H1758="","★票据类型要选",IF(AND($L1758&lt;&gt;"",COUNTIF(应收单号,$L1758)=0),"★关联的应收单号不存在",IF(AND($L1758&lt;&gt;"",IFERROR(INDEX(应收键,MATCH($L1758,应收单号,0)),"")&lt;&gt;$D1758),"★关联单号不是这个客户的",IF(AND($L1758&lt;&gt;"",ROUND(SUMIF(收款关联,$L1758,收款金额)-IFERROR(INDEX(应收金额,MATCH($L1758,应收单号,0)),0),2)&gt;0.001),"★指定冲销超过那张单的应收","OK"))))))))</f>
        <v/>
      </c>
    </row>
    <row r="1759" customFormat="false" ht="15" hidden="false" customHeight="false" outlineLevel="0" collapsed="false">
      <c r="A1759" s="29" t="str">
        <f aca="false">IF($C1759="","",ROW()-4)</f>
        <v/>
      </c>
      <c r="B1759" s="35" t="str">
        <f aca="false">IF($C1759="","","SK"&amp;TEXT($C1759,"yyyymm")&amp;"-"&amp;TEXT(ROW()-4,"0000"))</f>
        <v/>
      </c>
      <c r="C1759" s="33"/>
      <c r="D1759" s="24"/>
      <c r="E1759" s="30" t="str">
        <f aca="false">IF($D1759="","",IFERROR(INDEX(合同单位,MATCH($D1759,合同键,0)),IFERROR(TRIM(LEFT($D1759,FIND("｜",$D1759)-1)),$D1759)))</f>
        <v/>
      </c>
      <c r="F1759" s="30" t="str">
        <f aca="false">IF($D1759="","",IFERROR(INDEX(合同项目,MATCH($D1759,合同键,0)),IFERROR(TRIM(MID($D1759,FIND("｜",$D1759)+1,99)),"")))</f>
        <v/>
      </c>
      <c r="G1759" s="39"/>
      <c r="H1759" s="25"/>
      <c r="I1759" s="35" t="str">
        <f aca="false">IF($H1759="","",IFERROR(INDEX(票据归类表,MATCH($H1759,票据类型表,0)),"现金无票"))</f>
        <v/>
      </c>
      <c r="J1759" s="25"/>
      <c r="K1759" s="25"/>
      <c r="L1759" s="31"/>
      <c r="M1759" s="29" t="str">
        <f aca="false">IF($C1759="","",YEAR($C1759))</f>
        <v/>
      </c>
      <c r="N1759" s="24"/>
      <c r="O1759" s="35" t="str">
        <f aca="false">IF($C1759="","",IF($D1759="","★没选客户项目",IF(COUNTIF(合同键,$D1759)=0,"★《维保合同》里没这个项目",IF(N($G1759)&lt;=0,"★收款金额要填",IF($H1759="","★票据类型要选",IF(AND($L1759&lt;&gt;"",COUNTIF(应收单号,$L1759)=0),"★关联的应收单号不存在",IF(AND($L1759&lt;&gt;"",IFERROR(INDEX(应收键,MATCH($L1759,应收单号,0)),"")&lt;&gt;$D1759),"★关联单号不是这个客户的",IF(AND($L1759&lt;&gt;"",ROUND(SUMIF(收款关联,$L1759,收款金额)-IFERROR(INDEX(应收金额,MATCH($L1759,应收单号,0)),0),2)&gt;0.001),"★指定冲销超过那张单的应收","OK"))))))))</f>
        <v/>
      </c>
    </row>
    <row r="1760" customFormat="false" ht="15" hidden="false" customHeight="false" outlineLevel="0" collapsed="false">
      <c r="A1760" s="29" t="str">
        <f aca="false">IF($C1760="","",ROW()-4)</f>
        <v/>
      </c>
      <c r="B1760" s="35" t="str">
        <f aca="false">IF($C1760="","","SK"&amp;TEXT($C1760,"yyyymm")&amp;"-"&amp;TEXT(ROW()-4,"0000"))</f>
        <v/>
      </c>
      <c r="C1760" s="33"/>
      <c r="D1760" s="24"/>
      <c r="E1760" s="30" t="str">
        <f aca="false">IF($D1760="","",IFERROR(INDEX(合同单位,MATCH($D1760,合同键,0)),IFERROR(TRIM(LEFT($D1760,FIND("｜",$D1760)-1)),$D1760)))</f>
        <v/>
      </c>
      <c r="F1760" s="30" t="str">
        <f aca="false">IF($D1760="","",IFERROR(INDEX(合同项目,MATCH($D1760,合同键,0)),IFERROR(TRIM(MID($D1760,FIND("｜",$D1760)+1,99)),"")))</f>
        <v/>
      </c>
      <c r="G1760" s="39"/>
      <c r="H1760" s="25"/>
      <c r="I1760" s="35" t="str">
        <f aca="false">IF($H1760="","",IFERROR(INDEX(票据归类表,MATCH($H1760,票据类型表,0)),"现金无票"))</f>
        <v/>
      </c>
      <c r="J1760" s="25"/>
      <c r="K1760" s="25"/>
      <c r="L1760" s="31"/>
      <c r="M1760" s="29" t="str">
        <f aca="false">IF($C1760="","",YEAR($C1760))</f>
        <v/>
      </c>
      <c r="N1760" s="24"/>
      <c r="O1760" s="35" t="str">
        <f aca="false">IF($C1760="","",IF($D1760="","★没选客户项目",IF(COUNTIF(合同键,$D1760)=0,"★《维保合同》里没这个项目",IF(N($G1760)&lt;=0,"★收款金额要填",IF($H1760="","★票据类型要选",IF(AND($L1760&lt;&gt;"",COUNTIF(应收单号,$L1760)=0),"★关联的应收单号不存在",IF(AND($L1760&lt;&gt;"",IFERROR(INDEX(应收键,MATCH($L1760,应收单号,0)),"")&lt;&gt;$D1760),"★关联单号不是这个客户的",IF(AND($L1760&lt;&gt;"",ROUND(SUMIF(收款关联,$L1760,收款金额)-IFERROR(INDEX(应收金额,MATCH($L1760,应收单号,0)),0),2)&gt;0.001),"★指定冲销超过那张单的应收","OK"))))))))</f>
        <v/>
      </c>
    </row>
    <row r="1761" customFormat="false" ht="15" hidden="false" customHeight="false" outlineLevel="0" collapsed="false">
      <c r="A1761" s="29" t="str">
        <f aca="false">IF($C1761="","",ROW()-4)</f>
        <v/>
      </c>
      <c r="B1761" s="35" t="str">
        <f aca="false">IF($C1761="","","SK"&amp;TEXT($C1761,"yyyymm")&amp;"-"&amp;TEXT(ROW()-4,"0000"))</f>
        <v/>
      </c>
      <c r="C1761" s="33"/>
      <c r="D1761" s="24"/>
      <c r="E1761" s="30" t="str">
        <f aca="false">IF($D1761="","",IFERROR(INDEX(合同单位,MATCH($D1761,合同键,0)),IFERROR(TRIM(LEFT($D1761,FIND("｜",$D1761)-1)),$D1761)))</f>
        <v/>
      </c>
      <c r="F1761" s="30" t="str">
        <f aca="false">IF($D1761="","",IFERROR(INDEX(合同项目,MATCH($D1761,合同键,0)),IFERROR(TRIM(MID($D1761,FIND("｜",$D1761)+1,99)),"")))</f>
        <v/>
      </c>
      <c r="G1761" s="39"/>
      <c r="H1761" s="25"/>
      <c r="I1761" s="35" t="str">
        <f aca="false">IF($H1761="","",IFERROR(INDEX(票据归类表,MATCH($H1761,票据类型表,0)),"现金无票"))</f>
        <v/>
      </c>
      <c r="J1761" s="25"/>
      <c r="K1761" s="25"/>
      <c r="L1761" s="31"/>
      <c r="M1761" s="29" t="str">
        <f aca="false">IF($C1761="","",YEAR($C1761))</f>
        <v/>
      </c>
      <c r="N1761" s="24"/>
      <c r="O1761" s="35" t="str">
        <f aca="false">IF($C1761="","",IF($D1761="","★没选客户项目",IF(COUNTIF(合同键,$D1761)=0,"★《维保合同》里没这个项目",IF(N($G1761)&lt;=0,"★收款金额要填",IF($H1761="","★票据类型要选",IF(AND($L1761&lt;&gt;"",COUNTIF(应收单号,$L1761)=0),"★关联的应收单号不存在",IF(AND($L1761&lt;&gt;"",IFERROR(INDEX(应收键,MATCH($L1761,应收单号,0)),"")&lt;&gt;$D1761),"★关联单号不是这个客户的",IF(AND($L1761&lt;&gt;"",ROUND(SUMIF(收款关联,$L1761,收款金额)-IFERROR(INDEX(应收金额,MATCH($L1761,应收单号,0)),0),2)&gt;0.001),"★指定冲销超过那张单的应收","OK"))))))))</f>
        <v/>
      </c>
    </row>
    <row r="1762" customFormat="false" ht="15" hidden="false" customHeight="false" outlineLevel="0" collapsed="false">
      <c r="A1762" s="29" t="str">
        <f aca="false">IF($C1762="","",ROW()-4)</f>
        <v/>
      </c>
      <c r="B1762" s="35" t="str">
        <f aca="false">IF($C1762="","","SK"&amp;TEXT($C1762,"yyyymm")&amp;"-"&amp;TEXT(ROW()-4,"0000"))</f>
        <v/>
      </c>
      <c r="C1762" s="33"/>
      <c r="D1762" s="24"/>
      <c r="E1762" s="30" t="str">
        <f aca="false">IF($D1762="","",IFERROR(INDEX(合同单位,MATCH($D1762,合同键,0)),IFERROR(TRIM(LEFT($D1762,FIND("｜",$D1762)-1)),$D1762)))</f>
        <v/>
      </c>
      <c r="F1762" s="30" t="str">
        <f aca="false">IF($D1762="","",IFERROR(INDEX(合同项目,MATCH($D1762,合同键,0)),IFERROR(TRIM(MID($D1762,FIND("｜",$D1762)+1,99)),"")))</f>
        <v/>
      </c>
      <c r="G1762" s="39"/>
      <c r="H1762" s="25"/>
      <c r="I1762" s="35" t="str">
        <f aca="false">IF($H1762="","",IFERROR(INDEX(票据归类表,MATCH($H1762,票据类型表,0)),"现金无票"))</f>
        <v/>
      </c>
      <c r="J1762" s="25"/>
      <c r="K1762" s="25"/>
      <c r="L1762" s="31"/>
      <c r="M1762" s="29" t="str">
        <f aca="false">IF($C1762="","",YEAR($C1762))</f>
        <v/>
      </c>
      <c r="N1762" s="24"/>
      <c r="O1762" s="35" t="str">
        <f aca="false">IF($C1762="","",IF($D1762="","★没选客户项目",IF(COUNTIF(合同键,$D1762)=0,"★《维保合同》里没这个项目",IF(N($G1762)&lt;=0,"★收款金额要填",IF($H1762="","★票据类型要选",IF(AND($L1762&lt;&gt;"",COUNTIF(应收单号,$L1762)=0),"★关联的应收单号不存在",IF(AND($L1762&lt;&gt;"",IFERROR(INDEX(应收键,MATCH($L1762,应收单号,0)),"")&lt;&gt;$D1762),"★关联单号不是这个客户的",IF(AND($L1762&lt;&gt;"",ROUND(SUMIF(收款关联,$L1762,收款金额)-IFERROR(INDEX(应收金额,MATCH($L1762,应收单号,0)),0),2)&gt;0.001),"★指定冲销超过那张单的应收","OK"))))))))</f>
        <v/>
      </c>
    </row>
    <row r="1763" customFormat="false" ht="15" hidden="false" customHeight="false" outlineLevel="0" collapsed="false">
      <c r="A1763" s="29" t="str">
        <f aca="false">IF($C1763="","",ROW()-4)</f>
        <v/>
      </c>
      <c r="B1763" s="35" t="str">
        <f aca="false">IF($C1763="","","SK"&amp;TEXT($C1763,"yyyymm")&amp;"-"&amp;TEXT(ROW()-4,"0000"))</f>
        <v/>
      </c>
      <c r="C1763" s="33"/>
      <c r="D1763" s="24"/>
      <c r="E1763" s="30" t="str">
        <f aca="false">IF($D1763="","",IFERROR(INDEX(合同单位,MATCH($D1763,合同键,0)),IFERROR(TRIM(LEFT($D1763,FIND("｜",$D1763)-1)),$D1763)))</f>
        <v/>
      </c>
      <c r="F1763" s="30" t="str">
        <f aca="false">IF($D1763="","",IFERROR(INDEX(合同项目,MATCH($D1763,合同键,0)),IFERROR(TRIM(MID($D1763,FIND("｜",$D1763)+1,99)),"")))</f>
        <v/>
      </c>
      <c r="G1763" s="39"/>
      <c r="H1763" s="25"/>
      <c r="I1763" s="35" t="str">
        <f aca="false">IF($H1763="","",IFERROR(INDEX(票据归类表,MATCH($H1763,票据类型表,0)),"现金无票"))</f>
        <v/>
      </c>
      <c r="J1763" s="25"/>
      <c r="K1763" s="25"/>
      <c r="L1763" s="31"/>
      <c r="M1763" s="29" t="str">
        <f aca="false">IF($C1763="","",YEAR($C1763))</f>
        <v/>
      </c>
      <c r="N1763" s="24"/>
      <c r="O1763" s="35" t="str">
        <f aca="false">IF($C1763="","",IF($D1763="","★没选客户项目",IF(COUNTIF(合同键,$D1763)=0,"★《维保合同》里没这个项目",IF(N($G1763)&lt;=0,"★收款金额要填",IF($H1763="","★票据类型要选",IF(AND($L1763&lt;&gt;"",COUNTIF(应收单号,$L1763)=0),"★关联的应收单号不存在",IF(AND($L1763&lt;&gt;"",IFERROR(INDEX(应收键,MATCH($L1763,应收单号,0)),"")&lt;&gt;$D1763),"★关联单号不是这个客户的",IF(AND($L1763&lt;&gt;"",ROUND(SUMIF(收款关联,$L1763,收款金额)-IFERROR(INDEX(应收金额,MATCH($L1763,应收单号,0)),0),2)&gt;0.001),"★指定冲销超过那张单的应收","OK"))))))))</f>
        <v/>
      </c>
    </row>
    <row r="1764" customFormat="false" ht="15" hidden="false" customHeight="false" outlineLevel="0" collapsed="false">
      <c r="A1764" s="29" t="str">
        <f aca="false">IF($C1764="","",ROW()-4)</f>
        <v/>
      </c>
      <c r="B1764" s="35" t="str">
        <f aca="false">IF($C1764="","","SK"&amp;TEXT($C1764,"yyyymm")&amp;"-"&amp;TEXT(ROW()-4,"0000"))</f>
        <v/>
      </c>
      <c r="C1764" s="33"/>
      <c r="D1764" s="24"/>
      <c r="E1764" s="30" t="str">
        <f aca="false">IF($D1764="","",IFERROR(INDEX(合同单位,MATCH($D1764,合同键,0)),IFERROR(TRIM(LEFT($D1764,FIND("｜",$D1764)-1)),$D1764)))</f>
        <v/>
      </c>
      <c r="F1764" s="30" t="str">
        <f aca="false">IF($D1764="","",IFERROR(INDEX(合同项目,MATCH($D1764,合同键,0)),IFERROR(TRIM(MID($D1764,FIND("｜",$D1764)+1,99)),"")))</f>
        <v/>
      </c>
      <c r="G1764" s="39"/>
      <c r="H1764" s="25"/>
      <c r="I1764" s="35" t="str">
        <f aca="false">IF($H1764="","",IFERROR(INDEX(票据归类表,MATCH($H1764,票据类型表,0)),"现金无票"))</f>
        <v/>
      </c>
      <c r="J1764" s="25"/>
      <c r="K1764" s="25"/>
      <c r="L1764" s="31"/>
      <c r="M1764" s="29" t="str">
        <f aca="false">IF($C1764="","",YEAR($C1764))</f>
        <v/>
      </c>
      <c r="N1764" s="24"/>
      <c r="O1764" s="35" t="str">
        <f aca="false">IF($C1764="","",IF($D1764="","★没选客户项目",IF(COUNTIF(合同键,$D1764)=0,"★《维保合同》里没这个项目",IF(N($G1764)&lt;=0,"★收款金额要填",IF($H1764="","★票据类型要选",IF(AND($L1764&lt;&gt;"",COUNTIF(应收单号,$L1764)=0),"★关联的应收单号不存在",IF(AND($L1764&lt;&gt;"",IFERROR(INDEX(应收键,MATCH($L1764,应收单号,0)),"")&lt;&gt;$D1764),"★关联单号不是这个客户的",IF(AND($L1764&lt;&gt;"",ROUND(SUMIF(收款关联,$L1764,收款金额)-IFERROR(INDEX(应收金额,MATCH($L1764,应收单号,0)),0),2)&gt;0.001),"★指定冲销超过那张单的应收","OK"))))))))</f>
        <v/>
      </c>
    </row>
    <row r="1765" customFormat="false" ht="15" hidden="false" customHeight="false" outlineLevel="0" collapsed="false">
      <c r="A1765" s="29" t="str">
        <f aca="false">IF($C1765="","",ROW()-4)</f>
        <v/>
      </c>
      <c r="B1765" s="35" t="str">
        <f aca="false">IF($C1765="","","SK"&amp;TEXT($C1765,"yyyymm")&amp;"-"&amp;TEXT(ROW()-4,"0000"))</f>
        <v/>
      </c>
      <c r="C1765" s="33"/>
      <c r="D1765" s="24"/>
      <c r="E1765" s="30" t="str">
        <f aca="false">IF($D1765="","",IFERROR(INDEX(合同单位,MATCH($D1765,合同键,0)),IFERROR(TRIM(LEFT($D1765,FIND("｜",$D1765)-1)),$D1765)))</f>
        <v/>
      </c>
      <c r="F1765" s="30" t="str">
        <f aca="false">IF($D1765="","",IFERROR(INDEX(合同项目,MATCH($D1765,合同键,0)),IFERROR(TRIM(MID($D1765,FIND("｜",$D1765)+1,99)),"")))</f>
        <v/>
      </c>
      <c r="G1765" s="39"/>
      <c r="H1765" s="25"/>
      <c r="I1765" s="35" t="str">
        <f aca="false">IF($H1765="","",IFERROR(INDEX(票据归类表,MATCH($H1765,票据类型表,0)),"现金无票"))</f>
        <v/>
      </c>
      <c r="J1765" s="25"/>
      <c r="K1765" s="25"/>
      <c r="L1765" s="31"/>
      <c r="M1765" s="29" t="str">
        <f aca="false">IF($C1765="","",YEAR($C1765))</f>
        <v/>
      </c>
      <c r="N1765" s="24"/>
      <c r="O1765" s="35" t="str">
        <f aca="false">IF($C1765="","",IF($D1765="","★没选客户项目",IF(COUNTIF(合同键,$D1765)=0,"★《维保合同》里没这个项目",IF(N($G1765)&lt;=0,"★收款金额要填",IF($H1765="","★票据类型要选",IF(AND($L1765&lt;&gt;"",COUNTIF(应收单号,$L1765)=0),"★关联的应收单号不存在",IF(AND($L1765&lt;&gt;"",IFERROR(INDEX(应收键,MATCH($L1765,应收单号,0)),"")&lt;&gt;$D1765),"★关联单号不是这个客户的",IF(AND($L1765&lt;&gt;"",ROUND(SUMIF(收款关联,$L1765,收款金额)-IFERROR(INDEX(应收金额,MATCH($L1765,应收单号,0)),0),2)&gt;0.001),"★指定冲销超过那张单的应收","OK"))))))))</f>
        <v/>
      </c>
    </row>
    <row r="1766" customFormat="false" ht="15" hidden="false" customHeight="false" outlineLevel="0" collapsed="false">
      <c r="A1766" s="29" t="str">
        <f aca="false">IF($C1766="","",ROW()-4)</f>
        <v/>
      </c>
      <c r="B1766" s="35" t="str">
        <f aca="false">IF($C1766="","","SK"&amp;TEXT($C1766,"yyyymm")&amp;"-"&amp;TEXT(ROW()-4,"0000"))</f>
        <v/>
      </c>
      <c r="C1766" s="33"/>
      <c r="D1766" s="24"/>
      <c r="E1766" s="30" t="str">
        <f aca="false">IF($D1766="","",IFERROR(INDEX(合同单位,MATCH($D1766,合同键,0)),IFERROR(TRIM(LEFT($D1766,FIND("｜",$D1766)-1)),$D1766)))</f>
        <v/>
      </c>
      <c r="F1766" s="30" t="str">
        <f aca="false">IF($D1766="","",IFERROR(INDEX(合同项目,MATCH($D1766,合同键,0)),IFERROR(TRIM(MID($D1766,FIND("｜",$D1766)+1,99)),"")))</f>
        <v/>
      </c>
      <c r="G1766" s="39"/>
      <c r="H1766" s="25"/>
      <c r="I1766" s="35" t="str">
        <f aca="false">IF($H1766="","",IFERROR(INDEX(票据归类表,MATCH($H1766,票据类型表,0)),"现金无票"))</f>
        <v/>
      </c>
      <c r="J1766" s="25"/>
      <c r="K1766" s="25"/>
      <c r="L1766" s="31"/>
      <c r="M1766" s="29" t="str">
        <f aca="false">IF($C1766="","",YEAR($C1766))</f>
        <v/>
      </c>
      <c r="N1766" s="24"/>
      <c r="O1766" s="35" t="str">
        <f aca="false">IF($C1766="","",IF($D1766="","★没选客户项目",IF(COUNTIF(合同键,$D1766)=0,"★《维保合同》里没这个项目",IF(N($G1766)&lt;=0,"★收款金额要填",IF($H1766="","★票据类型要选",IF(AND($L1766&lt;&gt;"",COUNTIF(应收单号,$L1766)=0),"★关联的应收单号不存在",IF(AND($L1766&lt;&gt;"",IFERROR(INDEX(应收键,MATCH($L1766,应收单号,0)),"")&lt;&gt;$D1766),"★关联单号不是这个客户的",IF(AND($L1766&lt;&gt;"",ROUND(SUMIF(收款关联,$L1766,收款金额)-IFERROR(INDEX(应收金额,MATCH($L1766,应收单号,0)),0),2)&gt;0.001),"★指定冲销超过那张单的应收","OK"))))))))</f>
        <v/>
      </c>
    </row>
    <row r="1767" customFormat="false" ht="15" hidden="false" customHeight="false" outlineLevel="0" collapsed="false">
      <c r="A1767" s="29" t="str">
        <f aca="false">IF($C1767="","",ROW()-4)</f>
        <v/>
      </c>
      <c r="B1767" s="35" t="str">
        <f aca="false">IF($C1767="","","SK"&amp;TEXT($C1767,"yyyymm")&amp;"-"&amp;TEXT(ROW()-4,"0000"))</f>
        <v/>
      </c>
      <c r="C1767" s="33"/>
      <c r="D1767" s="24"/>
      <c r="E1767" s="30" t="str">
        <f aca="false">IF($D1767="","",IFERROR(INDEX(合同单位,MATCH($D1767,合同键,0)),IFERROR(TRIM(LEFT($D1767,FIND("｜",$D1767)-1)),$D1767)))</f>
        <v/>
      </c>
      <c r="F1767" s="30" t="str">
        <f aca="false">IF($D1767="","",IFERROR(INDEX(合同项目,MATCH($D1767,合同键,0)),IFERROR(TRIM(MID($D1767,FIND("｜",$D1767)+1,99)),"")))</f>
        <v/>
      </c>
      <c r="G1767" s="39"/>
      <c r="H1767" s="25"/>
      <c r="I1767" s="35" t="str">
        <f aca="false">IF($H1767="","",IFERROR(INDEX(票据归类表,MATCH($H1767,票据类型表,0)),"现金无票"))</f>
        <v/>
      </c>
      <c r="J1767" s="25"/>
      <c r="K1767" s="25"/>
      <c r="L1767" s="31"/>
      <c r="M1767" s="29" t="str">
        <f aca="false">IF($C1767="","",YEAR($C1767))</f>
        <v/>
      </c>
      <c r="N1767" s="24"/>
      <c r="O1767" s="35" t="str">
        <f aca="false">IF($C1767="","",IF($D1767="","★没选客户项目",IF(COUNTIF(合同键,$D1767)=0,"★《维保合同》里没这个项目",IF(N($G1767)&lt;=0,"★收款金额要填",IF($H1767="","★票据类型要选",IF(AND($L1767&lt;&gt;"",COUNTIF(应收单号,$L1767)=0),"★关联的应收单号不存在",IF(AND($L1767&lt;&gt;"",IFERROR(INDEX(应收键,MATCH($L1767,应收单号,0)),"")&lt;&gt;$D1767),"★关联单号不是这个客户的",IF(AND($L1767&lt;&gt;"",ROUND(SUMIF(收款关联,$L1767,收款金额)-IFERROR(INDEX(应收金额,MATCH($L1767,应收单号,0)),0),2)&gt;0.001),"★指定冲销超过那张单的应收","OK"))))))))</f>
        <v/>
      </c>
    </row>
    <row r="1768" customFormat="false" ht="15" hidden="false" customHeight="false" outlineLevel="0" collapsed="false">
      <c r="A1768" s="29" t="str">
        <f aca="false">IF($C1768="","",ROW()-4)</f>
        <v/>
      </c>
      <c r="B1768" s="35" t="str">
        <f aca="false">IF($C1768="","","SK"&amp;TEXT($C1768,"yyyymm")&amp;"-"&amp;TEXT(ROW()-4,"0000"))</f>
        <v/>
      </c>
      <c r="C1768" s="33"/>
      <c r="D1768" s="24"/>
      <c r="E1768" s="30" t="str">
        <f aca="false">IF($D1768="","",IFERROR(INDEX(合同单位,MATCH($D1768,合同键,0)),IFERROR(TRIM(LEFT($D1768,FIND("｜",$D1768)-1)),$D1768)))</f>
        <v/>
      </c>
      <c r="F1768" s="30" t="str">
        <f aca="false">IF($D1768="","",IFERROR(INDEX(合同项目,MATCH($D1768,合同键,0)),IFERROR(TRIM(MID($D1768,FIND("｜",$D1768)+1,99)),"")))</f>
        <v/>
      </c>
      <c r="G1768" s="39"/>
      <c r="H1768" s="25"/>
      <c r="I1768" s="35" t="str">
        <f aca="false">IF($H1768="","",IFERROR(INDEX(票据归类表,MATCH($H1768,票据类型表,0)),"现金无票"))</f>
        <v/>
      </c>
      <c r="J1768" s="25"/>
      <c r="K1768" s="25"/>
      <c r="L1768" s="31"/>
      <c r="M1768" s="29" t="str">
        <f aca="false">IF($C1768="","",YEAR($C1768))</f>
        <v/>
      </c>
      <c r="N1768" s="24"/>
      <c r="O1768" s="35" t="str">
        <f aca="false">IF($C1768="","",IF($D1768="","★没选客户项目",IF(COUNTIF(合同键,$D1768)=0,"★《维保合同》里没这个项目",IF(N($G1768)&lt;=0,"★收款金额要填",IF($H1768="","★票据类型要选",IF(AND($L1768&lt;&gt;"",COUNTIF(应收单号,$L1768)=0),"★关联的应收单号不存在",IF(AND($L1768&lt;&gt;"",IFERROR(INDEX(应收键,MATCH($L1768,应收单号,0)),"")&lt;&gt;$D1768),"★关联单号不是这个客户的",IF(AND($L1768&lt;&gt;"",ROUND(SUMIF(收款关联,$L1768,收款金额)-IFERROR(INDEX(应收金额,MATCH($L1768,应收单号,0)),0),2)&gt;0.001),"★指定冲销超过那张单的应收","OK"))))))))</f>
        <v/>
      </c>
    </row>
    <row r="1769" customFormat="false" ht="15" hidden="false" customHeight="false" outlineLevel="0" collapsed="false">
      <c r="A1769" s="29" t="str">
        <f aca="false">IF($C1769="","",ROW()-4)</f>
        <v/>
      </c>
      <c r="B1769" s="35" t="str">
        <f aca="false">IF($C1769="","","SK"&amp;TEXT($C1769,"yyyymm")&amp;"-"&amp;TEXT(ROW()-4,"0000"))</f>
        <v/>
      </c>
      <c r="C1769" s="33"/>
      <c r="D1769" s="24"/>
      <c r="E1769" s="30" t="str">
        <f aca="false">IF($D1769="","",IFERROR(INDEX(合同单位,MATCH($D1769,合同键,0)),IFERROR(TRIM(LEFT($D1769,FIND("｜",$D1769)-1)),$D1769)))</f>
        <v/>
      </c>
      <c r="F1769" s="30" t="str">
        <f aca="false">IF($D1769="","",IFERROR(INDEX(合同项目,MATCH($D1769,合同键,0)),IFERROR(TRIM(MID($D1769,FIND("｜",$D1769)+1,99)),"")))</f>
        <v/>
      </c>
      <c r="G1769" s="39"/>
      <c r="H1769" s="25"/>
      <c r="I1769" s="35" t="str">
        <f aca="false">IF($H1769="","",IFERROR(INDEX(票据归类表,MATCH($H1769,票据类型表,0)),"现金无票"))</f>
        <v/>
      </c>
      <c r="J1769" s="25"/>
      <c r="K1769" s="25"/>
      <c r="L1769" s="31"/>
      <c r="M1769" s="29" t="str">
        <f aca="false">IF($C1769="","",YEAR($C1769))</f>
        <v/>
      </c>
      <c r="N1769" s="24"/>
      <c r="O1769" s="35" t="str">
        <f aca="false">IF($C1769="","",IF($D1769="","★没选客户项目",IF(COUNTIF(合同键,$D1769)=0,"★《维保合同》里没这个项目",IF(N($G1769)&lt;=0,"★收款金额要填",IF($H1769="","★票据类型要选",IF(AND($L1769&lt;&gt;"",COUNTIF(应收单号,$L1769)=0),"★关联的应收单号不存在",IF(AND($L1769&lt;&gt;"",IFERROR(INDEX(应收键,MATCH($L1769,应收单号,0)),"")&lt;&gt;$D1769),"★关联单号不是这个客户的",IF(AND($L1769&lt;&gt;"",ROUND(SUMIF(收款关联,$L1769,收款金额)-IFERROR(INDEX(应收金额,MATCH($L1769,应收单号,0)),0),2)&gt;0.001),"★指定冲销超过那张单的应收","OK"))))))))</f>
        <v/>
      </c>
    </row>
    <row r="1770" customFormat="false" ht="15" hidden="false" customHeight="false" outlineLevel="0" collapsed="false">
      <c r="A1770" s="29" t="str">
        <f aca="false">IF($C1770="","",ROW()-4)</f>
        <v/>
      </c>
      <c r="B1770" s="35" t="str">
        <f aca="false">IF($C1770="","","SK"&amp;TEXT($C1770,"yyyymm")&amp;"-"&amp;TEXT(ROW()-4,"0000"))</f>
        <v/>
      </c>
      <c r="C1770" s="33"/>
      <c r="D1770" s="24"/>
      <c r="E1770" s="30" t="str">
        <f aca="false">IF($D1770="","",IFERROR(INDEX(合同单位,MATCH($D1770,合同键,0)),IFERROR(TRIM(LEFT($D1770,FIND("｜",$D1770)-1)),$D1770)))</f>
        <v/>
      </c>
      <c r="F1770" s="30" t="str">
        <f aca="false">IF($D1770="","",IFERROR(INDEX(合同项目,MATCH($D1770,合同键,0)),IFERROR(TRIM(MID($D1770,FIND("｜",$D1770)+1,99)),"")))</f>
        <v/>
      </c>
      <c r="G1770" s="39"/>
      <c r="H1770" s="25"/>
      <c r="I1770" s="35" t="str">
        <f aca="false">IF($H1770="","",IFERROR(INDEX(票据归类表,MATCH($H1770,票据类型表,0)),"现金无票"))</f>
        <v/>
      </c>
      <c r="J1770" s="25"/>
      <c r="K1770" s="25"/>
      <c r="L1770" s="31"/>
      <c r="M1770" s="29" t="str">
        <f aca="false">IF($C1770="","",YEAR($C1770))</f>
        <v/>
      </c>
      <c r="N1770" s="24"/>
      <c r="O1770" s="35" t="str">
        <f aca="false">IF($C1770="","",IF($D1770="","★没选客户项目",IF(COUNTIF(合同键,$D1770)=0,"★《维保合同》里没这个项目",IF(N($G1770)&lt;=0,"★收款金额要填",IF($H1770="","★票据类型要选",IF(AND($L1770&lt;&gt;"",COUNTIF(应收单号,$L1770)=0),"★关联的应收单号不存在",IF(AND($L1770&lt;&gt;"",IFERROR(INDEX(应收键,MATCH($L1770,应收单号,0)),"")&lt;&gt;$D1770),"★关联单号不是这个客户的",IF(AND($L1770&lt;&gt;"",ROUND(SUMIF(收款关联,$L1770,收款金额)-IFERROR(INDEX(应收金额,MATCH($L1770,应收单号,0)),0),2)&gt;0.001),"★指定冲销超过那张单的应收","OK"))))))))</f>
        <v/>
      </c>
    </row>
    <row r="1771" customFormat="false" ht="15" hidden="false" customHeight="false" outlineLevel="0" collapsed="false">
      <c r="A1771" s="29" t="str">
        <f aca="false">IF($C1771="","",ROW()-4)</f>
        <v/>
      </c>
      <c r="B1771" s="35" t="str">
        <f aca="false">IF($C1771="","","SK"&amp;TEXT($C1771,"yyyymm")&amp;"-"&amp;TEXT(ROW()-4,"0000"))</f>
        <v/>
      </c>
      <c r="C1771" s="33"/>
      <c r="D1771" s="24"/>
      <c r="E1771" s="30" t="str">
        <f aca="false">IF($D1771="","",IFERROR(INDEX(合同单位,MATCH($D1771,合同键,0)),IFERROR(TRIM(LEFT($D1771,FIND("｜",$D1771)-1)),$D1771)))</f>
        <v/>
      </c>
      <c r="F1771" s="30" t="str">
        <f aca="false">IF($D1771="","",IFERROR(INDEX(合同项目,MATCH($D1771,合同键,0)),IFERROR(TRIM(MID($D1771,FIND("｜",$D1771)+1,99)),"")))</f>
        <v/>
      </c>
      <c r="G1771" s="39"/>
      <c r="H1771" s="25"/>
      <c r="I1771" s="35" t="str">
        <f aca="false">IF($H1771="","",IFERROR(INDEX(票据归类表,MATCH($H1771,票据类型表,0)),"现金无票"))</f>
        <v/>
      </c>
      <c r="J1771" s="25"/>
      <c r="K1771" s="25"/>
      <c r="L1771" s="31"/>
      <c r="M1771" s="29" t="str">
        <f aca="false">IF($C1771="","",YEAR($C1771))</f>
        <v/>
      </c>
      <c r="N1771" s="24"/>
      <c r="O1771" s="35" t="str">
        <f aca="false">IF($C1771="","",IF($D1771="","★没选客户项目",IF(COUNTIF(合同键,$D1771)=0,"★《维保合同》里没这个项目",IF(N($G1771)&lt;=0,"★收款金额要填",IF($H1771="","★票据类型要选",IF(AND($L1771&lt;&gt;"",COUNTIF(应收单号,$L1771)=0),"★关联的应收单号不存在",IF(AND($L1771&lt;&gt;"",IFERROR(INDEX(应收键,MATCH($L1771,应收单号,0)),"")&lt;&gt;$D1771),"★关联单号不是这个客户的",IF(AND($L1771&lt;&gt;"",ROUND(SUMIF(收款关联,$L1771,收款金额)-IFERROR(INDEX(应收金额,MATCH($L1771,应收单号,0)),0),2)&gt;0.001),"★指定冲销超过那张单的应收","OK"))))))))</f>
        <v/>
      </c>
    </row>
    <row r="1772" customFormat="false" ht="15" hidden="false" customHeight="false" outlineLevel="0" collapsed="false">
      <c r="A1772" s="29" t="str">
        <f aca="false">IF($C1772="","",ROW()-4)</f>
        <v/>
      </c>
      <c r="B1772" s="35" t="str">
        <f aca="false">IF($C1772="","","SK"&amp;TEXT($C1772,"yyyymm")&amp;"-"&amp;TEXT(ROW()-4,"0000"))</f>
        <v/>
      </c>
      <c r="C1772" s="33"/>
      <c r="D1772" s="24"/>
      <c r="E1772" s="30" t="str">
        <f aca="false">IF($D1772="","",IFERROR(INDEX(合同单位,MATCH($D1772,合同键,0)),IFERROR(TRIM(LEFT($D1772,FIND("｜",$D1772)-1)),$D1772)))</f>
        <v/>
      </c>
      <c r="F1772" s="30" t="str">
        <f aca="false">IF($D1772="","",IFERROR(INDEX(合同项目,MATCH($D1772,合同键,0)),IFERROR(TRIM(MID($D1772,FIND("｜",$D1772)+1,99)),"")))</f>
        <v/>
      </c>
      <c r="G1772" s="39"/>
      <c r="H1772" s="25"/>
      <c r="I1772" s="35" t="str">
        <f aca="false">IF($H1772="","",IFERROR(INDEX(票据归类表,MATCH($H1772,票据类型表,0)),"现金无票"))</f>
        <v/>
      </c>
      <c r="J1772" s="25"/>
      <c r="K1772" s="25"/>
      <c r="L1772" s="31"/>
      <c r="M1772" s="29" t="str">
        <f aca="false">IF($C1772="","",YEAR($C1772))</f>
        <v/>
      </c>
      <c r="N1772" s="24"/>
      <c r="O1772" s="35" t="str">
        <f aca="false">IF($C1772="","",IF($D1772="","★没选客户项目",IF(COUNTIF(合同键,$D1772)=0,"★《维保合同》里没这个项目",IF(N($G1772)&lt;=0,"★收款金额要填",IF($H1772="","★票据类型要选",IF(AND($L1772&lt;&gt;"",COUNTIF(应收单号,$L1772)=0),"★关联的应收单号不存在",IF(AND($L1772&lt;&gt;"",IFERROR(INDEX(应收键,MATCH($L1772,应收单号,0)),"")&lt;&gt;$D1772),"★关联单号不是这个客户的",IF(AND($L1772&lt;&gt;"",ROUND(SUMIF(收款关联,$L1772,收款金额)-IFERROR(INDEX(应收金额,MATCH($L1772,应收单号,0)),0),2)&gt;0.001),"★指定冲销超过那张单的应收","OK"))))))))</f>
        <v/>
      </c>
    </row>
    <row r="1773" customFormat="false" ht="15" hidden="false" customHeight="false" outlineLevel="0" collapsed="false">
      <c r="A1773" s="29" t="str">
        <f aca="false">IF($C1773="","",ROW()-4)</f>
        <v/>
      </c>
      <c r="B1773" s="35" t="str">
        <f aca="false">IF($C1773="","","SK"&amp;TEXT($C1773,"yyyymm")&amp;"-"&amp;TEXT(ROW()-4,"0000"))</f>
        <v/>
      </c>
      <c r="C1773" s="33"/>
      <c r="D1773" s="24"/>
      <c r="E1773" s="30" t="str">
        <f aca="false">IF($D1773="","",IFERROR(INDEX(合同单位,MATCH($D1773,合同键,0)),IFERROR(TRIM(LEFT($D1773,FIND("｜",$D1773)-1)),$D1773)))</f>
        <v/>
      </c>
      <c r="F1773" s="30" t="str">
        <f aca="false">IF($D1773="","",IFERROR(INDEX(合同项目,MATCH($D1773,合同键,0)),IFERROR(TRIM(MID($D1773,FIND("｜",$D1773)+1,99)),"")))</f>
        <v/>
      </c>
      <c r="G1773" s="39"/>
      <c r="H1773" s="25"/>
      <c r="I1773" s="35" t="str">
        <f aca="false">IF($H1773="","",IFERROR(INDEX(票据归类表,MATCH($H1773,票据类型表,0)),"现金无票"))</f>
        <v/>
      </c>
      <c r="J1773" s="25"/>
      <c r="K1773" s="25"/>
      <c r="L1773" s="31"/>
      <c r="M1773" s="29" t="str">
        <f aca="false">IF($C1773="","",YEAR($C1773))</f>
        <v/>
      </c>
      <c r="N1773" s="24"/>
      <c r="O1773" s="35" t="str">
        <f aca="false">IF($C1773="","",IF($D1773="","★没选客户项目",IF(COUNTIF(合同键,$D1773)=0,"★《维保合同》里没这个项目",IF(N($G1773)&lt;=0,"★收款金额要填",IF($H1773="","★票据类型要选",IF(AND($L1773&lt;&gt;"",COUNTIF(应收单号,$L1773)=0),"★关联的应收单号不存在",IF(AND($L1773&lt;&gt;"",IFERROR(INDEX(应收键,MATCH($L1773,应收单号,0)),"")&lt;&gt;$D1773),"★关联单号不是这个客户的",IF(AND($L1773&lt;&gt;"",ROUND(SUMIF(收款关联,$L1773,收款金额)-IFERROR(INDEX(应收金额,MATCH($L1773,应收单号,0)),0),2)&gt;0.001),"★指定冲销超过那张单的应收","OK"))))))))</f>
        <v/>
      </c>
    </row>
    <row r="1774" customFormat="false" ht="15" hidden="false" customHeight="false" outlineLevel="0" collapsed="false">
      <c r="A1774" s="29" t="str">
        <f aca="false">IF($C1774="","",ROW()-4)</f>
        <v/>
      </c>
      <c r="B1774" s="35" t="str">
        <f aca="false">IF($C1774="","","SK"&amp;TEXT($C1774,"yyyymm")&amp;"-"&amp;TEXT(ROW()-4,"0000"))</f>
        <v/>
      </c>
      <c r="C1774" s="33"/>
      <c r="D1774" s="24"/>
      <c r="E1774" s="30" t="str">
        <f aca="false">IF($D1774="","",IFERROR(INDEX(合同单位,MATCH($D1774,合同键,0)),IFERROR(TRIM(LEFT($D1774,FIND("｜",$D1774)-1)),$D1774)))</f>
        <v/>
      </c>
      <c r="F1774" s="30" t="str">
        <f aca="false">IF($D1774="","",IFERROR(INDEX(合同项目,MATCH($D1774,合同键,0)),IFERROR(TRIM(MID($D1774,FIND("｜",$D1774)+1,99)),"")))</f>
        <v/>
      </c>
      <c r="G1774" s="39"/>
      <c r="H1774" s="25"/>
      <c r="I1774" s="35" t="str">
        <f aca="false">IF($H1774="","",IFERROR(INDEX(票据归类表,MATCH($H1774,票据类型表,0)),"现金无票"))</f>
        <v/>
      </c>
      <c r="J1774" s="25"/>
      <c r="K1774" s="25"/>
      <c r="L1774" s="31"/>
      <c r="M1774" s="29" t="str">
        <f aca="false">IF($C1774="","",YEAR($C1774))</f>
        <v/>
      </c>
      <c r="N1774" s="24"/>
      <c r="O1774" s="35" t="str">
        <f aca="false">IF($C1774="","",IF($D1774="","★没选客户项目",IF(COUNTIF(合同键,$D1774)=0,"★《维保合同》里没这个项目",IF(N($G1774)&lt;=0,"★收款金额要填",IF($H1774="","★票据类型要选",IF(AND($L1774&lt;&gt;"",COUNTIF(应收单号,$L1774)=0),"★关联的应收单号不存在",IF(AND($L1774&lt;&gt;"",IFERROR(INDEX(应收键,MATCH($L1774,应收单号,0)),"")&lt;&gt;$D1774),"★关联单号不是这个客户的",IF(AND($L1774&lt;&gt;"",ROUND(SUMIF(收款关联,$L1774,收款金额)-IFERROR(INDEX(应收金额,MATCH($L1774,应收单号,0)),0),2)&gt;0.001),"★指定冲销超过那张单的应收","OK"))))))))</f>
        <v/>
      </c>
    </row>
    <row r="1775" customFormat="false" ht="15" hidden="false" customHeight="false" outlineLevel="0" collapsed="false">
      <c r="A1775" s="29" t="str">
        <f aca="false">IF($C1775="","",ROW()-4)</f>
        <v/>
      </c>
      <c r="B1775" s="35" t="str">
        <f aca="false">IF($C1775="","","SK"&amp;TEXT($C1775,"yyyymm")&amp;"-"&amp;TEXT(ROW()-4,"0000"))</f>
        <v/>
      </c>
      <c r="C1775" s="33"/>
      <c r="D1775" s="24"/>
      <c r="E1775" s="30" t="str">
        <f aca="false">IF($D1775="","",IFERROR(INDEX(合同单位,MATCH($D1775,合同键,0)),IFERROR(TRIM(LEFT($D1775,FIND("｜",$D1775)-1)),$D1775)))</f>
        <v/>
      </c>
      <c r="F1775" s="30" t="str">
        <f aca="false">IF($D1775="","",IFERROR(INDEX(合同项目,MATCH($D1775,合同键,0)),IFERROR(TRIM(MID($D1775,FIND("｜",$D1775)+1,99)),"")))</f>
        <v/>
      </c>
      <c r="G1775" s="39"/>
      <c r="H1775" s="25"/>
      <c r="I1775" s="35" t="str">
        <f aca="false">IF($H1775="","",IFERROR(INDEX(票据归类表,MATCH($H1775,票据类型表,0)),"现金无票"))</f>
        <v/>
      </c>
      <c r="J1775" s="25"/>
      <c r="K1775" s="25"/>
      <c r="L1775" s="31"/>
      <c r="M1775" s="29" t="str">
        <f aca="false">IF($C1775="","",YEAR($C1775))</f>
        <v/>
      </c>
      <c r="N1775" s="24"/>
      <c r="O1775" s="35" t="str">
        <f aca="false">IF($C1775="","",IF($D1775="","★没选客户项目",IF(COUNTIF(合同键,$D1775)=0,"★《维保合同》里没这个项目",IF(N($G1775)&lt;=0,"★收款金额要填",IF($H1775="","★票据类型要选",IF(AND($L1775&lt;&gt;"",COUNTIF(应收单号,$L1775)=0),"★关联的应收单号不存在",IF(AND($L1775&lt;&gt;"",IFERROR(INDEX(应收键,MATCH($L1775,应收单号,0)),"")&lt;&gt;$D1775),"★关联单号不是这个客户的",IF(AND($L1775&lt;&gt;"",ROUND(SUMIF(收款关联,$L1775,收款金额)-IFERROR(INDEX(应收金额,MATCH($L1775,应收单号,0)),0),2)&gt;0.001),"★指定冲销超过那张单的应收","OK"))))))))</f>
        <v/>
      </c>
    </row>
    <row r="1776" customFormat="false" ht="15" hidden="false" customHeight="false" outlineLevel="0" collapsed="false">
      <c r="A1776" s="29" t="str">
        <f aca="false">IF($C1776="","",ROW()-4)</f>
        <v/>
      </c>
      <c r="B1776" s="35" t="str">
        <f aca="false">IF($C1776="","","SK"&amp;TEXT($C1776,"yyyymm")&amp;"-"&amp;TEXT(ROW()-4,"0000"))</f>
        <v/>
      </c>
      <c r="C1776" s="33"/>
      <c r="D1776" s="24"/>
      <c r="E1776" s="30" t="str">
        <f aca="false">IF($D1776="","",IFERROR(INDEX(合同单位,MATCH($D1776,合同键,0)),IFERROR(TRIM(LEFT($D1776,FIND("｜",$D1776)-1)),$D1776)))</f>
        <v/>
      </c>
      <c r="F1776" s="30" t="str">
        <f aca="false">IF($D1776="","",IFERROR(INDEX(合同项目,MATCH($D1776,合同键,0)),IFERROR(TRIM(MID($D1776,FIND("｜",$D1776)+1,99)),"")))</f>
        <v/>
      </c>
      <c r="G1776" s="39"/>
      <c r="H1776" s="25"/>
      <c r="I1776" s="35" t="str">
        <f aca="false">IF($H1776="","",IFERROR(INDEX(票据归类表,MATCH($H1776,票据类型表,0)),"现金无票"))</f>
        <v/>
      </c>
      <c r="J1776" s="25"/>
      <c r="K1776" s="25"/>
      <c r="L1776" s="31"/>
      <c r="M1776" s="29" t="str">
        <f aca="false">IF($C1776="","",YEAR($C1776))</f>
        <v/>
      </c>
      <c r="N1776" s="24"/>
      <c r="O1776" s="35" t="str">
        <f aca="false">IF($C1776="","",IF($D1776="","★没选客户项目",IF(COUNTIF(合同键,$D1776)=0,"★《维保合同》里没这个项目",IF(N($G1776)&lt;=0,"★收款金额要填",IF($H1776="","★票据类型要选",IF(AND($L1776&lt;&gt;"",COUNTIF(应收单号,$L1776)=0),"★关联的应收单号不存在",IF(AND($L1776&lt;&gt;"",IFERROR(INDEX(应收键,MATCH($L1776,应收单号,0)),"")&lt;&gt;$D1776),"★关联单号不是这个客户的",IF(AND($L1776&lt;&gt;"",ROUND(SUMIF(收款关联,$L1776,收款金额)-IFERROR(INDEX(应收金额,MATCH($L1776,应收单号,0)),0),2)&gt;0.001),"★指定冲销超过那张单的应收","OK"))))))))</f>
        <v/>
      </c>
    </row>
    <row r="1777" customFormat="false" ht="15" hidden="false" customHeight="false" outlineLevel="0" collapsed="false">
      <c r="A1777" s="29" t="str">
        <f aca="false">IF($C1777="","",ROW()-4)</f>
        <v/>
      </c>
      <c r="B1777" s="35" t="str">
        <f aca="false">IF($C1777="","","SK"&amp;TEXT($C1777,"yyyymm")&amp;"-"&amp;TEXT(ROW()-4,"0000"))</f>
        <v/>
      </c>
      <c r="C1777" s="33"/>
      <c r="D1777" s="24"/>
      <c r="E1777" s="30" t="str">
        <f aca="false">IF($D1777="","",IFERROR(INDEX(合同单位,MATCH($D1777,合同键,0)),IFERROR(TRIM(LEFT($D1777,FIND("｜",$D1777)-1)),$D1777)))</f>
        <v/>
      </c>
      <c r="F1777" s="30" t="str">
        <f aca="false">IF($D1777="","",IFERROR(INDEX(合同项目,MATCH($D1777,合同键,0)),IFERROR(TRIM(MID($D1777,FIND("｜",$D1777)+1,99)),"")))</f>
        <v/>
      </c>
      <c r="G1777" s="39"/>
      <c r="H1777" s="25"/>
      <c r="I1777" s="35" t="str">
        <f aca="false">IF($H1777="","",IFERROR(INDEX(票据归类表,MATCH($H1777,票据类型表,0)),"现金无票"))</f>
        <v/>
      </c>
      <c r="J1777" s="25"/>
      <c r="K1777" s="25"/>
      <c r="L1777" s="31"/>
      <c r="M1777" s="29" t="str">
        <f aca="false">IF($C1777="","",YEAR($C1777))</f>
        <v/>
      </c>
      <c r="N1777" s="24"/>
      <c r="O1777" s="35" t="str">
        <f aca="false">IF($C1777="","",IF($D1777="","★没选客户项目",IF(COUNTIF(合同键,$D1777)=0,"★《维保合同》里没这个项目",IF(N($G1777)&lt;=0,"★收款金额要填",IF($H1777="","★票据类型要选",IF(AND($L1777&lt;&gt;"",COUNTIF(应收单号,$L1777)=0),"★关联的应收单号不存在",IF(AND($L1777&lt;&gt;"",IFERROR(INDEX(应收键,MATCH($L1777,应收单号,0)),"")&lt;&gt;$D1777),"★关联单号不是这个客户的",IF(AND($L1777&lt;&gt;"",ROUND(SUMIF(收款关联,$L1777,收款金额)-IFERROR(INDEX(应收金额,MATCH($L1777,应收单号,0)),0),2)&gt;0.001),"★指定冲销超过那张单的应收","OK"))))))))</f>
        <v/>
      </c>
    </row>
    <row r="1778" customFormat="false" ht="15" hidden="false" customHeight="false" outlineLevel="0" collapsed="false">
      <c r="A1778" s="29" t="str">
        <f aca="false">IF($C1778="","",ROW()-4)</f>
        <v/>
      </c>
      <c r="B1778" s="35" t="str">
        <f aca="false">IF($C1778="","","SK"&amp;TEXT($C1778,"yyyymm")&amp;"-"&amp;TEXT(ROW()-4,"0000"))</f>
        <v/>
      </c>
      <c r="C1778" s="33"/>
      <c r="D1778" s="24"/>
      <c r="E1778" s="30" t="str">
        <f aca="false">IF($D1778="","",IFERROR(INDEX(合同单位,MATCH($D1778,合同键,0)),IFERROR(TRIM(LEFT($D1778,FIND("｜",$D1778)-1)),$D1778)))</f>
        <v/>
      </c>
      <c r="F1778" s="30" t="str">
        <f aca="false">IF($D1778="","",IFERROR(INDEX(合同项目,MATCH($D1778,合同键,0)),IFERROR(TRIM(MID($D1778,FIND("｜",$D1778)+1,99)),"")))</f>
        <v/>
      </c>
      <c r="G1778" s="39"/>
      <c r="H1778" s="25"/>
      <c r="I1778" s="35" t="str">
        <f aca="false">IF($H1778="","",IFERROR(INDEX(票据归类表,MATCH($H1778,票据类型表,0)),"现金无票"))</f>
        <v/>
      </c>
      <c r="J1778" s="25"/>
      <c r="K1778" s="25"/>
      <c r="L1778" s="31"/>
      <c r="M1778" s="29" t="str">
        <f aca="false">IF($C1778="","",YEAR($C1778))</f>
        <v/>
      </c>
      <c r="N1778" s="24"/>
      <c r="O1778" s="35" t="str">
        <f aca="false">IF($C1778="","",IF($D1778="","★没选客户项目",IF(COUNTIF(合同键,$D1778)=0,"★《维保合同》里没这个项目",IF(N($G1778)&lt;=0,"★收款金额要填",IF($H1778="","★票据类型要选",IF(AND($L1778&lt;&gt;"",COUNTIF(应收单号,$L1778)=0),"★关联的应收单号不存在",IF(AND($L1778&lt;&gt;"",IFERROR(INDEX(应收键,MATCH($L1778,应收单号,0)),"")&lt;&gt;$D1778),"★关联单号不是这个客户的",IF(AND($L1778&lt;&gt;"",ROUND(SUMIF(收款关联,$L1778,收款金额)-IFERROR(INDEX(应收金额,MATCH($L1778,应收单号,0)),0),2)&gt;0.001),"★指定冲销超过那张单的应收","OK"))))))))</f>
        <v/>
      </c>
    </row>
    <row r="1779" customFormat="false" ht="15" hidden="false" customHeight="false" outlineLevel="0" collapsed="false">
      <c r="A1779" s="29" t="str">
        <f aca="false">IF($C1779="","",ROW()-4)</f>
        <v/>
      </c>
      <c r="B1779" s="35" t="str">
        <f aca="false">IF($C1779="","","SK"&amp;TEXT($C1779,"yyyymm")&amp;"-"&amp;TEXT(ROW()-4,"0000"))</f>
        <v/>
      </c>
      <c r="C1779" s="33"/>
      <c r="D1779" s="24"/>
      <c r="E1779" s="30" t="str">
        <f aca="false">IF($D1779="","",IFERROR(INDEX(合同单位,MATCH($D1779,合同键,0)),IFERROR(TRIM(LEFT($D1779,FIND("｜",$D1779)-1)),$D1779)))</f>
        <v/>
      </c>
      <c r="F1779" s="30" t="str">
        <f aca="false">IF($D1779="","",IFERROR(INDEX(合同项目,MATCH($D1779,合同键,0)),IFERROR(TRIM(MID($D1779,FIND("｜",$D1779)+1,99)),"")))</f>
        <v/>
      </c>
      <c r="G1779" s="39"/>
      <c r="H1779" s="25"/>
      <c r="I1779" s="35" t="str">
        <f aca="false">IF($H1779="","",IFERROR(INDEX(票据归类表,MATCH($H1779,票据类型表,0)),"现金无票"))</f>
        <v/>
      </c>
      <c r="J1779" s="25"/>
      <c r="K1779" s="25"/>
      <c r="L1779" s="31"/>
      <c r="M1779" s="29" t="str">
        <f aca="false">IF($C1779="","",YEAR($C1779))</f>
        <v/>
      </c>
      <c r="N1779" s="24"/>
      <c r="O1779" s="35" t="str">
        <f aca="false">IF($C1779="","",IF($D1779="","★没选客户项目",IF(COUNTIF(合同键,$D1779)=0,"★《维保合同》里没这个项目",IF(N($G1779)&lt;=0,"★收款金额要填",IF($H1779="","★票据类型要选",IF(AND($L1779&lt;&gt;"",COUNTIF(应收单号,$L1779)=0),"★关联的应收单号不存在",IF(AND($L1779&lt;&gt;"",IFERROR(INDEX(应收键,MATCH($L1779,应收单号,0)),"")&lt;&gt;$D1779),"★关联单号不是这个客户的",IF(AND($L1779&lt;&gt;"",ROUND(SUMIF(收款关联,$L1779,收款金额)-IFERROR(INDEX(应收金额,MATCH($L1779,应收单号,0)),0),2)&gt;0.001),"★指定冲销超过那张单的应收","OK"))))))))</f>
        <v/>
      </c>
    </row>
    <row r="1780" customFormat="false" ht="15" hidden="false" customHeight="false" outlineLevel="0" collapsed="false">
      <c r="A1780" s="29" t="str">
        <f aca="false">IF($C1780="","",ROW()-4)</f>
        <v/>
      </c>
      <c r="B1780" s="35" t="str">
        <f aca="false">IF($C1780="","","SK"&amp;TEXT($C1780,"yyyymm")&amp;"-"&amp;TEXT(ROW()-4,"0000"))</f>
        <v/>
      </c>
      <c r="C1780" s="33"/>
      <c r="D1780" s="24"/>
      <c r="E1780" s="30" t="str">
        <f aca="false">IF($D1780="","",IFERROR(INDEX(合同单位,MATCH($D1780,合同键,0)),IFERROR(TRIM(LEFT($D1780,FIND("｜",$D1780)-1)),$D1780)))</f>
        <v/>
      </c>
      <c r="F1780" s="30" t="str">
        <f aca="false">IF($D1780="","",IFERROR(INDEX(合同项目,MATCH($D1780,合同键,0)),IFERROR(TRIM(MID($D1780,FIND("｜",$D1780)+1,99)),"")))</f>
        <v/>
      </c>
      <c r="G1780" s="39"/>
      <c r="H1780" s="25"/>
      <c r="I1780" s="35" t="str">
        <f aca="false">IF($H1780="","",IFERROR(INDEX(票据归类表,MATCH($H1780,票据类型表,0)),"现金无票"))</f>
        <v/>
      </c>
      <c r="J1780" s="25"/>
      <c r="K1780" s="25"/>
      <c r="L1780" s="31"/>
      <c r="M1780" s="29" t="str">
        <f aca="false">IF($C1780="","",YEAR($C1780))</f>
        <v/>
      </c>
      <c r="N1780" s="24"/>
      <c r="O1780" s="35" t="str">
        <f aca="false">IF($C1780="","",IF($D1780="","★没选客户项目",IF(COUNTIF(合同键,$D1780)=0,"★《维保合同》里没这个项目",IF(N($G1780)&lt;=0,"★收款金额要填",IF($H1780="","★票据类型要选",IF(AND($L1780&lt;&gt;"",COUNTIF(应收单号,$L1780)=0),"★关联的应收单号不存在",IF(AND($L1780&lt;&gt;"",IFERROR(INDEX(应收键,MATCH($L1780,应收单号,0)),"")&lt;&gt;$D1780),"★关联单号不是这个客户的",IF(AND($L1780&lt;&gt;"",ROUND(SUMIF(收款关联,$L1780,收款金额)-IFERROR(INDEX(应收金额,MATCH($L1780,应收单号,0)),0),2)&gt;0.001),"★指定冲销超过那张单的应收","OK"))))))))</f>
        <v/>
      </c>
    </row>
    <row r="1781" customFormat="false" ht="15" hidden="false" customHeight="false" outlineLevel="0" collapsed="false">
      <c r="A1781" s="29" t="str">
        <f aca="false">IF($C1781="","",ROW()-4)</f>
        <v/>
      </c>
      <c r="B1781" s="35" t="str">
        <f aca="false">IF($C1781="","","SK"&amp;TEXT($C1781,"yyyymm")&amp;"-"&amp;TEXT(ROW()-4,"0000"))</f>
        <v/>
      </c>
      <c r="C1781" s="33"/>
      <c r="D1781" s="24"/>
      <c r="E1781" s="30" t="str">
        <f aca="false">IF($D1781="","",IFERROR(INDEX(合同单位,MATCH($D1781,合同键,0)),IFERROR(TRIM(LEFT($D1781,FIND("｜",$D1781)-1)),$D1781)))</f>
        <v/>
      </c>
      <c r="F1781" s="30" t="str">
        <f aca="false">IF($D1781="","",IFERROR(INDEX(合同项目,MATCH($D1781,合同键,0)),IFERROR(TRIM(MID($D1781,FIND("｜",$D1781)+1,99)),"")))</f>
        <v/>
      </c>
      <c r="G1781" s="39"/>
      <c r="H1781" s="25"/>
      <c r="I1781" s="35" t="str">
        <f aca="false">IF($H1781="","",IFERROR(INDEX(票据归类表,MATCH($H1781,票据类型表,0)),"现金无票"))</f>
        <v/>
      </c>
      <c r="J1781" s="25"/>
      <c r="K1781" s="25"/>
      <c r="L1781" s="31"/>
      <c r="M1781" s="29" t="str">
        <f aca="false">IF($C1781="","",YEAR($C1781))</f>
        <v/>
      </c>
      <c r="N1781" s="24"/>
      <c r="O1781" s="35" t="str">
        <f aca="false">IF($C1781="","",IF($D1781="","★没选客户项目",IF(COUNTIF(合同键,$D1781)=0,"★《维保合同》里没这个项目",IF(N($G1781)&lt;=0,"★收款金额要填",IF($H1781="","★票据类型要选",IF(AND($L1781&lt;&gt;"",COUNTIF(应收单号,$L1781)=0),"★关联的应收单号不存在",IF(AND($L1781&lt;&gt;"",IFERROR(INDEX(应收键,MATCH($L1781,应收单号,0)),"")&lt;&gt;$D1781),"★关联单号不是这个客户的",IF(AND($L1781&lt;&gt;"",ROUND(SUMIF(收款关联,$L1781,收款金额)-IFERROR(INDEX(应收金额,MATCH($L1781,应收单号,0)),0),2)&gt;0.001),"★指定冲销超过那张单的应收","OK"))))))))</f>
        <v/>
      </c>
    </row>
    <row r="1782" customFormat="false" ht="15" hidden="false" customHeight="false" outlineLevel="0" collapsed="false">
      <c r="A1782" s="29" t="str">
        <f aca="false">IF($C1782="","",ROW()-4)</f>
        <v/>
      </c>
      <c r="B1782" s="35" t="str">
        <f aca="false">IF($C1782="","","SK"&amp;TEXT($C1782,"yyyymm")&amp;"-"&amp;TEXT(ROW()-4,"0000"))</f>
        <v/>
      </c>
      <c r="C1782" s="33"/>
      <c r="D1782" s="24"/>
      <c r="E1782" s="30" t="str">
        <f aca="false">IF($D1782="","",IFERROR(INDEX(合同单位,MATCH($D1782,合同键,0)),IFERROR(TRIM(LEFT($D1782,FIND("｜",$D1782)-1)),$D1782)))</f>
        <v/>
      </c>
      <c r="F1782" s="30" t="str">
        <f aca="false">IF($D1782="","",IFERROR(INDEX(合同项目,MATCH($D1782,合同键,0)),IFERROR(TRIM(MID($D1782,FIND("｜",$D1782)+1,99)),"")))</f>
        <v/>
      </c>
      <c r="G1782" s="39"/>
      <c r="H1782" s="25"/>
      <c r="I1782" s="35" t="str">
        <f aca="false">IF($H1782="","",IFERROR(INDEX(票据归类表,MATCH($H1782,票据类型表,0)),"现金无票"))</f>
        <v/>
      </c>
      <c r="J1782" s="25"/>
      <c r="K1782" s="25"/>
      <c r="L1782" s="31"/>
      <c r="M1782" s="29" t="str">
        <f aca="false">IF($C1782="","",YEAR($C1782))</f>
        <v/>
      </c>
      <c r="N1782" s="24"/>
      <c r="O1782" s="35" t="str">
        <f aca="false">IF($C1782="","",IF($D1782="","★没选客户项目",IF(COUNTIF(合同键,$D1782)=0,"★《维保合同》里没这个项目",IF(N($G1782)&lt;=0,"★收款金额要填",IF($H1782="","★票据类型要选",IF(AND($L1782&lt;&gt;"",COUNTIF(应收单号,$L1782)=0),"★关联的应收单号不存在",IF(AND($L1782&lt;&gt;"",IFERROR(INDEX(应收键,MATCH($L1782,应收单号,0)),"")&lt;&gt;$D1782),"★关联单号不是这个客户的",IF(AND($L1782&lt;&gt;"",ROUND(SUMIF(收款关联,$L1782,收款金额)-IFERROR(INDEX(应收金额,MATCH($L1782,应收单号,0)),0),2)&gt;0.001),"★指定冲销超过那张单的应收","OK"))))))))</f>
        <v/>
      </c>
    </row>
    <row r="1783" customFormat="false" ht="15" hidden="false" customHeight="false" outlineLevel="0" collapsed="false">
      <c r="A1783" s="29" t="str">
        <f aca="false">IF($C1783="","",ROW()-4)</f>
        <v/>
      </c>
      <c r="B1783" s="35" t="str">
        <f aca="false">IF($C1783="","","SK"&amp;TEXT($C1783,"yyyymm")&amp;"-"&amp;TEXT(ROW()-4,"0000"))</f>
        <v/>
      </c>
      <c r="C1783" s="33"/>
      <c r="D1783" s="24"/>
      <c r="E1783" s="30" t="str">
        <f aca="false">IF($D1783="","",IFERROR(INDEX(合同单位,MATCH($D1783,合同键,0)),IFERROR(TRIM(LEFT($D1783,FIND("｜",$D1783)-1)),$D1783)))</f>
        <v/>
      </c>
      <c r="F1783" s="30" t="str">
        <f aca="false">IF($D1783="","",IFERROR(INDEX(合同项目,MATCH($D1783,合同键,0)),IFERROR(TRIM(MID($D1783,FIND("｜",$D1783)+1,99)),"")))</f>
        <v/>
      </c>
      <c r="G1783" s="39"/>
      <c r="H1783" s="25"/>
      <c r="I1783" s="35" t="str">
        <f aca="false">IF($H1783="","",IFERROR(INDEX(票据归类表,MATCH($H1783,票据类型表,0)),"现金无票"))</f>
        <v/>
      </c>
      <c r="J1783" s="25"/>
      <c r="K1783" s="25"/>
      <c r="L1783" s="31"/>
      <c r="M1783" s="29" t="str">
        <f aca="false">IF($C1783="","",YEAR($C1783))</f>
        <v/>
      </c>
      <c r="N1783" s="24"/>
      <c r="O1783" s="35" t="str">
        <f aca="false">IF($C1783="","",IF($D1783="","★没选客户项目",IF(COUNTIF(合同键,$D1783)=0,"★《维保合同》里没这个项目",IF(N($G1783)&lt;=0,"★收款金额要填",IF($H1783="","★票据类型要选",IF(AND($L1783&lt;&gt;"",COUNTIF(应收单号,$L1783)=0),"★关联的应收单号不存在",IF(AND($L1783&lt;&gt;"",IFERROR(INDEX(应收键,MATCH($L1783,应收单号,0)),"")&lt;&gt;$D1783),"★关联单号不是这个客户的",IF(AND($L1783&lt;&gt;"",ROUND(SUMIF(收款关联,$L1783,收款金额)-IFERROR(INDEX(应收金额,MATCH($L1783,应收单号,0)),0),2)&gt;0.001),"★指定冲销超过那张单的应收","OK"))))))))</f>
        <v/>
      </c>
    </row>
    <row r="1784" customFormat="false" ht="15" hidden="false" customHeight="false" outlineLevel="0" collapsed="false">
      <c r="A1784" s="29" t="str">
        <f aca="false">IF($C1784="","",ROW()-4)</f>
        <v/>
      </c>
      <c r="B1784" s="35" t="str">
        <f aca="false">IF($C1784="","","SK"&amp;TEXT($C1784,"yyyymm")&amp;"-"&amp;TEXT(ROW()-4,"0000"))</f>
        <v/>
      </c>
      <c r="C1784" s="33"/>
      <c r="D1784" s="24"/>
      <c r="E1784" s="30" t="str">
        <f aca="false">IF($D1784="","",IFERROR(INDEX(合同单位,MATCH($D1784,合同键,0)),IFERROR(TRIM(LEFT($D1784,FIND("｜",$D1784)-1)),$D1784)))</f>
        <v/>
      </c>
      <c r="F1784" s="30" t="str">
        <f aca="false">IF($D1784="","",IFERROR(INDEX(合同项目,MATCH($D1784,合同键,0)),IFERROR(TRIM(MID($D1784,FIND("｜",$D1784)+1,99)),"")))</f>
        <v/>
      </c>
      <c r="G1784" s="39"/>
      <c r="H1784" s="25"/>
      <c r="I1784" s="35" t="str">
        <f aca="false">IF($H1784="","",IFERROR(INDEX(票据归类表,MATCH($H1784,票据类型表,0)),"现金无票"))</f>
        <v/>
      </c>
      <c r="J1784" s="25"/>
      <c r="K1784" s="25"/>
      <c r="L1784" s="31"/>
      <c r="M1784" s="29" t="str">
        <f aca="false">IF($C1784="","",YEAR($C1784))</f>
        <v/>
      </c>
      <c r="N1784" s="24"/>
      <c r="O1784" s="35" t="str">
        <f aca="false">IF($C1784="","",IF($D1784="","★没选客户项目",IF(COUNTIF(合同键,$D1784)=0,"★《维保合同》里没这个项目",IF(N($G1784)&lt;=0,"★收款金额要填",IF($H1784="","★票据类型要选",IF(AND($L1784&lt;&gt;"",COUNTIF(应收单号,$L1784)=0),"★关联的应收单号不存在",IF(AND($L1784&lt;&gt;"",IFERROR(INDEX(应收键,MATCH($L1784,应收单号,0)),"")&lt;&gt;$D1784),"★关联单号不是这个客户的",IF(AND($L1784&lt;&gt;"",ROUND(SUMIF(收款关联,$L1784,收款金额)-IFERROR(INDEX(应收金额,MATCH($L1784,应收单号,0)),0),2)&gt;0.001),"★指定冲销超过那张单的应收","OK"))))))))</f>
        <v/>
      </c>
    </row>
    <row r="1785" customFormat="false" ht="15" hidden="false" customHeight="false" outlineLevel="0" collapsed="false">
      <c r="A1785" s="29" t="str">
        <f aca="false">IF($C1785="","",ROW()-4)</f>
        <v/>
      </c>
      <c r="B1785" s="35" t="str">
        <f aca="false">IF($C1785="","","SK"&amp;TEXT($C1785,"yyyymm")&amp;"-"&amp;TEXT(ROW()-4,"0000"))</f>
        <v/>
      </c>
      <c r="C1785" s="33"/>
      <c r="D1785" s="24"/>
      <c r="E1785" s="30" t="str">
        <f aca="false">IF($D1785="","",IFERROR(INDEX(合同单位,MATCH($D1785,合同键,0)),IFERROR(TRIM(LEFT($D1785,FIND("｜",$D1785)-1)),$D1785)))</f>
        <v/>
      </c>
      <c r="F1785" s="30" t="str">
        <f aca="false">IF($D1785="","",IFERROR(INDEX(合同项目,MATCH($D1785,合同键,0)),IFERROR(TRIM(MID($D1785,FIND("｜",$D1785)+1,99)),"")))</f>
        <v/>
      </c>
      <c r="G1785" s="39"/>
      <c r="H1785" s="25"/>
      <c r="I1785" s="35" t="str">
        <f aca="false">IF($H1785="","",IFERROR(INDEX(票据归类表,MATCH($H1785,票据类型表,0)),"现金无票"))</f>
        <v/>
      </c>
      <c r="J1785" s="25"/>
      <c r="K1785" s="25"/>
      <c r="L1785" s="31"/>
      <c r="M1785" s="29" t="str">
        <f aca="false">IF($C1785="","",YEAR($C1785))</f>
        <v/>
      </c>
      <c r="N1785" s="24"/>
      <c r="O1785" s="35" t="str">
        <f aca="false">IF($C1785="","",IF($D1785="","★没选客户项目",IF(COUNTIF(合同键,$D1785)=0,"★《维保合同》里没这个项目",IF(N($G1785)&lt;=0,"★收款金额要填",IF($H1785="","★票据类型要选",IF(AND($L1785&lt;&gt;"",COUNTIF(应收单号,$L1785)=0),"★关联的应收单号不存在",IF(AND($L1785&lt;&gt;"",IFERROR(INDEX(应收键,MATCH($L1785,应收单号,0)),"")&lt;&gt;$D1785),"★关联单号不是这个客户的",IF(AND($L1785&lt;&gt;"",ROUND(SUMIF(收款关联,$L1785,收款金额)-IFERROR(INDEX(应收金额,MATCH($L1785,应收单号,0)),0),2)&gt;0.001),"★指定冲销超过那张单的应收","OK"))))))))</f>
        <v/>
      </c>
    </row>
    <row r="1786" customFormat="false" ht="15" hidden="false" customHeight="false" outlineLevel="0" collapsed="false">
      <c r="A1786" s="29" t="str">
        <f aca="false">IF($C1786="","",ROW()-4)</f>
        <v/>
      </c>
      <c r="B1786" s="35" t="str">
        <f aca="false">IF($C1786="","","SK"&amp;TEXT($C1786,"yyyymm")&amp;"-"&amp;TEXT(ROW()-4,"0000"))</f>
        <v/>
      </c>
      <c r="C1786" s="33"/>
      <c r="D1786" s="24"/>
      <c r="E1786" s="30" t="str">
        <f aca="false">IF($D1786="","",IFERROR(INDEX(合同单位,MATCH($D1786,合同键,0)),IFERROR(TRIM(LEFT($D1786,FIND("｜",$D1786)-1)),$D1786)))</f>
        <v/>
      </c>
      <c r="F1786" s="30" t="str">
        <f aca="false">IF($D1786="","",IFERROR(INDEX(合同项目,MATCH($D1786,合同键,0)),IFERROR(TRIM(MID($D1786,FIND("｜",$D1786)+1,99)),"")))</f>
        <v/>
      </c>
      <c r="G1786" s="39"/>
      <c r="H1786" s="25"/>
      <c r="I1786" s="35" t="str">
        <f aca="false">IF($H1786="","",IFERROR(INDEX(票据归类表,MATCH($H1786,票据类型表,0)),"现金无票"))</f>
        <v/>
      </c>
      <c r="J1786" s="25"/>
      <c r="K1786" s="25"/>
      <c r="L1786" s="31"/>
      <c r="M1786" s="29" t="str">
        <f aca="false">IF($C1786="","",YEAR($C1786))</f>
        <v/>
      </c>
      <c r="N1786" s="24"/>
      <c r="O1786" s="35" t="str">
        <f aca="false">IF($C1786="","",IF($D1786="","★没选客户项目",IF(COUNTIF(合同键,$D1786)=0,"★《维保合同》里没这个项目",IF(N($G1786)&lt;=0,"★收款金额要填",IF($H1786="","★票据类型要选",IF(AND($L1786&lt;&gt;"",COUNTIF(应收单号,$L1786)=0),"★关联的应收单号不存在",IF(AND($L1786&lt;&gt;"",IFERROR(INDEX(应收键,MATCH($L1786,应收单号,0)),"")&lt;&gt;$D1786),"★关联单号不是这个客户的",IF(AND($L1786&lt;&gt;"",ROUND(SUMIF(收款关联,$L1786,收款金额)-IFERROR(INDEX(应收金额,MATCH($L1786,应收单号,0)),0),2)&gt;0.001),"★指定冲销超过那张单的应收","OK"))))))))</f>
        <v/>
      </c>
    </row>
    <row r="1787" customFormat="false" ht="15" hidden="false" customHeight="false" outlineLevel="0" collapsed="false">
      <c r="A1787" s="29" t="str">
        <f aca="false">IF($C1787="","",ROW()-4)</f>
        <v/>
      </c>
      <c r="B1787" s="35" t="str">
        <f aca="false">IF($C1787="","","SK"&amp;TEXT($C1787,"yyyymm")&amp;"-"&amp;TEXT(ROW()-4,"0000"))</f>
        <v/>
      </c>
      <c r="C1787" s="33"/>
      <c r="D1787" s="24"/>
      <c r="E1787" s="30" t="str">
        <f aca="false">IF($D1787="","",IFERROR(INDEX(合同单位,MATCH($D1787,合同键,0)),IFERROR(TRIM(LEFT($D1787,FIND("｜",$D1787)-1)),$D1787)))</f>
        <v/>
      </c>
      <c r="F1787" s="30" t="str">
        <f aca="false">IF($D1787="","",IFERROR(INDEX(合同项目,MATCH($D1787,合同键,0)),IFERROR(TRIM(MID($D1787,FIND("｜",$D1787)+1,99)),"")))</f>
        <v/>
      </c>
      <c r="G1787" s="39"/>
      <c r="H1787" s="25"/>
      <c r="I1787" s="35" t="str">
        <f aca="false">IF($H1787="","",IFERROR(INDEX(票据归类表,MATCH($H1787,票据类型表,0)),"现金无票"))</f>
        <v/>
      </c>
      <c r="J1787" s="25"/>
      <c r="K1787" s="25"/>
      <c r="L1787" s="31"/>
      <c r="M1787" s="29" t="str">
        <f aca="false">IF($C1787="","",YEAR($C1787))</f>
        <v/>
      </c>
      <c r="N1787" s="24"/>
      <c r="O1787" s="35" t="str">
        <f aca="false">IF($C1787="","",IF($D1787="","★没选客户项目",IF(COUNTIF(合同键,$D1787)=0,"★《维保合同》里没这个项目",IF(N($G1787)&lt;=0,"★收款金额要填",IF($H1787="","★票据类型要选",IF(AND($L1787&lt;&gt;"",COUNTIF(应收单号,$L1787)=0),"★关联的应收单号不存在",IF(AND($L1787&lt;&gt;"",IFERROR(INDEX(应收键,MATCH($L1787,应收单号,0)),"")&lt;&gt;$D1787),"★关联单号不是这个客户的",IF(AND($L1787&lt;&gt;"",ROUND(SUMIF(收款关联,$L1787,收款金额)-IFERROR(INDEX(应收金额,MATCH($L1787,应收单号,0)),0),2)&gt;0.001),"★指定冲销超过那张单的应收","OK"))))))))</f>
        <v/>
      </c>
    </row>
    <row r="1788" customFormat="false" ht="15" hidden="false" customHeight="false" outlineLevel="0" collapsed="false">
      <c r="A1788" s="29" t="str">
        <f aca="false">IF($C1788="","",ROW()-4)</f>
        <v/>
      </c>
      <c r="B1788" s="35" t="str">
        <f aca="false">IF($C1788="","","SK"&amp;TEXT($C1788,"yyyymm")&amp;"-"&amp;TEXT(ROW()-4,"0000"))</f>
        <v/>
      </c>
      <c r="C1788" s="33"/>
      <c r="D1788" s="24"/>
      <c r="E1788" s="30" t="str">
        <f aca="false">IF($D1788="","",IFERROR(INDEX(合同单位,MATCH($D1788,合同键,0)),IFERROR(TRIM(LEFT($D1788,FIND("｜",$D1788)-1)),$D1788)))</f>
        <v/>
      </c>
      <c r="F1788" s="30" t="str">
        <f aca="false">IF($D1788="","",IFERROR(INDEX(合同项目,MATCH($D1788,合同键,0)),IFERROR(TRIM(MID($D1788,FIND("｜",$D1788)+1,99)),"")))</f>
        <v/>
      </c>
      <c r="G1788" s="39"/>
      <c r="H1788" s="25"/>
      <c r="I1788" s="35" t="str">
        <f aca="false">IF($H1788="","",IFERROR(INDEX(票据归类表,MATCH($H1788,票据类型表,0)),"现金无票"))</f>
        <v/>
      </c>
      <c r="J1788" s="25"/>
      <c r="K1788" s="25"/>
      <c r="L1788" s="31"/>
      <c r="M1788" s="29" t="str">
        <f aca="false">IF($C1788="","",YEAR($C1788))</f>
        <v/>
      </c>
      <c r="N1788" s="24"/>
      <c r="O1788" s="35" t="str">
        <f aca="false">IF($C1788="","",IF($D1788="","★没选客户项目",IF(COUNTIF(合同键,$D1788)=0,"★《维保合同》里没这个项目",IF(N($G1788)&lt;=0,"★收款金额要填",IF($H1788="","★票据类型要选",IF(AND($L1788&lt;&gt;"",COUNTIF(应收单号,$L1788)=0),"★关联的应收单号不存在",IF(AND($L1788&lt;&gt;"",IFERROR(INDEX(应收键,MATCH($L1788,应收单号,0)),"")&lt;&gt;$D1788),"★关联单号不是这个客户的",IF(AND($L1788&lt;&gt;"",ROUND(SUMIF(收款关联,$L1788,收款金额)-IFERROR(INDEX(应收金额,MATCH($L1788,应收单号,0)),0),2)&gt;0.001),"★指定冲销超过那张单的应收","OK"))))))))</f>
        <v/>
      </c>
    </row>
    <row r="1789" customFormat="false" ht="15" hidden="false" customHeight="false" outlineLevel="0" collapsed="false">
      <c r="A1789" s="29" t="str">
        <f aca="false">IF($C1789="","",ROW()-4)</f>
        <v/>
      </c>
      <c r="B1789" s="35" t="str">
        <f aca="false">IF($C1789="","","SK"&amp;TEXT($C1789,"yyyymm")&amp;"-"&amp;TEXT(ROW()-4,"0000"))</f>
        <v/>
      </c>
      <c r="C1789" s="33"/>
      <c r="D1789" s="24"/>
      <c r="E1789" s="30" t="str">
        <f aca="false">IF($D1789="","",IFERROR(INDEX(合同单位,MATCH($D1789,合同键,0)),IFERROR(TRIM(LEFT($D1789,FIND("｜",$D1789)-1)),$D1789)))</f>
        <v/>
      </c>
      <c r="F1789" s="30" t="str">
        <f aca="false">IF($D1789="","",IFERROR(INDEX(合同项目,MATCH($D1789,合同键,0)),IFERROR(TRIM(MID($D1789,FIND("｜",$D1789)+1,99)),"")))</f>
        <v/>
      </c>
      <c r="G1789" s="39"/>
      <c r="H1789" s="25"/>
      <c r="I1789" s="35" t="str">
        <f aca="false">IF($H1789="","",IFERROR(INDEX(票据归类表,MATCH($H1789,票据类型表,0)),"现金无票"))</f>
        <v/>
      </c>
      <c r="J1789" s="25"/>
      <c r="K1789" s="25"/>
      <c r="L1789" s="31"/>
      <c r="M1789" s="29" t="str">
        <f aca="false">IF($C1789="","",YEAR($C1789))</f>
        <v/>
      </c>
      <c r="N1789" s="24"/>
      <c r="O1789" s="35" t="str">
        <f aca="false">IF($C1789="","",IF($D1789="","★没选客户项目",IF(COUNTIF(合同键,$D1789)=0,"★《维保合同》里没这个项目",IF(N($G1789)&lt;=0,"★收款金额要填",IF($H1789="","★票据类型要选",IF(AND($L1789&lt;&gt;"",COUNTIF(应收单号,$L1789)=0),"★关联的应收单号不存在",IF(AND($L1789&lt;&gt;"",IFERROR(INDEX(应收键,MATCH($L1789,应收单号,0)),"")&lt;&gt;$D1789),"★关联单号不是这个客户的",IF(AND($L1789&lt;&gt;"",ROUND(SUMIF(收款关联,$L1789,收款金额)-IFERROR(INDEX(应收金额,MATCH($L1789,应收单号,0)),0),2)&gt;0.001),"★指定冲销超过那张单的应收","OK"))))))))</f>
        <v/>
      </c>
    </row>
    <row r="1790" customFormat="false" ht="15" hidden="false" customHeight="false" outlineLevel="0" collapsed="false">
      <c r="A1790" s="29" t="str">
        <f aca="false">IF($C1790="","",ROW()-4)</f>
        <v/>
      </c>
      <c r="B1790" s="35" t="str">
        <f aca="false">IF($C1790="","","SK"&amp;TEXT($C1790,"yyyymm")&amp;"-"&amp;TEXT(ROW()-4,"0000"))</f>
        <v/>
      </c>
      <c r="C1790" s="33"/>
      <c r="D1790" s="24"/>
      <c r="E1790" s="30" t="str">
        <f aca="false">IF($D1790="","",IFERROR(INDEX(合同单位,MATCH($D1790,合同键,0)),IFERROR(TRIM(LEFT($D1790,FIND("｜",$D1790)-1)),$D1790)))</f>
        <v/>
      </c>
      <c r="F1790" s="30" t="str">
        <f aca="false">IF($D1790="","",IFERROR(INDEX(合同项目,MATCH($D1790,合同键,0)),IFERROR(TRIM(MID($D1790,FIND("｜",$D1790)+1,99)),"")))</f>
        <v/>
      </c>
      <c r="G1790" s="39"/>
      <c r="H1790" s="25"/>
      <c r="I1790" s="35" t="str">
        <f aca="false">IF($H1790="","",IFERROR(INDEX(票据归类表,MATCH($H1790,票据类型表,0)),"现金无票"))</f>
        <v/>
      </c>
      <c r="J1790" s="25"/>
      <c r="K1790" s="25"/>
      <c r="L1790" s="31"/>
      <c r="M1790" s="29" t="str">
        <f aca="false">IF($C1790="","",YEAR($C1790))</f>
        <v/>
      </c>
      <c r="N1790" s="24"/>
      <c r="O1790" s="35" t="str">
        <f aca="false">IF($C1790="","",IF($D1790="","★没选客户项目",IF(COUNTIF(合同键,$D1790)=0,"★《维保合同》里没这个项目",IF(N($G1790)&lt;=0,"★收款金额要填",IF($H1790="","★票据类型要选",IF(AND($L1790&lt;&gt;"",COUNTIF(应收单号,$L1790)=0),"★关联的应收单号不存在",IF(AND($L1790&lt;&gt;"",IFERROR(INDEX(应收键,MATCH($L1790,应收单号,0)),"")&lt;&gt;$D1790),"★关联单号不是这个客户的",IF(AND($L1790&lt;&gt;"",ROUND(SUMIF(收款关联,$L1790,收款金额)-IFERROR(INDEX(应收金额,MATCH($L1790,应收单号,0)),0),2)&gt;0.001),"★指定冲销超过那张单的应收","OK"))))))))</f>
        <v/>
      </c>
    </row>
    <row r="1791" customFormat="false" ht="15" hidden="false" customHeight="false" outlineLevel="0" collapsed="false">
      <c r="A1791" s="29" t="str">
        <f aca="false">IF($C1791="","",ROW()-4)</f>
        <v/>
      </c>
      <c r="B1791" s="35" t="str">
        <f aca="false">IF($C1791="","","SK"&amp;TEXT($C1791,"yyyymm")&amp;"-"&amp;TEXT(ROW()-4,"0000"))</f>
        <v/>
      </c>
      <c r="C1791" s="33"/>
      <c r="D1791" s="24"/>
      <c r="E1791" s="30" t="str">
        <f aca="false">IF($D1791="","",IFERROR(INDEX(合同单位,MATCH($D1791,合同键,0)),IFERROR(TRIM(LEFT($D1791,FIND("｜",$D1791)-1)),$D1791)))</f>
        <v/>
      </c>
      <c r="F1791" s="30" t="str">
        <f aca="false">IF($D1791="","",IFERROR(INDEX(合同项目,MATCH($D1791,合同键,0)),IFERROR(TRIM(MID($D1791,FIND("｜",$D1791)+1,99)),"")))</f>
        <v/>
      </c>
      <c r="G1791" s="39"/>
      <c r="H1791" s="25"/>
      <c r="I1791" s="35" t="str">
        <f aca="false">IF($H1791="","",IFERROR(INDEX(票据归类表,MATCH($H1791,票据类型表,0)),"现金无票"))</f>
        <v/>
      </c>
      <c r="J1791" s="25"/>
      <c r="K1791" s="25"/>
      <c r="L1791" s="31"/>
      <c r="M1791" s="29" t="str">
        <f aca="false">IF($C1791="","",YEAR($C1791))</f>
        <v/>
      </c>
      <c r="N1791" s="24"/>
      <c r="O1791" s="35" t="str">
        <f aca="false">IF($C1791="","",IF($D1791="","★没选客户项目",IF(COUNTIF(合同键,$D1791)=0,"★《维保合同》里没这个项目",IF(N($G1791)&lt;=0,"★收款金额要填",IF($H1791="","★票据类型要选",IF(AND($L1791&lt;&gt;"",COUNTIF(应收单号,$L1791)=0),"★关联的应收单号不存在",IF(AND($L1791&lt;&gt;"",IFERROR(INDEX(应收键,MATCH($L1791,应收单号,0)),"")&lt;&gt;$D1791),"★关联单号不是这个客户的",IF(AND($L1791&lt;&gt;"",ROUND(SUMIF(收款关联,$L1791,收款金额)-IFERROR(INDEX(应收金额,MATCH($L1791,应收单号,0)),0),2)&gt;0.001),"★指定冲销超过那张单的应收","OK"))))))))</f>
        <v/>
      </c>
    </row>
    <row r="1792" customFormat="false" ht="15" hidden="false" customHeight="false" outlineLevel="0" collapsed="false">
      <c r="A1792" s="29" t="str">
        <f aca="false">IF($C1792="","",ROW()-4)</f>
        <v/>
      </c>
      <c r="B1792" s="35" t="str">
        <f aca="false">IF($C1792="","","SK"&amp;TEXT($C1792,"yyyymm")&amp;"-"&amp;TEXT(ROW()-4,"0000"))</f>
        <v/>
      </c>
      <c r="C1792" s="33"/>
      <c r="D1792" s="24"/>
      <c r="E1792" s="30" t="str">
        <f aca="false">IF($D1792="","",IFERROR(INDEX(合同单位,MATCH($D1792,合同键,0)),IFERROR(TRIM(LEFT($D1792,FIND("｜",$D1792)-1)),$D1792)))</f>
        <v/>
      </c>
      <c r="F1792" s="30" t="str">
        <f aca="false">IF($D1792="","",IFERROR(INDEX(合同项目,MATCH($D1792,合同键,0)),IFERROR(TRIM(MID($D1792,FIND("｜",$D1792)+1,99)),"")))</f>
        <v/>
      </c>
      <c r="G1792" s="39"/>
      <c r="H1792" s="25"/>
      <c r="I1792" s="35" t="str">
        <f aca="false">IF($H1792="","",IFERROR(INDEX(票据归类表,MATCH($H1792,票据类型表,0)),"现金无票"))</f>
        <v/>
      </c>
      <c r="J1792" s="25"/>
      <c r="K1792" s="25"/>
      <c r="L1792" s="31"/>
      <c r="M1792" s="29" t="str">
        <f aca="false">IF($C1792="","",YEAR($C1792))</f>
        <v/>
      </c>
      <c r="N1792" s="24"/>
      <c r="O1792" s="35" t="str">
        <f aca="false">IF($C1792="","",IF($D1792="","★没选客户项目",IF(COUNTIF(合同键,$D1792)=0,"★《维保合同》里没这个项目",IF(N($G1792)&lt;=0,"★收款金额要填",IF($H1792="","★票据类型要选",IF(AND($L1792&lt;&gt;"",COUNTIF(应收单号,$L1792)=0),"★关联的应收单号不存在",IF(AND($L1792&lt;&gt;"",IFERROR(INDEX(应收键,MATCH($L1792,应收单号,0)),"")&lt;&gt;$D1792),"★关联单号不是这个客户的",IF(AND($L1792&lt;&gt;"",ROUND(SUMIF(收款关联,$L1792,收款金额)-IFERROR(INDEX(应收金额,MATCH($L1792,应收单号,0)),0),2)&gt;0.001),"★指定冲销超过那张单的应收","OK"))))))))</f>
        <v/>
      </c>
    </row>
    <row r="1793" customFormat="false" ht="15" hidden="false" customHeight="false" outlineLevel="0" collapsed="false">
      <c r="A1793" s="29" t="str">
        <f aca="false">IF($C1793="","",ROW()-4)</f>
        <v/>
      </c>
      <c r="B1793" s="35" t="str">
        <f aca="false">IF($C1793="","","SK"&amp;TEXT($C1793,"yyyymm")&amp;"-"&amp;TEXT(ROW()-4,"0000"))</f>
        <v/>
      </c>
      <c r="C1793" s="33"/>
      <c r="D1793" s="24"/>
      <c r="E1793" s="30" t="str">
        <f aca="false">IF($D1793="","",IFERROR(INDEX(合同单位,MATCH($D1793,合同键,0)),IFERROR(TRIM(LEFT($D1793,FIND("｜",$D1793)-1)),$D1793)))</f>
        <v/>
      </c>
      <c r="F1793" s="30" t="str">
        <f aca="false">IF($D1793="","",IFERROR(INDEX(合同项目,MATCH($D1793,合同键,0)),IFERROR(TRIM(MID($D1793,FIND("｜",$D1793)+1,99)),"")))</f>
        <v/>
      </c>
      <c r="G1793" s="39"/>
      <c r="H1793" s="25"/>
      <c r="I1793" s="35" t="str">
        <f aca="false">IF($H1793="","",IFERROR(INDEX(票据归类表,MATCH($H1793,票据类型表,0)),"现金无票"))</f>
        <v/>
      </c>
      <c r="J1793" s="25"/>
      <c r="K1793" s="25"/>
      <c r="L1793" s="31"/>
      <c r="M1793" s="29" t="str">
        <f aca="false">IF($C1793="","",YEAR($C1793))</f>
        <v/>
      </c>
      <c r="N1793" s="24"/>
      <c r="O1793" s="35" t="str">
        <f aca="false">IF($C1793="","",IF($D1793="","★没选客户项目",IF(COUNTIF(合同键,$D1793)=0,"★《维保合同》里没这个项目",IF(N($G1793)&lt;=0,"★收款金额要填",IF($H1793="","★票据类型要选",IF(AND($L1793&lt;&gt;"",COUNTIF(应收单号,$L1793)=0),"★关联的应收单号不存在",IF(AND($L1793&lt;&gt;"",IFERROR(INDEX(应收键,MATCH($L1793,应收单号,0)),"")&lt;&gt;$D1793),"★关联单号不是这个客户的",IF(AND($L1793&lt;&gt;"",ROUND(SUMIF(收款关联,$L1793,收款金额)-IFERROR(INDEX(应收金额,MATCH($L1793,应收单号,0)),0),2)&gt;0.001),"★指定冲销超过那张单的应收","OK"))))))))</f>
        <v/>
      </c>
    </row>
    <row r="1794" customFormat="false" ht="15" hidden="false" customHeight="false" outlineLevel="0" collapsed="false">
      <c r="A1794" s="29" t="str">
        <f aca="false">IF($C1794="","",ROW()-4)</f>
        <v/>
      </c>
      <c r="B1794" s="35" t="str">
        <f aca="false">IF($C1794="","","SK"&amp;TEXT($C1794,"yyyymm")&amp;"-"&amp;TEXT(ROW()-4,"0000"))</f>
        <v/>
      </c>
      <c r="C1794" s="33"/>
      <c r="D1794" s="24"/>
      <c r="E1794" s="30" t="str">
        <f aca="false">IF($D1794="","",IFERROR(INDEX(合同单位,MATCH($D1794,合同键,0)),IFERROR(TRIM(LEFT($D1794,FIND("｜",$D1794)-1)),$D1794)))</f>
        <v/>
      </c>
      <c r="F1794" s="30" t="str">
        <f aca="false">IF($D1794="","",IFERROR(INDEX(合同项目,MATCH($D1794,合同键,0)),IFERROR(TRIM(MID($D1794,FIND("｜",$D1794)+1,99)),"")))</f>
        <v/>
      </c>
      <c r="G1794" s="39"/>
      <c r="H1794" s="25"/>
      <c r="I1794" s="35" t="str">
        <f aca="false">IF($H1794="","",IFERROR(INDEX(票据归类表,MATCH($H1794,票据类型表,0)),"现金无票"))</f>
        <v/>
      </c>
      <c r="J1794" s="25"/>
      <c r="K1794" s="25"/>
      <c r="L1794" s="31"/>
      <c r="M1794" s="29" t="str">
        <f aca="false">IF($C1794="","",YEAR($C1794))</f>
        <v/>
      </c>
      <c r="N1794" s="24"/>
      <c r="O1794" s="35" t="str">
        <f aca="false">IF($C1794="","",IF($D1794="","★没选客户项目",IF(COUNTIF(合同键,$D1794)=0,"★《维保合同》里没这个项目",IF(N($G1794)&lt;=0,"★收款金额要填",IF($H1794="","★票据类型要选",IF(AND($L1794&lt;&gt;"",COUNTIF(应收单号,$L1794)=0),"★关联的应收单号不存在",IF(AND($L1794&lt;&gt;"",IFERROR(INDEX(应收键,MATCH($L1794,应收单号,0)),"")&lt;&gt;$D1794),"★关联单号不是这个客户的",IF(AND($L1794&lt;&gt;"",ROUND(SUMIF(收款关联,$L1794,收款金额)-IFERROR(INDEX(应收金额,MATCH($L1794,应收单号,0)),0),2)&gt;0.001),"★指定冲销超过那张单的应收","OK"))))))))</f>
        <v/>
      </c>
    </row>
    <row r="1795" customFormat="false" ht="15" hidden="false" customHeight="false" outlineLevel="0" collapsed="false">
      <c r="A1795" s="29" t="str">
        <f aca="false">IF($C1795="","",ROW()-4)</f>
        <v/>
      </c>
      <c r="B1795" s="35" t="str">
        <f aca="false">IF($C1795="","","SK"&amp;TEXT($C1795,"yyyymm")&amp;"-"&amp;TEXT(ROW()-4,"0000"))</f>
        <v/>
      </c>
      <c r="C1795" s="33"/>
      <c r="D1795" s="24"/>
      <c r="E1795" s="30" t="str">
        <f aca="false">IF($D1795="","",IFERROR(INDEX(合同单位,MATCH($D1795,合同键,0)),IFERROR(TRIM(LEFT($D1795,FIND("｜",$D1795)-1)),$D1795)))</f>
        <v/>
      </c>
      <c r="F1795" s="30" t="str">
        <f aca="false">IF($D1795="","",IFERROR(INDEX(合同项目,MATCH($D1795,合同键,0)),IFERROR(TRIM(MID($D1795,FIND("｜",$D1795)+1,99)),"")))</f>
        <v/>
      </c>
      <c r="G1795" s="39"/>
      <c r="H1795" s="25"/>
      <c r="I1795" s="35" t="str">
        <f aca="false">IF($H1795="","",IFERROR(INDEX(票据归类表,MATCH($H1795,票据类型表,0)),"现金无票"))</f>
        <v/>
      </c>
      <c r="J1795" s="25"/>
      <c r="K1795" s="25"/>
      <c r="L1795" s="31"/>
      <c r="M1795" s="29" t="str">
        <f aca="false">IF($C1795="","",YEAR($C1795))</f>
        <v/>
      </c>
      <c r="N1795" s="24"/>
      <c r="O1795" s="35" t="str">
        <f aca="false">IF($C1795="","",IF($D1795="","★没选客户项目",IF(COUNTIF(合同键,$D1795)=0,"★《维保合同》里没这个项目",IF(N($G1795)&lt;=0,"★收款金额要填",IF($H1795="","★票据类型要选",IF(AND($L1795&lt;&gt;"",COUNTIF(应收单号,$L1795)=0),"★关联的应收单号不存在",IF(AND($L1795&lt;&gt;"",IFERROR(INDEX(应收键,MATCH($L1795,应收单号,0)),"")&lt;&gt;$D1795),"★关联单号不是这个客户的",IF(AND($L1795&lt;&gt;"",ROUND(SUMIF(收款关联,$L1795,收款金额)-IFERROR(INDEX(应收金额,MATCH($L1795,应收单号,0)),0),2)&gt;0.001),"★指定冲销超过那张单的应收","OK"))))))))</f>
        <v/>
      </c>
    </row>
    <row r="1796" customFormat="false" ht="15" hidden="false" customHeight="false" outlineLevel="0" collapsed="false">
      <c r="A1796" s="29" t="str">
        <f aca="false">IF($C1796="","",ROW()-4)</f>
        <v/>
      </c>
      <c r="B1796" s="35" t="str">
        <f aca="false">IF($C1796="","","SK"&amp;TEXT($C1796,"yyyymm")&amp;"-"&amp;TEXT(ROW()-4,"0000"))</f>
        <v/>
      </c>
      <c r="C1796" s="33"/>
      <c r="D1796" s="24"/>
      <c r="E1796" s="30" t="str">
        <f aca="false">IF($D1796="","",IFERROR(INDEX(合同单位,MATCH($D1796,合同键,0)),IFERROR(TRIM(LEFT($D1796,FIND("｜",$D1796)-1)),$D1796)))</f>
        <v/>
      </c>
      <c r="F1796" s="30" t="str">
        <f aca="false">IF($D1796="","",IFERROR(INDEX(合同项目,MATCH($D1796,合同键,0)),IFERROR(TRIM(MID($D1796,FIND("｜",$D1796)+1,99)),"")))</f>
        <v/>
      </c>
      <c r="G1796" s="39"/>
      <c r="H1796" s="25"/>
      <c r="I1796" s="35" t="str">
        <f aca="false">IF($H1796="","",IFERROR(INDEX(票据归类表,MATCH($H1796,票据类型表,0)),"现金无票"))</f>
        <v/>
      </c>
      <c r="J1796" s="25"/>
      <c r="K1796" s="25"/>
      <c r="L1796" s="31"/>
      <c r="M1796" s="29" t="str">
        <f aca="false">IF($C1796="","",YEAR($C1796))</f>
        <v/>
      </c>
      <c r="N1796" s="24"/>
      <c r="O1796" s="35" t="str">
        <f aca="false">IF($C1796="","",IF($D1796="","★没选客户项目",IF(COUNTIF(合同键,$D1796)=0,"★《维保合同》里没这个项目",IF(N($G1796)&lt;=0,"★收款金额要填",IF($H1796="","★票据类型要选",IF(AND($L1796&lt;&gt;"",COUNTIF(应收单号,$L1796)=0),"★关联的应收单号不存在",IF(AND($L1796&lt;&gt;"",IFERROR(INDEX(应收键,MATCH($L1796,应收单号,0)),"")&lt;&gt;$D1796),"★关联单号不是这个客户的",IF(AND($L1796&lt;&gt;"",ROUND(SUMIF(收款关联,$L1796,收款金额)-IFERROR(INDEX(应收金额,MATCH($L1796,应收单号,0)),0),2)&gt;0.001),"★指定冲销超过那张单的应收","OK"))))))))</f>
        <v/>
      </c>
    </row>
    <row r="1797" customFormat="false" ht="15" hidden="false" customHeight="false" outlineLevel="0" collapsed="false">
      <c r="A1797" s="29" t="str">
        <f aca="false">IF($C1797="","",ROW()-4)</f>
        <v/>
      </c>
      <c r="B1797" s="35" t="str">
        <f aca="false">IF($C1797="","","SK"&amp;TEXT($C1797,"yyyymm")&amp;"-"&amp;TEXT(ROW()-4,"0000"))</f>
        <v/>
      </c>
      <c r="C1797" s="33"/>
      <c r="D1797" s="24"/>
      <c r="E1797" s="30" t="str">
        <f aca="false">IF($D1797="","",IFERROR(INDEX(合同单位,MATCH($D1797,合同键,0)),IFERROR(TRIM(LEFT($D1797,FIND("｜",$D1797)-1)),$D1797)))</f>
        <v/>
      </c>
      <c r="F1797" s="30" t="str">
        <f aca="false">IF($D1797="","",IFERROR(INDEX(合同项目,MATCH($D1797,合同键,0)),IFERROR(TRIM(MID($D1797,FIND("｜",$D1797)+1,99)),"")))</f>
        <v/>
      </c>
      <c r="G1797" s="39"/>
      <c r="H1797" s="25"/>
      <c r="I1797" s="35" t="str">
        <f aca="false">IF($H1797="","",IFERROR(INDEX(票据归类表,MATCH($H1797,票据类型表,0)),"现金无票"))</f>
        <v/>
      </c>
      <c r="J1797" s="25"/>
      <c r="K1797" s="25"/>
      <c r="L1797" s="31"/>
      <c r="M1797" s="29" t="str">
        <f aca="false">IF($C1797="","",YEAR($C1797))</f>
        <v/>
      </c>
      <c r="N1797" s="24"/>
      <c r="O1797" s="35" t="str">
        <f aca="false">IF($C1797="","",IF($D1797="","★没选客户项目",IF(COUNTIF(合同键,$D1797)=0,"★《维保合同》里没这个项目",IF(N($G1797)&lt;=0,"★收款金额要填",IF($H1797="","★票据类型要选",IF(AND($L1797&lt;&gt;"",COUNTIF(应收单号,$L1797)=0),"★关联的应收单号不存在",IF(AND($L1797&lt;&gt;"",IFERROR(INDEX(应收键,MATCH($L1797,应收单号,0)),"")&lt;&gt;$D1797),"★关联单号不是这个客户的",IF(AND($L1797&lt;&gt;"",ROUND(SUMIF(收款关联,$L1797,收款金额)-IFERROR(INDEX(应收金额,MATCH($L1797,应收单号,0)),0),2)&gt;0.001),"★指定冲销超过那张单的应收","OK"))))))))</f>
        <v/>
      </c>
    </row>
    <row r="1798" customFormat="false" ht="15" hidden="false" customHeight="false" outlineLevel="0" collapsed="false">
      <c r="A1798" s="29" t="str">
        <f aca="false">IF($C1798="","",ROW()-4)</f>
        <v/>
      </c>
      <c r="B1798" s="35" t="str">
        <f aca="false">IF($C1798="","","SK"&amp;TEXT($C1798,"yyyymm")&amp;"-"&amp;TEXT(ROW()-4,"0000"))</f>
        <v/>
      </c>
      <c r="C1798" s="33"/>
      <c r="D1798" s="24"/>
      <c r="E1798" s="30" t="str">
        <f aca="false">IF($D1798="","",IFERROR(INDEX(合同单位,MATCH($D1798,合同键,0)),IFERROR(TRIM(LEFT($D1798,FIND("｜",$D1798)-1)),$D1798)))</f>
        <v/>
      </c>
      <c r="F1798" s="30" t="str">
        <f aca="false">IF($D1798="","",IFERROR(INDEX(合同项目,MATCH($D1798,合同键,0)),IFERROR(TRIM(MID($D1798,FIND("｜",$D1798)+1,99)),"")))</f>
        <v/>
      </c>
      <c r="G1798" s="39"/>
      <c r="H1798" s="25"/>
      <c r="I1798" s="35" t="str">
        <f aca="false">IF($H1798="","",IFERROR(INDEX(票据归类表,MATCH($H1798,票据类型表,0)),"现金无票"))</f>
        <v/>
      </c>
      <c r="J1798" s="25"/>
      <c r="K1798" s="25"/>
      <c r="L1798" s="31"/>
      <c r="M1798" s="29" t="str">
        <f aca="false">IF($C1798="","",YEAR($C1798))</f>
        <v/>
      </c>
      <c r="N1798" s="24"/>
      <c r="O1798" s="35" t="str">
        <f aca="false">IF($C1798="","",IF($D1798="","★没选客户项目",IF(COUNTIF(合同键,$D1798)=0,"★《维保合同》里没这个项目",IF(N($G1798)&lt;=0,"★收款金额要填",IF($H1798="","★票据类型要选",IF(AND($L1798&lt;&gt;"",COUNTIF(应收单号,$L1798)=0),"★关联的应收单号不存在",IF(AND($L1798&lt;&gt;"",IFERROR(INDEX(应收键,MATCH($L1798,应收单号,0)),"")&lt;&gt;$D1798),"★关联单号不是这个客户的",IF(AND($L1798&lt;&gt;"",ROUND(SUMIF(收款关联,$L1798,收款金额)-IFERROR(INDEX(应收金额,MATCH($L1798,应收单号,0)),0),2)&gt;0.001),"★指定冲销超过那张单的应收","OK"))))))))</f>
        <v/>
      </c>
    </row>
    <row r="1799" customFormat="false" ht="15" hidden="false" customHeight="false" outlineLevel="0" collapsed="false">
      <c r="A1799" s="29" t="str">
        <f aca="false">IF($C1799="","",ROW()-4)</f>
        <v/>
      </c>
      <c r="B1799" s="35" t="str">
        <f aca="false">IF($C1799="","","SK"&amp;TEXT($C1799,"yyyymm")&amp;"-"&amp;TEXT(ROW()-4,"0000"))</f>
        <v/>
      </c>
      <c r="C1799" s="33"/>
      <c r="D1799" s="24"/>
      <c r="E1799" s="30" t="str">
        <f aca="false">IF($D1799="","",IFERROR(INDEX(合同单位,MATCH($D1799,合同键,0)),IFERROR(TRIM(LEFT($D1799,FIND("｜",$D1799)-1)),$D1799)))</f>
        <v/>
      </c>
      <c r="F1799" s="30" t="str">
        <f aca="false">IF($D1799="","",IFERROR(INDEX(合同项目,MATCH($D1799,合同键,0)),IFERROR(TRIM(MID($D1799,FIND("｜",$D1799)+1,99)),"")))</f>
        <v/>
      </c>
      <c r="G1799" s="39"/>
      <c r="H1799" s="25"/>
      <c r="I1799" s="35" t="str">
        <f aca="false">IF($H1799="","",IFERROR(INDEX(票据归类表,MATCH($H1799,票据类型表,0)),"现金无票"))</f>
        <v/>
      </c>
      <c r="J1799" s="25"/>
      <c r="K1799" s="25"/>
      <c r="L1799" s="31"/>
      <c r="M1799" s="29" t="str">
        <f aca="false">IF($C1799="","",YEAR($C1799))</f>
        <v/>
      </c>
      <c r="N1799" s="24"/>
      <c r="O1799" s="35" t="str">
        <f aca="false">IF($C1799="","",IF($D1799="","★没选客户项目",IF(COUNTIF(合同键,$D1799)=0,"★《维保合同》里没这个项目",IF(N($G1799)&lt;=0,"★收款金额要填",IF($H1799="","★票据类型要选",IF(AND($L1799&lt;&gt;"",COUNTIF(应收单号,$L1799)=0),"★关联的应收单号不存在",IF(AND($L1799&lt;&gt;"",IFERROR(INDEX(应收键,MATCH($L1799,应收单号,0)),"")&lt;&gt;$D1799),"★关联单号不是这个客户的",IF(AND($L1799&lt;&gt;"",ROUND(SUMIF(收款关联,$L1799,收款金额)-IFERROR(INDEX(应收金额,MATCH($L1799,应收单号,0)),0),2)&gt;0.001),"★指定冲销超过那张单的应收","OK"))))))))</f>
        <v/>
      </c>
    </row>
    <row r="1800" customFormat="false" ht="15" hidden="false" customHeight="false" outlineLevel="0" collapsed="false">
      <c r="A1800" s="29" t="str">
        <f aca="false">IF($C1800="","",ROW()-4)</f>
        <v/>
      </c>
      <c r="B1800" s="35" t="str">
        <f aca="false">IF($C1800="","","SK"&amp;TEXT($C1800,"yyyymm")&amp;"-"&amp;TEXT(ROW()-4,"0000"))</f>
        <v/>
      </c>
      <c r="C1800" s="33"/>
      <c r="D1800" s="24"/>
      <c r="E1800" s="30" t="str">
        <f aca="false">IF($D1800="","",IFERROR(INDEX(合同单位,MATCH($D1800,合同键,0)),IFERROR(TRIM(LEFT($D1800,FIND("｜",$D1800)-1)),$D1800)))</f>
        <v/>
      </c>
      <c r="F1800" s="30" t="str">
        <f aca="false">IF($D1800="","",IFERROR(INDEX(合同项目,MATCH($D1800,合同键,0)),IFERROR(TRIM(MID($D1800,FIND("｜",$D1800)+1,99)),"")))</f>
        <v/>
      </c>
      <c r="G1800" s="39"/>
      <c r="H1800" s="25"/>
      <c r="I1800" s="35" t="str">
        <f aca="false">IF($H1800="","",IFERROR(INDEX(票据归类表,MATCH($H1800,票据类型表,0)),"现金无票"))</f>
        <v/>
      </c>
      <c r="J1800" s="25"/>
      <c r="K1800" s="25"/>
      <c r="L1800" s="31"/>
      <c r="M1800" s="29" t="str">
        <f aca="false">IF($C1800="","",YEAR($C1800))</f>
        <v/>
      </c>
      <c r="N1800" s="24"/>
      <c r="O1800" s="35" t="str">
        <f aca="false">IF($C1800="","",IF($D1800="","★没选客户项目",IF(COUNTIF(合同键,$D1800)=0,"★《维保合同》里没这个项目",IF(N($G1800)&lt;=0,"★收款金额要填",IF($H1800="","★票据类型要选",IF(AND($L1800&lt;&gt;"",COUNTIF(应收单号,$L1800)=0),"★关联的应收单号不存在",IF(AND($L1800&lt;&gt;"",IFERROR(INDEX(应收键,MATCH($L1800,应收单号,0)),"")&lt;&gt;$D1800),"★关联单号不是这个客户的",IF(AND($L1800&lt;&gt;"",ROUND(SUMIF(收款关联,$L1800,收款金额)-IFERROR(INDEX(应收金额,MATCH($L1800,应收单号,0)),0),2)&gt;0.001),"★指定冲销超过那张单的应收","OK"))))))))</f>
        <v/>
      </c>
    </row>
    <row r="1801" customFormat="false" ht="15" hidden="false" customHeight="false" outlineLevel="0" collapsed="false">
      <c r="A1801" s="29" t="str">
        <f aca="false">IF($C1801="","",ROW()-4)</f>
        <v/>
      </c>
      <c r="B1801" s="35" t="str">
        <f aca="false">IF($C1801="","","SK"&amp;TEXT($C1801,"yyyymm")&amp;"-"&amp;TEXT(ROW()-4,"0000"))</f>
        <v/>
      </c>
      <c r="C1801" s="33"/>
      <c r="D1801" s="24"/>
      <c r="E1801" s="30" t="str">
        <f aca="false">IF($D1801="","",IFERROR(INDEX(合同单位,MATCH($D1801,合同键,0)),IFERROR(TRIM(LEFT($D1801,FIND("｜",$D1801)-1)),$D1801)))</f>
        <v/>
      </c>
      <c r="F1801" s="30" t="str">
        <f aca="false">IF($D1801="","",IFERROR(INDEX(合同项目,MATCH($D1801,合同键,0)),IFERROR(TRIM(MID($D1801,FIND("｜",$D1801)+1,99)),"")))</f>
        <v/>
      </c>
      <c r="G1801" s="39"/>
      <c r="H1801" s="25"/>
      <c r="I1801" s="35" t="str">
        <f aca="false">IF($H1801="","",IFERROR(INDEX(票据归类表,MATCH($H1801,票据类型表,0)),"现金无票"))</f>
        <v/>
      </c>
      <c r="J1801" s="25"/>
      <c r="K1801" s="25"/>
      <c r="L1801" s="31"/>
      <c r="M1801" s="29" t="str">
        <f aca="false">IF($C1801="","",YEAR($C1801))</f>
        <v/>
      </c>
      <c r="N1801" s="24"/>
      <c r="O1801" s="35" t="str">
        <f aca="false">IF($C1801="","",IF($D1801="","★没选客户项目",IF(COUNTIF(合同键,$D1801)=0,"★《维保合同》里没这个项目",IF(N($G1801)&lt;=0,"★收款金额要填",IF($H1801="","★票据类型要选",IF(AND($L1801&lt;&gt;"",COUNTIF(应收单号,$L1801)=0),"★关联的应收单号不存在",IF(AND($L1801&lt;&gt;"",IFERROR(INDEX(应收键,MATCH($L1801,应收单号,0)),"")&lt;&gt;$D1801),"★关联单号不是这个客户的",IF(AND($L1801&lt;&gt;"",ROUND(SUMIF(收款关联,$L1801,收款金额)-IFERROR(INDEX(应收金额,MATCH($L1801,应收单号,0)),0),2)&gt;0.001),"★指定冲销超过那张单的应收","OK"))))))))</f>
        <v/>
      </c>
    </row>
    <row r="1802" customFormat="false" ht="15" hidden="false" customHeight="false" outlineLevel="0" collapsed="false">
      <c r="A1802" s="29" t="str">
        <f aca="false">IF($C1802="","",ROW()-4)</f>
        <v/>
      </c>
      <c r="B1802" s="35" t="str">
        <f aca="false">IF($C1802="","","SK"&amp;TEXT($C1802,"yyyymm")&amp;"-"&amp;TEXT(ROW()-4,"0000"))</f>
        <v/>
      </c>
      <c r="C1802" s="33"/>
      <c r="D1802" s="24"/>
      <c r="E1802" s="30" t="str">
        <f aca="false">IF($D1802="","",IFERROR(INDEX(合同单位,MATCH($D1802,合同键,0)),IFERROR(TRIM(LEFT($D1802,FIND("｜",$D1802)-1)),$D1802)))</f>
        <v/>
      </c>
      <c r="F1802" s="30" t="str">
        <f aca="false">IF($D1802="","",IFERROR(INDEX(合同项目,MATCH($D1802,合同键,0)),IFERROR(TRIM(MID($D1802,FIND("｜",$D1802)+1,99)),"")))</f>
        <v/>
      </c>
      <c r="G1802" s="39"/>
      <c r="H1802" s="25"/>
      <c r="I1802" s="35" t="str">
        <f aca="false">IF($H1802="","",IFERROR(INDEX(票据归类表,MATCH($H1802,票据类型表,0)),"现金无票"))</f>
        <v/>
      </c>
      <c r="J1802" s="25"/>
      <c r="K1802" s="25"/>
      <c r="L1802" s="31"/>
      <c r="M1802" s="29" t="str">
        <f aca="false">IF($C1802="","",YEAR($C1802))</f>
        <v/>
      </c>
      <c r="N1802" s="24"/>
      <c r="O1802" s="35" t="str">
        <f aca="false">IF($C1802="","",IF($D1802="","★没选客户项目",IF(COUNTIF(合同键,$D1802)=0,"★《维保合同》里没这个项目",IF(N($G1802)&lt;=0,"★收款金额要填",IF($H1802="","★票据类型要选",IF(AND($L1802&lt;&gt;"",COUNTIF(应收单号,$L1802)=0),"★关联的应收单号不存在",IF(AND($L1802&lt;&gt;"",IFERROR(INDEX(应收键,MATCH($L1802,应收单号,0)),"")&lt;&gt;$D1802),"★关联单号不是这个客户的",IF(AND($L1802&lt;&gt;"",ROUND(SUMIF(收款关联,$L1802,收款金额)-IFERROR(INDEX(应收金额,MATCH($L1802,应收单号,0)),0),2)&gt;0.001),"★指定冲销超过那张单的应收","OK"))))))))</f>
        <v/>
      </c>
    </row>
    <row r="1803" customFormat="false" ht="15" hidden="false" customHeight="false" outlineLevel="0" collapsed="false">
      <c r="A1803" s="29" t="str">
        <f aca="false">IF($C1803="","",ROW()-4)</f>
        <v/>
      </c>
      <c r="B1803" s="35" t="str">
        <f aca="false">IF($C1803="","","SK"&amp;TEXT($C1803,"yyyymm")&amp;"-"&amp;TEXT(ROW()-4,"0000"))</f>
        <v/>
      </c>
      <c r="C1803" s="33"/>
      <c r="D1803" s="24"/>
      <c r="E1803" s="30" t="str">
        <f aca="false">IF($D1803="","",IFERROR(INDEX(合同单位,MATCH($D1803,合同键,0)),IFERROR(TRIM(LEFT($D1803,FIND("｜",$D1803)-1)),$D1803)))</f>
        <v/>
      </c>
      <c r="F1803" s="30" t="str">
        <f aca="false">IF($D1803="","",IFERROR(INDEX(合同项目,MATCH($D1803,合同键,0)),IFERROR(TRIM(MID($D1803,FIND("｜",$D1803)+1,99)),"")))</f>
        <v/>
      </c>
      <c r="G1803" s="39"/>
      <c r="H1803" s="25"/>
      <c r="I1803" s="35" t="str">
        <f aca="false">IF($H1803="","",IFERROR(INDEX(票据归类表,MATCH($H1803,票据类型表,0)),"现金无票"))</f>
        <v/>
      </c>
      <c r="J1803" s="25"/>
      <c r="K1803" s="25"/>
      <c r="L1803" s="31"/>
      <c r="M1803" s="29" t="str">
        <f aca="false">IF($C1803="","",YEAR($C1803))</f>
        <v/>
      </c>
      <c r="N1803" s="24"/>
      <c r="O1803" s="35" t="str">
        <f aca="false">IF($C1803="","",IF($D1803="","★没选客户项目",IF(COUNTIF(合同键,$D1803)=0,"★《维保合同》里没这个项目",IF(N($G1803)&lt;=0,"★收款金额要填",IF($H1803="","★票据类型要选",IF(AND($L1803&lt;&gt;"",COUNTIF(应收单号,$L1803)=0),"★关联的应收单号不存在",IF(AND($L1803&lt;&gt;"",IFERROR(INDEX(应收键,MATCH($L1803,应收单号,0)),"")&lt;&gt;$D1803),"★关联单号不是这个客户的",IF(AND($L1803&lt;&gt;"",ROUND(SUMIF(收款关联,$L1803,收款金额)-IFERROR(INDEX(应收金额,MATCH($L1803,应收单号,0)),0),2)&gt;0.001),"★指定冲销超过那张单的应收","OK"))))))))</f>
        <v/>
      </c>
    </row>
    <row r="1804" customFormat="false" ht="15" hidden="false" customHeight="false" outlineLevel="0" collapsed="false">
      <c r="A1804" s="29" t="str">
        <f aca="false">IF($C1804="","",ROW()-4)</f>
        <v/>
      </c>
      <c r="B1804" s="35" t="str">
        <f aca="false">IF($C1804="","","SK"&amp;TEXT($C1804,"yyyymm")&amp;"-"&amp;TEXT(ROW()-4,"0000"))</f>
        <v/>
      </c>
      <c r="C1804" s="33"/>
      <c r="D1804" s="24"/>
      <c r="E1804" s="30" t="str">
        <f aca="false">IF($D1804="","",IFERROR(INDEX(合同单位,MATCH($D1804,合同键,0)),IFERROR(TRIM(LEFT($D1804,FIND("｜",$D1804)-1)),$D1804)))</f>
        <v/>
      </c>
      <c r="F1804" s="30" t="str">
        <f aca="false">IF($D1804="","",IFERROR(INDEX(合同项目,MATCH($D1804,合同键,0)),IFERROR(TRIM(MID($D1804,FIND("｜",$D1804)+1,99)),"")))</f>
        <v/>
      </c>
      <c r="G1804" s="39"/>
      <c r="H1804" s="25"/>
      <c r="I1804" s="35" t="str">
        <f aca="false">IF($H1804="","",IFERROR(INDEX(票据归类表,MATCH($H1804,票据类型表,0)),"现金无票"))</f>
        <v/>
      </c>
      <c r="J1804" s="25"/>
      <c r="K1804" s="25"/>
      <c r="L1804" s="31"/>
      <c r="M1804" s="29" t="str">
        <f aca="false">IF($C1804="","",YEAR($C1804))</f>
        <v/>
      </c>
      <c r="N1804" s="24"/>
      <c r="O1804" s="35" t="str">
        <f aca="false">IF($C1804="","",IF($D1804="","★没选客户项目",IF(COUNTIF(合同键,$D1804)=0,"★《维保合同》里没这个项目",IF(N($G1804)&lt;=0,"★收款金额要填",IF($H1804="","★票据类型要选",IF(AND($L1804&lt;&gt;"",COUNTIF(应收单号,$L1804)=0),"★关联的应收单号不存在",IF(AND($L1804&lt;&gt;"",IFERROR(INDEX(应收键,MATCH($L1804,应收单号,0)),"")&lt;&gt;$D1804),"★关联单号不是这个客户的",IF(AND($L1804&lt;&gt;"",ROUND(SUMIF(收款关联,$L1804,收款金额)-IFERROR(INDEX(应收金额,MATCH($L1804,应收单号,0)),0),2)&gt;0.001),"★指定冲销超过那张单的应收","OK"))))))))</f>
        <v/>
      </c>
    </row>
    <row r="1805" customFormat="false" ht="15" hidden="false" customHeight="false" outlineLevel="0" collapsed="false">
      <c r="A1805" s="29" t="str">
        <f aca="false">IF($C1805="","",ROW()-4)</f>
        <v/>
      </c>
      <c r="B1805" s="35" t="str">
        <f aca="false">IF($C1805="","","SK"&amp;TEXT($C1805,"yyyymm")&amp;"-"&amp;TEXT(ROW()-4,"0000"))</f>
        <v/>
      </c>
      <c r="C1805" s="33"/>
      <c r="D1805" s="24"/>
      <c r="E1805" s="30" t="str">
        <f aca="false">IF($D1805="","",IFERROR(INDEX(合同单位,MATCH($D1805,合同键,0)),IFERROR(TRIM(LEFT($D1805,FIND("｜",$D1805)-1)),$D1805)))</f>
        <v/>
      </c>
      <c r="F1805" s="30" t="str">
        <f aca="false">IF($D1805="","",IFERROR(INDEX(合同项目,MATCH($D1805,合同键,0)),IFERROR(TRIM(MID($D1805,FIND("｜",$D1805)+1,99)),"")))</f>
        <v/>
      </c>
      <c r="G1805" s="39"/>
      <c r="H1805" s="25"/>
      <c r="I1805" s="35" t="str">
        <f aca="false">IF($H1805="","",IFERROR(INDEX(票据归类表,MATCH($H1805,票据类型表,0)),"现金无票"))</f>
        <v/>
      </c>
      <c r="J1805" s="25"/>
      <c r="K1805" s="25"/>
      <c r="L1805" s="31"/>
      <c r="M1805" s="29" t="str">
        <f aca="false">IF($C1805="","",YEAR($C1805))</f>
        <v/>
      </c>
      <c r="N1805" s="24"/>
      <c r="O1805" s="35" t="str">
        <f aca="false">IF($C1805="","",IF($D1805="","★没选客户项目",IF(COUNTIF(合同键,$D1805)=0,"★《维保合同》里没这个项目",IF(N($G1805)&lt;=0,"★收款金额要填",IF($H1805="","★票据类型要选",IF(AND($L1805&lt;&gt;"",COUNTIF(应收单号,$L1805)=0),"★关联的应收单号不存在",IF(AND($L1805&lt;&gt;"",IFERROR(INDEX(应收键,MATCH($L1805,应收单号,0)),"")&lt;&gt;$D1805),"★关联单号不是这个客户的",IF(AND($L1805&lt;&gt;"",ROUND(SUMIF(收款关联,$L1805,收款金额)-IFERROR(INDEX(应收金额,MATCH($L1805,应收单号,0)),0),2)&gt;0.001),"★指定冲销超过那张单的应收","OK"))))))))</f>
        <v/>
      </c>
    </row>
    <row r="1806" customFormat="false" ht="15" hidden="false" customHeight="false" outlineLevel="0" collapsed="false">
      <c r="A1806" s="29" t="str">
        <f aca="false">IF($C1806="","",ROW()-4)</f>
        <v/>
      </c>
      <c r="B1806" s="35" t="str">
        <f aca="false">IF($C1806="","","SK"&amp;TEXT($C1806,"yyyymm")&amp;"-"&amp;TEXT(ROW()-4,"0000"))</f>
        <v/>
      </c>
      <c r="C1806" s="33"/>
      <c r="D1806" s="24"/>
      <c r="E1806" s="30" t="str">
        <f aca="false">IF($D1806="","",IFERROR(INDEX(合同单位,MATCH($D1806,合同键,0)),IFERROR(TRIM(LEFT($D1806,FIND("｜",$D1806)-1)),$D1806)))</f>
        <v/>
      </c>
      <c r="F1806" s="30" t="str">
        <f aca="false">IF($D1806="","",IFERROR(INDEX(合同项目,MATCH($D1806,合同键,0)),IFERROR(TRIM(MID($D1806,FIND("｜",$D1806)+1,99)),"")))</f>
        <v/>
      </c>
      <c r="G1806" s="39"/>
      <c r="H1806" s="25"/>
      <c r="I1806" s="35" t="str">
        <f aca="false">IF($H1806="","",IFERROR(INDEX(票据归类表,MATCH($H1806,票据类型表,0)),"现金无票"))</f>
        <v/>
      </c>
      <c r="J1806" s="25"/>
      <c r="K1806" s="25"/>
      <c r="L1806" s="31"/>
      <c r="M1806" s="29" t="str">
        <f aca="false">IF($C1806="","",YEAR($C1806))</f>
        <v/>
      </c>
      <c r="N1806" s="24"/>
      <c r="O1806" s="35" t="str">
        <f aca="false">IF($C1806="","",IF($D1806="","★没选客户项目",IF(COUNTIF(合同键,$D1806)=0,"★《维保合同》里没这个项目",IF(N($G1806)&lt;=0,"★收款金额要填",IF($H1806="","★票据类型要选",IF(AND($L1806&lt;&gt;"",COUNTIF(应收单号,$L1806)=0),"★关联的应收单号不存在",IF(AND($L1806&lt;&gt;"",IFERROR(INDEX(应收键,MATCH($L1806,应收单号,0)),"")&lt;&gt;$D1806),"★关联单号不是这个客户的",IF(AND($L1806&lt;&gt;"",ROUND(SUMIF(收款关联,$L1806,收款金额)-IFERROR(INDEX(应收金额,MATCH($L1806,应收单号,0)),0),2)&gt;0.001),"★指定冲销超过那张单的应收","OK"))))))))</f>
        <v/>
      </c>
    </row>
    <row r="1807" customFormat="false" ht="15" hidden="false" customHeight="false" outlineLevel="0" collapsed="false">
      <c r="A1807" s="29" t="str">
        <f aca="false">IF($C1807="","",ROW()-4)</f>
        <v/>
      </c>
      <c r="B1807" s="35" t="str">
        <f aca="false">IF($C1807="","","SK"&amp;TEXT($C1807,"yyyymm")&amp;"-"&amp;TEXT(ROW()-4,"0000"))</f>
        <v/>
      </c>
      <c r="C1807" s="33"/>
      <c r="D1807" s="24"/>
      <c r="E1807" s="30" t="str">
        <f aca="false">IF($D1807="","",IFERROR(INDEX(合同单位,MATCH($D1807,合同键,0)),IFERROR(TRIM(LEFT($D1807,FIND("｜",$D1807)-1)),$D1807)))</f>
        <v/>
      </c>
      <c r="F1807" s="30" t="str">
        <f aca="false">IF($D1807="","",IFERROR(INDEX(合同项目,MATCH($D1807,合同键,0)),IFERROR(TRIM(MID($D1807,FIND("｜",$D1807)+1,99)),"")))</f>
        <v/>
      </c>
      <c r="G1807" s="39"/>
      <c r="H1807" s="25"/>
      <c r="I1807" s="35" t="str">
        <f aca="false">IF($H1807="","",IFERROR(INDEX(票据归类表,MATCH($H1807,票据类型表,0)),"现金无票"))</f>
        <v/>
      </c>
      <c r="J1807" s="25"/>
      <c r="K1807" s="25"/>
      <c r="L1807" s="31"/>
      <c r="M1807" s="29" t="str">
        <f aca="false">IF($C1807="","",YEAR($C1807))</f>
        <v/>
      </c>
      <c r="N1807" s="24"/>
      <c r="O1807" s="35" t="str">
        <f aca="false">IF($C1807="","",IF($D1807="","★没选客户项目",IF(COUNTIF(合同键,$D1807)=0,"★《维保合同》里没这个项目",IF(N($G1807)&lt;=0,"★收款金额要填",IF($H1807="","★票据类型要选",IF(AND($L1807&lt;&gt;"",COUNTIF(应收单号,$L1807)=0),"★关联的应收单号不存在",IF(AND($L1807&lt;&gt;"",IFERROR(INDEX(应收键,MATCH($L1807,应收单号,0)),"")&lt;&gt;$D1807),"★关联单号不是这个客户的",IF(AND($L1807&lt;&gt;"",ROUND(SUMIF(收款关联,$L1807,收款金额)-IFERROR(INDEX(应收金额,MATCH($L1807,应收单号,0)),0),2)&gt;0.001),"★指定冲销超过那张单的应收","OK"))))))))</f>
        <v/>
      </c>
    </row>
    <row r="1808" customFormat="false" ht="15" hidden="false" customHeight="false" outlineLevel="0" collapsed="false">
      <c r="A1808" s="29" t="str">
        <f aca="false">IF($C1808="","",ROW()-4)</f>
        <v/>
      </c>
      <c r="B1808" s="35" t="str">
        <f aca="false">IF($C1808="","","SK"&amp;TEXT($C1808,"yyyymm")&amp;"-"&amp;TEXT(ROW()-4,"0000"))</f>
        <v/>
      </c>
      <c r="C1808" s="33"/>
      <c r="D1808" s="24"/>
      <c r="E1808" s="30" t="str">
        <f aca="false">IF($D1808="","",IFERROR(INDEX(合同单位,MATCH($D1808,合同键,0)),IFERROR(TRIM(LEFT($D1808,FIND("｜",$D1808)-1)),$D1808)))</f>
        <v/>
      </c>
      <c r="F1808" s="30" t="str">
        <f aca="false">IF($D1808="","",IFERROR(INDEX(合同项目,MATCH($D1808,合同键,0)),IFERROR(TRIM(MID($D1808,FIND("｜",$D1808)+1,99)),"")))</f>
        <v/>
      </c>
      <c r="G1808" s="39"/>
      <c r="H1808" s="25"/>
      <c r="I1808" s="35" t="str">
        <f aca="false">IF($H1808="","",IFERROR(INDEX(票据归类表,MATCH($H1808,票据类型表,0)),"现金无票"))</f>
        <v/>
      </c>
      <c r="J1808" s="25"/>
      <c r="K1808" s="25"/>
      <c r="L1808" s="31"/>
      <c r="M1808" s="29" t="str">
        <f aca="false">IF($C1808="","",YEAR($C1808))</f>
        <v/>
      </c>
      <c r="N1808" s="24"/>
      <c r="O1808" s="35" t="str">
        <f aca="false">IF($C1808="","",IF($D1808="","★没选客户项目",IF(COUNTIF(合同键,$D1808)=0,"★《维保合同》里没这个项目",IF(N($G1808)&lt;=0,"★收款金额要填",IF($H1808="","★票据类型要选",IF(AND($L1808&lt;&gt;"",COUNTIF(应收单号,$L1808)=0),"★关联的应收单号不存在",IF(AND($L1808&lt;&gt;"",IFERROR(INDEX(应收键,MATCH($L1808,应收单号,0)),"")&lt;&gt;$D1808),"★关联单号不是这个客户的",IF(AND($L1808&lt;&gt;"",ROUND(SUMIF(收款关联,$L1808,收款金额)-IFERROR(INDEX(应收金额,MATCH($L1808,应收单号,0)),0),2)&gt;0.001),"★指定冲销超过那张单的应收","OK"))))))))</f>
        <v/>
      </c>
    </row>
    <row r="1809" customFormat="false" ht="15" hidden="false" customHeight="false" outlineLevel="0" collapsed="false">
      <c r="A1809" s="29" t="str">
        <f aca="false">IF($C1809="","",ROW()-4)</f>
        <v/>
      </c>
      <c r="B1809" s="35" t="str">
        <f aca="false">IF($C1809="","","SK"&amp;TEXT($C1809,"yyyymm")&amp;"-"&amp;TEXT(ROW()-4,"0000"))</f>
        <v/>
      </c>
      <c r="C1809" s="33"/>
      <c r="D1809" s="24"/>
      <c r="E1809" s="30" t="str">
        <f aca="false">IF($D1809="","",IFERROR(INDEX(合同单位,MATCH($D1809,合同键,0)),IFERROR(TRIM(LEFT($D1809,FIND("｜",$D1809)-1)),$D1809)))</f>
        <v/>
      </c>
      <c r="F1809" s="30" t="str">
        <f aca="false">IF($D1809="","",IFERROR(INDEX(合同项目,MATCH($D1809,合同键,0)),IFERROR(TRIM(MID($D1809,FIND("｜",$D1809)+1,99)),"")))</f>
        <v/>
      </c>
      <c r="G1809" s="39"/>
      <c r="H1809" s="25"/>
      <c r="I1809" s="35" t="str">
        <f aca="false">IF($H1809="","",IFERROR(INDEX(票据归类表,MATCH($H1809,票据类型表,0)),"现金无票"))</f>
        <v/>
      </c>
      <c r="J1809" s="25"/>
      <c r="K1809" s="25"/>
      <c r="L1809" s="31"/>
      <c r="M1809" s="29" t="str">
        <f aca="false">IF($C1809="","",YEAR($C1809))</f>
        <v/>
      </c>
      <c r="N1809" s="24"/>
      <c r="O1809" s="35" t="str">
        <f aca="false">IF($C1809="","",IF($D1809="","★没选客户项目",IF(COUNTIF(合同键,$D1809)=0,"★《维保合同》里没这个项目",IF(N($G1809)&lt;=0,"★收款金额要填",IF($H1809="","★票据类型要选",IF(AND($L1809&lt;&gt;"",COUNTIF(应收单号,$L1809)=0),"★关联的应收单号不存在",IF(AND($L1809&lt;&gt;"",IFERROR(INDEX(应收键,MATCH($L1809,应收单号,0)),"")&lt;&gt;$D1809),"★关联单号不是这个客户的",IF(AND($L1809&lt;&gt;"",ROUND(SUMIF(收款关联,$L1809,收款金额)-IFERROR(INDEX(应收金额,MATCH($L1809,应收单号,0)),0),2)&gt;0.001),"★指定冲销超过那张单的应收","OK"))))))))</f>
        <v/>
      </c>
    </row>
    <row r="1810" customFormat="false" ht="15" hidden="false" customHeight="false" outlineLevel="0" collapsed="false">
      <c r="A1810" s="29" t="str">
        <f aca="false">IF($C1810="","",ROW()-4)</f>
        <v/>
      </c>
      <c r="B1810" s="35" t="str">
        <f aca="false">IF($C1810="","","SK"&amp;TEXT($C1810,"yyyymm")&amp;"-"&amp;TEXT(ROW()-4,"0000"))</f>
        <v/>
      </c>
      <c r="C1810" s="33"/>
      <c r="D1810" s="24"/>
      <c r="E1810" s="30" t="str">
        <f aca="false">IF($D1810="","",IFERROR(INDEX(合同单位,MATCH($D1810,合同键,0)),IFERROR(TRIM(LEFT($D1810,FIND("｜",$D1810)-1)),$D1810)))</f>
        <v/>
      </c>
      <c r="F1810" s="30" t="str">
        <f aca="false">IF($D1810="","",IFERROR(INDEX(合同项目,MATCH($D1810,合同键,0)),IFERROR(TRIM(MID($D1810,FIND("｜",$D1810)+1,99)),"")))</f>
        <v/>
      </c>
      <c r="G1810" s="39"/>
      <c r="H1810" s="25"/>
      <c r="I1810" s="35" t="str">
        <f aca="false">IF($H1810="","",IFERROR(INDEX(票据归类表,MATCH($H1810,票据类型表,0)),"现金无票"))</f>
        <v/>
      </c>
      <c r="J1810" s="25"/>
      <c r="K1810" s="25"/>
      <c r="L1810" s="31"/>
      <c r="M1810" s="29" t="str">
        <f aca="false">IF($C1810="","",YEAR($C1810))</f>
        <v/>
      </c>
      <c r="N1810" s="24"/>
      <c r="O1810" s="35" t="str">
        <f aca="false">IF($C1810="","",IF($D1810="","★没选客户项目",IF(COUNTIF(合同键,$D1810)=0,"★《维保合同》里没这个项目",IF(N($G1810)&lt;=0,"★收款金额要填",IF($H1810="","★票据类型要选",IF(AND($L1810&lt;&gt;"",COUNTIF(应收单号,$L1810)=0),"★关联的应收单号不存在",IF(AND($L1810&lt;&gt;"",IFERROR(INDEX(应收键,MATCH($L1810,应收单号,0)),"")&lt;&gt;$D1810),"★关联单号不是这个客户的",IF(AND($L1810&lt;&gt;"",ROUND(SUMIF(收款关联,$L1810,收款金额)-IFERROR(INDEX(应收金额,MATCH($L1810,应收单号,0)),0),2)&gt;0.001),"★指定冲销超过那张单的应收","OK"))))))))</f>
        <v/>
      </c>
    </row>
    <row r="1811" customFormat="false" ht="15" hidden="false" customHeight="false" outlineLevel="0" collapsed="false">
      <c r="A1811" s="29" t="str">
        <f aca="false">IF($C1811="","",ROW()-4)</f>
        <v/>
      </c>
      <c r="B1811" s="35" t="str">
        <f aca="false">IF($C1811="","","SK"&amp;TEXT($C1811,"yyyymm")&amp;"-"&amp;TEXT(ROW()-4,"0000"))</f>
        <v/>
      </c>
      <c r="C1811" s="33"/>
      <c r="D1811" s="24"/>
      <c r="E1811" s="30" t="str">
        <f aca="false">IF($D1811="","",IFERROR(INDEX(合同单位,MATCH($D1811,合同键,0)),IFERROR(TRIM(LEFT($D1811,FIND("｜",$D1811)-1)),$D1811)))</f>
        <v/>
      </c>
      <c r="F1811" s="30" t="str">
        <f aca="false">IF($D1811="","",IFERROR(INDEX(合同项目,MATCH($D1811,合同键,0)),IFERROR(TRIM(MID($D1811,FIND("｜",$D1811)+1,99)),"")))</f>
        <v/>
      </c>
      <c r="G1811" s="39"/>
      <c r="H1811" s="25"/>
      <c r="I1811" s="35" t="str">
        <f aca="false">IF($H1811="","",IFERROR(INDEX(票据归类表,MATCH($H1811,票据类型表,0)),"现金无票"))</f>
        <v/>
      </c>
      <c r="J1811" s="25"/>
      <c r="K1811" s="25"/>
      <c r="L1811" s="31"/>
      <c r="M1811" s="29" t="str">
        <f aca="false">IF($C1811="","",YEAR($C1811))</f>
        <v/>
      </c>
      <c r="N1811" s="24"/>
      <c r="O1811" s="35" t="str">
        <f aca="false">IF($C1811="","",IF($D1811="","★没选客户项目",IF(COUNTIF(合同键,$D1811)=0,"★《维保合同》里没这个项目",IF(N($G1811)&lt;=0,"★收款金额要填",IF($H1811="","★票据类型要选",IF(AND($L1811&lt;&gt;"",COUNTIF(应收单号,$L1811)=0),"★关联的应收单号不存在",IF(AND($L1811&lt;&gt;"",IFERROR(INDEX(应收键,MATCH($L1811,应收单号,0)),"")&lt;&gt;$D1811),"★关联单号不是这个客户的",IF(AND($L1811&lt;&gt;"",ROUND(SUMIF(收款关联,$L1811,收款金额)-IFERROR(INDEX(应收金额,MATCH($L1811,应收单号,0)),0),2)&gt;0.001),"★指定冲销超过那张单的应收","OK"))))))))</f>
        <v/>
      </c>
    </row>
    <row r="1812" customFormat="false" ht="15" hidden="false" customHeight="false" outlineLevel="0" collapsed="false">
      <c r="A1812" s="29" t="str">
        <f aca="false">IF($C1812="","",ROW()-4)</f>
        <v/>
      </c>
      <c r="B1812" s="35" t="str">
        <f aca="false">IF($C1812="","","SK"&amp;TEXT($C1812,"yyyymm")&amp;"-"&amp;TEXT(ROW()-4,"0000"))</f>
        <v/>
      </c>
      <c r="C1812" s="33"/>
      <c r="D1812" s="24"/>
      <c r="E1812" s="30" t="str">
        <f aca="false">IF($D1812="","",IFERROR(INDEX(合同单位,MATCH($D1812,合同键,0)),IFERROR(TRIM(LEFT($D1812,FIND("｜",$D1812)-1)),$D1812)))</f>
        <v/>
      </c>
      <c r="F1812" s="30" t="str">
        <f aca="false">IF($D1812="","",IFERROR(INDEX(合同项目,MATCH($D1812,合同键,0)),IFERROR(TRIM(MID($D1812,FIND("｜",$D1812)+1,99)),"")))</f>
        <v/>
      </c>
      <c r="G1812" s="39"/>
      <c r="H1812" s="25"/>
      <c r="I1812" s="35" t="str">
        <f aca="false">IF($H1812="","",IFERROR(INDEX(票据归类表,MATCH($H1812,票据类型表,0)),"现金无票"))</f>
        <v/>
      </c>
      <c r="J1812" s="25"/>
      <c r="K1812" s="25"/>
      <c r="L1812" s="31"/>
      <c r="M1812" s="29" t="str">
        <f aca="false">IF($C1812="","",YEAR($C1812))</f>
        <v/>
      </c>
      <c r="N1812" s="24"/>
      <c r="O1812" s="35" t="str">
        <f aca="false">IF($C1812="","",IF($D1812="","★没选客户项目",IF(COUNTIF(合同键,$D1812)=0,"★《维保合同》里没这个项目",IF(N($G1812)&lt;=0,"★收款金额要填",IF($H1812="","★票据类型要选",IF(AND($L1812&lt;&gt;"",COUNTIF(应收单号,$L1812)=0),"★关联的应收单号不存在",IF(AND($L1812&lt;&gt;"",IFERROR(INDEX(应收键,MATCH($L1812,应收单号,0)),"")&lt;&gt;$D1812),"★关联单号不是这个客户的",IF(AND($L1812&lt;&gt;"",ROUND(SUMIF(收款关联,$L1812,收款金额)-IFERROR(INDEX(应收金额,MATCH($L1812,应收单号,0)),0),2)&gt;0.001),"★指定冲销超过那张单的应收","OK"))))))))</f>
        <v/>
      </c>
    </row>
    <row r="1813" customFormat="false" ht="15" hidden="false" customHeight="false" outlineLevel="0" collapsed="false">
      <c r="A1813" s="29" t="str">
        <f aca="false">IF($C1813="","",ROW()-4)</f>
        <v/>
      </c>
      <c r="B1813" s="35" t="str">
        <f aca="false">IF($C1813="","","SK"&amp;TEXT($C1813,"yyyymm")&amp;"-"&amp;TEXT(ROW()-4,"0000"))</f>
        <v/>
      </c>
      <c r="C1813" s="33"/>
      <c r="D1813" s="24"/>
      <c r="E1813" s="30" t="str">
        <f aca="false">IF($D1813="","",IFERROR(INDEX(合同单位,MATCH($D1813,合同键,0)),IFERROR(TRIM(LEFT($D1813,FIND("｜",$D1813)-1)),$D1813)))</f>
        <v/>
      </c>
      <c r="F1813" s="30" t="str">
        <f aca="false">IF($D1813="","",IFERROR(INDEX(合同项目,MATCH($D1813,合同键,0)),IFERROR(TRIM(MID($D1813,FIND("｜",$D1813)+1,99)),"")))</f>
        <v/>
      </c>
      <c r="G1813" s="39"/>
      <c r="H1813" s="25"/>
      <c r="I1813" s="35" t="str">
        <f aca="false">IF($H1813="","",IFERROR(INDEX(票据归类表,MATCH($H1813,票据类型表,0)),"现金无票"))</f>
        <v/>
      </c>
      <c r="J1813" s="25"/>
      <c r="K1813" s="25"/>
      <c r="L1813" s="31"/>
      <c r="M1813" s="29" t="str">
        <f aca="false">IF($C1813="","",YEAR($C1813))</f>
        <v/>
      </c>
      <c r="N1813" s="24"/>
      <c r="O1813" s="35" t="str">
        <f aca="false">IF($C1813="","",IF($D1813="","★没选客户项目",IF(COUNTIF(合同键,$D1813)=0,"★《维保合同》里没这个项目",IF(N($G1813)&lt;=0,"★收款金额要填",IF($H1813="","★票据类型要选",IF(AND($L1813&lt;&gt;"",COUNTIF(应收单号,$L1813)=0),"★关联的应收单号不存在",IF(AND($L1813&lt;&gt;"",IFERROR(INDEX(应收键,MATCH($L1813,应收单号,0)),"")&lt;&gt;$D1813),"★关联单号不是这个客户的",IF(AND($L1813&lt;&gt;"",ROUND(SUMIF(收款关联,$L1813,收款金额)-IFERROR(INDEX(应收金额,MATCH($L1813,应收单号,0)),0),2)&gt;0.001),"★指定冲销超过那张单的应收","OK"))))))))</f>
        <v/>
      </c>
    </row>
    <row r="1814" customFormat="false" ht="15" hidden="false" customHeight="false" outlineLevel="0" collapsed="false">
      <c r="A1814" s="29" t="str">
        <f aca="false">IF($C1814="","",ROW()-4)</f>
        <v/>
      </c>
      <c r="B1814" s="35" t="str">
        <f aca="false">IF($C1814="","","SK"&amp;TEXT($C1814,"yyyymm")&amp;"-"&amp;TEXT(ROW()-4,"0000"))</f>
        <v/>
      </c>
      <c r="C1814" s="33"/>
      <c r="D1814" s="24"/>
      <c r="E1814" s="30" t="str">
        <f aca="false">IF($D1814="","",IFERROR(INDEX(合同单位,MATCH($D1814,合同键,0)),IFERROR(TRIM(LEFT($D1814,FIND("｜",$D1814)-1)),$D1814)))</f>
        <v/>
      </c>
      <c r="F1814" s="30" t="str">
        <f aca="false">IF($D1814="","",IFERROR(INDEX(合同项目,MATCH($D1814,合同键,0)),IFERROR(TRIM(MID($D1814,FIND("｜",$D1814)+1,99)),"")))</f>
        <v/>
      </c>
      <c r="G1814" s="39"/>
      <c r="H1814" s="25"/>
      <c r="I1814" s="35" t="str">
        <f aca="false">IF($H1814="","",IFERROR(INDEX(票据归类表,MATCH($H1814,票据类型表,0)),"现金无票"))</f>
        <v/>
      </c>
      <c r="J1814" s="25"/>
      <c r="K1814" s="25"/>
      <c r="L1814" s="31"/>
      <c r="M1814" s="29" t="str">
        <f aca="false">IF($C1814="","",YEAR($C1814))</f>
        <v/>
      </c>
      <c r="N1814" s="24"/>
      <c r="O1814" s="35" t="str">
        <f aca="false">IF($C1814="","",IF($D1814="","★没选客户项目",IF(COUNTIF(合同键,$D1814)=0,"★《维保合同》里没这个项目",IF(N($G1814)&lt;=0,"★收款金额要填",IF($H1814="","★票据类型要选",IF(AND($L1814&lt;&gt;"",COUNTIF(应收单号,$L1814)=0),"★关联的应收单号不存在",IF(AND($L1814&lt;&gt;"",IFERROR(INDEX(应收键,MATCH($L1814,应收单号,0)),"")&lt;&gt;$D1814),"★关联单号不是这个客户的",IF(AND($L1814&lt;&gt;"",ROUND(SUMIF(收款关联,$L1814,收款金额)-IFERROR(INDEX(应收金额,MATCH($L1814,应收单号,0)),0),2)&gt;0.001),"★指定冲销超过那张单的应收","OK"))))))))</f>
        <v/>
      </c>
    </row>
    <row r="1815" customFormat="false" ht="15" hidden="false" customHeight="false" outlineLevel="0" collapsed="false">
      <c r="A1815" s="29" t="str">
        <f aca="false">IF($C1815="","",ROW()-4)</f>
        <v/>
      </c>
      <c r="B1815" s="35" t="str">
        <f aca="false">IF($C1815="","","SK"&amp;TEXT($C1815,"yyyymm")&amp;"-"&amp;TEXT(ROW()-4,"0000"))</f>
        <v/>
      </c>
      <c r="C1815" s="33"/>
      <c r="D1815" s="24"/>
      <c r="E1815" s="30" t="str">
        <f aca="false">IF($D1815="","",IFERROR(INDEX(合同单位,MATCH($D1815,合同键,0)),IFERROR(TRIM(LEFT($D1815,FIND("｜",$D1815)-1)),$D1815)))</f>
        <v/>
      </c>
      <c r="F1815" s="30" t="str">
        <f aca="false">IF($D1815="","",IFERROR(INDEX(合同项目,MATCH($D1815,合同键,0)),IFERROR(TRIM(MID($D1815,FIND("｜",$D1815)+1,99)),"")))</f>
        <v/>
      </c>
      <c r="G1815" s="39"/>
      <c r="H1815" s="25"/>
      <c r="I1815" s="35" t="str">
        <f aca="false">IF($H1815="","",IFERROR(INDEX(票据归类表,MATCH($H1815,票据类型表,0)),"现金无票"))</f>
        <v/>
      </c>
      <c r="J1815" s="25"/>
      <c r="K1815" s="25"/>
      <c r="L1815" s="31"/>
      <c r="M1815" s="29" t="str">
        <f aca="false">IF($C1815="","",YEAR($C1815))</f>
        <v/>
      </c>
      <c r="N1815" s="24"/>
      <c r="O1815" s="35" t="str">
        <f aca="false">IF($C1815="","",IF($D1815="","★没选客户项目",IF(COUNTIF(合同键,$D1815)=0,"★《维保合同》里没这个项目",IF(N($G1815)&lt;=0,"★收款金额要填",IF($H1815="","★票据类型要选",IF(AND($L1815&lt;&gt;"",COUNTIF(应收单号,$L1815)=0),"★关联的应收单号不存在",IF(AND($L1815&lt;&gt;"",IFERROR(INDEX(应收键,MATCH($L1815,应收单号,0)),"")&lt;&gt;$D1815),"★关联单号不是这个客户的",IF(AND($L1815&lt;&gt;"",ROUND(SUMIF(收款关联,$L1815,收款金额)-IFERROR(INDEX(应收金额,MATCH($L1815,应收单号,0)),0),2)&gt;0.001),"★指定冲销超过那张单的应收","OK"))))))))</f>
        <v/>
      </c>
    </row>
    <row r="1816" customFormat="false" ht="15" hidden="false" customHeight="false" outlineLevel="0" collapsed="false">
      <c r="A1816" s="29" t="str">
        <f aca="false">IF($C1816="","",ROW()-4)</f>
        <v/>
      </c>
      <c r="B1816" s="35" t="str">
        <f aca="false">IF($C1816="","","SK"&amp;TEXT($C1816,"yyyymm")&amp;"-"&amp;TEXT(ROW()-4,"0000"))</f>
        <v/>
      </c>
      <c r="C1816" s="33"/>
      <c r="D1816" s="24"/>
      <c r="E1816" s="30" t="str">
        <f aca="false">IF($D1816="","",IFERROR(INDEX(合同单位,MATCH($D1816,合同键,0)),IFERROR(TRIM(LEFT($D1816,FIND("｜",$D1816)-1)),$D1816)))</f>
        <v/>
      </c>
      <c r="F1816" s="30" t="str">
        <f aca="false">IF($D1816="","",IFERROR(INDEX(合同项目,MATCH($D1816,合同键,0)),IFERROR(TRIM(MID($D1816,FIND("｜",$D1816)+1,99)),"")))</f>
        <v/>
      </c>
      <c r="G1816" s="39"/>
      <c r="H1816" s="25"/>
      <c r="I1816" s="35" t="str">
        <f aca="false">IF($H1816="","",IFERROR(INDEX(票据归类表,MATCH($H1816,票据类型表,0)),"现金无票"))</f>
        <v/>
      </c>
      <c r="J1816" s="25"/>
      <c r="K1816" s="25"/>
      <c r="L1816" s="31"/>
      <c r="M1816" s="29" t="str">
        <f aca="false">IF($C1816="","",YEAR($C1816))</f>
        <v/>
      </c>
      <c r="N1816" s="24"/>
      <c r="O1816" s="35" t="str">
        <f aca="false">IF($C1816="","",IF($D1816="","★没选客户项目",IF(COUNTIF(合同键,$D1816)=0,"★《维保合同》里没这个项目",IF(N($G1816)&lt;=0,"★收款金额要填",IF($H1816="","★票据类型要选",IF(AND($L1816&lt;&gt;"",COUNTIF(应收单号,$L1816)=0),"★关联的应收单号不存在",IF(AND($L1816&lt;&gt;"",IFERROR(INDEX(应收键,MATCH($L1816,应收单号,0)),"")&lt;&gt;$D1816),"★关联单号不是这个客户的",IF(AND($L1816&lt;&gt;"",ROUND(SUMIF(收款关联,$L1816,收款金额)-IFERROR(INDEX(应收金额,MATCH($L1816,应收单号,0)),0),2)&gt;0.001),"★指定冲销超过那张单的应收","OK"))))))))</f>
        <v/>
      </c>
    </row>
    <row r="1817" customFormat="false" ht="15" hidden="false" customHeight="false" outlineLevel="0" collapsed="false">
      <c r="A1817" s="29" t="str">
        <f aca="false">IF($C1817="","",ROW()-4)</f>
        <v/>
      </c>
      <c r="B1817" s="35" t="str">
        <f aca="false">IF($C1817="","","SK"&amp;TEXT($C1817,"yyyymm")&amp;"-"&amp;TEXT(ROW()-4,"0000"))</f>
        <v/>
      </c>
      <c r="C1817" s="33"/>
      <c r="D1817" s="24"/>
      <c r="E1817" s="30" t="str">
        <f aca="false">IF($D1817="","",IFERROR(INDEX(合同单位,MATCH($D1817,合同键,0)),IFERROR(TRIM(LEFT($D1817,FIND("｜",$D1817)-1)),$D1817)))</f>
        <v/>
      </c>
      <c r="F1817" s="30" t="str">
        <f aca="false">IF($D1817="","",IFERROR(INDEX(合同项目,MATCH($D1817,合同键,0)),IFERROR(TRIM(MID($D1817,FIND("｜",$D1817)+1,99)),"")))</f>
        <v/>
      </c>
      <c r="G1817" s="39"/>
      <c r="H1817" s="25"/>
      <c r="I1817" s="35" t="str">
        <f aca="false">IF($H1817="","",IFERROR(INDEX(票据归类表,MATCH($H1817,票据类型表,0)),"现金无票"))</f>
        <v/>
      </c>
      <c r="J1817" s="25"/>
      <c r="K1817" s="25"/>
      <c r="L1817" s="31"/>
      <c r="M1817" s="29" t="str">
        <f aca="false">IF($C1817="","",YEAR($C1817))</f>
        <v/>
      </c>
      <c r="N1817" s="24"/>
      <c r="O1817" s="35" t="str">
        <f aca="false">IF($C1817="","",IF($D1817="","★没选客户项目",IF(COUNTIF(合同键,$D1817)=0,"★《维保合同》里没这个项目",IF(N($G1817)&lt;=0,"★收款金额要填",IF($H1817="","★票据类型要选",IF(AND($L1817&lt;&gt;"",COUNTIF(应收单号,$L1817)=0),"★关联的应收单号不存在",IF(AND($L1817&lt;&gt;"",IFERROR(INDEX(应收键,MATCH($L1817,应收单号,0)),"")&lt;&gt;$D1817),"★关联单号不是这个客户的",IF(AND($L1817&lt;&gt;"",ROUND(SUMIF(收款关联,$L1817,收款金额)-IFERROR(INDEX(应收金额,MATCH($L1817,应收单号,0)),0),2)&gt;0.001),"★指定冲销超过那张单的应收","OK"))))))))</f>
        <v/>
      </c>
    </row>
    <row r="1818" customFormat="false" ht="15" hidden="false" customHeight="false" outlineLevel="0" collapsed="false">
      <c r="A1818" s="29" t="str">
        <f aca="false">IF($C1818="","",ROW()-4)</f>
        <v/>
      </c>
      <c r="B1818" s="35" t="str">
        <f aca="false">IF($C1818="","","SK"&amp;TEXT($C1818,"yyyymm")&amp;"-"&amp;TEXT(ROW()-4,"0000"))</f>
        <v/>
      </c>
      <c r="C1818" s="33"/>
      <c r="D1818" s="24"/>
      <c r="E1818" s="30" t="str">
        <f aca="false">IF($D1818="","",IFERROR(INDEX(合同单位,MATCH($D1818,合同键,0)),IFERROR(TRIM(LEFT($D1818,FIND("｜",$D1818)-1)),$D1818)))</f>
        <v/>
      </c>
      <c r="F1818" s="30" t="str">
        <f aca="false">IF($D1818="","",IFERROR(INDEX(合同项目,MATCH($D1818,合同键,0)),IFERROR(TRIM(MID($D1818,FIND("｜",$D1818)+1,99)),"")))</f>
        <v/>
      </c>
      <c r="G1818" s="39"/>
      <c r="H1818" s="25"/>
      <c r="I1818" s="35" t="str">
        <f aca="false">IF($H1818="","",IFERROR(INDEX(票据归类表,MATCH($H1818,票据类型表,0)),"现金无票"))</f>
        <v/>
      </c>
      <c r="J1818" s="25"/>
      <c r="K1818" s="25"/>
      <c r="L1818" s="31"/>
      <c r="M1818" s="29" t="str">
        <f aca="false">IF($C1818="","",YEAR($C1818))</f>
        <v/>
      </c>
      <c r="N1818" s="24"/>
      <c r="O1818" s="35" t="str">
        <f aca="false">IF($C1818="","",IF($D1818="","★没选客户项目",IF(COUNTIF(合同键,$D1818)=0,"★《维保合同》里没这个项目",IF(N($G1818)&lt;=0,"★收款金额要填",IF($H1818="","★票据类型要选",IF(AND($L1818&lt;&gt;"",COUNTIF(应收单号,$L1818)=0),"★关联的应收单号不存在",IF(AND($L1818&lt;&gt;"",IFERROR(INDEX(应收键,MATCH($L1818,应收单号,0)),"")&lt;&gt;$D1818),"★关联单号不是这个客户的",IF(AND($L1818&lt;&gt;"",ROUND(SUMIF(收款关联,$L1818,收款金额)-IFERROR(INDEX(应收金额,MATCH($L1818,应收单号,0)),0),2)&gt;0.001),"★指定冲销超过那张单的应收","OK"))))))))</f>
        <v/>
      </c>
    </row>
    <row r="1819" customFormat="false" ht="15" hidden="false" customHeight="false" outlineLevel="0" collapsed="false">
      <c r="A1819" s="29" t="str">
        <f aca="false">IF($C1819="","",ROW()-4)</f>
        <v/>
      </c>
      <c r="B1819" s="35" t="str">
        <f aca="false">IF($C1819="","","SK"&amp;TEXT($C1819,"yyyymm")&amp;"-"&amp;TEXT(ROW()-4,"0000"))</f>
        <v/>
      </c>
      <c r="C1819" s="33"/>
      <c r="D1819" s="24"/>
      <c r="E1819" s="30" t="str">
        <f aca="false">IF($D1819="","",IFERROR(INDEX(合同单位,MATCH($D1819,合同键,0)),IFERROR(TRIM(LEFT($D1819,FIND("｜",$D1819)-1)),$D1819)))</f>
        <v/>
      </c>
      <c r="F1819" s="30" t="str">
        <f aca="false">IF($D1819="","",IFERROR(INDEX(合同项目,MATCH($D1819,合同键,0)),IFERROR(TRIM(MID($D1819,FIND("｜",$D1819)+1,99)),"")))</f>
        <v/>
      </c>
      <c r="G1819" s="39"/>
      <c r="H1819" s="25"/>
      <c r="I1819" s="35" t="str">
        <f aca="false">IF($H1819="","",IFERROR(INDEX(票据归类表,MATCH($H1819,票据类型表,0)),"现金无票"))</f>
        <v/>
      </c>
      <c r="J1819" s="25"/>
      <c r="K1819" s="25"/>
      <c r="L1819" s="31"/>
      <c r="M1819" s="29" t="str">
        <f aca="false">IF($C1819="","",YEAR($C1819))</f>
        <v/>
      </c>
      <c r="N1819" s="24"/>
      <c r="O1819" s="35" t="str">
        <f aca="false">IF($C1819="","",IF($D1819="","★没选客户项目",IF(COUNTIF(合同键,$D1819)=0,"★《维保合同》里没这个项目",IF(N($G1819)&lt;=0,"★收款金额要填",IF($H1819="","★票据类型要选",IF(AND($L1819&lt;&gt;"",COUNTIF(应收单号,$L1819)=0),"★关联的应收单号不存在",IF(AND($L1819&lt;&gt;"",IFERROR(INDEX(应收键,MATCH($L1819,应收单号,0)),"")&lt;&gt;$D1819),"★关联单号不是这个客户的",IF(AND($L1819&lt;&gt;"",ROUND(SUMIF(收款关联,$L1819,收款金额)-IFERROR(INDEX(应收金额,MATCH($L1819,应收单号,0)),0),2)&gt;0.001),"★指定冲销超过那张单的应收","OK"))))))))</f>
        <v/>
      </c>
    </row>
    <row r="1820" customFormat="false" ht="15" hidden="false" customHeight="false" outlineLevel="0" collapsed="false">
      <c r="A1820" s="29" t="str">
        <f aca="false">IF($C1820="","",ROW()-4)</f>
        <v/>
      </c>
      <c r="B1820" s="35" t="str">
        <f aca="false">IF($C1820="","","SK"&amp;TEXT($C1820,"yyyymm")&amp;"-"&amp;TEXT(ROW()-4,"0000"))</f>
        <v/>
      </c>
      <c r="C1820" s="33"/>
      <c r="D1820" s="24"/>
      <c r="E1820" s="30" t="str">
        <f aca="false">IF($D1820="","",IFERROR(INDEX(合同单位,MATCH($D1820,合同键,0)),IFERROR(TRIM(LEFT($D1820,FIND("｜",$D1820)-1)),$D1820)))</f>
        <v/>
      </c>
      <c r="F1820" s="30" t="str">
        <f aca="false">IF($D1820="","",IFERROR(INDEX(合同项目,MATCH($D1820,合同键,0)),IFERROR(TRIM(MID($D1820,FIND("｜",$D1820)+1,99)),"")))</f>
        <v/>
      </c>
      <c r="G1820" s="39"/>
      <c r="H1820" s="25"/>
      <c r="I1820" s="35" t="str">
        <f aca="false">IF($H1820="","",IFERROR(INDEX(票据归类表,MATCH($H1820,票据类型表,0)),"现金无票"))</f>
        <v/>
      </c>
      <c r="J1820" s="25"/>
      <c r="K1820" s="25"/>
      <c r="L1820" s="31"/>
      <c r="M1820" s="29" t="str">
        <f aca="false">IF($C1820="","",YEAR($C1820))</f>
        <v/>
      </c>
      <c r="N1820" s="24"/>
      <c r="O1820" s="35" t="str">
        <f aca="false">IF($C1820="","",IF($D1820="","★没选客户项目",IF(COUNTIF(合同键,$D1820)=0,"★《维保合同》里没这个项目",IF(N($G1820)&lt;=0,"★收款金额要填",IF($H1820="","★票据类型要选",IF(AND($L1820&lt;&gt;"",COUNTIF(应收单号,$L1820)=0),"★关联的应收单号不存在",IF(AND($L1820&lt;&gt;"",IFERROR(INDEX(应收键,MATCH($L1820,应收单号,0)),"")&lt;&gt;$D1820),"★关联单号不是这个客户的",IF(AND($L1820&lt;&gt;"",ROUND(SUMIF(收款关联,$L1820,收款金额)-IFERROR(INDEX(应收金额,MATCH($L1820,应收单号,0)),0),2)&gt;0.001),"★指定冲销超过那张单的应收","OK"))))))))</f>
        <v/>
      </c>
    </row>
    <row r="1821" customFormat="false" ht="15" hidden="false" customHeight="false" outlineLevel="0" collapsed="false">
      <c r="A1821" s="29" t="str">
        <f aca="false">IF($C1821="","",ROW()-4)</f>
        <v/>
      </c>
      <c r="B1821" s="35" t="str">
        <f aca="false">IF($C1821="","","SK"&amp;TEXT($C1821,"yyyymm")&amp;"-"&amp;TEXT(ROW()-4,"0000"))</f>
        <v/>
      </c>
      <c r="C1821" s="33"/>
      <c r="D1821" s="24"/>
      <c r="E1821" s="30" t="str">
        <f aca="false">IF($D1821="","",IFERROR(INDEX(合同单位,MATCH($D1821,合同键,0)),IFERROR(TRIM(LEFT($D1821,FIND("｜",$D1821)-1)),$D1821)))</f>
        <v/>
      </c>
      <c r="F1821" s="30" t="str">
        <f aca="false">IF($D1821="","",IFERROR(INDEX(合同项目,MATCH($D1821,合同键,0)),IFERROR(TRIM(MID($D1821,FIND("｜",$D1821)+1,99)),"")))</f>
        <v/>
      </c>
      <c r="G1821" s="39"/>
      <c r="H1821" s="25"/>
      <c r="I1821" s="35" t="str">
        <f aca="false">IF($H1821="","",IFERROR(INDEX(票据归类表,MATCH($H1821,票据类型表,0)),"现金无票"))</f>
        <v/>
      </c>
      <c r="J1821" s="25"/>
      <c r="K1821" s="25"/>
      <c r="L1821" s="31"/>
      <c r="M1821" s="29" t="str">
        <f aca="false">IF($C1821="","",YEAR($C1821))</f>
        <v/>
      </c>
      <c r="N1821" s="24"/>
      <c r="O1821" s="35" t="str">
        <f aca="false">IF($C1821="","",IF($D1821="","★没选客户项目",IF(COUNTIF(合同键,$D1821)=0,"★《维保合同》里没这个项目",IF(N($G1821)&lt;=0,"★收款金额要填",IF($H1821="","★票据类型要选",IF(AND($L1821&lt;&gt;"",COUNTIF(应收单号,$L1821)=0),"★关联的应收单号不存在",IF(AND($L1821&lt;&gt;"",IFERROR(INDEX(应收键,MATCH($L1821,应收单号,0)),"")&lt;&gt;$D1821),"★关联单号不是这个客户的",IF(AND($L1821&lt;&gt;"",ROUND(SUMIF(收款关联,$L1821,收款金额)-IFERROR(INDEX(应收金额,MATCH($L1821,应收单号,0)),0),2)&gt;0.001),"★指定冲销超过那张单的应收","OK"))))))))</f>
        <v/>
      </c>
    </row>
    <row r="1822" customFormat="false" ht="15" hidden="false" customHeight="false" outlineLevel="0" collapsed="false">
      <c r="A1822" s="29" t="str">
        <f aca="false">IF($C1822="","",ROW()-4)</f>
        <v/>
      </c>
      <c r="B1822" s="35" t="str">
        <f aca="false">IF($C1822="","","SK"&amp;TEXT($C1822,"yyyymm")&amp;"-"&amp;TEXT(ROW()-4,"0000"))</f>
        <v/>
      </c>
      <c r="C1822" s="33"/>
      <c r="D1822" s="24"/>
      <c r="E1822" s="30" t="str">
        <f aca="false">IF($D1822="","",IFERROR(INDEX(合同单位,MATCH($D1822,合同键,0)),IFERROR(TRIM(LEFT($D1822,FIND("｜",$D1822)-1)),$D1822)))</f>
        <v/>
      </c>
      <c r="F1822" s="30" t="str">
        <f aca="false">IF($D1822="","",IFERROR(INDEX(合同项目,MATCH($D1822,合同键,0)),IFERROR(TRIM(MID($D1822,FIND("｜",$D1822)+1,99)),"")))</f>
        <v/>
      </c>
      <c r="G1822" s="39"/>
      <c r="H1822" s="25"/>
      <c r="I1822" s="35" t="str">
        <f aca="false">IF($H1822="","",IFERROR(INDEX(票据归类表,MATCH($H1822,票据类型表,0)),"现金无票"))</f>
        <v/>
      </c>
      <c r="J1822" s="25"/>
      <c r="K1822" s="25"/>
      <c r="L1822" s="31"/>
      <c r="M1822" s="29" t="str">
        <f aca="false">IF($C1822="","",YEAR($C1822))</f>
        <v/>
      </c>
      <c r="N1822" s="24"/>
      <c r="O1822" s="35" t="str">
        <f aca="false">IF($C1822="","",IF($D1822="","★没选客户项目",IF(COUNTIF(合同键,$D1822)=0,"★《维保合同》里没这个项目",IF(N($G1822)&lt;=0,"★收款金额要填",IF($H1822="","★票据类型要选",IF(AND($L1822&lt;&gt;"",COUNTIF(应收单号,$L1822)=0),"★关联的应收单号不存在",IF(AND($L1822&lt;&gt;"",IFERROR(INDEX(应收键,MATCH($L1822,应收单号,0)),"")&lt;&gt;$D1822),"★关联单号不是这个客户的",IF(AND($L1822&lt;&gt;"",ROUND(SUMIF(收款关联,$L1822,收款金额)-IFERROR(INDEX(应收金额,MATCH($L1822,应收单号,0)),0),2)&gt;0.001),"★指定冲销超过那张单的应收","OK"))))))))</f>
        <v/>
      </c>
    </row>
    <row r="1823" customFormat="false" ht="15" hidden="false" customHeight="false" outlineLevel="0" collapsed="false">
      <c r="A1823" s="29" t="str">
        <f aca="false">IF($C1823="","",ROW()-4)</f>
        <v/>
      </c>
      <c r="B1823" s="35" t="str">
        <f aca="false">IF($C1823="","","SK"&amp;TEXT($C1823,"yyyymm")&amp;"-"&amp;TEXT(ROW()-4,"0000"))</f>
        <v/>
      </c>
      <c r="C1823" s="33"/>
      <c r="D1823" s="24"/>
      <c r="E1823" s="30" t="str">
        <f aca="false">IF($D1823="","",IFERROR(INDEX(合同单位,MATCH($D1823,合同键,0)),IFERROR(TRIM(LEFT($D1823,FIND("｜",$D1823)-1)),$D1823)))</f>
        <v/>
      </c>
      <c r="F1823" s="30" t="str">
        <f aca="false">IF($D1823="","",IFERROR(INDEX(合同项目,MATCH($D1823,合同键,0)),IFERROR(TRIM(MID($D1823,FIND("｜",$D1823)+1,99)),"")))</f>
        <v/>
      </c>
      <c r="G1823" s="39"/>
      <c r="H1823" s="25"/>
      <c r="I1823" s="35" t="str">
        <f aca="false">IF($H1823="","",IFERROR(INDEX(票据归类表,MATCH($H1823,票据类型表,0)),"现金无票"))</f>
        <v/>
      </c>
      <c r="J1823" s="25"/>
      <c r="K1823" s="25"/>
      <c r="L1823" s="31"/>
      <c r="M1823" s="29" t="str">
        <f aca="false">IF($C1823="","",YEAR($C1823))</f>
        <v/>
      </c>
      <c r="N1823" s="24"/>
      <c r="O1823" s="35" t="str">
        <f aca="false">IF($C1823="","",IF($D1823="","★没选客户项目",IF(COUNTIF(合同键,$D1823)=0,"★《维保合同》里没这个项目",IF(N($G1823)&lt;=0,"★收款金额要填",IF($H1823="","★票据类型要选",IF(AND($L1823&lt;&gt;"",COUNTIF(应收单号,$L1823)=0),"★关联的应收单号不存在",IF(AND($L1823&lt;&gt;"",IFERROR(INDEX(应收键,MATCH($L1823,应收单号,0)),"")&lt;&gt;$D1823),"★关联单号不是这个客户的",IF(AND($L1823&lt;&gt;"",ROUND(SUMIF(收款关联,$L1823,收款金额)-IFERROR(INDEX(应收金额,MATCH($L1823,应收单号,0)),0),2)&gt;0.001),"★指定冲销超过那张单的应收","OK"))))))))</f>
        <v/>
      </c>
    </row>
    <row r="1824" customFormat="false" ht="15" hidden="false" customHeight="false" outlineLevel="0" collapsed="false">
      <c r="A1824" s="29" t="str">
        <f aca="false">IF($C1824="","",ROW()-4)</f>
        <v/>
      </c>
      <c r="B1824" s="35" t="str">
        <f aca="false">IF($C1824="","","SK"&amp;TEXT($C1824,"yyyymm")&amp;"-"&amp;TEXT(ROW()-4,"0000"))</f>
        <v/>
      </c>
      <c r="C1824" s="33"/>
      <c r="D1824" s="24"/>
      <c r="E1824" s="30" t="str">
        <f aca="false">IF($D1824="","",IFERROR(INDEX(合同单位,MATCH($D1824,合同键,0)),IFERROR(TRIM(LEFT($D1824,FIND("｜",$D1824)-1)),$D1824)))</f>
        <v/>
      </c>
      <c r="F1824" s="30" t="str">
        <f aca="false">IF($D1824="","",IFERROR(INDEX(合同项目,MATCH($D1824,合同键,0)),IFERROR(TRIM(MID($D1824,FIND("｜",$D1824)+1,99)),"")))</f>
        <v/>
      </c>
      <c r="G1824" s="39"/>
      <c r="H1824" s="25"/>
      <c r="I1824" s="35" t="str">
        <f aca="false">IF($H1824="","",IFERROR(INDEX(票据归类表,MATCH($H1824,票据类型表,0)),"现金无票"))</f>
        <v/>
      </c>
      <c r="J1824" s="25"/>
      <c r="K1824" s="25"/>
      <c r="L1824" s="31"/>
      <c r="M1824" s="29" t="str">
        <f aca="false">IF($C1824="","",YEAR($C1824))</f>
        <v/>
      </c>
      <c r="N1824" s="24"/>
      <c r="O1824" s="35" t="str">
        <f aca="false">IF($C1824="","",IF($D1824="","★没选客户项目",IF(COUNTIF(合同键,$D1824)=0,"★《维保合同》里没这个项目",IF(N($G1824)&lt;=0,"★收款金额要填",IF($H1824="","★票据类型要选",IF(AND($L1824&lt;&gt;"",COUNTIF(应收单号,$L1824)=0),"★关联的应收单号不存在",IF(AND($L1824&lt;&gt;"",IFERROR(INDEX(应收键,MATCH($L1824,应收单号,0)),"")&lt;&gt;$D1824),"★关联单号不是这个客户的",IF(AND($L1824&lt;&gt;"",ROUND(SUMIF(收款关联,$L1824,收款金额)-IFERROR(INDEX(应收金额,MATCH($L1824,应收单号,0)),0),2)&gt;0.001),"★指定冲销超过那张单的应收","OK"))))))))</f>
        <v/>
      </c>
    </row>
    <row r="1825" customFormat="false" ht="15" hidden="false" customHeight="false" outlineLevel="0" collapsed="false">
      <c r="A1825" s="29" t="str">
        <f aca="false">IF($C1825="","",ROW()-4)</f>
        <v/>
      </c>
      <c r="B1825" s="35" t="str">
        <f aca="false">IF($C1825="","","SK"&amp;TEXT($C1825,"yyyymm")&amp;"-"&amp;TEXT(ROW()-4,"0000"))</f>
        <v/>
      </c>
      <c r="C1825" s="33"/>
      <c r="D1825" s="24"/>
      <c r="E1825" s="30" t="str">
        <f aca="false">IF($D1825="","",IFERROR(INDEX(合同单位,MATCH($D1825,合同键,0)),IFERROR(TRIM(LEFT($D1825,FIND("｜",$D1825)-1)),$D1825)))</f>
        <v/>
      </c>
      <c r="F1825" s="30" t="str">
        <f aca="false">IF($D1825="","",IFERROR(INDEX(合同项目,MATCH($D1825,合同键,0)),IFERROR(TRIM(MID($D1825,FIND("｜",$D1825)+1,99)),"")))</f>
        <v/>
      </c>
      <c r="G1825" s="39"/>
      <c r="H1825" s="25"/>
      <c r="I1825" s="35" t="str">
        <f aca="false">IF($H1825="","",IFERROR(INDEX(票据归类表,MATCH($H1825,票据类型表,0)),"现金无票"))</f>
        <v/>
      </c>
      <c r="J1825" s="25"/>
      <c r="K1825" s="25"/>
      <c r="L1825" s="31"/>
      <c r="M1825" s="29" t="str">
        <f aca="false">IF($C1825="","",YEAR($C1825))</f>
        <v/>
      </c>
      <c r="N1825" s="24"/>
      <c r="O1825" s="35" t="str">
        <f aca="false">IF($C1825="","",IF($D1825="","★没选客户项目",IF(COUNTIF(合同键,$D1825)=0,"★《维保合同》里没这个项目",IF(N($G1825)&lt;=0,"★收款金额要填",IF($H1825="","★票据类型要选",IF(AND($L1825&lt;&gt;"",COUNTIF(应收单号,$L1825)=0),"★关联的应收单号不存在",IF(AND($L1825&lt;&gt;"",IFERROR(INDEX(应收键,MATCH($L1825,应收单号,0)),"")&lt;&gt;$D1825),"★关联单号不是这个客户的",IF(AND($L1825&lt;&gt;"",ROUND(SUMIF(收款关联,$L1825,收款金额)-IFERROR(INDEX(应收金额,MATCH($L1825,应收单号,0)),0),2)&gt;0.001),"★指定冲销超过那张单的应收","OK"))))))))</f>
        <v/>
      </c>
    </row>
    <row r="1826" customFormat="false" ht="15" hidden="false" customHeight="false" outlineLevel="0" collapsed="false">
      <c r="A1826" s="29" t="str">
        <f aca="false">IF($C1826="","",ROW()-4)</f>
        <v/>
      </c>
      <c r="B1826" s="35" t="str">
        <f aca="false">IF($C1826="","","SK"&amp;TEXT($C1826,"yyyymm")&amp;"-"&amp;TEXT(ROW()-4,"0000"))</f>
        <v/>
      </c>
      <c r="C1826" s="33"/>
      <c r="D1826" s="24"/>
      <c r="E1826" s="30" t="str">
        <f aca="false">IF($D1826="","",IFERROR(INDEX(合同单位,MATCH($D1826,合同键,0)),IFERROR(TRIM(LEFT($D1826,FIND("｜",$D1826)-1)),$D1826)))</f>
        <v/>
      </c>
      <c r="F1826" s="30" t="str">
        <f aca="false">IF($D1826="","",IFERROR(INDEX(合同项目,MATCH($D1826,合同键,0)),IFERROR(TRIM(MID($D1826,FIND("｜",$D1826)+1,99)),"")))</f>
        <v/>
      </c>
      <c r="G1826" s="39"/>
      <c r="H1826" s="25"/>
      <c r="I1826" s="35" t="str">
        <f aca="false">IF($H1826="","",IFERROR(INDEX(票据归类表,MATCH($H1826,票据类型表,0)),"现金无票"))</f>
        <v/>
      </c>
      <c r="J1826" s="25"/>
      <c r="K1826" s="25"/>
      <c r="L1826" s="31"/>
      <c r="M1826" s="29" t="str">
        <f aca="false">IF($C1826="","",YEAR($C1826))</f>
        <v/>
      </c>
      <c r="N1826" s="24"/>
      <c r="O1826" s="35" t="str">
        <f aca="false">IF($C1826="","",IF($D1826="","★没选客户项目",IF(COUNTIF(合同键,$D1826)=0,"★《维保合同》里没这个项目",IF(N($G1826)&lt;=0,"★收款金额要填",IF($H1826="","★票据类型要选",IF(AND($L1826&lt;&gt;"",COUNTIF(应收单号,$L1826)=0),"★关联的应收单号不存在",IF(AND($L1826&lt;&gt;"",IFERROR(INDEX(应收键,MATCH($L1826,应收单号,0)),"")&lt;&gt;$D1826),"★关联单号不是这个客户的",IF(AND($L1826&lt;&gt;"",ROUND(SUMIF(收款关联,$L1826,收款金额)-IFERROR(INDEX(应收金额,MATCH($L1826,应收单号,0)),0),2)&gt;0.001),"★指定冲销超过那张单的应收","OK"))))))))</f>
        <v/>
      </c>
    </row>
    <row r="1827" customFormat="false" ht="15" hidden="false" customHeight="false" outlineLevel="0" collapsed="false">
      <c r="A1827" s="29" t="str">
        <f aca="false">IF($C1827="","",ROW()-4)</f>
        <v/>
      </c>
      <c r="B1827" s="35" t="str">
        <f aca="false">IF($C1827="","","SK"&amp;TEXT($C1827,"yyyymm")&amp;"-"&amp;TEXT(ROW()-4,"0000"))</f>
        <v/>
      </c>
      <c r="C1827" s="33"/>
      <c r="D1827" s="24"/>
      <c r="E1827" s="30" t="str">
        <f aca="false">IF($D1827="","",IFERROR(INDEX(合同单位,MATCH($D1827,合同键,0)),IFERROR(TRIM(LEFT($D1827,FIND("｜",$D1827)-1)),$D1827)))</f>
        <v/>
      </c>
      <c r="F1827" s="30" t="str">
        <f aca="false">IF($D1827="","",IFERROR(INDEX(合同项目,MATCH($D1827,合同键,0)),IFERROR(TRIM(MID($D1827,FIND("｜",$D1827)+1,99)),"")))</f>
        <v/>
      </c>
      <c r="G1827" s="39"/>
      <c r="H1827" s="25"/>
      <c r="I1827" s="35" t="str">
        <f aca="false">IF($H1827="","",IFERROR(INDEX(票据归类表,MATCH($H1827,票据类型表,0)),"现金无票"))</f>
        <v/>
      </c>
      <c r="J1827" s="25"/>
      <c r="K1827" s="25"/>
      <c r="L1827" s="31"/>
      <c r="M1827" s="29" t="str">
        <f aca="false">IF($C1827="","",YEAR($C1827))</f>
        <v/>
      </c>
      <c r="N1827" s="24"/>
      <c r="O1827" s="35" t="str">
        <f aca="false">IF($C1827="","",IF($D1827="","★没选客户项目",IF(COUNTIF(合同键,$D1827)=0,"★《维保合同》里没这个项目",IF(N($G1827)&lt;=0,"★收款金额要填",IF($H1827="","★票据类型要选",IF(AND($L1827&lt;&gt;"",COUNTIF(应收单号,$L1827)=0),"★关联的应收单号不存在",IF(AND($L1827&lt;&gt;"",IFERROR(INDEX(应收键,MATCH($L1827,应收单号,0)),"")&lt;&gt;$D1827),"★关联单号不是这个客户的",IF(AND($L1827&lt;&gt;"",ROUND(SUMIF(收款关联,$L1827,收款金额)-IFERROR(INDEX(应收金额,MATCH($L1827,应收单号,0)),0),2)&gt;0.001),"★指定冲销超过那张单的应收","OK"))))))))</f>
        <v/>
      </c>
    </row>
    <row r="1828" customFormat="false" ht="15" hidden="false" customHeight="false" outlineLevel="0" collapsed="false">
      <c r="A1828" s="29" t="str">
        <f aca="false">IF($C1828="","",ROW()-4)</f>
        <v/>
      </c>
      <c r="B1828" s="35" t="str">
        <f aca="false">IF($C1828="","","SK"&amp;TEXT($C1828,"yyyymm")&amp;"-"&amp;TEXT(ROW()-4,"0000"))</f>
        <v/>
      </c>
      <c r="C1828" s="33"/>
      <c r="D1828" s="24"/>
      <c r="E1828" s="30" t="str">
        <f aca="false">IF($D1828="","",IFERROR(INDEX(合同单位,MATCH($D1828,合同键,0)),IFERROR(TRIM(LEFT($D1828,FIND("｜",$D1828)-1)),$D1828)))</f>
        <v/>
      </c>
      <c r="F1828" s="30" t="str">
        <f aca="false">IF($D1828="","",IFERROR(INDEX(合同项目,MATCH($D1828,合同键,0)),IFERROR(TRIM(MID($D1828,FIND("｜",$D1828)+1,99)),"")))</f>
        <v/>
      </c>
      <c r="G1828" s="39"/>
      <c r="H1828" s="25"/>
      <c r="I1828" s="35" t="str">
        <f aca="false">IF($H1828="","",IFERROR(INDEX(票据归类表,MATCH($H1828,票据类型表,0)),"现金无票"))</f>
        <v/>
      </c>
      <c r="J1828" s="25"/>
      <c r="K1828" s="25"/>
      <c r="L1828" s="31"/>
      <c r="M1828" s="29" t="str">
        <f aca="false">IF($C1828="","",YEAR($C1828))</f>
        <v/>
      </c>
      <c r="N1828" s="24"/>
      <c r="O1828" s="35" t="str">
        <f aca="false">IF($C1828="","",IF($D1828="","★没选客户项目",IF(COUNTIF(合同键,$D1828)=0,"★《维保合同》里没这个项目",IF(N($G1828)&lt;=0,"★收款金额要填",IF($H1828="","★票据类型要选",IF(AND($L1828&lt;&gt;"",COUNTIF(应收单号,$L1828)=0),"★关联的应收单号不存在",IF(AND($L1828&lt;&gt;"",IFERROR(INDEX(应收键,MATCH($L1828,应收单号,0)),"")&lt;&gt;$D1828),"★关联单号不是这个客户的",IF(AND($L1828&lt;&gt;"",ROUND(SUMIF(收款关联,$L1828,收款金额)-IFERROR(INDEX(应收金额,MATCH($L1828,应收单号,0)),0),2)&gt;0.001),"★指定冲销超过那张单的应收","OK"))))))))</f>
        <v/>
      </c>
    </row>
    <row r="1829" customFormat="false" ht="15" hidden="false" customHeight="false" outlineLevel="0" collapsed="false">
      <c r="A1829" s="29" t="str">
        <f aca="false">IF($C1829="","",ROW()-4)</f>
        <v/>
      </c>
      <c r="B1829" s="35" t="str">
        <f aca="false">IF($C1829="","","SK"&amp;TEXT($C1829,"yyyymm")&amp;"-"&amp;TEXT(ROW()-4,"0000"))</f>
        <v/>
      </c>
      <c r="C1829" s="33"/>
      <c r="D1829" s="24"/>
      <c r="E1829" s="30" t="str">
        <f aca="false">IF($D1829="","",IFERROR(INDEX(合同单位,MATCH($D1829,合同键,0)),IFERROR(TRIM(LEFT($D1829,FIND("｜",$D1829)-1)),$D1829)))</f>
        <v/>
      </c>
      <c r="F1829" s="30" t="str">
        <f aca="false">IF($D1829="","",IFERROR(INDEX(合同项目,MATCH($D1829,合同键,0)),IFERROR(TRIM(MID($D1829,FIND("｜",$D1829)+1,99)),"")))</f>
        <v/>
      </c>
      <c r="G1829" s="39"/>
      <c r="H1829" s="25"/>
      <c r="I1829" s="35" t="str">
        <f aca="false">IF($H1829="","",IFERROR(INDEX(票据归类表,MATCH($H1829,票据类型表,0)),"现金无票"))</f>
        <v/>
      </c>
      <c r="J1829" s="25"/>
      <c r="K1829" s="25"/>
      <c r="L1829" s="31"/>
      <c r="M1829" s="29" t="str">
        <f aca="false">IF($C1829="","",YEAR($C1829))</f>
        <v/>
      </c>
      <c r="N1829" s="24"/>
      <c r="O1829" s="35" t="str">
        <f aca="false">IF($C1829="","",IF($D1829="","★没选客户项目",IF(COUNTIF(合同键,$D1829)=0,"★《维保合同》里没这个项目",IF(N($G1829)&lt;=0,"★收款金额要填",IF($H1829="","★票据类型要选",IF(AND($L1829&lt;&gt;"",COUNTIF(应收单号,$L1829)=0),"★关联的应收单号不存在",IF(AND($L1829&lt;&gt;"",IFERROR(INDEX(应收键,MATCH($L1829,应收单号,0)),"")&lt;&gt;$D1829),"★关联单号不是这个客户的",IF(AND($L1829&lt;&gt;"",ROUND(SUMIF(收款关联,$L1829,收款金额)-IFERROR(INDEX(应收金额,MATCH($L1829,应收单号,0)),0),2)&gt;0.001),"★指定冲销超过那张单的应收","OK"))))))))</f>
        <v/>
      </c>
    </row>
    <row r="1830" customFormat="false" ht="15" hidden="false" customHeight="false" outlineLevel="0" collapsed="false">
      <c r="A1830" s="29" t="str">
        <f aca="false">IF($C1830="","",ROW()-4)</f>
        <v/>
      </c>
      <c r="B1830" s="35" t="str">
        <f aca="false">IF($C1830="","","SK"&amp;TEXT($C1830,"yyyymm")&amp;"-"&amp;TEXT(ROW()-4,"0000"))</f>
        <v/>
      </c>
      <c r="C1830" s="33"/>
      <c r="D1830" s="24"/>
      <c r="E1830" s="30" t="str">
        <f aca="false">IF($D1830="","",IFERROR(INDEX(合同单位,MATCH($D1830,合同键,0)),IFERROR(TRIM(LEFT($D1830,FIND("｜",$D1830)-1)),$D1830)))</f>
        <v/>
      </c>
      <c r="F1830" s="30" t="str">
        <f aca="false">IF($D1830="","",IFERROR(INDEX(合同项目,MATCH($D1830,合同键,0)),IFERROR(TRIM(MID($D1830,FIND("｜",$D1830)+1,99)),"")))</f>
        <v/>
      </c>
      <c r="G1830" s="39"/>
      <c r="H1830" s="25"/>
      <c r="I1830" s="35" t="str">
        <f aca="false">IF($H1830="","",IFERROR(INDEX(票据归类表,MATCH($H1830,票据类型表,0)),"现金无票"))</f>
        <v/>
      </c>
      <c r="J1830" s="25"/>
      <c r="K1830" s="25"/>
      <c r="L1830" s="31"/>
      <c r="M1830" s="29" t="str">
        <f aca="false">IF($C1830="","",YEAR($C1830))</f>
        <v/>
      </c>
      <c r="N1830" s="24"/>
      <c r="O1830" s="35" t="str">
        <f aca="false">IF($C1830="","",IF($D1830="","★没选客户项目",IF(COUNTIF(合同键,$D1830)=0,"★《维保合同》里没这个项目",IF(N($G1830)&lt;=0,"★收款金额要填",IF($H1830="","★票据类型要选",IF(AND($L1830&lt;&gt;"",COUNTIF(应收单号,$L1830)=0),"★关联的应收单号不存在",IF(AND($L1830&lt;&gt;"",IFERROR(INDEX(应收键,MATCH($L1830,应收单号,0)),"")&lt;&gt;$D1830),"★关联单号不是这个客户的",IF(AND($L1830&lt;&gt;"",ROUND(SUMIF(收款关联,$L1830,收款金额)-IFERROR(INDEX(应收金额,MATCH($L1830,应收单号,0)),0),2)&gt;0.001),"★指定冲销超过那张单的应收","OK"))))))))</f>
        <v/>
      </c>
    </row>
    <row r="1831" customFormat="false" ht="15" hidden="false" customHeight="false" outlineLevel="0" collapsed="false">
      <c r="A1831" s="29" t="str">
        <f aca="false">IF($C1831="","",ROW()-4)</f>
        <v/>
      </c>
      <c r="B1831" s="35" t="str">
        <f aca="false">IF($C1831="","","SK"&amp;TEXT($C1831,"yyyymm")&amp;"-"&amp;TEXT(ROW()-4,"0000"))</f>
        <v/>
      </c>
      <c r="C1831" s="33"/>
      <c r="D1831" s="24"/>
      <c r="E1831" s="30" t="str">
        <f aca="false">IF($D1831="","",IFERROR(INDEX(合同单位,MATCH($D1831,合同键,0)),IFERROR(TRIM(LEFT($D1831,FIND("｜",$D1831)-1)),$D1831)))</f>
        <v/>
      </c>
      <c r="F1831" s="30" t="str">
        <f aca="false">IF($D1831="","",IFERROR(INDEX(合同项目,MATCH($D1831,合同键,0)),IFERROR(TRIM(MID($D1831,FIND("｜",$D1831)+1,99)),"")))</f>
        <v/>
      </c>
      <c r="G1831" s="39"/>
      <c r="H1831" s="25"/>
      <c r="I1831" s="35" t="str">
        <f aca="false">IF($H1831="","",IFERROR(INDEX(票据归类表,MATCH($H1831,票据类型表,0)),"现金无票"))</f>
        <v/>
      </c>
      <c r="J1831" s="25"/>
      <c r="K1831" s="25"/>
      <c r="L1831" s="31"/>
      <c r="M1831" s="29" t="str">
        <f aca="false">IF($C1831="","",YEAR($C1831))</f>
        <v/>
      </c>
      <c r="N1831" s="24"/>
      <c r="O1831" s="35" t="str">
        <f aca="false">IF($C1831="","",IF($D1831="","★没选客户项目",IF(COUNTIF(合同键,$D1831)=0,"★《维保合同》里没这个项目",IF(N($G1831)&lt;=0,"★收款金额要填",IF($H1831="","★票据类型要选",IF(AND($L1831&lt;&gt;"",COUNTIF(应收单号,$L1831)=0),"★关联的应收单号不存在",IF(AND($L1831&lt;&gt;"",IFERROR(INDEX(应收键,MATCH($L1831,应收单号,0)),"")&lt;&gt;$D1831),"★关联单号不是这个客户的",IF(AND($L1831&lt;&gt;"",ROUND(SUMIF(收款关联,$L1831,收款金额)-IFERROR(INDEX(应收金额,MATCH($L1831,应收单号,0)),0),2)&gt;0.001),"★指定冲销超过那张单的应收","OK"))))))))</f>
        <v/>
      </c>
    </row>
    <row r="1832" customFormat="false" ht="15" hidden="false" customHeight="false" outlineLevel="0" collapsed="false">
      <c r="A1832" s="29" t="str">
        <f aca="false">IF($C1832="","",ROW()-4)</f>
        <v/>
      </c>
      <c r="B1832" s="35" t="str">
        <f aca="false">IF($C1832="","","SK"&amp;TEXT($C1832,"yyyymm")&amp;"-"&amp;TEXT(ROW()-4,"0000"))</f>
        <v/>
      </c>
      <c r="C1832" s="33"/>
      <c r="D1832" s="24"/>
      <c r="E1832" s="30" t="str">
        <f aca="false">IF($D1832="","",IFERROR(INDEX(合同单位,MATCH($D1832,合同键,0)),IFERROR(TRIM(LEFT($D1832,FIND("｜",$D1832)-1)),$D1832)))</f>
        <v/>
      </c>
      <c r="F1832" s="30" t="str">
        <f aca="false">IF($D1832="","",IFERROR(INDEX(合同项目,MATCH($D1832,合同键,0)),IFERROR(TRIM(MID($D1832,FIND("｜",$D1832)+1,99)),"")))</f>
        <v/>
      </c>
      <c r="G1832" s="39"/>
      <c r="H1832" s="25"/>
      <c r="I1832" s="35" t="str">
        <f aca="false">IF($H1832="","",IFERROR(INDEX(票据归类表,MATCH($H1832,票据类型表,0)),"现金无票"))</f>
        <v/>
      </c>
      <c r="J1832" s="25"/>
      <c r="K1832" s="25"/>
      <c r="L1832" s="31"/>
      <c r="M1832" s="29" t="str">
        <f aca="false">IF($C1832="","",YEAR($C1832))</f>
        <v/>
      </c>
      <c r="N1832" s="24"/>
      <c r="O1832" s="35" t="str">
        <f aca="false">IF($C1832="","",IF($D1832="","★没选客户项目",IF(COUNTIF(合同键,$D1832)=0,"★《维保合同》里没这个项目",IF(N($G1832)&lt;=0,"★收款金额要填",IF($H1832="","★票据类型要选",IF(AND($L1832&lt;&gt;"",COUNTIF(应收单号,$L1832)=0),"★关联的应收单号不存在",IF(AND($L1832&lt;&gt;"",IFERROR(INDEX(应收键,MATCH($L1832,应收单号,0)),"")&lt;&gt;$D1832),"★关联单号不是这个客户的",IF(AND($L1832&lt;&gt;"",ROUND(SUMIF(收款关联,$L1832,收款金额)-IFERROR(INDEX(应收金额,MATCH($L1832,应收单号,0)),0),2)&gt;0.001),"★指定冲销超过那张单的应收","OK"))))))))</f>
        <v/>
      </c>
    </row>
    <row r="1833" customFormat="false" ht="15" hidden="false" customHeight="false" outlineLevel="0" collapsed="false">
      <c r="A1833" s="29" t="str">
        <f aca="false">IF($C1833="","",ROW()-4)</f>
        <v/>
      </c>
      <c r="B1833" s="35" t="str">
        <f aca="false">IF($C1833="","","SK"&amp;TEXT($C1833,"yyyymm")&amp;"-"&amp;TEXT(ROW()-4,"0000"))</f>
        <v/>
      </c>
      <c r="C1833" s="33"/>
      <c r="D1833" s="24"/>
      <c r="E1833" s="30" t="str">
        <f aca="false">IF($D1833="","",IFERROR(INDEX(合同单位,MATCH($D1833,合同键,0)),IFERROR(TRIM(LEFT($D1833,FIND("｜",$D1833)-1)),$D1833)))</f>
        <v/>
      </c>
      <c r="F1833" s="30" t="str">
        <f aca="false">IF($D1833="","",IFERROR(INDEX(合同项目,MATCH($D1833,合同键,0)),IFERROR(TRIM(MID($D1833,FIND("｜",$D1833)+1,99)),"")))</f>
        <v/>
      </c>
      <c r="G1833" s="39"/>
      <c r="H1833" s="25"/>
      <c r="I1833" s="35" t="str">
        <f aca="false">IF($H1833="","",IFERROR(INDEX(票据归类表,MATCH($H1833,票据类型表,0)),"现金无票"))</f>
        <v/>
      </c>
      <c r="J1833" s="25"/>
      <c r="K1833" s="25"/>
      <c r="L1833" s="31"/>
      <c r="M1833" s="29" t="str">
        <f aca="false">IF($C1833="","",YEAR($C1833))</f>
        <v/>
      </c>
      <c r="N1833" s="24"/>
      <c r="O1833" s="35" t="str">
        <f aca="false">IF($C1833="","",IF($D1833="","★没选客户项目",IF(COUNTIF(合同键,$D1833)=0,"★《维保合同》里没这个项目",IF(N($G1833)&lt;=0,"★收款金额要填",IF($H1833="","★票据类型要选",IF(AND($L1833&lt;&gt;"",COUNTIF(应收单号,$L1833)=0),"★关联的应收单号不存在",IF(AND($L1833&lt;&gt;"",IFERROR(INDEX(应收键,MATCH($L1833,应收单号,0)),"")&lt;&gt;$D1833),"★关联单号不是这个客户的",IF(AND($L1833&lt;&gt;"",ROUND(SUMIF(收款关联,$L1833,收款金额)-IFERROR(INDEX(应收金额,MATCH($L1833,应收单号,0)),0),2)&gt;0.001),"★指定冲销超过那张单的应收","OK"))))))))</f>
        <v/>
      </c>
    </row>
    <row r="1834" customFormat="false" ht="15" hidden="false" customHeight="false" outlineLevel="0" collapsed="false">
      <c r="A1834" s="29" t="str">
        <f aca="false">IF($C1834="","",ROW()-4)</f>
        <v/>
      </c>
      <c r="B1834" s="35" t="str">
        <f aca="false">IF($C1834="","","SK"&amp;TEXT($C1834,"yyyymm")&amp;"-"&amp;TEXT(ROW()-4,"0000"))</f>
        <v/>
      </c>
      <c r="C1834" s="33"/>
      <c r="D1834" s="24"/>
      <c r="E1834" s="30" t="str">
        <f aca="false">IF($D1834="","",IFERROR(INDEX(合同单位,MATCH($D1834,合同键,0)),IFERROR(TRIM(LEFT($D1834,FIND("｜",$D1834)-1)),$D1834)))</f>
        <v/>
      </c>
      <c r="F1834" s="30" t="str">
        <f aca="false">IF($D1834="","",IFERROR(INDEX(合同项目,MATCH($D1834,合同键,0)),IFERROR(TRIM(MID($D1834,FIND("｜",$D1834)+1,99)),"")))</f>
        <v/>
      </c>
      <c r="G1834" s="39"/>
      <c r="H1834" s="25"/>
      <c r="I1834" s="35" t="str">
        <f aca="false">IF($H1834="","",IFERROR(INDEX(票据归类表,MATCH($H1834,票据类型表,0)),"现金无票"))</f>
        <v/>
      </c>
      <c r="J1834" s="25"/>
      <c r="K1834" s="25"/>
      <c r="L1834" s="31"/>
      <c r="M1834" s="29" t="str">
        <f aca="false">IF($C1834="","",YEAR($C1834))</f>
        <v/>
      </c>
      <c r="N1834" s="24"/>
      <c r="O1834" s="35" t="str">
        <f aca="false">IF($C1834="","",IF($D1834="","★没选客户项目",IF(COUNTIF(合同键,$D1834)=0,"★《维保合同》里没这个项目",IF(N($G1834)&lt;=0,"★收款金额要填",IF($H1834="","★票据类型要选",IF(AND($L1834&lt;&gt;"",COUNTIF(应收单号,$L1834)=0),"★关联的应收单号不存在",IF(AND($L1834&lt;&gt;"",IFERROR(INDEX(应收键,MATCH($L1834,应收单号,0)),"")&lt;&gt;$D1834),"★关联单号不是这个客户的",IF(AND($L1834&lt;&gt;"",ROUND(SUMIF(收款关联,$L1834,收款金额)-IFERROR(INDEX(应收金额,MATCH($L1834,应收单号,0)),0),2)&gt;0.001),"★指定冲销超过那张单的应收","OK"))))))))</f>
        <v/>
      </c>
    </row>
    <row r="1835" customFormat="false" ht="15" hidden="false" customHeight="false" outlineLevel="0" collapsed="false">
      <c r="A1835" s="29" t="str">
        <f aca="false">IF($C1835="","",ROW()-4)</f>
        <v/>
      </c>
      <c r="B1835" s="35" t="str">
        <f aca="false">IF($C1835="","","SK"&amp;TEXT($C1835,"yyyymm")&amp;"-"&amp;TEXT(ROW()-4,"0000"))</f>
        <v/>
      </c>
      <c r="C1835" s="33"/>
      <c r="D1835" s="24"/>
      <c r="E1835" s="30" t="str">
        <f aca="false">IF($D1835="","",IFERROR(INDEX(合同单位,MATCH($D1835,合同键,0)),IFERROR(TRIM(LEFT($D1835,FIND("｜",$D1835)-1)),$D1835)))</f>
        <v/>
      </c>
      <c r="F1835" s="30" t="str">
        <f aca="false">IF($D1835="","",IFERROR(INDEX(合同项目,MATCH($D1835,合同键,0)),IFERROR(TRIM(MID($D1835,FIND("｜",$D1835)+1,99)),"")))</f>
        <v/>
      </c>
      <c r="G1835" s="39"/>
      <c r="H1835" s="25"/>
      <c r="I1835" s="35" t="str">
        <f aca="false">IF($H1835="","",IFERROR(INDEX(票据归类表,MATCH($H1835,票据类型表,0)),"现金无票"))</f>
        <v/>
      </c>
      <c r="J1835" s="25"/>
      <c r="K1835" s="25"/>
      <c r="L1835" s="31"/>
      <c r="M1835" s="29" t="str">
        <f aca="false">IF($C1835="","",YEAR($C1835))</f>
        <v/>
      </c>
      <c r="N1835" s="24"/>
      <c r="O1835" s="35" t="str">
        <f aca="false">IF($C1835="","",IF($D1835="","★没选客户项目",IF(COUNTIF(合同键,$D1835)=0,"★《维保合同》里没这个项目",IF(N($G1835)&lt;=0,"★收款金额要填",IF($H1835="","★票据类型要选",IF(AND($L1835&lt;&gt;"",COUNTIF(应收单号,$L1835)=0),"★关联的应收单号不存在",IF(AND($L1835&lt;&gt;"",IFERROR(INDEX(应收键,MATCH($L1835,应收单号,0)),"")&lt;&gt;$D1835),"★关联单号不是这个客户的",IF(AND($L1835&lt;&gt;"",ROUND(SUMIF(收款关联,$L1835,收款金额)-IFERROR(INDEX(应收金额,MATCH($L1835,应收单号,0)),0),2)&gt;0.001),"★指定冲销超过那张单的应收","OK"))))))))</f>
        <v/>
      </c>
    </row>
    <row r="1836" customFormat="false" ht="15" hidden="false" customHeight="false" outlineLevel="0" collapsed="false">
      <c r="A1836" s="29" t="str">
        <f aca="false">IF($C1836="","",ROW()-4)</f>
        <v/>
      </c>
      <c r="B1836" s="35" t="str">
        <f aca="false">IF($C1836="","","SK"&amp;TEXT($C1836,"yyyymm")&amp;"-"&amp;TEXT(ROW()-4,"0000"))</f>
        <v/>
      </c>
      <c r="C1836" s="33"/>
      <c r="D1836" s="24"/>
      <c r="E1836" s="30" t="str">
        <f aca="false">IF($D1836="","",IFERROR(INDEX(合同单位,MATCH($D1836,合同键,0)),IFERROR(TRIM(LEFT($D1836,FIND("｜",$D1836)-1)),$D1836)))</f>
        <v/>
      </c>
      <c r="F1836" s="30" t="str">
        <f aca="false">IF($D1836="","",IFERROR(INDEX(合同项目,MATCH($D1836,合同键,0)),IFERROR(TRIM(MID($D1836,FIND("｜",$D1836)+1,99)),"")))</f>
        <v/>
      </c>
      <c r="G1836" s="39"/>
      <c r="H1836" s="25"/>
      <c r="I1836" s="35" t="str">
        <f aca="false">IF($H1836="","",IFERROR(INDEX(票据归类表,MATCH($H1836,票据类型表,0)),"现金无票"))</f>
        <v/>
      </c>
      <c r="J1836" s="25"/>
      <c r="K1836" s="25"/>
      <c r="L1836" s="31"/>
      <c r="M1836" s="29" t="str">
        <f aca="false">IF($C1836="","",YEAR($C1836))</f>
        <v/>
      </c>
      <c r="N1836" s="24"/>
      <c r="O1836" s="35" t="str">
        <f aca="false">IF($C1836="","",IF($D1836="","★没选客户项目",IF(COUNTIF(合同键,$D1836)=0,"★《维保合同》里没这个项目",IF(N($G1836)&lt;=0,"★收款金额要填",IF($H1836="","★票据类型要选",IF(AND($L1836&lt;&gt;"",COUNTIF(应收单号,$L1836)=0),"★关联的应收单号不存在",IF(AND($L1836&lt;&gt;"",IFERROR(INDEX(应收键,MATCH($L1836,应收单号,0)),"")&lt;&gt;$D1836),"★关联单号不是这个客户的",IF(AND($L1836&lt;&gt;"",ROUND(SUMIF(收款关联,$L1836,收款金额)-IFERROR(INDEX(应收金额,MATCH($L1836,应收单号,0)),0),2)&gt;0.001),"★指定冲销超过那张单的应收","OK"))))))))</f>
        <v/>
      </c>
    </row>
    <row r="1837" customFormat="false" ht="15" hidden="false" customHeight="false" outlineLevel="0" collapsed="false">
      <c r="A1837" s="29" t="str">
        <f aca="false">IF($C1837="","",ROW()-4)</f>
        <v/>
      </c>
      <c r="B1837" s="35" t="str">
        <f aca="false">IF($C1837="","","SK"&amp;TEXT($C1837,"yyyymm")&amp;"-"&amp;TEXT(ROW()-4,"0000"))</f>
        <v/>
      </c>
      <c r="C1837" s="33"/>
      <c r="D1837" s="24"/>
      <c r="E1837" s="30" t="str">
        <f aca="false">IF($D1837="","",IFERROR(INDEX(合同单位,MATCH($D1837,合同键,0)),IFERROR(TRIM(LEFT($D1837,FIND("｜",$D1837)-1)),$D1837)))</f>
        <v/>
      </c>
      <c r="F1837" s="30" t="str">
        <f aca="false">IF($D1837="","",IFERROR(INDEX(合同项目,MATCH($D1837,合同键,0)),IFERROR(TRIM(MID($D1837,FIND("｜",$D1837)+1,99)),"")))</f>
        <v/>
      </c>
      <c r="G1837" s="39"/>
      <c r="H1837" s="25"/>
      <c r="I1837" s="35" t="str">
        <f aca="false">IF($H1837="","",IFERROR(INDEX(票据归类表,MATCH($H1837,票据类型表,0)),"现金无票"))</f>
        <v/>
      </c>
      <c r="J1837" s="25"/>
      <c r="K1837" s="25"/>
      <c r="L1837" s="31"/>
      <c r="M1837" s="29" t="str">
        <f aca="false">IF($C1837="","",YEAR($C1837))</f>
        <v/>
      </c>
      <c r="N1837" s="24"/>
      <c r="O1837" s="35" t="str">
        <f aca="false">IF($C1837="","",IF($D1837="","★没选客户项目",IF(COUNTIF(合同键,$D1837)=0,"★《维保合同》里没这个项目",IF(N($G1837)&lt;=0,"★收款金额要填",IF($H1837="","★票据类型要选",IF(AND($L1837&lt;&gt;"",COUNTIF(应收单号,$L1837)=0),"★关联的应收单号不存在",IF(AND($L1837&lt;&gt;"",IFERROR(INDEX(应收键,MATCH($L1837,应收单号,0)),"")&lt;&gt;$D1837),"★关联单号不是这个客户的",IF(AND($L1837&lt;&gt;"",ROUND(SUMIF(收款关联,$L1837,收款金额)-IFERROR(INDEX(应收金额,MATCH($L1837,应收单号,0)),0),2)&gt;0.001),"★指定冲销超过那张单的应收","OK"))))))))</f>
        <v/>
      </c>
    </row>
    <row r="1838" customFormat="false" ht="15" hidden="false" customHeight="false" outlineLevel="0" collapsed="false">
      <c r="A1838" s="29" t="str">
        <f aca="false">IF($C1838="","",ROW()-4)</f>
        <v/>
      </c>
      <c r="B1838" s="35" t="str">
        <f aca="false">IF($C1838="","","SK"&amp;TEXT($C1838,"yyyymm")&amp;"-"&amp;TEXT(ROW()-4,"0000"))</f>
        <v/>
      </c>
      <c r="C1838" s="33"/>
      <c r="D1838" s="24"/>
      <c r="E1838" s="30" t="str">
        <f aca="false">IF($D1838="","",IFERROR(INDEX(合同单位,MATCH($D1838,合同键,0)),IFERROR(TRIM(LEFT($D1838,FIND("｜",$D1838)-1)),$D1838)))</f>
        <v/>
      </c>
      <c r="F1838" s="30" t="str">
        <f aca="false">IF($D1838="","",IFERROR(INDEX(合同项目,MATCH($D1838,合同键,0)),IFERROR(TRIM(MID($D1838,FIND("｜",$D1838)+1,99)),"")))</f>
        <v/>
      </c>
      <c r="G1838" s="39"/>
      <c r="H1838" s="25"/>
      <c r="I1838" s="35" t="str">
        <f aca="false">IF($H1838="","",IFERROR(INDEX(票据归类表,MATCH($H1838,票据类型表,0)),"现金无票"))</f>
        <v/>
      </c>
      <c r="J1838" s="25"/>
      <c r="K1838" s="25"/>
      <c r="L1838" s="31"/>
      <c r="M1838" s="29" t="str">
        <f aca="false">IF($C1838="","",YEAR($C1838))</f>
        <v/>
      </c>
      <c r="N1838" s="24"/>
      <c r="O1838" s="35" t="str">
        <f aca="false">IF($C1838="","",IF($D1838="","★没选客户项目",IF(COUNTIF(合同键,$D1838)=0,"★《维保合同》里没这个项目",IF(N($G1838)&lt;=0,"★收款金额要填",IF($H1838="","★票据类型要选",IF(AND($L1838&lt;&gt;"",COUNTIF(应收单号,$L1838)=0),"★关联的应收单号不存在",IF(AND($L1838&lt;&gt;"",IFERROR(INDEX(应收键,MATCH($L1838,应收单号,0)),"")&lt;&gt;$D1838),"★关联单号不是这个客户的",IF(AND($L1838&lt;&gt;"",ROUND(SUMIF(收款关联,$L1838,收款金额)-IFERROR(INDEX(应收金额,MATCH($L1838,应收单号,0)),0),2)&gt;0.001),"★指定冲销超过那张单的应收","OK"))))))))</f>
        <v/>
      </c>
    </row>
    <row r="1839" customFormat="false" ht="15" hidden="false" customHeight="false" outlineLevel="0" collapsed="false">
      <c r="A1839" s="29" t="str">
        <f aca="false">IF($C1839="","",ROW()-4)</f>
        <v/>
      </c>
      <c r="B1839" s="35" t="str">
        <f aca="false">IF($C1839="","","SK"&amp;TEXT($C1839,"yyyymm")&amp;"-"&amp;TEXT(ROW()-4,"0000"))</f>
        <v/>
      </c>
      <c r="C1839" s="33"/>
      <c r="D1839" s="24"/>
      <c r="E1839" s="30" t="str">
        <f aca="false">IF($D1839="","",IFERROR(INDEX(合同单位,MATCH($D1839,合同键,0)),IFERROR(TRIM(LEFT($D1839,FIND("｜",$D1839)-1)),$D1839)))</f>
        <v/>
      </c>
      <c r="F1839" s="30" t="str">
        <f aca="false">IF($D1839="","",IFERROR(INDEX(合同项目,MATCH($D1839,合同键,0)),IFERROR(TRIM(MID($D1839,FIND("｜",$D1839)+1,99)),"")))</f>
        <v/>
      </c>
      <c r="G1839" s="39"/>
      <c r="H1839" s="25"/>
      <c r="I1839" s="35" t="str">
        <f aca="false">IF($H1839="","",IFERROR(INDEX(票据归类表,MATCH($H1839,票据类型表,0)),"现金无票"))</f>
        <v/>
      </c>
      <c r="J1839" s="25"/>
      <c r="K1839" s="25"/>
      <c r="L1839" s="31"/>
      <c r="M1839" s="29" t="str">
        <f aca="false">IF($C1839="","",YEAR($C1839))</f>
        <v/>
      </c>
      <c r="N1839" s="24"/>
      <c r="O1839" s="35" t="str">
        <f aca="false">IF($C1839="","",IF($D1839="","★没选客户项目",IF(COUNTIF(合同键,$D1839)=0,"★《维保合同》里没这个项目",IF(N($G1839)&lt;=0,"★收款金额要填",IF($H1839="","★票据类型要选",IF(AND($L1839&lt;&gt;"",COUNTIF(应收单号,$L1839)=0),"★关联的应收单号不存在",IF(AND($L1839&lt;&gt;"",IFERROR(INDEX(应收键,MATCH($L1839,应收单号,0)),"")&lt;&gt;$D1839),"★关联单号不是这个客户的",IF(AND($L1839&lt;&gt;"",ROUND(SUMIF(收款关联,$L1839,收款金额)-IFERROR(INDEX(应收金额,MATCH($L1839,应收单号,0)),0),2)&gt;0.001),"★指定冲销超过那张单的应收","OK"))))))))</f>
        <v/>
      </c>
    </row>
    <row r="1840" customFormat="false" ht="15" hidden="false" customHeight="false" outlineLevel="0" collapsed="false">
      <c r="A1840" s="29" t="str">
        <f aca="false">IF($C1840="","",ROW()-4)</f>
        <v/>
      </c>
      <c r="B1840" s="35" t="str">
        <f aca="false">IF($C1840="","","SK"&amp;TEXT($C1840,"yyyymm")&amp;"-"&amp;TEXT(ROW()-4,"0000"))</f>
        <v/>
      </c>
      <c r="C1840" s="33"/>
      <c r="D1840" s="24"/>
      <c r="E1840" s="30" t="str">
        <f aca="false">IF($D1840="","",IFERROR(INDEX(合同单位,MATCH($D1840,合同键,0)),IFERROR(TRIM(LEFT($D1840,FIND("｜",$D1840)-1)),$D1840)))</f>
        <v/>
      </c>
      <c r="F1840" s="30" t="str">
        <f aca="false">IF($D1840="","",IFERROR(INDEX(合同项目,MATCH($D1840,合同键,0)),IFERROR(TRIM(MID($D1840,FIND("｜",$D1840)+1,99)),"")))</f>
        <v/>
      </c>
      <c r="G1840" s="39"/>
      <c r="H1840" s="25"/>
      <c r="I1840" s="35" t="str">
        <f aca="false">IF($H1840="","",IFERROR(INDEX(票据归类表,MATCH($H1840,票据类型表,0)),"现金无票"))</f>
        <v/>
      </c>
      <c r="J1840" s="25"/>
      <c r="K1840" s="25"/>
      <c r="L1840" s="31"/>
      <c r="M1840" s="29" t="str">
        <f aca="false">IF($C1840="","",YEAR($C1840))</f>
        <v/>
      </c>
      <c r="N1840" s="24"/>
      <c r="O1840" s="35" t="str">
        <f aca="false">IF($C1840="","",IF($D1840="","★没选客户项目",IF(COUNTIF(合同键,$D1840)=0,"★《维保合同》里没这个项目",IF(N($G1840)&lt;=0,"★收款金额要填",IF($H1840="","★票据类型要选",IF(AND($L1840&lt;&gt;"",COUNTIF(应收单号,$L1840)=0),"★关联的应收单号不存在",IF(AND($L1840&lt;&gt;"",IFERROR(INDEX(应收键,MATCH($L1840,应收单号,0)),"")&lt;&gt;$D1840),"★关联单号不是这个客户的",IF(AND($L1840&lt;&gt;"",ROUND(SUMIF(收款关联,$L1840,收款金额)-IFERROR(INDEX(应收金额,MATCH($L1840,应收单号,0)),0),2)&gt;0.001),"★指定冲销超过那张单的应收","OK"))))))))</f>
        <v/>
      </c>
    </row>
    <row r="1841" customFormat="false" ht="15" hidden="false" customHeight="false" outlineLevel="0" collapsed="false">
      <c r="A1841" s="29" t="str">
        <f aca="false">IF($C1841="","",ROW()-4)</f>
        <v/>
      </c>
      <c r="B1841" s="35" t="str">
        <f aca="false">IF($C1841="","","SK"&amp;TEXT($C1841,"yyyymm")&amp;"-"&amp;TEXT(ROW()-4,"0000"))</f>
        <v/>
      </c>
      <c r="C1841" s="33"/>
      <c r="D1841" s="24"/>
      <c r="E1841" s="30" t="str">
        <f aca="false">IF($D1841="","",IFERROR(INDEX(合同单位,MATCH($D1841,合同键,0)),IFERROR(TRIM(LEFT($D1841,FIND("｜",$D1841)-1)),$D1841)))</f>
        <v/>
      </c>
      <c r="F1841" s="30" t="str">
        <f aca="false">IF($D1841="","",IFERROR(INDEX(合同项目,MATCH($D1841,合同键,0)),IFERROR(TRIM(MID($D1841,FIND("｜",$D1841)+1,99)),"")))</f>
        <v/>
      </c>
      <c r="G1841" s="39"/>
      <c r="H1841" s="25"/>
      <c r="I1841" s="35" t="str">
        <f aca="false">IF($H1841="","",IFERROR(INDEX(票据归类表,MATCH($H1841,票据类型表,0)),"现金无票"))</f>
        <v/>
      </c>
      <c r="J1841" s="25"/>
      <c r="K1841" s="25"/>
      <c r="L1841" s="31"/>
      <c r="M1841" s="29" t="str">
        <f aca="false">IF($C1841="","",YEAR($C1841))</f>
        <v/>
      </c>
      <c r="N1841" s="24"/>
      <c r="O1841" s="35" t="str">
        <f aca="false">IF($C1841="","",IF($D1841="","★没选客户项目",IF(COUNTIF(合同键,$D1841)=0,"★《维保合同》里没这个项目",IF(N($G1841)&lt;=0,"★收款金额要填",IF($H1841="","★票据类型要选",IF(AND($L1841&lt;&gt;"",COUNTIF(应收单号,$L1841)=0),"★关联的应收单号不存在",IF(AND($L1841&lt;&gt;"",IFERROR(INDEX(应收键,MATCH($L1841,应收单号,0)),"")&lt;&gt;$D1841),"★关联单号不是这个客户的",IF(AND($L1841&lt;&gt;"",ROUND(SUMIF(收款关联,$L1841,收款金额)-IFERROR(INDEX(应收金额,MATCH($L1841,应收单号,0)),0),2)&gt;0.001),"★指定冲销超过那张单的应收","OK"))))))))</f>
        <v/>
      </c>
    </row>
    <row r="1842" customFormat="false" ht="15" hidden="false" customHeight="false" outlineLevel="0" collapsed="false">
      <c r="A1842" s="29" t="str">
        <f aca="false">IF($C1842="","",ROW()-4)</f>
        <v/>
      </c>
      <c r="B1842" s="35" t="str">
        <f aca="false">IF($C1842="","","SK"&amp;TEXT($C1842,"yyyymm")&amp;"-"&amp;TEXT(ROW()-4,"0000"))</f>
        <v/>
      </c>
      <c r="C1842" s="33"/>
      <c r="D1842" s="24"/>
      <c r="E1842" s="30" t="str">
        <f aca="false">IF($D1842="","",IFERROR(INDEX(合同单位,MATCH($D1842,合同键,0)),IFERROR(TRIM(LEFT($D1842,FIND("｜",$D1842)-1)),$D1842)))</f>
        <v/>
      </c>
      <c r="F1842" s="30" t="str">
        <f aca="false">IF($D1842="","",IFERROR(INDEX(合同项目,MATCH($D1842,合同键,0)),IFERROR(TRIM(MID($D1842,FIND("｜",$D1842)+1,99)),"")))</f>
        <v/>
      </c>
      <c r="G1842" s="39"/>
      <c r="H1842" s="25"/>
      <c r="I1842" s="35" t="str">
        <f aca="false">IF($H1842="","",IFERROR(INDEX(票据归类表,MATCH($H1842,票据类型表,0)),"现金无票"))</f>
        <v/>
      </c>
      <c r="J1842" s="25"/>
      <c r="K1842" s="25"/>
      <c r="L1842" s="31"/>
      <c r="M1842" s="29" t="str">
        <f aca="false">IF($C1842="","",YEAR($C1842))</f>
        <v/>
      </c>
      <c r="N1842" s="24"/>
      <c r="O1842" s="35" t="str">
        <f aca="false">IF($C1842="","",IF($D1842="","★没选客户项目",IF(COUNTIF(合同键,$D1842)=0,"★《维保合同》里没这个项目",IF(N($G1842)&lt;=0,"★收款金额要填",IF($H1842="","★票据类型要选",IF(AND($L1842&lt;&gt;"",COUNTIF(应收单号,$L1842)=0),"★关联的应收单号不存在",IF(AND($L1842&lt;&gt;"",IFERROR(INDEX(应收键,MATCH($L1842,应收单号,0)),"")&lt;&gt;$D1842),"★关联单号不是这个客户的",IF(AND($L1842&lt;&gt;"",ROUND(SUMIF(收款关联,$L1842,收款金额)-IFERROR(INDEX(应收金额,MATCH($L1842,应收单号,0)),0),2)&gt;0.001),"★指定冲销超过那张单的应收","OK"))))))))</f>
        <v/>
      </c>
    </row>
    <row r="1843" customFormat="false" ht="15" hidden="false" customHeight="false" outlineLevel="0" collapsed="false">
      <c r="A1843" s="29" t="str">
        <f aca="false">IF($C1843="","",ROW()-4)</f>
        <v/>
      </c>
      <c r="B1843" s="35" t="str">
        <f aca="false">IF($C1843="","","SK"&amp;TEXT($C1843,"yyyymm")&amp;"-"&amp;TEXT(ROW()-4,"0000"))</f>
        <v/>
      </c>
      <c r="C1843" s="33"/>
      <c r="D1843" s="24"/>
      <c r="E1843" s="30" t="str">
        <f aca="false">IF($D1843="","",IFERROR(INDEX(合同单位,MATCH($D1843,合同键,0)),IFERROR(TRIM(LEFT($D1843,FIND("｜",$D1843)-1)),$D1843)))</f>
        <v/>
      </c>
      <c r="F1843" s="30" t="str">
        <f aca="false">IF($D1843="","",IFERROR(INDEX(合同项目,MATCH($D1843,合同键,0)),IFERROR(TRIM(MID($D1843,FIND("｜",$D1843)+1,99)),"")))</f>
        <v/>
      </c>
      <c r="G1843" s="39"/>
      <c r="H1843" s="25"/>
      <c r="I1843" s="35" t="str">
        <f aca="false">IF($H1843="","",IFERROR(INDEX(票据归类表,MATCH($H1843,票据类型表,0)),"现金无票"))</f>
        <v/>
      </c>
      <c r="J1843" s="25"/>
      <c r="K1843" s="25"/>
      <c r="L1843" s="31"/>
      <c r="M1843" s="29" t="str">
        <f aca="false">IF($C1843="","",YEAR($C1843))</f>
        <v/>
      </c>
      <c r="N1843" s="24"/>
      <c r="O1843" s="35" t="str">
        <f aca="false">IF($C1843="","",IF($D1843="","★没选客户项目",IF(COUNTIF(合同键,$D1843)=0,"★《维保合同》里没这个项目",IF(N($G1843)&lt;=0,"★收款金额要填",IF($H1843="","★票据类型要选",IF(AND($L1843&lt;&gt;"",COUNTIF(应收单号,$L1843)=0),"★关联的应收单号不存在",IF(AND($L1843&lt;&gt;"",IFERROR(INDEX(应收键,MATCH($L1843,应收单号,0)),"")&lt;&gt;$D1843),"★关联单号不是这个客户的",IF(AND($L1843&lt;&gt;"",ROUND(SUMIF(收款关联,$L1843,收款金额)-IFERROR(INDEX(应收金额,MATCH($L1843,应收单号,0)),0),2)&gt;0.001),"★指定冲销超过那张单的应收","OK"))))))))</f>
        <v/>
      </c>
    </row>
    <row r="1844" customFormat="false" ht="15" hidden="false" customHeight="false" outlineLevel="0" collapsed="false">
      <c r="A1844" s="29" t="str">
        <f aca="false">IF($C1844="","",ROW()-4)</f>
        <v/>
      </c>
      <c r="B1844" s="35" t="str">
        <f aca="false">IF($C1844="","","SK"&amp;TEXT($C1844,"yyyymm")&amp;"-"&amp;TEXT(ROW()-4,"0000"))</f>
        <v/>
      </c>
      <c r="C1844" s="33"/>
      <c r="D1844" s="24"/>
      <c r="E1844" s="30" t="str">
        <f aca="false">IF($D1844="","",IFERROR(INDEX(合同单位,MATCH($D1844,合同键,0)),IFERROR(TRIM(LEFT($D1844,FIND("｜",$D1844)-1)),$D1844)))</f>
        <v/>
      </c>
      <c r="F1844" s="30" t="str">
        <f aca="false">IF($D1844="","",IFERROR(INDEX(合同项目,MATCH($D1844,合同键,0)),IFERROR(TRIM(MID($D1844,FIND("｜",$D1844)+1,99)),"")))</f>
        <v/>
      </c>
      <c r="G1844" s="39"/>
      <c r="H1844" s="25"/>
      <c r="I1844" s="35" t="str">
        <f aca="false">IF($H1844="","",IFERROR(INDEX(票据归类表,MATCH($H1844,票据类型表,0)),"现金无票"))</f>
        <v/>
      </c>
      <c r="J1844" s="25"/>
      <c r="K1844" s="25"/>
      <c r="L1844" s="31"/>
      <c r="M1844" s="29" t="str">
        <f aca="false">IF($C1844="","",YEAR($C1844))</f>
        <v/>
      </c>
      <c r="N1844" s="24"/>
      <c r="O1844" s="35" t="str">
        <f aca="false">IF($C1844="","",IF($D1844="","★没选客户项目",IF(COUNTIF(合同键,$D1844)=0,"★《维保合同》里没这个项目",IF(N($G1844)&lt;=0,"★收款金额要填",IF($H1844="","★票据类型要选",IF(AND($L1844&lt;&gt;"",COUNTIF(应收单号,$L1844)=0),"★关联的应收单号不存在",IF(AND($L1844&lt;&gt;"",IFERROR(INDEX(应收键,MATCH($L1844,应收单号,0)),"")&lt;&gt;$D1844),"★关联单号不是这个客户的",IF(AND($L1844&lt;&gt;"",ROUND(SUMIF(收款关联,$L1844,收款金额)-IFERROR(INDEX(应收金额,MATCH($L1844,应收单号,0)),0),2)&gt;0.001),"★指定冲销超过那张单的应收","OK"))))))))</f>
        <v/>
      </c>
    </row>
    <row r="1845" customFormat="false" ht="15" hidden="false" customHeight="false" outlineLevel="0" collapsed="false">
      <c r="A1845" s="29" t="str">
        <f aca="false">IF($C1845="","",ROW()-4)</f>
        <v/>
      </c>
      <c r="B1845" s="35" t="str">
        <f aca="false">IF($C1845="","","SK"&amp;TEXT($C1845,"yyyymm")&amp;"-"&amp;TEXT(ROW()-4,"0000"))</f>
        <v/>
      </c>
      <c r="C1845" s="33"/>
      <c r="D1845" s="24"/>
      <c r="E1845" s="30" t="str">
        <f aca="false">IF($D1845="","",IFERROR(INDEX(合同单位,MATCH($D1845,合同键,0)),IFERROR(TRIM(LEFT($D1845,FIND("｜",$D1845)-1)),$D1845)))</f>
        <v/>
      </c>
      <c r="F1845" s="30" t="str">
        <f aca="false">IF($D1845="","",IFERROR(INDEX(合同项目,MATCH($D1845,合同键,0)),IFERROR(TRIM(MID($D1845,FIND("｜",$D1845)+1,99)),"")))</f>
        <v/>
      </c>
      <c r="G1845" s="39"/>
      <c r="H1845" s="25"/>
      <c r="I1845" s="35" t="str">
        <f aca="false">IF($H1845="","",IFERROR(INDEX(票据归类表,MATCH($H1845,票据类型表,0)),"现金无票"))</f>
        <v/>
      </c>
      <c r="J1845" s="25"/>
      <c r="K1845" s="25"/>
      <c r="L1845" s="31"/>
      <c r="M1845" s="29" t="str">
        <f aca="false">IF($C1845="","",YEAR($C1845))</f>
        <v/>
      </c>
      <c r="N1845" s="24"/>
      <c r="O1845" s="35" t="str">
        <f aca="false">IF($C1845="","",IF($D1845="","★没选客户项目",IF(COUNTIF(合同键,$D1845)=0,"★《维保合同》里没这个项目",IF(N($G1845)&lt;=0,"★收款金额要填",IF($H1845="","★票据类型要选",IF(AND($L1845&lt;&gt;"",COUNTIF(应收单号,$L1845)=0),"★关联的应收单号不存在",IF(AND($L1845&lt;&gt;"",IFERROR(INDEX(应收键,MATCH($L1845,应收单号,0)),"")&lt;&gt;$D1845),"★关联单号不是这个客户的",IF(AND($L1845&lt;&gt;"",ROUND(SUMIF(收款关联,$L1845,收款金额)-IFERROR(INDEX(应收金额,MATCH($L1845,应收单号,0)),0),2)&gt;0.001),"★指定冲销超过那张单的应收","OK"))))))))</f>
        <v/>
      </c>
    </row>
    <row r="1846" customFormat="false" ht="15" hidden="false" customHeight="false" outlineLevel="0" collapsed="false">
      <c r="A1846" s="29" t="str">
        <f aca="false">IF($C1846="","",ROW()-4)</f>
        <v/>
      </c>
      <c r="B1846" s="35" t="str">
        <f aca="false">IF($C1846="","","SK"&amp;TEXT($C1846,"yyyymm")&amp;"-"&amp;TEXT(ROW()-4,"0000"))</f>
        <v/>
      </c>
      <c r="C1846" s="33"/>
      <c r="D1846" s="24"/>
      <c r="E1846" s="30" t="str">
        <f aca="false">IF($D1846="","",IFERROR(INDEX(合同单位,MATCH($D1846,合同键,0)),IFERROR(TRIM(LEFT($D1846,FIND("｜",$D1846)-1)),$D1846)))</f>
        <v/>
      </c>
      <c r="F1846" s="30" t="str">
        <f aca="false">IF($D1846="","",IFERROR(INDEX(合同项目,MATCH($D1846,合同键,0)),IFERROR(TRIM(MID($D1846,FIND("｜",$D1846)+1,99)),"")))</f>
        <v/>
      </c>
      <c r="G1846" s="39"/>
      <c r="H1846" s="25"/>
      <c r="I1846" s="35" t="str">
        <f aca="false">IF($H1846="","",IFERROR(INDEX(票据归类表,MATCH($H1846,票据类型表,0)),"现金无票"))</f>
        <v/>
      </c>
      <c r="J1846" s="25"/>
      <c r="K1846" s="25"/>
      <c r="L1846" s="31"/>
      <c r="M1846" s="29" t="str">
        <f aca="false">IF($C1846="","",YEAR($C1846))</f>
        <v/>
      </c>
      <c r="N1846" s="24"/>
      <c r="O1846" s="35" t="str">
        <f aca="false">IF($C1846="","",IF($D1846="","★没选客户项目",IF(COUNTIF(合同键,$D1846)=0,"★《维保合同》里没这个项目",IF(N($G1846)&lt;=0,"★收款金额要填",IF($H1846="","★票据类型要选",IF(AND($L1846&lt;&gt;"",COUNTIF(应收单号,$L1846)=0),"★关联的应收单号不存在",IF(AND($L1846&lt;&gt;"",IFERROR(INDEX(应收键,MATCH($L1846,应收单号,0)),"")&lt;&gt;$D1846),"★关联单号不是这个客户的",IF(AND($L1846&lt;&gt;"",ROUND(SUMIF(收款关联,$L1846,收款金额)-IFERROR(INDEX(应收金额,MATCH($L1846,应收单号,0)),0),2)&gt;0.001),"★指定冲销超过那张单的应收","OK"))))))))</f>
        <v/>
      </c>
    </row>
    <row r="1847" customFormat="false" ht="15" hidden="false" customHeight="false" outlineLevel="0" collapsed="false">
      <c r="A1847" s="29" t="str">
        <f aca="false">IF($C1847="","",ROW()-4)</f>
        <v/>
      </c>
      <c r="B1847" s="35" t="str">
        <f aca="false">IF($C1847="","","SK"&amp;TEXT($C1847,"yyyymm")&amp;"-"&amp;TEXT(ROW()-4,"0000"))</f>
        <v/>
      </c>
      <c r="C1847" s="33"/>
      <c r="D1847" s="24"/>
      <c r="E1847" s="30" t="str">
        <f aca="false">IF($D1847="","",IFERROR(INDEX(合同单位,MATCH($D1847,合同键,0)),IFERROR(TRIM(LEFT($D1847,FIND("｜",$D1847)-1)),$D1847)))</f>
        <v/>
      </c>
      <c r="F1847" s="30" t="str">
        <f aca="false">IF($D1847="","",IFERROR(INDEX(合同项目,MATCH($D1847,合同键,0)),IFERROR(TRIM(MID($D1847,FIND("｜",$D1847)+1,99)),"")))</f>
        <v/>
      </c>
      <c r="G1847" s="39"/>
      <c r="H1847" s="25"/>
      <c r="I1847" s="35" t="str">
        <f aca="false">IF($H1847="","",IFERROR(INDEX(票据归类表,MATCH($H1847,票据类型表,0)),"现金无票"))</f>
        <v/>
      </c>
      <c r="J1847" s="25"/>
      <c r="K1847" s="25"/>
      <c r="L1847" s="31"/>
      <c r="M1847" s="29" t="str">
        <f aca="false">IF($C1847="","",YEAR($C1847))</f>
        <v/>
      </c>
      <c r="N1847" s="24"/>
      <c r="O1847" s="35" t="str">
        <f aca="false">IF($C1847="","",IF($D1847="","★没选客户项目",IF(COUNTIF(合同键,$D1847)=0,"★《维保合同》里没这个项目",IF(N($G1847)&lt;=0,"★收款金额要填",IF($H1847="","★票据类型要选",IF(AND($L1847&lt;&gt;"",COUNTIF(应收单号,$L1847)=0),"★关联的应收单号不存在",IF(AND($L1847&lt;&gt;"",IFERROR(INDEX(应收键,MATCH($L1847,应收单号,0)),"")&lt;&gt;$D1847),"★关联单号不是这个客户的",IF(AND($L1847&lt;&gt;"",ROUND(SUMIF(收款关联,$L1847,收款金额)-IFERROR(INDEX(应收金额,MATCH($L1847,应收单号,0)),0),2)&gt;0.001),"★指定冲销超过那张单的应收","OK"))))))))</f>
        <v/>
      </c>
    </row>
    <row r="1848" customFormat="false" ht="15" hidden="false" customHeight="false" outlineLevel="0" collapsed="false">
      <c r="A1848" s="29" t="str">
        <f aca="false">IF($C1848="","",ROW()-4)</f>
        <v/>
      </c>
      <c r="B1848" s="35" t="str">
        <f aca="false">IF($C1848="","","SK"&amp;TEXT($C1848,"yyyymm")&amp;"-"&amp;TEXT(ROW()-4,"0000"))</f>
        <v/>
      </c>
      <c r="C1848" s="33"/>
      <c r="D1848" s="24"/>
      <c r="E1848" s="30" t="str">
        <f aca="false">IF($D1848="","",IFERROR(INDEX(合同单位,MATCH($D1848,合同键,0)),IFERROR(TRIM(LEFT($D1848,FIND("｜",$D1848)-1)),$D1848)))</f>
        <v/>
      </c>
      <c r="F1848" s="30" t="str">
        <f aca="false">IF($D1848="","",IFERROR(INDEX(合同项目,MATCH($D1848,合同键,0)),IFERROR(TRIM(MID($D1848,FIND("｜",$D1848)+1,99)),"")))</f>
        <v/>
      </c>
      <c r="G1848" s="39"/>
      <c r="H1848" s="25"/>
      <c r="I1848" s="35" t="str">
        <f aca="false">IF($H1848="","",IFERROR(INDEX(票据归类表,MATCH($H1848,票据类型表,0)),"现金无票"))</f>
        <v/>
      </c>
      <c r="J1848" s="25"/>
      <c r="K1848" s="25"/>
      <c r="L1848" s="31"/>
      <c r="M1848" s="29" t="str">
        <f aca="false">IF($C1848="","",YEAR($C1848))</f>
        <v/>
      </c>
      <c r="N1848" s="24"/>
      <c r="O1848" s="35" t="str">
        <f aca="false">IF($C1848="","",IF($D1848="","★没选客户项目",IF(COUNTIF(合同键,$D1848)=0,"★《维保合同》里没这个项目",IF(N($G1848)&lt;=0,"★收款金额要填",IF($H1848="","★票据类型要选",IF(AND($L1848&lt;&gt;"",COUNTIF(应收单号,$L1848)=0),"★关联的应收单号不存在",IF(AND($L1848&lt;&gt;"",IFERROR(INDEX(应收键,MATCH($L1848,应收单号,0)),"")&lt;&gt;$D1848),"★关联单号不是这个客户的",IF(AND($L1848&lt;&gt;"",ROUND(SUMIF(收款关联,$L1848,收款金额)-IFERROR(INDEX(应收金额,MATCH($L1848,应收单号,0)),0),2)&gt;0.001),"★指定冲销超过那张单的应收","OK"))))))))</f>
        <v/>
      </c>
    </row>
    <row r="1849" customFormat="false" ht="15" hidden="false" customHeight="false" outlineLevel="0" collapsed="false">
      <c r="A1849" s="29" t="str">
        <f aca="false">IF($C1849="","",ROW()-4)</f>
        <v/>
      </c>
      <c r="B1849" s="35" t="str">
        <f aca="false">IF($C1849="","","SK"&amp;TEXT($C1849,"yyyymm")&amp;"-"&amp;TEXT(ROW()-4,"0000"))</f>
        <v/>
      </c>
      <c r="C1849" s="33"/>
      <c r="D1849" s="24"/>
      <c r="E1849" s="30" t="str">
        <f aca="false">IF($D1849="","",IFERROR(INDEX(合同单位,MATCH($D1849,合同键,0)),IFERROR(TRIM(LEFT($D1849,FIND("｜",$D1849)-1)),$D1849)))</f>
        <v/>
      </c>
      <c r="F1849" s="30" t="str">
        <f aca="false">IF($D1849="","",IFERROR(INDEX(合同项目,MATCH($D1849,合同键,0)),IFERROR(TRIM(MID($D1849,FIND("｜",$D1849)+1,99)),"")))</f>
        <v/>
      </c>
      <c r="G1849" s="39"/>
      <c r="H1849" s="25"/>
      <c r="I1849" s="35" t="str">
        <f aca="false">IF($H1849="","",IFERROR(INDEX(票据归类表,MATCH($H1849,票据类型表,0)),"现金无票"))</f>
        <v/>
      </c>
      <c r="J1849" s="25"/>
      <c r="K1849" s="25"/>
      <c r="L1849" s="31"/>
      <c r="M1849" s="29" t="str">
        <f aca="false">IF($C1849="","",YEAR($C1849))</f>
        <v/>
      </c>
      <c r="N1849" s="24"/>
      <c r="O1849" s="35" t="str">
        <f aca="false">IF($C1849="","",IF($D1849="","★没选客户项目",IF(COUNTIF(合同键,$D1849)=0,"★《维保合同》里没这个项目",IF(N($G1849)&lt;=0,"★收款金额要填",IF($H1849="","★票据类型要选",IF(AND($L1849&lt;&gt;"",COUNTIF(应收单号,$L1849)=0),"★关联的应收单号不存在",IF(AND($L1849&lt;&gt;"",IFERROR(INDEX(应收键,MATCH($L1849,应收单号,0)),"")&lt;&gt;$D1849),"★关联单号不是这个客户的",IF(AND($L1849&lt;&gt;"",ROUND(SUMIF(收款关联,$L1849,收款金额)-IFERROR(INDEX(应收金额,MATCH($L1849,应收单号,0)),0),2)&gt;0.001),"★指定冲销超过那张单的应收","OK"))))))))</f>
        <v/>
      </c>
    </row>
    <row r="1850" customFormat="false" ht="15" hidden="false" customHeight="false" outlineLevel="0" collapsed="false">
      <c r="A1850" s="29" t="str">
        <f aca="false">IF($C1850="","",ROW()-4)</f>
        <v/>
      </c>
      <c r="B1850" s="35" t="str">
        <f aca="false">IF($C1850="","","SK"&amp;TEXT($C1850,"yyyymm")&amp;"-"&amp;TEXT(ROW()-4,"0000"))</f>
        <v/>
      </c>
      <c r="C1850" s="33"/>
      <c r="D1850" s="24"/>
      <c r="E1850" s="30" t="str">
        <f aca="false">IF($D1850="","",IFERROR(INDEX(合同单位,MATCH($D1850,合同键,0)),IFERROR(TRIM(LEFT($D1850,FIND("｜",$D1850)-1)),$D1850)))</f>
        <v/>
      </c>
      <c r="F1850" s="30" t="str">
        <f aca="false">IF($D1850="","",IFERROR(INDEX(合同项目,MATCH($D1850,合同键,0)),IFERROR(TRIM(MID($D1850,FIND("｜",$D1850)+1,99)),"")))</f>
        <v/>
      </c>
      <c r="G1850" s="39"/>
      <c r="H1850" s="25"/>
      <c r="I1850" s="35" t="str">
        <f aca="false">IF($H1850="","",IFERROR(INDEX(票据归类表,MATCH($H1850,票据类型表,0)),"现金无票"))</f>
        <v/>
      </c>
      <c r="J1850" s="25"/>
      <c r="K1850" s="25"/>
      <c r="L1850" s="31"/>
      <c r="M1850" s="29" t="str">
        <f aca="false">IF($C1850="","",YEAR($C1850))</f>
        <v/>
      </c>
      <c r="N1850" s="24"/>
      <c r="O1850" s="35" t="str">
        <f aca="false">IF($C1850="","",IF($D1850="","★没选客户项目",IF(COUNTIF(合同键,$D1850)=0,"★《维保合同》里没这个项目",IF(N($G1850)&lt;=0,"★收款金额要填",IF($H1850="","★票据类型要选",IF(AND($L1850&lt;&gt;"",COUNTIF(应收单号,$L1850)=0),"★关联的应收单号不存在",IF(AND($L1850&lt;&gt;"",IFERROR(INDEX(应收键,MATCH($L1850,应收单号,0)),"")&lt;&gt;$D1850),"★关联单号不是这个客户的",IF(AND($L1850&lt;&gt;"",ROUND(SUMIF(收款关联,$L1850,收款金额)-IFERROR(INDEX(应收金额,MATCH($L1850,应收单号,0)),0),2)&gt;0.001),"★指定冲销超过那张单的应收","OK"))))))))</f>
        <v/>
      </c>
    </row>
    <row r="1851" customFormat="false" ht="15" hidden="false" customHeight="false" outlineLevel="0" collapsed="false">
      <c r="A1851" s="29" t="str">
        <f aca="false">IF($C1851="","",ROW()-4)</f>
        <v/>
      </c>
      <c r="B1851" s="35" t="str">
        <f aca="false">IF($C1851="","","SK"&amp;TEXT($C1851,"yyyymm")&amp;"-"&amp;TEXT(ROW()-4,"0000"))</f>
        <v/>
      </c>
      <c r="C1851" s="33"/>
      <c r="D1851" s="24"/>
      <c r="E1851" s="30" t="str">
        <f aca="false">IF($D1851="","",IFERROR(INDEX(合同单位,MATCH($D1851,合同键,0)),IFERROR(TRIM(LEFT($D1851,FIND("｜",$D1851)-1)),$D1851)))</f>
        <v/>
      </c>
      <c r="F1851" s="30" t="str">
        <f aca="false">IF($D1851="","",IFERROR(INDEX(合同项目,MATCH($D1851,合同键,0)),IFERROR(TRIM(MID($D1851,FIND("｜",$D1851)+1,99)),"")))</f>
        <v/>
      </c>
      <c r="G1851" s="39"/>
      <c r="H1851" s="25"/>
      <c r="I1851" s="35" t="str">
        <f aca="false">IF($H1851="","",IFERROR(INDEX(票据归类表,MATCH($H1851,票据类型表,0)),"现金无票"))</f>
        <v/>
      </c>
      <c r="J1851" s="25"/>
      <c r="K1851" s="25"/>
      <c r="L1851" s="31"/>
      <c r="M1851" s="29" t="str">
        <f aca="false">IF($C1851="","",YEAR($C1851))</f>
        <v/>
      </c>
      <c r="N1851" s="24"/>
      <c r="O1851" s="35" t="str">
        <f aca="false">IF($C1851="","",IF($D1851="","★没选客户项目",IF(COUNTIF(合同键,$D1851)=0,"★《维保合同》里没这个项目",IF(N($G1851)&lt;=0,"★收款金额要填",IF($H1851="","★票据类型要选",IF(AND($L1851&lt;&gt;"",COUNTIF(应收单号,$L1851)=0),"★关联的应收单号不存在",IF(AND($L1851&lt;&gt;"",IFERROR(INDEX(应收键,MATCH($L1851,应收单号,0)),"")&lt;&gt;$D1851),"★关联单号不是这个客户的",IF(AND($L1851&lt;&gt;"",ROUND(SUMIF(收款关联,$L1851,收款金额)-IFERROR(INDEX(应收金额,MATCH($L1851,应收单号,0)),0),2)&gt;0.001),"★指定冲销超过那张单的应收","OK"))))))))</f>
        <v/>
      </c>
    </row>
    <row r="1852" customFormat="false" ht="15" hidden="false" customHeight="false" outlineLevel="0" collapsed="false">
      <c r="A1852" s="29" t="str">
        <f aca="false">IF($C1852="","",ROW()-4)</f>
        <v/>
      </c>
      <c r="B1852" s="35" t="str">
        <f aca="false">IF($C1852="","","SK"&amp;TEXT($C1852,"yyyymm")&amp;"-"&amp;TEXT(ROW()-4,"0000"))</f>
        <v/>
      </c>
      <c r="C1852" s="33"/>
      <c r="D1852" s="24"/>
      <c r="E1852" s="30" t="str">
        <f aca="false">IF($D1852="","",IFERROR(INDEX(合同单位,MATCH($D1852,合同键,0)),IFERROR(TRIM(LEFT($D1852,FIND("｜",$D1852)-1)),$D1852)))</f>
        <v/>
      </c>
      <c r="F1852" s="30" t="str">
        <f aca="false">IF($D1852="","",IFERROR(INDEX(合同项目,MATCH($D1852,合同键,0)),IFERROR(TRIM(MID($D1852,FIND("｜",$D1852)+1,99)),"")))</f>
        <v/>
      </c>
      <c r="G1852" s="39"/>
      <c r="H1852" s="25"/>
      <c r="I1852" s="35" t="str">
        <f aca="false">IF($H1852="","",IFERROR(INDEX(票据归类表,MATCH($H1852,票据类型表,0)),"现金无票"))</f>
        <v/>
      </c>
      <c r="J1852" s="25"/>
      <c r="K1852" s="25"/>
      <c r="L1852" s="31"/>
      <c r="M1852" s="29" t="str">
        <f aca="false">IF($C1852="","",YEAR($C1852))</f>
        <v/>
      </c>
      <c r="N1852" s="24"/>
      <c r="O1852" s="35" t="str">
        <f aca="false">IF($C1852="","",IF($D1852="","★没选客户项目",IF(COUNTIF(合同键,$D1852)=0,"★《维保合同》里没这个项目",IF(N($G1852)&lt;=0,"★收款金额要填",IF($H1852="","★票据类型要选",IF(AND($L1852&lt;&gt;"",COUNTIF(应收单号,$L1852)=0),"★关联的应收单号不存在",IF(AND($L1852&lt;&gt;"",IFERROR(INDEX(应收键,MATCH($L1852,应收单号,0)),"")&lt;&gt;$D1852),"★关联单号不是这个客户的",IF(AND($L1852&lt;&gt;"",ROUND(SUMIF(收款关联,$L1852,收款金额)-IFERROR(INDEX(应收金额,MATCH($L1852,应收单号,0)),0),2)&gt;0.001),"★指定冲销超过那张单的应收","OK"))))))))</f>
        <v/>
      </c>
    </row>
    <row r="1853" customFormat="false" ht="15" hidden="false" customHeight="false" outlineLevel="0" collapsed="false">
      <c r="A1853" s="29" t="str">
        <f aca="false">IF($C1853="","",ROW()-4)</f>
        <v/>
      </c>
      <c r="B1853" s="35" t="str">
        <f aca="false">IF($C1853="","","SK"&amp;TEXT($C1853,"yyyymm")&amp;"-"&amp;TEXT(ROW()-4,"0000"))</f>
        <v/>
      </c>
      <c r="C1853" s="33"/>
      <c r="D1853" s="24"/>
      <c r="E1853" s="30" t="str">
        <f aca="false">IF($D1853="","",IFERROR(INDEX(合同单位,MATCH($D1853,合同键,0)),IFERROR(TRIM(LEFT($D1853,FIND("｜",$D1853)-1)),$D1853)))</f>
        <v/>
      </c>
      <c r="F1853" s="30" t="str">
        <f aca="false">IF($D1853="","",IFERROR(INDEX(合同项目,MATCH($D1853,合同键,0)),IFERROR(TRIM(MID($D1853,FIND("｜",$D1853)+1,99)),"")))</f>
        <v/>
      </c>
      <c r="G1853" s="39"/>
      <c r="H1853" s="25"/>
      <c r="I1853" s="35" t="str">
        <f aca="false">IF($H1853="","",IFERROR(INDEX(票据归类表,MATCH($H1853,票据类型表,0)),"现金无票"))</f>
        <v/>
      </c>
      <c r="J1853" s="25"/>
      <c r="K1853" s="25"/>
      <c r="L1853" s="31"/>
      <c r="M1853" s="29" t="str">
        <f aca="false">IF($C1853="","",YEAR($C1853))</f>
        <v/>
      </c>
      <c r="N1853" s="24"/>
      <c r="O1853" s="35" t="str">
        <f aca="false">IF($C1853="","",IF($D1853="","★没选客户项目",IF(COUNTIF(合同键,$D1853)=0,"★《维保合同》里没这个项目",IF(N($G1853)&lt;=0,"★收款金额要填",IF($H1853="","★票据类型要选",IF(AND($L1853&lt;&gt;"",COUNTIF(应收单号,$L1853)=0),"★关联的应收单号不存在",IF(AND($L1853&lt;&gt;"",IFERROR(INDEX(应收键,MATCH($L1853,应收单号,0)),"")&lt;&gt;$D1853),"★关联单号不是这个客户的",IF(AND($L1853&lt;&gt;"",ROUND(SUMIF(收款关联,$L1853,收款金额)-IFERROR(INDEX(应收金额,MATCH($L1853,应收单号,0)),0),2)&gt;0.001),"★指定冲销超过那张单的应收","OK"))))))))</f>
        <v/>
      </c>
    </row>
    <row r="1854" customFormat="false" ht="15" hidden="false" customHeight="false" outlineLevel="0" collapsed="false">
      <c r="A1854" s="29" t="str">
        <f aca="false">IF($C1854="","",ROW()-4)</f>
        <v/>
      </c>
      <c r="B1854" s="35" t="str">
        <f aca="false">IF($C1854="","","SK"&amp;TEXT($C1854,"yyyymm")&amp;"-"&amp;TEXT(ROW()-4,"0000"))</f>
        <v/>
      </c>
      <c r="C1854" s="33"/>
      <c r="D1854" s="24"/>
      <c r="E1854" s="30" t="str">
        <f aca="false">IF($D1854="","",IFERROR(INDEX(合同单位,MATCH($D1854,合同键,0)),IFERROR(TRIM(LEFT($D1854,FIND("｜",$D1854)-1)),$D1854)))</f>
        <v/>
      </c>
      <c r="F1854" s="30" t="str">
        <f aca="false">IF($D1854="","",IFERROR(INDEX(合同项目,MATCH($D1854,合同键,0)),IFERROR(TRIM(MID($D1854,FIND("｜",$D1854)+1,99)),"")))</f>
        <v/>
      </c>
      <c r="G1854" s="39"/>
      <c r="H1854" s="25"/>
      <c r="I1854" s="35" t="str">
        <f aca="false">IF($H1854="","",IFERROR(INDEX(票据归类表,MATCH($H1854,票据类型表,0)),"现金无票"))</f>
        <v/>
      </c>
      <c r="J1854" s="25"/>
      <c r="K1854" s="25"/>
      <c r="L1854" s="31"/>
      <c r="M1854" s="29" t="str">
        <f aca="false">IF($C1854="","",YEAR($C1854))</f>
        <v/>
      </c>
      <c r="N1854" s="24"/>
      <c r="O1854" s="35" t="str">
        <f aca="false">IF($C1854="","",IF($D1854="","★没选客户项目",IF(COUNTIF(合同键,$D1854)=0,"★《维保合同》里没这个项目",IF(N($G1854)&lt;=0,"★收款金额要填",IF($H1854="","★票据类型要选",IF(AND($L1854&lt;&gt;"",COUNTIF(应收单号,$L1854)=0),"★关联的应收单号不存在",IF(AND($L1854&lt;&gt;"",IFERROR(INDEX(应收键,MATCH($L1854,应收单号,0)),"")&lt;&gt;$D1854),"★关联单号不是这个客户的",IF(AND($L1854&lt;&gt;"",ROUND(SUMIF(收款关联,$L1854,收款金额)-IFERROR(INDEX(应收金额,MATCH($L1854,应收单号,0)),0),2)&gt;0.001),"★指定冲销超过那张单的应收","OK"))))))))</f>
        <v/>
      </c>
    </row>
    <row r="1855" customFormat="false" ht="15" hidden="false" customHeight="false" outlineLevel="0" collapsed="false">
      <c r="A1855" s="29" t="str">
        <f aca="false">IF($C1855="","",ROW()-4)</f>
        <v/>
      </c>
      <c r="B1855" s="35" t="str">
        <f aca="false">IF($C1855="","","SK"&amp;TEXT($C1855,"yyyymm")&amp;"-"&amp;TEXT(ROW()-4,"0000"))</f>
        <v/>
      </c>
      <c r="C1855" s="33"/>
      <c r="D1855" s="24"/>
      <c r="E1855" s="30" t="str">
        <f aca="false">IF($D1855="","",IFERROR(INDEX(合同单位,MATCH($D1855,合同键,0)),IFERROR(TRIM(LEFT($D1855,FIND("｜",$D1855)-1)),$D1855)))</f>
        <v/>
      </c>
      <c r="F1855" s="30" t="str">
        <f aca="false">IF($D1855="","",IFERROR(INDEX(合同项目,MATCH($D1855,合同键,0)),IFERROR(TRIM(MID($D1855,FIND("｜",$D1855)+1,99)),"")))</f>
        <v/>
      </c>
      <c r="G1855" s="39"/>
      <c r="H1855" s="25"/>
      <c r="I1855" s="35" t="str">
        <f aca="false">IF($H1855="","",IFERROR(INDEX(票据归类表,MATCH($H1855,票据类型表,0)),"现金无票"))</f>
        <v/>
      </c>
      <c r="J1855" s="25"/>
      <c r="K1855" s="25"/>
      <c r="L1855" s="31"/>
      <c r="M1855" s="29" t="str">
        <f aca="false">IF($C1855="","",YEAR($C1855))</f>
        <v/>
      </c>
      <c r="N1855" s="24"/>
      <c r="O1855" s="35" t="str">
        <f aca="false">IF($C1855="","",IF($D1855="","★没选客户项目",IF(COUNTIF(合同键,$D1855)=0,"★《维保合同》里没这个项目",IF(N($G1855)&lt;=0,"★收款金额要填",IF($H1855="","★票据类型要选",IF(AND($L1855&lt;&gt;"",COUNTIF(应收单号,$L1855)=0),"★关联的应收单号不存在",IF(AND($L1855&lt;&gt;"",IFERROR(INDEX(应收键,MATCH($L1855,应收单号,0)),"")&lt;&gt;$D1855),"★关联单号不是这个客户的",IF(AND($L1855&lt;&gt;"",ROUND(SUMIF(收款关联,$L1855,收款金额)-IFERROR(INDEX(应收金额,MATCH($L1855,应收单号,0)),0),2)&gt;0.001),"★指定冲销超过那张单的应收","OK"))))))))</f>
        <v/>
      </c>
    </row>
    <row r="1856" customFormat="false" ht="15" hidden="false" customHeight="false" outlineLevel="0" collapsed="false">
      <c r="A1856" s="29" t="str">
        <f aca="false">IF($C1856="","",ROW()-4)</f>
        <v/>
      </c>
      <c r="B1856" s="35" t="str">
        <f aca="false">IF($C1856="","","SK"&amp;TEXT($C1856,"yyyymm")&amp;"-"&amp;TEXT(ROW()-4,"0000"))</f>
        <v/>
      </c>
      <c r="C1856" s="33"/>
      <c r="D1856" s="24"/>
      <c r="E1856" s="30" t="str">
        <f aca="false">IF($D1856="","",IFERROR(INDEX(合同单位,MATCH($D1856,合同键,0)),IFERROR(TRIM(LEFT($D1856,FIND("｜",$D1856)-1)),$D1856)))</f>
        <v/>
      </c>
      <c r="F1856" s="30" t="str">
        <f aca="false">IF($D1856="","",IFERROR(INDEX(合同项目,MATCH($D1856,合同键,0)),IFERROR(TRIM(MID($D1856,FIND("｜",$D1856)+1,99)),"")))</f>
        <v/>
      </c>
      <c r="G1856" s="39"/>
      <c r="H1856" s="25"/>
      <c r="I1856" s="35" t="str">
        <f aca="false">IF($H1856="","",IFERROR(INDEX(票据归类表,MATCH($H1856,票据类型表,0)),"现金无票"))</f>
        <v/>
      </c>
      <c r="J1856" s="25"/>
      <c r="K1856" s="25"/>
      <c r="L1856" s="31"/>
      <c r="M1856" s="29" t="str">
        <f aca="false">IF($C1856="","",YEAR($C1856))</f>
        <v/>
      </c>
      <c r="N1856" s="24"/>
      <c r="O1856" s="35" t="str">
        <f aca="false">IF($C1856="","",IF($D1856="","★没选客户项目",IF(COUNTIF(合同键,$D1856)=0,"★《维保合同》里没这个项目",IF(N($G1856)&lt;=0,"★收款金额要填",IF($H1856="","★票据类型要选",IF(AND($L1856&lt;&gt;"",COUNTIF(应收单号,$L1856)=0),"★关联的应收单号不存在",IF(AND($L1856&lt;&gt;"",IFERROR(INDEX(应收键,MATCH($L1856,应收单号,0)),"")&lt;&gt;$D1856),"★关联单号不是这个客户的",IF(AND($L1856&lt;&gt;"",ROUND(SUMIF(收款关联,$L1856,收款金额)-IFERROR(INDEX(应收金额,MATCH($L1856,应收单号,0)),0),2)&gt;0.001),"★指定冲销超过那张单的应收","OK"))))))))</f>
        <v/>
      </c>
    </row>
    <row r="1857" customFormat="false" ht="15" hidden="false" customHeight="false" outlineLevel="0" collapsed="false">
      <c r="A1857" s="29" t="str">
        <f aca="false">IF($C1857="","",ROW()-4)</f>
        <v/>
      </c>
      <c r="B1857" s="35" t="str">
        <f aca="false">IF($C1857="","","SK"&amp;TEXT($C1857,"yyyymm")&amp;"-"&amp;TEXT(ROW()-4,"0000"))</f>
        <v/>
      </c>
      <c r="C1857" s="33"/>
      <c r="D1857" s="24"/>
      <c r="E1857" s="30" t="str">
        <f aca="false">IF($D1857="","",IFERROR(INDEX(合同单位,MATCH($D1857,合同键,0)),IFERROR(TRIM(LEFT($D1857,FIND("｜",$D1857)-1)),$D1857)))</f>
        <v/>
      </c>
      <c r="F1857" s="30" t="str">
        <f aca="false">IF($D1857="","",IFERROR(INDEX(合同项目,MATCH($D1857,合同键,0)),IFERROR(TRIM(MID($D1857,FIND("｜",$D1857)+1,99)),"")))</f>
        <v/>
      </c>
      <c r="G1857" s="39"/>
      <c r="H1857" s="25"/>
      <c r="I1857" s="35" t="str">
        <f aca="false">IF($H1857="","",IFERROR(INDEX(票据归类表,MATCH($H1857,票据类型表,0)),"现金无票"))</f>
        <v/>
      </c>
      <c r="J1857" s="25"/>
      <c r="K1857" s="25"/>
      <c r="L1857" s="31"/>
      <c r="M1857" s="29" t="str">
        <f aca="false">IF($C1857="","",YEAR($C1857))</f>
        <v/>
      </c>
      <c r="N1857" s="24"/>
      <c r="O1857" s="35" t="str">
        <f aca="false">IF($C1857="","",IF($D1857="","★没选客户项目",IF(COUNTIF(合同键,$D1857)=0,"★《维保合同》里没这个项目",IF(N($G1857)&lt;=0,"★收款金额要填",IF($H1857="","★票据类型要选",IF(AND($L1857&lt;&gt;"",COUNTIF(应收单号,$L1857)=0),"★关联的应收单号不存在",IF(AND($L1857&lt;&gt;"",IFERROR(INDEX(应收键,MATCH($L1857,应收单号,0)),"")&lt;&gt;$D1857),"★关联单号不是这个客户的",IF(AND($L1857&lt;&gt;"",ROUND(SUMIF(收款关联,$L1857,收款金额)-IFERROR(INDEX(应收金额,MATCH($L1857,应收单号,0)),0),2)&gt;0.001),"★指定冲销超过那张单的应收","OK"))))))))</f>
        <v/>
      </c>
    </row>
    <row r="1858" customFormat="false" ht="15" hidden="false" customHeight="false" outlineLevel="0" collapsed="false">
      <c r="A1858" s="29" t="str">
        <f aca="false">IF($C1858="","",ROW()-4)</f>
        <v/>
      </c>
      <c r="B1858" s="35" t="str">
        <f aca="false">IF($C1858="","","SK"&amp;TEXT($C1858,"yyyymm")&amp;"-"&amp;TEXT(ROW()-4,"0000"))</f>
        <v/>
      </c>
      <c r="C1858" s="33"/>
      <c r="D1858" s="24"/>
      <c r="E1858" s="30" t="str">
        <f aca="false">IF($D1858="","",IFERROR(INDEX(合同单位,MATCH($D1858,合同键,0)),IFERROR(TRIM(LEFT($D1858,FIND("｜",$D1858)-1)),$D1858)))</f>
        <v/>
      </c>
      <c r="F1858" s="30" t="str">
        <f aca="false">IF($D1858="","",IFERROR(INDEX(合同项目,MATCH($D1858,合同键,0)),IFERROR(TRIM(MID($D1858,FIND("｜",$D1858)+1,99)),"")))</f>
        <v/>
      </c>
      <c r="G1858" s="39"/>
      <c r="H1858" s="25"/>
      <c r="I1858" s="35" t="str">
        <f aca="false">IF($H1858="","",IFERROR(INDEX(票据归类表,MATCH($H1858,票据类型表,0)),"现金无票"))</f>
        <v/>
      </c>
      <c r="J1858" s="25"/>
      <c r="K1858" s="25"/>
      <c r="L1858" s="31"/>
      <c r="M1858" s="29" t="str">
        <f aca="false">IF($C1858="","",YEAR($C1858))</f>
        <v/>
      </c>
      <c r="N1858" s="24"/>
      <c r="O1858" s="35" t="str">
        <f aca="false">IF($C1858="","",IF($D1858="","★没选客户项目",IF(COUNTIF(合同键,$D1858)=0,"★《维保合同》里没这个项目",IF(N($G1858)&lt;=0,"★收款金额要填",IF($H1858="","★票据类型要选",IF(AND($L1858&lt;&gt;"",COUNTIF(应收单号,$L1858)=0),"★关联的应收单号不存在",IF(AND($L1858&lt;&gt;"",IFERROR(INDEX(应收键,MATCH($L1858,应收单号,0)),"")&lt;&gt;$D1858),"★关联单号不是这个客户的",IF(AND($L1858&lt;&gt;"",ROUND(SUMIF(收款关联,$L1858,收款金额)-IFERROR(INDEX(应收金额,MATCH($L1858,应收单号,0)),0),2)&gt;0.001),"★指定冲销超过那张单的应收","OK"))))))))</f>
        <v/>
      </c>
    </row>
    <row r="1859" customFormat="false" ht="15" hidden="false" customHeight="false" outlineLevel="0" collapsed="false">
      <c r="A1859" s="29" t="str">
        <f aca="false">IF($C1859="","",ROW()-4)</f>
        <v/>
      </c>
      <c r="B1859" s="35" t="str">
        <f aca="false">IF($C1859="","","SK"&amp;TEXT($C1859,"yyyymm")&amp;"-"&amp;TEXT(ROW()-4,"0000"))</f>
        <v/>
      </c>
      <c r="C1859" s="33"/>
      <c r="D1859" s="24"/>
      <c r="E1859" s="30" t="str">
        <f aca="false">IF($D1859="","",IFERROR(INDEX(合同单位,MATCH($D1859,合同键,0)),IFERROR(TRIM(LEFT($D1859,FIND("｜",$D1859)-1)),$D1859)))</f>
        <v/>
      </c>
      <c r="F1859" s="30" t="str">
        <f aca="false">IF($D1859="","",IFERROR(INDEX(合同项目,MATCH($D1859,合同键,0)),IFERROR(TRIM(MID($D1859,FIND("｜",$D1859)+1,99)),"")))</f>
        <v/>
      </c>
      <c r="G1859" s="39"/>
      <c r="H1859" s="25"/>
      <c r="I1859" s="35" t="str">
        <f aca="false">IF($H1859="","",IFERROR(INDEX(票据归类表,MATCH($H1859,票据类型表,0)),"现金无票"))</f>
        <v/>
      </c>
      <c r="J1859" s="25"/>
      <c r="K1859" s="25"/>
      <c r="L1859" s="31"/>
      <c r="M1859" s="29" t="str">
        <f aca="false">IF($C1859="","",YEAR($C1859))</f>
        <v/>
      </c>
      <c r="N1859" s="24"/>
      <c r="O1859" s="35" t="str">
        <f aca="false">IF($C1859="","",IF($D1859="","★没选客户项目",IF(COUNTIF(合同键,$D1859)=0,"★《维保合同》里没这个项目",IF(N($G1859)&lt;=0,"★收款金额要填",IF($H1859="","★票据类型要选",IF(AND($L1859&lt;&gt;"",COUNTIF(应收单号,$L1859)=0),"★关联的应收单号不存在",IF(AND($L1859&lt;&gt;"",IFERROR(INDEX(应收键,MATCH($L1859,应收单号,0)),"")&lt;&gt;$D1859),"★关联单号不是这个客户的",IF(AND($L1859&lt;&gt;"",ROUND(SUMIF(收款关联,$L1859,收款金额)-IFERROR(INDEX(应收金额,MATCH($L1859,应收单号,0)),0),2)&gt;0.001),"★指定冲销超过那张单的应收","OK"))))))))</f>
        <v/>
      </c>
    </row>
    <row r="1860" customFormat="false" ht="15" hidden="false" customHeight="false" outlineLevel="0" collapsed="false">
      <c r="A1860" s="29" t="str">
        <f aca="false">IF($C1860="","",ROW()-4)</f>
        <v/>
      </c>
      <c r="B1860" s="35" t="str">
        <f aca="false">IF($C1860="","","SK"&amp;TEXT($C1860,"yyyymm")&amp;"-"&amp;TEXT(ROW()-4,"0000"))</f>
        <v/>
      </c>
      <c r="C1860" s="33"/>
      <c r="D1860" s="24"/>
      <c r="E1860" s="30" t="str">
        <f aca="false">IF($D1860="","",IFERROR(INDEX(合同单位,MATCH($D1860,合同键,0)),IFERROR(TRIM(LEFT($D1860,FIND("｜",$D1860)-1)),$D1860)))</f>
        <v/>
      </c>
      <c r="F1860" s="30" t="str">
        <f aca="false">IF($D1860="","",IFERROR(INDEX(合同项目,MATCH($D1860,合同键,0)),IFERROR(TRIM(MID($D1860,FIND("｜",$D1860)+1,99)),"")))</f>
        <v/>
      </c>
      <c r="G1860" s="39"/>
      <c r="H1860" s="25"/>
      <c r="I1860" s="35" t="str">
        <f aca="false">IF($H1860="","",IFERROR(INDEX(票据归类表,MATCH($H1860,票据类型表,0)),"现金无票"))</f>
        <v/>
      </c>
      <c r="J1860" s="25"/>
      <c r="K1860" s="25"/>
      <c r="L1860" s="31"/>
      <c r="M1860" s="29" t="str">
        <f aca="false">IF($C1860="","",YEAR($C1860))</f>
        <v/>
      </c>
      <c r="N1860" s="24"/>
      <c r="O1860" s="35" t="str">
        <f aca="false">IF($C1860="","",IF($D1860="","★没选客户项目",IF(COUNTIF(合同键,$D1860)=0,"★《维保合同》里没这个项目",IF(N($G1860)&lt;=0,"★收款金额要填",IF($H1860="","★票据类型要选",IF(AND($L1860&lt;&gt;"",COUNTIF(应收单号,$L1860)=0),"★关联的应收单号不存在",IF(AND($L1860&lt;&gt;"",IFERROR(INDEX(应收键,MATCH($L1860,应收单号,0)),"")&lt;&gt;$D1860),"★关联单号不是这个客户的",IF(AND($L1860&lt;&gt;"",ROUND(SUMIF(收款关联,$L1860,收款金额)-IFERROR(INDEX(应收金额,MATCH($L1860,应收单号,0)),0),2)&gt;0.001),"★指定冲销超过那张单的应收","OK"))))))))</f>
        <v/>
      </c>
    </row>
    <row r="1861" customFormat="false" ht="15" hidden="false" customHeight="false" outlineLevel="0" collapsed="false">
      <c r="A1861" s="29" t="str">
        <f aca="false">IF($C1861="","",ROW()-4)</f>
        <v/>
      </c>
      <c r="B1861" s="35" t="str">
        <f aca="false">IF($C1861="","","SK"&amp;TEXT($C1861,"yyyymm")&amp;"-"&amp;TEXT(ROW()-4,"0000"))</f>
        <v/>
      </c>
      <c r="C1861" s="33"/>
      <c r="D1861" s="24"/>
      <c r="E1861" s="30" t="str">
        <f aca="false">IF($D1861="","",IFERROR(INDEX(合同单位,MATCH($D1861,合同键,0)),IFERROR(TRIM(LEFT($D1861,FIND("｜",$D1861)-1)),$D1861)))</f>
        <v/>
      </c>
      <c r="F1861" s="30" t="str">
        <f aca="false">IF($D1861="","",IFERROR(INDEX(合同项目,MATCH($D1861,合同键,0)),IFERROR(TRIM(MID($D1861,FIND("｜",$D1861)+1,99)),"")))</f>
        <v/>
      </c>
      <c r="G1861" s="39"/>
      <c r="H1861" s="25"/>
      <c r="I1861" s="35" t="str">
        <f aca="false">IF($H1861="","",IFERROR(INDEX(票据归类表,MATCH($H1861,票据类型表,0)),"现金无票"))</f>
        <v/>
      </c>
      <c r="J1861" s="25"/>
      <c r="K1861" s="25"/>
      <c r="L1861" s="31"/>
      <c r="M1861" s="29" t="str">
        <f aca="false">IF($C1861="","",YEAR($C1861))</f>
        <v/>
      </c>
      <c r="N1861" s="24"/>
      <c r="O1861" s="35" t="str">
        <f aca="false">IF($C1861="","",IF($D1861="","★没选客户项目",IF(COUNTIF(合同键,$D1861)=0,"★《维保合同》里没这个项目",IF(N($G1861)&lt;=0,"★收款金额要填",IF($H1861="","★票据类型要选",IF(AND($L1861&lt;&gt;"",COUNTIF(应收单号,$L1861)=0),"★关联的应收单号不存在",IF(AND($L1861&lt;&gt;"",IFERROR(INDEX(应收键,MATCH($L1861,应收单号,0)),"")&lt;&gt;$D1861),"★关联单号不是这个客户的",IF(AND($L1861&lt;&gt;"",ROUND(SUMIF(收款关联,$L1861,收款金额)-IFERROR(INDEX(应收金额,MATCH($L1861,应收单号,0)),0),2)&gt;0.001),"★指定冲销超过那张单的应收","OK"))))))))</f>
        <v/>
      </c>
    </row>
    <row r="1862" customFormat="false" ht="15" hidden="false" customHeight="false" outlineLevel="0" collapsed="false">
      <c r="A1862" s="29" t="str">
        <f aca="false">IF($C1862="","",ROW()-4)</f>
        <v/>
      </c>
      <c r="B1862" s="35" t="str">
        <f aca="false">IF($C1862="","","SK"&amp;TEXT($C1862,"yyyymm")&amp;"-"&amp;TEXT(ROW()-4,"0000"))</f>
        <v/>
      </c>
      <c r="C1862" s="33"/>
      <c r="D1862" s="24"/>
      <c r="E1862" s="30" t="str">
        <f aca="false">IF($D1862="","",IFERROR(INDEX(合同单位,MATCH($D1862,合同键,0)),IFERROR(TRIM(LEFT($D1862,FIND("｜",$D1862)-1)),$D1862)))</f>
        <v/>
      </c>
      <c r="F1862" s="30" t="str">
        <f aca="false">IF($D1862="","",IFERROR(INDEX(合同项目,MATCH($D1862,合同键,0)),IFERROR(TRIM(MID($D1862,FIND("｜",$D1862)+1,99)),"")))</f>
        <v/>
      </c>
      <c r="G1862" s="39"/>
      <c r="H1862" s="25"/>
      <c r="I1862" s="35" t="str">
        <f aca="false">IF($H1862="","",IFERROR(INDEX(票据归类表,MATCH($H1862,票据类型表,0)),"现金无票"))</f>
        <v/>
      </c>
      <c r="J1862" s="25"/>
      <c r="K1862" s="25"/>
      <c r="L1862" s="31"/>
      <c r="M1862" s="29" t="str">
        <f aca="false">IF($C1862="","",YEAR($C1862))</f>
        <v/>
      </c>
      <c r="N1862" s="24"/>
      <c r="O1862" s="35" t="str">
        <f aca="false">IF($C1862="","",IF($D1862="","★没选客户项目",IF(COUNTIF(合同键,$D1862)=0,"★《维保合同》里没这个项目",IF(N($G1862)&lt;=0,"★收款金额要填",IF($H1862="","★票据类型要选",IF(AND($L1862&lt;&gt;"",COUNTIF(应收单号,$L1862)=0),"★关联的应收单号不存在",IF(AND($L1862&lt;&gt;"",IFERROR(INDEX(应收键,MATCH($L1862,应收单号,0)),"")&lt;&gt;$D1862),"★关联单号不是这个客户的",IF(AND($L1862&lt;&gt;"",ROUND(SUMIF(收款关联,$L1862,收款金额)-IFERROR(INDEX(应收金额,MATCH($L1862,应收单号,0)),0),2)&gt;0.001),"★指定冲销超过那张单的应收","OK"))))))))</f>
        <v/>
      </c>
    </row>
    <row r="1863" customFormat="false" ht="15" hidden="false" customHeight="false" outlineLevel="0" collapsed="false">
      <c r="A1863" s="29" t="str">
        <f aca="false">IF($C1863="","",ROW()-4)</f>
        <v/>
      </c>
      <c r="B1863" s="35" t="str">
        <f aca="false">IF($C1863="","","SK"&amp;TEXT($C1863,"yyyymm")&amp;"-"&amp;TEXT(ROW()-4,"0000"))</f>
        <v/>
      </c>
      <c r="C1863" s="33"/>
      <c r="D1863" s="24"/>
      <c r="E1863" s="30" t="str">
        <f aca="false">IF($D1863="","",IFERROR(INDEX(合同单位,MATCH($D1863,合同键,0)),IFERROR(TRIM(LEFT($D1863,FIND("｜",$D1863)-1)),$D1863)))</f>
        <v/>
      </c>
      <c r="F1863" s="30" t="str">
        <f aca="false">IF($D1863="","",IFERROR(INDEX(合同项目,MATCH($D1863,合同键,0)),IFERROR(TRIM(MID($D1863,FIND("｜",$D1863)+1,99)),"")))</f>
        <v/>
      </c>
      <c r="G1863" s="39"/>
      <c r="H1863" s="25"/>
      <c r="I1863" s="35" t="str">
        <f aca="false">IF($H1863="","",IFERROR(INDEX(票据归类表,MATCH($H1863,票据类型表,0)),"现金无票"))</f>
        <v/>
      </c>
      <c r="J1863" s="25"/>
      <c r="K1863" s="25"/>
      <c r="L1863" s="31"/>
      <c r="M1863" s="29" t="str">
        <f aca="false">IF($C1863="","",YEAR($C1863))</f>
        <v/>
      </c>
      <c r="N1863" s="24"/>
      <c r="O1863" s="35" t="str">
        <f aca="false">IF($C1863="","",IF($D1863="","★没选客户项目",IF(COUNTIF(合同键,$D1863)=0,"★《维保合同》里没这个项目",IF(N($G1863)&lt;=0,"★收款金额要填",IF($H1863="","★票据类型要选",IF(AND($L1863&lt;&gt;"",COUNTIF(应收单号,$L1863)=0),"★关联的应收单号不存在",IF(AND($L1863&lt;&gt;"",IFERROR(INDEX(应收键,MATCH($L1863,应收单号,0)),"")&lt;&gt;$D1863),"★关联单号不是这个客户的",IF(AND($L1863&lt;&gt;"",ROUND(SUMIF(收款关联,$L1863,收款金额)-IFERROR(INDEX(应收金额,MATCH($L1863,应收单号,0)),0),2)&gt;0.001),"★指定冲销超过那张单的应收","OK"))))))))</f>
        <v/>
      </c>
    </row>
    <row r="1864" customFormat="false" ht="15" hidden="false" customHeight="false" outlineLevel="0" collapsed="false">
      <c r="A1864" s="29" t="str">
        <f aca="false">IF($C1864="","",ROW()-4)</f>
        <v/>
      </c>
      <c r="B1864" s="35" t="str">
        <f aca="false">IF($C1864="","","SK"&amp;TEXT($C1864,"yyyymm")&amp;"-"&amp;TEXT(ROW()-4,"0000"))</f>
        <v/>
      </c>
      <c r="C1864" s="33"/>
      <c r="D1864" s="24"/>
      <c r="E1864" s="30" t="str">
        <f aca="false">IF($D1864="","",IFERROR(INDEX(合同单位,MATCH($D1864,合同键,0)),IFERROR(TRIM(LEFT($D1864,FIND("｜",$D1864)-1)),$D1864)))</f>
        <v/>
      </c>
      <c r="F1864" s="30" t="str">
        <f aca="false">IF($D1864="","",IFERROR(INDEX(合同项目,MATCH($D1864,合同键,0)),IFERROR(TRIM(MID($D1864,FIND("｜",$D1864)+1,99)),"")))</f>
        <v/>
      </c>
      <c r="G1864" s="39"/>
      <c r="H1864" s="25"/>
      <c r="I1864" s="35" t="str">
        <f aca="false">IF($H1864="","",IFERROR(INDEX(票据归类表,MATCH($H1864,票据类型表,0)),"现金无票"))</f>
        <v/>
      </c>
      <c r="J1864" s="25"/>
      <c r="K1864" s="25"/>
      <c r="L1864" s="31"/>
      <c r="M1864" s="29" t="str">
        <f aca="false">IF($C1864="","",YEAR($C1864))</f>
        <v/>
      </c>
      <c r="N1864" s="24"/>
      <c r="O1864" s="35" t="str">
        <f aca="false">IF($C1864="","",IF($D1864="","★没选客户项目",IF(COUNTIF(合同键,$D1864)=0,"★《维保合同》里没这个项目",IF(N($G1864)&lt;=0,"★收款金额要填",IF($H1864="","★票据类型要选",IF(AND($L1864&lt;&gt;"",COUNTIF(应收单号,$L1864)=0),"★关联的应收单号不存在",IF(AND($L1864&lt;&gt;"",IFERROR(INDEX(应收键,MATCH($L1864,应收单号,0)),"")&lt;&gt;$D1864),"★关联单号不是这个客户的",IF(AND($L1864&lt;&gt;"",ROUND(SUMIF(收款关联,$L1864,收款金额)-IFERROR(INDEX(应收金额,MATCH($L1864,应收单号,0)),0),2)&gt;0.001),"★指定冲销超过那张单的应收","OK"))))))))</f>
        <v/>
      </c>
    </row>
    <row r="1865" customFormat="false" ht="15" hidden="false" customHeight="false" outlineLevel="0" collapsed="false">
      <c r="A1865" s="29" t="str">
        <f aca="false">IF($C1865="","",ROW()-4)</f>
        <v/>
      </c>
      <c r="B1865" s="35" t="str">
        <f aca="false">IF($C1865="","","SK"&amp;TEXT($C1865,"yyyymm")&amp;"-"&amp;TEXT(ROW()-4,"0000"))</f>
        <v/>
      </c>
      <c r="C1865" s="33"/>
      <c r="D1865" s="24"/>
      <c r="E1865" s="30" t="str">
        <f aca="false">IF($D1865="","",IFERROR(INDEX(合同单位,MATCH($D1865,合同键,0)),IFERROR(TRIM(LEFT($D1865,FIND("｜",$D1865)-1)),$D1865)))</f>
        <v/>
      </c>
      <c r="F1865" s="30" t="str">
        <f aca="false">IF($D1865="","",IFERROR(INDEX(合同项目,MATCH($D1865,合同键,0)),IFERROR(TRIM(MID($D1865,FIND("｜",$D1865)+1,99)),"")))</f>
        <v/>
      </c>
      <c r="G1865" s="39"/>
      <c r="H1865" s="25"/>
      <c r="I1865" s="35" t="str">
        <f aca="false">IF($H1865="","",IFERROR(INDEX(票据归类表,MATCH($H1865,票据类型表,0)),"现金无票"))</f>
        <v/>
      </c>
      <c r="J1865" s="25"/>
      <c r="K1865" s="25"/>
      <c r="L1865" s="31"/>
      <c r="M1865" s="29" t="str">
        <f aca="false">IF($C1865="","",YEAR($C1865))</f>
        <v/>
      </c>
      <c r="N1865" s="24"/>
      <c r="O1865" s="35" t="str">
        <f aca="false">IF($C1865="","",IF($D1865="","★没选客户项目",IF(COUNTIF(合同键,$D1865)=0,"★《维保合同》里没这个项目",IF(N($G1865)&lt;=0,"★收款金额要填",IF($H1865="","★票据类型要选",IF(AND($L1865&lt;&gt;"",COUNTIF(应收单号,$L1865)=0),"★关联的应收单号不存在",IF(AND($L1865&lt;&gt;"",IFERROR(INDEX(应收键,MATCH($L1865,应收单号,0)),"")&lt;&gt;$D1865),"★关联单号不是这个客户的",IF(AND($L1865&lt;&gt;"",ROUND(SUMIF(收款关联,$L1865,收款金额)-IFERROR(INDEX(应收金额,MATCH($L1865,应收单号,0)),0),2)&gt;0.001),"★指定冲销超过那张单的应收","OK"))))))))</f>
        <v/>
      </c>
    </row>
    <row r="1866" customFormat="false" ht="15" hidden="false" customHeight="false" outlineLevel="0" collapsed="false">
      <c r="A1866" s="29" t="str">
        <f aca="false">IF($C1866="","",ROW()-4)</f>
        <v/>
      </c>
      <c r="B1866" s="35" t="str">
        <f aca="false">IF($C1866="","","SK"&amp;TEXT($C1866,"yyyymm")&amp;"-"&amp;TEXT(ROW()-4,"0000"))</f>
        <v/>
      </c>
      <c r="C1866" s="33"/>
      <c r="D1866" s="24"/>
      <c r="E1866" s="30" t="str">
        <f aca="false">IF($D1866="","",IFERROR(INDEX(合同单位,MATCH($D1866,合同键,0)),IFERROR(TRIM(LEFT($D1866,FIND("｜",$D1866)-1)),$D1866)))</f>
        <v/>
      </c>
      <c r="F1866" s="30" t="str">
        <f aca="false">IF($D1866="","",IFERROR(INDEX(合同项目,MATCH($D1866,合同键,0)),IFERROR(TRIM(MID($D1866,FIND("｜",$D1866)+1,99)),"")))</f>
        <v/>
      </c>
      <c r="G1866" s="39"/>
      <c r="H1866" s="25"/>
      <c r="I1866" s="35" t="str">
        <f aca="false">IF($H1866="","",IFERROR(INDEX(票据归类表,MATCH($H1866,票据类型表,0)),"现金无票"))</f>
        <v/>
      </c>
      <c r="J1866" s="25"/>
      <c r="K1866" s="25"/>
      <c r="L1866" s="31"/>
      <c r="M1866" s="29" t="str">
        <f aca="false">IF($C1866="","",YEAR($C1866))</f>
        <v/>
      </c>
      <c r="N1866" s="24"/>
      <c r="O1866" s="35" t="str">
        <f aca="false">IF($C1866="","",IF($D1866="","★没选客户项目",IF(COUNTIF(合同键,$D1866)=0,"★《维保合同》里没这个项目",IF(N($G1866)&lt;=0,"★收款金额要填",IF($H1866="","★票据类型要选",IF(AND($L1866&lt;&gt;"",COUNTIF(应收单号,$L1866)=0),"★关联的应收单号不存在",IF(AND($L1866&lt;&gt;"",IFERROR(INDEX(应收键,MATCH($L1866,应收单号,0)),"")&lt;&gt;$D1866),"★关联单号不是这个客户的",IF(AND($L1866&lt;&gt;"",ROUND(SUMIF(收款关联,$L1866,收款金额)-IFERROR(INDEX(应收金额,MATCH($L1866,应收单号,0)),0),2)&gt;0.001),"★指定冲销超过那张单的应收","OK"))))))))</f>
        <v/>
      </c>
    </row>
    <row r="1867" customFormat="false" ht="15" hidden="false" customHeight="false" outlineLevel="0" collapsed="false">
      <c r="A1867" s="29" t="str">
        <f aca="false">IF($C1867="","",ROW()-4)</f>
        <v/>
      </c>
      <c r="B1867" s="35" t="str">
        <f aca="false">IF($C1867="","","SK"&amp;TEXT($C1867,"yyyymm")&amp;"-"&amp;TEXT(ROW()-4,"0000"))</f>
        <v/>
      </c>
      <c r="C1867" s="33"/>
      <c r="D1867" s="24"/>
      <c r="E1867" s="30" t="str">
        <f aca="false">IF($D1867="","",IFERROR(INDEX(合同单位,MATCH($D1867,合同键,0)),IFERROR(TRIM(LEFT($D1867,FIND("｜",$D1867)-1)),$D1867)))</f>
        <v/>
      </c>
      <c r="F1867" s="30" t="str">
        <f aca="false">IF($D1867="","",IFERROR(INDEX(合同项目,MATCH($D1867,合同键,0)),IFERROR(TRIM(MID($D1867,FIND("｜",$D1867)+1,99)),"")))</f>
        <v/>
      </c>
      <c r="G1867" s="39"/>
      <c r="H1867" s="25"/>
      <c r="I1867" s="35" t="str">
        <f aca="false">IF($H1867="","",IFERROR(INDEX(票据归类表,MATCH($H1867,票据类型表,0)),"现金无票"))</f>
        <v/>
      </c>
      <c r="J1867" s="25"/>
      <c r="K1867" s="25"/>
      <c r="L1867" s="31"/>
      <c r="M1867" s="29" t="str">
        <f aca="false">IF($C1867="","",YEAR($C1867))</f>
        <v/>
      </c>
      <c r="N1867" s="24"/>
      <c r="O1867" s="35" t="str">
        <f aca="false">IF($C1867="","",IF($D1867="","★没选客户项目",IF(COUNTIF(合同键,$D1867)=0,"★《维保合同》里没这个项目",IF(N($G1867)&lt;=0,"★收款金额要填",IF($H1867="","★票据类型要选",IF(AND($L1867&lt;&gt;"",COUNTIF(应收单号,$L1867)=0),"★关联的应收单号不存在",IF(AND($L1867&lt;&gt;"",IFERROR(INDEX(应收键,MATCH($L1867,应收单号,0)),"")&lt;&gt;$D1867),"★关联单号不是这个客户的",IF(AND($L1867&lt;&gt;"",ROUND(SUMIF(收款关联,$L1867,收款金额)-IFERROR(INDEX(应收金额,MATCH($L1867,应收单号,0)),0),2)&gt;0.001),"★指定冲销超过那张单的应收","OK"))))))))</f>
        <v/>
      </c>
    </row>
    <row r="1868" customFormat="false" ht="15" hidden="false" customHeight="false" outlineLevel="0" collapsed="false">
      <c r="A1868" s="29" t="str">
        <f aca="false">IF($C1868="","",ROW()-4)</f>
        <v/>
      </c>
      <c r="B1868" s="35" t="str">
        <f aca="false">IF($C1868="","","SK"&amp;TEXT($C1868,"yyyymm")&amp;"-"&amp;TEXT(ROW()-4,"0000"))</f>
        <v/>
      </c>
      <c r="C1868" s="33"/>
      <c r="D1868" s="24"/>
      <c r="E1868" s="30" t="str">
        <f aca="false">IF($D1868="","",IFERROR(INDEX(合同单位,MATCH($D1868,合同键,0)),IFERROR(TRIM(LEFT($D1868,FIND("｜",$D1868)-1)),$D1868)))</f>
        <v/>
      </c>
      <c r="F1868" s="30" t="str">
        <f aca="false">IF($D1868="","",IFERROR(INDEX(合同项目,MATCH($D1868,合同键,0)),IFERROR(TRIM(MID($D1868,FIND("｜",$D1868)+1,99)),"")))</f>
        <v/>
      </c>
      <c r="G1868" s="39"/>
      <c r="H1868" s="25"/>
      <c r="I1868" s="35" t="str">
        <f aca="false">IF($H1868="","",IFERROR(INDEX(票据归类表,MATCH($H1868,票据类型表,0)),"现金无票"))</f>
        <v/>
      </c>
      <c r="J1868" s="25"/>
      <c r="K1868" s="25"/>
      <c r="L1868" s="31"/>
      <c r="M1868" s="29" t="str">
        <f aca="false">IF($C1868="","",YEAR($C1868))</f>
        <v/>
      </c>
      <c r="N1868" s="24"/>
      <c r="O1868" s="35" t="str">
        <f aca="false">IF($C1868="","",IF($D1868="","★没选客户项目",IF(COUNTIF(合同键,$D1868)=0,"★《维保合同》里没这个项目",IF(N($G1868)&lt;=0,"★收款金额要填",IF($H1868="","★票据类型要选",IF(AND($L1868&lt;&gt;"",COUNTIF(应收单号,$L1868)=0),"★关联的应收单号不存在",IF(AND($L1868&lt;&gt;"",IFERROR(INDEX(应收键,MATCH($L1868,应收单号,0)),"")&lt;&gt;$D1868),"★关联单号不是这个客户的",IF(AND($L1868&lt;&gt;"",ROUND(SUMIF(收款关联,$L1868,收款金额)-IFERROR(INDEX(应收金额,MATCH($L1868,应收单号,0)),0),2)&gt;0.001),"★指定冲销超过那张单的应收","OK"))))))))</f>
        <v/>
      </c>
    </row>
    <row r="1869" customFormat="false" ht="15" hidden="false" customHeight="false" outlineLevel="0" collapsed="false">
      <c r="A1869" s="29" t="str">
        <f aca="false">IF($C1869="","",ROW()-4)</f>
        <v/>
      </c>
      <c r="B1869" s="35" t="str">
        <f aca="false">IF($C1869="","","SK"&amp;TEXT($C1869,"yyyymm")&amp;"-"&amp;TEXT(ROW()-4,"0000"))</f>
        <v/>
      </c>
      <c r="C1869" s="33"/>
      <c r="D1869" s="24"/>
      <c r="E1869" s="30" t="str">
        <f aca="false">IF($D1869="","",IFERROR(INDEX(合同单位,MATCH($D1869,合同键,0)),IFERROR(TRIM(LEFT($D1869,FIND("｜",$D1869)-1)),$D1869)))</f>
        <v/>
      </c>
      <c r="F1869" s="30" t="str">
        <f aca="false">IF($D1869="","",IFERROR(INDEX(合同项目,MATCH($D1869,合同键,0)),IFERROR(TRIM(MID($D1869,FIND("｜",$D1869)+1,99)),"")))</f>
        <v/>
      </c>
      <c r="G1869" s="39"/>
      <c r="H1869" s="25"/>
      <c r="I1869" s="35" t="str">
        <f aca="false">IF($H1869="","",IFERROR(INDEX(票据归类表,MATCH($H1869,票据类型表,0)),"现金无票"))</f>
        <v/>
      </c>
      <c r="J1869" s="25"/>
      <c r="K1869" s="25"/>
      <c r="L1869" s="31"/>
      <c r="M1869" s="29" t="str">
        <f aca="false">IF($C1869="","",YEAR($C1869))</f>
        <v/>
      </c>
      <c r="N1869" s="24"/>
      <c r="O1869" s="35" t="str">
        <f aca="false">IF($C1869="","",IF($D1869="","★没选客户项目",IF(COUNTIF(合同键,$D1869)=0,"★《维保合同》里没这个项目",IF(N($G1869)&lt;=0,"★收款金额要填",IF($H1869="","★票据类型要选",IF(AND($L1869&lt;&gt;"",COUNTIF(应收单号,$L1869)=0),"★关联的应收单号不存在",IF(AND($L1869&lt;&gt;"",IFERROR(INDEX(应收键,MATCH($L1869,应收单号,0)),"")&lt;&gt;$D1869),"★关联单号不是这个客户的",IF(AND($L1869&lt;&gt;"",ROUND(SUMIF(收款关联,$L1869,收款金额)-IFERROR(INDEX(应收金额,MATCH($L1869,应收单号,0)),0),2)&gt;0.001),"★指定冲销超过那张单的应收","OK"))))))))</f>
        <v/>
      </c>
    </row>
    <row r="1870" customFormat="false" ht="15" hidden="false" customHeight="false" outlineLevel="0" collapsed="false">
      <c r="A1870" s="29" t="str">
        <f aca="false">IF($C1870="","",ROW()-4)</f>
        <v/>
      </c>
      <c r="B1870" s="35" t="str">
        <f aca="false">IF($C1870="","","SK"&amp;TEXT($C1870,"yyyymm")&amp;"-"&amp;TEXT(ROW()-4,"0000"))</f>
        <v/>
      </c>
      <c r="C1870" s="33"/>
      <c r="D1870" s="24"/>
      <c r="E1870" s="30" t="str">
        <f aca="false">IF($D1870="","",IFERROR(INDEX(合同单位,MATCH($D1870,合同键,0)),IFERROR(TRIM(LEFT($D1870,FIND("｜",$D1870)-1)),$D1870)))</f>
        <v/>
      </c>
      <c r="F1870" s="30" t="str">
        <f aca="false">IF($D1870="","",IFERROR(INDEX(合同项目,MATCH($D1870,合同键,0)),IFERROR(TRIM(MID($D1870,FIND("｜",$D1870)+1,99)),"")))</f>
        <v/>
      </c>
      <c r="G1870" s="39"/>
      <c r="H1870" s="25"/>
      <c r="I1870" s="35" t="str">
        <f aca="false">IF($H1870="","",IFERROR(INDEX(票据归类表,MATCH($H1870,票据类型表,0)),"现金无票"))</f>
        <v/>
      </c>
      <c r="J1870" s="25"/>
      <c r="K1870" s="25"/>
      <c r="L1870" s="31"/>
      <c r="M1870" s="29" t="str">
        <f aca="false">IF($C1870="","",YEAR($C1870))</f>
        <v/>
      </c>
      <c r="N1870" s="24"/>
      <c r="O1870" s="35" t="str">
        <f aca="false">IF($C1870="","",IF($D1870="","★没选客户项目",IF(COUNTIF(合同键,$D1870)=0,"★《维保合同》里没这个项目",IF(N($G1870)&lt;=0,"★收款金额要填",IF($H1870="","★票据类型要选",IF(AND($L1870&lt;&gt;"",COUNTIF(应收单号,$L1870)=0),"★关联的应收单号不存在",IF(AND($L1870&lt;&gt;"",IFERROR(INDEX(应收键,MATCH($L1870,应收单号,0)),"")&lt;&gt;$D1870),"★关联单号不是这个客户的",IF(AND($L1870&lt;&gt;"",ROUND(SUMIF(收款关联,$L1870,收款金额)-IFERROR(INDEX(应收金额,MATCH($L1870,应收单号,0)),0),2)&gt;0.001),"★指定冲销超过那张单的应收","OK"))))))))</f>
        <v/>
      </c>
    </row>
    <row r="1871" customFormat="false" ht="15" hidden="false" customHeight="false" outlineLevel="0" collapsed="false">
      <c r="A1871" s="29" t="str">
        <f aca="false">IF($C1871="","",ROW()-4)</f>
        <v/>
      </c>
      <c r="B1871" s="35" t="str">
        <f aca="false">IF($C1871="","","SK"&amp;TEXT($C1871,"yyyymm")&amp;"-"&amp;TEXT(ROW()-4,"0000"))</f>
        <v/>
      </c>
      <c r="C1871" s="33"/>
      <c r="D1871" s="24"/>
      <c r="E1871" s="30" t="str">
        <f aca="false">IF($D1871="","",IFERROR(INDEX(合同单位,MATCH($D1871,合同键,0)),IFERROR(TRIM(LEFT($D1871,FIND("｜",$D1871)-1)),$D1871)))</f>
        <v/>
      </c>
      <c r="F1871" s="30" t="str">
        <f aca="false">IF($D1871="","",IFERROR(INDEX(合同项目,MATCH($D1871,合同键,0)),IFERROR(TRIM(MID($D1871,FIND("｜",$D1871)+1,99)),"")))</f>
        <v/>
      </c>
      <c r="G1871" s="39"/>
      <c r="H1871" s="25"/>
      <c r="I1871" s="35" t="str">
        <f aca="false">IF($H1871="","",IFERROR(INDEX(票据归类表,MATCH($H1871,票据类型表,0)),"现金无票"))</f>
        <v/>
      </c>
      <c r="J1871" s="25"/>
      <c r="K1871" s="25"/>
      <c r="L1871" s="31"/>
      <c r="M1871" s="29" t="str">
        <f aca="false">IF($C1871="","",YEAR($C1871))</f>
        <v/>
      </c>
      <c r="N1871" s="24"/>
      <c r="O1871" s="35" t="str">
        <f aca="false">IF($C1871="","",IF($D1871="","★没选客户项目",IF(COUNTIF(合同键,$D1871)=0,"★《维保合同》里没这个项目",IF(N($G1871)&lt;=0,"★收款金额要填",IF($H1871="","★票据类型要选",IF(AND($L1871&lt;&gt;"",COUNTIF(应收单号,$L1871)=0),"★关联的应收单号不存在",IF(AND($L1871&lt;&gt;"",IFERROR(INDEX(应收键,MATCH($L1871,应收单号,0)),"")&lt;&gt;$D1871),"★关联单号不是这个客户的",IF(AND($L1871&lt;&gt;"",ROUND(SUMIF(收款关联,$L1871,收款金额)-IFERROR(INDEX(应收金额,MATCH($L1871,应收单号,0)),0),2)&gt;0.001),"★指定冲销超过那张单的应收","OK"))))))))</f>
        <v/>
      </c>
    </row>
    <row r="1872" customFormat="false" ht="15" hidden="false" customHeight="false" outlineLevel="0" collapsed="false">
      <c r="A1872" s="29" t="str">
        <f aca="false">IF($C1872="","",ROW()-4)</f>
        <v/>
      </c>
      <c r="B1872" s="35" t="str">
        <f aca="false">IF($C1872="","","SK"&amp;TEXT($C1872,"yyyymm")&amp;"-"&amp;TEXT(ROW()-4,"0000"))</f>
        <v/>
      </c>
      <c r="C1872" s="33"/>
      <c r="D1872" s="24"/>
      <c r="E1872" s="30" t="str">
        <f aca="false">IF($D1872="","",IFERROR(INDEX(合同单位,MATCH($D1872,合同键,0)),IFERROR(TRIM(LEFT($D1872,FIND("｜",$D1872)-1)),$D1872)))</f>
        <v/>
      </c>
      <c r="F1872" s="30" t="str">
        <f aca="false">IF($D1872="","",IFERROR(INDEX(合同项目,MATCH($D1872,合同键,0)),IFERROR(TRIM(MID($D1872,FIND("｜",$D1872)+1,99)),"")))</f>
        <v/>
      </c>
      <c r="G1872" s="39"/>
      <c r="H1872" s="25"/>
      <c r="I1872" s="35" t="str">
        <f aca="false">IF($H1872="","",IFERROR(INDEX(票据归类表,MATCH($H1872,票据类型表,0)),"现金无票"))</f>
        <v/>
      </c>
      <c r="J1872" s="25"/>
      <c r="K1872" s="25"/>
      <c r="L1872" s="31"/>
      <c r="M1872" s="29" t="str">
        <f aca="false">IF($C1872="","",YEAR($C1872))</f>
        <v/>
      </c>
      <c r="N1872" s="24"/>
      <c r="O1872" s="35" t="str">
        <f aca="false">IF($C1872="","",IF($D1872="","★没选客户项目",IF(COUNTIF(合同键,$D1872)=0,"★《维保合同》里没这个项目",IF(N($G1872)&lt;=0,"★收款金额要填",IF($H1872="","★票据类型要选",IF(AND($L1872&lt;&gt;"",COUNTIF(应收单号,$L1872)=0),"★关联的应收单号不存在",IF(AND($L1872&lt;&gt;"",IFERROR(INDEX(应收键,MATCH($L1872,应收单号,0)),"")&lt;&gt;$D1872),"★关联单号不是这个客户的",IF(AND($L1872&lt;&gt;"",ROUND(SUMIF(收款关联,$L1872,收款金额)-IFERROR(INDEX(应收金额,MATCH($L1872,应收单号,0)),0),2)&gt;0.001),"★指定冲销超过那张单的应收","OK"))))))))</f>
        <v/>
      </c>
    </row>
    <row r="1873" customFormat="false" ht="15" hidden="false" customHeight="false" outlineLevel="0" collapsed="false">
      <c r="A1873" s="29" t="str">
        <f aca="false">IF($C1873="","",ROW()-4)</f>
        <v/>
      </c>
      <c r="B1873" s="35" t="str">
        <f aca="false">IF($C1873="","","SK"&amp;TEXT($C1873,"yyyymm")&amp;"-"&amp;TEXT(ROW()-4,"0000"))</f>
        <v/>
      </c>
      <c r="C1873" s="33"/>
      <c r="D1873" s="24"/>
      <c r="E1873" s="30" t="str">
        <f aca="false">IF($D1873="","",IFERROR(INDEX(合同单位,MATCH($D1873,合同键,0)),IFERROR(TRIM(LEFT($D1873,FIND("｜",$D1873)-1)),$D1873)))</f>
        <v/>
      </c>
      <c r="F1873" s="30" t="str">
        <f aca="false">IF($D1873="","",IFERROR(INDEX(合同项目,MATCH($D1873,合同键,0)),IFERROR(TRIM(MID($D1873,FIND("｜",$D1873)+1,99)),"")))</f>
        <v/>
      </c>
      <c r="G1873" s="39"/>
      <c r="H1873" s="25"/>
      <c r="I1873" s="35" t="str">
        <f aca="false">IF($H1873="","",IFERROR(INDEX(票据归类表,MATCH($H1873,票据类型表,0)),"现金无票"))</f>
        <v/>
      </c>
      <c r="J1873" s="25"/>
      <c r="K1873" s="25"/>
      <c r="L1873" s="31"/>
      <c r="M1873" s="29" t="str">
        <f aca="false">IF($C1873="","",YEAR($C1873))</f>
        <v/>
      </c>
      <c r="N1873" s="24"/>
      <c r="O1873" s="35" t="str">
        <f aca="false">IF($C1873="","",IF($D1873="","★没选客户项目",IF(COUNTIF(合同键,$D1873)=0,"★《维保合同》里没这个项目",IF(N($G1873)&lt;=0,"★收款金额要填",IF($H1873="","★票据类型要选",IF(AND($L1873&lt;&gt;"",COUNTIF(应收单号,$L1873)=0),"★关联的应收单号不存在",IF(AND($L1873&lt;&gt;"",IFERROR(INDEX(应收键,MATCH($L1873,应收单号,0)),"")&lt;&gt;$D1873),"★关联单号不是这个客户的",IF(AND($L1873&lt;&gt;"",ROUND(SUMIF(收款关联,$L1873,收款金额)-IFERROR(INDEX(应收金额,MATCH($L1873,应收单号,0)),0),2)&gt;0.001),"★指定冲销超过那张单的应收","OK"))))))))</f>
        <v/>
      </c>
    </row>
    <row r="1874" customFormat="false" ht="15" hidden="false" customHeight="false" outlineLevel="0" collapsed="false">
      <c r="A1874" s="29" t="str">
        <f aca="false">IF($C1874="","",ROW()-4)</f>
        <v/>
      </c>
      <c r="B1874" s="35" t="str">
        <f aca="false">IF($C1874="","","SK"&amp;TEXT($C1874,"yyyymm")&amp;"-"&amp;TEXT(ROW()-4,"0000"))</f>
        <v/>
      </c>
      <c r="C1874" s="33"/>
      <c r="D1874" s="24"/>
      <c r="E1874" s="30" t="str">
        <f aca="false">IF($D1874="","",IFERROR(INDEX(合同单位,MATCH($D1874,合同键,0)),IFERROR(TRIM(LEFT($D1874,FIND("｜",$D1874)-1)),$D1874)))</f>
        <v/>
      </c>
      <c r="F1874" s="30" t="str">
        <f aca="false">IF($D1874="","",IFERROR(INDEX(合同项目,MATCH($D1874,合同键,0)),IFERROR(TRIM(MID($D1874,FIND("｜",$D1874)+1,99)),"")))</f>
        <v/>
      </c>
      <c r="G1874" s="39"/>
      <c r="H1874" s="25"/>
      <c r="I1874" s="35" t="str">
        <f aca="false">IF($H1874="","",IFERROR(INDEX(票据归类表,MATCH($H1874,票据类型表,0)),"现金无票"))</f>
        <v/>
      </c>
      <c r="J1874" s="25"/>
      <c r="K1874" s="25"/>
      <c r="L1874" s="31"/>
      <c r="M1874" s="29" t="str">
        <f aca="false">IF($C1874="","",YEAR($C1874))</f>
        <v/>
      </c>
      <c r="N1874" s="24"/>
      <c r="O1874" s="35" t="str">
        <f aca="false">IF($C1874="","",IF($D1874="","★没选客户项目",IF(COUNTIF(合同键,$D1874)=0,"★《维保合同》里没这个项目",IF(N($G1874)&lt;=0,"★收款金额要填",IF($H1874="","★票据类型要选",IF(AND($L1874&lt;&gt;"",COUNTIF(应收单号,$L1874)=0),"★关联的应收单号不存在",IF(AND($L1874&lt;&gt;"",IFERROR(INDEX(应收键,MATCH($L1874,应收单号,0)),"")&lt;&gt;$D1874),"★关联单号不是这个客户的",IF(AND($L1874&lt;&gt;"",ROUND(SUMIF(收款关联,$L1874,收款金额)-IFERROR(INDEX(应收金额,MATCH($L1874,应收单号,0)),0),2)&gt;0.001),"★指定冲销超过那张单的应收","OK"))))))))</f>
        <v/>
      </c>
    </row>
    <row r="1875" customFormat="false" ht="15" hidden="false" customHeight="false" outlineLevel="0" collapsed="false">
      <c r="A1875" s="29" t="str">
        <f aca="false">IF($C1875="","",ROW()-4)</f>
        <v/>
      </c>
      <c r="B1875" s="35" t="str">
        <f aca="false">IF($C1875="","","SK"&amp;TEXT($C1875,"yyyymm")&amp;"-"&amp;TEXT(ROW()-4,"0000"))</f>
        <v/>
      </c>
      <c r="C1875" s="33"/>
      <c r="D1875" s="24"/>
      <c r="E1875" s="30" t="str">
        <f aca="false">IF($D1875="","",IFERROR(INDEX(合同单位,MATCH($D1875,合同键,0)),IFERROR(TRIM(LEFT($D1875,FIND("｜",$D1875)-1)),$D1875)))</f>
        <v/>
      </c>
      <c r="F1875" s="30" t="str">
        <f aca="false">IF($D1875="","",IFERROR(INDEX(合同项目,MATCH($D1875,合同键,0)),IFERROR(TRIM(MID($D1875,FIND("｜",$D1875)+1,99)),"")))</f>
        <v/>
      </c>
      <c r="G1875" s="39"/>
      <c r="H1875" s="25"/>
      <c r="I1875" s="35" t="str">
        <f aca="false">IF($H1875="","",IFERROR(INDEX(票据归类表,MATCH($H1875,票据类型表,0)),"现金无票"))</f>
        <v/>
      </c>
      <c r="J1875" s="25"/>
      <c r="K1875" s="25"/>
      <c r="L1875" s="31"/>
      <c r="M1875" s="29" t="str">
        <f aca="false">IF($C1875="","",YEAR($C1875))</f>
        <v/>
      </c>
      <c r="N1875" s="24"/>
      <c r="O1875" s="35" t="str">
        <f aca="false">IF($C1875="","",IF($D1875="","★没选客户项目",IF(COUNTIF(合同键,$D1875)=0,"★《维保合同》里没这个项目",IF(N($G1875)&lt;=0,"★收款金额要填",IF($H1875="","★票据类型要选",IF(AND($L1875&lt;&gt;"",COUNTIF(应收单号,$L1875)=0),"★关联的应收单号不存在",IF(AND($L1875&lt;&gt;"",IFERROR(INDEX(应收键,MATCH($L1875,应收单号,0)),"")&lt;&gt;$D1875),"★关联单号不是这个客户的",IF(AND($L1875&lt;&gt;"",ROUND(SUMIF(收款关联,$L1875,收款金额)-IFERROR(INDEX(应收金额,MATCH($L1875,应收单号,0)),0),2)&gt;0.001),"★指定冲销超过那张单的应收","OK"))))))))</f>
        <v/>
      </c>
    </row>
    <row r="1876" customFormat="false" ht="15" hidden="false" customHeight="false" outlineLevel="0" collapsed="false">
      <c r="A1876" s="29" t="str">
        <f aca="false">IF($C1876="","",ROW()-4)</f>
        <v/>
      </c>
      <c r="B1876" s="35" t="str">
        <f aca="false">IF($C1876="","","SK"&amp;TEXT($C1876,"yyyymm")&amp;"-"&amp;TEXT(ROW()-4,"0000"))</f>
        <v/>
      </c>
      <c r="C1876" s="33"/>
      <c r="D1876" s="24"/>
      <c r="E1876" s="30" t="str">
        <f aca="false">IF($D1876="","",IFERROR(INDEX(合同单位,MATCH($D1876,合同键,0)),IFERROR(TRIM(LEFT($D1876,FIND("｜",$D1876)-1)),$D1876)))</f>
        <v/>
      </c>
      <c r="F1876" s="30" t="str">
        <f aca="false">IF($D1876="","",IFERROR(INDEX(合同项目,MATCH($D1876,合同键,0)),IFERROR(TRIM(MID($D1876,FIND("｜",$D1876)+1,99)),"")))</f>
        <v/>
      </c>
      <c r="G1876" s="39"/>
      <c r="H1876" s="25"/>
      <c r="I1876" s="35" t="str">
        <f aca="false">IF($H1876="","",IFERROR(INDEX(票据归类表,MATCH($H1876,票据类型表,0)),"现金无票"))</f>
        <v/>
      </c>
      <c r="J1876" s="25"/>
      <c r="K1876" s="25"/>
      <c r="L1876" s="31"/>
      <c r="M1876" s="29" t="str">
        <f aca="false">IF($C1876="","",YEAR($C1876))</f>
        <v/>
      </c>
      <c r="N1876" s="24"/>
      <c r="O1876" s="35" t="str">
        <f aca="false">IF($C1876="","",IF($D1876="","★没选客户项目",IF(COUNTIF(合同键,$D1876)=0,"★《维保合同》里没这个项目",IF(N($G1876)&lt;=0,"★收款金额要填",IF($H1876="","★票据类型要选",IF(AND($L1876&lt;&gt;"",COUNTIF(应收单号,$L1876)=0),"★关联的应收单号不存在",IF(AND($L1876&lt;&gt;"",IFERROR(INDEX(应收键,MATCH($L1876,应收单号,0)),"")&lt;&gt;$D1876),"★关联单号不是这个客户的",IF(AND($L1876&lt;&gt;"",ROUND(SUMIF(收款关联,$L1876,收款金额)-IFERROR(INDEX(应收金额,MATCH($L1876,应收单号,0)),0),2)&gt;0.001),"★指定冲销超过那张单的应收","OK"))))))))</f>
        <v/>
      </c>
    </row>
    <row r="1877" customFormat="false" ht="15" hidden="false" customHeight="false" outlineLevel="0" collapsed="false">
      <c r="A1877" s="29" t="str">
        <f aca="false">IF($C1877="","",ROW()-4)</f>
        <v/>
      </c>
      <c r="B1877" s="35" t="str">
        <f aca="false">IF($C1877="","","SK"&amp;TEXT($C1877,"yyyymm")&amp;"-"&amp;TEXT(ROW()-4,"0000"))</f>
        <v/>
      </c>
      <c r="C1877" s="33"/>
      <c r="D1877" s="24"/>
      <c r="E1877" s="30" t="str">
        <f aca="false">IF($D1877="","",IFERROR(INDEX(合同单位,MATCH($D1877,合同键,0)),IFERROR(TRIM(LEFT($D1877,FIND("｜",$D1877)-1)),$D1877)))</f>
        <v/>
      </c>
      <c r="F1877" s="30" t="str">
        <f aca="false">IF($D1877="","",IFERROR(INDEX(合同项目,MATCH($D1877,合同键,0)),IFERROR(TRIM(MID($D1877,FIND("｜",$D1877)+1,99)),"")))</f>
        <v/>
      </c>
      <c r="G1877" s="39"/>
      <c r="H1877" s="25"/>
      <c r="I1877" s="35" t="str">
        <f aca="false">IF($H1877="","",IFERROR(INDEX(票据归类表,MATCH($H1877,票据类型表,0)),"现金无票"))</f>
        <v/>
      </c>
      <c r="J1877" s="25"/>
      <c r="K1877" s="25"/>
      <c r="L1877" s="31"/>
      <c r="M1877" s="29" t="str">
        <f aca="false">IF($C1877="","",YEAR($C1877))</f>
        <v/>
      </c>
      <c r="N1877" s="24"/>
      <c r="O1877" s="35" t="str">
        <f aca="false">IF($C1877="","",IF($D1877="","★没选客户项目",IF(COUNTIF(合同键,$D1877)=0,"★《维保合同》里没这个项目",IF(N($G1877)&lt;=0,"★收款金额要填",IF($H1877="","★票据类型要选",IF(AND($L1877&lt;&gt;"",COUNTIF(应收单号,$L1877)=0),"★关联的应收单号不存在",IF(AND($L1877&lt;&gt;"",IFERROR(INDEX(应收键,MATCH($L1877,应收单号,0)),"")&lt;&gt;$D1877),"★关联单号不是这个客户的",IF(AND($L1877&lt;&gt;"",ROUND(SUMIF(收款关联,$L1877,收款金额)-IFERROR(INDEX(应收金额,MATCH($L1877,应收单号,0)),0),2)&gt;0.001),"★指定冲销超过那张单的应收","OK"))))))))</f>
        <v/>
      </c>
    </row>
    <row r="1878" customFormat="false" ht="15" hidden="false" customHeight="false" outlineLevel="0" collapsed="false">
      <c r="A1878" s="29" t="str">
        <f aca="false">IF($C1878="","",ROW()-4)</f>
        <v/>
      </c>
      <c r="B1878" s="35" t="str">
        <f aca="false">IF($C1878="","","SK"&amp;TEXT($C1878,"yyyymm")&amp;"-"&amp;TEXT(ROW()-4,"0000"))</f>
        <v/>
      </c>
      <c r="C1878" s="33"/>
      <c r="D1878" s="24"/>
      <c r="E1878" s="30" t="str">
        <f aca="false">IF($D1878="","",IFERROR(INDEX(合同单位,MATCH($D1878,合同键,0)),IFERROR(TRIM(LEFT($D1878,FIND("｜",$D1878)-1)),$D1878)))</f>
        <v/>
      </c>
      <c r="F1878" s="30" t="str">
        <f aca="false">IF($D1878="","",IFERROR(INDEX(合同项目,MATCH($D1878,合同键,0)),IFERROR(TRIM(MID($D1878,FIND("｜",$D1878)+1,99)),"")))</f>
        <v/>
      </c>
      <c r="G1878" s="39"/>
      <c r="H1878" s="25"/>
      <c r="I1878" s="35" t="str">
        <f aca="false">IF($H1878="","",IFERROR(INDEX(票据归类表,MATCH($H1878,票据类型表,0)),"现金无票"))</f>
        <v/>
      </c>
      <c r="J1878" s="25"/>
      <c r="K1878" s="25"/>
      <c r="L1878" s="31"/>
      <c r="M1878" s="29" t="str">
        <f aca="false">IF($C1878="","",YEAR($C1878))</f>
        <v/>
      </c>
      <c r="N1878" s="24"/>
      <c r="O1878" s="35" t="str">
        <f aca="false">IF($C1878="","",IF($D1878="","★没选客户项目",IF(COUNTIF(合同键,$D1878)=0,"★《维保合同》里没这个项目",IF(N($G1878)&lt;=0,"★收款金额要填",IF($H1878="","★票据类型要选",IF(AND($L1878&lt;&gt;"",COUNTIF(应收单号,$L1878)=0),"★关联的应收单号不存在",IF(AND($L1878&lt;&gt;"",IFERROR(INDEX(应收键,MATCH($L1878,应收单号,0)),"")&lt;&gt;$D1878),"★关联单号不是这个客户的",IF(AND($L1878&lt;&gt;"",ROUND(SUMIF(收款关联,$L1878,收款金额)-IFERROR(INDEX(应收金额,MATCH($L1878,应收单号,0)),0),2)&gt;0.001),"★指定冲销超过那张单的应收","OK"))))))))</f>
        <v/>
      </c>
    </row>
    <row r="1879" customFormat="false" ht="15" hidden="false" customHeight="false" outlineLevel="0" collapsed="false">
      <c r="A1879" s="29" t="str">
        <f aca="false">IF($C1879="","",ROW()-4)</f>
        <v/>
      </c>
      <c r="B1879" s="35" t="str">
        <f aca="false">IF($C1879="","","SK"&amp;TEXT($C1879,"yyyymm")&amp;"-"&amp;TEXT(ROW()-4,"0000"))</f>
        <v/>
      </c>
      <c r="C1879" s="33"/>
      <c r="D1879" s="24"/>
      <c r="E1879" s="30" t="str">
        <f aca="false">IF($D1879="","",IFERROR(INDEX(合同单位,MATCH($D1879,合同键,0)),IFERROR(TRIM(LEFT($D1879,FIND("｜",$D1879)-1)),$D1879)))</f>
        <v/>
      </c>
      <c r="F1879" s="30" t="str">
        <f aca="false">IF($D1879="","",IFERROR(INDEX(合同项目,MATCH($D1879,合同键,0)),IFERROR(TRIM(MID($D1879,FIND("｜",$D1879)+1,99)),"")))</f>
        <v/>
      </c>
      <c r="G1879" s="39"/>
      <c r="H1879" s="25"/>
      <c r="I1879" s="35" t="str">
        <f aca="false">IF($H1879="","",IFERROR(INDEX(票据归类表,MATCH($H1879,票据类型表,0)),"现金无票"))</f>
        <v/>
      </c>
      <c r="J1879" s="25"/>
      <c r="K1879" s="25"/>
      <c r="L1879" s="31"/>
      <c r="M1879" s="29" t="str">
        <f aca="false">IF($C1879="","",YEAR($C1879))</f>
        <v/>
      </c>
      <c r="N1879" s="24"/>
      <c r="O1879" s="35" t="str">
        <f aca="false">IF($C1879="","",IF($D1879="","★没选客户项目",IF(COUNTIF(合同键,$D1879)=0,"★《维保合同》里没这个项目",IF(N($G1879)&lt;=0,"★收款金额要填",IF($H1879="","★票据类型要选",IF(AND($L1879&lt;&gt;"",COUNTIF(应收单号,$L1879)=0),"★关联的应收单号不存在",IF(AND($L1879&lt;&gt;"",IFERROR(INDEX(应收键,MATCH($L1879,应收单号,0)),"")&lt;&gt;$D1879),"★关联单号不是这个客户的",IF(AND($L1879&lt;&gt;"",ROUND(SUMIF(收款关联,$L1879,收款金额)-IFERROR(INDEX(应收金额,MATCH($L1879,应收单号,0)),0),2)&gt;0.001),"★指定冲销超过那张单的应收","OK"))))))))</f>
        <v/>
      </c>
    </row>
    <row r="1880" customFormat="false" ht="15" hidden="false" customHeight="false" outlineLevel="0" collapsed="false">
      <c r="A1880" s="29" t="str">
        <f aca="false">IF($C1880="","",ROW()-4)</f>
        <v/>
      </c>
      <c r="B1880" s="35" t="str">
        <f aca="false">IF($C1880="","","SK"&amp;TEXT($C1880,"yyyymm")&amp;"-"&amp;TEXT(ROW()-4,"0000"))</f>
        <v/>
      </c>
      <c r="C1880" s="33"/>
      <c r="D1880" s="24"/>
      <c r="E1880" s="30" t="str">
        <f aca="false">IF($D1880="","",IFERROR(INDEX(合同单位,MATCH($D1880,合同键,0)),IFERROR(TRIM(LEFT($D1880,FIND("｜",$D1880)-1)),$D1880)))</f>
        <v/>
      </c>
      <c r="F1880" s="30" t="str">
        <f aca="false">IF($D1880="","",IFERROR(INDEX(合同项目,MATCH($D1880,合同键,0)),IFERROR(TRIM(MID($D1880,FIND("｜",$D1880)+1,99)),"")))</f>
        <v/>
      </c>
      <c r="G1880" s="39"/>
      <c r="H1880" s="25"/>
      <c r="I1880" s="35" t="str">
        <f aca="false">IF($H1880="","",IFERROR(INDEX(票据归类表,MATCH($H1880,票据类型表,0)),"现金无票"))</f>
        <v/>
      </c>
      <c r="J1880" s="25"/>
      <c r="K1880" s="25"/>
      <c r="L1880" s="31"/>
      <c r="M1880" s="29" t="str">
        <f aca="false">IF($C1880="","",YEAR($C1880))</f>
        <v/>
      </c>
      <c r="N1880" s="24"/>
      <c r="O1880" s="35" t="str">
        <f aca="false">IF($C1880="","",IF($D1880="","★没选客户项目",IF(COUNTIF(合同键,$D1880)=0,"★《维保合同》里没这个项目",IF(N($G1880)&lt;=0,"★收款金额要填",IF($H1880="","★票据类型要选",IF(AND($L1880&lt;&gt;"",COUNTIF(应收单号,$L1880)=0),"★关联的应收单号不存在",IF(AND($L1880&lt;&gt;"",IFERROR(INDEX(应收键,MATCH($L1880,应收单号,0)),"")&lt;&gt;$D1880),"★关联单号不是这个客户的",IF(AND($L1880&lt;&gt;"",ROUND(SUMIF(收款关联,$L1880,收款金额)-IFERROR(INDEX(应收金额,MATCH($L1880,应收单号,0)),0),2)&gt;0.001),"★指定冲销超过那张单的应收","OK"))))))))</f>
        <v/>
      </c>
    </row>
    <row r="1881" customFormat="false" ht="15" hidden="false" customHeight="false" outlineLevel="0" collapsed="false">
      <c r="A1881" s="29" t="str">
        <f aca="false">IF($C1881="","",ROW()-4)</f>
        <v/>
      </c>
      <c r="B1881" s="35" t="str">
        <f aca="false">IF($C1881="","","SK"&amp;TEXT($C1881,"yyyymm")&amp;"-"&amp;TEXT(ROW()-4,"0000"))</f>
        <v/>
      </c>
      <c r="C1881" s="33"/>
      <c r="D1881" s="24"/>
      <c r="E1881" s="30" t="str">
        <f aca="false">IF($D1881="","",IFERROR(INDEX(合同单位,MATCH($D1881,合同键,0)),IFERROR(TRIM(LEFT($D1881,FIND("｜",$D1881)-1)),$D1881)))</f>
        <v/>
      </c>
      <c r="F1881" s="30" t="str">
        <f aca="false">IF($D1881="","",IFERROR(INDEX(合同项目,MATCH($D1881,合同键,0)),IFERROR(TRIM(MID($D1881,FIND("｜",$D1881)+1,99)),"")))</f>
        <v/>
      </c>
      <c r="G1881" s="39"/>
      <c r="H1881" s="25"/>
      <c r="I1881" s="35" t="str">
        <f aca="false">IF($H1881="","",IFERROR(INDEX(票据归类表,MATCH($H1881,票据类型表,0)),"现金无票"))</f>
        <v/>
      </c>
      <c r="J1881" s="25"/>
      <c r="K1881" s="25"/>
      <c r="L1881" s="31"/>
      <c r="M1881" s="29" t="str">
        <f aca="false">IF($C1881="","",YEAR($C1881))</f>
        <v/>
      </c>
      <c r="N1881" s="24"/>
      <c r="O1881" s="35" t="str">
        <f aca="false">IF($C1881="","",IF($D1881="","★没选客户项目",IF(COUNTIF(合同键,$D1881)=0,"★《维保合同》里没这个项目",IF(N($G1881)&lt;=0,"★收款金额要填",IF($H1881="","★票据类型要选",IF(AND($L1881&lt;&gt;"",COUNTIF(应收单号,$L1881)=0),"★关联的应收单号不存在",IF(AND($L1881&lt;&gt;"",IFERROR(INDEX(应收键,MATCH($L1881,应收单号,0)),"")&lt;&gt;$D1881),"★关联单号不是这个客户的",IF(AND($L1881&lt;&gt;"",ROUND(SUMIF(收款关联,$L1881,收款金额)-IFERROR(INDEX(应收金额,MATCH($L1881,应收单号,0)),0),2)&gt;0.001),"★指定冲销超过那张单的应收","OK"))))))))</f>
        <v/>
      </c>
    </row>
    <row r="1882" customFormat="false" ht="15" hidden="false" customHeight="false" outlineLevel="0" collapsed="false">
      <c r="A1882" s="29" t="str">
        <f aca="false">IF($C1882="","",ROW()-4)</f>
        <v/>
      </c>
      <c r="B1882" s="35" t="str">
        <f aca="false">IF($C1882="","","SK"&amp;TEXT($C1882,"yyyymm")&amp;"-"&amp;TEXT(ROW()-4,"0000"))</f>
        <v/>
      </c>
      <c r="C1882" s="33"/>
      <c r="D1882" s="24"/>
      <c r="E1882" s="30" t="str">
        <f aca="false">IF($D1882="","",IFERROR(INDEX(合同单位,MATCH($D1882,合同键,0)),IFERROR(TRIM(LEFT($D1882,FIND("｜",$D1882)-1)),$D1882)))</f>
        <v/>
      </c>
      <c r="F1882" s="30" t="str">
        <f aca="false">IF($D1882="","",IFERROR(INDEX(合同项目,MATCH($D1882,合同键,0)),IFERROR(TRIM(MID($D1882,FIND("｜",$D1882)+1,99)),"")))</f>
        <v/>
      </c>
      <c r="G1882" s="39"/>
      <c r="H1882" s="25"/>
      <c r="I1882" s="35" t="str">
        <f aca="false">IF($H1882="","",IFERROR(INDEX(票据归类表,MATCH($H1882,票据类型表,0)),"现金无票"))</f>
        <v/>
      </c>
      <c r="J1882" s="25"/>
      <c r="K1882" s="25"/>
      <c r="L1882" s="31"/>
      <c r="M1882" s="29" t="str">
        <f aca="false">IF($C1882="","",YEAR($C1882))</f>
        <v/>
      </c>
      <c r="N1882" s="24"/>
      <c r="O1882" s="35" t="str">
        <f aca="false">IF($C1882="","",IF($D1882="","★没选客户项目",IF(COUNTIF(合同键,$D1882)=0,"★《维保合同》里没这个项目",IF(N($G1882)&lt;=0,"★收款金额要填",IF($H1882="","★票据类型要选",IF(AND($L1882&lt;&gt;"",COUNTIF(应收单号,$L1882)=0),"★关联的应收单号不存在",IF(AND($L1882&lt;&gt;"",IFERROR(INDEX(应收键,MATCH($L1882,应收单号,0)),"")&lt;&gt;$D1882),"★关联单号不是这个客户的",IF(AND($L1882&lt;&gt;"",ROUND(SUMIF(收款关联,$L1882,收款金额)-IFERROR(INDEX(应收金额,MATCH($L1882,应收单号,0)),0),2)&gt;0.001),"★指定冲销超过那张单的应收","OK"))))))))</f>
        <v/>
      </c>
    </row>
    <row r="1883" customFormat="false" ht="15" hidden="false" customHeight="false" outlineLevel="0" collapsed="false">
      <c r="A1883" s="29" t="str">
        <f aca="false">IF($C1883="","",ROW()-4)</f>
        <v/>
      </c>
      <c r="B1883" s="35" t="str">
        <f aca="false">IF($C1883="","","SK"&amp;TEXT($C1883,"yyyymm")&amp;"-"&amp;TEXT(ROW()-4,"0000"))</f>
        <v/>
      </c>
      <c r="C1883" s="33"/>
      <c r="D1883" s="24"/>
      <c r="E1883" s="30" t="str">
        <f aca="false">IF($D1883="","",IFERROR(INDEX(合同单位,MATCH($D1883,合同键,0)),IFERROR(TRIM(LEFT($D1883,FIND("｜",$D1883)-1)),$D1883)))</f>
        <v/>
      </c>
      <c r="F1883" s="30" t="str">
        <f aca="false">IF($D1883="","",IFERROR(INDEX(合同项目,MATCH($D1883,合同键,0)),IFERROR(TRIM(MID($D1883,FIND("｜",$D1883)+1,99)),"")))</f>
        <v/>
      </c>
      <c r="G1883" s="39"/>
      <c r="H1883" s="25"/>
      <c r="I1883" s="35" t="str">
        <f aca="false">IF($H1883="","",IFERROR(INDEX(票据归类表,MATCH($H1883,票据类型表,0)),"现金无票"))</f>
        <v/>
      </c>
      <c r="J1883" s="25"/>
      <c r="K1883" s="25"/>
      <c r="L1883" s="31"/>
      <c r="M1883" s="29" t="str">
        <f aca="false">IF($C1883="","",YEAR($C1883))</f>
        <v/>
      </c>
      <c r="N1883" s="24"/>
      <c r="O1883" s="35" t="str">
        <f aca="false">IF($C1883="","",IF($D1883="","★没选客户项目",IF(COUNTIF(合同键,$D1883)=0,"★《维保合同》里没这个项目",IF(N($G1883)&lt;=0,"★收款金额要填",IF($H1883="","★票据类型要选",IF(AND($L1883&lt;&gt;"",COUNTIF(应收单号,$L1883)=0),"★关联的应收单号不存在",IF(AND($L1883&lt;&gt;"",IFERROR(INDEX(应收键,MATCH($L1883,应收单号,0)),"")&lt;&gt;$D1883),"★关联单号不是这个客户的",IF(AND($L1883&lt;&gt;"",ROUND(SUMIF(收款关联,$L1883,收款金额)-IFERROR(INDEX(应收金额,MATCH($L1883,应收单号,0)),0),2)&gt;0.001),"★指定冲销超过那张单的应收","OK"))))))))</f>
        <v/>
      </c>
    </row>
    <row r="1884" customFormat="false" ht="15" hidden="false" customHeight="false" outlineLevel="0" collapsed="false">
      <c r="A1884" s="29" t="str">
        <f aca="false">IF($C1884="","",ROW()-4)</f>
        <v/>
      </c>
      <c r="B1884" s="35" t="str">
        <f aca="false">IF($C1884="","","SK"&amp;TEXT($C1884,"yyyymm")&amp;"-"&amp;TEXT(ROW()-4,"0000"))</f>
        <v/>
      </c>
      <c r="C1884" s="33"/>
      <c r="D1884" s="24"/>
      <c r="E1884" s="30" t="str">
        <f aca="false">IF($D1884="","",IFERROR(INDEX(合同单位,MATCH($D1884,合同键,0)),IFERROR(TRIM(LEFT($D1884,FIND("｜",$D1884)-1)),$D1884)))</f>
        <v/>
      </c>
      <c r="F1884" s="30" t="str">
        <f aca="false">IF($D1884="","",IFERROR(INDEX(合同项目,MATCH($D1884,合同键,0)),IFERROR(TRIM(MID($D1884,FIND("｜",$D1884)+1,99)),"")))</f>
        <v/>
      </c>
      <c r="G1884" s="39"/>
      <c r="H1884" s="25"/>
      <c r="I1884" s="35" t="str">
        <f aca="false">IF($H1884="","",IFERROR(INDEX(票据归类表,MATCH($H1884,票据类型表,0)),"现金无票"))</f>
        <v/>
      </c>
      <c r="J1884" s="25"/>
      <c r="K1884" s="25"/>
      <c r="L1884" s="31"/>
      <c r="M1884" s="29" t="str">
        <f aca="false">IF($C1884="","",YEAR($C1884))</f>
        <v/>
      </c>
      <c r="N1884" s="24"/>
      <c r="O1884" s="35" t="str">
        <f aca="false">IF($C1884="","",IF($D1884="","★没选客户项目",IF(COUNTIF(合同键,$D1884)=0,"★《维保合同》里没这个项目",IF(N($G1884)&lt;=0,"★收款金额要填",IF($H1884="","★票据类型要选",IF(AND($L1884&lt;&gt;"",COUNTIF(应收单号,$L1884)=0),"★关联的应收单号不存在",IF(AND($L1884&lt;&gt;"",IFERROR(INDEX(应收键,MATCH($L1884,应收单号,0)),"")&lt;&gt;$D1884),"★关联单号不是这个客户的",IF(AND($L1884&lt;&gt;"",ROUND(SUMIF(收款关联,$L1884,收款金额)-IFERROR(INDEX(应收金额,MATCH($L1884,应收单号,0)),0),2)&gt;0.001),"★指定冲销超过那张单的应收","OK"))))))))</f>
        <v/>
      </c>
    </row>
    <row r="1885" customFormat="false" ht="15" hidden="false" customHeight="false" outlineLevel="0" collapsed="false">
      <c r="A1885" s="29" t="str">
        <f aca="false">IF($C1885="","",ROW()-4)</f>
        <v/>
      </c>
      <c r="B1885" s="35" t="str">
        <f aca="false">IF($C1885="","","SK"&amp;TEXT($C1885,"yyyymm")&amp;"-"&amp;TEXT(ROW()-4,"0000"))</f>
        <v/>
      </c>
      <c r="C1885" s="33"/>
      <c r="D1885" s="24"/>
      <c r="E1885" s="30" t="str">
        <f aca="false">IF($D1885="","",IFERROR(INDEX(合同单位,MATCH($D1885,合同键,0)),IFERROR(TRIM(LEFT($D1885,FIND("｜",$D1885)-1)),$D1885)))</f>
        <v/>
      </c>
      <c r="F1885" s="30" t="str">
        <f aca="false">IF($D1885="","",IFERROR(INDEX(合同项目,MATCH($D1885,合同键,0)),IFERROR(TRIM(MID($D1885,FIND("｜",$D1885)+1,99)),"")))</f>
        <v/>
      </c>
      <c r="G1885" s="39"/>
      <c r="H1885" s="25"/>
      <c r="I1885" s="35" t="str">
        <f aca="false">IF($H1885="","",IFERROR(INDEX(票据归类表,MATCH($H1885,票据类型表,0)),"现金无票"))</f>
        <v/>
      </c>
      <c r="J1885" s="25"/>
      <c r="K1885" s="25"/>
      <c r="L1885" s="31"/>
      <c r="M1885" s="29" t="str">
        <f aca="false">IF($C1885="","",YEAR($C1885))</f>
        <v/>
      </c>
      <c r="N1885" s="24"/>
      <c r="O1885" s="35" t="str">
        <f aca="false">IF($C1885="","",IF($D1885="","★没选客户项目",IF(COUNTIF(合同键,$D1885)=0,"★《维保合同》里没这个项目",IF(N($G1885)&lt;=0,"★收款金额要填",IF($H1885="","★票据类型要选",IF(AND($L1885&lt;&gt;"",COUNTIF(应收单号,$L1885)=0),"★关联的应收单号不存在",IF(AND($L1885&lt;&gt;"",IFERROR(INDEX(应收键,MATCH($L1885,应收单号,0)),"")&lt;&gt;$D1885),"★关联单号不是这个客户的",IF(AND($L1885&lt;&gt;"",ROUND(SUMIF(收款关联,$L1885,收款金额)-IFERROR(INDEX(应收金额,MATCH($L1885,应收单号,0)),0),2)&gt;0.001),"★指定冲销超过那张单的应收","OK"))))))))</f>
        <v/>
      </c>
    </row>
    <row r="1886" customFormat="false" ht="15" hidden="false" customHeight="false" outlineLevel="0" collapsed="false">
      <c r="A1886" s="29" t="str">
        <f aca="false">IF($C1886="","",ROW()-4)</f>
        <v/>
      </c>
      <c r="B1886" s="35" t="str">
        <f aca="false">IF($C1886="","","SK"&amp;TEXT($C1886,"yyyymm")&amp;"-"&amp;TEXT(ROW()-4,"0000"))</f>
        <v/>
      </c>
      <c r="C1886" s="33"/>
      <c r="D1886" s="24"/>
      <c r="E1886" s="30" t="str">
        <f aca="false">IF($D1886="","",IFERROR(INDEX(合同单位,MATCH($D1886,合同键,0)),IFERROR(TRIM(LEFT($D1886,FIND("｜",$D1886)-1)),$D1886)))</f>
        <v/>
      </c>
      <c r="F1886" s="30" t="str">
        <f aca="false">IF($D1886="","",IFERROR(INDEX(合同项目,MATCH($D1886,合同键,0)),IFERROR(TRIM(MID($D1886,FIND("｜",$D1886)+1,99)),"")))</f>
        <v/>
      </c>
      <c r="G1886" s="39"/>
      <c r="H1886" s="25"/>
      <c r="I1886" s="35" t="str">
        <f aca="false">IF($H1886="","",IFERROR(INDEX(票据归类表,MATCH($H1886,票据类型表,0)),"现金无票"))</f>
        <v/>
      </c>
      <c r="J1886" s="25"/>
      <c r="K1886" s="25"/>
      <c r="L1886" s="31"/>
      <c r="M1886" s="29" t="str">
        <f aca="false">IF($C1886="","",YEAR($C1886))</f>
        <v/>
      </c>
      <c r="N1886" s="24"/>
      <c r="O1886" s="35" t="str">
        <f aca="false">IF($C1886="","",IF($D1886="","★没选客户项目",IF(COUNTIF(合同键,$D1886)=0,"★《维保合同》里没这个项目",IF(N($G1886)&lt;=0,"★收款金额要填",IF($H1886="","★票据类型要选",IF(AND($L1886&lt;&gt;"",COUNTIF(应收单号,$L1886)=0),"★关联的应收单号不存在",IF(AND($L1886&lt;&gt;"",IFERROR(INDEX(应收键,MATCH($L1886,应收单号,0)),"")&lt;&gt;$D1886),"★关联单号不是这个客户的",IF(AND($L1886&lt;&gt;"",ROUND(SUMIF(收款关联,$L1886,收款金额)-IFERROR(INDEX(应收金额,MATCH($L1886,应收单号,0)),0),2)&gt;0.001),"★指定冲销超过那张单的应收","OK"))))))))</f>
        <v/>
      </c>
    </row>
    <row r="1887" customFormat="false" ht="15" hidden="false" customHeight="false" outlineLevel="0" collapsed="false">
      <c r="A1887" s="29" t="str">
        <f aca="false">IF($C1887="","",ROW()-4)</f>
        <v/>
      </c>
      <c r="B1887" s="35" t="str">
        <f aca="false">IF($C1887="","","SK"&amp;TEXT($C1887,"yyyymm")&amp;"-"&amp;TEXT(ROW()-4,"0000"))</f>
        <v/>
      </c>
      <c r="C1887" s="33"/>
      <c r="D1887" s="24"/>
      <c r="E1887" s="30" t="str">
        <f aca="false">IF($D1887="","",IFERROR(INDEX(合同单位,MATCH($D1887,合同键,0)),IFERROR(TRIM(LEFT($D1887,FIND("｜",$D1887)-1)),$D1887)))</f>
        <v/>
      </c>
      <c r="F1887" s="30" t="str">
        <f aca="false">IF($D1887="","",IFERROR(INDEX(合同项目,MATCH($D1887,合同键,0)),IFERROR(TRIM(MID($D1887,FIND("｜",$D1887)+1,99)),"")))</f>
        <v/>
      </c>
      <c r="G1887" s="39"/>
      <c r="H1887" s="25"/>
      <c r="I1887" s="35" t="str">
        <f aca="false">IF($H1887="","",IFERROR(INDEX(票据归类表,MATCH($H1887,票据类型表,0)),"现金无票"))</f>
        <v/>
      </c>
      <c r="J1887" s="25"/>
      <c r="K1887" s="25"/>
      <c r="L1887" s="31"/>
      <c r="M1887" s="29" t="str">
        <f aca="false">IF($C1887="","",YEAR($C1887))</f>
        <v/>
      </c>
      <c r="N1887" s="24"/>
      <c r="O1887" s="35" t="str">
        <f aca="false">IF($C1887="","",IF($D1887="","★没选客户项目",IF(COUNTIF(合同键,$D1887)=0,"★《维保合同》里没这个项目",IF(N($G1887)&lt;=0,"★收款金额要填",IF($H1887="","★票据类型要选",IF(AND($L1887&lt;&gt;"",COUNTIF(应收单号,$L1887)=0),"★关联的应收单号不存在",IF(AND($L1887&lt;&gt;"",IFERROR(INDEX(应收键,MATCH($L1887,应收单号,0)),"")&lt;&gt;$D1887),"★关联单号不是这个客户的",IF(AND($L1887&lt;&gt;"",ROUND(SUMIF(收款关联,$L1887,收款金额)-IFERROR(INDEX(应收金额,MATCH($L1887,应收单号,0)),0),2)&gt;0.001),"★指定冲销超过那张单的应收","OK"))))))))</f>
        <v/>
      </c>
    </row>
    <row r="1888" customFormat="false" ht="15" hidden="false" customHeight="false" outlineLevel="0" collapsed="false">
      <c r="A1888" s="29" t="str">
        <f aca="false">IF($C1888="","",ROW()-4)</f>
        <v/>
      </c>
      <c r="B1888" s="35" t="str">
        <f aca="false">IF($C1888="","","SK"&amp;TEXT($C1888,"yyyymm")&amp;"-"&amp;TEXT(ROW()-4,"0000"))</f>
        <v/>
      </c>
      <c r="C1888" s="33"/>
      <c r="D1888" s="24"/>
      <c r="E1888" s="30" t="str">
        <f aca="false">IF($D1888="","",IFERROR(INDEX(合同单位,MATCH($D1888,合同键,0)),IFERROR(TRIM(LEFT($D1888,FIND("｜",$D1888)-1)),$D1888)))</f>
        <v/>
      </c>
      <c r="F1888" s="30" t="str">
        <f aca="false">IF($D1888="","",IFERROR(INDEX(合同项目,MATCH($D1888,合同键,0)),IFERROR(TRIM(MID($D1888,FIND("｜",$D1888)+1,99)),"")))</f>
        <v/>
      </c>
      <c r="G1888" s="39"/>
      <c r="H1888" s="25"/>
      <c r="I1888" s="35" t="str">
        <f aca="false">IF($H1888="","",IFERROR(INDEX(票据归类表,MATCH($H1888,票据类型表,0)),"现金无票"))</f>
        <v/>
      </c>
      <c r="J1888" s="25"/>
      <c r="K1888" s="25"/>
      <c r="L1888" s="31"/>
      <c r="M1888" s="29" t="str">
        <f aca="false">IF($C1888="","",YEAR($C1888))</f>
        <v/>
      </c>
      <c r="N1888" s="24"/>
      <c r="O1888" s="35" t="str">
        <f aca="false">IF($C1888="","",IF($D1888="","★没选客户项目",IF(COUNTIF(合同键,$D1888)=0,"★《维保合同》里没这个项目",IF(N($G1888)&lt;=0,"★收款金额要填",IF($H1888="","★票据类型要选",IF(AND($L1888&lt;&gt;"",COUNTIF(应收单号,$L1888)=0),"★关联的应收单号不存在",IF(AND($L1888&lt;&gt;"",IFERROR(INDEX(应收键,MATCH($L1888,应收单号,0)),"")&lt;&gt;$D1888),"★关联单号不是这个客户的",IF(AND($L1888&lt;&gt;"",ROUND(SUMIF(收款关联,$L1888,收款金额)-IFERROR(INDEX(应收金额,MATCH($L1888,应收单号,0)),0),2)&gt;0.001),"★指定冲销超过那张单的应收","OK"))))))))</f>
        <v/>
      </c>
    </row>
    <row r="1889" customFormat="false" ht="15" hidden="false" customHeight="false" outlineLevel="0" collapsed="false">
      <c r="A1889" s="29" t="str">
        <f aca="false">IF($C1889="","",ROW()-4)</f>
        <v/>
      </c>
      <c r="B1889" s="35" t="str">
        <f aca="false">IF($C1889="","","SK"&amp;TEXT($C1889,"yyyymm")&amp;"-"&amp;TEXT(ROW()-4,"0000"))</f>
        <v/>
      </c>
      <c r="C1889" s="33"/>
      <c r="D1889" s="24"/>
      <c r="E1889" s="30" t="str">
        <f aca="false">IF($D1889="","",IFERROR(INDEX(合同单位,MATCH($D1889,合同键,0)),IFERROR(TRIM(LEFT($D1889,FIND("｜",$D1889)-1)),$D1889)))</f>
        <v/>
      </c>
      <c r="F1889" s="30" t="str">
        <f aca="false">IF($D1889="","",IFERROR(INDEX(合同项目,MATCH($D1889,合同键,0)),IFERROR(TRIM(MID($D1889,FIND("｜",$D1889)+1,99)),"")))</f>
        <v/>
      </c>
      <c r="G1889" s="39"/>
      <c r="H1889" s="25"/>
      <c r="I1889" s="35" t="str">
        <f aca="false">IF($H1889="","",IFERROR(INDEX(票据归类表,MATCH($H1889,票据类型表,0)),"现金无票"))</f>
        <v/>
      </c>
      <c r="J1889" s="25"/>
      <c r="K1889" s="25"/>
      <c r="L1889" s="31"/>
      <c r="M1889" s="29" t="str">
        <f aca="false">IF($C1889="","",YEAR($C1889))</f>
        <v/>
      </c>
      <c r="N1889" s="24"/>
      <c r="O1889" s="35" t="str">
        <f aca="false">IF($C1889="","",IF($D1889="","★没选客户项目",IF(COUNTIF(合同键,$D1889)=0,"★《维保合同》里没这个项目",IF(N($G1889)&lt;=0,"★收款金额要填",IF($H1889="","★票据类型要选",IF(AND($L1889&lt;&gt;"",COUNTIF(应收单号,$L1889)=0),"★关联的应收单号不存在",IF(AND($L1889&lt;&gt;"",IFERROR(INDEX(应收键,MATCH($L1889,应收单号,0)),"")&lt;&gt;$D1889),"★关联单号不是这个客户的",IF(AND($L1889&lt;&gt;"",ROUND(SUMIF(收款关联,$L1889,收款金额)-IFERROR(INDEX(应收金额,MATCH($L1889,应收单号,0)),0),2)&gt;0.001),"★指定冲销超过那张单的应收","OK"))))))))</f>
        <v/>
      </c>
    </row>
    <row r="1890" customFormat="false" ht="15" hidden="false" customHeight="false" outlineLevel="0" collapsed="false">
      <c r="A1890" s="29" t="str">
        <f aca="false">IF($C1890="","",ROW()-4)</f>
        <v/>
      </c>
      <c r="B1890" s="35" t="str">
        <f aca="false">IF($C1890="","","SK"&amp;TEXT($C1890,"yyyymm")&amp;"-"&amp;TEXT(ROW()-4,"0000"))</f>
        <v/>
      </c>
      <c r="C1890" s="33"/>
      <c r="D1890" s="24"/>
      <c r="E1890" s="30" t="str">
        <f aca="false">IF($D1890="","",IFERROR(INDEX(合同单位,MATCH($D1890,合同键,0)),IFERROR(TRIM(LEFT($D1890,FIND("｜",$D1890)-1)),$D1890)))</f>
        <v/>
      </c>
      <c r="F1890" s="30" t="str">
        <f aca="false">IF($D1890="","",IFERROR(INDEX(合同项目,MATCH($D1890,合同键,0)),IFERROR(TRIM(MID($D1890,FIND("｜",$D1890)+1,99)),"")))</f>
        <v/>
      </c>
      <c r="G1890" s="39"/>
      <c r="H1890" s="25"/>
      <c r="I1890" s="35" t="str">
        <f aca="false">IF($H1890="","",IFERROR(INDEX(票据归类表,MATCH($H1890,票据类型表,0)),"现金无票"))</f>
        <v/>
      </c>
      <c r="J1890" s="25"/>
      <c r="K1890" s="25"/>
      <c r="L1890" s="31"/>
      <c r="M1890" s="29" t="str">
        <f aca="false">IF($C1890="","",YEAR($C1890))</f>
        <v/>
      </c>
      <c r="N1890" s="24"/>
      <c r="O1890" s="35" t="str">
        <f aca="false">IF($C1890="","",IF($D1890="","★没选客户项目",IF(COUNTIF(合同键,$D1890)=0,"★《维保合同》里没这个项目",IF(N($G1890)&lt;=0,"★收款金额要填",IF($H1890="","★票据类型要选",IF(AND($L1890&lt;&gt;"",COUNTIF(应收单号,$L1890)=0),"★关联的应收单号不存在",IF(AND($L1890&lt;&gt;"",IFERROR(INDEX(应收键,MATCH($L1890,应收单号,0)),"")&lt;&gt;$D1890),"★关联单号不是这个客户的",IF(AND($L1890&lt;&gt;"",ROUND(SUMIF(收款关联,$L1890,收款金额)-IFERROR(INDEX(应收金额,MATCH($L1890,应收单号,0)),0),2)&gt;0.001),"★指定冲销超过那张单的应收","OK"))))))))</f>
        <v/>
      </c>
    </row>
    <row r="1891" customFormat="false" ht="15" hidden="false" customHeight="false" outlineLevel="0" collapsed="false">
      <c r="A1891" s="29" t="str">
        <f aca="false">IF($C1891="","",ROW()-4)</f>
        <v/>
      </c>
      <c r="B1891" s="35" t="str">
        <f aca="false">IF($C1891="","","SK"&amp;TEXT($C1891,"yyyymm")&amp;"-"&amp;TEXT(ROW()-4,"0000"))</f>
        <v/>
      </c>
      <c r="C1891" s="33"/>
      <c r="D1891" s="24"/>
      <c r="E1891" s="30" t="str">
        <f aca="false">IF($D1891="","",IFERROR(INDEX(合同单位,MATCH($D1891,合同键,0)),IFERROR(TRIM(LEFT($D1891,FIND("｜",$D1891)-1)),$D1891)))</f>
        <v/>
      </c>
      <c r="F1891" s="30" t="str">
        <f aca="false">IF($D1891="","",IFERROR(INDEX(合同项目,MATCH($D1891,合同键,0)),IFERROR(TRIM(MID($D1891,FIND("｜",$D1891)+1,99)),"")))</f>
        <v/>
      </c>
      <c r="G1891" s="39"/>
      <c r="H1891" s="25"/>
      <c r="I1891" s="35" t="str">
        <f aca="false">IF($H1891="","",IFERROR(INDEX(票据归类表,MATCH($H1891,票据类型表,0)),"现金无票"))</f>
        <v/>
      </c>
      <c r="J1891" s="25"/>
      <c r="K1891" s="25"/>
      <c r="L1891" s="31"/>
      <c r="M1891" s="29" t="str">
        <f aca="false">IF($C1891="","",YEAR($C1891))</f>
        <v/>
      </c>
      <c r="N1891" s="24"/>
      <c r="O1891" s="35" t="str">
        <f aca="false">IF($C1891="","",IF($D1891="","★没选客户项目",IF(COUNTIF(合同键,$D1891)=0,"★《维保合同》里没这个项目",IF(N($G1891)&lt;=0,"★收款金额要填",IF($H1891="","★票据类型要选",IF(AND($L1891&lt;&gt;"",COUNTIF(应收单号,$L1891)=0),"★关联的应收单号不存在",IF(AND($L1891&lt;&gt;"",IFERROR(INDEX(应收键,MATCH($L1891,应收单号,0)),"")&lt;&gt;$D1891),"★关联单号不是这个客户的",IF(AND($L1891&lt;&gt;"",ROUND(SUMIF(收款关联,$L1891,收款金额)-IFERROR(INDEX(应收金额,MATCH($L1891,应收单号,0)),0),2)&gt;0.001),"★指定冲销超过那张单的应收","OK"))))))))</f>
        <v/>
      </c>
    </row>
    <row r="1892" customFormat="false" ht="15" hidden="false" customHeight="false" outlineLevel="0" collapsed="false">
      <c r="A1892" s="29" t="str">
        <f aca="false">IF($C1892="","",ROW()-4)</f>
        <v/>
      </c>
      <c r="B1892" s="35" t="str">
        <f aca="false">IF($C1892="","","SK"&amp;TEXT($C1892,"yyyymm")&amp;"-"&amp;TEXT(ROW()-4,"0000"))</f>
        <v/>
      </c>
      <c r="C1892" s="33"/>
      <c r="D1892" s="24"/>
      <c r="E1892" s="30" t="str">
        <f aca="false">IF($D1892="","",IFERROR(INDEX(合同单位,MATCH($D1892,合同键,0)),IFERROR(TRIM(LEFT($D1892,FIND("｜",$D1892)-1)),$D1892)))</f>
        <v/>
      </c>
      <c r="F1892" s="30" t="str">
        <f aca="false">IF($D1892="","",IFERROR(INDEX(合同项目,MATCH($D1892,合同键,0)),IFERROR(TRIM(MID($D1892,FIND("｜",$D1892)+1,99)),"")))</f>
        <v/>
      </c>
      <c r="G1892" s="39"/>
      <c r="H1892" s="25"/>
      <c r="I1892" s="35" t="str">
        <f aca="false">IF($H1892="","",IFERROR(INDEX(票据归类表,MATCH($H1892,票据类型表,0)),"现金无票"))</f>
        <v/>
      </c>
      <c r="J1892" s="25"/>
      <c r="K1892" s="25"/>
      <c r="L1892" s="31"/>
      <c r="M1892" s="29" t="str">
        <f aca="false">IF($C1892="","",YEAR($C1892))</f>
        <v/>
      </c>
      <c r="N1892" s="24"/>
      <c r="O1892" s="35" t="str">
        <f aca="false">IF($C1892="","",IF($D1892="","★没选客户项目",IF(COUNTIF(合同键,$D1892)=0,"★《维保合同》里没这个项目",IF(N($G1892)&lt;=0,"★收款金额要填",IF($H1892="","★票据类型要选",IF(AND($L1892&lt;&gt;"",COUNTIF(应收单号,$L1892)=0),"★关联的应收单号不存在",IF(AND($L1892&lt;&gt;"",IFERROR(INDEX(应收键,MATCH($L1892,应收单号,0)),"")&lt;&gt;$D1892),"★关联单号不是这个客户的",IF(AND($L1892&lt;&gt;"",ROUND(SUMIF(收款关联,$L1892,收款金额)-IFERROR(INDEX(应收金额,MATCH($L1892,应收单号,0)),0),2)&gt;0.001),"★指定冲销超过那张单的应收","OK"))))))))</f>
        <v/>
      </c>
    </row>
    <row r="1893" customFormat="false" ht="15" hidden="false" customHeight="false" outlineLevel="0" collapsed="false">
      <c r="A1893" s="29" t="str">
        <f aca="false">IF($C1893="","",ROW()-4)</f>
        <v/>
      </c>
      <c r="B1893" s="35" t="str">
        <f aca="false">IF($C1893="","","SK"&amp;TEXT($C1893,"yyyymm")&amp;"-"&amp;TEXT(ROW()-4,"0000"))</f>
        <v/>
      </c>
      <c r="C1893" s="33"/>
      <c r="D1893" s="24"/>
      <c r="E1893" s="30" t="str">
        <f aca="false">IF($D1893="","",IFERROR(INDEX(合同单位,MATCH($D1893,合同键,0)),IFERROR(TRIM(LEFT($D1893,FIND("｜",$D1893)-1)),$D1893)))</f>
        <v/>
      </c>
      <c r="F1893" s="30" t="str">
        <f aca="false">IF($D1893="","",IFERROR(INDEX(合同项目,MATCH($D1893,合同键,0)),IFERROR(TRIM(MID($D1893,FIND("｜",$D1893)+1,99)),"")))</f>
        <v/>
      </c>
      <c r="G1893" s="39"/>
      <c r="H1893" s="25"/>
      <c r="I1893" s="35" t="str">
        <f aca="false">IF($H1893="","",IFERROR(INDEX(票据归类表,MATCH($H1893,票据类型表,0)),"现金无票"))</f>
        <v/>
      </c>
      <c r="J1893" s="25"/>
      <c r="K1893" s="25"/>
      <c r="L1893" s="31"/>
      <c r="M1893" s="29" t="str">
        <f aca="false">IF($C1893="","",YEAR($C1893))</f>
        <v/>
      </c>
      <c r="N1893" s="24"/>
      <c r="O1893" s="35" t="str">
        <f aca="false">IF($C1893="","",IF($D1893="","★没选客户项目",IF(COUNTIF(合同键,$D1893)=0,"★《维保合同》里没这个项目",IF(N($G1893)&lt;=0,"★收款金额要填",IF($H1893="","★票据类型要选",IF(AND($L1893&lt;&gt;"",COUNTIF(应收单号,$L1893)=0),"★关联的应收单号不存在",IF(AND($L1893&lt;&gt;"",IFERROR(INDEX(应收键,MATCH($L1893,应收单号,0)),"")&lt;&gt;$D1893),"★关联单号不是这个客户的",IF(AND($L1893&lt;&gt;"",ROUND(SUMIF(收款关联,$L1893,收款金额)-IFERROR(INDEX(应收金额,MATCH($L1893,应收单号,0)),0),2)&gt;0.001),"★指定冲销超过那张单的应收","OK"))))))))</f>
        <v/>
      </c>
    </row>
    <row r="1894" customFormat="false" ht="15" hidden="false" customHeight="false" outlineLevel="0" collapsed="false">
      <c r="A1894" s="29" t="str">
        <f aca="false">IF($C1894="","",ROW()-4)</f>
        <v/>
      </c>
      <c r="B1894" s="35" t="str">
        <f aca="false">IF($C1894="","","SK"&amp;TEXT($C1894,"yyyymm")&amp;"-"&amp;TEXT(ROW()-4,"0000"))</f>
        <v/>
      </c>
      <c r="C1894" s="33"/>
      <c r="D1894" s="24"/>
      <c r="E1894" s="30" t="str">
        <f aca="false">IF($D1894="","",IFERROR(INDEX(合同单位,MATCH($D1894,合同键,0)),IFERROR(TRIM(LEFT($D1894,FIND("｜",$D1894)-1)),$D1894)))</f>
        <v/>
      </c>
      <c r="F1894" s="30" t="str">
        <f aca="false">IF($D1894="","",IFERROR(INDEX(合同项目,MATCH($D1894,合同键,0)),IFERROR(TRIM(MID($D1894,FIND("｜",$D1894)+1,99)),"")))</f>
        <v/>
      </c>
      <c r="G1894" s="39"/>
      <c r="H1894" s="25"/>
      <c r="I1894" s="35" t="str">
        <f aca="false">IF($H1894="","",IFERROR(INDEX(票据归类表,MATCH($H1894,票据类型表,0)),"现金无票"))</f>
        <v/>
      </c>
      <c r="J1894" s="25"/>
      <c r="K1894" s="25"/>
      <c r="L1894" s="31"/>
      <c r="M1894" s="29" t="str">
        <f aca="false">IF($C1894="","",YEAR($C1894))</f>
        <v/>
      </c>
      <c r="N1894" s="24"/>
      <c r="O1894" s="35" t="str">
        <f aca="false">IF($C1894="","",IF($D1894="","★没选客户项目",IF(COUNTIF(合同键,$D1894)=0,"★《维保合同》里没这个项目",IF(N($G1894)&lt;=0,"★收款金额要填",IF($H1894="","★票据类型要选",IF(AND($L1894&lt;&gt;"",COUNTIF(应收单号,$L1894)=0),"★关联的应收单号不存在",IF(AND($L1894&lt;&gt;"",IFERROR(INDEX(应收键,MATCH($L1894,应收单号,0)),"")&lt;&gt;$D1894),"★关联单号不是这个客户的",IF(AND($L1894&lt;&gt;"",ROUND(SUMIF(收款关联,$L1894,收款金额)-IFERROR(INDEX(应收金额,MATCH($L1894,应收单号,0)),0),2)&gt;0.001),"★指定冲销超过那张单的应收","OK"))))))))</f>
        <v/>
      </c>
    </row>
    <row r="1895" customFormat="false" ht="15" hidden="false" customHeight="false" outlineLevel="0" collapsed="false">
      <c r="A1895" s="29" t="str">
        <f aca="false">IF($C1895="","",ROW()-4)</f>
        <v/>
      </c>
      <c r="B1895" s="35" t="str">
        <f aca="false">IF($C1895="","","SK"&amp;TEXT($C1895,"yyyymm")&amp;"-"&amp;TEXT(ROW()-4,"0000"))</f>
        <v/>
      </c>
      <c r="C1895" s="33"/>
      <c r="D1895" s="24"/>
      <c r="E1895" s="30" t="str">
        <f aca="false">IF($D1895="","",IFERROR(INDEX(合同单位,MATCH($D1895,合同键,0)),IFERROR(TRIM(LEFT($D1895,FIND("｜",$D1895)-1)),$D1895)))</f>
        <v/>
      </c>
      <c r="F1895" s="30" t="str">
        <f aca="false">IF($D1895="","",IFERROR(INDEX(合同项目,MATCH($D1895,合同键,0)),IFERROR(TRIM(MID($D1895,FIND("｜",$D1895)+1,99)),"")))</f>
        <v/>
      </c>
      <c r="G1895" s="39"/>
      <c r="H1895" s="25"/>
      <c r="I1895" s="35" t="str">
        <f aca="false">IF($H1895="","",IFERROR(INDEX(票据归类表,MATCH($H1895,票据类型表,0)),"现金无票"))</f>
        <v/>
      </c>
      <c r="J1895" s="25"/>
      <c r="K1895" s="25"/>
      <c r="L1895" s="31"/>
      <c r="M1895" s="29" t="str">
        <f aca="false">IF($C1895="","",YEAR($C1895))</f>
        <v/>
      </c>
      <c r="N1895" s="24"/>
      <c r="O1895" s="35" t="str">
        <f aca="false">IF($C1895="","",IF($D1895="","★没选客户项目",IF(COUNTIF(合同键,$D1895)=0,"★《维保合同》里没这个项目",IF(N($G1895)&lt;=0,"★收款金额要填",IF($H1895="","★票据类型要选",IF(AND($L1895&lt;&gt;"",COUNTIF(应收单号,$L1895)=0),"★关联的应收单号不存在",IF(AND($L1895&lt;&gt;"",IFERROR(INDEX(应收键,MATCH($L1895,应收单号,0)),"")&lt;&gt;$D1895),"★关联单号不是这个客户的",IF(AND($L1895&lt;&gt;"",ROUND(SUMIF(收款关联,$L1895,收款金额)-IFERROR(INDEX(应收金额,MATCH($L1895,应收单号,0)),0),2)&gt;0.001),"★指定冲销超过那张单的应收","OK"))))))))</f>
        <v/>
      </c>
    </row>
    <row r="1896" customFormat="false" ht="15" hidden="false" customHeight="false" outlineLevel="0" collapsed="false">
      <c r="A1896" s="29" t="str">
        <f aca="false">IF($C1896="","",ROW()-4)</f>
        <v/>
      </c>
      <c r="B1896" s="35" t="str">
        <f aca="false">IF($C1896="","","SK"&amp;TEXT($C1896,"yyyymm")&amp;"-"&amp;TEXT(ROW()-4,"0000"))</f>
        <v/>
      </c>
      <c r="C1896" s="33"/>
      <c r="D1896" s="24"/>
      <c r="E1896" s="30" t="str">
        <f aca="false">IF($D1896="","",IFERROR(INDEX(合同单位,MATCH($D1896,合同键,0)),IFERROR(TRIM(LEFT($D1896,FIND("｜",$D1896)-1)),$D1896)))</f>
        <v/>
      </c>
      <c r="F1896" s="30" t="str">
        <f aca="false">IF($D1896="","",IFERROR(INDEX(合同项目,MATCH($D1896,合同键,0)),IFERROR(TRIM(MID($D1896,FIND("｜",$D1896)+1,99)),"")))</f>
        <v/>
      </c>
      <c r="G1896" s="39"/>
      <c r="H1896" s="25"/>
      <c r="I1896" s="35" t="str">
        <f aca="false">IF($H1896="","",IFERROR(INDEX(票据归类表,MATCH($H1896,票据类型表,0)),"现金无票"))</f>
        <v/>
      </c>
      <c r="J1896" s="25"/>
      <c r="K1896" s="25"/>
      <c r="L1896" s="31"/>
      <c r="M1896" s="29" t="str">
        <f aca="false">IF($C1896="","",YEAR($C1896))</f>
        <v/>
      </c>
      <c r="N1896" s="24"/>
      <c r="O1896" s="35" t="str">
        <f aca="false">IF($C1896="","",IF($D1896="","★没选客户项目",IF(COUNTIF(合同键,$D1896)=0,"★《维保合同》里没这个项目",IF(N($G1896)&lt;=0,"★收款金额要填",IF($H1896="","★票据类型要选",IF(AND($L1896&lt;&gt;"",COUNTIF(应收单号,$L1896)=0),"★关联的应收单号不存在",IF(AND($L1896&lt;&gt;"",IFERROR(INDEX(应收键,MATCH($L1896,应收单号,0)),"")&lt;&gt;$D1896),"★关联单号不是这个客户的",IF(AND($L1896&lt;&gt;"",ROUND(SUMIF(收款关联,$L1896,收款金额)-IFERROR(INDEX(应收金额,MATCH($L1896,应收单号,0)),0),2)&gt;0.001),"★指定冲销超过那张单的应收","OK"))))))))</f>
        <v/>
      </c>
    </row>
    <row r="1897" customFormat="false" ht="15" hidden="false" customHeight="false" outlineLevel="0" collapsed="false">
      <c r="A1897" s="29" t="str">
        <f aca="false">IF($C1897="","",ROW()-4)</f>
        <v/>
      </c>
      <c r="B1897" s="35" t="str">
        <f aca="false">IF($C1897="","","SK"&amp;TEXT($C1897,"yyyymm")&amp;"-"&amp;TEXT(ROW()-4,"0000"))</f>
        <v/>
      </c>
      <c r="C1897" s="33"/>
      <c r="D1897" s="24"/>
      <c r="E1897" s="30" t="str">
        <f aca="false">IF($D1897="","",IFERROR(INDEX(合同单位,MATCH($D1897,合同键,0)),IFERROR(TRIM(LEFT($D1897,FIND("｜",$D1897)-1)),$D1897)))</f>
        <v/>
      </c>
      <c r="F1897" s="30" t="str">
        <f aca="false">IF($D1897="","",IFERROR(INDEX(合同项目,MATCH($D1897,合同键,0)),IFERROR(TRIM(MID($D1897,FIND("｜",$D1897)+1,99)),"")))</f>
        <v/>
      </c>
      <c r="G1897" s="39"/>
      <c r="H1897" s="25"/>
      <c r="I1897" s="35" t="str">
        <f aca="false">IF($H1897="","",IFERROR(INDEX(票据归类表,MATCH($H1897,票据类型表,0)),"现金无票"))</f>
        <v/>
      </c>
      <c r="J1897" s="25"/>
      <c r="K1897" s="25"/>
      <c r="L1897" s="31"/>
      <c r="M1897" s="29" t="str">
        <f aca="false">IF($C1897="","",YEAR($C1897))</f>
        <v/>
      </c>
      <c r="N1897" s="24"/>
      <c r="O1897" s="35" t="str">
        <f aca="false">IF($C1897="","",IF($D1897="","★没选客户项目",IF(COUNTIF(合同键,$D1897)=0,"★《维保合同》里没这个项目",IF(N($G1897)&lt;=0,"★收款金额要填",IF($H1897="","★票据类型要选",IF(AND($L1897&lt;&gt;"",COUNTIF(应收单号,$L1897)=0),"★关联的应收单号不存在",IF(AND($L1897&lt;&gt;"",IFERROR(INDEX(应收键,MATCH($L1897,应收单号,0)),"")&lt;&gt;$D1897),"★关联单号不是这个客户的",IF(AND($L1897&lt;&gt;"",ROUND(SUMIF(收款关联,$L1897,收款金额)-IFERROR(INDEX(应收金额,MATCH($L1897,应收单号,0)),0),2)&gt;0.001),"★指定冲销超过那张单的应收","OK"))))))))</f>
        <v/>
      </c>
    </row>
    <row r="1898" customFormat="false" ht="15" hidden="false" customHeight="false" outlineLevel="0" collapsed="false">
      <c r="A1898" s="29" t="str">
        <f aca="false">IF($C1898="","",ROW()-4)</f>
        <v/>
      </c>
      <c r="B1898" s="35" t="str">
        <f aca="false">IF($C1898="","","SK"&amp;TEXT($C1898,"yyyymm")&amp;"-"&amp;TEXT(ROW()-4,"0000"))</f>
        <v/>
      </c>
      <c r="C1898" s="33"/>
      <c r="D1898" s="24"/>
      <c r="E1898" s="30" t="str">
        <f aca="false">IF($D1898="","",IFERROR(INDEX(合同单位,MATCH($D1898,合同键,0)),IFERROR(TRIM(LEFT($D1898,FIND("｜",$D1898)-1)),$D1898)))</f>
        <v/>
      </c>
      <c r="F1898" s="30" t="str">
        <f aca="false">IF($D1898="","",IFERROR(INDEX(合同项目,MATCH($D1898,合同键,0)),IFERROR(TRIM(MID($D1898,FIND("｜",$D1898)+1,99)),"")))</f>
        <v/>
      </c>
      <c r="G1898" s="39"/>
      <c r="H1898" s="25"/>
      <c r="I1898" s="35" t="str">
        <f aca="false">IF($H1898="","",IFERROR(INDEX(票据归类表,MATCH($H1898,票据类型表,0)),"现金无票"))</f>
        <v/>
      </c>
      <c r="J1898" s="25"/>
      <c r="K1898" s="25"/>
      <c r="L1898" s="31"/>
      <c r="M1898" s="29" t="str">
        <f aca="false">IF($C1898="","",YEAR($C1898))</f>
        <v/>
      </c>
      <c r="N1898" s="24"/>
      <c r="O1898" s="35" t="str">
        <f aca="false">IF($C1898="","",IF($D1898="","★没选客户项目",IF(COUNTIF(合同键,$D1898)=0,"★《维保合同》里没这个项目",IF(N($G1898)&lt;=0,"★收款金额要填",IF($H1898="","★票据类型要选",IF(AND($L1898&lt;&gt;"",COUNTIF(应收单号,$L1898)=0),"★关联的应收单号不存在",IF(AND($L1898&lt;&gt;"",IFERROR(INDEX(应收键,MATCH($L1898,应收单号,0)),"")&lt;&gt;$D1898),"★关联单号不是这个客户的",IF(AND($L1898&lt;&gt;"",ROUND(SUMIF(收款关联,$L1898,收款金额)-IFERROR(INDEX(应收金额,MATCH($L1898,应收单号,0)),0),2)&gt;0.001),"★指定冲销超过那张单的应收","OK"))))))))</f>
        <v/>
      </c>
    </row>
    <row r="1899" customFormat="false" ht="15" hidden="false" customHeight="false" outlineLevel="0" collapsed="false">
      <c r="A1899" s="29" t="str">
        <f aca="false">IF($C1899="","",ROW()-4)</f>
        <v/>
      </c>
      <c r="B1899" s="35" t="str">
        <f aca="false">IF($C1899="","","SK"&amp;TEXT($C1899,"yyyymm")&amp;"-"&amp;TEXT(ROW()-4,"0000"))</f>
        <v/>
      </c>
      <c r="C1899" s="33"/>
      <c r="D1899" s="24"/>
      <c r="E1899" s="30" t="str">
        <f aca="false">IF($D1899="","",IFERROR(INDEX(合同单位,MATCH($D1899,合同键,0)),IFERROR(TRIM(LEFT($D1899,FIND("｜",$D1899)-1)),$D1899)))</f>
        <v/>
      </c>
      <c r="F1899" s="30" t="str">
        <f aca="false">IF($D1899="","",IFERROR(INDEX(合同项目,MATCH($D1899,合同键,0)),IFERROR(TRIM(MID($D1899,FIND("｜",$D1899)+1,99)),"")))</f>
        <v/>
      </c>
      <c r="G1899" s="39"/>
      <c r="H1899" s="25"/>
      <c r="I1899" s="35" t="str">
        <f aca="false">IF($H1899="","",IFERROR(INDEX(票据归类表,MATCH($H1899,票据类型表,0)),"现金无票"))</f>
        <v/>
      </c>
      <c r="J1899" s="25"/>
      <c r="K1899" s="25"/>
      <c r="L1899" s="31"/>
      <c r="M1899" s="29" t="str">
        <f aca="false">IF($C1899="","",YEAR($C1899))</f>
        <v/>
      </c>
      <c r="N1899" s="24"/>
      <c r="O1899" s="35" t="str">
        <f aca="false">IF($C1899="","",IF($D1899="","★没选客户项目",IF(COUNTIF(合同键,$D1899)=0,"★《维保合同》里没这个项目",IF(N($G1899)&lt;=0,"★收款金额要填",IF($H1899="","★票据类型要选",IF(AND($L1899&lt;&gt;"",COUNTIF(应收单号,$L1899)=0),"★关联的应收单号不存在",IF(AND($L1899&lt;&gt;"",IFERROR(INDEX(应收键,MATCH($L1899,应收单号,0)),"")&lt;&gt;$D1899),"★关联单号不是这个客户的",IF(AND($L1899&lt;&gt;"",ROUND(SUMIF(收款关联,$L1899,收款金额)-IFERROR(INDEX(应收金额,MATCH($L1899,应收单号,0)),0),2)&gt;0.001),"★指定冲销超过那张单的应收","OK"))))))))</f>
        <v/>
      </c>
    </row>
    <row r="1900" customFormat="false" ht="15" hidden="false" customHeight="false" outlineLevel="0" collapsed="false">
      <c r="A1900" s="29" t="str">
        <f aca="false">IF($C1900="","",ROW()-4)</f>
        <v/>
      </c>
      <c r="B1900" s="35" t="str">
        <f aca="false">IF($C1900="","","SK"&amp;TEXT($C1900,"yyyymm")&amp;"-"&amp;TEXT(ROW()-4,"0000"))</f>
        <v/>
      </c>
      <c r="C1900" s="33"/>
      <c r="D1900" s="24"/>
      <c r="E1900" s="30" t="str">
        <f aca="false">IF($D1900="","",IFERROR(INDEX(合同单位,MATCH($D1900,合同键,0)),IFERROR(TRIM(LEFT($D1900,FIND("｜",$D1900)-1)),$D1900)))</f>
        <v/>
      </c>
      <c r="F1900" s="30" t="str">
        <f aca="false">IF($D1900="","",IFERROR(INDEX(合同项目,MATCH($D1900,合同键,0)),IFERROR(TRIM(MID($D1900,FIND("｜",$D1900)+1,99)),"")))</f>
        <v/>
      </c>
      <c r="G1900" s="39"/>
      <c r="H1900" s="25"/>
      <c r="I1900" s="35" t="str">
        <f aca="false">IF($H1900="","",IFERROR(INDEX(票据归类表,MATCH($H1900,票据类型表,0)),"现金无票"))</f>
        <v/>
      </c>
      <c r="J1900" s="25"/>
      <c r="K1900" s="25"/>
      <c r="L1900" s="31"/>
      <c r="M1900" s="29" t="str">
        <f aca="false">IF($C1900="","",YEAR($C1900))</f>
        <v/>
      </c>
      <c r="N1900" s="24"/>
      <c r="O1900" s="35" t="str">
        <f aca="false">IF($C1900="","",IF($D1900="","★没选客户项目",IF(COUNTIF(合同键,$D1900)=0,"★《维保合同》里没这个项目",IF(N($G1900)&lt;=0,"★收款金额要填",IF($H1900="","★票据类型要选",IF(AND($L1900&lt;&gt;"",COUNTIF(应收单号,$L1900)=0),"★关联的应收单号不存在",IF(AND($L1900&lt;&gt;"",IFERROR(INDEX(应收键,MATCH($L1900,应收单号,0)),"")&lt;&gt;$D1900),"★关联单号不是这个客户的",IF(AND($L1900&lt;&gt;"",ROUND(SUMIF(收款关联,$L1900,收款金额)-IFERROR(INDEX(应收金额,MATCH($L1900,应收单号,0)),0),2)&gt;0.001),"★指定冲销超过那张单的应收","OK"))))))))</f>
        <v/>
      </c>
    </row>
    <row r="1901" customFormat="false" ht="15" hidden="false" customHeight="false" outlineLevel="0" collapsed="false">
      <c r="A1901" s="29" t="str">
        <f aca="false">IF($C1901="","",ROW()-4)</f>
        <v/>
      </c>
      <c r="B1901" s="35" t="str">
        <f aca="false">IF($C1901="","","SK"&amp;TEXT($C1901,"yyyymm")&amp;"-"&amp;TEXT(ROW()-4,"0000"))</f>
        <v/>
      </c>
      <c r="C1901" s="33"/>
      <c r="D1901" s="24"/>
      <c r="E1901" s="30" t="str">
        <f aca="false">IF($D1901="","",IFERROR(INDEX(合同单位,MATCH($D1901,合同键,0)),IFERROR(TRIM(LEFT($D1901,FIND("｜",$D1901)-1)),$D1901)))</f>
        <v/>
      </c>
      <c r="F1901" s="30" t="str">
        <f aca="false">IF($D1901="","",IFERROR(INDEX(合同项目,MATCH($D1901,合同键,0)),IFERROR(TRIM(MID($D1901,FIND("｜",$D1901)+1,99)),"")))</f>
        <v/>
      </c>
      <c r="G1901" s="39"/>
      <c r="H1901" s="25"/>
      <c r="I1901" s="35" t="str">
        <f aca="false">IF($H1901="","",IFERROR(INDEX(票据归类表,MATCH($H1901,票据类型表,0)),"现金无票"))</f>
        <v/>
      </c>
      <c r="J1901" s="25"/>
      <c r="K1901" s="25"/>
      <c r="L1901" s="31"/>
      <c r="M1901" s="29" t="str">
        <f aca="false">IF($C1901="","",YEAR($C1901))</f>
        <v/>
      </c>
      <c r="N1901" s="24"/>
      <c r="O1901" s="35" t="str">
        <f aca="false">IF($C1901="","",IF($D1901="","★没选客户项目",IF(COUNTIF(合同键,$D1901)=0,"★《维保合同》里没这个项目",IF(N($G1901)&lt;=0,"★收款金额要填",IF($H1901="","★票据类型要选",IF(AND($L1901&lt;&gt;"",COUNTIF(应收单号,$L1901)=0),"★关联的应收单号不存在",IF(AND($L1901&lt;&gt;"",IFERROR(INDEX(应收键,MATCH($L1901,应收单号,0)),"")&lt;&gt;$D1901),"★关联单号不是这个客户的",IF(AND($L1901&lt;&gt;"",ROUND(SUMIF(收款关联,$L1901,收款金额)-IFERROR(INDEX(应收金额,MATCH($L1901,应收单号,0)),0),2)&gt;0.001),"★指定冲销超过那张单的应收","OK"))))))))</f>
        <v/>
      </c>
    </row>
    <row r="1902" customFormat="false" ht="15" hidden="false" customHeight="false" outlineLevel="0" collapsed="false">
      <c r="A1902" s="29" t="str">
        <f aca="false">IF($C1902="","",ROW()-4)</f>
        <v/>
      </c>
      <c r="B1902" s="35" t="str">
        <f aca="false">IF($C1902="","","SK"&amp;TEXT($C1902,"yyyymm")&amp;"-"&amp;TEXT(ROW()-4,"0000"))</f>
        <v/>
      </c>
      <c r="C1902" s="33"/>
      <c r="D1902" s="24"/>
      <c r="E1902" s="30" t="str">
        <f aca="false">IF($D1902="","",IFERROR(INDEX(合同单位,MATCH($D1902,合同键,0)),IFERROR(TRIM(LEFT($D1902,FIND("｜",$D1902)-1)),$D1902)))</f>
        <v/>
      </c>
      <c r="F1902" s="30" t="str">
        <f aca="false">IF($D1902="","",IFERROR(INDEX(合同项目,MATCH($D1902,合同键,0)),IFERROR(TRIM(MID($D1902,FIND("｜",$D1902)+1,99)),"")))</f>
        <v/>
      </c>
      <c r="G1902" s="39"/>
      <c r="H1902" s="25"/>
      <c r="I1902" s="35" t="str">
        <f aca="false">IF($H1902="","",IFERROR(INDEX(票据归类表,MATCH($H1902,票据类型表,0)),"现金无票"))</f>
        <v/>
      </c>
      <c r="J1902" s="25"/>
      <c r="K1902" s="25"/>
      <c r="L1902" s="31"/>
      <c r="M1902" s="29" t="str">
        <f aca="false">IF($C1902="","",YEAR($C1902))</f>
        <v/>
      </c>
      <c r="N1902" s="24"/>
      <c r="O1902" s="35" t="str">
        <f aca="false">IF($C1902="","",IF($D1902="","★没选客户项目",IF(COUNTIF(合同键,$D1902)=0,"★《维保合同》里没这个项目",IF(N($G1902)&lt;=0,"★收款金额要填",IF($H1902="","★票据类型要选",IF(AND($L1902&lt;&gt;"",COUNTIF(应收单号,$L1902)=0),"★关联的应收单号不存在",IF(AND($L1902&lt;&gt;"",IFERROR(INDEX(应收键,MATCH($L1902,应收单号,0)),"")&lt;&gt;$D1902),"★关联单号不是这个客户的",IF(AND($L1902&lt;&gt;"",ROUND(SUMIF(收款关联,$L1902,收款金额)-IFERROR(INDEX(应收金额,MATCH($L1902,应收单号,0)),0),2)&gt;0.001),"★指定冲销超过那张单的应收","OK"))))))))</f>
        <v/>
      </c>
    </row>
    <row r="1903" customFormat="false" ht="15" hidden="false" customHeight="false" outlineLevel="0" collapsed="false">
      <c r="A1903" s="29" t="str">
        <f aca="false">IF($C1903="","",ROW()-4)</f>
        <v/>
      </c>
      <c r="B1903" s="35" t="str">
        <f aca="false">IF($C1903="","","SK"&amp;TEXT($C1903,"yyyymm")&amp;"-"&amp;TEXT(ROW()-4,"0000"))</f>
        <v/>
      </c>
      <c r="C1903" s="33"/>
      <c r="D1903" s="24"/>
      <c r="E1903" s="30" t="str">
        <f aca="false">IF($D1903="","",IFERROR(INDEX(合同单位,MATCH($D1903,合同键,0)),IFERROR(TRIM(LEFT($D1903,FIND("｜",$D1903)-1)),$D1903)))</f>
        <v/>
      </c>
      <c r="F1903" s="30" t="str">
        <f aca="false">IF($D1903="","",IFERROR(INDEX(合同项目,MATCH($D1903,合同键,0)),IFERROR(TRIM(MID($D1903,FIND("｜",$D1903)+1,99)),"")))</f>
        <v/>
      </c>
      <c r="G1903" s="39"/>
      <c r="H1903" s="25"/>
      <c r="I1903" s="35" t="str">
        <f aca="false">IF($H1903="","",IFERROR(INDEX(票据归类表,MATCH($H1903,票据类型表,0)),"现金无票"))</f>
        <v/>
      </c>
      <c r="J1903" s="25"/>
      <c r="K1903" s="25"/>
      <c r="L1903" s="31"/>
      <c r="M1903" s="29" t="str">
        <f aca="false">IF($C1903="","",YEAR($C1903))</f>
        <v/>
      </c>
      <c r="N1903" s="24"/>
      <c r="O1903" s="35" t="str">
        <f aca="false">IF($C1903="","",IF($D1903="","★没选客户项目",IF(COUNTIF(合同键,$D1903)=0,"★《维保合同》里没这个项目",IF(N($G1903)&lt;=0,"★收款金额要填",IF($H1903="","★票据类型要选",IF(AND($L1903&lt;&gt;"",COUNTIF(应收单号,$L1903)=0),"★关联的应收单号不存在",IF(AND($L1903&lt;&gt;"",IFERROR(INDEX(应收键,MATCH($L1903,应收单号,0)),"")&lt;&gt;$D1903),"★关联单号不是这个客户的",IF(AND($L1903&lt;&gt;"",ROUND(SUMIF(收款关联,$L1903,收款金额)-IFERROR(INDEX(应收金额,MATCH($L1903,应收单号,0)),0),2)&gt;0.001),"★指定冲销超过那张单的应收","OK"))))))))</f>
        <v/>
      </c>
    </row>
    <row r="1904" customFormat="false" ht="15" hidden="false" customHeight="false" outlineLevel="0" collapsed="false">
      <c r="A1904" s="29" t="str">
        <f aca="false">IF($C1904="","",ROW()-4)</f>
        <v/>
      </c>
      <c r="B1904" s="35" t="str">
        <f aca="false">IF($C1904="","","SK"&amp;TEXT($C1904,"yyyymm")&amp;"-"&amp;TEXT(ROW()-4,"0000"))</f>
        <v/>
      </c>
      <c r="C1904" s="33"/>
      <c r="D1904" s="24"/>
      <c r="E1904" s="30" t="str">
        <f aca="false">IF($D1904="","",IFERROR(INDEX(合同单位,MATCH($D1904,合同键,0)),IFERROR(TRIM(LEFT($D1904,FIND("｜",$D1904)-1)),$D1904)))</f>
        <v/>
      </c>
      <c r="F1904" s="30" t="str">
        <f aca="false">IF($D1904="","",IFERROR(INDEX(合同项目,MATCH($D1904,合同键,0)),IFERROR(TRIM(MID($D1904,FIND("｜",$D1904)+1,99)),"")))</f>
        <v/>
      </c>
      <c r="G1904" s="39"/>
      <c r="H1904" s="25"/>
      <c r="I1904" s="35" t="str">
        <f aca="false">IF($H1904="","",IFERROR(INDEX(票据归类表,MATCH($H1904,票据类型表,0)),"现金无票"))</f>
        <v/>
      </c>
      <c r="J1904" s="25"/>
      <c r="K1904" s="25"/>
      <c r="L1904" s="31"/>
      <c r="M1904" s="29" t="str">
        <f aca="false">IF($C1904="","",YEAR($C1904))</f>
        <v/>
      </c>
      <c r="N1904" s="24"/>
      <c r="O1904" s="35" t="str">
        <f aca="false">IF($C1904="","",IF($D1904="","★没选客户项目",IF(COUNTIF(合同键,$D1904)=0,"★《维保合同》里没这个项目",IF(N($G1904)&lt;=0,"★收款金额要填",IF($H1904="","★票据类型要选",IF(AND($L1904&lt;&gt;"",COUNTIF(应收单号,$L1904)=0),"★关联的应收单号不存在",IF(AND($L1904&lt;&gt;"",IFERROR(INDEX(应收键,MATCH($L1904,应收单号,0)),"")&lt;&gt;$D1904),"★关联单号不是这个客户的",IF(AND($L1904&lt;&gt;"",ROUND(SUMIF(收款关联,$L1904,收款金额)-IFERROR(INDEX(应收金额,MATCH($L1904,应收单号,0)),0),2)&gt;0.001),"★指定冲销超过那张单的应收","OK"))))))))</f>
        <v/>
      </c>
    </row>
    <row r="1905" customFormat="false" ht="15" hidden="false" customHeight="false" outlineLevel="0" collapsed="false">
      <c r="A1905" s="29" t="str">
        <f aca="false">IF($C1905="","",ROW()-4)</f>
        <v/>
      </c>
      <c r="B1905" s="35" t="str">
        <f aca="false">IF($C1905="","","SK"&amp;TEXT($C1905,"yyyymm")&amp;"-"&amp;TEXT(ROW()-4,"0000"))</f>
        <v/>
      </c>
      <c r="C1905" s="33"/>
      <c r="D1905" s="24"/>
      <c r="E1905" s="30" t="str">
        <f aca="false">IF($D1905="","",IFERROR(INDEX(合同单位,MATCH($D1905,合同键,0)),IFERROR(TRIM(LEFT($D1905,FIND("｜",$D1905)-1)),$D1905)))</f>
        <v/>
      </c>
      <c r="F1905" s="30" t="str">
        <f aca="false">IF($D1905="","",IFERROR(INDEX(合同项目,MATCH($D1905,合同键,0)),IFERROR(TRIM(MID($D1905,FIND("｜",$D1905)+1,99)),"")))</f>
        <v/>
      </c>
      <c r="G1905" s="39"/>
      <c r="H1905" s="25"/>
      <c r="I1905" s="35" t="str">
        <f aca="false">IF($H1905="","",IFERROR(INDEX(票据归类表,MATCH($H1905,票据类型表,0)),"现金无票"))</f>
        <v/>
      </c>
      <c r="J1905" s="25"/>
      <c r="K1905" s="25"/>
      <c r="L1905" s="31"/>
      <c r="M1905" s="29" t="str">
        <f aca="false">IF($C1905="","",YEAR($C1905))</f>
        <v/>
      </c>
      <c r="N1905" s="24"/>
      <c r="O1905" s="35" t="str">
        <f aca="false">IF($C1905="","",IF($D1905="","★没选客户项目",IF(COUNTIF(合同键,$D1905)=0,"★《维保合同》里没这个项目",IF(N($G1905)&lt;=0,"★收款金额要填",IF($H1905="","★票据类型要选",IF(AND($L1905&lt;&gt;"",COUNTIF(应收单号,$L1905)=0),"★关联的应收单号不存在",IF(AND($L1905&lt;&gt;"",IFERROR(INDEX(应收键,MATCH($L1905,应收单号,0)),"")&lt;&gt;$D1905),"★关联单号不是这个客户的",IF(AND($L1905&lt;&gt;"",ROUND(SUMIF(收款关联,$L1905,收款金额)-IFERROR(INDEX(应收金额,MATCH($L1905,应收单号,0)),0),2)&gt;0.001),"★指定冲销超过那张单的应收","OK"))))))))</f>
        <v/>
      </c>
    </row>
    <row r="1906" customFormat="false" ht="15" hidden="false" customHeight="false" outlineLevel="0" collapsed="false">
      <c r="A1906" s="29" t="str">
        <f aca="false">IF($C1906="","",ROW()-4)</f>
        <v/>
      </c>
      <c r="B1906" s="35" t="str">
        <f aca="false">IF($C1906="","","SK"&amp;TEXT($C1906,"yyyymm")&amp;"-"&amp;TEXT(ROW()-4,"0000"))</f>
        <v/>
      </c>
      <c r="C1906" s="33"/>
      <c r="D1906" s="24"/>
      <c r="E1906" s="30" t="str">
        <f aca="false">IF($D1906="","",IFERROR(INDEX(合同单位,MATCH($D1906,合同键,0)),IFERROR(TRIM(LEFT($D1906,FIND("｜",$D1906)-1)),$D1906)))</f>
        <v/>
      </c>
      <c r="F1906" s="30" t="str">
        <f aca="false">IF($D1906="","",IFERROR(INDEX(合同项目,MATCH($D1906,合同键,0)),IFERROR(TRIM(MID($D1906,FIND("｜",$D1906)+1,99)),"")))</f>
        <v/>
      </c>
      <c r="G1906" s="39"/>
      <c r="H1906" s="25"/>
      <c r="I1906" s="35" t="str">
        <f aca="false">IF($H1906="","",IFERROR(INDEX(票据归类表,MATCH($H1906,票据类型表,0)),"现金无票"))</f>
        <v/>
      </c>
      <c r="J1906" s="25"/>
      <c r="K1906" s="25"/>
      <c r="L1906" s="31"/>
      <c r="M1906" s="29" t="str">
        <f aca="false">IF($C1906="","",YEAR($C1906))</f>
        <v/>
      </c>
      <c r="N1906" s="24"/>
      <c r="O1906" s="35" t="str">
        <f aca="false">IF($C1906="","",IF($D1906="","★没选客户项目",IF(COUNTIF(合同键,$D1906)=0,"★《维保合同》里没这个项目",IF(N($G1906)&lt;=0,"★收款金额要填",IF($H1906="","★票据类型要选",IF(AND($L1906&lt;&gt;"",COUNTIF(应收单号,$L1906)=0),"★关联的应收单号不存在",IF(AND($L1906&lt;&gt;"",IFERROR(INDEX(应收键,MATCH($L1906,应收单号,0)),"")&lt;&gt;$D1906),"★关联单号不是这个客户的",IF(AND($L1906&lt;&gt;"",ROUND(SUMIF(收款关联,$L1906,收款金额)-IFERROR(INDEX(应收金额,MATCH($L1906,应收单号,0)),0),2)&gt;0.001),"★指定冲销超过那张单的应收","OK"))))))))</f>
        <v/>
      </c>
    </row>
    <row r="1907" customFormat="false" ht="15" hidden="false" customHeight="false" outlineLevel="0" collapsed="false">
      <c r="A1907" s="29" t="str">
        <f aca="false">IF($C1907="","",ROW()-4)</f>
        <v/>
      </c>
      <c r="B1907" s="35" t="str">
        <f aca="false">IF($C1907="","","SK"&amp;TEXT($C1907,"yyyymm")&amp;"-"&amp;TEXT(ROW()-4,"0000"))</f>
        <v/>
      </c>
      <c r="C1907" s="33"/>
      <c r="D1907" s="24"/>
      <c r="E1907" s="30" t="str">
        <f aca="false">IF($D1907="","",IFERROR(INDEX(合同单位,MATCH($D1907,合同键,0)),IFERROR(TRIM(LEFT($D1907,FIND("｜",$D1907)-1)),$D1907)))</f>
        <v/>
      </c>
      <c r="F1907" s="30" t="str">
        <f aca="false">IF($D1907="","",IFERROR(INDEX(合同项目,MATCH($D1907,合同键,0)),IFERROR(TRIM(MID($D1907,FIND("｜",$D1907)+1,99)),"")))</f>
        <v/>
      </c>
      <c r="G1907" s="39"/>
      <c r="H1907" s="25"/>
      <c r="I1907" s="35" t="str">
        <f aca="false">IF($H1907="","",IFERROR(INDEX(票据归类表,MATCH($H1907,票据类型表,0)),"现金无票"))</f>
        <v/>
      </c>
      <c r="J1907" s="25"/>
      <c r="K1907" s="25"/>
      <c r="L1907" s="31"/>
      <c r="M1907" s="29" t="str">
        <f aca="false">IF($C1907="","",YEAR($C1907))</f>
        <v/>
      </c>
      <c r="N1907" s="24"/>
      <c r="O1907" s="35" t="str">
        <f aca="false">IF($C1907="","",IF($D1907="","★没选客户项目",IF(COUNTIF(合同键,$D1907)=0,"★《维保合同》里没这个项目",IF(N($G1907)&lt;=0,"★收款金额要填",IF($H1907="","★票据类型要选",IF(AND($L1907&lt;&gt;"",COUNTIF(应收单号,$L1907)=0),"★关联的应收单号不存在",IF(AND($L1907&lt;&gt;"",IFERROR(INDEX(应收键,MATCH($L1907,应收单号,0)),"")&lt;&gt;$D1907),"★关联单号不是这个客户的",IF(AND($L1907&lt;&gt;"",ROUND(SUMIF(收款关联,$L1907,收款金额)-IFERROR(INDEX(应收金额,MATCH($L1907,应收单号,0)),0),2)&gt;0.001),"★指定冲销超过那张单的应收","OK"))))))))</f>
        <v/>
      </c>
    </row>
    <row r="1908" customFormat="false" ht="15" hidden="false" customHeight="false" outlineLevel="0" collapsed="false">
      <c r="A1908" s="29" t="str">
        <f aca="false">IF($C1908="","",ROW()-4)</f>
        <v/>
      </c>
      <c r="B1908" s="35" t="str">
        <f aca="false">IF($C1908="","","SK"&amp;TEXT($C1908,"yyyymm")&amp;"-"&amp;TEXT(ROW()-4,"0000"))</f>
        <v/>
      </c>
      <c r="C1908" s="33"/>
      <c r="D1908" s="24"/>
      <c r="E1908" s="30" t="str">
        <f aca="false">IF($D1908="","",IFERROR(INDEX(合同单位,MATCH($D1908,合同键,0)),IFERROR(TRIM(LEFT($D1908,FIND("｜",$D1908)-1)),$D1908)))</f>
        <v/>
      </c>
      <c r="F1908" s="30" t="str">
        <f aca="false">IF($D1908="","",IFERROR(INDEX(合同项目,MATCH($D1908,合同键,0)),IFERROR(TRIM(MID($D1908,FIND("｜",$D1908)+1,99)),"")))</f>
        <v/>
      </c>
      <c r="G1908" s="39"/>
      <c r="H1908" s="25"/>
      <c r="I1908" s="35" t="str">
        <f aca="false">IF($H1908="","",IFERROR(INDEX(票据归类表,MATCH($H1908,票据类型表,0)),"现金无票"))</f>
        <v/>
      </c>
      <c r="J1908" s="25"/>
      <c r="K1908" s="25"/>
      <c r="L1908" s="31"/>
      <c r="M1908" s="29" t="str">
        <f aca="false">IF($C1908="","",YEAR($C1908))</f>
        <v/>
      </c>
      <c r="N1908" s="24"/>
      <c r="O1908" s="35" t="str">
        <f aca="false">IF($C1908="","",IF($D1908="","★没选客户项目",IF(COUNTIF(合同键,$D1908)=0,"★《维保合同》里没这个项目",IF(N($G1908)&lt;=0,"★收款金额要填",IF($H1908="","★票据类型要选",IF(AND($L1908&lt;&gt;"",COUNTIF(应收单号,$L1908)=0),"★关联的应收单号不存在",IF(AND($L1908&lt;&gt;"",IFERROR(INDEX(应收键,MATCH($L1908,应收单号,0)),"")&lt;&gt;$D1908),"★关联单号不是这个客户的",IF(AND($L1908&lt;&gt;"",ROUND(SUMIF(收款关联,$L1908,收款金额)-IFERROR(INDEX(应收金额,MATCH($L1908,应收单号,0)),0),2)&gt;0.001),"★指定冲销超过那张单的应收","OK"))))))))</f>
        <v/>
      </c>
    </row>
    <row r="1909" customFormat="false" ht="15" hidden="false" customHeight="false" outlineLevel="0" collapsed="false">
      <c r="A1909" s="29" t="str">
        <f aca="false">IF($C1909="","",ROW()-4)</f>
        <v/>
      </c>
      <c r="B1909" s="35" t="str">
        <f aca="false">IF($C1909="","","SK"&amp;TEXT($C1909,"yyyymm")&amp;"-"&amp;TEXT(ROW()-4,"0000"))</f>
        <v/>
      </c>
      <c r="C1909" s="33"/>
      <c r="D1909" s="24"/>
      <c r="E1909" s="30" t="str">
        <f aca="false">IF($D1909="","",IFERROR(INDEX(合同单位,MATCH($D1909,合同键,0)),IFERROR(TRIM(LEFT($D1909,FIND("｜",$D1909)-1)),$D1909)))</f>
        <v/>
      </c>
      <c r="F1909" s="30" t="str">
        <f aca="false">IF($D1909="","",IFERROR(INDEX(合同项目,MATCH($D1909,合同键,0)),IFERROR(TRIM(MID($D1909,FIND("｜",$D1909)+1,99)),"")))</f>
        <v/>
      </c>
      <c r="G1909" s="39"/>
      <c r="H1909" s="25"/>
      <c r="I1909" s="35" t="str">
        <f aca="false">IF($H1909="","",IFERROR(INDEX(票据归类表,MATCH($H1909,票据类型表,0)),"现金无票"))</f>
        <v/>
      </c>
      <c r="J1909" s="25"/>
      <c r="K1909" s="25"/>
      <c r="L1909" s="31"/>
      <c r="M1909" s="29" t="str">
        <f aca="false">IF($C1909="","",YEAR($C1909))</f>
        <v/>
      </c>
      <c r="N1909" s="24"/>
      <c r="O1909" s="35" t="str">
        <f aca="false">IF($C1909="","",IF($D1909="","★没选客户项目",IF(COUNTIF(合同键,$D1909)=0,"★《维保合同》里没这个项目",IF(N($G1909)&lt;=0,"★收款金额要填",IF($H1909="","★票据类型要选",IF(AND($L1909&lt;&gt;"",COUNTIF(应收单号,$L1909)=0),"★关联的应收单号不存在",IF(AND($L1909&lt;&gt;"",IFERROR(INDEX(应收键,MATCH($L1909,应收单号,0)),"")&lt;&gt;$D1909),"★关联单号不是这个客户的",IF(AND($L1909&lt;&gt;"",ROUND(SUMIF(收款关联,$L1909,收款金额)-IFERROR(INDEX(应收金额,MATCH($L1909,应收单号,0)),0),2)&gt;0.001),"★指定冲销超过那张单的应收","OK"))))))))</f>
        <v/>
      </c>
    </row>
    <row r="1910" customFormat="false" ht="15" hidden="false" customHeight="false" outlineLevel="0" collapsed="false">
      <c r="A1910" s="29" t="str">
        <f aca="false">IF($C1910="","",ROW()-4)</f>
        <v/>
      </c>
      <c r="B1910" s="35" t="str">
        <f aca="false">IF($C1910="","","SK"&amp;TEXT($C1910,"yyyymm")&amp;"-"&amp;TEXT(ROW()-4,"0000"))</f>
        <v/>
      </c>
      <c r="C1910" s="33"/>
      <c r="D1910" s="24"/>
      <c r="E1910" s="30" t="str">
        <f aca="false">IF($D1910="","",IFERROR(INDEX(合同单位,MATCH($D1910,合同键,0)),IFERROR(TRIM(LEFT($D1910,FIND("｜",$D1910)-1)),$D1910)))</f>
        <v/>
      </c>
      <c r="F1910" s="30" t="str">
        <f aca="false">IF($D1910="","",IFERROR(INDEX(合同项目,MATCH($D1910,合同键,0)),IFERROR(TRIM(MID($D1910,FIND("｜",$D1910)+1,99)),"")))</f>
        <v/>
      </c>
      <c r="G1910" s="39"/>
      <c r="H1910" s="25"/>
      <c r="I1910" s="35" t="str">
        <f aca="false">IF($H1910="","",IFERROR(INDEX(票据归类表,MATCH($H1910,票据类型表,0)),"现金无票"))</f>
        <v/>
      </c>
      <c r="J1910" s="25"/>
      <c r="K1910" s="25"/>
      <c r="L1910" s="31"/>
      <c r="M1910" s="29" t="str">
        <f aca="false">IF($C1910="","",YEAR($C1910))</f>
        <v/>
      </c>
      <c r="N1910" s="24"/>
      <c r="O1910" s="35" t="str">
        <f aca="false">IF($C1910="","",IF($D1910="","★没选客户项目",IF(COUNTIF(合同键,$D1910)=0,"★《维保合同》里没这个项目",IF(N($G1910)&lt;=0,"★收款金额要填",IF($H1910="","★票据类型要选",IF(AND($L1910&lt;&gt;"",COUNTIF(应收单号,$L1910)=0),"★关联的应收单号不存在",IF(AND($L1910&lt;&gt;"",IFERROR(INDEX(应收键,MATCH($L1910,应收单号,0)),"")&lt;&gt;$D1910),"★关联单号不是这个客户的",IF(AND($L1910&lt;&gt;"",ROUND(SUMIF(收款关联,$L1910,收款金额)-IFERROR(INDEX(应收金额,MATCH($L1910,应收单号,0)),0),2)&gt;0.001),"★指定冲销超过那张单的应收","OK"))))))))</f>
        <v/>
      </c>
    </row>
    <row r="1911" customFormat="false" ht="15" hidden="false" customHeight="false" outlineLevel="0" collapsed="false">
      <c r="A1911" s="29" t="str">
        <f aca="false">IF($C1911="","",ROW()-4)</f>
        <v/>
      </c>
      <c r="B1911" s="35" t="str">
        <f aca="false">IF($C1911="","","SK"&amp;TEXT($C1911,"yyyymm")&amp;"-"&amp;TEXT(ROW()-4,"0000"))</f>
        <v/>
      </c>
      <c r="C1911" s="33"/>
      <c r="D1911" s="24"/>
      <c r="E1911" s="30" t="str">
        <f aca="false">IF($D1911="","",IFERROR(INDEX(合同单位,MATCH($D1911,合同键,0)),IFERROR(TRIM(LEFT($D1911,FIND("｜",$D1911)-1)),$D1911)))</f>
        <v/>
      </c>
      <c r="F1911" s="30" t="str">
        <f aca="false">IF($D1911="","",IFERROR(INDEX(合同项目,MATCH($D1911,合同键,0)),IFERROR(TRIM(MID($D1911,FIND("｜",$D1911)+1,99)),"")))</f>
        <v/>
      </c>
      <c r="G1911" s="39"/>
      <c r="H1911" s="25"/>
      <c r="I1911" s="35" t="str">
        <f aca="false">IF($H1911="","",IFERROR(INDEX(票据归类表,MATCH($H1911,票据类型表,0)),"现金无票"))</f>
        <v/>
      </c>
      <c r="J1911" s="25"/>
      <c r="K1911" s="25"/>
      <c r="L1911" s="31"/>
      <c r="M1911" s="29" t="str">
        <f aca="false">IF($C1911="","",YEAR($C1911))</f>
        <v/>
      </c>
      <c r="N1911" s="24"/>
      <c r="O1911" s="35" t="str">
        <f aca="false">IF($C1911="","",IF($D1911="","★没选客户项目",IF(COUNTIF(合同键,$D1911)=0,"★《维保合同》里没这个项目",IF(N($G1911)&lt;=0,"★收款金额要填",IF($H1911="","★票据类型要选",IF(AND($L1911&lt;&gt;"",COUNTIF(应收单号,$L1911)=0),"★关联的应收单号不存在",IF(AND($L1911&lt;&gt;"",IFERROR(INDEX(应收键,MATCH($L1911,应收单号,0)),"")&lt;&gt;$D1911),"★关联单号不是这个客户的",IF(AND($L1911&lt;&gt;"",ROUND(SUMIF(收款关联,$L1911,收款金额)-IFERROR(INDEX(应收金额,MATCH($L1911,应收单号,0)),0),2)&gt;0.001),"★指定冲销超过那张单的应收","OK"))))))))</f>
        <v/>
      </c>
    </row>
    <row r="1912" customFormat="false" ht="15" hidden="false" customHeight="false" outlineLevel="0" collapsed="false">
      <c r="A1912" s="29" t="str">
        <f aca="false">IF($C1912="","",ROW()-4)</f>
        <v/>
      </c>
      <c r="B1912" s="35" t="str">
        <f aca="false">IF($C1912="","","SK"&amp;TEXT($C1912,"yyyymm")&amp;"-"&amp;TEXT(ROW()-4,"0000"))</f>
        <v/>
      </c>
      <c r="C1912" s="33"/>
      <c r="D1912" s="24"/>
      <c r="E1912" s="30" t="str">
        <f aca="false">IF($D1912="","",IFERROR(INDEX(合同单位,MATCH($D1912,合同键,0)),IFERROR(TRIM(LEFT($D1912,FIND("｜",$D1912)-1)),$D1912)))</f>
        <v/>
      </c>
      <c r="F1912" s="30" t="str">
        <f aca="false">IF($D1912="","",IFERROR(INDEX(合同项目,MATCH($D1912,合同键,0)),IFERROR(TRIM(MID($D1912,FIND("｜",$D1912)+1,99)),"")))</f>
        <v/>
      </c>
      <c r="G1912" s="39"/>
      <c r="H1912" s="25"/>
      <c r="I1912" s="35" t="str">
        <f aca="false">IF($H1912="","",IFERROR(INDEX(票据归类表,MATCH($H1912,票据类型表,0)),"现金无票"))</f>
        <v/>
      </c>
      <c r="J1912" s="25"/>
      <c r="K1912" s="25"/>
      <c r="L1912" s="31"/>
      <c r="M1912" s="29" t="str">
        <f aca="false">IF($C1912="","",YEAR($C1912))</f>
        <v/>
      </c>
      <c r="N1912" s="24"/>
      <c r="O1912" s="35" t="str">
        <f aca="false">IF($C1912="","",IF($D1912="","★没选客户项目",IF(COUNTIF(合同键,$D1912)=0,"★《维保合同》里没这个项目",IF(N($G1912)&lt;=0,"★收款金额要填",IF($H1912="","★票据类型要选",IF(AND($L1912&lt;&gt;"",COUNTIF(应收单号,$L1912)=0),"★关联的应收单号不存在",IF(AND($L1912&lt;&gt;"",IFERROR(INDEX(应收键,MATCH($L1912,应收单号,0)),"")&lt;&gt;$D1912),"★关联单号不是这个客户的",IF(AND($L1912&lt;&gt;"",ROUND(SUMIF(收款关联,$L1912,收款金额)-IFERROR(INDEX(应收金额,MATCH($L1912,应收单号,0)),0),2)&gt;0.001),"★指定冲销超过那张单的应收","OK"))))))))</f>
        <v/>
      </c>
    </row>
    <row r="1913" customFormat="false" ht="15" hidden="false" customHeight="false" outlineLevel="0" collapsed="false">
      <c r="A1913" s="29" t="str">
        <f aca="false">IF($C1913="","",ROW()-4)</f>
        <v/>
      </c>
      <c r="B1913" s="35" t="str">
        <f aca="false">IF($C1913="","","SK"&amp;TEXT($C1913,"yyyymm")&amp;"-"&amp;TEXT(ROW()-4,"0000"))</f>
        <v/>
      </c>
      <c r="C1913" s="33"/>
      <c r="D1913" s="24"/>
      <c r="E1913" s="30" t="str">
        <f aca="false">IF($D1913="","",IFERROR(INDEX(合同单位,MATCH($D1913,合同键,0)),IFERROR(TRIM(LEFT($D1913,FIND("｜",$D1913)-1)),$D1913)))</f>
        <v/>
      </c>
      <c r="F1913" s="30" t="str">
        <f aca="false">IF($D1913="","",IFERROR(INDEX(合同项目,MATCH($D1913,合同键,0)),IFERROR(TRIM(MID($D1913,FIND("｜",$D1913)+1,99)),"")))</f>
        <v/>
      </c>
      <c r="G1913" s="39"/>
      <c r="H1913" s="25"/>
      <c r="I1913" s="35" t="str">
        <f aca="false">IF($H1913="","",IFERROR(INDEX(票据归类表,MATCH($H1913,票据类型表,0)),"现金无票"))</f>
        <v/>
      </c>
      <c r="J1913" s="25"/>
      <c r="K1913" s="25"/>
      <c r="L1913" s="31"/>
      <c r="M1913" s="29" t="str">
        <f aca="false">IF($C1913="","",YEAR($C1913))</f>
        <v/>
      </c>
      <c r="N1913" s="24"/>
      <c r="O1913" s="35" t="str">
        <f aca="false">IF($C1913="","",IF($D1913="","★没选客户项目",IF(COUNTIF(合同键,$D1913)=0,"★《维保合同》里没这个项目",IF(N($G1913)&lt;=0,"★收款金额要填",IF($H1913="","★票据类型要选",IF(AND($L1913&lt;&gt;"",COUNTIF(应收单号,$L1913)=0),"★关联的应收单号不存在",IF(AND($L1913&lt;&gt;"",IFERROR(INDEX(应收键,MATCH($L1913,应收单号,0)),"")&lt;&gt;$D1913),"★关联单号不是这个客户的",IF(AND($L1913&lt;&gt;"",ROUND(SUMIF(收款关联,$L1913,收款金额)-IFERROR(INDEX(应收金额,MATCH($L1913,应收单号,0)),0),2)&gt;0.001),"★指定冲销超过那张单的应收","OK"))))))))</f>
        <v/>
      </c>
    </row>
    <row r="1914" customFormat="false" ht="15" hidden="false" customHeight="false" outlineLevel="0" collapsed="false">
      <c r="A1914" s="29" t="str">
        <f aca="false">IF($C1914="","",ROW()-4)</f>
        <v/>
      </c>
      <c r="B1914" s="35" t="str">
        <f aca="false">IF($C1914="","","SK"&amp;TEXT($C1914,"yyyymm")&amp;"-"&amp;TEXT(ROW()-4,"0000"))</f>
        <v/>
      </c>
      <c r="C1914" s="33"/>
      <c r="D1914" s="24"/>
      <c r="E1914" s="30" t="str">
        <f aca="false">IF($D1914="","",IFERROR(INDEX(合同单位,MATCH($D1914,合同键,0)),IFERROR(TRIM(LEFT($D1914,FIND("｜",$D1914)-1)),$D1914)))</f>
        <v/>
      </c>
      <c r="F1914" s="30" t="str">
        <f aca="false">IF($D1914="","",IFERROR(INDEX(合同项目,MATCH($D1914,合同键,0)),IFERROR(TRIM(MID($D1914,FIND("｜",$D1914)+1,99)),"")))</f>
        <v/>
      </c>
      <c r="G1914" s="39"/>
      <c r="H1914" s="25"/>
      <c r="I1914" s="35" t="str">
        <f aca="false">IF($H1914="","",IFERROR(INDEX(票据归类表,MATCH($H1914,票据类型表,0)),"现金无票"))</f>
        <v/>
      </c>
      <c r="J1914" s="25"/>
      <c r="K1914" s="25"/>
      <c r="L1914" s="31"/>
      <c r="M1914" s="29" t="str">
        <f aca="false">IF($C1914="","",YEAR($C1914))</f>
        <v/>
      </c>
      <c r="N1914" s="24"/>
      <c r="O1914" s="35" t="str">
        <f aca="false">IF($C1914="","",IF($D1914="","★没选客户项目",IF(COUNTIF(合同键,$D1914)=0,"★《维保合同》里没这个项目",IF(N($G1914)&lt;=0,"★收款金额要填",IF($H1914="","★票据类型要选",IF(AND($L1914&lt;&gt;"",COUNTIF(应收单号,$L1914)=0),"★关联的应收单号不存在",IF(AND($L1914&lt;&gt;"",IFERROR(INDEX(应收键,MATCH($L1914,应收单号,0)),"")&lt;&gt;$D1914),"★关联单号不是这个客户的",IF(AND($L1914&lt;&gt;"",ROUND(SUMIF(收款关联,$L1914,收款金额)-IFERROR(INDEX(应收金额,MATCH($L1914,应收单号,0)),0),2)&gt;0.001),"★指定冲销超过那张单的应收","OK"))))))))</f>
        <v/>
      </c>
    </row>
    <row r="1915" customFormat="false" ht="15" hidden="false" customHeight="false" outlineLevel="0" collapsed="false">
      <c r="A1915" s="29" t="str">
        <f aca="false">IF($C1915="","",ROW()-4)</f>
        <v/>
      </c>
      <c r="B1915" s="35" t="str">
        <f aca="false">IF($C1915="","","SK"&amp;TEXT($C1915,"yyyymm")&amp;"-"&amp;TEXT(ROW()-4,"0000"))</f>
        <v/>
      </c>
      <c r="C1915" s="33"/>
      <c r="D1915" s="24"/>
      <c r="E1915" s="30" t="str">
        <f aca="false">IF($D1915="","",IFERROR(INDEX(合同单位,MATCH($D1915,合同键,0)),IFERROR(TRIM(LEFT($D1915,FIND("｜",$D1915)-1)),$D1915)))</f>
        <v/>
      </c>
      <c r="F1915" s="30" t="str">
        <f aca="false">IF($D1915="","",IFERROR(INDEX(合同项目,MATCH($D1915,合同键,0)),IFERROR(TRIM(MID($D1915,FIND("｜",$D1915)+1,99)),"")))</f>
        <v/>
      </c>
      <c r="G1915" s="39"/>
      <c r="H1915" s="25"/>
      <c r="I1915" s="35" t="str">
        <f aca="false">IF($H1915="","",IFERROR(INDEX(票据归类表,MATCH($H1915,票据类型表,0)),"现金无票"))</f>
        <v/>
      </c>
      <c r="J1915" s="25"/>
      <c r="K1915" s="25"/>
      <c r="L1915" s="31"/>
      <c r="M1915" s="29" t="str">
        <f aca="false">IF($C1915="","",YEAR($C1915))</f>
        <v/>
      </c>
      <c r="N1915" s="24"/>
      <c r="O1915" s="35" t="str">
        <f aca="false">IF($C1915="","",IF($D1915="","★没选客户项目",IF(COUNTIF(合同键,$D1915)=0,"★《维保合同》里没这个项目",IF(N($G1915)&lt;=0,"★收款金额要填",IF($H1915="","★票据类型要选",IF(AND($L1915&lt;&gt;"",COUNTIF(应收单号,$L1915)=0),"★关联的应收单号不存在",IF(AND($L1915&lt;&gt;"",IFERROR(INDEX(应收键,MATCH($L1915,应收单号,0)),"")&lt;&gt;$D1915),"★关联单号不是这个客户的",IF(AND($L1915&lt;&gt;"",ROUND(SUMIF(收款关联,$L1915,收款金额)-IFERROR(INDEX(应收金额,MATCH($L1915,应收单号,0)),0),2)&gt;0.001),"★指定冲销超过那张单的应收","OK"))))))))</f>
        <v/>
      </c>
    </row>
    <row r="1916" customFormat="false" ht="15" hidden="false" customHeight="false" outlineLevel="0" collapsed="false">
      <c r="A1916" s="29" t="str">
        <f aca="false">IF($C1916="","",ROW()-4)</f>
        <v/>
      </c>
      <c r="B1916" s="35" t="str">
        <f aca="false">IF($C1916="","","SK"&amp;TEXT($C1916,"yyyymm")&amp;"-"&amp;TEXT(ROW()-4,"0000"))</f>
        <v/>
      </c>
      <c r="C1916" s="33"/>
      <c r="D1916" s="24"/>
      <c r="E1916" s="30" t="str">
        <f aca="false">IF($D1916="","",IFERROR(INDEX(合同单位,MATCH($D1916,合同键,0)),IFERROR(TRIM(LEFT($D1916,FIND("｜",$D1916)-1)),$D1916)))</f>
        <v/>
      </c>
      <c r="F1916" s="30" t="str">
        <f aca="false">IF($D1916="","",IFERROR(INDEX(合同项目,MATCH($D1916,合同键,0)),IFERROR(TRIM(MID($D1916,FIND("｜",$D1916)+1,99)),"")))</f>
        <v/>
      </c>
      <c r="G1916" s="39"/>
      <c r="H1916" s="25"/>
      <c r="I1916" s="35" t="str">
        <f aca="false">IF($H1916="","",IFERROR(INDEX(票据归类表,MATCH($H1916,票据类型表,0)),"现金无票"))</f>
        <v/>
      </c>
      <c r="J1916" s="25"/>
      <c r="K1916" s="25"/>
      <c r="L1916" s="31"/>
      <c r="M1916" s="29" t="str">
        <f aca="false">IF($C1916="","",YEAR($C1916))</f>
        <v/>
      </c>
      <c r="N1916" s="24"/>
      <c r="O1916" s="35" t="str">
        <f aca="false">IF($C1916="","",IF($D1916="","★没选客户项目",IF(COUNTIF(合同键,$D1916)=0,"★《维保合同》里没这个项目",IF(N($G1916)&lt;=0,"★收款金额要填",IF($H1916="","★票据类型要选",IF(AND($L1916&lt;&gt;"",COUNTIF(应收单号,$L1916)=0),"★关联的应收单号不存在",IF(AND($L1916&lt;&gt;"",IFERROR(INDEX(应收键,MATCH($L1916,应收单号,0)),"")&lt;&gt;$D1916),"★关联单号不是这个客户的",IF(AND($L1916&lt;&gt;"",ROUND(SUMIF(收款关联,$L1916,收款金额)-IFERROR(INDEX(应收金额,MATCH($L1916,应收单号,0)),0),2)&gt;0.001),"★指定冲销超过那张单的应收","OK"))))))))</f>
        <v/>
      </c>
    </row>
    <row r="1917" customFormat="false" ht="15" hidden="false" customHeight="false" outlineLevel="0" collapsed="false">
      <c r="A1917" s="29" t="str">
        <f aca="false">IF($C1917="","",ROW()-4)</f>
        <v/>
      </c>
      <c r="B1917" s="35" t="str">
        <f aca="false">IF($C1917="","","SK"&amp;TEXT($C1917,"yyyymm")&amp;"-"&amp;TEXT(ROW()-4,"0000"))</f>
        <v/>
      </c>
      <c r="C1917" s="33"/>
      <c r="D1917" s="24"/>
      <c r="E1917" s="30" t="str">
        <f aca="false">IF($D1917="","",IFERROR(INDEX(合同单位,MATCH($D1917,合同键,0)),IFERROR(TRIM(LEFT($D1917,FIND("｜",$D1917)-1)),$D1917)))</f>
        <v/>
      </c>
      <c r="F1917" s="30" t="str">
        <f aca="false">IF($D1917="","",IFERROR(INDEX(合同项目,MATCH($D1917,合同键,0)),IFERROR(TRIM(MID($D1917,FIND("｜",$D1917)+1,99)),"")))</f>
        <v/>
      </c>
      <c r="G1917" s="39"/>
      <c r="H1917" s="25"/>
      <c r="I1917" s="35" t="str">
        <f aca="false">IF($H1917="","",IFERROR(INDEX(票据归类表,MATCH($H1917,票据类型表,0)),"现金无票"))</f>
        <v/>
      </c>
      <c r="J1917" s="25"/>
      <c r="K1917" s="25"/>
      <c r="L1917" s="31"/>
      <c r="M1917" s="29" t="str">
        <f aca="false">IF($C1917="","",YEAR($C1917))</f>
        <v/>
      </c>
      <c r="N1917" s="24"/>
      <c r="O1917" s="35" t="str">
        <f aca="false">IF($C1917="","",IF($D1917="","★没选客户项目",IF(COUNTIF(合同键,$D1917)=0,"★《维保合同》里没这个项目",IF(N($G1917)&lt;=0,"★收款金额要填",IF($H1917="","★票据类型要选",IF(AND($L1917&lt;&gt;"",COUNTIF(应收单号,$L1917)=0),"★关联的应收单号不存在",IF(AND($L1917&lt;&gt;"",IFERROR(INDEX(应收键,MATCH($L1917,应收单号,0)),"")&lt;&gt;$D1917),"★关联单号不是这个客户的",IF(AND($L1917&lt;&gt;"",ROUND(SUMIF(收款关联,$L1917,收款金额)-IFERROR(INDEX(应收金额,MATCH($L1917,应收单号,0)),0),2)&gt;0.001),"★指定冲销超过那张单的应收","OK"))))))))</f>
        <v/>
      </c>
    </row>
    <row r="1918" customFormat="false" ht="15" hidden="false" customHeight="false" outlineLevel="0" collapsed="false">
      <c r="A1918" s="29" t="str">
        <f aca="false">IF($C1918="","",ROW()-4)</f>
        <v/>
      </c>
      <c r="B1918" s="35" t="str">
        <f aca="false">IF($C1918="","","SK"&amp;TEXT($C1918,"yyyymm")&amp;"-"&amp;TEXT(ROW()-4,"0000"))</f>
        <v/>
      </c>
      <c r="C1918" s="33"/>
      <c r="D1918" s="24"/>
      <c r="E1918" s="30" t="str">
        <f aca="false">IF($D1918="","",IFERROR(INDEX(合同单位,MATCH($D1918,合同键,0)),IFERROR(TRIM(LEFT($D1918,FIND("｜",$D1918)-1)),$D1918)))</f>
        <v/>
      </c>
      <c r="F1918" s="30" t="str">
        <f aca="false">IF($D1918="","",IFERROR(INDEX(合同项目,MATCH($D1918,合同键,0)),IFERROR(TRIM(MID($D1918,FIND("｜",$D1918)+1,99)),"")))</f>
        <v/>
      </c>
      <c r="G1918" s="39"/>
      <c r="H1918" s="25"/>
      <c r="I1918" s="35" t="str">
        <f aca="false">IF($H1918="","",IFERROR(INDEX(票据归类表,MATCH($H1918,票据类型表,0)),"现金无票"))</f>
        <v/>
      </c>
      <c r="J1918" s="25"/>
      <c r="K1918" s="25"/>
      <c r="L1918" s="31"/>
      <c r="M1918" s="29" t="str">
        <f aca="false">IF($C1918="","",YEAR($C1918))</f>
        <v/>
      </c>
      <c r="N1918" s="24"/>
      <c r="O1918" s="35" t="str">
        <f aca="false">IF($C1918="","",IF($D1918="","★没选客户项目",IF(COUNTIF(合同键,$D1918)=0,"★《维保合同》里没这个项目",IF(N($G1918)&lt;=0,"★收款金额要填",IF($H1918="","★票据类型要选",IF(AND($L1918&lt;&gt;"",COUNTIF(应收单号,$L1918)=0),"★关联的应收单号不存在",IF(AND($L1918&lt;&gt;"",IFERROR(INDEX(应收键,MATCH($L1918,应收单号,0)),"")&lt;&gt;$D1918),"★关联单号不是这个客户的",IF(AND($L1918&lt;&gt;"",ROUND(SUMIF(收款关联,$L1918,收款金额)-IFERROR(INDEX(应收金额,MATCH($L1918,应收单号,0)),0),2)&gt;0.001),"★指定冲销超过那张单的应收","OK"))))))))</f>
        <v/>
      </c>
    </row>
    <row r="1919" customFormat="false" ht="15" hidden="false" customHeight="false" outlineLevel="0" collapsed="false">
      <c r="A1919" s="29" t="str">
        <f aca="false">IF($C1919="","",ROW()-4)</f>
        <v/>
      </c>
      <c r="B1919" s="35" t="str">
        <f aca="false">IF($C1919="","","SK"&amp;TEXT($C1919,"yyyymm")&amp;"-"&amp;TEXT(ROW()-4,"0000"))</f>
        <v/>
      </c>
      <c r="C1919" s="33"/>
      <c r="D1919" s="24"/>
      <c r="E1919" s="30" t="str">
        <f aca="false">IF($D1919="","",IFERROR(INDEX(合同单位,MATCH($D1919,合同键,0)),IFERROR(TRIM(LEFT($D1919,FIND("｜",$D1919)-1)),$D1919)))</f>
        <v/>
      </c>
      <c r="F1919" s="30" t="str">
        <f aca="false">IF($D1919="","",IFERROR(INDEX(合同项目,MATCH($D1919,合同键,0)),IFERROR(TRIM(MID($D1919,FIND("｜",$D1919)+1,99)),"")))</f>
        <v/>
      </c>
      <c r="G1919" s="39"/>
      <c r="H1919" s="25"/>
      <c r="I1919" s="35" t="str">
        <f aca="false">IF($H1919="","",IFERROR(INDEX(票据归类表,MATCH($H1919,票据类型表,0)),"现金无票"))</f>
        <v/>
      </c>
      <c r="J1919" s="25"/>
      <c r="K1919" s="25"/>
      <c r="L1919" s="31"/>
      <c r="M1919" s="29" t="str">
        <f aca="false">IF($C1919="","",YEAR($C1919))</f>
        <v/>
      </c>
      <c r="N1919" s="24"/>
      <c r="O1919" s="35" t="str">
        <f aca="false">IF($C1919="","",IF($D1919="","★没选客户项目",IF(COUNTIF(合同键,$D1919)=0,"★《维保合同》里没这个项目",IF(N($G1919)&lt;=0,"★收款金额要填",IF($H1919="","★票据类型要选",IF(AND($L1919&lt;&gt;"",COUNTIF(应收单号,$L1919)=0),"★关联的应收单号不存在",IF(AND($L1919&lt;&gt;"",IFERROR(INDEX(应收键,MATCH($L1919,应收单号,0)),"")&lt;&gt;$D1919),"★关联单号不是这个客户的",IF(AND($L1919&lt;&gt;"",ROUND(SUMIF(收款关联,$L1919,收款金额)-IFERROR(INDEX(应收金额,MATCH($L1919,应收单号,0)),0),2)&gt;0.001),"★指定冲销超过那张单的应收","OK"))))))))</f>
        <v/>
      </c>
    </row>
    <row r="1920" customFormat="false" ht="15" hidden="false" customHeight="false" outlineLevel="0" collapsed="false">
      <c r="A1920" s="29" t="str">
        <f aca="false">IF($C1920="","",ROW()-4)</f>
        <v/>
      </c>
      <c r="B1920" s="35" t="str">
        <f aca="false">IF($C1920="","","SK"&amp;TEXT($C1920,"yyyymm")&amp;"-"&amp;TEXT(ROW()-4,"0000"))</f>
        <v/>
      </c>
      <c r="C1920" s="33"/>
      <c r="D1920" s="24"/>
      <c r="E1920" s="30" t="str">
        <f aca="false">IF($D1920="","",IFERROR(INDEX(合同单位,MATCH($D1920,合同键,0)),IFERROR(TRIM(LEFT($D1920,FIND("｜",$D1920)-1)),$D1920)))</f>
        <v/>
      </c>
      <c r="F1920" s="30" t="str">
        <f aca="false">IF($D1920="","",IFERROR(INDEX(合同项目,MATCH($D1920,合同键,0)),IFERROR(TRIM(MID($D1920,FIND("｜",$D1920)+1,99)),"")))</f>
        <v/>
      </c>
      <c r="G1920" s="39"/>
      <c r="H1920" s="25"/>
      <c r="I1920" s="35" t="str">
        <f aca="false">IF($H1920="","",IFERROR(INDEX(票据归类表,MATCH($H1920,票据类型表,0)),"现金无票"))</f>
        <v/>
      </c>
      <c r="J1920" s="25"/>
      <c r="K1920" s="25"/>
      <c r="L1920" s="31"/>
      <c r="M1920" s="29" t="str">
        <f aca="false">IF($C1920="","",YEAR($C1920))</f>
        <v/>
      </c>
      <c r="N1920" s="24"/>
      <c r="O1920" s="35" t="str">
        <f aca="false">IF($C1920="","",IF($D1920="","★没选客户项目",IF(COUNTIF(合同键,$D1920)=0,"★《维保合同》里没这个项目",IF(N($G1920)&lt;=0,"★收款金额要填",IF($H1920="","★票据类型要选",IF(AND($L1920&lt;&gt;"",COUNTIF(应收单号,$L1920)=0),"★关联的应收单号不存在",IF(AND($L1920&lt;&gt;"",IFERROR(INDEX(应收键,MATCH($L1920,应收单号,0)),"")&lt;&gt;$D1920),"★关联单号不是这个客户的",IF(AND($L1920&lt;&gt;"",ROUND(SUMIF(收款关联,$L1920,收款金额)-IFERROR(INDEX(应收金额,MATCH($L1920,应收单号,0)),0),2)&gt;0.001),"★指定冲销超过那张单的应收","OK"))))))))</f>
        <v/>
      </c>
    </row>
    <row r="1921" customFormat="false" ht="15" hidden="false" customHeight="false" outlineLevel="0" collapsed="false">
      <c r="A1921" s="29" t="str">
        <f aca="false">IF($C1921="","",ROW()-4)</f>
        <v/>
      </c>
      <c r="B1921" s="35" t="str">
        <f aca="false">IF($C1921="","","SK"&amp;TEXT($C1921,"yyyymm")&amp;"-"&amp;TEXT(ROW()-4,"0000"))</f>
        <v/>
      </c>
      <c r="C1921" s="33"/>
      <c r="D1921" s="24"/>
      <c r="E1921" s="30" t="str">
        <f aca="false">IF($D1921="","",IFERROR(INDEX(合同单位,MATCH($D1921,合同键,0)),IFERROR(TRIM(LEFT($D1921,FIND("｜",$D1921)-1)),$D1921)))</f>
        <v/>
      </c>
      <c r="F1921" s="30" t="str">
        <f aca="false">IF($D1921="","",IFERROR(INDEX(合同项目,MATCH($D1921,合同键,0)),IFERROR(TRIM(MID($D1921,FIND("｜",$D1921)+1,99)),"")))</f>
        <v/>
      </c>
      <c r="G1921" s="39"/>
      <c r="H1921" s="25"/>
      <c r="I1921" s="35" t="str">
        <f aca="false">IF($H1921="","",IFERROR(INDEX(票据归类表,MATCH($H1921,票据类型表,0)),"现金无票"))</f>
        <v/>
      </c>
      <c r="J1921" s="25"/>
      <c r="K1921" s="25"/>
      <c r="L1921" s="31"/>
      <c r="M1921" s="29" t="str">
        <f aca="false">IF($C1921="","",YEAR($C1921))</f>
        <v/>
      </c>
      <c r="N1921" s="24"/>
      <c r="O1921" s="35" t="str">
        <f aca="false">IF($C1921="","",IF($D1921="","★没选客户项目",IF(COUNTIF(合同键,$D1921)=0,"★《维保合同》里没这个项目",IF(N($G1921)&lt;=0,"★收款金额要填",IF($H1921="","★票据类型要选",IF(AND($L1921&lt;&gt;"",COUNTIF(应收单号,$L1921)=0),"★关联的应收单号不存在",IF(AND($L1921&lt;&gt;"",IFERROR(INDEX(应收键,MATCH($L1921,应收单号,0)),"")&lt;&gt;$D1921),"★关联单号不是这个客户的",IF(AND($L1921&lt;&gt;"",ROUND(SUMIF(收款关联,$L1921,收款金额)-IFERROR(INDEX(应收金额,MATCH($L1921,应收单号,0)),0),2)&gt;0.001),"★指定冲销超过那张单的应收","OK"))))))))</f>
        <v/>
      </c>
    </row>
    <row r="1922" customFormat="false" ht="15" hidden="false" customHeight="false" outlineLevel="0" collapsed="false">
      <c r="A1922" s="29" t="str">
        <f aca="false">IF($C1922="","",ROW()-4)</f>
        <v/>
      </c>
      <c r="B1922" s="35" t="str">
        <f aca="false">IF($C1922="","","SK"&amp;TEXT($C1922,"yyyymm")&amp;"-"&amp;TEXT(ROW()-4,"0000"))</f>
        <v/>
      </c>
      <c r="C1922" s="33"/>
      <c r="D1922" s="24"/>
      <c r="E1922" s="30" t="str">
        <f aca="false">IF($D1922="","",IFERROR(INDEX(合同单位,MATCH($D1922,合同键,0)),IFERROR(TRIM(LEFT($D1922,FIND("｜",$D1922)-1)),$D1922)))</f>
        <v/>
      </c>
      <c r="F1922" s="30" t="str">
        <f aca="false">IF($D1922="","",IFERROR(INDEX(合同项目,MATCH($D1922,合同键,0)),IFERROR(TRIM(MID($D1922,FIND("｜",$D1922)+1,99)),"")))</f>
        <v/>
      </c>
      <c r="G1922" s="39"/>
      <c r="H1922" s="25"/>
      <c r="I1922" s="35" t="str">
        <f aca="false">IF($H1922="","",IFERROR(INDEX(票据归类表,MATCH($H1922,票据类型表,0)),"现金无票"))</f>
        <v/>
      </c>
      <c r="J1922" s="25"/>
      <c r="K1922" s="25"/>
      <c r="L1922" s="31"/>
      <c r="M1922" s="29" t="str">
        <f aca="false">IF($C1922="","",YEAR($C1922))</f>
        <v/>
      </c>
      <c r="N1922" s="24"/>
      <c r="O1922" s="35" t="str">
        <f aca="false">IF($C1922="","",IF($D1922="","★没选客户项目",IF(COUNTIF(合同键,$D1922)=0,"★《维保合同》里没这个项目",IF(N($G1922)&lt;=0,"★收款金额要填",IF($H1922="","★票据类型要选",IF(AND($L1922&lt;&gt;"",COUNTIF(应收单号,$L1922)=0),"★关联的应收单号不存在",IF(AND($L1922&lt;&gt;"",IFERROR(INDEX(应收键,MATCH($L1922,应收单号,0)),"")&lt;&gt;$D1922),"★关联单号不是这个客户的",IF(AND($L1922&lt;&gt;"",ROUND(SUMIF(收款关联,$L1922,收款金额)-IFERROR(INDEX(应收金额,MATCH($L1922,应收单号,0)),0),2)&gt;0.001),"★指定冲销超过那张单的应收","OK"))))))))</f>
        <v/>
      </c>
    </row>
    <row r="1923" customFormat="false" ht="15" hidden="false" customHeight="false" outlineLevel="0" collapsed="false">
      <c r="A1923" s="29" t="str">
        <f aca="false">IF($C1923="","",ROW()-4)</f>
        <v/>
      </c>
      <c r="B1923" s="35" t="str">
        <f aca="false">IF($C1923="","","SK"&amp;TEXT($C1923,"yyyymm")&amp;"-"&amp;TEXT(ROW()-4,"0000"))</f>
        <v/>
      </c>
      <c r="C1923" s="33"/>
      <c r="D1923" s="24"/>
      <c r="E1923" s="30" t="str">
        <f aca="false">IF($D1923="","",IFERROR(INDEX(合同单位,MATCH($D1923,合同键,0)),IFERROR(TRIM(LEFT($D1923,FIND("｜",$D1923)-1)),$D1923)))</f>
        <v/>
      </c>
      <c r="F1923" s="30" t="str">
        <f aca="false">IF($D1923="","",IFERROR(INDEX(合同项目,MATCH($D1923,合同键,0)),IFERROR(TRIM(MID($D1923,FIND("｜",$D1923)+1,99)),"")))</f>
        <v/>
      </c>
      <c r="G1923" s="39"/>
      <c r="H1923" s="25"/>
      <c r="I1923" s="35" t="str">
        <f aca="false">IF($H1923="","",IFERROR(INDEX(票据归类表,MATCH($H1923,票据类型表,0)),"现金无票"))</f>
        <v/>
      </c>
      <c r="J1923" s="25"/>
      <c r="K1923" s="25"/>
      <c r="L1923" s="31"/>
      <c r="M1923" s="29" t="str">
        <f aca="false">IF($C1923="","",YEAR($C1923))</f>
        <v/>
      </c>
      <c r="N1923" s="24"/>
      <c r="O1923" s="35" t="str">
        <f aca="false">IF($C1923="","",IF($D1923="","★没选客户项目",IF(COUNTIF(合同键,$D1923)=0,"★《维保合同》里没这个项目",IF(N($G1923)&lt;=0,"★收款金额要填",IF($H1923="","★票据类型要选",IF(AND($L1923&lt;&gt;"",COUNTIF(应收单号,$L1923)=0),"★关联的应收单号不存在",IF(AND($L1923&lt;&gt;"",IFERROR(INDEX(应收键,MATCH($L1923,应收单号,0)),"")&lt;&gt;$D1923),"★关联单号不是这个客户的",IF(AND($L1923&lt;&gt;"",ROUND(SUMIF(收款关联,$L1923,收款金额)-IFERROR(INDEX(应收金额,MATCH($L1923,应收单号,0)),0),2)&gt;0.001),"★指定冲销超过那张单的应收","OK"))))))))</f>
        <v/>
      </c>
    </row>
    <row r="1924" customFormat="false" ht="15" hidden="false" customHeight="false" outlineLevel="0" collapsed="false">
      <c r="A1924" s="29" t="str">
        <f aca="false">IF($C1924="","",ROW()-4)</f>
        <v/>
      </c>
      <c r="B1924" s="35" t="str">
        <f aca="false">IF($C1924="","","SK"&amp;TEXT($C1924,"yyyymm")&amp;"-"&amp;TEXT(ROW()-4,"0000"))</f>
        <v/>
      </c>
      <c r="C1924" s="33"/>
      <c r="D1924" s="24"/>
      <c r="E1924" s="30" t="str">
        <f aca="false">IF($D1924="","",IFERROR(INDEX(合同单位,MATCH($D1924,合同键,0)),IFERROR(TRIM(LEFT($D1924,FIND("｜",$D1924)-1)),$D1924)))</f>
        <v/>
      </c>
      <c r="F1924" s="30" t="str">
        <f aca="false">IF($D1924="","",IFERROR(INDEX(合同项目,MATCH($D1924,合同键,0)),IFERROR(TRIM(MID($D1924,FIND("｜",$D1924)+1,99)),"")))</f>
        <v/>
      </c>
      <c r="G1924" s="39"/>
      <c r="H1924" s="25"/>
      <c r="I1924" s="35" t="str">
        <f aca="false">IF($H1924="","",IFERROR(INDEX(票据归类表,MATCH($H1924,票据类型表,0)),"现金无票"))</f>
        <v/>
      </c>
      <c r="J1924" s="25"/>
      <c r="K1924" s="25"/>
      <c r="L1924" s="31"/>
      <c r="M1924" s="29" t="str">
        <f aca="false">IF($C1924="","",YEAR($C1924))</f>
        <v/>
      </c>
      <c r="N1924" s="24"/>
      <c r="O1924" s="35" t="str">
        <f aca="false">IF($C1924="","",IF($D1924="","★没选客户项目",IF(COUNTIF(合同键,$D1924)=0,"★《维保合同》里没这个项目",IF(N($G1924)&lt;=0,"★收款金额要填",IF($H1924="","★票据类型要选",IF(AND($L1924&lt;&gt;"",COUNTIF(应收单号,$L1924)=0),"★关联的应收单号不存在",IF(AND($L1924&lt;&gt;"",IFERROR(INDEX(应收键,MATCH($L1924,应收单号,0)),"")&lt;&gt;$D1924),"★关联单号不是这个客户的",IF(AND($L1924&lt;&gt;"",ROUND(SUMIF(收款关联,$L1924,收款金额)-IFERROR(INDEX(应收金额,MATCH($L1924,应收单号,0)),0),2)&gt;0.001),"★指定冲销超过那张单的应收","OK"))))))))</f>
        <v/>
      </c>
    </row>
    <row r="1925" customFormat="false" ht="15" hidden="false" customHeight="false" outlineLevel="0" collapsed="false">
      <c r="A1925" s="29" t="str">
        <f aca="false">IF($C1925="","",ROW()-4)</f>
        <v/>
      </c>
      <c r="B1925" s="35" t="str">
        <f aca="false">IF($C1925="","","SK"&amp;TEXT($C1925,"yyyymm")&amp;"-"&amp;TEXT(ROW()-4,"0000"))</f>
        <v/>
      </c>
      <c r="C1925" s="33"/>
      <c r="D1925" s="24"/>
      <c r="E1925" s="30" t="str">
        <f aca="false">IF($D1925="","",IFERROR(INDEX(合同单位,MATCH($D1925,合同键,0)),IFERROR(TRIM(LEFT($D1925,FIND("｜",$D1925)-1)),$D1925)))</f>
        <v/>
      </c>
      <c r="F1925" s="30" t="str">
        <f aca="false">IF($D1925="","",IFERROR(INDEX(合同项目,MATCH($D1925,合同键,0)),IFERROR(TRIM(MID($D1925,FIND("｜",$D1925)+1,99)),"")))</f>
        <v/>
      </c>
      <c r="G1925" s="39"/>
      <c r="H1925" s="25"/>
      <c r="I1925" s="35" t="str">
        <f aca="false">IF($H1925="","",IFERROR(INDEX(票据归类表,MATCH($H1925,票据类型表,0)),"现金无票"))</f>
        <v/>
      </c>
      <c r="J1925" s="25"/>
      <c r="K1925" s="25"/>
      <c r="L1925" s="31"/>
      <c r="M1925" s="29" t="str">
        <f aca="false">IF($C1925="","",YEAR($C1925))</f>
        <v/>
      </c>
      <c r="N1925" s="24"/>
      <c r="O1925" s="35" t="str">
        <f aca="false">IF($C1925="","",IF($D1925="","★没选客户项目",IF(COUNTIF(合同键,$D1925)=0,"★《维保合同》里没这个项目",IF(N($G1925)&lt;=0,"★收款金额要填",IF($H1925="","★票据类型要选",IF(AND($L1925&lt;&gt;"",COUNTIF(应收单号,$L1925)=0),"★关联的应收单号不存在",IF(AND($L1925&lt;&gt;"",IFERROR(INDEX(应收键,MATCH($L1925,应收单号,0)),"")&lt;&gt;$D1925),"★关联单号不是这个客户的",IF(AND($L1925&lt;&gt;"",ROUND(SUMIF(收款关联,$L1925,收款金额)-IFERROR(INDEX(应收金额,MATCH($L1925,应收单号,0)),0),2)&gt;0.001),"★指定冲销超过那张单的应收","OK"))))))))</f>
        <v/>
      </c>
    </row>
    <row r="1926" customFormat="false" ht="15" hidden="false" customHeight="false" outlineLevel="0" collapsed="false">
      <c r="A1926" s="29" t="str">
        <f aca="false">IF($C1926="","",ROW()-4)</f>
        <v/>
      </c>
      <c r="B1926" s="35" t="str">
        <f aca="false">IF($C1926="","","SK"&amp;TEXT($C1926,"yyyymm")&amp;"-"&amp;TEXT(ROW()-4,"0000"))</f>
        <v/>
      </c>
      <c r="C1926" s="33"/>
      <c r="D1926" s="24"/>
      <c r="E1926" s="30" t="str">
        <f aca="false">IF($D1926="","",IFERROR(INDEX(合同单位,MATCH($D1926,合同键,0)),IFERROR(TRIM(LEFT($D1926,FIND("｜",$D1926)-1)),$D1926)))</f>
        <v/>
      </c>
      <c r="F1926" s="30" t="str">
        <f aca="false">IF($D1926="","",IFERROR(INDEX(合同项目,MATCH($D1926,合同键,0)),IFERROR(TRIM(MID($D1926,FIND("｜",$D1926)+1,99)),"")))</f>
        <v/>
      </c>
      <c r="G1926" s="39"/>
      <c r="H1926" s="25"/>
      <c r="I1926" s="35" t="str">
        <f aca="false">IF($H1926="","",IFERROR(INDEX(票据归类表,MATCH($H1926,票据类型表,0)),"现金无票"))</f>
        <v/>
      </c>
      <c r="J1926" s="25"/>
      <c r="K1926" s="25"/>
      <c r="L1926" s="31"/>
      <c r="M1926" s="29" t="str">
        <f aca="false">IF($C1926="","",YEAR($C1926))</f>
        <v/>
      </c>
      <c r="N1926" s="24"/>
      <c r="O1926" s="35" t="str">
        <f aca="false">IF($C1926="","",IF($D1926="","★没选客户项目",IF(COUNTIF(合同键,$D1926)=0,"★《维保合同》里没这个项目",IF(N($G1926)&lt;=0,"★收款金额要填",IF($H1926="","★票据类型要选",IF(AND($L1926&lt;&gt;"",COUNTIF(应收单号,$L1926)=0),"★关联的应收单号不存在",IF(AND($L1926&lt;&gt;"",IFERROR(INDEX(应收键,MATCH($L1926,应收单号,0)),"")&lt;&gt;$D1926),"★关联单号不是这个客户的",IF(AND($L1926&lt;&gt;"",ROUND(SUMIF(收款关联,$L1926,收款金额)-IFERROR(INDEX(应收金额,MATCH($L1926,应收单号,0)),0),2)&gt;0.001),"★指定冲销超过那张单的应收","OK"))))))))</f>
        <v/>
      </c>
    </row>
    <row r="1927" customFormat="false" ht="15" hidden="false" customHeight="false" outlineLevel="0" collapsed="false">
      <c r="A1927" s="29" t="str">
        <f aca="false">IF($C1927="","",ROW()-4)</f>
        <v/>
      </c>
      <c r="B1927" s="35" t="str">
        <f aca="false">IF($C1927="","","SK"&amp;TEXT($C1927,"yyyymm")&amp;"-"&amp;TEXT(ROW()-4,"0000"))</f>
        <v/>
      </c>
      <c r="C1927" s="33"/>
      <c r="D1927" s="24"/>
      <c r="E1927" s="30" t="str">
        <f aca="false">IF($D1927="","",IFERROR(INDEX(合同单位,MATCH($D1927,合同键,0)),IFERROR(TRIM(LEFT($D1927,FIND("｜",$D1927)-1)),$D1927)))</f>
        <v/>
      </c>
      <c r="F1927" s="30" t="str">
        <f aca="false">IF($D1927="","",IFERROR(INDEX(合同项目,MATCH($D1927,合同键,0)),IFERROR(TRIM(MID($D1927,FIND("｜",$D1927)+1,99)),"")))</f>
        <v/>
      </c>
      <c r="G1927" s="39"/>
      <c r="H1927" s="25"/>
      <c r="I1927" s="35" t="str">
        <f aca="false">IF($H1927="","",IFERROR(INDEX(票据归类表,MATCH($H1927,票据类型表,0)),"现金无票"))</f>
        <v/>
      </c>
      <c r="J1927" s="25"/>
      <c r="K1927" s="25"/>
      <c r="L1927" s="31"/>
      <c r="M1927" s="29" t="str">
        <f aca="false">IF($C1927="","",YEAR($C1927))</f>
        <v/>
      </c>
      <c r="N1927" s="24"/>
      <c r="O1927" s="35" t="str">
        <f aca="false">IF($C1927="","",IF($D1927="","★没选客户项目",IF(COUNTIF(合同键,$D1927)=0,"★《维保合同》里没这个项目",IF(N($G1927)&lt;=0,"★收款金额要填",IF($H1927="","★票据类型要选",IF(AND($L1927&lt;&gt;"",COUNTIF(应收单号,$L1927)=0),"★关联的应收单号不存在",IF(AND($L1927&lt;&gt;"",IFERROR(INDEX(应收键,MATCH($L1927,应收单号,0)),"")&lt;&gt;$D1927),"★关联单号不是这个客户的",IF(AND($L1927&lt;&gt;"",ROUND(SUMIF(收款关联,$L1927,收款金额)-IFERROR(INDEX(应收金额,MATCH($L1927,应收单号,0)),0),2)&gt;0.001),"★指定冲销超过那张单的应收","OK"))))))))</f>
        <v/>
      </c>
    </row>
    <row r="1928" customFormat="false" ht="15" hidden="false" customHeight="false" outlineLevel="0" collapsed="false">
      <c r="A1928" s="29" t="str">
        <f aca="false">IF($C1928="","",ROW()-4)</f>
        <v/>
      </c>
      <c r="B1928" s="35" t="str">
        <f aca="false">IF($C1928="","","SK"&amp;TEXT($C1928,"yyyymm")&amp;"-"&amp;TEXT(ROW()-4,"0000"))</f>
        <v/>
      </c>
      <c r="C1928" s="33"/>
      <c r="D1928" s="24"/>
      <c r="E1928" s="30" t="str">
        <f aca="false">IF($D1928="","",IFERROR(INDEX(合同单位,MATCH($D1928,合同键,0)),IFERROR(TRIM(LEFT($D1928,FIND("｜",$D1928)-1)),$D1928)))</f>
        <v/>
      </c>
      <c r="F1928" s="30" t="str">
        <f aca="false">IF($D1928="","",IFERROR(INDEX(合同项目,MATCH($D1928,合同键,0)),IFERROR(TRIM(MID($D1928,FIND("｜",$D1928)+1,99)),"")))</f>
        <v/>
      </c>
      <c r="G1928" s="39"/>
      <c r="H1928" s="25"/>
      <c r="I1928" s="35" t="str">
        <f aca="false">IF($H1928="","",IFERROR(INDEX(票据归类表,MATCH($H1928,票据类型表,0)),"现金无票"))</f>
        <v/>
      </c>
      <c r="J1928" s="25"/>
      <c r="K1928" s="25"/>
      <c r="L1928" s="31"/>
      <c r="M1928" s="29" t="str">
        <f aca="false">IF($C1928="","",YEAR($C1928))</f>
        <v/>
      </c>
      <c r="N1928" s="24"/>
      <c r="O1928" s="35" t="str">
        <f aca="false">IF($C1928="","",IF($D1928="","★没选客户项目",IF(COUNTIF(合同键,$D1928)=0,"★《维保合同》里没这个项目",IF(N($G1928)&lt;=0,"★收款金额要填",IF($H1928="","★票据类型要选",IF(AND($L1928&lt;&gt;"",COUNTIF(应收单号,$L1928)=0),"★关联的应收单号不存在",IF(AND($L1928&lt;&gt;"",IFERROR(INDEX(应收键,MATCH($L1928,应收单号,0)),"")&lt;&gt;$D1928),"★关联单号不是这个客户的",IF(AND($L1928&lt;&gt;"",ROUND(SUMIF(收款关联,$L1928,收款金额)-IFERROR(INDEX(应收金额,MATCH($L1928,应收单号,0)),0),2)&gt;0.001),"★指定冲销超过那张单的应收","OK"))))))))</f>
        <v/>
      </c>
    </row>
    <row r="1929" customFormat="false" ht="15" hidden="false" customHeight="false" outlineLevel="0" collapsed="false">
      <c r="A1929" s="29" t="str">
        <f aca="false">IF($C1929="","",ROW()-4)</f>
        <v/>
      </c>
      <c r="B1929" s="35" t="str">
        <f aca="false">IF($C1929="","","SK"&amp;TEXT($C1929,"yyyymm")&amp;"-"&amp;TEXT(ROW()-4,"0000"))</f>
        <v/>
      </c>
      <c r="C1929" s="33"/>
      <c r="D1929" s="24"/>
      <c r="E1929" s="30" t="str">
        <f aca="false">IF($D1929="","",IFERROR(INDEX(合同单位,MATCH($D1929,合同键,0)),IFERROR(TRIM(LEFT($D1929,FIND("｜",$D1929)-1)),$D1929)))</f>
        <v/>
      </c>
      <c r="F1929" s="30" t="str">
        <f aca="false">IF($D1929="","",IFERROR(INDEX(合同项目,MATCH($D1929,合同键,0)),IFERROR(TRIM(MID($D1929,FIND("｜",$D1929)+1,99)),"")))</f>
        <v/>
      </c>
      <c r="G1929" s="39"/>
      <c r="H1929" s="25"/>
      <c r="I1929" s="35" t="str">
        <f aca="false">IF($H1929="","",IFERROR(INDEX(票据归类表,MATCH($H1929,票据类型表,0)),"现金无票"))</f>
        <v/>
      </c>
      <c r="J1929" s="25"/>
      <c r="K1929" s="25"/>
      <c r="L1929" s="31"/>
      <c r="M1929" s="29" t="str">
        <f aca="false">IF($C1929="","",YEAR($C1929))</f>
        <v/>
      </c>
      <c r="N1929" s="24"/>
      <c r="O1929" s="35" t="str">
        <f aca="false">IF($C1929="","",IF($D1929="","★没选客户项目",IF(COUNTIF(合同键,$D1929)=0,"★《维保合同》里没这个项目",IF(N($G1929)&lt;=0,"★收款金额要填",IF($H1929="","★票据类型要选",IF(AND($L1929&lt;&gt;"",COUNTIF(应收单号,$L1929)=0),"★关联的应收单号不存在",IF(AND($L1929&lt;&gt;"",IFERROR(INDEX(应收键,MATCH($L1929,应收单号,0)),"")&lt;&gt;$D1929),"★关联单号不是这个客户的",IF(AND($L1929&lt;&gt;"",ROUND(SUMIF(收款关联,$L1929,收款金额)-IFERROR(INDEX(应收金额,MATCH($L1929,应收单号,0)),0),2)&gt;0.001),"★指定冲销超过那张单的应收","OK"))))))))</f>
        <v/>
      </c>
    </row>
    <row r="1930" customFormat="false" ht="15" hidden="false" customHeight="false" outlineLevel="0" collapsed="false">
      <c r="A1930" s="29" t="str">
        <f aca="false">IF($C1930="","",ROW()-4)</f>
        <v/>
      </c>
      <c r="B1930" s="35" t="str">
        <f aca="false">IF($C1930="","","SK"&amp;TEXT($C1930,"yyyymm")&amp;"-"&amp;TEXT(ROW()-4,"0000"))</f>
        <v/>
      </c>
      <c r="C1930" s="33"/>
      <c r="D1930" s="24"/>
      <c r="E1930" s="30" t="str">
        <f aca="false">IF($D1930="","",IFERROR(INDEX(合同单位,MATCH($D1930,合同键,0)),IFERROR(TRIM(LEFT($D1930,FIND("｜",$D1930)-1)),$D1930)))</f>
        <v/>
      </c>
      <c r="F1930" s="30" t="str">
        <f aca="false">IF($D1930="","",IFERROR(INDEX(合同项目,MATCH($D1930,合同键,0)),IFERROR(TRIM(MID($D1930,FIND("｜",$D1930)+1,99)),"")))</f>
        <v/>
      </c>
      <c r="G1930" s="39"/>
      <c r="H1930" s="25"/>
      <c r="I1930" s="35" t="str">
        <f aca="false">IF($H1930="","",IFERROR(INDEX(票据归类表,MATCH($H1930,票据类型表,0)),"现金无票"))</f>
        <v/>
      </c>
      <c r="J1930" s="25"/>
      <c r="K1930" s="25"/>
      <c r="L1930" s="31"/>
      <c r="M1930" s="29" t="str">
        <f aca="false">IF($C1930="","",YEAR($C1930))</f>
        <v/>
      </c>
      <c r="N1930" s="24"/>
      <c r="O1930" s="35" t="str">
        <f aca="false">IF($C1930="","",IF($D1930="","★没选客户项目",IF(COUNTIF(合同键,$D1930)=0,"★《维保合同》里没这个项目",IF(N($G1930)&lt;=0,"★收款金额要填",IF($H1930="","★票据类型要选",IF(AND($L1930&lt;&gt;"",COUNTIF(应收单号,$L1930)=0),"★关联的应收单号不存在",IF(AND($L1930&lt;&gt;"",IFERROR(INDEX(应收键,MATCH($L1930,应收单号,0)),"")&lt;&gt;$D1930),"★关联单号不是这个客户的",IF(AND($L1930&lt;&gt;"",ROUND(SUMIF(收款关联,$L1930,收款金额)-IFERROR(INDEX(应收金额,MATCH($L1930,应收单号,0)),0),2)&gt;0.001),"★指定冲销超过那张单的应收","OK"))))))))</f>
        <v/>
      </c>
    </row>
    <row r="1931" customFormat="false" ht="15" hidden="false" customHeight="false" outlineLevel="0" collapsed="false">
      <c r="A1931" s="29" t="str">
        <f aca="false">IF($C1931="","",ROW()-4)</f>
        <v/>
      </c>
      <c r="B1931" s="35" t="str">
        <f aca="false">IF($C1931="","","SK"&amp;TEXT($C1931,"yyyymm")&amp;"-"&amp;TEXT(ROW()-4,"0000"))</f>
        <v/>
      </c>
      <c r="C1931" s="33"/>
      <c r="D1931" s="24"/>
      <c r="E1931" s="30" t="str">
        <f aca="false">IF($D1931="","",IFERROR(INDEX(合同单位,MATCH($D1931,合同键,0)),IFERROR(TRIM(LEFT($D1931,FIND("｜",$D1931)-1)),$D1931)))</f>
        <v/>
      </c>
      <c r="F1931" s="30" t="str">
        <f aca="false">IF($D1931="","",IFERROR(INDEX(合同项目,MATCH($D1931,合同键,0)),IFERROR(TRIM(MID($D1931,FIND("｜",$D1931)+1,99)),"")))</f>
        <v/>
      </c>
      <c r="G1931" s="39"/>
      <c r="H1931" s="25"/>
      <c r="I1931" s="35" t="str">
        <f aca="false">IF($H1931="","",IFERROR(INDEX(票据归类表,MATCH($H1931,票据类型表,0)),"现金无票"))</f>
        <v/>
      </c>
      <c r="J1931" s="25"/>
      <c r="K1931" s="25"/>
      <c r="L1931" s="31"/>
      <c r="M1931" s="29" t="str">
        <f aca="false">IF($C1931="","",YEAR($C1931))</f>
        <v/>
      </c>
      <c r="N1931" s="24"/>
      <c r="O1931" s="35" t="str">
        <f aca="false">IF($C1931="","",IF($D1931="","★没选客户项目",IF(COUNTIF(合同键,$D1931)=0,"★《维保合同》里没这个项目",IF(N($G1931)&lt;=0,"★收款金额要填",IF($H1931="","★票据类型要选",IF(AND($L1931&lt;&gt;"",COUNTIF(应收单号,$L1931)=0),"★关联的应收单号不存在",IF(AND($L1931&lt;&gt;"",IFERROR(INDEX(应收键,MATCH($L1931,应收单号,0)),"")&lt;&gt;$D1931),"★关联单号不是这个客户的",IF(AND($L1931&lt;&gt;"",ROUND(SUMIF(收款关联,$L1931,收款金额)-IFERROR(INDEX(应收金额,MATCH($L1931,应收单号,0)),0),2)&gt;0.001),"★指定冲销超过那张单的应收","OK"))))))))</f>
        <v/>
      </c>
    </row>
    <row r="1932" customFormat="false" ht="15" hidden="false" customHeight="false" outlineLevel="0" collapsed="false">
      <c r="A1932" s="29" t="str">
        <f aca="false">IF($C1932="","",ROW()-4)</f>
        <v/>
      </c>
      <c r="B1932" s="35" t="str">
        <f aca="false">IF($C1932="","","SK"&amp;TEXT($C1932,"yyyymm")&amp;"-"&amp;TEXT(ROW()-4,"0000"))</f>
        <v/>
      </c>
      <c r="C1932" s="33"/>
      <c r="D1932" s="24"/>
      <c r="E1932" s="30" t="str">
        <f aca="false">IF($D1932="","",IFERROR(INDEX(合同单位,MATCH($D1932,合同键,0)),IFERROR(TRIM(LEFT($D1932,FIND("｜",$D1932)-1)),$D1932)))</f>
        <v/>
      </c>
      <c r="F1932" s="30" t="str">
        <f aca="false">IF($D1932="","",IFERROR(INDEX(合同项目,MATCH($D1932,合同键,0)),IFERROR(TRIM(MID($D1932,FIND("｜",$D1932)+1,99)),"")))</f>
        <v/>
      </c>
      <c r="G1932" s="39"/>
      <c r="H1932" s="25"/>
      <c r="I1932" s="35" t="str">
        <f aca="false">IF($H1932="","",IFERROR(INDEX(票据归类表,MATCH($H1932,票据类型表,0)),"现金无票"))</f>
        <v/>
      </c>
      <c r="J1932" s="25"/>
      <c r="K1932" s="25"/>
      <c r="L1932" s="31"/>
      <c r="M1932" s="29" t="str">
        <f aca="false">IF($C1932="","",YEAR($C1932))</f>
        <v/>
      </c>
      <c r="N1932" s="24"/>
      <c r="O1932" s="35" t="str">
        <f aca="false">IF($C1932="","",IF($D1932="","★没选客户项目",IF(COUNTIF(合同键,$D1932)=0,"★《维保合同》里没这个项目",IF(N($G1932)&lt;=0,"★收款金额要填",IF($H1932="","★票据类型要选",IF(AND($L1932&lt;&gt;"",COUNTIF(应收单号,$L1932)=0),"★关联的应收单号不存在",IF(AND($L1932&lt;&gt;"",IFERROR(INDEX(应收键,MATCH($L1932,应收单号,0)),"")&lt;&gt;$D1932),"★关联单号不是这个客户的",IF(AND($L1932&lt;&gt;"",ROUND(SUMIF(收款关联,$L1932,收款金额)-IFERROR(INDEX(应收金额,MATCH($L1932,应收单号,0)),0),2)&gt;0.001),"★指定冲销超过那张单的应收","OK"))))))))</f>
        <v/>
      </c>
    </row>
    <row r="1933" customFormat="false" ht="15" hidden="false" customHeight="false" outlineLevel="0" collapsed="false">
      <c r="A1933" s="29" t="str">
        <f aca="false">IF($C1933="","",ROW()-4)</f>
        <v/>
      </c>
      <c r="B1933" s="35" t="str">
        <f aca="false">IF($C1933="","","SK"&amp;TEXT($C1933,"yyyymm")&amp;"-"&amp;TEXT(ROW()-4,"0000"))</f>
        <v/>
      </c>
      <c r="C1933" s="33"/>
      <c r="D1933" s="24"/>
      <c r="E1933" s="30" t="str">
        <f aca="false">IF($D1933="","",IFERROR(INDEX(合同单位,MATCH($D1933,合同键,0)),IFERROR(TRIM(LEFT($D1933,FIND("｜",$D1933)-1)),$D1933)))</f>
        <v/>
      </c>
      <c r="F1933" s="30" t="str">
        <f aca="false">IF($D1933="","",IFERROR(INDEX(合同项目,MATCH($D1933,合同键,0)),IFERROR(TRIM(MID($D1933,FIND("｜",$D1933)+1,99)),"")))</f>
        <v/>
      </c>
      <c r="G1933" s="39"/>
      <c r="H1933" s="25"/>
      <c r="I1933" s="35" t="str">
        <f aca="false">IF($H1933="","",IFERROR(INDEX(票据归类表,MATCH($H1933,票据类型表,0)),"现金无票"))</f>
        <v/>
      </c>
      <c r="J1933" s="25"/>
      <c r="K1933" s="25"/>
      <c r="L1933" s="31"/>
      <c r="M1933" s="29" t="str">
        <f aca="false">IF($C1933="","",YEAR($C1933))</f>
        <v/>
      </c>
      <c r="N1933" s="24"/>
      <c r="O1933" s="35" t="str">
        <f aca="false">IF($C1933="","",IF($D1933="","★没选客户项目",IF(COUNTIF(合同键,$D1933)=0,"★《维保合同》里没这个项目",IF(N($G1933)&lt;=0,"★收款金额要填",IF($H1933="","★票据类型要选",IF(AND($L1933&lt;&gt;"",COUNTIF(应收单号,$L1933)=0),"★关联的应收单号不存在",IF(AND($L1933&lt;&gt;"",IFERROR(INDEX(应收键,MATCH($L1933,应收单号,0)),"")&lt;&gt;$D1933),"★关联单号不是这个客户的",IF(AND($L1933&lt;&gt;"",ROUND(SUMIF(收款关联,$L1933,收款金额)-IFERROR(INDEX(应收金额,MATCH($L1933,应收单号,0)),0),2)&gt;0.001),"★指定冲销超过那张单的应收","OK"))))))))</f>
        <v/>
      </c>
    </row>
    <row r="1934" customFormat="false" ht="15" hidden="false" customHeight="false" outlineLevel="0" collapsed="false">
      <c r="A1934" s="29" t="str">
        <f aca="false">IF($C1934="","",ROW()-4)</f>
        <v/>
      </c>
      <c r="B1934" s="35" t="str">
        <f aca="false">IF($C1934="","","SK"&amp;TEXT($C1934,"yyyymm")&amp;"-"&amp;TEXT(ROW()-4,"0000"))</f>
        <v/>
      </c>
      <c r="C1934" s="33"/>
      <c r="D1934" s="24"/>
      <c r="E1934" s="30" t="str">
        <f aca="false">IF($D1934="","",IFERROR(INDEX(合同单位,MATCH($D1934,合同键,0)),IFERROR(TRIM(LEFT($D1934,FIND("｜",$D1934)-1)),$D1934)))</f>
        <v/>
      </c>
      <c r="F1934" s="30" t="str">
        <f aca="false">IF($D1934="","",IFERROR(INDEX(合同项目,MATCH($D1934,合同键,0)),IFERROR(TRIM(MID($D1934,FIND("｜",$D1934)+1,99)),"")))</f>
        <v/>
      </c>
      <c r="G1934" s="39"/>
      <c r="H1934" s="25"/>
      <c r="I1934" s="35" t="str">
        <f aca="false">IF($H1934="","",IFERROR(INDEX(票据归类表,MATCH($H1934,票据类型表,0)),"现金无票"))</f>
        <v/>
      </c>
      <c r="J1934" s="25"/>
      <c r="K1934" s="25"/>
      <c r="L1934" s="31"/>
      <c r="M1934" s="29" t="str">
        <f aca="false">IF($C1934="","",YEAR($C1934))</f>
        <v/>
      </c>
      <c r="N1934" s="24"/>
      <c r="O1934" s="35" t="str">
        <f aca="false">IF($C1934="","",IF($D1934="","★没选客户项目",IF(COUNTIF(合同键,$D1934)=0,"★《维保合同》里没这个项目",IF(N($G1934)&lt;=0,"★收款金额要填",IF($H1934="","★票据类型要选",IF(AND($L1934&lt;&gt;"",COUNTIF(应收单号,$L1934)=0),"★关联的应收单号不存在",IF(AND($L1934&lt;&gt;"",IFERROR(INDEX(应收键,MATCH($L1934,应收单号,0)),"")&lt;&gt;$D1934),"★关联单号不是这个客户的",IF(AND($L1934&lt;&gt;"",ROUND(SUMIF(收款关联,$L1934,收款金额)-IFERROR(INDEX(应收金额,MATCH($L1934,应收单号,0)),0),2)&gt;0.001),"★指定冲销超过那张单的应收","OK"))))))))</f>
        <v/>
      </c>
    </row>
    <row r="1935" customFormat="false" ht="15" hidden="false" customHeight="false" outlineLevel="0" collapsed="false">
      <c r="A1935" s="29" t="str">
        <f aca="false">IF($C1935="","",ROW()-4)</f>
        <v/>
      </c>
      <c r="B1935" s="35" t="str">
        <f aca="false">IF($C1935="","","SK"&amp;TEXT($C1935,"yyyymm")&amp;"-"&amp;TEXT(ROW()-4,"0000"))</f>
        <v/>
      </c>
      <c r="C1935" s="33"/>
      <c r="D1935" s="24"/>
      <c r="E1935" s="30" t="str">
        <f aca="false">IF($D1935="","",IFERROR(INDEX(合同单位,MATCH($D1935,合同键,0)),IFERROR(TRIM(LEFT($D1935,FIND("｜",$D1935)-1)),$D1935)))</f>
        <v/>
      </c>
      <c r="F1935" s="30" t="str">
        <f aca="false">IF($D1935="","",IFERROR(INDEX(合同项目,MATCH($D1935,合同键,0)),IFERROR(TRIM(MID($D1935,FIND("｜",$D1935)+1,99)),"")))</f>
        <v/>
      </c>
      <c r="G1935" s="39"/>
      <c r="H1935" s="25"/>
      <c r="I1935" s="35" t="str">
        <f aca="false">IF($H1935="","",IFERROR(INDEX(票据归类表,MATCH($H1935,票据类型表,0)),"现金无票"))</f>
        <v/>
      </c>
      <c r="J1935" s="25"/>
      <c r="K1935" s="25"/>
      <c r="L1935" s="31"/>
      <c r="M1935" s="29" t="str">
        <f aca="false">IF($C1935="","",YEAR($C1935))</f>
        <v/>
      </c>
      <c r="N1935" s="24"/>
      <c r="O1935" s="35" t="str">
        <f aca="false">IF($C1935="","",IF($D1935="","★没选客户项目",IF(COUNTIF(合同键,$D1935)=0,"★《维保合同》里没这个项目",IF(N($G1935)&lt;=0,"★收款金额要填",IF($H1935="","★票据类型要选",IF(AND($L1935&lt;&gt;"",COUNTIF(应收单号,$L1935)=0),"★关联的应收单号不存在",IF(AND($L1935&lt;&gt;"",IFERROR(INDEX(应收键,MATCH($L1935,应收单号,0)),"")&lt;&gt;$D1935),"★关联单号不是这个客户的",IF(AND($L1935&lt;&gt;"",ROUND(SUMIF(收款关联,$L1935,收款金额)-IFERROR(INDEX(应收金额,MATCH($L1935,应收单号,0)),0),2)&gt;0.001),"★指定冲销超过那张单的应收","OK"))))))))</f>
        <v/>
      </c>
    </row>
    <row r="1936" customFormat="false" ht="15" hidden="false" customHeight="false" outlineLevel="0" collapsed="false">
      <c r="A1936" s="29" t="str">
        <f aca="false">IF($C1936="","",ROW()-4)</f>
        <v/>
      </c>
      <c r="B1936" s="35" t="str">
        <f aca="false">IF($C1936="","","SK"&amp;TEXT($C1936,"yyyymm")&amp;"-"&amp;TEXT(ROW()-4,"0000"))</f>
        <v/>
      </c>
      <c r="C1936" s="33"/>
      <c r="D1936" s="24"/>
      <c r="E1936" s="30" t="str">
        <f aca="false">IF($D1936="","",IFERROR(INDEX(合同单位,MATCH($D1936,合同键,0)),IFERROR(TRIM(LEFT($D1936,FIND("｜",$D1936)-1)),$D1936)))</f>
        <v/>
      </c>
      <c r="F1936" s="30" t="str">
        <f aca="false">IF($D1936="","",IFERROR(INDEX(合同项目,MATCH($D1936,合同键,0)),IFERROR(TRIM(MID($D1936,FIND("｜",$D1936)+1,99)),"")))</f>
        <v/>
      </c>
      <c r="G1936" s="39"/>
      <c r="H1936" s="25"/>
      <c r="I1936" s="35" t="str">
        <f aca="false">IF($H1936="","",IFERROR(INDEX(票据归类表,MATCH($H1936,票据类型表,0)),"现金无票"))</f>
        <v/>
      </c>
      <c r="J1936" s="25"/>
      <c r="K1936" s="25"/>
      <c r="L1936" s="31"/>
      <c r="M1936" s="29" t="str">
        <f aca="false">IF($C1936="","",YEAR($C1936))</f>
        <v/>
      </c>
      <c r="N1936" s="24"/>
      <c r="O1936" s="35" t="str">
        <f aca="false">IF($C1936="","",IF($D1936="","★没选客户项目",IF(COUNTIF(合同键,$D1936)=0,"★《维保合同》里没这个项目",IF(N($G1936)&lt;=0,"★收款金额要填",IF($H1936="","★票据类型要选",IF(AND($L1936&lt;&gt;"",COUNTIF(应收单号,$L1936)=0),"★关联的应收单号不存在",IF(AND($L1936&lt;&gt;"",IFERROR(INDEX(应收键,MATCH($L1936,应收单号,0)),"")&lt;&gt;$D1936),"★关联单号不是这个客户的",IF(AND($L1936&lt;&gt;"",ROUND(SUMIF(收款关联,$L1936,收款金额)-IFERROR(INDEX(应收金额,MATCH($L1936,应收单号,0)),0),2)&gt;0.001),"★指定冲销超过那张单的应收","OK"))))))))</f>
        <v/>
      </c>
    </row>
    <row r="1937" customFormat="false" ht="15" hidden="false" customHeight="false" outlineLevel="0" collapsed="false">
      <c r="A1937" s="29" t="str">
        <f aca="false">IF($C1937="","",ROW()-4)</f>
        <v/>
      </c>
      <c r="B1937" s="35" t="str">
        <f aca="false">IF($C1937="","","SK"&amp;TEXT($C1937,"yyyymm")&amp;"-"&amp;TEXT(ROW()-4,"0000"))</f>
        <v/>
      </c>
      <c r="C1937" s="33"/>
      <c r="D1937" s="24"/>
      <c r="E1937" s="30" t="str">
        <f aca="false">IF($D1937="","",IFERROR(INDEX(合同单位,MATCH($D1937,合同键,0)),IFERROR(TRIM(LEFT($D1937,FIND("｜",$D1937)-1)),$D1937)))</f>
        <v/>
      </c>
      <c r="F1937" s="30" t="str">
        <f aca="false">IF($D1937="","",IFERROR(INDEX(合同项目,MATCH($D1937,合同键,0)),IFERROR(TRIM(MID($D1937,FIND("｜",$D1937)+1,99)),"")))</f>
        <v/>
      </c>
      <c r="G1937" s="39"/>
      <c r="H1937" s="25"/>
      <c r="I1937" s="35" t="str">
        <f aca="false">IF($H1937="","",IFERROR(INDEX(票据归类表,MATCH($H1937,票据类型表,0)),"现金无票"))</f>
        <v/>
      </c>
      <c r="J1937" s="25"/>
      <c r="K1937" s="25"/>
      <c r="L1937" s="31"/>
      <c r="M1937" s="29" t="str">
        <f aca="false">IF($C1937="","",YEAR($C1937))</f>
        <v/>
      </c>
      <c r="N1937" s="24"/>
      <c r="O1937" s="35" t="str">
        <f aca="false">IF($C1937="","",IF($D1937="","★没选客户项目",IF(COUNTIF(合同键,$D1937)=0,"★《维保合同》里没这个项目",IF(N($G1937)&lt;=0,"★收款金额要填",IF($H1937="","★票据类型要选",IF(AND($L1937&lt;&gt;"",COUNTIF(应收单号,$L1937)=0),"★关联的应收单号不存在",IF(AND($L1937&lt;&gt;"",IFERROR(INDEX(应收键,MATCH($L1937,应收单号,0)),"")&lt;&gt;$D1937),"★关联单号不是这个客户的",IF(AND($L1937&lt;&gt;"",ROUND(SUMIF(收款关联,$L1937,收款金额)-IFERROR(INDEX(应收金额,MATCH($L1937,应收单号,0)),0),2)&gt;0.001),"★指定冲销超过那张单的应收","OK"))))))))</f>
        <v/>
      </c>
    </row>
    <row r="1938" customFormat="false" ht="15" hidden="false" customHeight="false" outlineLevel="0" collapsed="false">
      <c r="A1938" s="29" t="str">
        <f aca="false">IF($C1938="","",ROW()-4)</f>
        <v/>
      </c>
      <c r="B1938" s="35" t="str">
        <f aca="false">IF($C1938="","","SK"&amp;TEXT($C1938,"yyyymm")&amp;"-"&amp;TEXT(ROW()-4,"0000"))</f>
        <v/>
      </c>
      <c r="C1938" s="33"/>
      <c r="D1938" s="24"/>
      <c r="E1938" s="30" t="str">
        <f aca="false">IF($D1938="","",IFERROR(INDEX(合同单位,MATCH($D1938,合同键,0)),IFERROR(TRIM(LEFT($D1938,FIND("｜",$D1938)-1)),$D1938)))</f>
        <v/>
      </c>
      <c r="F1938" s="30" t="str">
        <f aca="false">IF($D1938="","",IFERROR(INDEX(合同项目,MATCH($D1938,合同键,0)),IFERROR(TRIM(MID($D1938,FIND("｜",$D1938)+1,99)),"")))</f>
        <v/>
      </c>
      <c r="G1938" s="39"/>
      <c r="H1938" s="25"/>
      <c r="I1938" s="35" t="str">
        <f aca="false">IF($H1938="","",IFERROR(INDEX(票据归类表,MATCH($H1938,票据类型表,0)),"现金无票"))</f>
        <v/>
      </c>
      <c r="J1938" s="25"/>
      <c r="K1938" s="25"/>
      <c r="L1938" s="31"/>
      <c r="M1938" s="29" t="str">
        <f aca="false">IF($C1938="","",YEAR($C1938))</f>
        <v/>
      </c>
      <c r="N1938" s="24"/>
      <c r="O1938" s="35" t="str">
        <f aca="false">IF($C1938="","",IF($D1938="","★没选客户项目",IF(COUNTIF(合同键,$D1938)=0,"★《维保合同》里没这个项目",IF(N($G1938)&lt;=0,"★收款金额要填",IF($H1938="","★票据类型要选",IF(AND($L1938&lt;&gt;"",COUNTIF(应收单号,$L1938)=0),"★关联的应收单号不存在",IF(AND($L1938&lt;&gt;"",IFERROR(INDEX(应收键,MATCH($L1938,应收单号,0)),"")&lt;&gt;$D1938),"★关联单号不是这个客户的",IF(AND($L1938&lt;&gt;"",ROUND(SUMIF(收款关联,$L1938,收款金额)-IFERROR(INDEX(应收金额,MATCH($L1938,应收单号,0)),0),2)&gt;0.001),"★指定冲销超过那张单的应收","OK"))))))))</f>
        <v/>
      </c>
    </row>
    <row r="1939" customFormat="false" ht="15" hidden="false" customHeight="false" outlineLevel="0" collapsed="false">
      <c r="A1939" s="29" t="str">
        <f aca="false">IF($C1939="","",ROW()-4)</f>
        <v/>
      </c>
      <c r="B1939" s="35" t="str">
        <f aca="false">IF($C1939="","","SK"&amp;TEXT($C1939,"yyyymm")&amp;"-"&amp;TEXT(ROW()-4,"0000"))</f>
        <v/>
      </c>
      <c r="C1939" s="33"/>
      <c r="D1939" s="24"/>
      <c r="E1939" s="30" t="str">
        <f aca="false">IF($D1939="","",IFERROR(INDEX(合同单位,MATCH($D1939,合同键,0)),IFERROR(TRIM(LEFT($D1939,FIND("｜",$D1939)-1)),$D1939)))</f>
        <v/>
      </c>
      <c r="F1939" s="30" t="str">
        <f aca="false">IF($D1939="","",IFERROR(INDEX(合同项目,MATCH($D1939,合同键,0)),IFERROR(TRIM(MID($D1939,FIND("｜",$D1939)+1,99)),"")))</f>
        <v/>
      </c>
      <c r="G1939" s="39"/>
      <c r="H1939" s="25"/>
      <c r="I1939" s="35" t="str">
        <f aca="false">IF($H1939="","",IFERROR(INDEX(票据归类表,MATCH($H1939,票据类型表,0)),"现金无票"))</f>
        <v/>
      </c>
      <c r="J1939" s="25"/>
      <c r="K1939" s="25"/>
      <c r="L1939" s="31"/>
      <c r="M1939" s="29" t="str">
        <f aca="false">IF($C1939="","",YEAR($C1939))</f>
        <v/>
      </c>
      <c r="N1939" s="24"/>
      <c r="O1939" s="35" t="str">
        <f aca="false">IF($C1939="","",IF($D1939="","★没选客户项目",IF(COUNTIF(合同键,$D1939)=0,"★《维保合同》里没这个项目",IF(N($G1939)&lt;=0,"★收款金额要填",IF($H1939="","★票据类型要选",IF(AND($L1939&lt;&gt;"",COUNTIF(应收单号,$L1939)=0),"★关联的应收单号不存在",IF(AND($L1939&lt;&gt;"",IFERROR(INDEX(应收键,MATCH($L1939,应收单号,0)),"")&lt;&gt;$D1939),"★关联单号不是这个客户的",IF(AND($L1939&lt;&gt;"",ROUND(SUMIF(收款关联,$L1939,收款金额)-IFERROR(INDEX(应收金额,MATCH($L1939,应收单号,0)),0),2)&gt;0.001),"★指定冲销超过那张单的应收","OK"))))))))</f>
        <v/>
      </c>
    </row>
    <row r="1940" customFormat="false" ht="15" hidden="false" customHeight="false" outlineLevel="0" collapsed="false">
      <c r="A1940" s="29" t="str">
        <f aca="false">IF($C1940="","",ROW()-4)</f>
        <v/>
      </c>
      <c r="B1940" s="35" t="str">
        <f aca="false">IF($C1940="","","SK"&amp;TEXT($C1940,"yyyymm")&amp;"-"&amp;TEXT(ROW()-4,"0000"))</f>
        <v/>
      </c>
      <c r="C1940" s="33"/>
      <c r="D1940" s="24"/>
      <c r="E1940" s="30" t="str">
        <f aca="false">IF($D1940="","",IFERROR(INDEX(合同单位,MATCH($D1940,合同键,0)),IFERROR(TRIM(LEFT($D1940,FIND("｜",$D1940)-1)),$D1940)))</f>
        <v/>
      </c>
      <c r="F1940" s="30" t="str">
        <f aca="false">IF($D1940="","",IFERROR(INDEX(合同项目,MATCH($D1940,合同键,0)),IFERROR(TRIM(MID($D1940,FIND("｜",$D1940)+1,99)),"")))</f>
        <v/>
      </c>
      <c r="G1940" s="39"/>
      <c r="H1940" s="25"/>
      <c r="I1940" s="35" t="str">
        <f aca="false">IF($H1940="","",IFERROR(INDEX(票据归类表,MATCH($H1940,票据类型表,0)),"现金无票"))</f>
        <v/>
      </c>
      <c r="J1940" s="25"/>
      <c r="K1940" s="25"/>
      <c r="L1940" s="31"/>
      <c r="M1940" s="29" t="str">
        <f aca="false">IF($C1940="","",YEAR($C1940))</f>
        <v/>
      </c>
      <c r="N1940" s="24"/>
      <c r="O1940" s="35" t="str">
        <f aca="false">IF($C1940="","",IF($D1940="","★没选客户项目",IF(COUNTIF(合同键,$D1940)=0,"★《维保合同》里没这个项目",IF(N($G1940)&lt;=0,"★收款金额要填",IF($H1940="","★票据类型要选",IF(AND($L1940&lt;&gt;"",COUNTIF(应收单号,$L1940)=0),"★关联的应收单号不存在",IF(AND($L1940&lt;&gt;"",IFERROR(INDEX(应收键,MATCH($L1940,应收单号,0)),"")&lt;&gt;$D1940),"★关联单号不是这个客户的",IF(AND($L1940&lt;&gt;"",ROUND(SUMIF(收款关联,$L1940,收款金额)-IFERROR(INDEX(应收金额,MATCH($L1940,应收单号,0)),0),2)&gt;0.001),"★指定冲销超过那张单的应收","OK"))))))))</f>
        <v/>
      </c>
    </row>
    <row r="1941" customFormat="false" ht="15" hidden="false" customHeight="false" outlineLevel="0" collapsed="false">
      <c r="A1941" s="29" t="str">
        <f aca="false">IF($C1941="","",ROW()-4)</f>
        <v/>
      </c>
      <c r="B1941" s="35" t="str">
        <f aca="false">IF($C1941="","","SK"&amp;TEXT($C1941,"yyyymm")&amp;"-"&amp;TEXT(ROW()-4,"0000"))</f>
        <v/>
      </c>
      <c r="C1941" s="33"/>
      <c r="D1941" s="24"/>
      <c r="E1941" s="30" t="str">
        <f aca="false">IF($D1941="","",IFERROR(INDEX(合同单位,MATCH($D1941,合同键,0)),IFERROR(TRIM(LEFT($D1941,FIND("｜",$D1941)-1)),$D1941)))</f>
        <v/>
      </c>
      <c r="F1941" s="30" t="str">
        <f aca="false">IF($D1941="","",IFERROR(INDEX(合同项目,MATCH($D1941,合同键,0)),IFERROR(TRIM(MID($D1941,FIND("｜",$D1941)+1,99)),"")))</f>
        <v/>
      </c>
      <c r="G1941" s="39"/>
      <c r="H1941" s="25"/>
      <c r="I1941" s="35" t="str">
        <f aca="false">IF($H1941="","",IFERROR(INDEX(票据归类表,MATCH($H1941,票据类型表,0)),"现金无票"))</f>
        <v/>
      </c>
      <c r="J1941" s="25"/>
      <c r="K1941" s="25"/>
      <c r="L1941" s="31"/>
      <c r="M1941" s="29" t="str">
        <f aca="false">IF($C1941="","",YEAR($C1941))</f>
        <v/>
      </c>
      <c r="N1941" s="24"/>
      <c r="O1941" s="35" t="str">
        <f aca="false">IF($C1941="","",IF($D1941="","★没选客户项目",IF(COUNTIF(合同键,$D1941)=0,"★《维保合同》里没这个项目",IF(N($G1941)&lt;=0,"★收款金额要填",IF($H1941="","★票据类型要选",IF(AND($L1941&lt;&gt;"",COUNTIF(应收单号,$L1941)=0),"★关联的应收单号不存在",IF(AND($L1941&lt;&gt;"",IFERROR(INDEX(应收键,MATCH($L1941,应收单号,0)),"")&lt;&gt;$D1941),"★关联单号不是这个客户的",IF(AND($L1941&lt;&gt;"",ROUND(SUMIF(收款关联,$L1941,收款金额)-IFERROR(INDEX(应收金额,MATCH($L1941,应收单号,0)),0),2)&gt;0.001),"★指定冲销超过那张单的应收","OK"))))))))</f>
        <v/>
      </c>
    </row>
    <row r="1942" customFormat="false" ht="15" hidden="false" customHeight="false" outlineLevel="0" collapsed="false">
      <c r="A1942" s="29" t="str">
        <f aca="false">IF($C1942="","",ROW()-4)</f>
        <v/>
      </c>
      <c r="B1942" s="35" t="str">
        <f aca="false">IF($C1942="","","SK"&amp;TEXT($C1942,"yyyymm")&amp;"-"&amp;TEXT(ROW()-4,"0000"))</f>
        <v/>
      </c>
      <c r="C1942" s="33"/>
      <c r="D1942" s="24"/>
      <c r="E1942" s="30" t="str">
        <f aca="false">IF($D1942="","",IFERROR(INDEX(合同单位,MATCH($D1942,合同键,0)),IFERROR(TRIM(LEFT($D1942,FIND("｜",$D1942)-1)),$D1942)))</f>
        <v/>
      </c>
      <c r="F1942" s="30" t="str">
        <f aca="false">IF($D1942="","",IFERROR(INDEX(合同项目,MATCH($D1942,合同键,0)),IFERROR(TRIM(MID($D1942,FIND("｜",$D1942)+1,99)),"")))</f>
        <v/>
      </c>
      <c r="G1942" s="39"/>
      <c r="H1942" s="25"/>
      <c r="I1942" s="35" t="str">
        <f aca="false">IF($H1942="","",IFERROR(INDEX(票据归类表,MATCH($H1942,票据类型表,0)),"现金无票"))</f>
        <v/>
      </c>
      <c r="J1942" s="25"/>
      <c r="K1942" s="25"/>
      <c r="L1942" s="31"/>
      <c r="M1942" s="29" t="str">
        <f aca="false">IF($C1942="","",YEAR($C1942))</f>
        <v/>
      </c>
      <c r="N1942" s="24"/>
      <c r="O1942" s="35" t="str">
        <f aca="false">IF($C1942="","",IF($D1942="","★没选客户项目",IF(COUNTIF(合同键,$D1942)=0,"★《维保合同》里没这个项目",IF(N($G1942)&lt;=0,"★收款金额要填",IF($H1942="","★票据类型要选",IF(AND($L1942&lt;&gt;"",COUNTIF(应收单号,$L1942)=0),"★关联的应收单号不存在",IF(AND($L1942&lt;&gt;"",IFERROR(INDEX(应收键,MATCH($L1942,应收单号,0)),"")&lt;&gt;$D1942),"★关联单号不是这个客户的",IF(AND($L1942&lt;&gt;"",ROUND(SUMIF(收款关联,$L1942,收款金额)-IFERROR(INDEX(应收金额,MATCH($L1942,应收单号,0)),0),2)&gt;0.001),"★指定冲销超过那张单的应收","OK"))))))))</f>
        <v/>
      </c>
    </row>
    <row r="1943" customFormat="false" ht="15" hidden="false" customHeight="false" outlineLevel="0" collapsed="false">
      <c r="A1943" s="29" t="str">
        <f aca="false">IF($C1943="","",ROW()-4)</f>
        <v/>
      </c>
      <c r="B1943" s="35" t="str">
        <f aca="false">IF($C1943="","","SK"&amp;TEXT($C1943,"yyyymm")&amp;"-"&amp;TEXT(ROW()-4,"0000"))</f>
        <v/>
      </c>
      <c r="C1943" s="33"/>
      <c r="D1943" s="24"/>
      <c r="E1943" s="30" t="str">
        <f aca="false">IF($D1943="","",IFERROR(INDEX(合同单位,MATCH($D1943,合同键,0)),IFERROR(TRIM(LEFT($D1943,FIND("｜",$D1943)-1)),$D1943)))</f>
        <v/>
      </c>
      <c r="F1943" s="30" t="str">
        <f aca="false">IF($D1943="","",IFERROR(INDEX(合同项目,MATCH($D1943,合同键,0)),IFERROR(TRIM(MID($D1943,FIND("｜",$D1943)+1,99)),"")))</f>
        <v/>
      </c>
      <c r="G1943" s="39"/>
      <c r="H1943" s="25"/>
      <c r="I1943" s="35" t="str">
        <f aca="false">IF($H1943="","",IFERROR(INDEX(票据归类表,MATCH($H1943,票据类型表,0)),"现金无票"))</f>
        <v/>
      </c>
      <c r="J1943" s="25"/>
      <c r="K1943" s="25"/>
      <c r="L1943" s="31"/>
      <c r="M1943" s="29" t="str">
        <f aca="false">IF($C1943="","",YEAR($C1943))</f>
        <v/>
      </c>
      <c r="N1943" s="24"/>
      <c r="O1943" s="35" t="str">
        <f aca="false">IF($C1943="","",IF($D1943="","★没选客户项目",IF(COUNTIF(合同键,$D1943)=0,"★《维保合同》里没这个项目",IF(N($G1943)&lt;=0,"★收款金额要填",IF($H1943="","★票据类型要选",IF(AND($L1943&lt;&gt;"",COUNTIF(应收单号,$L1943)=0),"★关联的应收单号不存在",IF(AND($L1943&lt;&gt;"",IFERROR(INDEX(应收键,MATCH($L1943,应收单号,0)),"")&lt;&gt;$D1943),"★关联单号不是这个客户的",IF(AND($L1943&lt;&gt;"",ROUND(SUMIF(收款关联,$L1943,收款金额)-IFERROR(INDEX(应收金额,MATCH($L1943,应收单号,0)),0),2)&gt;0.001),"★指定冲销超过那张单的应收","OK"))))))))</f>
        <v/>
      </c>
    </row>
    <row r="1944" customFormat="false" ht="15" hidden="false" customHeight="false" outlineLevel="0" collapsed="false">
      <c r="A1944" s="29" t="str">
        <f aca="false">IF($C1944="","",ROW()-4)</f>
        <v/>
      </c>
      <c r="B1944" s="35" t="str">
        <f aca="false">IF($C1944="","","SK"&amp;TEXT($C1944,"yyyymm")&amp;"-"&amp;TEXT(ROW()-4,"0000"))</f>
        <v/>
      </c>
      <c r="C1944" s="33"/>
      <c r="D1944" s="24"/>
      <c r="E1944" s="30" t="str">
        <f aca="false">IF($D1944="","",IFERROR(INDEX(合同单位,MATCH($D1944,合同键,0)),IFERROR(TRIM(LEFT($D1944,FIND("｜",$D1944)-1)),$D1944)))</f>
        <v/>
      </c>
      <c r="F1944" s="30" t="str">
        <f aca="false">IF($D1944="","",IFERROR(INDEX(合同项目,MATCH($D1944,合同键,0)),IFERROR(TRIM(MID($D1944,FIND("｜",$D1944)+1,99)),"")))</f>
        <v/>
      </c>
      <c r="G1944" s="39"/>
      <c r="H1944" s="25"/>
      <c r="I1944" s="35" t="str">
        <f aca="false">IF($H1944="","",IFERROR(INDEX(票据归类表,MATCH($H1944,票据类型表,0)),"现金无票"))</f>
        <v/>
      </c>
      <c r="J1944" s="25"/>
      <c r="K1944" s="25"/>
      <c r="L1944" s="31"/>
      <c r="M1944" s="29" t="str">
        <f aca="false">IF($C1944="","",YEAR($C1944))</f>
        <v/>
      </c>
      <c r="N1944" s="24"/>
      <c r="O1944" s="35" t="str">
        <f aca="false">IF($C1944="","",IF($D1944="","★没选客户项目",IF(COUNTIF(合同键,$D1944)=0,"★《维保合同》里没这个项目",IF(N($G1944)&lt;=0,"★收款金额要填",IF($H1944="","★票据类型要选",IF(AND($L1944&lt;&gt;"",COUNTIF(应收单号,$L1944)=0),"★关联的应收单号不存在",IF(AND($L1944&lt;&gt;"",IFERROR(INDEX(应收键,MATCH($L1944,应收单号,0)),"")&lt;&gt;$D1944),"★关联单号不是这个客户的",IF(AND($L1944&lt;&gt;"",ROUND(SUMIF(收款关联,$L1944,收款金额)-IFERROR(INDEX(应收金额,MATCH($L1944,应收单号,0)),0),2)&gt;0.001),"★指定冲销超过那张单的应收","OK"))))))))</f>
        <v/>
      </c>
    </row>
    <row r="1945" customFormat="false" ht="15" hidden="false" customHeight="false" outlineLevel="0" collapsed="false">
      <c r="A1945" s="29" t="str">
        <f aca="false">IF($C1945="","",ROW()-4)</f>
        <v/>
      </c>
      <c r="B1945" s="35" t="str">
        <f aca="false">IF($C1945="","","SK"&amp;TEXT($C1945,"yyyymm")&amp;"-"&amp;TEXT(ROW()-4,"0000"))</f>
        <v/>
      </c>
      <c r="C1945" s="33"/>
      <c r="D1945" s="24"/>
      <c r="E1945" s="30" t="str">
        <f aca="false">IF($D1945="","",IFERROR(INDEX(合同单位,MATCH($D1945,合同键,0)),IFERROR(TRIM(LEFT($D1945,FIND("｜",$D1945)-1)),$D1945)))</f>
        <v/>
      </c>
      <c r="F1945" s="30" t="str">
        <f aca="false">IF($D1945="","",IFERROR(INDEX(合同项目,MATCH($D1945,合同键,0)),IFERROR(TRIM(MID($D1945,FIND("｜",$D1945)+1,99)),"")))</f>
        <v/>
      </c>
      <c r="G1945" s="39"/>
      <c r="H1945" s="25"/>
      <c r="I1945" s="35" t="str">
        <f aca="false">IF($H1945="","",IFERROR(INDEX(票据归类表,MATCH($H1945,票据类型表,0)),"现金无票"))</f>
        <v/>
      </c>
      <c r="J1945" s="25"/>
      <c r="K1945" s="25"/>
      <c r="L1945" s="31"/>
      <c r="M1945" s="29" t="str">
        <f aca="false">IF($C1945="","",YEAR($C1945))</f>
        <v/>
      </c>
      <c r="N1945" s="24"/>
      <c r="O1945" s="35" t="str">
        <f aca="false">IF($C1945="","",IF($D1945="","★没选客户项目",IF(COUNTIF(合同键,$D1945)=0,"★《维保合同》里没这个项目",IF(N($G1945)&lt;=0,"★收款金额要填",IF($H1945="","★票据类型要选",IF(AND($L1945&lt;&gt;"",COUNTIF(应收单号,$L1945)=0),"★关联的应收单号不存在",IF(AND($L1945&lt;&gt;"",IFERROR(INDEX(应收键,MATCH($L1945,应收单号,0)),"")&lt;&gt;$D1945),"★关联单号不是这个客户的",IF(AND($L1945&lt;&gt;"",ROUND(SUMIF(收款关联,$L1945,收款金额)-IFERROR(INDEX(应收金额,MATCH($L1945,应收单号,0)),0),2)&gt;0.001),"★指定冲销超过那张单的应收","OK"))))))))</f>
        <v/>
      </c>
    </row>
    <row r="1946" customFormat="false" ht="15" hidden="false" customHeight="false" outlineLevel="0" collapsed="false">
      <c r="A1946" s="29" t="str">
        <f aca="false">IF($C1946="","",ROW()-4)</f>
        <v/>
      </c>
      <c r="B1946" s="35" t="str">
        <f aca="false">IF($C1946="","","SK"&amp;TEXT($C1946,"yyyymm")&amp;"-"&amp;TEXT(ROW()-4,"0000"))</f>
        <v/>
      </c>
      <c r="C1946" s="33"/>
      <c r="D1946" s="24"/>
      <c r="E1946" s="30" t="str">
        <f aca="false">IF($D1946="","",IFERROR(INDEX(合同单位,MATCH($D1946,合同键,0)),IFERROR(TRIM(LEFT($D1946,FIND("｜",$D1946)-1)),$D1946)))</f>
        <v/>
      </c>
      <c r="F1946" s="30" t="str">
        <f aca="false">IF($D1946="","",IFERROR(INDEX(合同项目,MATCH($D1946,合同键,0)),IFERROR(TRIM(MID($D1946,FIND("｜",$D1946)+1,99)),"")))</f>
        <v/>
      </c>
      <c r="G1946" s="39"/>
      <c r="H1946" s="25"/>
      <c r="I1946" s="35" t="str">
        <f aca="false">IF($H1946="","",IFERROR(INDEX(票据归类表,MATCH($H1946,票据类型表,0)),"现金无票"))</f>
        <v/>
      </c>
      <c r="J1946" s="25"/>
      <c r="K1946" s="25"/>
      <c r="L1946" s="31"/>
      <c r="M1946" s="29" t="str">
        <f aca="false">IF($C1946="","",YEAR($C1946))</f>
        <v/>
      </c>
      <c r="N1946" s="24"/>
      <c r="O1946" s="35" t="str">
        <f aca="false">IF($C1946="","",IF($D1946="","★没选客户项目",IF(COUNTIF(合同键,$D1946)=0,"★《维保合同》里没这个项目",IF(N($G1946)&lt;=0,"★收款金额要填",IF($H1946="","★票据类型要选",IF(AND($L1946&lt;&gt;"",COUNTIF(应收单号,$L1946)=0),"★关联的应收单号不存在",IF(AND($L1946&lt;&gt;"",IFERROR(INDEX(应收键,MATCH($L1946,应收单号,0)),"")&lt;&gt;$D1946),"★关联单号不是这个客户的",IF(AND($L1946&lt;&gt;"",ROUND(SUMIF(收款关联,$L1946,收款金额)-IFERROR(INDEX(应收金额,MATCH($L1946,应收单号,0)),0),2)&gt;0.001),"★指定冲销超过那张单的应收","OK"))))))))</f>
        <v/>
      </c>
    </row>
    <row r="1947" customFormat="false" ht="15" hidden="false" customHeight="false" outlineLevel="0" collapsed="false">
      <c r="A1947" s="29" t="str">
        <f aca="false">IF($C1947="","",ROW()-4)</f>
        <v/>
      </c>
      <c r="B1947" s="35" t="str">
        <f aca="false">IF($C1947="","","SK"&amp;TEXT($C1947,"yyyymm")&amp;"-"&amp;TEXT(ROW()-4,"0000"))</f>
        <v/>
      </c>
      <c r="C1947" s="33"/>
      <c r="D1947" s="24"/>
      <c r="E1947" s="30" t="str">
        <f aca="false">IF($D1947="","",IFERROR(INDEX(合同单位,MATCH($D1947,合同键,0)),IFERROR(TRIM(LEFT($D1947,FIND("｜",$D1947)-1)),$D1947)))</f>
        <v/>
      </c>
      <c r="F1947" s="30" t="str">
        <f aca="false">IF($D1947="","",IFERROR(INDEX(合同项目,MATCH($D1947,合同键,0)),IFERROR(TRIM(MID($D1947,FIND("｜",$D1947)+1,99)),"")))</f>
        <v/>
      </c>
      <c r="G1947" s="39"/>
      <c r="H1947" s="25"/>
      <c r="I1947" s="35" t="str">
        <f aca="false">IF($H1947="","",IFERROR(INDEX(票据归类表,MATCH($H1947,票据类型表,0)),"现金无票"))</f>
        <v/>
      </c>
      <c r="J1947" s="25"/>
      <c r="K1947" s="25"/>
      <c r="L1947" s="31"/>
      <c r="M1947" s="29" t="str">
        <f aca="false">IF($C1947="","",YEAR($C1947))</f>
        <v/>
      </c>
      <c r="N1947" s="24"/>
      <c r="O1947" s="35" t="str">
        <f aca="false">IF($C1947="","",IF($D1947="","★没选客户项目",IF(COUNTIF(合同键,$D1947)=0,"★《维保合同》里没这个项目",IF(N($G1947)&lt;=0,"★收款金额要填",IF($H1947="","★票据类型要选",IF(AND($L1947&lt;&gt;"",COUNTIF(应收单号,$L1947)=0),"★关联的应收单号不存在",IF(AND($L1947&lt;&gt;"",IFERROR(INDEX(应收键,MATCH($L1947,应收单号,0)),"")&lt;&gt;$D1947),"★关联单号不是这个客户的",IF(AND($L1947&lt;&gt;"",ROUND(SUMIF(收款关联,$L1947,收款金额)-IFERROR(INDEX(应收金额,MATCH($L1947,应收单号,0)),0),2)&gt;0.001),"★指定冲销超过那张单的应收","OK"))))))))</f>
        <v/>
      </c>
    </row>
    <row r="1948" customFormat="false" ht="15" hidden="false" customHeight="false" outlineLevel="0" collapsed="false">
      <c r="A1948" s="29" t="str">
        <f aca="false">IF($C1948="","",ROW()-4)</f>
        <v/>
      </c>
      <c r="B1948" s="35" t="str">
        <f aca="false">IF($C1948="","","SK"&amp;TEXT($C1948,"yyyymm")&amp;"-"&amp;TEXT(ROW()-4,"0000"))</f>
        <v/>
      </c>
      <c r="C1948" s="33"/>
      <c r="D1948" s="24"/>
      <c r="E1948" s="30" t="str">
        <f aca="false">IF($D1948="","",IFERROR(INDEX(合同单位,MATCH($D1948,合同键,0)),IFERROR(TRIM(LEFT($D1948,FIND("｜",$D1948)-1)),$D1948)))</f>
        <v/>
      </c>
      <c r="F1948" s="30" t="str">
        <f aca="false">IF($D1948="","",IFERROR(INDEX(合同项目,MATCH($D1948,合同键,0)),IFERROR(TRIM(MID($D1948,FIND("｜",$D1948)+1,99)),"")))</f>
        <v/>
      </c>
      <c r="G1948" s="39"/>
      <c r="H1948" s="25"/>
      <c r="I1948" s="35" t="str">
        <f aca="false">IF($H1948="","",IFERROR(INDEX(票据归类表,MATCH($H1948,票据类型表,0)),"现金无票"))</f>
        <v/>
      </c>
      <c r="J1948" s="25"/>
      <c r="K1948" s="25"/>
      <c r="L1948" s="31"/>
      <c r="M1948" s="29" t="str">
        <f aca="false">IF($C1948="","",YEAR($C1948))</f>
        <v/>
      </c>
      <c r="N1948" s="24"/>
      <c r="O1948" s="35" t="str">
        <f aca="false">IF($C1948="","",IF($D1948="","★没选客户项目",IF(COUNTIF(合同键,$D1948)=0,"★《维保合同》里没这个项目",IF(N($G1948)&lt;=0,"★收款金额要填",IF($H1948="","★票据类型要选",IF(AND($L1948&lt;&gt;"",COUNTIF(应收单号,$L1948)=0),"★关联的应收单号不存在",IF(AND($L1948&lt;&gt;"",IFERROR(INDEX(应收键,MATCH($L1948,应收单号,0)),"")&lt;&gt;$D1948),"★关联单号不是这个客户的",IF(AND($L1948&lt;&gt;"",ROUND(SUMIF(收款关联,$L1948,收款金额)-IFERROR(INDEX(应收金额,MATCH($L1948,应收单号,0)),0),2)&gt;0.001),"★指定冲销超过那张单的应收","OK"))))))))</f>
        <v/>
      </c>
    </row>
    <row r="1949" customFormat="false" ht="15" hidden="false" customHeight="false" outlineLevel="0" collapsed="false">
      <c r="A1949" s="29" t="str">
        <f aca="false">IF($C1949="","",ROW()-4)</f>
        <v/>
      </c>
      <c r="B1949" s="35" t="str">
        <f aca="false">IF($C1949="","","SK"&amp;TEXT($C1949,"yyyymm")&amp;"-"&amp;TEXT(ROW()-4,"0000"))</f>
        <v/>
      </c>
      <c r="C1949" s="33"/>
      <c r="D1949" s="24"/>
      <c r="E1949" s="30" t="str">
        <f aca="false">IF($D1949="","",IFERROR(INDEX(合同单位,MATCH($D1949,合同键,0)),IFERROR(TRIM(LEFT($D1949,FIND("｜",$D1949)-1)),$D1949)))</f>
        <v/>
      </c>
      <c r="F1949" s="30" t="str">
        <f aca="false">IF($D1949="","",IFERROR(INDEX(合同项目,MATCH($D1949,合同键,0)),IFERROR(TRIM(MID($D1949,FIND("｜",$D1949)+1,99)),"")))</f>
        <v/>
      </c>
      <c r="G1949" s="39"/>
      <c r="H1949" s="25"/>
      <c r="I1949" s="35" t="str">
        <f aca="false">IF($H1949="","",IFERROR(INDEX(票据归类表,MATCH($H1949,票据类型表,0)),"现金无票"))</f>
        <v/>
      </c>
      <c r="J1949" s="25"/>
      <c r="K1949" s="25"/>
      <c r="L1949" s="31"/>
      <c r="M1949" s="29" t="str">
        <f aca="false">IF($C1949="","",YEAR($C1949))</f>
        <v/>
      </c>
      <c r="N1949" s="24"/>
      <c r="O1949" s="35" t="str">
        <f aca="false">IF($C1949="","",IF($D1949="","★没选客户项目",IF(COUNTIF(合同键,$D1949)=0,"★《维保合同》里没这个项目",IF(N($G1949)&lt;=0,"★收款金额要填",IF($H1949="","★票据类型要选",IF(AND($L1949&lt;&gt;"",COUNTIF(应收单号,$L1949)=0),"★关联的应收单号不存在",IF(AND($L1949&lt;&gt;"",IFERROR(INDEX(应收键,MATCH($L1949,应收单号,0)),"")&lt;&gt;$D1949),"★关联单号不是这个客户的",IF(AND($L1949&lt;&gt;"",ROUND(SUMIF(收款关联,$L1949,收款金额)-IFERROR(INDEX(应收金额,MATCH($L1949,应收单号,0)),0),2)&gt;0.001),"★指定冲销超过那张单的应收","OK"))))))))</f>
        <v/>
      </c>
    </row>
    <row r="1950" customFormat="false" ht="15" hidden="false" customHeight="false" outlineLevel="0" collapsed="false">
      <c r="A1950" s="29" t="str">
        <f aca="false">IF($C1950="","",ROW()-4)</f>
        <v/>
      </c>
      <c r="B1950" s="35" t="str">
        <f aca="false">IF($C1950="","","SK"&amp;TEXT($C1950,"yyyymm")&amp;"-"&amp;TEXT(ROW()-4,"0000"))</f>
        <v/>
      </c>
      <c r="C1950" s="33"/>
      <c r="D1950" s="24"/>
      <c r="E1950" s="30" t="str">
        <f aca="false">IF($D1950="","",IFERROR(INDEX(合同单位,MATCH($D1950,合同键,0)),IFERROR(TRIM(LEFT($D1950,FIND("｜",$D1950)-1)),$D1950)))</f>
        <v/>
      </c>
      <c r="F1950" s="30" t="str">
        <f aca="false">IF($D1950="","",IFERROR(INDEX(合同项目,MATCH($D1950,合同键,0)),IFERROR(TRIM(MID($D1950,FIND("｜",$D1950)+1,99)),"")))</f>
        <v/>
      </c>
      <c r="G1950" s="39"/>
      <c r="H1950" s="25"/>
      <c r="I1950" s="35" t="str">
        <f aca="false">IF($H1950="","",IFERROR(INDEX(票据归类表,MATCH($H1950,票据类型表,0)),"现金无票"))</f>
        <v/>
      </c>
      <c r="J1950" s="25"/>
      <c r="K1950" s="25"/>
      <c r="L1950" s="31"/>
      <c r="M1950" s="29" t="str">
        <f aca="false">IF($C1950="","",YEAR($C1950))</f>
        <v/>
      </c>
      <c r="N1950" s="24"/>
      <c r="O1950" s="35" t="str">
        <f aca="false">IF($C1950="","",IF($D1950="","★没选客户项目",IF(COUNTIF(合同键,$D1950)=0,"★《维保合同》里没这个项目",IF(N($G1950)&lt;=0,"★收款金额要填",IF($H1950="","★票据类型要选",IF(AND($L1950&lt;&gt;"",COUNTIF(应收单号,$L1950)=0),"★关联的应收单号不存在",IF(AND($L1950&lt;&gt;"",IFERROR(INDEX(应收键,MATCH($L1950,应收单号,0)),"")&lt;&gt;$D1950),"★关联单号不是这个客户的",IF(AND($L1950&lt;&gt;"",ROUND(SUMIF(收款关联,$L1950,收款金额)-IFERROR(INDEX(应收金额,MATCH($L1950,应收单号,0)),0),2)&gt;0.001),"★指定冲销超过那张单的应收","OK"))))))))</f>
        <v/>
      </c>
    </row>
    <row r="1951" customFormat="false" ht="15" hidden="false" customHeight="false" outlineLevel="0" collapsed="false">
      <c r="A1951" s="29" t="str">
        <f aca="false">IF($C1951="","",ROW()-4)</f>
        <v/>
      </c>
      <c r="B1951" s="35" t="str">
        <f aca="false">IF($C1951="","","SK"&amp;TEXT($C1951,"yyyymm")&amp;"-"&amp;TEXT(ROW()-4,"0000"))</f>
        <v/>
      </c>
      <c r="C1951" s="33"/>
      <c r="D1951" s="24"/>
      <c r="E1951" s="30" t="str">
        <f aca="false">IF($D1951="","",IFERROR(INDEX(合同单位,MATCH($D1951,合同键,0)),IFERROR(TRIM(LEFT($D1951,FIND("｜",$D1951)-1)),$D1951)))</f>
        <v/>
      </c>
      <c r="F1951" s="30" t="str">
        <f aca="false">IF($D1951="","",IFERROR(INDEX(合同项目,MATCH($D1951,合同键,0)),IFERROR(TRIM(MID($D1951,FIND("｜",$D1951)+1,99)),"")))</f>
        <v/>
      </c>
      <c r="G1951" s="39"/>
      <c r="H1951" s="25"/>
      <c r="I1951" s="35" t="str">
        <f aca="false">IF($H1951="","",IFERROR(INDEX(票据归类表,MATCH($H1951,票据类型表,0)),"现金无票"))</f>
        <v/>
      </c>
      <c r="J1951" s="25"/>
      <c r="K1951" s="25"/>
      <c r="L1951" s="31"/>
      <c r="M1951" s="29" t="str">
        <f aca="false">IF($C1951="","",YEAR($C1951))</f>
        <v/>
      </c>
      <c r="N1951" s="24"/>
      <c r="O1951" s="35" t="str">
        <f aca="false">IF($C1951="","",IF($D1951="","★没选客户项目",IF(COUNTIF(合同键,$D1951)=0,"★《维保合同》里没这个项目",IF(N($G1951)&lt;=0,"★收款金额要填",IF($H1951="","★票据类型要选",IF(AND($L1951&lt;&gt;"",COUNTIF(应收单号,$L1951)=0),"★关联的应收单号不存在",IF(AND($L1951&lt;&gt;"",IFERROR(INDEX(应收键,MATCH($L1951,应收单号,0)),"")&lt;&gt;$D1951),"★关联单号不是这个客户的",IF(AND($L1951&lt;&gt;"",ROUND(SUMIF(收款关联,$L1951,收款金额)-IFERROR(INDEX(应收金额,MATCH($L1951,应收单号,0)),0),2)&gt;0.001),"★指定冲销超过那张单的应收","OK"))))))))</f>
        <v/>
      </c>
    </row>
    <row r="1952" customFormat="false" ht="15" hidden="false" customHeight="false" outlineLevel="0" collapsed="false">
      <c r="A1952" s="29" t="str">
        <f aca="false">IF($C1952="","",ROW()-4)</f>
        <v/>
      </c>
      <c r="B1952" s="35" t="str">
        <f aca="false">IF($C1952="","","SK"&amp;TEXT($C1952,"yyyymm")&amp;"-"&amp;TEXT(ROW()-4,"0000"))</f>
        <v/>
      </c>
      <c r="C1952" s="33"/>
      <c r="D1952" s="24"/>
      <c r="E1952" s="30" t="str">
        <f aca="false">IF($D1952="","",IFERROR(INDEX(合同单位,MATCH($D1952,合同键,0)),IFERROR(TRIM(LEFT($D1952,FIND("｜",$D1952)-1)),$D1952)))</f>
        <v/>
      </c>
      <c r="F1952" s="30" t="str">
        <f aca="false">IF($D1952="","",IFERROR(INDEX(合同项目,MATCH($D1952,合同键,0)),IFERROR(TRIM(MID($D1952,FIND("｜",$D1952)+1,99)),"")))</f>
        <v/>
      </c>
      <c r="G1952" s="39"/>
      <c r="H1952" s="25"/>
      <c r="I1952" s="35" t="str">
        <f aca="false">IF($H1952="","",IFERROR(INDEX(票据归类表,MATCH($H1952,票据类型表,0)),"现金无票"))</f>
        <v/>
      </c>
      <c r="J1952" s="25"/>
      <c r="K1952" s="25"/>
      <c r="L1952" s="31"/>
      <c r="M1952" s="29" t="str">
        <f aca="false">IF($C1952="","",YEAR($C1952))</f>
        <v/>
      </c>
      <c r="N1952" s="24"/>
      <c r="O1952" s="35" t="str">
        <f aca="false">IF($C1952="","",IF($D1952="","★没选客户项目",IF(COUNTIF(合同键,$D1952)=0,"★《维保合同》里没这个项目",IF(N($G1952)&lt;=0,"★收款金额要填",IF($H1952="","★票据类型要选",IF(AND($L1952&lt;&gt;"",COUNTIF(应收单号,$L1952)=0),"★关联的应收单号不存在",IF(AND($L1952&lt;&gt;"",IFERROR(INDEX(应收键,MATCH($L1952,应收单号,0)),"")&lt;&gt;$D1952),"★关联单号不是这个客户的",IF(AND($L1952&lt;&gt;"",ROUND(SUMIF(收款关联,$L1952,收款金额)-IFERROR(INDEX(应收金额,MATCH($L1952,应收单号,0)),0),2)&gt;0.001),"★指定冲销超过那张单的应收","OK"))))))))</f>
        <v/>
      </c>
    </row>
    <row r="1953" customFormat="false" ht="15" hidden="false" customHeight="false" outlineLevel="0" collapsed="false">
      <c r="A1953" s="29" t="str">
        <f aca="false">IF($C1953="","",ROW()-4)</f>
        <v/>
      </c>
      <c r="B1953" s="35" t="str">
        <f aca="false">IF($C1953="","","SK"&amp;TEXT($C1953,"yyyymm")&amp;"-"&amp;TEXT(ROW()-4,"0000"))</f>
        <v/>
      </c>
      <c r="C1953" s="33"/>
      <c r="D1953" s="24"/>
      <c r="E1953" s="30" t="str">
        <f aca="false">IF($D1953="","",IFERROR(INDEX(合同单位,MATCH($D1953,合同键,0)),IFERROR(TRIM(LEFT($D1953,FIND("｜",$D1953)-1)),$D1953)))</f>
        <v/>
      </c>
      <c r="F1953" s="30" t="str">
        <f aca="false">IF($D1953="","",IFERROR(INDEX(合同项目,MATCH($D1953,合同键,0)),IFERROR(TRIM(MID($D1953,FIND("｜",$D1953)+1,99)),"")))</f>
        <v/>
      </c>
      <c r="G1953" s="39"/>
      <c r="H1953" s="25"/>
      <c r="I1953" s="35" t="str">
        <f aca="false">IF($H1953="","",IFERROR(INDEX(票据归类表,MATCH($H1953,票据类型表,0)),"现金无票"))</f>
        <v/>
      </c>
      <c r="J1953" s="25"/>
      <c r="K1953" s="25"/>
      <c r="L1953" s="31"/>
      <c r="M1953" s="29" t="str">
        <f aca="false">IF($C1953="","",YEAR($C1953))</f>
        <v/>
      </c>
      <c r="N1953" s="24"/>
      <c r="O1953" s="35" t="str">
        <f aca="false">IF($C1953="","",IF($D1953="","★没选客户项目",IF(COUNTIF(合同键,$D1953)=0,"★《维保合同》里没这个项目",IF(N($G1953)&lt;=0,"★收款金额要填",IF($H1953="","★票据类型要选",IF(AND($L1953&lt;&gt;"",COUNTIF(应收单号,$L1953)=0),"★关联的应收单号不存在",IF(AND($L1953&lt;&gt;"",IFERROR(INDEX(应收键,MATCH($L1953,应收单号,0)),"")&lt;&gt;$D1953),"★关联单号不是这个客户的",IF(AND($L1953&lt;&gt;"",ROUND(SUMIF(收款关联,$L1953,收款金额)-IFERROR(INDEX(应收金额,MATCH($L1953,应收单号,0)),0),2)&gt;0.001),"★指定冲销超过那张单的应收","OK"))))))))</f>
        <v/>
      </c>
    </row>
    <row r="1954" customFormat="false" ht="15" hidden="false" customHeight="false" outlineLevel="0" collapsed="false">
      <c r="A1954" s="29" t="str">
        <f aca="false">IF($C1954="","",ROW()-4)</f>
        <v/>
      </c>
      <c r="B1954" s="35" t="str">
        <f aca="false">IF($C1954="","","SK"&amp;TEXT($C1954,"yyyymm")&amp;"-"&amp;TEXT(ROW()-4,"0000"))</f>
        <v/>
      </c>
      <c r="C1954" s="33"/>
      <c r="D1954" s="24"/>
      <c r="E1954" s="30" t="str">
        <f aca="false">IF($D1954="","",IFERROR(INDEX(合同单位,MATCH($D1954,合同键,0)),IFERROR(TRIM(LEFT($D1954,FIND("｜",$D1954)-1)),$D1954)))</f>
        <v/>
      </c>
      <c r="F1954" s="30" t="str">
        <f aca="false">IF($D1954="","",IFERROR(INDEX(合同项目,MATCH($D1954,合同键,0)),IFERROR(TRIM(MID($D1954,FIND("｜",$D1954)+1,99)),"")))</f>
        <v/>
      </c>
      <c r="G1954" s="39"/>
      <c r="H1954" s="25"/>
      <c r="I1954" s="35" t="str">
        <f aca="false">IF($H1954="","",IFERROR(INDEX(票据归类表,MATCH($H1954,票据类型表,0)),"现金无票"))</f>
        <v/>
      </c>
      <c r="J1954" s="25"/>
      <c r="K1954" s="25"/>
      <c r="L1954" s="31"/>
      <c r="M1954" s="29" t="str">
        <f aca="false">IF($C1954="","",YEAR($C1954))</f>
        <v/>
      </c>
      <c r="N1954" s="24"/>
      <c r="O1954" s="35" t="str">
        <f aca="false">IF($C1954="","",IF($D1954="","★没选客户项目",IF(COUNTIF(合同键,$D1954)=0,"★《维保合同》里没这个项目",IF(N($G1954)&lt;=0,"★收款金额要填",IF($H1954="","★票据类型要选",IF(AND($L1954&lt;&gt;"",COUNTIF(应收单号,$L1954)=0),"★关联的应收单号不存在",IF(AND($L1954&lt;&gt;"",IFERROR(INDEX(应收键,MATCH($L1954,应收单号,0)),"")&lt;&gt;$D1954),"★关联单号不是这个客户的",IF(AND($L1954&lt;&gt;"",ROUND(SUMIF(收款关联,$L1954,收款金额)-IFERROR(INDEX(应收金额,MATCH($L1954,应收单号,0)),0),2)&gt;0.001),"★指定冲销超过那张单的应收","OK"))))))))</f>
        <v/>
      </c>
    </row>
    <row r="1955" customFormat="false" ht="15" hidden="false" customHeight="false" outlineLevel="0" collapsed="false">
      <c r="A1955" s="29" t="str">
        <f aca="false">IF($C1955="","",ROW()-4)</f>
        <v/>
      </c>
      <c r="B1955" s="35" t="str">
        <f aca="false">IF($C1955="","","SK"&amp;TEXT($C1955,"yyyymm")&amp;"-"&amp;TEXT(ROW()-4,"0000"))</f>
        <v/>
      </c>
      <c r="C1955" s="33"/>
      <c r="D1955" s="24"/>
      <c r="E1955" s="30" t="str">
        <f aca="false">IF($D1955="","",IFERROR(INDEX(合同单位,MATCH($D1955,合同键,0)),IFERROR(TRIM(LEFT($D1955,FIND("｜",$D1955)-1)),$D1955)))</f>
        <v/>
      </c>
      <c r="F1955" s="30" t="str">
        <f aca="false">IF($D1955="","",IFERROR(INDEX(合同项目,MATCH($D1955,合同键,0)),IFERROR(TRIM(MID($D1955,FIND("｜",$D1955)+1,99)),"")))</f>
        <v/>
      </c>
      <c r="G1955" s="39"/>
      <c r="H1955" s="25"/>
      <c r="I1955" s="35" t="str">
        <f aca="false">IF($H1955="","",IFERROR(INDEX(票据归类表,MATCH($H1955,票据类型表,0)),"现金无票"))</f>
        <v/>
      </c>
      <c r="J1955" s="25"/>
      <c r="K1955" s="25"/>
      <c r="L1955" s="31"/>
      <c r="M1955" s="29" t="str">
        <f aca="false">IF($C1955="","",YEAR($C1955))</f>
        <v/>
      </c>
      <c r="N1955" s="24"/>
      <c r="O1955" s="35" t="str">
        <f aca="false">IF($C1955="","",IF($D1955="","★没选客户项目",IF(COUNTIF(合同键,$D1955)=0,"★《维保合同》里没这个项目",IF(N($G1955)&lt;=0,"★收款金额要填",IF($H1955="","★票据类型要选",IF(AND($L1955&lt;&gt;"",COUNTIF(应收单号,$L1955)=0),"★关联的应收单号不存在",IF(AND($L1955&lt;&gt;"",IFERROR(INDEX(应收键,MATCH($L1955,应收单号,0)),"")&lt;&gt;$D1955),"★关联单号不是这个客户的",IF(AND($L1955&lt;&gt;"",ROUND(SUMIF(收款关联,$L1955,收款金额)-IFERROR(INDEX(应收金额,MATCH($L1955,应收单号,0)),0),2)&gt;0.001),"★指定冲销超过那张单的应收","OK"))))))))</f>
        <v/>
      </c>
    </row>
    <row r="1956" customFormat="false" ht="15" hidden="false" customHeight="false" outlineLevel="0" collapsed="false">
      <c r="A1956" s="29" t="str">
        <f aca="false">IF($C1956="","",ROW()-4)</f>
        <v/>
      </c>
      <c r="B1956" s="35" t="str">
        <f aca="false">IF($C1956="","","SK"&amp;TEXT($C1956,"yyyymm")&amp;"-"&amp;TEXT(ROW()-4,"0000"))</f>
        <v/>
      </c>
      <c r="C1956" s="33"/>
      <c r="D1956" s="24"/>
      <c r="E1956" s="30" t="str">
        <f aca="false">IF($D1956="","",IFERROR(INDEX(合同单位,MATCH($D1956,合同键,0)),IFERROR(TRIM(LEFT($D1956,FIND("｜",$D1956)-1)),$D1956)))</f>
        <v/>
      </c>
      <c r="F1956" s="30" t="str">
        <f aca="false">IF($D1956="","",IFERROR(INDEX(合同项目,MATCH($D1956,合同键,0)),IFERROR(TRIM(MID($D1956,FIND("｜",$D1956)+1,99)),"")))</f>
        <v/>
      </c>
      <c r="G1956" s="39"/>
      <c r="H1956" s="25"/>
      <c r="I1956" s="35" t="str">
        <f aca="false">IF($H1956="","",IFERROR(INDEX(票据归类表,MATCH($H1956,票据类型表,0)),"现金无票"))</f>
        <v/>
      </c>
      <c r="J1956" s="25"/>
      <c r="K1956" s="25"/>
      <c r="L1956" s="31"/>
      <c r="M1956" s="29" t="str">
        <f aca="false">IF($C1956="","",YEAR($C1956))</f>
        <v/>
      </c>
      <c r="N1956" s="24"/>
      <c r="O1956" s="35" t="str">
        <f aca="false">IF($C1956="","",IF($D1956="","★没选客户项目",IF(COUNTIF(合同键,$D1956)=0,"★《维保合同》里没这个项目",IF(N($G1956)&lt;=0,"★收款金额要填",IF($H1956="","★票据类型要选",IF(AND($L1956&lt;&gt;"",COUNTIF(应收单号,$L1956)=0),"★关联的应收单号不存在",IF(AND($L1956&lt;&gt;"",IFERROR(INDEX(应收键,MATCH($L1956,应收单号,0)),"")&lt;&gt;$D1956),"★关联单号不是这个客户的",IF(AND($L1956&lt;&gt;"",ROUND(SUMIF(收款关联,$L1956,收款金额)-IFERROR(INDEX(应收金额,MATCH($L1956,应收单号,0)),0),2)&gt;0.001),"★指定冲销超过那张单的应收","OK"))))))))</f>
        <v/>
      </c>
    </row>
    <row r="1957" customFormat="false" ht="15" hidden="false" customHeight="false" outlineLevel="0" collapsed="false">
      <c r="A1957" s="29" t="str">
        <f aca="false">IF($C1957="","",ROW()-4)</f>
        <v/>
      </c>
      <c r="B1957" s="35" t="str">
        <f aca="false">IF($C1957="","","SK"&amp;TEXT($C1957,"yyyymm")&amp;"-"&amp;TEXT(ROW()-4,"0000"))</f>
        <v/>
      </c>
      <c r="C1957" s="33"/>
      <c r="D1957" s="24"/>
      <c r="E1957" s="30" t="str">
        <f aca="false">IF($D1957="","",IFERROR(INDEX(合同单位,MATCH($D1957,合同键,0)),IFERROR(TRIM(LEFT($D1957,FIND("｜",$D1957)-1)),$D1957)))</f>
        <v/>
      </c>
      <c r="F1957" s="30" t="str">
        <f aca="false">IF($D1957="","",IFERROR(INDEX(合同项目,MATCH($D1957,合同键,0)),IFERROR(TRIM(MID($D1957,FIND("｜",$D1957)+1,99)),"")))</f>
        <v/>
      </c>
      <c r="G1957" s="39"/>
      <c r="H1957" s="25"/>
      <c r="I1957" s="35" t="str">
        <f aca="false">IF($H1957="","",IFERROR(INDEX(票据归类表,MATCH($H1957,票据类型表,0)),"现金无票"))</f>
        <v/>
      </c>
      <c r="J1957" s="25"/>
      <c r="K1957" s="25"/>
      <c r="L1957" s="31"/>
      <c r="M1957" s="29" t="str">
        <f aca="false">IF($C1957="","",YEAR($C1957))</f>
        <v/>
      </c>
      <c r="N1957" s="24"/>
      <c r="O1957" s="35" t="str">
        <f aca="false">IF($C1957="","",IF($D1957="","★没选客户项目",IF(COUNTIF(合同键,$D1957)=0,"★《维保合同》里没这个项目",IF(N($G1957)&lt;=0,"★收款金额要填",IF($H1957="","★票据类型要选",IF(AND($L1957&lt;&gt;"",COUNTIF(应收单号,$L1957)=0),"★关联的应收单号不存在",IF(AND($L1957&lt;&gt;"",IFERROR(INDEX(应收键,MATCH($L1957,应收单号,0)),"")&lt;&gt;$D1957),"★关联单号不是这个客户的",IF(AND($L1957&lt;&gt;"",ROUND(SUMIF(收款关联,$L1957,收款金额)-IFERROR(INDEX(应收金额,MATCH($L1957,应收单号,0)),0),2)&gt;0.001),"★指定冲销超过那张单的应收","OK"))))))))</f>
        <v/>
      </c>
    </row>
    <row r="1958" customFormat="false" ht="15" hidden="false" customHeight="false" outlineLevel="0" collapsed="false">
      <c r="A1958" s="29" t="str">
        <f aca="false">IF($C1958="","",ROW()-4)</f>
        <v/>
      </c>
      <c r="B1958" s="35" t="str">
        <f aca="false">IF($C1958="","","SK"&amp;TEXT($C1958,"yyyymm")&amp;"-"&amp;TEXT(ROW()-4,"0000"))</f>
        <v/>
      </c>
      <c r="C1958" s="33"/>
      <c r="D1958" s="24"/>
      <c r="E1958" s="30" t="str">
        <f aca="false">IF($D1958="","",IFERROR(INDEX(合同单位,MATCH($D1958,合同键,0)),IFERROR(TRIM(LEFT($D1958,FIND("｜",$D1958)-1)),$D1958)))</f>
        <v/>
      </c>
      <c r="F1958" s="30" t="str">
        <f aca="false">IF($D1958="","",IFERROR(INDEX(合同项目,MATCH($D1958,合同键,0)),IFERROR(TRIM(MID($D1958,FIND("｜",$D1958)+1,99)),"")))</f>
        <v/>
      </c>
      <c r="G1958" s="39"/>
      <c r="H1958" s="25"/>
      <c r="I1958" s="35" t="str">
        <f aca="false">IF($H1958="","",IFERROR(INDEX(票据归类表,MATCH($H1958,票据类型表,0)),"现金无票"))</f>
        <v/>
      </c>
      <c r="J1958" s="25"/>
      <c r="K1958" s="25"/>
      <c r="L1958" s="31"/>
      <c r="M1958" s="29" t="str">
        <f aca="false">IF($C1958="","",YEAR($C1958))</f>
        <v/>
      </c>
      <c r="N1958" s="24"/>
      <c r="O1958" s="35" t="str">
        <f aca="false">IF($C1958="","",IF($D1958="","★没选客户项目",IF(COUNTIF(合同键,$D1958)=0,"★《维保合同》里没这个项目",IF(N($G1958)&lt;=0,"★收款金额要填",IF($H1958="","★票据类型要选",IF(AND($L1958&lt;&gt;"",COUNTIF(应收单号,$L1958)=0),"★关联的应收单号不存在",IF(AND($L1958&lt;&gt;"",IFERROR(INDEX(应收键,MATCH($L1958,应收单号,0)),"")&lt;&gt;$D1958),"★关联单号不是这个客户的",IF(AND($L1958&lt;&gt;"",ROUND(SUMIF(收款关联,$L1958,收款金额)-IFERROR(INDEX(应收金额,MATCH($L1958,应收单号,0)),0),2)&gt;0.001),"★指定冲销超过那张单的应收","OK"))))))))</f>
        <v/>
      </c>
    </row>
    <row r="1959" customFormat="false" ht="15" hidden="false" customHeight="false" outlineLevel="0" collapsed="false">
      <c r="A1959" s="29" t="str">
        <f aca="false">IF($C1959="","",ROW()-4)</f>
        <v/>
      </c>
      <c r="B1959" s="35" t="str">
        <f aca="false">IF($C1959="","","SK"&amp;TEXT($C1959,"yyyymm")&amp;"-"&amp;TEXT(ROW()-4,"0000"))</f>
        <v/>
      </c>
      <c r="C1959" s="33"/>
      <c r="D1959" s="24"/>
      <c r="E1959" s="30" t="str">
        <f aca="false">IF($D1959="","",IFERROR(INDEX(合同单位,MATCH($D1959,合同键,0)),IFERROR(TRIM(LEFT($D1959,FIND("｜",$D1959)-1)),$D1959)))</f>
        <v/>
      </c>
      <c r="F1959" s="30" t="str">
        <f aca="false">IF($D1959="","",IFERROR(INDEX(合同项目,MATCH($D1959,合同键,0)),IFERROR(TRIM(MID($D1959,FIND("｜",$D1959)+1,99)),"")))</f>
        <v/>
      </c>
      <c r="G1959" s="39"/>
      <c r="H1959" s="25"/>
      <c r="I1959" s="35" t="str">
        <f aca="false">IF($H1959="","",IFERROR(INDEX(票据归类表,MATCH($H1959,票据类型表,0)),"现金无票"))</f>
        <v/>
      </c>
      <c r="J1959" s="25"/>
      <c r="K1959" s="25"/>
      <c r="L1959" s="31"/>
      <c r="M1959" s="29" t="str">
        <f aca="false">IF($C1959="","",YEAR($C1959))</f>
        <v/>
      </c>
      <c r="N1959" s="24"/>
      <c r="O1959" s="35" t="str">
        <f aca="false">IF($C1959="","",IF($D1959="","★没选客户项目",IF(COUNTIF(合同键,$D1959)=0,"★《维保合同》里没这个项目",IF(N($G1959)&lt;=0,"★收款金额要填",IF($H1959="","★票据类型要选",IF(AND($L1959&lt;&gt;"",COUNTIF(应收单号,$L1959)=0),"★关联的应收单号不存在",IF(AND($L1959&lt;&gt;"",IFERROR(INDEX(应收键,MATCH($L1959,应收单号,0)),"")&lt;&gt;$D1959),"★关联单号不是这个客户的",IF(AND($L1959&lt;&gt;"",ROUND(SUMIF(收款关联,$L1959,收款金额)-IFERROR(INDEX(应收金额,MATCH($L1959,应收单号,0)),0),2)&gt;0.001),"★指定冲销超过那张单的应收","OK"))))))))</f>
        <v/>
      </c>
    </row>
    <row r="1960" customFormat="false" ht="15" hidden="false" customHeight="false" outlineLevel="0" collapsed="false">
      <c r="A1960" s="29" t="str">
        <f aca="false">IF($C1960="","",ROW()-4)</f>
        <v/>
      </c>
      <c r="B1960" s="35" t="str">
        <f aca="false">IF($C1960="","","SK"&amp;TEXT($C1960,"yyyymm")&amp;"-"&amp;TEXT(ROW()-4,"0000"))</f>
        <v/>
      </c>
      <c r="C1960" s="33"/>
      <c r="D1960" s="24"/>
      <c r="E1960" s="30" t="str">
        <f aca="false">IF($D1960="","",IFERROR(INDEX(合同单位,MATCH($D1960,合同键,0)),IFERROR(TRIM(LEFT($D1960,FIND("｜",$D1960)-1)),$D1960)))</f>
        <v/>
      </c>
      <c r="F1960" s="30" t="str">
        <f aca="false">IF($D1960="","",IFERROR(INDEX(合同项目,MATCH($D1960,合同键,0)),IFERROR(TRIM(MID($D1960,FIND("｜",$D1960)+1,99)),"")))</f>
        <v/>
      </c>
      <c r="G1960" s="39"/>
      <c r="H1960" s="25"/>
      <c r="I1960" s="35" t="str">
        <f aca="false">IF($H1960="","",IFERROR(INDEX(票据归类表,MATCH($H1960,票据类型表,0)),"现金无票"))</f>
        <v/>
      </c>
      <c r="J1960" s="25"/>
      <c r="K1960" s="25"/>
      <c r="L1960" s="31"/>
      <c r="M1960" s="29" t="str">
        <f aca="false">IF($C1960="","",YEAR($C1960))</f>
        <v/>
      </c>
      <c r="N1960" s="24"/>
      <c r="O1960" s="35" t="str">
        <f aca="false">IF($C1960="","",IF($D1960="","★没选客户项目",IF(COUNTIF(合同键,$D1960)=0,"★《维保合同》里没这个项目",IF(N($G1960)&lt;=0,"★收款金额要填",IF($H1960="","★票据类型要选",IF(AND($L1960&lt;&gt;"",COUNTIF(应收单号,$L1960)=0),"★关联的应收单号不存在",IF(AND($L1960&lt;&gt;"",IFERROR(INDEX(应收键,MATCH($L1960,应收单号,0)),"")&lt;&gt;$D1960),"★关联单号不是这个客户的",IF(AND($L1960&lt;&gt;"",ROUND(SUMIF(收款关联,$L1960,收款金额)-IFERROR(INDEX(应收金额,MATCH($L1960,应收单号,0)),0),2)&gt;0.001),"★指定冲销超过那张单的应收","OK"))))))))</f>
        <v/>
      </c>
    </row>
    <row r="1961" customFormat="false" ht="15" hidden="false" customHeight="false" outlineLevel="0" collapsed="false">
      <c r="A1961" s="29" t="str">
        <f aca="false">IF($C1961="","",ROW()-4)</f>
        <v/>
      </c>
      <c r="B1961" s="35" t="str">
        <f aca="false">IF($C1961="","","SK"&amp;TEXT($C1961,"yyyymm")&amp;"-"&amp;TEXT(ROW()-4,"0000"))</f>
        <v/>
      </c>
      <c r="C1961" s="33"/>
      <c r="D1961" s="24"/>
      <c r="E1961" s="30" t="str">
        <f aca="false">IF($D1961="","",IFERROR(INDEX(合同单位,MATCH($D1961,合同键,0)),IFERROR(TRIM(LEFT($D1961,FIND("｜",$D1961)-1)),$D1961)))</f>
        <v/>
      </c>
      <c r="F1961" s="30" t="str">
        <f aca="false">IF($D1961="","",IFERROR(INDEX(合同项目,MATCH($D1961,合同键,0)),IFERROR(TRIM(MID($D1961,FIND("｜",$D1961)+1,99)),"")))</f>
        <v/>
      </c>
      <c r="G1961" s="39"/>
      <c r="H1961" s="25"/>
      <c r="I1961" s="35" t="str">
        <f aca="false">IF($H1961="","",IFERROR(INDEX(票据归类表,MATCH($H1961,票据类型表,0)),"现金无票"))</f>
        <v/>
      </c>
      <c r="J1961" s="25"/>
      <c r="K1961" s="25"/>
      <c r="L1961" s="31"/>
      <c r="M1961" s="29" t="str">
        <f aca="false">IF($C1961="","",YEAR($C1961))</f>
        <v/>
      </c>
      <c r="N1961" s="24"/>
      <c r="O1961" s="35" t="str">
        <f aca="false">IF($C1961="","",IF($D1961="","★没选客户项目",IF(COUNTIF(合同键,$D1961)=0,"★《维保合同》里没这个项目",IF(N($G1961)&lt;=0,"★收款金额要填",IF($H1961="","★票据类型要选",IF(AND($L1961&lt;&gt;"",COUNTIF(应收单号,$L1961)=0),"★关联的应收单号不存在",IF(AND($L1961&lt;&gt;"",IFERROR(INDEX(应收键,MATCH($L1961,应收单号,0)),"")&lt;&gt;$D1961),"★关联单号不是这个客户的",IF(AND($L1961&lt;&gt;"",ROUND(SUMIF(收款关联,$L1961,收款金额)-IFERROR(INDEX(应收金额,MATCH($L1961,应收单号,0)),0),2)&gt;0.001),"★指定冲销超过那张单的应收","OK"))))))))</f>
        <v/>
      </c>
    </row>
    <row r="1962" customFormat="false" ht="15" hidden="false" customHeight="false" outlineLevel="0" collapsed="false">
      <c r="A1962" s="29" t="str">
        <f aca="false">IF($C1962="","",ROW()-4)</f>
        <v/>
      </c>
      <c r="B1962" s="35" t="str">
        <f aca="false">IF($C1962="","","SK"&amp;TEXT($C1962,"yyyymm")&amp;"-"&amp;TEXT(ROW()-4,"0000"))</f>
        <v/>
      </c>
      <c r="C1962" s="33"/>
      <c r="D1962" s="24"/>
      <c r="E1962" s="30" t="str">
        <f aca="false">IF($D1962="","",IFERROR(INDEX(合同单位,MATCH($D1962,合同键,0)),IFERROR(TRIM(LEFT($D1962,FIND("｜",$D1962)-1)),$D1962)))</f>
        <v/>
      </c>
      <c r="F1962" s="30" t="str">
        <f aca="false">IF($D1962="","",IFERROR(INDEX(合同项目,MATCH($D1962,合同键,0)),IFERROR(TRIM(MID($D1962,FIND("｜",$D1962)+1,99)),"")))</f>
        <v/>
      </c>
      <c r="G1962" s="39"/>
      <c r="H1962" s="25"/>
      <c r="I1962" s="35" t="str">
        <f aca="false">IF($H1962="","",IFERROR(INDEX(票据归类表,MATCH($H1962,票据类型表,0)),"现金无票"))</f>
        <v/>
      </c>
      <c r="J1962" s="25"/>
      <c r="K1962" s="25"/>
      <c r="L1962" s="31"/>
      <c r="M1962" s="29" t="str">
        <f aca="false">IF($C1962="","",YEAR($C1962))</f>
        <v/>
      </c>
      <c r="N1962" s="24"/>
      <c r="O1962" s="35" t="str">
        <f aca="false">IF($C1962="","",IF($D1962="","★没选客户项目",IF(COUNTIF(合同键,$D1962)=0,"★《维保合同》里没这个项目",IF(N($G1962)&lt;=0,"★收款金额要填",IF($H1962="","★票据类型要选",IF(AND($L1962&lt;&gt;"",COUNTIF(应收单号,$L1962)=0),"★关联的应收单号不存在",IF(AND($L1962&lt;&gt;"",IFERROR(INDEX(应收键,MATCH($L1962,应收单号,0)),"")&lt;&gt;$D1962),"★关联单号不是这个客户的",IF(AND($L1962&lt;&gt;"",ROUND(SUMIF(收款关联,$L1962,收款金额)-IFERROR(INDEX(应收金额,MATCH($L1962,应收单号,0)),0),2)&gt;0.001),"★指定冲销超过那张单的应收","OK"))))))))</f>
        <v/>
      </c>
    </row>
    <row r="1963" customFormat="false" ht="15" hidden="false" customHeight="false" outlineLevel="0" collapsed="false">
      <c r="A1963" s="29" t="str">
        <f aca="false">IF($C1963="","",ROW()-4)</f>
        <v/>
      </c>
      <c r="B1963" s="35" t="str">
        <f aca="false">IF($C1963="","","SK"&amp;TEXT($C1963,"yyyymm")&amp;"-"&amp;TEXT(ROW()-4,"0000"))</f>
        <v/>
      </c>
      <c r="C1963" s="33"/>
      <c r="D1963" s="24"/>
      <c r="E1963" s="30" t="str">
        <f aca="false">IF($D1963="","",IFERROR(INDEX(合同单位,MATCH($D1963,合同键,0)),IFERROR(TRIM(LEFT($D1963,FIND("｜",$D1963)-1)),$D1963)))</f>
        <v/>
      </c>
      <c r="F1963" s="30" t="str">
        <f aca="false">IF($D1963="","",IFERROR(INDEX(合同项目,MATCH($D1963,合同键,0)),IFERROR(TRIM(MID($D1963,FIND("｜",$D1963)+1,99)),"")))</f>
        <v/>
      </c>
      <c r="G1963" s="39"/>
      <c r="H1963" s="25"/>
      <c r="I1963" s="35" t="str">
        <f aca="false">IF($H1963="","",IFERROR(INDEX(票据归类表,MATCH($H1963,票据类型表,0)),"现金无票"))</f>
        <v/>
      </c>
      <c r="J1963" s="25"/>
      <c r="K1963" s="25"/>
      <c r="L1963" s="31"/>
      <c r="M1963" s="29" t="str">
        <f aca="false">IF($C1963="","",YEAR($C1963))</f>
        <v/>
      </c>
      <c r="N1963" s="24"/>
      <c r="O1963" s="35" t="str">
        <f aca="false">IF($C1963="","",IF($D1963="","★没选客户项目",IF(COUNTIF(合同键,$D1963)=0,"★《维保合同》里没这个项目",IF(N($G1963)&lt;=0,"★收款金额要填",IF($H1963="","★票据类型要选",IF(AND($L1963&lt;&gt;"",COUNTIF(应收单号,$L1963)=0),"★关联的应收单号不存在",IF(AND($L1963&lt;&gt;"",IFERROR(INDEX(应收键,MATCH($L1963,应收单号,0)),"")&lt;&gt;$D1963),"★关联单号不是这个客户的",IF(AND($L1963&lt;&gt;"",ROUND(SUMIF(收款关联,$L1963,收款金额)-IFERROR(INDEX(应收金额,MATCH($L1963,应收单号,0)),0),2)&gt;0.001),"★指定冲销超过那张单的应收","OK"))))))))</f>
        <v/>
      </c>
    </row>
    <row r="1964" customFormat="false" ht="15" hidden="false" customHeight="false" outlineLevel="0" collapsed="false">
      <c r="A1964" s="29" t="str">
        <f aca="false">IF($C1964="","",ROW()-4)</f>
        <v/>
      </c>
      <c r="B1964" s="35" t="str">
        <f aca="false">IF($C1964="","","SK"&amp;TEXT($C1964,"yyyymm")&amp;"-"&amp;TEXT(ROW()-4,"0000"))</f>
        <v/>
      </c>
      <c r="C1964" s="33"/>
      <c r="D1964" s="24"/>
      <c r="E1964" s="30" t="str">
        <f aca="false">IF($D1964="","",IFERROR(INDEX(合同单位,MATCH($D1964,合同键,0)),IFERROR(TRIM(LEFT($D1964,FIND("｜",$D1964)-1)),$D1964)))</f>
        <v/>
      </c>
      <c r="F1964" s="30" t="str">
        <f aca="false">IF($D1964="","",IFERROR(INDEX(合同项目,MATCH($D1964,合同键,0)),IFERROR(TRIM(MID($D1964,FIND("｜",$D1964)+1,99)),"")))</f>
        <v/>
      </c>
      <c r="G1964" s="39"/>
      <c r="H1964" s="25"/>
      <c r="I1964" s="35" t="str">
        <f aca="false">IF($H1964="","",IFERROR(INDEX(票据归类表,MATCH($H1964,票据类型表,0)),"现金无票"))</f>
        <v/>
      </c>
      <c r="J1964" s="25"/>
      <c r="K1964" s="25"/>
      <c r="L1964" s="31"/>
      <c r="M1964" s="29" t="str">
        <f aca="false">IF($C1964="","",YEAR($C1964))</f>
        <v/>
      </c>
      <c r="N1964" s="24"/>
      <c r="O1964" s="35" t="str">
        <f aca="false">IF($C1964="","",IF($D1964="","★没选客户项目",IF(COUNTIF(合同键,$D1964)=0,"★《维保合同》里没这个项目",IF(N($G1964)&lt;=0,"★收款金额要填",IF($H1964="","★票据类型要选",IF(AND($L1964&lt;&gt;"",COUNTIF(应收单号,$L1964)=0),"★关联的应收单号不存在",IF(AND($L1964&lt;&gt;"",IFERROR(INDEX(应收键,MATCH($L1964,应收单号,0)),"")&lt;&gt;$D1964),"★关联单号不是这个客户的",IF(AND($L1964&lt;&gt;"",ROUND(SUMIF(收款关联,$L1964,收款金额)-IFERROR(INDEX(应收金额,MATCH($L1964,应收单号,0)),0),2)&gt;0.001),"★指定冲销超过那张单的应收","OK"))))))))</f>
        <v/>
      </c>
    </row>
    <row r="1965" customFormat="false" ht="15" hidden="false" customHeight="false" outlineLevel="0" collapsed="false">
      <c r="A1965" s="29" t="str">
        <f aca="false">IF($C1965="","",ROW()-4)</f>
        <v/>
      </c>
      <c r="B1965" s="35" t="str">
        <f aca="false">IF($C1965="","","SK"&amp;TEXT($C1965,"yyyymm")&amp;"-"&amp;TEXT(ROW()-4,"0000"))</f>
        <v/>
      </c>
      <c r="C1965" s="33"/>
      <c r="D1965" s="24"/>
      <c r="E1965" s="30" t="str">
        <f aca="false">IF($D1965="","",IFERROR(INDEX(合同单位,MATCH($D1965,合同键,0)),IFERROR(TRIM(LEFT($D1965,FIND("｜",$D1965)-1)),$D1965)))</f>
        <v/>
      </c>
      <c r="F1965" s="30" t="str">
        <f aca="false">IF($D1965="","",IFERROR(INDEX(合同项目,MATCH($D1965,合同键,0)),IFERROR(TRIM(MID($D1965,FIND("｜",$D1965)+1,99)),"")))</f>
        <v/>
      </c>
      <c r="G1965" s="39"/>
      <c r="H1965" s="25"/>
      <c r="I1965" s="35" t="str">
        <f aca="false">IF($H1965="","",IFERROR(INDEX(票据归类表,MATCH($H1965,票据类型表,0)),"现金无票"))</f>
        <v/>
      </c>
      <c r="J1965" s="25"/>
      <c r="K1965" s="25"/>
      <c r="L1965" s="31"/>
      <c r="M1965" s="29" t="str">
        <f aca="false">IF($C1965="","",YEAR($C1965))</f>
        <v/>
      </c>
      <c r="N1965" s="24"/>
      <c r="O1965" s="35" t="str">
        <f aca="false">IF($C1965="","",IF($D1965="","★没选客户项目",IF(COUNTIF(合同键,$D1965)=0,"★《维保合同》里没这个项目",IF(N($G1965)&lt;=0,"★收款金额要填",IF($H1965="","★票据类型要选",IF(AND($L1965&lt;&gt;"",COUNTIF(应收单号,$L1965)=0),"★关联的应收单号不存在",IF(AND($L1965&lt;&gt;"",IFERROR(INDEX(应收键,MATCH($L1965,应收单号,0)),"")&lt;&gt;$D1965),"★关联单号不是这个客户的",IF(AND($L1965&lt;&gt;"",ROUND(SUMIF(收款关联,$L1965,收款金额)-IFERROR(INDEX(应收金额,MATCH($L1965,应收单号,0)),0),2)&gt;0.001),"★指定冲销超过那张单的应收","OK"))))))))</f>
        <v/>
      </c>
    </row>
    <row r="1966" customFormat="false" ht="15" hidden="false" customHeight="false" outlineLevel="0" collapsed="false">
      <c r="A1966" s="29" t="str">
        <f aca="false">IF($C1966="","",ROW()-4)</f>
        <v/>
      </c>
      <c r="B1966" s="35" t="str">
        <f aca="false">IF($C1966="","","SK"&amp;TEXT($C1966,"yyyymm")&amp;"-"&amp;TEXT(ROW()-4,"0000"))</f>
        <v/>
      </c>
      <c r="C1966" s="33"/>
      <c r="D1966" s="24"/>
      <c r="E1966" s="30" t="str">
        <f aca="false">IF($D1966="","",IFERROR(INDEX(合同单位,MATCH($D1966,合同键,0)),IFERROR(TRIM(LEFT($D1966,FIND("｜",$D1966)-1)),$D1966)))</f>
        <v/>
      </c>
      <c r="F1966" s="30" t="str">
        <f aca="false">IF($D1966="","",IFERROR(INDEX(合同项目,MATCH($D1966,合同键,0)),IFERROR(TRIM(MID($D1966,FIND("｜",$D1966)+1,99)),"")))</f>
        <v/>
      </c>
      <c r="G1966" s="39"/>
      <c r="H1966" s="25"/>
      <c r="I1966" s="35" t="str">
        <f aca="false">IF($H1966="","",IFERROR(INDEX(票据归类表,MATCH($H1966,票据类型表,0)),"现金无票"))</f>
        <v/>
      </c>
      <c r="J1966" s="25"/>
      <c r="K1966" s="25"/>
      <c r="L1966" s="31"/>
      <c r="M1966" s="29" t="str">
        <f aca="false">IF($C1966="","",YEAR($C1966))</f>
        <v/>
      </c>
      <c r="N1966" s="24"/>
      <c r="O1966" s="35" t="str">
        <f aca="false">IF($C1966="","",IF($D1966="","★没选客户项目",IF(COUNTIF(合同键,$D1966)=0,"★《维保合同》里没这个项目",IF(N($G1966)&lt;=0,"★收款金额要填",IF($H1966="","★票据类型要选",IF(AND($L1966&lt;&gt;"",COUNTIF(应收单号,$L1966)=0),"★关联的应收单号不存在",IF(AND($L1966&lt;&gt;"",IFERROR(INDEX(应收键,MATCH($L1966,应收单号,0)),"")&lt;&gt;$D1966),"★关联单号不是这个客户的",IF(AND($L1966&lt;&gt;"",ROUND(SUMIF(收款关联,$L1966,收款金额)-IFERROR(INDEX(应收金额,MATCH($L1966,应收单号,0)),0),2)&gt;0.001),"★指定冲销超过那张单的应收","OK"))))))))</f>
        <v/>
      </c>
    </row>
    <row r="1967" customFormat="false" ht="15" hidden="false" customHeight="false" outlineLevel="0" collapsed="false">
      <c r="A1967" s="29" t="str">
        <f aca="false">IF($C1967="","",ROW()-4)</f>
        <v/>
      </c>
      <c r="B1967" s="35" t="str">
        <f aca="false">IF($C1967="","","SK"&amp;TEXT($C1967,"yyyymm")&amp;"-"&amp;TEXT(ROW()-4,"0000"))</f>
        <v/>
      </c>
      <c r="C1967" s="33"/>
      <c r="D1967" s="24"/>
      <c r="E1967" s="30" t="str">
        <f aca="false">IF($D1967="","",IFERROR(INDEX(合同单位,MATCH($D1967,合同键,0)),IFERROR(TRIM(LEFT($D1967,FIND("｜",$D1967)-1)),$D1967)))</f>
        <v/>
      </c>
      <c r="F1967" s="30" t="str">
        <f aca="false">IF($D1967="","",IFERROR(INDEX(合同项目,MATCH($D1967,合同键,0)),IFERROR(TRIM(MID($D1967,FIND("｜",$D1967)+1,99)),"")))</f>
        <v/>
      </c>
      <c r="G1967" s="39"/>
      <c r="H1967" s="25"/>
      <c r="I1967" s="35" t="str">
        <f aca="false">IF($H1967="","",IFERROR(INDEX(票据归类表,MATCH($H1967,票据类型表,0)),"现金无票"))</f>
        <v/>
      </c>
      <c r="J1967" s="25"/>
      <c r="K1967" s="25"/>
      <c r="L1967" s="31"/>
      <c r="M1967" s="29" t="str">
        <f aca="false">IF($C1967="","",YEAR($C1967))</f>
        <v/>
      </c>
      <c r="N1967" s="24"/>
      <c r="O1967" s="35" t="str">
        <f aca="false">IF($C1967="","",IF($D1967="","★没选客户项目",IF(COUNTIF(合同键,$D1967)=0,"★《维保合同》里没这个项目",IF(N($G1967)&lt;=0,"★收款金额要填",IF($H1967="","★票据类型要选",IF(AND($L1967&lt;&gt;"",COUNTIF(应收单号,$L1967)=0),"★关联的应收单号不存在",IF(AND($L1967&lt;&gt;"",IFERROR(INDEX(应收键,MATCH($L1967,应收单号,0)),"")&lt;&gt;$D1967),"★关联单号不是这个客户的",IF(AND($L1967&lt;&gt;"",ROUND(SUMIF(收款关联,$L1967,收款金额)-IFERROR(INDEX(应收金额,MATCH($L1967,应收单号,0)),0),2)&gt;0.001),"★指定冲销超过那张单的应收","OK"))))))))</f>
        <v/>
      </c>
    </row>
    <row r="1968" customFormat="false" ht="15" hidden="false" customHeight="false" outlineLevel="0" collapsed="false">
      <c r="A1968" s="29" t="str">
        <f aca="false">IF($C1968="","",ROW()-4)</f>
        <v/>
      </c>
      <c r="B1968" s="35" t="str">
        <f aca="false">IF($C1968="","","SK"&amp;TEXT($C1968,"yyyymm")&amp;"-"&amp;TEXT(ROW()-4,"0000"))</f>
        <v/>
      </c>
      <c r="C1968" s="33"/>
      <c r="D1968" s="24"/>
      <c r="E1968" s="30" t="str">
        <f aca="false">IF($D1968="","",IFERROR(INDEX(合同单位,MATCH($D1968,合同键,0)),IFERROR(TRIM(LEFT($D1968,FIND("｜",$D1968)-1)),$D1968)))</f>
        <v/>
      </c>
      <c r="F1968" s="30" t="str">
        <f aca="false">IF($D1968="","",IFERROR(INDEX(合同项目,MATCH($D1968,合同键,0)),IFERROR(TRIM(MID($D1968,FIND("｜",$D1968)+1,99)),"")))</f>
        <v/>
      </c>
      <c r="G1968" s="39"/>
      <c r="H1968" s="25"/>
      <c r="I1968" s="35" t="str">
        <f aca="false">IF($H1968="","",IFERROR(INDEX(票据归类表,MATCH($H1968,票据类型表,0)),"现金无票"))</f>
        <v/>
      </c>
      <c r="J1968" s="25"/>
      <c r="K1968" s="25"/>
      <c r="L1968" s="31"/>
      <c r="M1968" s="29" t="str">
        <f aca="false">IF($C1968="","",YEAR($C1968))</f>
        <v/>
      </c>
      <c r="N1968" s="24"/>
      <c r="O1968" s="35" t="str">
        <f aca="false">IF($C1968="","",IF($D1968="","★没选客户项目",IF(COUNTIF(合同键,$D1968)=0,"★《维保合同》里没这个项目",IF(N($G1968)&lt;=0,"★收款金额要填",IF($H1968="","★票据类型要选",IF(AND($L1968&lt;&gt;"",COUNTIF(应收单号,$L1968)=0),"★关联的应收单号不存在",IF(AND($L1968&lt;&gt;"",IFERROR(INDEX(应收键,MATCH($L1968,应收单号,0)),"")&lt;&gt;$D1968),"★关联单号不是这个客户的",IF(AND($L1968&lt;&gt;"",ROUND(SUMIF(收款关联,$L1968,收款金额)-IFERROR(INDEX(应收金额,MATCH($L1968,应收单号,0)),0),2)&gt;0.001),"★指定冲销超过那张单的应收","OK"))))))))</f>
        <v/>
      </c>
    </row>
    <row r="1969" customFormat="false" ht="15" hidden="false" customHeight="false" outlineLevel="0" collapsed="false">
      <c r="A1969" s="29" t="str">
        <f aca="false">IF($C1969="","",ROW()-4)</f>
        <v/>
      </c>
      <c r="B1969" s="35" t="str">
        <f aca="false">IF($C1969="","","SK"&amp;TEXT($C1969,"yyyymm")&amp;"-"&amp;TEXT(ROW()-4,"0000"))</f>
        <v/>
      </c>
      <c r="C1969" s="33"/>
      <c r="D1969" s="24"/>
      <c r="E1969" s="30" t="str">
        <f aca="false">IF($D1969="","",IFERROR(INDEX(合同单位,MATCH($D1969,合同键,0)),IFERROR(TRIM(LEFT($D1969,FIND("｜",$D1969)-1)),$D1969)))</f>
        <v/>
      </c>
      <c r="F1969" s="30" t="str">
        <f aca="false">IF($D1969="","",IFERROR(INDEX(合同项目,MATCH($D1969,合同键,0)),IFERROR(TRIM(MID($D1969,FIND("｜",$D1969)+1,99)),"")))</f>
        <v/>
      </c>
      <c r="G1969" s="39"/>
      <c r="H1969" s="25"/>
      <c r="I1969" s="35" t="str">
        <f aca="false">IF($H1969="","",IFERROR(INDEX(票据归类表,MATCH($H1969,票据类型表,0)),"现金无票"))</f>
        <v/>
      </c>
      <c r="J1969" s="25"/>
      <c r="K1969" s="25"/>
      <c r="L1969" s="31"/>
      <c r="M1969" s="29" t="str">
        <f aca="false">IF($C1969="","",YEAR($C1969))</f>
        <v/>
      </c>
      <c r="N1969" s="24"/>
      <c r="O1969" s="35" t="str">
        <f aca="false">IF($C1969="","",IF($D1969="","★没选客户项目",IF(COUNTIF(合同键,$D1969)=0,"★《维保合同》里没这个项目",IF(N($G1969)&lt;=0,"★收款金额要填",IF($H1969="","★票据类型要选",IF(AND($L1969&lt;&gt;"",COUNTIF(应收单号,$L1969)=0),"★关联的应收单号不存在",IF(AND($L1969&lt;&gt;"",IFERROR(INDEX(应收键,MATCH($L1969,应收单号,0)),"")&lt;&gt;$D1969),"★关联单号不是这个客户的",IF(AND($L1969&lt;&gt;"",ROUND(SUMIF(收款关联,$L1969,收款金额)-IFERROR(INDEX(应收金额,MATCH($L1969,应收单号,0)),0),2)&gt;0.001),"★指定冲销超过那张单的应收","OK"))))))))</f>
        <v/>
      </c>
    </row>
    <row r="1970" customFormat="false" ht="15" hidden="false" customHeight="false" outlineLevel="0" collapsed="false">
      <c r="A1970" s="29" t="str">
        <f aca="false">IF($C1970="","",ROW()-4)</f>
        <v/>
      </c>
      <c r="B1970" s="35" t="str">
        <f aca="false">IF($C1970="","","SK"&amp;TEXT($C1970,"yyyymm")&amp;"-"&amp;TEXT(ROW()-4,"0000"))</f>
        <v/>
      </c>
      <c r="C1970" s="33"/>
      <c r="D1970" s="24"/>
      <c r="E1970" s="30" t="str">
        <f aca="false">IF($D1970="","",IFERROR(INDEX(合同单位,MATCH($D1970,合同键,0)),IFERROR(TRIM(LEFT($D1970,FIND("｜",$D1970)-1)),$D1970)))</f>
        <v/>
      </c>
      <c r="F1970" s="30" t="str">
        <f aca="false">IF($D1970="","",IFERROR(INDEX(合同项目,MATCH($D1970,合同键,0)),IFERROR(TRIM(MID($D1970,FIND("｜",$D1970)+1,99)),"")))</f>
        <v/>
      </c>
      <c r="G1970" s="39"/>
      <c r="H1970" s="25"/>
      <c r="I1970" s="35" t="str">
        <f aca="false">IF($H1970="","",IFERROR(INDEX(票据归类表,MATCH($H1970,票据类型表,0)),"现金无票"))</f>
        <v/>
      </c>
      <c r="J1970" s="25"/>
      <c r="K1970" s="25"/>
      <c r="L1970" s="31"/>
      <c r="M1970" s="29" t="str">
        <f aca="false">IF($C1970="","",YEAR($C1970))</f>
        <v/>
      </c>
      <c r="N1970" s="24"/>
      <c r="O1970" s="35" t="str">
        <f aca="false">IF($C1970="","",IF($D1970="","★没选客户项目",IF(COUNTIF(合同键,$D1970)=0,"★《维保合同》里没这个项目",IF(N($G1970)&lt;=0,"★收款金额要填",IF($H1970="","★票据类型要选",IF(AND($L1970&lt;&gt;"",COUNTIF(应收单号,$L1970)=0),"★关联的应收单号不存在",IF(AND($L1970&lt;&gt;"",IFERROR(INDEX(应收键,MATCH($L1970,应收单号,0)),"")&lt;&gt;$D1970),"★关联单号不是这个客户的",IF(AND($L1970&lt;&gt;"",ROUND(SUMIF(收款关联,$L1970,收款金额)-IFERROR(INDEX(应收金额,MATCH($L1970,应收单号,0)),0),2)&gt;0.001),"★指定冲销超过那张单的应收","OK"))))))))</f>
        <v/>
      </c>
    </row>
    <row r="1971" customFormat="false" ht="15" hidden="false" customHeight="false" outlineLevel="0" collapsed="false">
      <c r="A1971" s="29" t="str">
        <f aca="false">IF($C1971="","",ROW()-4)</f>
        <v/>
      </c>
      <c r="B1971" s="35" t="str">
        <f aca="false">IF($C1971="","","SK"&amp;TEXT($C1971,"yyyymm")&amp;"-"&amp;TEXT(ROW()-4,"0000"))</f>
        <v/>
      </c>
      <c r="C1971" s="33"/>
      <c r="D1971" s="24"/>
      <c r="E1971" s="30" t="str">
        <f aca="false">IF($D1971="","",IFERROR(INDEX(合同单位,MATCH($D1971,合同键,0)),IFERROR(TRIM(LEFT($D1971,FIND("｜",$D1971)-1)),$D1971)))</f>
        <v/>
      </c>
      <c r="F1971" s="30" t="str">
        <f aca="false">IF($D1971="","",IFERROR(INDEX(合同项目,MATCH($D1971,合同键,0)),IFERROR(TRIM(MID($D1971,FIND("｜",$D1971)+1,99)),"")))</f>
        <v/>
      </c>
      <c r="G1971" s="39"/>
      <c r="H1971" s="25"/>
      <c r="I1971" s="35" t="str">
        <f aca="false">IF($H1971="","",IFERROR(INDEX(票据归类表,MATCH($H1971,票据类型表,0)),"现金无票"))</f>
        <v/>
      </c>
      <c r="J1971" s="25"/>
      <c r="K1971" s="25"/>
      <c r="L1971" s="31"/>
      <c r="M1971" s="29" t="str">
        <f aca="false">IF($C1971="","",YEAR($C1971))</f>
        <v/>
      </c>
      <c r="N1971" s="24"/>
      <c r="O1971" s="35" t="str">
        <f aca="false">IF($C1971="","",IF($D1971="","★没选客户项目",IF(COUNTIF(合同键,$D1971)=0,"★《维保合同》里没这个项目",IF(N($G1971)&lt;=0,"★收款金额要填",IF($H1971="","★票据类型要选",IF(AND($L1971&lt;&gt;"",COUNTIF(应收单号,$L1971)=0),"★关联的应收单号不存在",IF(AND($L1971&lt;&gt;"",IFERROR(INDEX(应收键,MATCH($L1971,应收单号,0)),"")&lt;&gt;$D1971),"★关联单号不是这个客户的",IF(AND($L1971&lt;&gt;"",ROUND(SUMIF(收款关联,$L1971,收款金额)-IFERROR(INDEX(应收金额,MATCH($L1971,应收单号,0)),0),2)&gt;0.001),"★指定冲销超过那张单的应收","OK"))))))))</f>
        <v/>
      </c>
    </row>
    <row r="1972" customFormat="false" ht="15" hidden="false" customHeight="false" outlineLevel="0" collapsed="false">
      <c r="A1972" s="29" t="str">
        <f aca="false">IF($C1972="","",ROW()-4)</f>
        <v/>
      </c>
      <c r="B1972" s="35" t="str">
        <f aca="false">IF($C1972="","","SK"&amp;TEXT($C1972,"yyyymm")&amp;"-"&amp;TEXT(ROW()-4,"0000"))</f>
        <v/>
      </c>
      <c r="C1972" s="33"/>
      <c r="D1972" s="24"/>
      <c r="E1972" s="30" t="str">
        <f aca="false">IF($D1972="","",IFERROR(INDEX(合同单位,MATCH($D1972,合同键,0)),IFERROR(TRIM(LEFT($D1972,FIND("｜",$D1972)-1)),$D1972)))</f>
        <v/>
      </c>
      <c r="F1972" s="30" t="str">
        <f aca="false">IF($D1972="","",IFERROR(INDEX(合同项目,MATCH($D1972,合同键,0)),IFERROR(TRIM(MID($D1972,FIND("｜",$D1972)+1,99)),"")))</f>
        <v/>
      </c>
      <c r="G1972" s="39"/>
      <c r="H1972" s="25"/>
      <c r="I1972" s="35" t="str">
        <f aca="false">IF($H1972="","",IFERROR(INDEX(票据归类表,MATCH($H1972,票据类型表,0)),"现金无票"))</f>
        <v/>
      </c>
      <c r="J1972" s="25"/>
      <c r="K1972" s="25"/>
      <c r="L1972" s="31"/>
      <c r="M1972" s="29" t="str">
        <f aca="false">IF($C1972="","",YEAR($C1972))</f>
        <v/>
      </c>
      <c r="N1972" s="24"/>
      <c r="O1972" s="35" t="str">
        <f aca="false">IF($C1972="","",IF($D1972="","★没选客户项目",IF(COUNTIF(合同键,$D1972)=0,"★《维保合同》里没这个项目",IF(N($G1972)&lt;=0,"★收款金额要填",IF($H1972="","★票据类型要选",IF(AND($L1972&lt;&gt;"",COUNTIF(应收单号,$L1972)=0),"★关联的应收单号不存在",IF(AND($L1972&lt;&gt;"",IFERROR(INDEX(应收键,MATCH($L1972,应收单号,0)),"")&lt;&gt;$D1972),"★关联单号不是这个客户的",IF(AND($L1972&lt;&gt;"",ROUND(SUMIF(收款关联,$L1972,收款金额)-IFERROR(INDEX(应收金额,MATCH($L1972,应收单号,0)),0),2)&gt;0.001),"★指定冲销超过那张单的应收","OK"))))))))</f>
        <v/>
      </c>
    </row>
    <row r="1973" customFormat="false" ht="15" hidden="false" customHeight="false" outlineLevel="0" collapsed="false">
      <c r="A1973" s="29" t="str">
        <f aca="false">IF($C1973="","",ROW()-4)</f>
        <v/>
      </c>
      <c r="B1973" s="35" t="str">
        <f aca="false">IF($C1973="","","SK"&amp;TEXT($C1973,"yyyymm")&amp;"-"&amp;TEXT(ROW()-4,"0000"))</f>
        <v/>
      </c>
      <c r="C1973" s="33"/>
      <c r="D1973" s="24"/>
      <c r="E1973" s="30" t="str">
        <f aca="false">IF($D1973="","",IFERROR(INDEX(合同单位,MATCH($D1973,合同键,0)),IFERROR(TRIM(LEFT($D1973,FIND("｜",$D1973)-1)),$D1973)))</f>
        <v/>
      </c>
      <c r="F1973" s="30" t="str">
        <f aca="false">IF($D1973="","",IFERROR(INDEX(合同项目,MATCH($D1973,合同键,0)),IFERROR(TRIM(MID($D1973,FIND("｜",$D1973)+1,99)),"")))</f>
        <v/>
      </c>
      <c r="G1973" s="39"/>
      <c r="H1973" s="25"/>
      <c r="I1973" s="35" t="str">
        <f aca="false">IF($H1973="","",IFERROR(INDEX(票据归类表,MATCH($H1973,票据类型表,0)),"现金无票"))</f>
        <v/>
      </c>
      <c r="J1973" s="25"/>
      <c r="K1973" s="25"/>
      <c r="L1973" s="31"/>
      <c r="M1973" s="29" t="str">
        <f aca="false">IF($C1973="","",YEAR($C1973))</f>
        <v/>
      </c>
      <c r="N1973" s="24"/>
      <c r="O1973" s="35" t="str">
        <f aca="false">IF($C1973="","",IF($D1973="","★没选客户项目",IF(COUNTIF(合同键,$D1973)=0,"★《维保合同》里没这个项目",IF(N($G1973)&lt;=0,"★收款金额要填",IF($H1973="","★票据类型要选",IF(AND($L1973&lt;&gt;"",COUNTIF(应收单号,$L1973)=0),"★关联的应收单号不存在",IF(AND($L1973&lt;&gt;"",IFERROR(INDEX(应收键,MATCH($L1973,应收单号,0)),"")&lt;&gt;$D1973),"★关联单号不是这个客户的",IF(AND($L1973&lt;&gt;"",ROUND(SUMIF(收款关联,$L1973,收款金额)-IFERROR(INDEX(应收金额,MATCH($L1973,应收单号,0)),0),2)&gt;0.001),"★指定冲销超过那张单的应收","OK"))))))))</f>
        <v/>
      </c>
    </row>
    <row r="1974" customFormat="false" ht="15" hidden="false" customHeight="false" outlineLevel="0" collapsed="false">
      <c r="A1974" s="29" t="str">
        <f aca="false">IF($C1974="","",ROW()-4)</f>
        <v/>
      </c>
      <c r="B1974" s="35" t="str">
        <f aca="false">IF($C1974="","","SK"&amp;TEXT($C1974,"yyyymm")&amp;"-"&amp;TEXT(ROW()-4,"0000"))</f>
        <v/>
      </c>
      <c r="C1974" s="33"/>
      <c r="D1974" s="24"/>
      <c r="E1974" s="30" t="str">
        <f aca="false">IF($D1974="","",IFERROR(INDEX(合同单位,MATCH($D1974,合同键,0)),IFERROR(TRIM(LEFT($D1974,FIND("｜",$D1974)-1)),$D1974)))</f>
        <v/>
      </c>
      <c r="F1974" s="30" t="str">
        <f aca="false">IF($D1974="","",IFERROR(INDEX(合同项目,MATCH($D1974,合同键,0)),IFERROR(TRIM(MID($D1974,FIND("｜",$D1974)+1,99)),"")))</f>
        <v/>
      </c>
      <c r="G1974" s="39"/>
      <c r="H1974" s="25"/>
      <c r="I1974" s="35" t="str">
        <f aca="false">IF($H1974="","",IFERROR(INDEX(票据归类表,MATCH($H1974,票据类型表,0)),"现金无票"))</f>
        <v/>
      </c>
      <c r="J1974" s="25"/>
      <c r="K1974" s="25"/>
      <c r="L1974" s="31"/>
      <c r="M1974" s="29" t="str">
        <f aca="false">IF($C1974="","",YEAR($C1974))</f>
        <v/>
      </c>
      <c r="N1974" s="24"/>
      <c r="O1974" s="35" t="str">
        <f aca="false">IF($C1974="","",IF($D1974="","★没选客户项目",IF(COUNTIF(合同键,$D1974)=0,"★《维保合同》里没这个项目",IF(N($G1974)&lt;=0,"★收款金额要填",IF($H1974="","★票据类型要选",IF(AND($L1974&lt;&gt;"",COUNTIF(应收单号,$L1974)=0),"★关联的应收单号不存在",IF(AND($L1974&lt;&gt;"",IFERROR(INDEX(应收键,MATCH($L1974,应收单号,0)),"")&lt;&gt;$D1974),"★关联单号不是这个客户的",IF(AND($L1974&lt;&gt;"",ROUND(SUMIF(收款关联,$L1974,收款金额)-IFERROR(INDEX(应收金额,MATCH($L1974,应收单号,0)),0),2)&gt;0.001),"★指定冲销超过那张单的应收","OK"))))))))</f>
        <v/>
      </c>
    </row>
    <row r="1975" customFormat="false" ht="15" hidden="false" customHeight="false" outlineLevel="0" collapsed="false">
      <c r="A1975" s="29" t="str">
        <f aca="false">IF($C1975="","",ROW()-4)</f>
        <v/>
      </c>
      <c r="B1975" s="35" t="str">
        <f aca="false">IF($C1975="","","SK"&amp;TEXT($C1975,"yyyymm")&amp;"-"&amp;TEXT(ROW()-4,"0000"))</f>
        <v/>
      </c>
      <c r="C1975" s="33"/>
      <c r="D1975" s="24"/>
      <c r="E1975" s="30" t="str">
        <f aca="false">IF($D1975="","",IFERROR(INDEX(合同单位,MATCH($D1975,合同键,0)),IFERROR(TRIM(LEFT($D1975,FIND("｜",$D1975)-1)),$D1975)))</f>
        <v/>
      </c>
      <c r="F1975" s="30" t="str">
        <f aca="false">IF($D1975="","",IFERROR(INDEX(合同项目,MATCH($D1975,合同键,0)),IFERROR(TRIM(MID($D1975,FIND("｜",$D1975)+1,99)),"")))</f>
        <v/>
      </c>
      <c r="G1975" s="39"/>
      <c r="H1975" s="25"/>
      <c r="I1975" s="35" t="str">
        <f aca="false">IF($H1975="","",IFERROR(INDEX(票据归类表,MATCH($H1975,票据类型表,0)),"现金无票"))</f>
        <v/>
      </c>
      <c r="J1975" s="25"/>
      <c r="K1975" s="25"/>
      <c r="L1975" s="31"/>
      <c r="M1975" s="29" t="str">
        <f aca="false">IF($C1975="","",YEAR($C1975))</f>
        <v/>
      </c>
      <c r="N1975" s="24"/>
      <c r="O1975" s="35" t="str">
        <f aca="false">IF($C1975="","",IF($D1975="","★没选客户项目",IF(COUNTIF(合同键,$D1975)=0,"★《维保合同》里没这个项目",IF(N($G1975)&lt;=0,"★收款金额要填",IF($H1975="","★票据类型要选",IF(AND($L1975&lt;&gt;"",COUNTIF(应收单号,$L1975)=0),"★关联的应收单号不存在",IF(AND($L1975&lt;&gt;"",IFERROR(INDEX(应收键,MATCH($L1975,应收单号,0)),"")&lt;&gt;$D1975),"★关联单号不是这个客户的",IF(AND($L1975&lt;&gt;"",ROUND(SUMIF(收款关联,$L1975,收款金额)-IFERROR(INDEX(应收金额,MATCH($L1975,应收单号,0)),0),2)&gt;0.001),"★指定冲销超过那张单的应收","OK"))))))))</f>
        <v/>
      </c>
    </row>
    <row r="1976" customFormat="false" ht="15" hidden="false" customHeight="false" outlineLevel="0" collapsed="false">
      <c r="A1976" s="29" t="str">
        <f aca="false">IF($C1976="","",ROW()-4)</f>
        <v/>
      </c>
      <c r="B1976" s="35" t="str">
        <f aca="false">IF($C1976="","","SK"&amp;TEXT($C1976,"yyyymm")&amp;"-"&amp;TEXT(ROW()-4,"0000"))</f>
        <v/>
      </c>
      <c r="C1976" s="33"/>
      <c r="D1976" s="24"/>
      <c r="E1976" s="30" t="str">
        <f aca="false">IF($D1976="","",IFERROR(INDEX(合同单位,MATCH($D1976,合同键,0)),IFERROR(TRIM(LEFT($D1976,FIND("｜",$D1976)-1)),$D1976)))</f>
        <v/>
      </c>
      <c r="F1976" s="30" t="str">
        <f aca="false">IF($D1976="","",IFERROR(INDEX(合同项目,MATCH($D1976,合同键,0)),IFERROR(TRIM(MID($D1976,FIND("｜",$D1976)+1,99)),"")))</f>
        <v/>
      </c>
      <c r="G1976" s="39"/>
      <c r="H1976" s="25"/>
      <c r="I1976" s="35" t="str">
        <f aca="false">IF($H1976="","",IFERROR(INDEX(票据归类表,MATCH($H1976,票据类型表,0)),"现金无票"))</f>
        <v/>
      </c>
      <c r="J1976" s="25"/>
      <c r="K1976" s="25"/>
      <c r="L1976" s="31"/>
      <c r="M1976" s="29" t="str">
        <f aca="false">IF($C1976="","",YEAR($C1976))</f>
        <v/>
      </c>
      <c r="N1976" s="24"/>
      <c r="O1976" s="35" t="str">
        <f aca="false">IF($C1976="","",IF($D1976="","★没选客户项目",IF(COUNTIF(合同键,$D1976)=0,"★《维保合同》里没这个项目",IF(N($G1976)&lt;=0,"★收款金额要填",IF($H1976="","★票据类型要选",IF(AND($L1976&lt;&gt;"",COUNTIF(应收单号,$L1976)=0),"★关联的应收单号不存在",IF(AND($L1976&lt;&gt;"",IFERROR(INDEX(应收键,MATCH($L1976,应收单号,0)),"")&lt;&gt;$D1976),"★关联单号不是这个客户的",IF(AND($L1976&lt;&gt;"",ROUND(SUMIF(收款关联,$L1976,收款金额)-IFERROR(INDEX(应收金额,MATCH($L1976,应收单号,0)),0),2)&gt;0.001),"★指定冲销超过那张单的应收","OK"))))))))</f>
        <v/>
      </c>
    </row>
    <row r="1977" customFormat="false" ht="15" hidden="false" customHeight="false" outlineLevel="0" collapsed="false">
      <c r="A1977" s="29" t="str">
        <f aca="false">IF($C1977="","",ROW()-4)</f>
        <v/>
      </c>
      <c r="B1977" s="35" t="str">
        <f aca="false">IF($C1977="","","SK"&amp;TEXT($C1977,"yyyymm")&amp;"-"&amp;TEXT(ROW()-4,"0000"))</f>
        <v/>
      </c>
      <c r="C1977" s="33"/>
      <c r="D1977" s="24"/>
      <c r="E1977" s="30" t="str">
        <f aca="false">IF($D1977="","",IFERROR(INDEX(合同单位,MATCH($D1977,合同键,0)),IFERROR(TRIM(LEFT($D1977,FIND("｜",$D1977)-1)),$D1977)))</f>
        <v/>
      </c>
      <c r="F1977" s="30" t="str">
        <f aca="false">IF($D1977="","",IFERROR(INDEX(合同项目,MATCH($D1977,合同键,0)),IFERROR(TRIM(MID($D1977,FIND("｜",$D1977)+1,99)),"")))</f>
        <v/>
      </c>
      <c r="G1977" s="39"/>
      <c r="H1977" s="25"/>
      <c r="I1977" s="35" t="str">
        <f aca="false">IF($H1977="","",IFERROR(INDEX(票据归类表,MATCH($H1977,票据类型表,0)),"现金无票"))</f>
        <v/>
      </c>
      <c r="J1977" s="25"/>
      <c r="K1977" s="25"/>
      <c r="L1977" s="31"/>
      <c r="M1977" s="29" t="str">
        <f aca="false">IF($C1977="","",YEAR($C1977))</f>
        <v/>
      </c>
      <c r="N1977" s="24"/>
      <c r="O1977" s="35" t="str">
        <f aca="false">IF($C1977="","",IF($D1977="","★没选客户项目",IF(COUNTIF(合同键,$D1977)=0,"★《维保合同》里没这个项目",IF(N($G1977)&lt;=0,"★收款金额要填",IF($H1977="","★票据类型要选",IF(AND($L1977&lt;&gt;"",COUNTIF(应收单号,$L1977)=0),"★关联的应收单号不存在",IF(AND($L1977&lt;&gt;"",IFERROR(INDEX(应收键,MATCH($L1977,应收单号,0)),"")&lt;&gt;$D1977),"★关联单号不是这个客户的",IF(AND($L1977&lt;&gt;"",ROUND(SUMIF(收款关联,$L1977,收款金额)-IFERROR(INDEX(应收金额,MATCH($L1977,应收单号,0)),0),2)&gt;0.001),"★指定冲销超过那张单的应收","OK"))))))))</f>
        <v/>
      </c>
    </row>
    <row r="1978" customFormat="false" ht="15" hidden="false" customHeight="false" outlineLevel="0" collapsed="false">
      <c r="A1978" s="29" t="str">
        <f aca="false">IF($C1978="","",ROW()-4)</f>
        <v/>
      </c>
      <c r="B1978" s="35" t="str">
        <f aca="false">IF($C1978="","","SK"&amp;TEXT($C1978,"yyyymm")&amp;"-"&amp;TEXT(ROW()-4,"0000"))</f>
        <v/>
      </c>
      <c r="C1978" s="33"/>
      <c r="D1978" s="24"/>
      <c r="E1978" s="30" t="str">
        <f aca="false">IF($D1978="","",IFERROR(INDEX(合同单位,MATCH($D1978,合同键,0)),IFERROR(TRIM(LEFT($D1978,FIND("｜",$D1978)-1)),$D1978)))</f>
        <v/>
      </c>
      <c r="F1978" s="30" t="str">
        <f aca="false">IF($D1978="","",IFERROR(INDEX(合同项目,MATCH($D1978,合同键,0)),IFERROR(TRIM(MID($D1978,FIND("｜",$D1978)+1,99)),"")))</f>
        <v/>
      </c>
      <c r="G1978" s="39"/>
      <c r="H1978" s="25"/>
      <c r="I1978" s="35" t="str">
        <f aca="false">IF($H1978="","",IFERROR(INDEX(票据归类表,MATCH($H1978,票据类型表,0)),"现金无票"))</f>
        <v/>
      </c>
      <c r="J1978" s="25"/>
      <c r="K1978" s="25"/>
      <c r="L1978" s="31"/>
      <c r="M1978" s="29" t="str">
        <f aca="false">IF($C1978="","",YEAR($C1978))</f>
        <v/>
      </c>
      <c r="N1978" s="24"/>
      <c r="O1978" s="35" t="str">
        <f aca="false">IF($C1978="","",IF($D1978="","★没选客户项目",IF(COUNTIF(合同键,$D1978)=0,"★《维保合同》里没这个项目",IF(N($G1978)&lt;=0,"★收款金额要填",IF($H1978="","★票据类型要选",IF(AND($L1978&lt;&gt;"",COUNTIF(应收单号,$L1978)=0),"★关联的应收单号不存在",IF(AND($L1978&lt;&gt;"",IFERROR(INDEX(应收键,MATCH($L1978,应收单号,0)),"")&lt;&gt;$D1978),"★关联单号不是这个客户的",IF(AND($L1978&lt;&gt;"",ROUND(SUMIF(收款关联,$L1978,收款金额)-IFERROR(INDEX(应收金额,MATCH($L1978,应收单号,0)),0),2)&gt;0.001),"★指定冲销超过那张单的应收","OK"))))))))</f>
        <v/>
      </c>
    </row>
    <row r="1979" customFormat="false" ht="15" hidden="false" customHeight="false" outlineLevel="0" collapsed="false">
      <c r="A1979" s="29" t="str">
        <f aca="false">IF($C1979="","",ROW()-4)</f>
        <v/>
      </c>
      <c r="B1979" s="35" t="str">
        <f aca="false">IF($C1979="","","SK"&amp;TEXT($C1979,"yyyymm")&amp;"-"&amp;TEXT(ROW()-4,"0000"))</f>
        <v/>
      </c>
      <c r="C1979" s="33"/>
      <c r="D1979" s="24"/>
      <c r="E1979" s="30" t="str">
        <f aca="false">IF($D1979="","",IFERROR(INDEX(合同单位,MATCH($D1979,合同键,0)),IFERROR(TRIM(LEFT($D1979,FIND("｜",$D1979)-1)),$D1979)))</f>
        <v/>
      </c>
      <c r="F1979" s="30" t="str">
        <f aca="false">IF($D1979="","",IFERROR(INDEX(合同项目,MATCH($D1979,合同键,0)),IFERROR(TRIM(MID($D1979,FIND("｜",$D1979)+1,99)),"")))</f>
        <v/>
      </c>
      <c r="G1979" s="39"/>
      <c r="H1979" s="25"/>
      <c r="I1979" s="35" t="str">
        <f aca="false">IF($H1979="","",IFERROR(INDEX(票据归类表,MATCH($H1979,票据类型表,0)),"现金无票"))</f>
        <v/>
      </c>
      <c r="J1979" s="25"/>
      <c r="K1979" s="25"/>
      <c r="L1979" s="31"/>
      <c r="M1979" s="29" t="str">
        <f aca="false">IF($C1979="","",YEAR($C1979))</f>
        <v/>
      </c>
      <c r="N1979" s="24"/>
      <c r="O1979" s="35" t="str">
        <f aca="false">IF($C1979="","",IF($D1979="","★没选客户项目",IF(COUNTIF(合同键,$D1979)=0,"★《维保合同》里没这个项目",IF(N($G1979)&lt;=0,"★收款金额要填",IF($H1979="","★票据类型要选",IF(AND($L1979&lt;&gt;"",COUNTIF(应收单号,$L1979)=0),"★关联的应收单号不存在",IF(AND($L1979&lt;&gt;"",IFERROR(INDEX(应收键,MATCH($L1979,应收单号,0)),"")&lt;&gt;$D1979),"★关联单号不是这个客户的",IF(AND($L1979&lt;&gt;"",ROUND(SUMIF(收款关联,$L1979,收款金额)-IFERROR(INDEX(应收金额,MATCH($L1979,应收单号,0)),0),2)&gt;0.001),"★指定冲销超过那张单的应收","OK"))))))))</f>
        <v/>
      </c>
    </row>
    <row r="1980" customFormat="false" ht="15" hidden="false" customHeight="false" outlineLevel="0" collapsed="false">
      <c r="A1980" s="29" t="str">
        <f aca="false">IF($C1980="","",ROW()-4)</f>
        <v/>
      </c>
      <c r="B1980" s="35" t="str">
        <f aca="false">IF($C1980="","","SK"&amp;TEXT($C1980,"yyyymm")&amp;"-"&amp;TEXT(ROW()-4,"0000"))</f>
        <v/>
      </c>
      <c r="C1980" s="33"/>
      <c r="D1980" s="24"/>
      <c r="E1980" s="30" t="str">
        <f aca="false">IF($D1980="","",IFERROR(INDEX(合同单位,MATCH($D1980,合同键,0)),IFERROR(TRIM(LEFT($D1980,FIND("｜",$D1980)-1)),$D1980)))</f>
        <v/>
      </c>
      <c r="F1980" s="30" t="str">
        <f aca="false">IF($D1980="","",IFERROR(INDEX(合同项目,MATCH($D1980,合同键,0)),IFERROR(TRIM(MID($D1980,FIND("｜",$D1980)+1,99)),"")))</f>
        <v/>
      </c>
      <c r="G1980" s="39"/>
      <c r="H1980" s="25"/>
      <c r="I1980" s="35" t="str">
        <f aca="false">IF($H1980="","",IFERROR(INDEX(票据归类表,MATCH($H1980,票据类型表,0)),"现金无票"))</f>
        <v/>
      </c>
      <c r="J1980" s="25"/>
      <c r="K1980" s="25"/>
      <c r="L1980" s="31"/>
      <c r="M1980" s="29" t="str">
        <f aca="false">IF($C1980="","",YEAR($C1980))</f>
        <v/>
      </c>
      <c r="N1980" s="24"/>
      <c r="O1980" s="35" t="str">
        <f aca="false">IF($C1980="","",IF($D1980="","★没选客户项目",IF(COUNTIF(合同键,$D1980)=0,"★《维保合同》里没这个项目",IF(N($G1980)&lt;=0,"★收款金额要填",IF($H1980="","★票据类型要选",IF(AND($L1980&lt;&gt;"",COUNTIF(应收单号,$L1980)=0),"★关联的应收单号不存在",IF(AND($L1980&lt;&gt;"",IFERROR(INDEX(应收键,MATCH($L1980,应收单号,0)),"")&lt;&gt;$D1980),"★关联单号不是这个客户的",IF(AND($L1980&lt;&gt;"",ROUND(SUMIF(收款关联,$L1980,收款金额)-IFERROR(INDEX(应收金额,MATCH($L1980,应收单号,0)),0),2)&gt;0.001),"★指定冲销超过那张单的应收","OK"))))))))</f>
        <v/>
      </c>
    </row>
    <row r="1981" customFormat="false" ht="15" hidden="false" customHeight="false" outlineLevel="0" collapsed="false">
      <c r="A1981" s="29" t="str">
        <f aca="false">IF($C1981="","",ROW()-4)</f>
        <v/>
      </c>
      <c r="B1981" s="35" t="str">
        <f aca="false">IF($C1981="","","SK"&amp;TEXT($C1981,"yyyymm")&amp;"-"&amp;TEXT(ROW()-4,"0000"))</f>
        <v/>
      </c>
      <c r="C1981" s="33"/>
      <c r="D1981" s="24"/>
      <c r="E1981" s="30" t="str">
        <f aca="false">IF($D1981="","",IFERROR(INDEX(合同单位,MATCH($D1981,合同键,0)),IFERROR(TRIM(LEFT($D1981,FIND("｜",$D1981)-1)),$D1981)))</f>
        <v/>
      </c>
      <c r="F1981" s="30" t="str">
        <f aca="false">IF($D1981="","",IFERROR(INDEX(合同项目,MATCH($D1981,合同键,0)),IFERROR(TRIM(MID($D1981,FIND("｜",$D1981)+1,99)),"")))</f>
        <v/>
      </c>
      <c r="G1981" s="39"/>
      <c r="H1981" s="25"/>
      <c r="I1981" s="35" t="str">
        <f aca="false">IF($H1981="","",IFERROR(INDEX(票据归类表,MATCH($H1981,票据类型表,0)),"现金无票"))</f>
        <v/>
      </c>
      <c r="J1981" s="25"/>
      <c r="K1981" s="25"/>
      <c r="L1981" s="31"/>
      <c r="M1981" s="29" t="str">
        <f aca="false">IF($C1981="","",YEAR($C1981))</f>
        <v/>
      </c>
      <c r="N1981" s="24"/>
      <c r="O1981" s="35" t="str">
        <f aca="false">IF($C1981="","",IF($D1981="","★没选客户项目",IF(COUNTIF(合同键,$D1981)=0,"★《维保合同》里没这个项目",IF(N($G1981)&lt;=0,"★收款金额要填",IF($H1981="","★票据类型要选",IF(AND($L1981&lt;&gt;"",COUNTIF(应收单号,$L1981)=0),"★关联的应收单号不存在",IF(AND($L1981&lt;&gt;"",IFERROR(INDEX(应收键,MATCH($L1981,应收单号,0)),"")&lt;&gt;$D1981),"★关联单号不是这个客户的",IF(AND($L1981&lt;&gt;"",ROUND(SUMIF(收款关联,$L1981,收款金额)-IFERROR(INDEX(应收金额,MATCH($L1981,应收单号,0)),0),2)&gt;0.001),"★指定冲销超过那张单的应收","OK"))))))))</f>
        <v/>
      </c>
    </row>
    <row r="1982" customFormat="false" ht="15" hidden="false" customHeight="false" outlineLevel="0" collapsed="false">
      <c r="A1982" s="29" t="str">
        <f aca="false">IF($C1982="","",ROW()-4)</f>
        <v/>
      </c>
      <c r="B1982" s="35" t="str">
        <f aca="false">IF($C1982="","","SK"&amp;TEXT($C1982,"yyyymm")&amp;"-"&amp;TEXT(ROW()-4,"0000"))</f>
        <v/>
      </c>
      <c r="C1982" s="33"/>
      <c r="D1982" s="24"/>
      <c r="E1982" s="30" t="str">
        <f aca="false">IF($D1982="","",IFERROR(INDEX(合同单位,MATCH($D1982,合同键,0)),IFERROR(TRIM(LEFT($D1982,FIND("｜",$D1982)-1)),$D1982)))</f>
        <v/>
      </c>
      <c r="F1982" s="30" t="str">
        <f aca="false">IF($D1982="","",IFERROR(INDEX(合同项目,MATCH($D1982,合同键,0)),IFERROR(TRIM(MID($D1982,FIND("｜",$D1982)+1,99)),"")))</f>
        <v/>
      </c>
      <c r="G1982" s="39"/>
      <c r="H1982" s="25"/>
      <c r="I1982" s="35" t="str">
        <f aca="false">IF($H1982="","",IFERROR(INDEX(票据归类表,MATCH($H1982,票据类型表,0)),"现金无票"))</f>
        <v/>
      </c>
      <c r="J1982" s="25"/>
      <c r="K1982" s="25"/>
      <c r="L1982" s="31"/>
      <c r="M1982" s="29" t="str">
        <f aca="false">IF($C1982="","",YEAR($C1982))</f>
        <v/>
      </c>
      <c r="N1982" s="24"/>
      <c r="O1982" s="35" t="str">
        <f aca="false">IF($C1982="","",IF($D1982="","★没选客户项目",IF(COUNTIF(合同键,$D1982)=0,"★《维保合同》里没这个项目",IF(N($G1982)&lt;=0,"★收款金额要填",IF($H1982="","★票据类型要选",IF(AND($L1982&lt;&gt;"",COUNTIF(应收单号,$L1982)=0),"★关联的应收单号不存在",IF(AND($L1982&lt;&gt;"",IFERROR(INDEX(应收键,MATCH($L1982,应收单号,0)),"")&lt;&gt;$D1982),"★关联单号不是这个客户的",IF(AND($L1982&lt;&gt;"",ROUND(SUMIF(收款关联,$L1982,收款金额)-IFERROR(INDEX(应收金额,MATCH($L1982,应收单号,0)),0),2)&gt;0.001),"★指定冲销超过那张单的应收","OK"))))))))</f>
        <v/>
      </c>
    </row>
    <row r="1983" customFormat="false" ht="15" hidden="false" customHeight="false" outlineLevel="0" collapsed="false">
      <c r="A1983" s="29" t="str">
        <f aca="false">IF($C1983="","",ROW()-4)</f>
        <v/>
      </c>
      <c r="B1983" s="35" t="str">
        <f aca="false">IF($C1983="","","SK"&amp;TEXT($C1983,"yyyymm")&amp;"-"&amp;TEXT(ROW()-4,"0000"))</f>
        <v/>
      </c>
      <c r="C1983" s="33"/>
      <c r="D1983" s="24"/>
      <c r="E1983" s="30" t="str">
        <f aca="false">IF($D1983="","",IFERROR(INDEX(合同单位,MATCH($D1983,合同键,0)),IFERROR(TRIM(LEFT($D1983,FIND("｜",$D1983)-1)),$D1983)))</f>
        <v/>
      </c>
      <c r="F1983" s="30" t="str">
        <f aca="false">IF($D1983="","",IFERROR(INDEX(合同项目,MATCH($D1983,合同键,0)),IFERROR(TRIM(MID($D1983,FIND("｜",$D1983)+1,99)),"")))</f>
        <v/>
      </c>
      <c r="G1983" s="39"/>
      <c r="H1983" s="25"/>
      <c r="I1983" s="35" t="str">
        <f aca="false">IF($H1983="","",IFERROR(INDEX(票据归类表,MATCH($H1983,票据类型表,0)),"现金无票"))</f>
        <v/>
      </c>
      <c r="J1983" s="25"/>
      <c r="K1983" s="25"/>
      <c r="L1983" s="31"/>
      <c r="M1983" s="29" t="str">
        <f aca="false">IF($C1983="","",YEAR($C1983))</f>
        <v/>
      </c>
      <c r="N1983" s="24"/>
      <c r="O1983" s="35" t="str">
        <f aca="false">IF($C1983="","",IF($D1983="","★没选客户项目",IF(COUNTIF(合同键,$D1983)=0,"★《维保合同》里没这个项目",IF(N($G1983)&lt;=0,"★收款金额要填",IF($H1983="","★票据类型要选",IF(AND($L1983&lt;&gt;"",COUNTIF(应收单号,$L1983)=0),"★关联的应收单号不存在",IF(AND($L1983&lt;&gt;"",IFERROR(INDEX(应收键,MATCH($L1983,应收单号,0)),"")&lt;&gt;$D1983),"★关联单号不是这个客户的",IF(AND($L1983&lt;&gt;"",ROUND(SUMIF(收款关联,$L1983,收款金额)-IFERROR(INDEX(应收金额,MATCH($L1983,应收单号,0)),0),2)&gt;0.001),"★指定冲销超过那张单的应收","OK"))))))))</f>
        <v/>
      </c>
    </row>
    <row r="1984" customFormat="false" ht="15" hidden="false" customHeight="false" outlineLevel="0" collapsed="false">
      <c r="A1984" s="29" t="str">
        <f aca="false">IF($C1984="","",ROW()-4)</f>
        <v/>
      </c>
      <c r="B1984" s="35" t="str">
        <f aca="false">IF($C1984="","","SK"&amp;TEXT($C1984,"yyyymm")&amp;"-"&amp;TEXT(ROW()-4,"0000"))</f>
        <v/>
      </c>
      <c r="C1984" s="33"/>
      <c r="D1984" s="24"/>
      <c r="E1984" s="30" t="str">
        <f aca="false">IF($D1984="","",IFERROR(INDEX(合同单位,MATCH($D1984,合同键,0)),IFERROR(TRIM(LEFT($D1984,FIND("｜",$D1984)-1)),$D1984)))</f>
        <v/>
      </c>
      <c r="F1984" s="30" t="str">
        <f aca="false">IF($D1984="","",IFERROR(INDEX(合同项目,MATCH($D1984,合同键,0)),IFERROR(TRIM(MID($D1984,FIND("｜",$D1984)+1,99)),"")))</f>
        <v/>
      </c>
      <c r="G1984" s="39"/>
      <c r="H1984" s="25"/>
      <c r="I1984" s="35" t="str">
        <f aca="false">IF($H1984="","",IFERROR(INDEX(票据归类表,MATCH($H1984,票据类型表,0)),"现金无票"))</f>
        <v/>
      </c>
      <c r="J1984" s="25"/>
      <c r="K1984" s="25"/>
      <c r="L1984" s="31"/>
      <c r="M1984" s="29" t="str">
        <f aca="false">IF($C1984="","",YEAR($C1984))</f>
        <v/>
      </c>
      <c r="N1984" s="24"/>
      <c r="O1984" s="35" t="str">
        <f aca="false">IF($C1984="","",IF($D1984="","★没选客户项目",IF(COUNTIF(合同键,$D1984)=0,"★《维保合同》里没这个项目",IF(N($G1984)&lt;=0,"★收款金额要填",IF($H1984="","★票据类型要选",IF(AND($L1984&lt;&gt;"",COUNTIF(应收单号,$L1984)=0),"★关联的应收单号不存在",IF(AND($L1984&lt;&gt;"",IFERROR(INDEX(应收键,MATCH($L1984,应收单号,0)),"")&lt;&gt;$D1984),"★关联单号不是这个客户的",IF(AND($L1984&lt;&gt;"",ROUND(SUMIF(收款关联,$L1984,收款金额)-IFERROR(INDEX(应收金额,MATCH($L1984,应收单号,0)),0),2)&gt;0.001),"★指定冲销超过那张单的应收","OK"))))))))</f>
        <v/>
      </c>
    </row>
    <row r="1985" customFormat="false" ht="15" hidden="false" customHeight="false" outlineLevel="0" collapsed="false">
      <c r="A1985" s="29" t="str">
        <f aca="false">IF($C1985="","",ROW()-4)</f>
        <v/>
      </c>
      <c r="B1985" s="35" t="str">
        <f aca="false">IF($C1985="","","SK"&amp;TEXT($C1985,"yyyymm")&amp;"-"&amp;TEXT(ROW()-4,"0000"))</f>
        <v/>
      </c>
      <c r="C1985" s="33"/>
      <c r="D1985" s="24"/>
      <c r="E1985" s="30" t="str">
        <f aca="false">IF($D1985="","",IFERROR(INDEX(合同单位,MATCH($D1985,合同键,0)),IFERROR(TRIM(LEFT($D1985,FIND("｜",$D1985)-1)),$D1985)))</f>
        <v/>
      </c>
      <c r="F1985" s="30" t="str">
        <f aca="false">IF($D1985="","",IFERROR(INDEX(合同项目,MATCH($D1985,合同键,0)),IFERROR(TRIM(MID($D1985,FIND("｜",$D1985)+1,99)),"")))</f>
        <v/>
      </c>
      <c r="G1985" s="39"/>
      <c r="H1985" s="25"/>
      <c r="I1985" s="35" t="str">
        <f aca="false">IF($H1985="","",IFERROR(INDEX(票据归类表,MATCH($H1985,票据类型表,0)),"现金无票"))</f>
        <v/>
      </c>
      <c r="J1985" s="25"/>
      <c r="K1985" s="25"/>
      <c r="L1985" s="31"/>
      <c r="M1985" s="29" t="str">
        <f aca="false">IF($C1985="","",YEAR($C1985))</f>
        <v/>
      </c>
      <c r="N1985" s="24"/>
      <c r="O1985" s="35" t="str">
        <f aca="false">IF($C1985="","",IF($D1985="","★没选客户项目",IF(COUNTIF(合同键,$D1985)=0,"★《维保合同》里没这个项目",IF(N($G1985)&lt;=0,"★收款金额要填",IF($H1985="","★票据类型要选",IF(AND($L1985&lt;&gt;"",COUNTIF(应收单号,$L1985)=0),"★关联的应收单号不存在",IF(AND($L1985&lt;&gt;"",IFERROR(INDEX(应收键,MATCH($L1985,应收单号,0)),"")&lt;&gt;$D1985),"★关联单号不是这个客户的",IF(AND($L1985&lt;&gt;"",ROUND(SUMIF(收款关联,$L1985,收款金额)-IFERROR(INDEX(应收金额,MATCH($L1985,应收单号,0)),0),2)&gt;0.001),"★指定冲销超过那张单的应收","OK"))))))))</f>
        <v/>
      </c>
    </row>
    <row r="1986" customFormat="false" ht="15" hidden="false" customHeight="false" outlineLevel="0" collapsed="false">
      <c r="A1986" s="29" t="str">
        <f aca="false">IF($C1986="","",ROW()-4)</f>
        <v/>
      </c>
      <c r="B1986" s="35" t="str">
        <f aca="false">IF($C1986="","","SK"&amp;TEXT($C1986,"yyyymm")&amp;"-"&amp;TEXT(ROW()-4,"0000"))</f>
        <v/>
      </c>
      <c r="C1986" s="33"/>
      <c r="D1986" s="24"/>
      <c r="E1986" s="30" t="str">
        <f aca="false">IF($D1986="","",IFERROR(INDEX(合同单位,MATCH($D1986,合同键,0)),IFERROR(TRIM(LEFT($D1986,FIND("｜",$D1986)-1)),$D1986)))</f>
        <v/>
      </c>
      <c r="F1986" s="30" t="str">
        <f aca="false">IF($D1986="","",IFERROR(INDEX(合同项目,MATCH($D1986,合同键,0)),IFERROR(TRIM(MID($D1986,FIND("｜",$D1986)+1,99)),"")))</f>
        <v/>
      </c>
      <c r="G1986" s="39"/>
      <c r="H1986" s="25"/>
      <c r="I1986" s="35" t="str">
        <f aca="false">IF($H1986="","",IFERROR(INDEX(票据归类表,MATCH($H1986,票据类型表,0)),"现金无票"))</f>
        <v/>
      </c>
      <c r="J1986" s="25"/>
      <c r="K1986" s="25"/>
      <c r="L1986" s="31"/>
      <c r="M1986" s="29" t="str">
        <f aca="false">IF($C1986="","",YEAR($C1986))</f>
        <v/>
      </c>
      <c r="N1986" s="24"/>
      <c r="O1986" s="35" t="str">
        <f aca="false">IF($C1986="","",IF($D1986="","★没选客户项目",IF(COUNTIF(合同键,$D1986)=0,"★《维保合同》里没这个项目",IF(N($G1986)&lt;=0,"★收款金额要填",IF($H1986="","★票据类型要选",IF(AND($L1986&lt;&gt;"",COUNTIF(应收单号,$L1986)=0),"★关联的应收单号不存在",IF(AND($L1986&lt;&gt;"",IFERROR(INDEX(应收键,MATCH($L1986,应收单号,0)),"")&lt;&gt;$D1986),"★关联单号不是这个客户的",IF(AND($L1986&lt;&gt;"",ROUND(SUMIF(收款关联,$L1986,收款金额)-IFERROR(INDEX(应收金额,MATCH($L1986,应收单号,0)),0),2)&gt;0.001),"★指定冲销超过那张单的应收","OK"))))))))</f>
        <v/>
      </c>
    </row>
    <row r="1987" customFormat="false" ht="15" hidden="false" customHeight="false" outlineLevel="0" collapsed="false">
      <c r="A1987" s="29" t="str">
        <f aca="false">IF($C1987="","",ROW()-4)</f>
        <v/>
      </c>
      <c r="B1987" s="35" t="str">
        <f aca="false">IF($C1987="","","SK"&amp;TEXT($C1987,"yyyymm")&amp;"-"&amp;TEXT(ROW()-4,"0000"))</f>
        <v/>
      </c>
      <c r="C1987" s="33"/>
      <c r="D1987" s="24"/>
      <c r="E1987" s="30" t="str">
        <f aca="false">IF($D1987="","",IFERROR(INDEX(合同单位,MATCH($D1987,合同键,0)),IFERROR(TRIM(LEFT($D1987,FIND("｜",$D1987)-1)),$D1987)))</f>
        <v/>
      </c>
      <c r="F1987" s="30" t="str">
        <f aca="false">IF($D1987="","",IFERROR(INDEX(合同项目,MATCH($D1987,合同键,0)),IFERROR(TRIM(MID($D1987,FIND("｜",$D1987)+1,99)),"")))</f>
        <v/>
      </c>
      <c r="G1987" s="39"/>
      <c r="H1987" s="25"/>
      <c r="I1987" s="35" t="str">
        <f aca="false">IF($H1987="","",IFERROR(INDEX(票据归类表,MATCH($H1987,票据类型表,0)),"现金无票"))</f>
        <v/>
      </c>
      <c r="J1987" s="25"/>
      <c r="K1987" s="25"/>
      <c r="L1987" s="31"/>
      <c r="M1987" s="29" t="str">
        <f aca="false">IF($C1987="","",YEAR($C1987))</f>
        <v/>
      </c>
      <c r="N1987" s="24"/>
      <c r="O1987" s="35" t="str">
        <f aca="false">IF($C1987="","",IF($D1987="","★没选客户项目",IF(COUNTIF(合同键,$D1987)=0,"★《维保合同》里没这个项目",IF(N($G1987)&lt;=0,"★收款金额要填",IF($H1987="","★票据类型要选",IF(AND($L1987&lt;&gt;"",COUNTIF(应收单号,$L1987)=0),"★关联的应收单号不存在",IF(AND($L1987&lt;&gt;"",IFERROR(INDEX(应收键,MATCH($L1987,应收单号,0)),"")&lt;&gt;$D1987),"★关联单号不是这个客户的",IF(AND($L1987&lt;&gt;"",ROUND(SUMIF(收款关联,$L1987,收款金额)-IFERROR(INDEX(应收金额,MATCH($L1987,应收单号,0)),0),2)&gt;0.001),"★指定冲销超过那张单的应收","OK"))))))))</f>
        <v/>
      </c>
    </row>
    <row r="1988" customFormat="false" ht="15" hidden="false" customHeight="false" outlineLevel="0" collapsed="false">
      <c r="A1988" s="29" t="str">
        <f aca="false">IF($C1988="","",ROW()-4)</f>
        <v/>
      </c>
      <c r="B1988" s="35" t="str">
        <f aca="false">IF($C1988="","","SK"&amp;TEXT($C1988,"yyyymm")&amp;"-"&amp;TEXT(ROW()-4,"0000"))</f>
        <v/>
      </c>
      <c r="C1988" s="33"/>
      <c r="D1988" s="24"/>
      <c r="E1988" s="30" t="str">
        <f aca="false">IF($D1988="","",IFERROR(INDEX(合同单位,MATCH($D1988,合同键,0)),IFERROR(TRIM(LEFT($D1988,FIND("｜",$D1988)-1)),$D1988)))</f>
        <v/>
      </c>
      <c r="F1988" s="30" t="str">
        <f aca="false">IF($D1988="","",IFERROR(INDEX(合同项目,MATCH($D1988,合同键,0)),IFERROR(TRIM(MID($D1988,FIND("｜",$D1988)+1,99)),"")))</f>
        <v/>
      </c>
      <c r="G1988" s="39"/>
      <c r="H1988" s="25"/>
      <c r="I1988" s="35" t="str">
        <f aca="false">IF($H1988="","",IFERROR(INDEX(票据归类表,MATCH($H1988,票据类型表,0)),"现金无票"))</f>
        <v/>
      </c>
      <c r="J1988" s="25"/>
      <c r="K1988" s="25"/>
      <c r="L1988" s="31"/>
      <c r="M1988" s="29" t="str">
        <f aca="false">IF($C1988="","",YEAR($C1988))</f>
        <v/>
      </c>
      <c r="N1988" s="24"/>
      <c r="O1988" s="35" t="str">
        <f aca="false">IF($C1988="","",IF($D1988="","★没选客户项目",IF(COUNTIF(合同键,$D1988)=0,"★《维保合同》里没这个项目",IF(N($G1988)&lt;=0,"★收款金额要填",IF($H1988="","★票据类型要选",IF(AND($L1988&lt;&gt;"",COUNTIF(应收单号,$L1988)=0),"★关联的应收单号不存在",IF(AND($L1988&lt;&gt;"",IFERROR(INDEX(应收键,MATCH($L1988,应收单号,0)),"")&lt;&gt;$D1988),"★关联单号不是这个客户的",IF(AND($L1988&lt;&gt;"",ROUND(SUMIF(收款关联,$L1988,收款金额)-IFERROR(INDEX(应收金额,MATCH($L1988,应收单号,0)),0),2)&gt;0.001),"★指定冲销超过那张单的应收","OK"))))))))</f>
        <v/>
      </c>
    </row>
    <row r="1989" customFormat="false" ht="15" hidden="false" customHeight="false" outlineLevel="0" collapsed="false">
      <c r="A1989" s="29" t="str">
        <f aca="false">IF($C1989="","",ROW()-4)</f>
        <v/>
      </c>
      <c r="B1989" s="35" t="str">
        <f aca="false">IF($C1989="","","SK"&amp;TEXT($C1989,"yyyymm")&amp;"-"&amp;TEXT(ROW()-4,"0000"))</f>
        <v/>
      </c>
      <c r="C1989" s="33"/>
      <c r="D1989" s="24"/>
      <c r="E1989" s="30" t="str">
        <f aca="false">IF($D1989="","",IFERROR(INDEX(合同单位,MATCH($D1989,合同键,0)),IFERROR(TRIM(LEFT($D1989,FIND("｜",$D1989)-1)),$D1989)))</f>
        <v/>
      </c>
      <c r="F1989" s="30" t="str">
        <f aca="false">IF($D1989="","",IFERROR(INDEX(合同项目,MATCH($D1989,合同键,0)),IFERROR(TRIM(MID($D1989,FIND("｜",$D1989)+1,99)),"")))</f>
        <v/>
      </c>
      <c r="G1989" s="39"/>
      <c r="H1989" s="25"/>
      <c r="I1989" s="35" t="str">
        <f aca="false">IF($H1989="","",IFERROR(INDEX(票据归类表,MATCH($H1989,票据类型表,0)),"现金无票"))</f>
        <v/>
      </c>
      <c r="J1989" s="25"/>
      <c r="K1989" s="25"/>
      <c r="L1989" s="31"/>
      <c r="M1989" s="29" t="str">
        <f aca="false">IF($C1989="","",YEAR($C1989))</f>
        <v/>
      </c>
      <c r="N1989" s="24"/>
      <c r="O1989" s="35" t="str">
        <f aca="false">IF($C1989="","",IF($D1989="","★没选客户项目",IF(COUNTIF(合同键,$D1989)=0,"★《维保合同》里没这个项目",IF(N($G1989)&lt;=0,"★收款金额要填",IF($H1989="","★票据类型要选",IF(AND($L1989&lt;&gt;"",COUNTIF(应收单号,$L1989)=0),"★关联的应收单号不存在",IF(AND($L1989&lt;&gt;"",IFERROR(INDEX(应收键,MATCH($L1989,应收单号,0)),"")&lt;&gt;$D1989),"★关联单号不是这个客户的",IF(AND($L1989&lt;&gt;"",ROUND(SUMIF(收款关联,$L1989,收款金额)-IFERROR(INDEX(应收金额,MATCH($L1989,应收单号,0)),0),2)&gt;0.001),"★指定冲销超过那张单的应收","OK"))))))))</f>
        <v/>
      </c>
    </row>
    <row r="1990" customFormat="false" ht="15" hidden="false" customHeight="false" outlineLevel="0" collapsed="false">
      <c r="A1990" s="29" t="str">
        <f aca="false">IF($C1990="","",ROW()-4)</f>
        <v/>
      </c>
      <c r="B1990" s="35" t="str">
        <f aca="false">IF($C1990="","","SK"&amp;TEXT($C1990,"yyyymm")&amp;"-"&amp;TEXT(ROW()-4,"0000"))</f>
        <v/>
      </c>
      <c r="C1990" s="33"/>
      <c r="D1990" s="24"/>
      <c r="E1990" s="30" t="str">
        <f aca="false">IF($D1990="","",IFERROR(INDEX(合同单位,MATCH($D1990,合同键,0)),IFERROR(TRIM(LEFT($D1990,FIND("｜",$D1990)-1)),$D1990)))</f>
        <v/>
      </c>
      <c r="F1990" s="30" t="str">
        <f aca="false">IF($D1990="","",IFERROR(INDEX(合同项目,MATCH($D1990,合同键,0)),IFERROR(TRIM(MID($D1990,FIND("｜",$D1990)+1,99)),"")))</f>
        <v/>
      </c>
      <c r="G1990" s="39"/>
      <c r="H1990" s="25"/>
      <c r="I1990" s="35" t="str">
        <f aca="false">IF($H1990="","",IFERROR(INDEX(票据归类表,MATCH($H1990,票据类型表,0)),"现金无票"))</f>
        <v/>
      </c>
      <c r="J1990" s="25"/>
      <c r="K1990" s="25"/>
      <c r="L1990" s="31"/>
      <c r="M1990" s="29" t="str">
        <f aca="false">IF($C1990="","",YEAR($C1990))</f>
        <v/>
      </c>
      <c r="N1990" s="24"/>
      <c r="O1990" s="35" t="str">
        <f aca="false">IF($C1990="","",IF($D1990="","★没选客户项目",IF(COUNTIF(合同键,$D1990)=0,"★《维保合同》里没这个项目",IF(N($G1990)&lt;=0,"★收款金额要填",IF($H1990="","★票据类型要选",IF(AND($L1990&lt;&gt;"",COUNTIF(应收单号,$L1990)=0),"★关联的应收单号不存在",IF(AND($L1990&lt;&gt;"",IFERROR(INDEX(应收键,MATCH($L1990,应收单号,0)),"")&lt;&gt;$D1990),"★关联单号不是这个客户的",IF(AND($L1990&lt;&gt;"",ROUND(SUMIF(收款关联,$L1990,收款金额)-IFERROR(INDEX(应收金额,MATCH($L1990,应收单号,0)),0),2)&gt;0.001),"★指定冲销超过那张单的应收","OK"))))))))</f>
        <v/>
      </c>
    </row>
    <row r="1991" customFormat="false" ht="15" hidden="false" customHeight="false" outlineLevel="0" collapsed="false">
      <c r="A1991" s="29" t="str">
        <f aca="false">IF($C1991="","",ROW()-4)</f>
        <v/>
      </c>
      <c r="B1991" s="35" t="str">
        <f aca="false">IF($C1991="","","SK"&amp;TEXT($C1991,"yyyymm")&amp;"-"&amp;TEXT(ROW()-4,"0000"))</f>
        <v/>
      </c>
      <c r="C1991" s="33"/>
      <c r="D1991" s="24"/>
      <c r="E1991" s="30" t="str">
        <f aca="false">IF($D1991="","",IFERROR(INDEX(合同单位,MATCH($D1991,合同键,0)),IFERROR(TRIM(LEFT($D1991,FIND("｜",$D1991)-1)),$D1991)))</f>
        <v/>
      </c>
      <c r="F1991" s="30" t="str">
        <f aca="false">IF($D1991="","",IFERROR(INDEX(合同项目,MATCH($D1991,合同键,0)),IFERROR(TRIM(MID($D1991,FIND("｜",$D1991)+1,99)),"")))</f>
        <v/>
      </c>
      <c r="G1991" s="39"/>
      <c r="H1991" s="25"/>
      <c r="I1991" s="35" t="str">
        <f aca="false">IF($H1991="","",IFERROR(INDEX(票据归类表,MATCH($H1991,票据类型表,0)),"现金无票"))</f>
        <v/>
      </c>
      <c r="J1991" s="25"/>
      <c r="K1991" s="25"/>
      <c r="L1991" s="31"/>
      <c r="M1991" s="29" t="str">
        <f aca="false">IF($C1991="","",YEAR($C1991))</f>
        <v/>
      </c>
      <c r="N1991" s="24"/>
      <c r="O1991" s="35" t="str">
        <f aca="false">IF($C1991="","",IF($D1991="","★没选客户项目",IF(COUNTIF(合同键,$D1991)=0,"★《维保合同》里没这个项目",IF(N($G1991)&lt;=0,"★收款金额要填",IF($H1991="","★票据类型要选",IF(AND($L1991&lt;&gt;"",COUNTIF(应收单号,$L1991)=0),"★关联的应收单号不存在",IF(AND($L1991&lt;&gt;"",IFERROR(INDEX(应收键,MATCH($L1991,应收单号,0)),"")&lt;&gt;$D1991),"★关联单号不是这个客户的",IF(AND($L1991&lt;&gt;"",ROUND(SUMIF(收款关联,$L1991,收款金额)-IFERROR(INDEX(应收金额,MATCH($L1991,应收单号,0)),0),2)&gt;0.001),"★指定冲销超过那张单的应收","OK"))))))))</f>
        <v/>
      </c>
    </row>
    <row r="1992" customFormat="false" ht="15" hidden="false" customHeight="false" outlineLevel="0" collapsed="false">
      <c r="A1992" s="29" t="str">
        <f aca="false">IF($C1992="","",ROW()-4)</f>
        <v/>
      </c>
      <c r="B1992" s="35" t="str">
        <f aca="false">IF($C1992="","","SK"&amp;TEXT($C1992,"yyyymm")&amp;"-"&amp;TEXT(ROW()-4,"0000"))</f>
        <v/>
      </c>
      <c r="C1992" s="33"/>
      <c r="D1992" s="24"/>
      <c r="E1992" s="30" t="str">
        <f aca="false">IF($D1992="","",IFERROR(INDEX(合同单位,MATCH($D1992,合同键,0)),IFERROR(TRIM(LEFT($D1992,FIND("｜",$D1992)-1)),$D1992)))</f>
        <v/>
      </c>
      <c r="F1992" s="30" t="str">
        <f aca="false">IF($D1992="","",IFERROR(INDEX(合同项目,MATCH($D1992,合同键,0)),IFERROR(TRIM(MID($D1992,FIND("｜",$D1992)+1,99)),"")))</f>
        <v/>
      </c>
      <c r="G1992" s="39"/>
      <c r="H1992" s="25"/>
      <c r="I1992" s="35" t="str">
        <f aca="false">IF($H1992="","",IFERROR(INDEX(票据归类表,MATCH($H1992,票据类型表,0)),"现金无票"))</f>
        <v/>
      </c>
      <c r="J1992" s="25"/>
      <c r="K1992" s="25"/>
      <c r="L1992" s="31"/>
      <c r="M1992" s="29" t="str">
        <f aca="false">IF($C1992="","",YEAR($C1992))</f>
        <v/>
      </c>
      <c r="N1992" s="24"/>
      <c r="O1992" s="35" t="str">
        <f aca="false">IF($C1992="","",IF($D1992="","★没选客户项目",IF(COUNTIF(合同键,$D1992)=0,"★《维保合同》里没这个项目",IF(N($G1992)&lt;=0,"★收款金额要填",IF($H1992="","★票据类型要选",IF(AND($L1992&lt;&gt;"",COUNTIF(应收单号,$L1992)=0),"★关联的应收单号不存在",IF(AND($L1992&lt;&gt;"",IFERROR(INDEX(应收键,MATCH($L1992,应收单号,0)),"")&lt;&gt;$D1992),"★关联单号不是这个客户的",IF(AND($L1992&lt;&gt;"",ROUND(SUMIF(收款关联,$L1992,收款金额)-IFERROR(INDEX(应收金额,MATCH($L1992,应收单号,0)),0),2)&gt;0.001),"★指定冲销超过那张单的应收","OK"))))))))</f>
        <v/>
      </c>
    </row>
    <row r="1993" customFormat="false" ht="15" hidden="false" customHeight="false" outlineLevel="0" collapsed="false">
      <c r="A1993" s="29" t="str">
        <f aca="false">IF($C1993="","",ROW()-4)</f>
        <v/>
      </c>
      <c r="B1993" s="35" t="str">
        <f aca="false">IF($C1993="","","SK"&amp;TEXT($C1993,"yyyymm")&amp;"-"&amp;TEXT(ROW()-4,"0000"))</f>
        <v/>
      </c>
      <c r="C1993" s="33"/>
      <c r="D1993" s="24"/>
      <c r="E1993" s="30" t="str">
        <f aca="false">IF($D1993="","",IFERROR(INDEX(合同单位,MATCH($D1993,合同键,0)),IFERROR(TRIM(LEFT($D1993,FIND("｜",$D1993)-1)),$D1993)))</f>
        <v/>
      </c>
      <c r="F1993" s="30" t="str">
        <f aca="false">IF($D1993="","",IFERROR(INDEX(合同项目,MATCH($D1993,合同键,0)),IFERROR(TRIM(MID($D1993,FIND("｜",$D1993)+1,99)),"")))</f>
        <v/>
      </c>
      <c r="G1993" s="39"/>
      <c r="H1993" s="25"/>
      <c r="I1993" s="35" t="str">
        <f aca="false">IF($H1993="","",IFERROR(INDEX(票据归类表,MATCH($H1993,票据类型表,0)),"现金无票"))</f>
        <v/>
      </c>
      <c r="J1993" s="25"/>
      <c r="K1993" s="25"/>
      <c r="L1993" s="31"/>
      <c r="M1993" s="29" t="str">
        <f aca="false">IF($C1993="","",YEAR($C1993))</f>
        <v/>
      </c>
      <c r="N1993" s="24"/>
      <c r="O1993" s="35" t="str">
        <f aca="false">IF($C1993="","",IF($D1993="","★没选客户项目",IF(COUNTIF(合同键,$D1993)=0,"★《维保合同》里没这个项目",IF(N($G1993)&lt;=0,"★收款金额要填",IF($H1993="","★票据类型要选",IF(AND($L1993&lt;&gt;"",COUNTIF(应收单号,$L1993)=0),"★关联的应收单号不存在",IF(AND($L1993&lt;&gt;"",IFERROR(INDEX(应收键,MATCH($L1993,应收单号,0)),"")&lt;&gt;$D1993),"★关联单号不是这个客户的",IF(AND($L1993&lt;&gt;"",ROUND(SUMIF(收款关联,$L1993,收款金额)-IFERROR(INDEX(应收金额,MATCH($L1993,应收单号,0)),0),2)&gt;0.001),"★指定冲销超过那张单的应收","OK"))))))))</f>
        <v/>
      </c>
    </row>
    <row r="1994" customFormat="false" ht="15" hidden="false" customHeight="false" outlineLevel="0" collapsed="false">
      <c r="A1994" s="29" t="str">
        <f aca="false">IF($C1994="","",ROW()-4)</f>
        <v/>
      </c>
      <c r="B1994" s="35" t="str">
        <f aca="false">IF($C1994="","","SK"&amp;TEXT($C1994,"yyyymm")&amp;"-"&amp;TEXT(ROW()-4,"0000"))</f>
        <v/>
      </c>
      <c r="C1994" s="33"/>
      <c r="D1994" s="24"/>
      <c r="E1994" s="30" t="str">
        <f aca="false">IF($D1994="","",IFERROR(INDEX(合同单位,MATCH($D1994,合同键,0)),IFERROR(TRIM(LEFT($D1994,FIND("｜",$D1994)-1)),$D1994)))</f>
        <v/>
      </c>
      <c r="F1994" s="30" t="str">
        <f aca="false">IF($D1994="","",IFERROR(INDEX(合同项目,MATCH($D1994,合同键,0)),IFERROR(TRIM(MID($D1994,FIND("｜",$D1994)+1,99)),"")))</f>
        <v/>
      </c>
      <c r="G1994" s="39"/>
      <c r="H1994" s="25"/>
      <c r="I1994" s="35" t="str">
        <f aca="false">IF($H1994="","",IFERROR(INDEX(票据归类表,MATCH($H1994,票据类型表,0)),"现金无票"))</f>
        <v/>
      </c>
      <c r="J1994" s="25"/>
      <c r="K1994" s="25"/>
      <c r="L1994" s="31"/>
      <c r="M1994" s="29" t="str">
        <f aca="false">IF($C1994="","",YEAR($C1994))</f>
        <v/>
      </c>
      <c r="N1994" s="24"/>
      <c r="O1994" s="35" t="str">
        <f aca="false">IF($C1994="","",IF($D1994="","★没选客户项目",IF(COUNTIF(合同键,$D1994)=0,"★《维保合同》里没这个项目",IF(N($G1994)&lt;=0,"★收款金额要填",IF($H1994="","★票据类型要选",IF(AND($L1994&lt;&gt;"",COUNTIF(应收单号,$L1994)=0),"★关联的应收单号不存在",IF(AND($L1994&lt;&gt;"",IFERROR(INDEX(应收键,MATCH($L1994,应收单号,0)),"")&lt;&gt;$D1994),"★关联单号不是这个客户的",IF(AND($L1994&lt;&gt;"",ROUND(SUMIF(收款关联,$L1994,收款金额)-IFERROR(INDEX(应收金额,MATCH($L1994,应收单号,0)),0),2)&gt;0.001),"★指定冲销超过那张单的应收","OK"))))))))</f>
        <v/>
      </c>
    </row>
    <row r="1995" customFormat="false" ht="15" hidden="false" customHeight="false" outlineLevel="0" collapsed="false">
      <c r="A1995" s="29" t="str">
        <f aca="false">IF($C1995="","",ROW()-4)</f>
        <v/>
      </c>
      <c r="B1995" s="35" t="str">
        <f aca="false">IF($C1995="","","SK"&amp;TEXT($C1995,"yyyymm")&amp;"-"&amp;TEXT(ROW()-4,"0000"))</f>
        <v/>
      </c>
      <c r="C1995" s="33"/>
      <c r="D1995" s="24"/>
      <c r="E1995" s="30" t="str">
        <f aca="false">IF($D1995="","",IFERROR(INDEX(合同单位,MATCH($D1995,合同键,0)),IFERROR(TRIM(LEFT($D1995,FIND("｜",$D1995)-1)),$D1995)))</f>
        <v/>
      </c>
      <c r="F1995" s="30" t="str">
        <f aca="false">IF($D1995="","",IFERROR(INDEX(合同项目,MATCH($D1995,合同键,0)),IFERROR(TRIM(MID($D1995,FIND("｜",$D1995)+1,99)),"")))</f>
        <v/>
      </c>
      <c r="G1995" s="39"/>
      <c r="H1995" s="25"/>
      <c r="I1995" s="35" t="str">
        <f aca="false">IF($H1995="","",IFERROR(INDEX(票据归类表,MATCH($H1995,票据类型表,0)),"现金无票"))</f>
        <v/>
      </c>
      <c r="J1995" s="25"/>
      <c r="K1995" s="25"/>
      <c r="L1995" s="31"/>
      <c r="M1995" s="29" t="str">
        <f aca="false">IF($C1995="","",YEAR($C1995))</f>
        <v/>
      </c>
      <c r="N1995" s="24"/>
      <c r="O1995" s="35" t="str">
        <f aca="false">IF($C1995="","",IF($D1995="","★没选客户项目",IF(COUNTIF(合同键,$D1995)=0,"★《维保合同》里没这个项目",IF(N($G1995)&lt;=0,"★收款金额要填",IF($H1995="","★票据类型要选",IF(AND($L1995&lt;&gt;"",COUNTIF(应收单号,$L1995)=0),"★关联的应收单号不存在",IF(AND($L1995&lt;&gt;"",IFERROR(INDEX(应收键,MATCH($L1995,应收单号,0)),"")&lt;&gt;$D1995),"★关联单号不是这个客户的",IF(AND($L1995&lt;&gt;"",ROUND(SUMIF(收款关联,$L1995,收款金额)-IFERROR(INDEX(应收金额,MATCH($L1995,应收单号,0)),0),2)&gt;0.001),"★指定冲销超过那张单的应收","OK"))))))))</f>
        <v/>
      </c>
    </row>
    <row r="1996" customFormat="false" ht="15" hidden="false" customHeight="false" outlineLevel="0" collapsed="false">
      <c r="A1996" s="29" t="str">
        <f aca="false">IF($C1996="","",ROW()-4)</f>
        <v/>
      </c>
      <c r="B1996" s="35" t="str">
        <f aca="false">IF($C1996="","","SK"&amp;TEXT($C1996,"yyyymm")&amp;"-"&amp;TEXT(ROW()-4,"0000"))</f>
        <v/>
      </c>
      <c r="C1996" s="33"/>
      <c r="D1996" s="24"/>
      <c r="E1996" s="30" t="str">
        <f aca="false">IF($D1996="","",IFERROR(INDEX(合同单位,MATCH($D1996,合同键,0)),IFERROR(TRIM(LEFT($D1996,FIND("｜",$D1996)-1)),$D1996)))</f>
        <v/>
      </c>
      <c r="F1996" s="30" t="str">
        <f aca="false">IF($D1996="","",IFERROR(INDEX(合同项目,MATCH($D1996,合同键,0)),IFERROR(TRIM(MID($D1996,FIND("｜",$D1996)+1,99)),"")))</f>
        <v/>
      </c>
      <c r="G1996" s="39"/>
      <c r="H1996" s="25"/>
      <c r="I1996" s="35" t="str">
        <f aca="false">IF($H1996="","",IFERROR(INDEX(票据归类表,MATCH($H1996,票据类型表,0)),"现金无票"))</f>
        <v/>
      </c>
      <c r="J1996" s="25"/>
      <c r="K1996" s="25"/>
      <c r="L1996" s="31"/>
      <c r="M1996" s="29" t="str">
        <f aca="false">IF($C1996="","",YEAR($C1996))</f>
        <v/>
      </c>
      <c r="N1996" s="24"/>
      <c r="O1996" s="35" t="str">
        <f aca="false">IF($C1996="","",IF($D1996="","★没选客户项目",IF(COUNTIF(合同键,$D1996)=0,"★《维保合同》里没这个项目",IF(N($G1996)&lt;=0,"★收款金额要填",IF($H1996="","★票据类型要选",IF(AND($L1996&lt;&gt;"",COUNTIF(应收单号,$L1996)=0),"★关联的应收单号不存在",IF(AND($L1996&lt;&gt;"",IFERROR(INDEX(应收键,MATCH($L1996,应收单号,0)),"")&lt;&gt;$D1996),"★关联单号不是这个客户的",IF(AND($L1996&lt;&gt;"",ROUND(SUMIF(收款关联,$L1996,收款金额)-IFERROR(INDEX(应收金额,MATCH($L1996,应收单号,0)),0),2)&gt;0.001),"★指定冲销超过那张单的应收","OK"))))))))</f>
        <v/>
      </c>
    </row>
    <row r="1997" customFormat="false" ht="15" hidden="false" customHeight="false" outlineLevel="0" collapsed="false">
      <c r="A1997" s="29" t="str">
        <f aca="false">IF($C1997="","",ROW()-4)</f>
        <v/>
      </c>
      <c r="B1997" s="35" t="str">
        <f aca="false">IF($C1997="","","SK"&amp;TEXT($C1997,"yyyymm")&amp;"-"&amp;TEXT(ROW()-4,"0000"))</f>
        <v/>
      </c>
      <c r="C1997" s="33"/>
      <c r="D1997" s="24"/>
      <c r="E1997" s="30" t="str">
        <f aca="false">IF($D1997="","",IFERROR(INDEX(合同单位,MATCH($D1997,合同键,0)),IFERROR(TRIM(LEFT($D1997,FIND("｜",$D1997)-1)),$D1997)))</f>
        <v/>
      </c>
      <c r="F1997" s="30" t="str">
        <f aca="false">IF($D1997="","",IFERROR(INDEX(合同项目,MATCH($D1997,合同键,0)),IFERROR(TRIM(MID($D1997,FIND("｜",$D1997)+1,99)),"")))</f>
        <v/>
      </c>
      <c r="G1997" s="39"/>
      <c r="H1997" s="25"/>
      <c r="I1997" s="35" t="str">
        <f aca="false">IF($H1997="","",IFERROR(INDEX(票据归类表,MATCH($H1997,票据类型表,0)),"现金无票"))</f>
        <v/>
      </c>
      <c r="J1997" s="25"/>
      <c r="K1997" s="25"/>
      <c r="L1997" s="31"/>
      <c r="M1997" s="29" t="str">
        <f aca="false">IF($C1997="","",YEAR($C1997))</f>
        <v/>
      </c>
      <c r="N1997" s="24"/>
      <c r="O1997" s="35" t="str">
        <f aca="false">IF($C1997="","",IF($D1997="","★没选客户项目",IF(COUNTIF(合同键,$D1997)=0,"★《维保合同》里没这个项目",IF(N($G1997)&lt;=0,"★收款金额要填",IF($H1997="","★票据类型要选",IF(AND($L1997&lt;&gt;"",COUNTIF(应收单号,$L1997)=0),"★关联的应收单号不存在",IF(AND($L1997&lt;&gt;"",IFERROR(INDEX(应收键,MATCH($L1997,应收单号,0)),"")&lt;&gt;$D1997),"★关联单号不是这个客户的",IF(AND($L1997&lt;&gt;"",ROUND(SUMIF(收款关联,$L1997,收款金额)-IFERROR(INDEX(应收金额,MATCH($L1997,应收单号,0)),0),2)&gt;0.001),"★指定冲销超过那张单的应收","OK"))))))))</f>
        <v/>
      </c>
    </row>
    <row r="1998" customFormat="false" ht="15" hidden="false" customHeight="false" outlineLevel="0" collapsed="false">
      <c r="A1998" s="29" t="str">
        <f aca="false">IF($C1998="","",ROW()-4)</f>
        <v/>
      </c>
      <c r="B1998" s="35" t="str">
        <f aca="false">IF($C1998="","","SK"&amp;TEXT($C1998,"yyyymm")&amp;"-"&amp;TEXT(ROW()-4,"0000"))</f>
        <v/>
      </c>
      <c r="C1998" s="33"/>
      <c r="D1998" s="24"/>
      <c r="E1998" s="30" t="str">
        <f aca="false">IF($D1998="","",IFERROR(INDEX(合同单位,MATCH($D1998,合同键,0)),IFERROR(TRIM(LEFT($D1998,FIND("｜",$D1998)-1)),$D1998)))</f>
        <v/>
      </c>
      <c r="F1998" s="30" t="str">
        <f aca="false">IF($D1998="","",IFERROR(INDEX(合同项目,MATCH($D1998,合同键,0)),IFERROR(TRIM(MID($D1998,FIND("｜",$D1998)+1,99)),"")))</f>
        <v/>
      </c>
      <c r="G1998" s="39"/>
      <c r="H1998" s="25"/>
      <c r="I1998" s="35" t="str">
        <f aca="false">IF($H1998="","",IFERROR(INDEX(票据归类表,MATCH($H1998,票据类型表,0)),"现金无票"))</f>
        <v/>
      </c>
      <c r="J1998" s="25"/>
      <c r="K1998" s="25"/>
      <c r="L1998" s="31"/>
      <c r="M1998" s="29" t="str">
        <f aca="false">IF($C1998="","",YEAR($C1998))</f>
        <v/>
      </c>
      <c r="N1998" s="24"/>
      <c r="O1998" s="35" t="str">
        <f aca="false">IF($C1998="","",IF($D1998="","★没选客户项目",IF(COUNTIF(合同键,$D1998)=0,"★《维保合同》里没这个项目",IF(N($G1998)&lt;=0,"★收款金额要填",IF($H1998="","★票据类型要选",IF(AND($L1998&lt;&gt;"",COUNTIF(应收单号,$L1998)=0),"★关联的应收单号不存在",IF(AND($L1998&lt;&gt;"",IFERROR(INDEX(应收键,MATCH($L1998,应收单号,0)),"")&lt;&gt;$D1998),"★关联单号不是这个客户的",IF(AND($L1998&lt;&gt;"",ROUND(SUMIF(收款关联,$L1998,收款金额)-IFERROR(INDEX(应收金额,MATCH($L1998,应收单号,0)),0),2)&gt;0.001),"★指定冲销超过那张单的应收","OK"))))))))</f>
        <v/>
      </c>
    </row>
    <row r="1999" customFormat="false" ht="15" hidden="false" customHeight="false" outlineLevel="0" collapsed="false">
      <c r="A1999" s="29" t="str">
        <f aca="false">IF($C1999="","",ROW()-4)</f>
        <v/>
      </c>
      <c r="B1999" s="35" t="str">
        <f aca="false">IF($C1999="","","SK"&amp;TEXT($C1999,"yyyymm")&amp;"-"&amp;TEXT(ROW()-4,"0000"))</f>
        <v/>
      </c>
      <c r="C1999" s="33"/>
      <c r="D1999" s="24"/>
      <c r="E1999" s="30" t="str">
        <f aca="false">IF($D1999="","",IFERROR(INDEX(合同单位,MATCH($D1999,合同键,0)),IFERROR(TRIM(LEFT($D1999,FIND("｜",$D1999)-1)),$D1999)))</f>
        <v/>
      </c>
      <c r="F1999" s="30" t="str">
        <f aca="false">IF($D1999="","",IFERROR(INDEX(合同项目,MATCH($D1999,合同键,0)),IFERROR(TRIM(MID($D1999,FIND("｜",$D1999)+1,99)),"")))</f>
        <v/>
      </c>
      <c r="G1999" s="39"/>
      <c r="H1999" s="25"/>
      <c r="I1999" s="35" t="str">
        <f aca="false">IF($H1999="","",IFERROR(INDEX(票据归类表,MATCH($H1999,票据类型表,0)),"现金无票"))</f>
        <v/>
      </c>
      <c r="J1999" s="25"/>
      <c r="K1999" s="25"/>
      <c r="L1999" s="31"/>
      <c r="M1999" s="29" t="str">
        <f aca="false">IF($C1999="","",YEAR($C1999))</f>
        <v/>
      </c>
      <c r="N1999" s="24"/>
      <c r="O1999" s="35" t="str">
        <f aca="false">IF($C1999="","",IF($D1999="","★没选客户项目",IF(COUNTIF(合同键,$D1999)=0,"★《维保合同》里没这个项目",IF(N($G1999)&lt;=0,"★收款金额要填",IF($H1999="","★票据类型要选",IF(AND($L1999&lt;&gt;"",COUNTIF(应收单号,$L1999)=0),"★关联的应收单号不存在",IF(AND($L1999&lt;&gt;"",IFERROR(INDEX(应收键,MATCH($L1999,应收单号,0)),"")&lt;&gt;$D1999),"★关联单号不是这个客户的",IF(AND($L1999&lt;&gt;"",ROUND(SUMIF(收款关联,$L1999,收款金额)-IFERROR(INDEX(应收金额,MATCH($L1999,应收单号,0)),0),2)&gt;0.001),"★指定冲销超过那张单的应收","OK"))))))))</f>
        <v/>
      </c>
    </row>
    <row r="2000" customFormat="false" ht="15" hidden="false" customHeight="false" outlineLevel="0" collapsed="false">
      <c r="A2000" s="29" t="str">
        <f aca="false">IF($C2000="","",ROW()-4)</f>
        <v/>
      </c>
      <c r="B2000" s="35" t="str">
        <f aca="false">IF($C2000="","","SK"&amp;TEXT($C2000,"yyyymm")&amp;"-"&amp;TEXT(ROW()-4,"0000"))</f>
        <v/>
      </c>
      <c r="C2000" s="33"/>
      <c r="D2000" s="24"/>
      <c r="E2000" s="30" t="str">
        <f aca="false">IF($D2000="","",IFERROR(INDEX(合同单位,MATCH($D2000,合同键,0)),IFERROR(TRIM(LEFT($D2000,FIND("｜",$D2000)-1)),$D2000)))</f>
        <v/>
      </c>
      <c r="F2000" s="30" t="str">
        <f aca="false">IF($D2000="","",IFERROR(INDEX(合同项目,MATCH($D2000,合同键,0)),IFERROR(TRIM(MID($D2000,FIND("｜",$D2000)+1,99)),"")))</f>
        <v/>
      </c>
      <c r="G2000" s="39"/>
      <c r="H2000" s="25"/>
      <c r="I2000" s="35" t="str">
        <f aca="false">IF($H2000="","",IFERROR(INDEX(票据归类表,MATCH($H2000,票据类型表,0)),"现金无票"))</f>
        <v/>
      </c>
      <c r="J2000" s="25"/>
      <c r="K2000" s="25"/>
      <c r="L2000" s="31"/>
      <c r="M2000" s="29" t="str">
        <f aca="false">IF($C2000="","",YEAR($C2000))</f>
        <v/>
      </c>
      <c r="N2000" s="24"/>
      <c r="O2000" s="35" t="str">
        <f aca="false">IF($C2000="","",IF($D2000="","★没选客户项目",IF(COUNTIF(合同键,$D2000)=0,"★《维保合同》里没这个项目",IF(N($G2000)&lt;=0,"★收款金额要填",IF($H2000="","★票据类型要选",IF(AND($L2000&lt;&gt;"",COUNTIF(应收单号,$L2000)=0),"★关联的应收单号不存在",IF(AND($L2000&lt;&gt;"",IFERROR(INDEX(应收键,MATCH($L2000,应收单号,0)),"")&lt;&gt;$D2000),"★关联单号不是这个客户的",IF(AND($L2000&lt;&gt;"",ROUND(SUMIF(收款关联,$L2000,收款金额)-IFERROR(INDEX(应收金额,MATCH($L2000,应收单号,0)),0),2)&gt;0.001),"★指定冲销超过那张单的应收","OK"))))))))</f>
        <v/>
      </c>
    </row>
    <row r="2001" customFormat="false" ht="15" hidden="false" customHeight="false" outlineLevel="0" collapsed="false">
      <c r="A2001" s="29" t="str">
        <f aca="false">IF($C2001="","",ROW()-4)</f>
        <v/>
      </c>
      <c r="B2001" s="35" t="str">
        <f aca="false">IF($C2001="","","SK"&amp;TEXT($C2001,"yyyymm")&amp;"-"&amp;TEXT(ROW()-4,"0000"))</f>
        <v/>
      </c>
      <c r="C2001" s="33"/>
      <c r="D2001" s="24"/>
      <c r="E2001" s="30" t="str">
        <f aca="false">IF($D2001="","",IFERROR(INDEX(合同单位,MATCH($D2001,合同键,0)),IFERROR(TRIM(LEFT($D2001,FIND("｜",$D2001)-1)),$D2001)))</f>
        <v/>
      </c>
      <c r="F2001" s="30" t="str">
        <f aca="false">IF($D2001="","",IFERROR(INDEX(合同项目,MATCH($D2001,合同键,0)),IFERROR(TRIM(MID($D2001,FIND("｜",$D2001)+1,99)),"")))</f>
        <v/>
      </c>
      <c r="G2001" s="39"/>
      <c r="H2001" s="25"/>
      <c r="I2001" s="35" t="str">
        <f aca="false">IF($H2001="","",IFERROR(INDEX(票据归类表,MATCH($H2001,票据类型表,0)),"现金无票"))</f>
        <v/>
      </c>
      <c r="J2001" s="25"/>
      <c r="K2001" s="25"/>
      <c r="L2001" s="31"/>
      <c r="M2001" s="29" t="str">
        <f aca="false">IF($C2001="","",YEAR($C2001))</f>
        <v/>
      </c>
      <c r="N2001" s="24"/>
      <c r="O2001" s="35" t="str">
        <f aca="false">IF($C2001="","",IF($D2001="","★没选客户项目",IF(COUNTIF(合同键,$D2001)=0,"★《维保合同》里没这个项目",IF(N($G2001)&lt;=0,"★收款金额要填",IF($H2001="","★票据类型要选",IF(AND($L2001&lt;&gt;"",COUNTIF(应收单号,$L2001)=0),"★关联的应收单号不存在",IF(AND($L2001&lt;&gt;"",IFERROR(INDEX(应收键,MATCH($L2001,应收单号,0)),"")&lt;&gt;$D2001),"★关联单号不是这个客户的",IF(AND($L2001&lt;&gt;"",ROUND(SUMIF(收款关联,$L2001,收款金额)-IFERROR(INDEX(应收金额,MATCH($L2001,应收单号,0)),0),2)&gt;0.001),"★指定冲销超过那张单的应收","OK"))))))))</f>
        <v/>
      </c>
    </row>
    <row r="2002" customFormat="false" ht="15" hidden="false" customHeight="false" outlineLevel="0" collapsed="false">
      <c r="A2002" s="29" t="str">
        <f aca="false">IF($C2002="","",ROW()-4)</f>
        <v/>
      </c>
      <c r="B2002" s="35" t="str">
        <f aca="false">IF($C2002="","","SK"&amp;TEXT($C2002,"yyyymm")&amp;"-"&amp;TEXT(ROW()-4,"0000"))</f>
        <v/>
      </c>
      <c r="C2002" s="33"/>
      <c r="D2002" s="24"/>
      <c r="E2002" s="30" t="str">
        <f aca="false">IF($D2002="","",IFERROR(INDEX(合同单位,MATCH($D2002,合同键,0)),IFERROR(TRIM(LEFT($D2002,FIND("｜",$D2002)-1)),$D2002)))</f>
        <v/>
      </c>
      <c r="F2002" s="30" t="str">
        <f aca="false">IF($D2002="","",IFERROR(INDEX(合同项目,MATCH($D2002,合同键,0)),IFERROR(TRIM(MID($D2002,FIND("｜",$D2002)+1,99)),"")))</f>
        <v/>
      </c>
      <c r="G2002" s="39"/>
      <c r="H2002" s="25"/>
      <c r="I2002" s="35" t="str">
        <f aca="false">IF($H2002="","",IFERROR(INDEX(票据归类表,MATCH($H2002,票据类型表,0)),"现金无票"))</f>
        <v/>
      </c>
      <c r="J2002" s="25"/>
      <c r="K2002" s="25"/>
      <c r="L2002" s="31"/>
      <c r="M2002" s="29" t="str">
        <f aca="false">IF($C2002="","",YEAR($C2002))</f>
        <v/>
      </c>
      <c r="N2002" s="24"/>
      <c r="O2002" s="35" t="str">
        <f aca="false">IF($C2002="","",IF($D2002="","★没选客户项目",IF(COUNTIF(合同键,$D2002)=0,"★《维保合同》里没这个项目",IF(N($G2002)&lt;=0,"★收款金额要填",IF($H2002="","★票据类型要选",IF(AND($L2002&lt;&gt;"",COUNTIF(应收单号,$L2002)=0),"★关联的应收单号不存在",IF(AND($L2002&lt;&gt;"",IFERROR(INDEX(应收键,MATCH($L2002,应收单号,0)),"")&lt;&gt;$D2002),"★关联单号不是这个客户的",IF(AND($L2002&lt;&gt;"",ROUND(SUMIF(收款关联,$L2002,收款金额)-IFERROR(INDEX(应收金额,MATCH($L2002,应收单号,0)),0),2)&gt;0.001),"★指定冲销超过那张单的应收","OK"))))))))</f>
        <v/>
      </c>
    </row>
    <row r="2003" customFormat="false" ht="15" hidden="false" customHeight="false" outlineLevel="0" collapsed="false">
      <c r="A2003" s="29" t="str">
        <f aca="false">IF($C2003="","",ROW()-4)</f>
        <v/>
      </c>
      <c r="B2003" s="35" t="str">
        <f aca="false">IF($C2003="","","SK"&amp;TEXT($C2003,"yyyymm")&amp;"-"&amp;TEXT(ROW()-4,"0000"))</f>
        <v/>
      </c>
      <c r="C2003" s="33"/>
      <c r="D2003" s="24"/>
      <c r="E2003" s="30" t="str">
        <f aca="false">IF($D2003="","",IFERROR(INDEX(合同单位,MATCH($D2003,合同键,0)),IFERROR(TRIM(LEFT($D2003,FIND("｜",$D2003)-1)),$D2003)))</f>
        <v/>
      </c>
      <c r="F2003" s="30" t="str">
        <f aca="false">IF($D2003="","",IFERROR(INDEX(合同项目,MATCH($D2003,合同键,0)),IFERROR(TRIM(MID($D2003,FIND("｜",$D2003)+1,99)),"")))</f>
        <v/>
      </c>
      <c r="G2003" s="39"/>
      <c r="H2003" s="25"/>
      <c r="I2003" s="35" t="str">
        <f aca="false">IF($H2003="","",IFERROR(INDEX(票据归类表,MATCH($H2003,票据类型表,0)),"现金无票"))</f>
        <v/>
      </c>
      <c r="J2003" s="25"/>
      <c r="K2003" s="25"/>
      <c r="L2003" s="31"/>
      <c r="M2003" s="29" t="str">
        <f aca="false">IF($C2003="","",YEAR($C2003))</f>
        <v/>
      </c>
      <c r="N2003" s="24"/>
      <c r="O2003" s="35" t="str">
        <f aca="false">IF($C2003="","",IF($D2003="","★没选客户项目",IF(COUNTIF(合同键,$D2003)=0,"★《维保合同》里没这个项目",IF(N($G2003)&lt;=0,"★收款金额要填",IF($H2003="","★票据类型要选",IF(AND($L2003&lt;&gt;"",COUNTIF(应收单号,$L2003)=0),"★关联的应收单号不存在",IF(AND($L2003&lt;&gt;"",IFERROR(INDEX(应收键,MATCH($L2003,应收单号,0)),"")&lt;&gt;$D2003),"★关联单号不是这个客户的",IF(AND($L2003&lt;&gt;"",ROUND(SUMIF(收款关联,$L2003,收款金额)-IFERROR(INDEX(应收金额,MATCH($L2003,应收单号,0)),0),2)&gt;0.001),"★指定冲销超过那张单的应收","OK"))))))))</f>
        <v/>
      </c>
    </row>
    <row r="2004" customFormat="false" ht="15" hidden="false" customHeight="false" outlineLevel="0" collapsed="false">
      <c r="A2004" s="29" t="str">
        <f aca="false">IF($C2004="","",ROW()-4)</f>
        <v/>
      </c>
      <c r="B2004" s="35" t="str">
        <f aca="false">IF($C2004="","","SK"&amp;TEXT($C2004,"yyyymm")&amp;"-"&amp;TEXT(ROW()-4,"0000"))</f>
        <v/>
      </c>
      <c r="C2004" s="33"/>
      <c r="D2004" s="24"/>
      <c r="E2004" s="30" t="str">
        <f aca="false">IF($D2004="","",IFERROR(INDEX(合同单位,MATCH($D2004,合同键,0)),IFERROR(TRIM(LEFT($D2004,FIND("｜",$D2004)-1)),$D2004)))</f>
        <v/>
      </c>
      <c r="F2004" s="30" t="str">
        <f aca="false">IF($D2004="","",IFERROR(INDEX(合同项目,MATCH($D2004,合同键,0)),IFERROR(TRIM(MID($D2004,FIND("｜",$D2004)+1,99)),"")))</f>
        <v/>
      </c>
      <c r="G2004" s="39"/>
      <c r="H2004" s="25"/>
      <c r="I2004" s="35" t="str">
        <f aca="false">IF($H2004="","",IFERROR(INDEX(票据归类表,MATCH($H2004,票据类型表,0)),"现金无票"))</f>
        <v/>
      </c>
      <c r="J2004" s="25"/>
      <c r="K2004" s="25"/>
      <c r="L2004" s="31"/>
      <c r="M2004" s="29" t="str">
        <f aca="false">IF($C2004="","",YEAR($C2004))</f>
        <v/>
      </c>
      <c r="N2004" s="24"/>
      <c r="O2004" s="35" t="str">
        <f aca="false">IF($C2004="","",IF($D2004="","★没选客户项目",IF(COUNTIF(合同键,$D2004)=0,"★《维保合同》里没这个项目",IF(N($G2004)&lt;=0,"★收款金额要填",IF($H2004="","★票据类型要选",IF(AND($L2004&lt;&gt;"",COUNTIF(应收单号,$L2004)=0),"★关联的应收单号不存在",IF(AND($L2004&lt;&gt;"",IFERROR(INDEX(应收键,MATCH($L2004,应收单号,0)),"")&lt;&gt;$D2004),"★关联单号不是这个客户的",IF(AND($L2004&lt;&gt;"",ROUND(SUMIF(收款关联,$L2004,收款金额)-IFERROR(INDEX(应收金额,MATCH($L2004,应收单号,0)),0),2)&gt;0.001),"★指定冲销超过那张单的应收","OK"))))))))</f>
        <v/>
      </c>
    </row>
  </sheetData>
  <autoFilter ref="A4:O2004"/>
  <mergeCells count="2">
    <mergeCell ref="A1:O1"/>
    <mergeCell ref="A2:O2"/>
  </mergeCells>
  <dataValidations count="5">
    <dataValidation allowBlank="true" errorStyle="stop" operator="between" prompt="从《维保合同》建过的「客户项目」里选。" promptTitle="填写提示" showDropDown="false" showErrorMessage="false" showInputMessage="true" sqref="D5:D2004" type="list">
      <formula1>OFFSET(维保合同!$E$5,0,0,MAX(1,COUNTIF(维保合同!$E$5:$E$304,"?*")),1)</formula1>
      <formula2>0</formula2>
    </dataValidation>
    <dataValidation allowBlank="true" error="这一列要跟【基础资料】的清单一致，请从下拉里选。" errorStyle="stop" errorTitle="只能从下拉里选" operator="between" prompt="开的什么票就选什么：专票/普票/电子票 → 发票；收据 → 收据；什么都没开 → 无票。" promptTitle="填写提示" showDropDown="false" showErrorMessage="true" showInputMessage="true" sqref="H5:H2004" type="list">
      <formula1>OFFSET(基础资料!$P$5,0,0,MAX(1,COUNTA(基础资料!$P$5:$P$34)),1)</formula1>
      <formula2>0</formula2>
    </dataValidation>
    <dataValidation allowBlank="true" error="这一列要跟【基础资料】的清单一致，请从下拉里选。" errorStyle="stop" errorTitle="只能从下拉里选" operator="between" showDropDown="false" showErrorMessage="true" showInputMessage="false" sqref="J5:J2004" type="list">
      <formula1>OFFSET(基础资料!$S$5,0,0,MAX(1,COUNTA(基础资料!$S$5:$S$34)),1)</formula1>
      <formula2>0</formula2>
    </dataValidation>
    <dataValidation allowBlank="true" error="这一列要跟【基础资料】的清单一致，请从下拉里选。" errorStyle="stop" errorTitle="只能从下拉里选" operator="between" prompt="一次同时收了合同款和合同外款，就选「合并(不细分)」。" promptTitle="填写提示" showDropDown="false" showErrorMessage="true" showInputMessage="true" sqref="K5:K2004" type="list">
      <formula1>"合同款,合同外款,合并(不细分)"</formula1>
      <formula2>0</formula2>
    </dataValidation>
    <dataValidation allowBlank="true" errorStyle="stop" operator="between" prompt="选填。要指定这笔钱冲哪一张应收单才填；不填就按「先挂先冲」自动核销。" promptTitle="填写提示" showDropDown="false" showErrorMessage="false" showInputMessage="true" sqref="L5:L2004" type="list">
      <formula1>OFFSET(应收登记!$B$5,0,0,MAX(1,COUNTIF(应收登记!$B$5:$B$1504,"?*")),1)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AA30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14" min="8" style="0" width="13"/>
    <col collapsed="false" customWidth="true" hidden="false" outlineLevel="0" max="16" min="15" style="0" width="12"/>
    <col collapsed="false" customWidth="true" hidden="false" outlineLevel="0" max="17" min="17" style="0" width="14"/>
    <col collapsed="false" customWidth="true" hidden="false" outlineLevel="0" max="19" min="18" style="0" width="13"/>
    <col collapsed="false" customWidth="true" hidden="false" outlineLevel="0" max="20" min="20" style="0" width="14"/>
    <col collapsed="false" customWidth="true" hidden="false" outlineLevel="0" max="21" min="21" style="0" width="10"/>
    <col collapsed="false" customWidth="true" hidden="false" outlineLevel="0" max="22" min="22" style="0" width="26"/>
    <col collapsed="false" customWidth="true" hidden="false" outlineLevel="0" max="23" min="23" style="0" width="22"/>
    <col collapsed="false" customWidth="true" hidden="false" outlineLevel="0" max="24" min="24" style="0" width="24"/>
    <col collapsed="false" customWidth="true" hidden="true" outlineLevel="0" max="25" min="25" style="0" width="34"/>
    <col collapsed="false" customWidth="true" hidden="true" outlineLevel="0" max="26" min="26" style="0" width="13"/>
    <col collapsed="false" customWidth="true" hidden="true" outlineLevel="0" max="27" min="27" style="0" width="14"/>
  </cols>
  <sheetData>
    <row r="1" customFormat="false" ht="30" hidden="false" customHeight="true" outlineLevel="0" collapsed="false">
      <c r="A1" s="45" t="s">
        <v>517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</row>
    <row r="2" customFormat="false" ht="60" hidden="false" customHeight="true" outlineLevel="0" collapsed="false">
      <c r="A2" s="2" t="s">
        <v>518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customFormat="false" ht="19.5" hidden="false" customHeight="true" outlineLevel="0" collapsed="false">
      <c r="A3" s="26" t="s">
        <v>198</v>
      </c>
      <c r="G3" s="28" t="n">
        <f aca="false">SUM($G$5:$G$304)</f>
        <v>22</v>
      </c>
      <c r="H3" s="36" t="n">
        <f aca="false">ROUND(SUM($H$5:$H$304),2)</f>
        <v>6000</v>
      </c>
      <c r="I3" s="36" t="n">
        <f aca="false">ROUND(SUM($I$5:$I$304),2)</f>
        <v>99900</v>
      </c>
      <c r="J3" s="36" t="n">
        <f aca="false">ROUND(SUM($J$5:$J$304),2)</f>
        <v>81900</v>
      </c>
      <c r="K3" s="36" t="n">
        <f aca="false">ROUND(SUM($K$5:$K$304),2)</f>
        <v>18000</v>
      </c>
      <c r="L3" s="36" t="n">
        <f aca="false">ROUND(SUM($L$5:$L$304),2)</f>
        <v>66050</v>
      </c>
      <c r="M3" s="36" t="n">
        <f aca="false">ROUND(SUM($M$5:$M$304),2)</f>
        <v>33850</v>
      </c>
      <c r="N3" s="36" t="n">
        <f aca="false">ROUND(SUM($N$5:$N$304),2)</f>
        <v>61250</v>
      </c>
      <c r="O3" s="36" t="n">
        <f aca="false">ROUND(SUM($O$5:$O$304),2)</f>
        <v>56650</v>
      </c>
      <c r="P3" s="36" t="n">
        <f aca="false">ROUND(SUM($P$5:$P$304),2)</f>
        <v>2800</v>
      </c>
      <c r="Q3" s="36" t="n">
        <f aca="false">ROUND(SUM($Q$5:$Q$304),2)</f>
        <v>1800</v>
      </c>
      <c r="R3" s="36" t="n">
        <f aca="false">ROUND(SUM($R$5:$R$304),2)</f>
        <v>7200</v>
      </c>
      <c r="S3" s="36" t="n">
        <f aca="false">ROUND(SUM($S$5:$S$304),2)</f>
        <v>37450</v>
      </c>
      <c r="T3" s="36" t="n">
        <f aca="false">ROUND(SUM($T$5:$T$304),2)</f>
        <v>44650</v>
      </c>
      <c r="V3" s="37" t="str">
        <f aca="false">COUNTIF($V$5:$V$304,"*▲*")&amp;" 个项目要盯"</f>
        <v>6 个项目要盯</v>
      </c>
      <c r="X3" s="37" t="str">
        <f aca="false">IF(COUNTIF($X$5:$X$304,"★*")=0,"全部平",COUNTIF($X$5:$X$304,"★*")&amp;" 行不平")</f>
        <v>全部平</v>
      </c>
    </row>
    <row r="4" customFormat="false" ht="31.5" hidden="false" customHeight="true" outlineLevel="0" collapsed="false">
      <c r="A4" s="46" t="s">
        <v>199</v>
      </c>
      <c r="B4" s="46" t="s">
        <v>519</v>
      </c>
      <c r="C4" s="46" t="s">
        <v>520</v>
      </c>
      <c r="D4" s="46" t="s">
        <v>377</v>
      </c>
      <c r="E4" s="46" t="s">
        <v>124</v>
      </c>
      <c r="F4" s="46" t="s">
        <v>521</v>
      </c>
      <c r="G4" s="46" t="s">
        <v>4</v>
      </c>
      <c r="H4" s="46" t="s">
        <v>522</v>
      </c>
      <c r="I4" s="46" t="s">
        <v>523</v>
      </c>
      <c r="J4" s="46" t="s">
        <v>524</v>
      </c>
      <c r="K4" s="46" t="s">
        <v>525</v>
      </c>
      <c r="L4" s="46" t="s">
        <v>526</v>
      </c>
      <c r="M4" s="46" t="s">
        <v>527</v>
      </c>
      <c r="N4" s="46" t="s">
        <v>528</v>
      </c>
      <c r="O4" s="46" t="s">
        <v>529</v>
      </c>
      <c r="P4" s="46" t="s">
        <v>530</v>
      </c>
      <c r="Q4" s="46" t="s">
        <v>531</v>
      </c>
      <c r="R4" s="46" t="s">
        <v>532</v>
      </c>
      <c r="S4" s="46" t="s">
        <v>533</v>
      </c>
      <c r="T4" s="46" t="s">
        <v>534</v>
      </c>
      <c r="U4" s="46" t="s">
        <v>535</v>
      </c>
      <c r="V4" s="46" t="s">
        <v>536</v>
      </c>
      <c r="W4" s="46" t="s">
        <v>391</v>
      </c>
      <c r="X4" s="46" t="s">
        <v>229</v>
      </c>
      <c r="Y4" s="46" t="s">
        <v>537</v>
      </c>
      <c r="Z4" s="46" t="s">
        <v>538</v>
      </c>
      <c r="AA4" s="46" t="s">
        <v>539</v>
      </c>
    </row>
    <row r="5" customFormat="false" ht="15" hidden="false" customHeight="false" outlineLevel="0" collapsed="false">
      <c r="A5" s="29" t="n">
        <f aca="false">IF($Y5="","",ROW()-4)</f>
        <v>1</v>
      </c>
      <c r="B5" s="16" t="str">
        <f aca="false">IF($Y5="","",维保合同!$C5)</f>
        <v>河南中意联机电工程有限公司</v>
      </c>
      <c r="C5" s="16" t="str">
        <f aca="false">IF($Y5="","",维保合同!$D5)</f>
        <v>滨江苑一期</v>
      </c>
      <c r="D5" s="35" t="str">
        <f aca="false">IF($Y5="","",维保合同!$F5)</f>
        <v>WB2026-001</v>
      </c>
      <c r="E5" s="35" t="str">
        <f aca="false">IF($Y5="","",维保合同!$G5)</f>
        <v>已签已回</v>
      </c>
      <c r="F5" s="47" t="n">
        <f aca="false">IF($Y5="","",维保合同!$I5)</f>
        <v>46387</v>
      </c>
      <c r="G5" s="38" t="n">
        <f aca="false">IF($Y5="","",维保合同!$K5)</f>
        <v>1</v>
      </c>
      <c r="H5" s="41" t="n">
        <f aca="false">IF($Y5="","",ROUND(SUMIFS(应收金额,应收键,$Y5,应收年度,"&lt;"&amp;管理年度)-SUMIFS(收款金额,收款键,$Y5,收款年度,"&lt;"&amp;管理年度),2))</f>
        <v>0</v>
      </c>
      <c r="I5" s="40" t="n">
        <f aca="false">IF($Y5="","",ROUND(SUMIFS(应收金额,应收键,$Y5,应收年度,管理年度),2))</f>
        <v>3600</v>
      </c>
      <c r="J5" s="40" t="n">
        <f aca="false">IF($Y5="","",ROUND(SUMIFS(应收金额,应收键,$Y5,应收年度,管理年度,应收款别,"合同款"),2))</f>
        <v>3600</v>
      </c>
      <c r="K5" s="40" t="n">
        <f aca="false">IF($Y5="","",ROUND($I5-$J5,2))</f>
        <v>0</v>
      </c>
      <c r="L5" s="40" t="n">
        <f aca="false">IF($Y5="","",ROUND(SUMIFS(应收开票额,应收键,$Y5,应收开票年度,管理年度),2))</f>
        <v>1800</v>
      </c>
      <c r="M5" s="40" t="n">
        <f aca="false">IF($Y5="","",ROUND($I5-$L5,2))</f>
        <v>1800</v>
      </c>
      <c r="N5" s="40" t="n">
        <f aca="false">IF($Y5="","",ROUND(SUMIFS(收款金额,收款键,$Y5,收款年度,管理年度),2))</f>
        <v>1800</v>
      </c>
      <c r="O5" s="40" t="n">
        <f aca="false">IF($Y5="","",ROUND(SUMIFS(收款金额,收款键,$Y5,收款年度,管理年度,收款归类,"发票"),2))</f>
        <v>1800</v>
      </c>
      <c r="P5" s="40" t="n">
        <f aca="false">IF($Y5="","",ROUND(SUMIFS(收款金额,收款键,$Y5,收款年度,管理年度,收款归类,"收据"),2))</f>
        <v>0</v>
      </c>
      <c r="Q5" s="40" t="n">
        <f aca="false">IF($Y5="","",ROUND(SUMIFS(收款金额,收款键,$Y5,收款年度,管理年度,收款归类,"现金无票"),2))</f>
        <v>0</v>
      </c>
      <c r="R5" s="40" t="n">
        <f aca="false">IF($Y5="","",ROUND(MAX(0,MIN($T5,SUMIF(应收键,$Y5,应收开票额)-SUMIF(收款键,$Y5,收款金额))),2))</f>
        <v>0</v>
      </c>
      <c r="S5" s="40" t="n">
        <f aca="false">IF($Y5="","",ROUND(MAX(0,$T5)-$R5,2))</f>
        <v>1800</v>
      </c>
      <c r="T5" s="48" t="n">
        <f aca="false">IF($Y5="","",ROUND(SUMIF(应收键,$Y5,应收金额)-SUMIF(收款键,$Y5,收款金额),2))</f>
        <v>1800</v>
      </c>
      <c r="U5" s="49" t="n">
        <f aca="true">IF($AA5="","",IF($T5&lt;=0.01,"",MAX(0,TODAY()-$AA5)))</f>
        <v>78</v>
      </c>
      <c r="V5" s="50" t="str">
        <f aca="true">IF($Y5="","",IF($T5&gt;0.01,IF(AND(ISNUMBER($U5),$U5&gt;=账龄预警天),"▲欠款拖了 "&amp;TEXT($U5,"0")&amp;" 天","欠款未清"),IF($T5&lt;-0.01,"预收/多收","已结清"))&amp;IF(OR($E5="已签未回",$E5="未签",$E5="续签中")," ▲合同未回","")&amp;IF(AND(ISNUMBER($F5),$F5&lt;TODAY())," ▲合同已到期",""))</f>
        <v>欠款未清</v>
      </c>
      <c r="W5" s="24"/>
      <c r="X5" s="35" t="str">
        <f aca="false">IF($Y5="","",IF(ROUND($H5+$I5-$N5+$Z5-$T5,2)&lt;&gt;0,"★期初＋本年－已收≠余额",IF(ROUND($R5+$S5-MAX(0,$T5),2)&lt;&gt;0,"★已开票＋未开票≠欠款",IF(ROUND($J5+$K5-$I5,2)&lt;&gt;0,"★合同款＋合同外款≠本年应收",IF(ROUND($O5+$P5+$Q5-$N5,2)&lt;&gt;0,"★发票＋收据＋现金≠本年已收","OK")))))</f>
        <v>OK</v>
      </c>
      <c r="Y5" s="35" t="str">
        <f aca="false">IF(维保合同!$C5="","",维保合同!$E5)</f>
        <v>河南中意联机电工程有限公司 ｜ 滨江苑一期</v>
      </c>
      <c r="Z5" s="40" t="n">
        <f aca="false">IF($Y5="","",ROUND(SUMIFS(应收金额,应收键,$Y5,应收年度,"&gt;"&amp;管理年度)-SUMIFS(收款金额,收款键,$Y5,收款年度,"&gt;"&amp;管理年度),2))</f>
        <v>0</v>
      </c>
      <c r="AA5" s="47" t="n">
        <f aca="false">IF($Y5="","",IF(SUMPRODUCT(MIN(IF((应收键=$Y5)*(应收未收&gt;0.01),应收日期,999999)))&gt;=999999,"",SUMPRODUCT(MIN(IF((应收键=$Y5)*(应收未收&gt;0.01),应收日期,999999)))))</f>
        <v>46208</v>
      </c>
    </row>
    <row r="6" customFormat="false" ht="15" hidden="false" customHeight="false" outlineLevel="0" collapsed="false">
      <c r="A6" s="29" t="n">
        <f aca="false">IF($Y6="","",ROW()-4)</f>
        <v>2</v>
      </c>
      <c r="B6" s="16" t="str">
        <f aca="false">IF($Y6="","",维保合同!$C6)</f>
        <v>河南明海定慧商业管理有限公司</v>
      </c>
      <c r="C6" s="16" t="str">
        <f aca="false">IF($Y6="","",维保合同!$D6)</f>
        <v>六渡桥</v>
      </c>
      <c r="D6" s="35" t="str">
        <f aca="false">IF($Y6="","",维保合同!$F6)</f>
        <v>WB2026-002</v>
      </c>
      <c r="E6" s="35" t="str">
        <f aca="false">IF($Y6="","",维保合同!$G6)</f>
        <v>已签未回</v>
      </c>
      <c r="F6" s="47" t="n">
        <f aca="false">IF($Y6="","",维保合同!$I6)</f>
        <v>46446</v>
      </c>
      <c r="G6" s="38" t="n">
        <f aca="false">IF($Y6="","",维保合同!$K6)</f>
        <v>1</v>
      </c>
      <c r="H6" s="41" t="n">
        <f aca="false">IF($Y6="","",ROUND(SUMIFS(应收金额,应收键,$Y6,应收年度,"&lt;"&amp;管理年度)-SUMIFS(收款金额,收款键,$Y6,收款年度,"&lt;"&amp;管理年度),2))</f>
        <v>0</v>
      </c>
      <c r="I6" s="40" t="n">
        <f aca="false">IF($Y6="","",ROUND(SUMIFS(应收金额,应收键,$Y6,应收年度,管理年度),2))</f>
        <v>3150</v>
      </c>
      <c r="J6" s="40" t="n">
        <f aca="false">IF($Y6="","",ROUND(SUMIFS(应收金额,应收键,$Y6,应收年度,管理年度,应收款别,"合同款"),2))</f>
        <v>3150</v>
      </c>
      <c r="K6" s="40" t="n">
        <f aca="false">IF($Y6="","",ROUND($I6-$J6,2))</f>
        <v>0</v>
      </c>
      <c r="L6" s="40" t="n">
        <f aca="false">IF($Y6="","",ROUND(SUMIFS(应收开票额,应收键,$Y6,应收开票年度,管理年度),2))</f>
        <v>2100</v>
      </c>
      <c r="M6" s="40" t="n">
        <f aca="false">IF($Y6="","",ROUND($I6-$L6,2))</f>
        <v>1050</v>
      </c>
      <c r="N6" s="40" t="n">
        <f aca="false">IF($Y6="","",ROUND(SUMIFS(收款金额,收款键,$Y6,收款年度,管理年度),2))</f>
        <v>2100</v>
      </c>
      <c r="O6" s="40" t="n">
        <f aca="false">IF($Y6="","",ROUND(SUMIFS(收款金额,收款键,$Y6,收款年度,管理年度,收款归类,"发票"),2))</f>
        <v>2100</v>
      </c>
      <c r="P6" s="40" t="n">
        <f aca="false">IF($Y6="","",ROUND(SUMIFS(收款金额,收款键,$Y6,收款年度,管理年度,收款归类,"收据"),2))</f>
        <v>0</v>
      </c>
      <c r="Q6" s="40" t="n">
        <f aca="false">IF($Y6="","",ROUND(SUMIFS(收款金额,收款键,$Y6,收款年度,管理年度,收款归类,"现金无票"),2))</f>
        <v>0</v>
      </c>
      <c r="R6" s="40" t="n">
        <f aca="false">IF($Y6="","",ROUND(MAX(0,MIN($T6,SUMIF(应收键,$Y6,应收开票额)-SUMIF(收款键,$Y6,收款金额))),2))</f>
        <v>0</v>
      </c>
      <c r="S6" s="40" t="n">
        <f aca="false">IF($Y6="","",ROUND(MAX(0,$T6)-$R6,2))</f>
        <v>1050</v>
      </c>
      <c r="T6" s="48" t="n">
        <f aca="false">IF($Y6="","",ROUND(SUMIF(应收键,$Y6,应收金额)-SUMIF(收款键,$Y6,收款金额),2))</f>
        <v>1050</v>
      </c>
      <c r="U6" s="49" t="n">
        <f aca="true">IF($AA6="","",IF($T6&lt;=0.01,"",MAX(0,TODAY()-$AA6)))</f>
        <v>16</v>
      </c>
      <c r="V6" s="50" t="str">
        <f aca="true">IF($Y6="","",IF($T6&gt;0.01,IF(AND(ISNUMBER($U6),$U6&gt;=账龄预警天),"▲欠款拖了 "&amp;TEXT($U6,"0")&amp;" 天","欠款未清"),IF($T6&lt;-0.01,"预收/多收","已结清"))&amp;IF(OR($E6="已签未回",$E6="未签",$E6="续签中")," ▲合同未回","")&amp;IF(AND(ISNUMBER($F6),$F6&lt;TODAY())," ▲合同已到期",""))</f>
        <v>欠款未清 ▲合同未回</v>
      </c>
      <c r="W6" s="24"/>
      <c r="X6" s="35" t="str">
        <f aca="false">IF($Y6="","",IF(ROUND($H6+$I6-$N6+$Z6-$T6,2)&lt;&gt;0,"★期初＋本年－已收≠余额",IF(ROUND($R6+$S6-MAX(0,$T6),2)&lt;&gt;0,"★已开票＋未开票≠欠款",IF(ROUND($J6+$K6-$I6,2)&lt;&gt;0,"★合同款＋合同外款≠本年应收",IF(ROUND($O6+$P6+$Q6-$N6,2)&lt;&gt;0,"★发票＋收据＋现金≠本年已收","OK")))))</f>
        <v>OK</v>
      </c>
      <c r="Y6" s="35" t="str">
        <f aca="false">IF(维保合同!$C6="","",维保合同!$E6)</f>
        <v>河南明海定慧商业管理有限公司 ｜ 六渡桥</v>
      </c>
      <c r="Z6" s="40" t="n">
        <f aca="false">IF($Y6="","",ROUND(SUMIFS(应收金额,应收键,$Y6,应收年度,"&gt;"&amp;管理年度)-SUMIFS(收款金额,收款键,$Y6,收款年度,"&gt;"&amp;管理年度),2))</f>
        <v>0</v>
      </c>
      <c r="AA6" s="47" t="n">
        <f aca="false">IF($Y6="","",IF(SUMPRODUCT(MIN(IF((应收键=$Y6)*(应收未收&gt;0.01),应收日期,999999)))&gt;=999999,"",SUMPRODUCT(MIN(IF((应收键=$Y6)*(应收未收&gt;0.01),应收日期,999999)))))</f>
        <v>46270</v>
      </c>
    </row>
    <row r="7" customFormat="false" ht="15" hidden="false" customHeight="false" outlineLevel="0" collapsed="false">
      <c r="A7" s="29" t="n">
        <f aca="false">IF($Y7="","",ROW()-4)</f>
        <v>3</v>
      </c>
      <c r="B7" s="16" t="str">
        <f aca="false">IF($Y7="","",维保合同!$C7)</f>
        <v>河南华茂医院有限公司</v>
      </c>
      <c r="C7" s="16" t="str">
        <f aca="false">IF($Y7="","",维保合同!$D7)</f>
        <v>圣爱医院</v>
      </c>
      <c r="D7" s="35" t="str">
        <f aca="false">IF($Y7="","",维保合同!$F7)</f>
        <v>WB2025-018</v>
      </c>
      <c r="E7" s="35" t="str">
        <f aca="false">IF($Y7="","",维保合同!$G7)</f>
        <v>已签已回</v>
      </c>
      <c r="F7" s="47" t="n">
        <f aca="false">IF($Y7="","",维保合同!$I7)</f>
        <v>46203</v>
      </c>
      <c r="G7" s="38" t="n">
        <f aca="false">IF($Y7="","",维保合同!$K7)</f>
        <v>2</v>
      </c>
      <c r="H7" s="41" t="n">
        <f aca="false">IF($Y7="","",ROUND(SUMIFS(应收金额,应收键,$Y7,应收年度,"&lt;"&amp;管理年度)-SUMIFS(收款金额,收款键,$Y7,收款年度,"&lt;"&amp;管理年度),2))</f>
        <v>0</v>
      </c>
      <c r="I7" s="40" t="n">
        <f aca="false">IF($Y7="","",ROUND(SUMIFS(应收金额,应收键,$Y7,应收年度,管理年度),2))</f>
        <v>10200</v>
      </c>
      <c r="J7" s="40" t="n">
        <f aca="false">IF($Y7="","",ROUND(SUMIFS(应收金额,应收键,$Y7,应收年度,管理年度,应收款别,"合同款"),2))</f>
        <v>9600</v>
      </c>
      <c r="K7" s="40" t="n">
        <f aca="false">IF($Y7="","",ROUND($I7-$J7,2))</f>
        <v>600</v>
      </c>
      <c r="L7" s="40" t="n">
        <f aca="false">IF($Y7="","",ROUND(SUMIFS(应收开票额,应收键,$Y7,应收开票年度,管理年度),2))</f>
        <v>10200</v>
      </c>
      <c r="M7" s="40" t="n">
        <f aca="false">IF($Y7="","",ROUND($I7-$L7,2))</f>
        <v>0</v>
      </c>
      <c r="N7" s="40" t="n">
        <f aca="false">IF($Y7="","",ROUND(SUMIFS(收款金额,收款键,$Y7,收款年度,管理年度),2))</f>
        <v>5400</v>
      </c>
      <c r="O7" s="40" t="n">
        <f aca="false">IF($Y7="","",ROUND(SUMIFS(收款金额,收款键,$Y7,收款年度,管理年度,收款归类,"发票"),2))</f>
        <v>5400</v>
      </c>
      <c r="P7" s="40" t="n">
        <f aca="false">IF($Y7="","",ROUND(SUMIFS(收款金额,收款键,$Y7,收款年度,管理年度,收款归类,"收据"),2))</f>
        <v>0</v>
      </c>
      <c r="Q7" s="40" t="n">
        <f aca="false">IF($Y7="","",ROUND(SUMIFS(收款金额,收款键,$Y7,收款年度,管理年度,收款归类,"现金无票"),2))</f>
        <v>0</v>
      </c>
      <c r="R7" s="40" t="n">
        <f aca="false">IF($Y7="","",ROUND(MAX(0,MIN($T7,SUMIF(应收键,$Y7,应收开票额)-SUMIF(收款键,$Y7,收款金额))),2))</f>
        <v>4800</v>
      </c>
      <c r="S7" s="40" t="n">
        <f aca="false">IF($Y7="","",ROUND(MAX(0,$T7)-$R7,2))</f>
        <v>0</v>
      </c>
      <c r="T7" s="48" t="n">
        <f aca="false">IF($Y7="","",ROUND(SUMIF(应收键,$Y7,应收金额)-SUMIF(收款键,$Y7,收款金额),2))</f>
        <v>4800</v>
      </c>
      <c r="U7" s="49" t="n">
        <f aca="true">IF($AA7="","",IF($T7&lt;=0.01,"",MAX(0,TODAY()-$AA7)))</f>
        <v>78</v>
      </c>
      <c r="V7" s="50" t="str">
        <f aca="true">IF($Y7="","",IF($T7&gt;0.01,IF(AND(ISNUMBER($U7),$U7&gt;=账龄预警天),"▲欠款拖了 "&amp;TEXT($U7,"0")&amp;" 天","欠款未清"),IF($T7&lt;-0.01,"预收/多收","已结清"))&amp;IF(OR($E7="已签未回",$E7="未签",$E7="续签中")," ▲合同未回","")&amp;IF(AND(ISNUMBER($F7),$F7&lt;TODAY())," ▲合同已到期",""))</f>
        <v>欠款未清 ▲合同已到期</v>
      </c>
      <c r="W7" s="24"/>
      <c r="X7" s="35" t="str">
        <f aca="false">IF($Y7="","",IF(ROUND($H7+$I7-$N7+$Z7-$T7,2)&lt;&gt;0,"★期初＋本年－已收≠余额",IF(ROUND($R7+$S7-MAX(0,$T7),2)&lt;&gt;0,"★已开票＋未开票≠欠款",IF(ROUND($J7+$K7-$I7,2)&lt;&gt;0,"★合同款＋合同外款≠本年应收",IF(ROUND($O7+$P7+$Q7-$N7,2)&lt;&gt;0,"★发票＋收据＋现金≠本年已收","OK")))))</f>
        <v>OK</v>
      </c>
      <c r="Y7" s="35" t="str">
        <f aca="false">IF(维保合同!$C7="","",维保合同!$E7)</f>
        <v>河南华茂医院有限公司 ｜ 圣爱医院</v>
      </c>
      <c r="Z7" s="40" t="n">
        <f aca="false">IF($Y7="","",ROUND(SUMIFS(应收金额,应收键,$Y7,应收年度,"&gt;"&amp;管理年度)-SUMIFS(收款金额,收款键,$Y7,收款年度,"&gt;"&amp;管理年度),2))</f>
        <v>0</v>
      </c>
      <c r="AA7" s="47" t="n">
        <f aca="false">IF($Y7="","",IF(SUMPRODUCT(MIN(IF((应收键=$Y7)*(应收未收&gt;0.01),应收日期,999999)))&gt;=999999,"",SUMPRODUCT(MIN(IF((应收键=$Y7)*(应收未收&gt;0.01),应收日期,999999)))))</f>
        <v>46208</v>
      </c>
    </row>
    <row r="8" customFormat="false" ht="26.85" hidden="false" customHeight="false" outlineLevel="0" collapsed="false">
      <c r="A8" s="29" t="n">
        <f aca="false">IF($Y8="","",ROW()-4)</f>
        <v>4</v>
      </c>
      <c r="B8" s="16" t="str">
        <f aca="false">IF($Y8="","",维保合同!$C8)</f>
        <v>河南长江人民艺术剧院有限责任公司</v>
      </c>
      <c r="C8" s="16" t="str">
        <f aca="false">IF($Y8="","",维保合同!$D8)</f>
        <v>长江人艺D8小剧场</v>
      </c>
      <c r="D8" s="35" t="n">
        <f aca="false">IF($Y8="","",维保合同!$F8)</f>
        <v>0</v>
      </c>
      <c r="E8" s="35" t="str">
        <f aca="false">IF($Y8="","",维保合同!$G8)</f>
        <v>未签</v>
      </c>
      <c r="F8" s="47" t="n">
        <f aca="false">IF($Y8="","",维保合同!$I8)</f>
        <v>46538</v>
      </c>
      <c r="G8" s="38" t="n">
        <f aca="false">IF($Y8="","",维保合同!$K8)</f>
        <v>1</v>
      </c>
      <c r="H8" s="41" t="n">
        <f aca="false">IF($Y8="","",ROUND(SUMIFS(应收金额,应收键,$Y8,应收年度,"&lt;"&amp;管理年度)-SUMIFS(收款金额,收款键,$Y8,收款年度,"&lt;"&amp;管理年度),2))</f>
        <v>0</v>
      </c>
      <c r="I8" s="40" t="n">
        <f aca="false">IF($Y8="","",ROUND(SUMIFS(应收金额,应收键,$Y8,应收年度,管理年度),2))</f>
        <v>5400</v>
      </c>
      <c r="J8" s="40" t="n">
        <f aca="false">IF($Y8="","",ROUND(SUMIFS(应收金额,应收键,$Y8,应收年度,管理年度,应收款别,"合同款"),2))</f>
        <v>5400</v>
      </c>
      <c r="K8" s="40" t="n">
        <f aca="false">IF($Y8="","",ROUND($I8-$J8,2))</f>
        <v>0</v>
      </c>
      <c r="L8" s="40" t="n">
        <f aca="false">IF($Y8="","",ROUND(SUMIFS(应收开票额,应收键,$Y8,应收开票年度,管理年度),2))</f>
        <v>0</v>
      </c>
      <c r="M8" s="40" t="n">
        <f aca="false">IF($Y8="","",ROUND($I8-$L8,2))</f>
        <v>5400</v>
      </c>
      <c r="N8" s="40" t="n">
        <f aca="false">IF($Y8="","",ROUND(SUMIFS(收款金额,收款键,$Y8,收款年度,管理年度),2))</f>
        <v>0</v>
      </c>
      <c r="O8" s="40" t="n">
        <f aca="false">IF($Y8="","",ROUND(SUMIFS(收款金额,收款键,$Y8,收款年度,管理年度,收款归类,"发票"),2))</f>
        <v>0</v>
      </c>
      <c r="P8" s="40" t="n">
        <f aca="false">IF($Y8="","",ROUND(SUMIFS(收款金额,收款键,$Y8,收款年度,管理年度,收款归类,"收据"),2))</f>
        <v>0</v>
      </c>
      <c r="Q8" s="40" t="n">
        <f aca="false">IF($Y8="","",ROUND(SUMIFS(收款金额,收款键,$Y8,收款年度,管理年度,收款归类,"现金无票"),2))</f>
        <v>0</v>
      </c>
      <c r="R8" s="40" t="n">
        <f aca="false">IF($Y8="","",ROUND(MAX(0,MIN($T8,SUMIF(应收键,$Y8,应收开票额)-SUMIF(收款键,$Y8,收款金额))),2))</f>
        <v>0</v>
      </c>
      <c r="S8" s="40" t="n">
        <f aca="false">IF($Y8="","",ROUND(MAX(0,$T8)-$R8,2))</f>
        <v>5400</v>
      </c>
      <c r="T8" s="48" t="n">
        <f aca="false">IF($Y8="","",ROUND(SUMIF(应收键,$Y8,应收金额)-SUMIF(收款键,$Y8,收款金额),2))</f>
        <v>5400</v>
      </c>
      <c r="U8" s="49" t="n">
        <f aca="true">IF($AA8="","",IF($T8&lt;=0.01,"",MAX(0,TODAY()-$AA8)))</f>
        <v>103</v>
      </c>
      <c r="V8" s="50" t="str">
        <f aca="true">IF($Y8="","",IF($T8&gt;0.01,IF(AND(ISNUMBER($U8),$U8&gt;=账龄预警天),"▲欠款拖了 "&amp;TEXT($U8,"0")&amp;" 天","欠款未清"),IF($T8&lt;-0.01,"预收/多收","已结清"))&amp;IF(OR($E8="已签未回",$E8="未签",$E8="续签中")," ▲合同未回","")&amp;IF(AND(ISNUMBER($F8),$F8&lt;TODAY())," ▲合同已到期",""))</f>
        <v>▲欠款拖了 103 天 ▲合同未回</v>
      </c>
      <c r="W8" s="24"/>
      <c r="X8" s="35" t="str">
        <f aca="false">IF($Y8="","",IF(ROUND($H8+$I8-$N8+$Z8-$T8,2)&lt;&gt;0,"★期初＋本年－已收≠余额",IF(ROUND($R8+$S8-MAX(0,$T8),2)&lt;&gt;0,"★已开票＋未开票≠欠款",IF(ROUND($J8+$K8-$I8,2)&lt;&gt;0,"★合同款＋合同外款≠本年应收",IF(ROUND($O8+$P8+$Q8-$N8,2)&lt;&gt;0,"★发票＋收据＋现金≠本年已收","OK")))))</f>
        <v>OK</v>
      </c>
      <c r="Y8" s="35" t="str">
        <f aca="false">IF(维保合同!$C8="","",维保合同!$E8)</f>
        <v>河南长江人民艺术剧院有限责任公司 ｜ 长江人艺D8小剧场</v>
      </c>
      <c r="Z8" s="40" t="n">
        <f aca="false">IF($Y8="","",ROUND(SUMIFS(应收金额,应收键,$Y8,应收年度,"&gt;"&amp;管理年度)-SUMIFS(收款金额,收款键,$Y8,收款年度,"&gt;"&amp;管理年度),2))</f>
        <v>0</v>
      </c>
      <c r="AA8" s="47" t="n">
        <f aca="false">IF($Y8="","",IF(SUMPRODUCT(MIN(IF((应收键=$Y8)*(应收未收&gt;0.01),应收日期,999999)))&gt;=999999,"",SUMPRODUCT(MIN(IF((应收键=$Y8)*(应收未收&gt;0.01),应收日期,999999)))))</f>
        <v>46183</v>
      </c>
    </row>
    <row r="9" customFormat="false" ht="26.85" hidden="false" customHeight="false" outlineLevel="0" collapsed="false">
      <c r="A9" s="29" t="n">
        <f aca="false">IF($Y9="","",ROW()-4)</f>
        <v>5</v>
      </c>
      <c r="B9" s="16" t="str">
        <f aca="false">IF($Y9="","",维保合同!$C9)</f>
        <v>河南长江人民艺术剧院有限责任公司</v>
      </c>
      <c r="C9" s="16" t="str">
        <f aca="false">IF($Y9="","",维保合同!$D9)</f>
        <v>大东门华北村63号</v>
      </c>
      <c r="D9" s="35" t="str">
        <f aca="false">IF($Y9="","",维保合同!$F9)</f>
        <v>WB2026-005</v>
      </c>
      <c r="E9" s="35" t="str">
        <f aca="false">IF($Y9="","",维保合同!$G9)</f>
        <v>已签已回</v>
      </c>
      <c r="F9" s="47" t="n">
        <f aca="false">IF($Y9="","",维保合同!$I9)</f>
        <v>46387</v>
      </c>
      <c r="G9" s="38" t="n">
        <f aca="false">IF($Y9="","",维保合同!$K9)</f>
        <v>2</v>
      </c>
      <c r="H9" s="41" t="n">
        <f aca="false">IF($Y9="","",ROUND(SUMIFS(应收金额,应收键,$Y9,应收年度,"&lt;"&amp;管理年度)-SUMIFS(收款金额,收款键,$Y9,收款年度,"&lt;"&amp;管理年度),2))</f>
        <v>0</v>
      </c>
      <c r="I9" s="40" t="n">
        <f aca="false">IF($Y9="","",ROUND(SUMIFS(应收金额,应收键,$Y9,应收年度,管理年度),2))</f>
        <v>8000</v>
      </c>
      <c r="J9" s="40" t="n">
        <f aca="false">IF($Y9="","",ROUND(SUMIFS(应收金额,应收键,$Y9,应收年度,管理年度,应收款别,"合同款"),2))</f>
        <v>5400</v>
      </c>
      <c r="K9" s="40" t="n">
        <f aca="false">IF($Y9="","",ROUND($I9-$J9,2))</f>
        <v>2600</v>
      </c>
      <c r="L9" s="40" t="n">
        <f aca="false">IF($Y9="","",ROUND(SUMIFS(应收开票额,应收键,$Y9,应收开票年度,管理年度),2))</f>
        <v>8000</v>
      </c>
      <c r="M9" s="40" t="n">
        <f aca="false">IF($Y9="","",ROUND($I9-$L9,2))</f>
        <v>0</v>
      </c>
      <c r="N9" s="40" t="n">
        <f aca="false">IF($Y9="","",ROUND(SUMIFS(收款金额,收款键,$Y9,收款年度,管理年度),2))</f>
        <v>8000</v>
      </c>
      <c r="O9" s="40" t="n">
        <f aca="false">IF($Y9="","",ROUND(SUMIFS(收款金额,收款键,$Y9,收款年度,管理年度,收款归类,"发票"),2))</f>
        <v>8000</v>
      </c>
      <c r="P9" s="40" t="n">
        <f aca="false">IF($Y9="","",ROUND(SUMIFS(收款金额,收款键,$Y9,收款年度,管理年度,收款归类,"收据"),2))</f>
        <v>0</v>
      </c>
      <c r="Q9" s="40" t="n">
        <f aca="false">IF($Y9="","",ROUND(SUMIFS(收款金额,收款键,$Y9,收款年度,管理年度,收款归类,"现金无票"),2))</f>
        <v>0</v>
      </c>
      <c r="R9" s="40" t="n">
        <f aca="false">IF($Y9="","",ROUND(MAX(0,MIN($T9,SUMIF(应收键,$Y9,应收开票额)-SUMIF(收款键,$Y9,收款金额))),2))</f>
        <v>0</v>
      </c>
      <c r="S9" s="40" t="n">
        <f aca="false">IF($Y9="","",ROUND(MAX(0,$T9)-$R9,2))</f>
        <v>0</v>
      </c>
      <c r="T9" s="48" t="n">
        <f aca="false">IF($Y9="","",ROUND(SUMIF(应收键,$Y9,应收金额)-SUMIF(收款键,$Y9,收款金额),2))</f>
        <v>0</v>
      </c>
      <c r="U9" s="49" t="str">
        <f aca="true">IF($AA9="","",IF($T9&lt;=0.01,"",MAX(0,TODAY()-$AA9)))</f>
        <v/>
      </c>
      <c r="V9" s="50" t="str">
        <f aca="true">IF($Y9="","",IF($T9&gt;0.01,IF(AND(ISNUMBER($U9),$U9&gt;=账龄预警天),"▲欠款拖了 "&amp;TEXT($U9,"0")&amp;" 天","欠款未清"),IF($T9&lt;-0.01,"预收/多收","已结清"))&amp;IF(OR($E9="已签未回",$E9="未签",$E9="续签中")," ▲合同未回","")&amp;IF(AND(ISNUMBER($F9),$F9&lt;TODAY())," ▲合同已到期",""))</f>
        <v>已结清</v>
      </c>
      <c r="W9" s="24"/>
      <c r="X9" s="35" t="str">
        <f aca="false">IF($Y9="","",IF(ROUND($H9+$I9-$N9+$Z9-$T9,2)&lt;&gt;0,"★期初＋本年－已收≠余额",IF(ROUND($R9+$S9-MAX(0,$T9),2)&lt;&gt;0,"★已开票＋未开票≠欠款",IF(ROUND($J9+$K9-$I9,2)&lt;&gt;0,"★合同款＋合同外款≠本年应收",IF(ROUND($O9+$P9+$Q9-$N9,2)&lt;&gt;0,"★发票＋收据＋现金≠本年已收","OK")))))</f>
        <v>OK</v>
      </c>
      <c r="Y9" s="35" t="str">
        <f aca="false">IF(维保合同!$C9="","",维保合同!$E9)</f>
        <v>河南长江人民艺术剧院有限责任公司 ｜ 大东门华北村63号</v>
      </c>
      <c r="Z9" s="40" t="n">
        <f aca="false">IF($Y9="","",ROUND(SUMIFS(应收金额,应收键,$Y9,应收年度,"&gt;"&amp;管理年度)-SUMIFS(收款金额,收款键,$Y9,收款年度,"&gt;"&amp;管理年度),2))</f>
        <v>0</v>
      </c>
      <c r="AA9" s="47" t="str">
        <f aca="false">IF($Y9="","",IF(SUMPRODUCT(MIN(IF((应收键=$Y9)*(应收未收&gt;0.01),应收日期,999999)))&gt;=999999,"",SUMPRODUCT(MIN(IF((应收键=$Y9)*(应收未收&gt;0.01),应收日期,999999)))))</f>
        <v/>
      </c>
    </row>
    <row r="10" customFormat="false" ht="15" hidden="false" customHeight="false" outlineLevel="0" collapsed="false">
      <c r="A10" s="29" t="n">
        <f aca="false">IF($Y10="","",ROW()-4)</f>
        <v>6</v>
      </c>
      <c r="B10" s="16" t="str">
        <f aca="false">IF($Y10="","",维保合同!$C10)</f>
        <v>金禧永航集团有限公司</v>
      </c>
      <c r="C10" s="16" t="str">
        <f aca="false">IF($Y10="","",维保合同!$D10)</f>
        <v>金禧西北路291号</v>
      </c>
      <c r="D10" s="35" t="str">
        <f aca="false">IF($Y10="","",维保合同!$F10)</f>
        <v>WB2025-033</v>
      </c>
      <c r="E10" s="35" t="str">
        <f aca="false">IF($Y10="","",维保合同!$G10)</f>
        <v>续签中</v>
      </c>
      <c r="F10" s="47" t="n">
        <f aca="false">IF($Y10="","",维保合同!$I10)</f>
        <v>46295</v>
      </c>
      <c r="G10" s="38" t="n">
        <f aca="false">IF($Y10="","",维保合同!$K10)</f>
        <v>1</v>
      </c>
      <c r="H10" s="41" t="n">
        <f aca="false">IF($Y10="","",ROUND(SUMIFS(应收金额,应收键,$Y10,应收年度,"&lt;"&amp;管理年度)-SUMIFS(收款金额,收款键,$Y10,收款年度,"&lt;"&amp;管理年度),2))</f>
        <v>1000</v>
      </c>
      <c r="I10" s="40" t="n">
        <f aca="false">IF($Y10="","",ROUND(SUMIFS(应收金额,应收键,$Y10,应收年度,管理年度),2))</f>
        <v>2900</v>
      </c>
      <c r="J10" s="40" t="n">
        <f aca="false">IF($Y10="","",ROUND(SUMIFS(应收金额,应收键,$Y10,应收年度,管理年度,应收款别,"合同款"),2))</f>
        <v>2400</v>
      </c>
      <c r="K10" s="40" t="n">
        <f aca="false">IF($Y10="","",ROUND($I10-$J10,2))</f>
        <v>500</v>
      </c>
      <c r="L10" s="40" t="n">
        <f aca="false">IF($Y10="","",ROUND(SUMIFS(应收开票额,应收键,$Y10,应收开票年度,管理年度),2))</f>
        <v>2400</v>
      </c>
      <c r="M10" s="40" t="n">
        <f aca="false">IF($Y10="","",ROUND($I10-$L10,2))</f>
        <v>500</v>
      </c>
      <c r="N10" s="40" t="n">
        <f aca="false">IF($Y10="","",ROUND(SUMIFS(收款金额,收款键,$Y10,收款年度,管理年度),2))</f>
        <v>3400</v>
      </c>
      <c r="O10" s="40" t="n">
        <f aca="false">IF($Y10="","",ROUND(SUMIFS(收款金额,收款键,$Y10,收款年度,管理年度,收款归类,"发票"),2))</f>
        <v>2400</v>
      </c>
      <c r="P10" s="40" t="n">
        <f aca="false">IF($Y10="","",ROUND(SUMIFS(收款金额,收款键,$Y10,收款年度,管理年度,收款归类,"收据"),2))</f>
        <v>1000</v>
      </c>
      <c r="Q10" s="40" t="n">
        <f aca="false">IF($Y10="","",ROUND(SUMIFS(收款金额,收款键,$Y10,收款年度,管理年度,收款归类,"现金无票"),2))</f>
        <v>0</v>
      </c>
      <c r="R10" s="40" t="n">
        <f aca="false">IF($Y10="","",ROUND(MAX(0,MIN($T10,SUMIF(应收键,$Y10,应收开票额)-SUMIF(收款键,$Y10,收款金额))),2))</f>
        <v>0</v>
      </c>
      <c r="S10" s="40" t="n">
        <f aca="false">IF($Y10="","",ROUND(MAX(0,$T10)-$R10,2))</f>
        <v>500</v>
      </c>
      <c r="T10" s="48" t="n">
        <f aca="false">IF($Y10="","",ROUND(SUMIF(应收键,$Y10,应收金额)-SUMIF(收款键,$Y10,收款金额),2))</f>
        <v>500</v>
      </c>
      <c r="U10" s="49" t="n">
        <f aca="true">IF($AA10="","",IF($T10&lt;=0.01,"",MAX(0,TODAY()-$AA10)))</f>
        <v>193</v>
      </c>
      <c r="V10" s="50" t="str">
        <f aca="true">IF($Y10="","",IF($T10&gt;0.01,IF(AND(ISNUMBER($U10),$U10&gt;=账龄预警天),"▲欠款拖了 "&amp;TEXT($U10,"0")&amp;" 天","欠款未清"),IF($T10&lt;-0.01,"预收/多收","已结清"))&amp;IF(OR($E10="已签未回",$E10="未签",$E10="续签中")," ▲合同未回","")&amp;IF(AND(ISNUMBER($F10),$F10&lt;TODAY())," ▲合同已到期",""))</f>
        <v>▲欠款拖了 193 天 ▲合同未回</v>
      </c>
      <c r="W10" s="24"/>
      <c r="X10" s="35" t="str">
        <f aca="false">IF($Y10="","",IF(ROUND($H10+$I10-$N10+$Z10-$T10,2)&lt;&gt;0,"★期初＋本年－已收≠余额",IF(ROUND($R10+$S10-MAX(0,$T10),2)&lt;&gt;0,"★已开票＋未开票≠欠款",IF(ROUND($J10+$K10-$I10,2)&lt;&gt;0,"★合同款＋合同外款≠本年应收",IF(ROUND($O10+$P10+$Q10-$N10,2)&lt;&gt;0,"★发票＋收据＋现金≠本年已收","OK")))))</f>
        <v>OK</v>
      </c>
      <c r="Y10" s="35" t="str">
        <f aca="false">IF(维保合同!$C10="","",维保合同!$E10)</f>
        <v>金禧永航集团有限公司 ｜ 金禧西北路291号</v>
      </c>
      <c r="Z10" s="40" t="n">
        <f aca="false">IF($Y10="","",ROUND(SUMIFS(应收金额,应收键,$Y10,应收年度,"&gt;"&amp;管理年度)-SUMIFS(收款金额,收款键,$Y10,收款年度,"&gt;"&amp;管理年度),2))</f>
        <v>0</v>
      </c>
      <c r="AA10" s="47" t="n">
        <f aca="false">IF($Y10="","",IF(SUMPRODUCT(MIN(IF((应收键=$Y10)*(应收未收&gt;0.01),应收日期,999999)))&gt;=999999,"",SUMPRODUCT(MIN(IF((应收键=$Y10)*(应收未收&gt;0.01),应收日期,999999)))))</f>
        <v>46093</v>
      </c>
    </row>
    <row r="11" customFormat="false" ht="15" hidden="false" customHeight="false" outlineLevel="0" collapsed="false">
      <c r="A11" s="29" t="n">
        <f aca="false">IF($Y11="","",ROW()-4)</f>
        <v>7</v>
      </c>
      <c r="B11" s="16" t="str">
        <f aca="false">IF($Y11="","",维保合同!$C11)</f>
        <v>河南南远电缆科技有限公司</v>
      </c>
      <c r="C11" s="16" t="str">
        <f aca="false">IF($Y11="","",维保合同!$D11)</f>
        <v>南远电缆</v>
      </c>
      <c r="D11" s="35" t="str">
        <f aca="false">IF($Y11="","",维保合同!$F11)</f>
        <v>WB2026-007</v>
      </c>
      <c r="E11" s="35" t="str">
        <f aca="false">IF($Y11="","",维保合同!$G11)</f>
        <v>已签已回</v>
      </c>
      <c r="F11" s="47" t="n">
        <f aca="false">IF($Y11="","",维保合同!$I11)</f>
        <v>46387</v>
      </c>
      <c r="G11" s="38" t="n">
        <f aca="false">IF($Y11="","",维保合同!$K11)</f>
        <v>2</v>
      </c>
      <c r="H11" s="41" t="n">
        <f aca="false">IF($Y11="","",ROUND(SUMIFS(应收金额,应收键,$Y11,应收年度,"&lt;"&amp;管理年度)-SUMIFS(收款金额,收款键,$Y11,收款年度,"&lt;"&amp;管理年度),2))</f>
        <v>1800</v>
      </c>
      <c r="I11" s="40" t="n">
        <f aca="false">IF($Y11="","",ROUND(SUMIFS(应收金额,应收键,$Y11,应收年度,管理年度),2))</f>
        <v>9900</v>
      </c>
      <c r="J11" s="40" t="n">
        <f aca="false">IF($Y11="","",ROUND(SUMIFS(应收金额,应收键,$Y11,应收年度,管理年度,应收款别,"合同款"),2))</f>
        <v>8400</v>
      </c>
      <c r="K11" s="40" t="n">
        <f aca="false">IF($Y11="","",ROUND($I11-$J11,2))</f>
        <v>1500</v>
      </c>
      <c r="L11" s="40" t="n">
        <f aca="false">IF($Y11="","",ROUND(SUMIFS(应收开票额,应收键,$Y11,应收开票年度,管理年度),2))</f>
        <v>8400</v>
      </c>
      <c r="M11" s="40" t="n">
        <f aca="false">IF($Y11="","",ROUND($I11-$L11,2))</f>
        <v>1500</v>
      </c>
      <c r="N11" s="40" t="n">
        <f aca="false">IF($Y11="","",ROUND(SUMIFS(收款金额,收款键,$Y11,收款年度,管理年度),2))</f>
        <v>6000</v>
      </c>
      <c r="O11" s="40" t="n">
        <f aca="false">IF($Y11="","",ROUND(SUMIFS(收款金额,收款键,$Y11,收款年度,管理年度,收款归类,"发票"),2))</f>
        <v>4200</v>
      </c>
      <c r="P11" s="40" t="n">
        <f aca="false">IF($Y11="","",ROUND(SUMIFS(收款金额,收款键,$Y11,收款年度,管理年度,收款归类,"收据"),2))</f>
        <v>0</v>
      </c>
      <c r="Q11" s="40" t="n">
        <f aca="false">IF($Y11="","",ROUND(SUMIFS(收款金额,收款键,$Y11,收款年度,管理年度,收款归类,"现金无票"),2))</f>
        <v>1800</v>
      </c>
      <c r="R11" s="40" t="n">
        <f aca="false">IF($Y11="","",ROUND(MAX(0,MIN($T11,SUMIF(应收键,$Y11,应收开票额)-SUMIF(收款键,$Y11,收款金额))),2))</f>
        <v>2400</v>
      </c>
      <c r="S11" s="40" t="n">
        <f aca="false">IF($Y11="","",ROUND(MAX(0,$T11)-$R11,2))</f>
        <v>3300</v>
      </c>
      <c r="T11" s="48" t="n">
        <f aca="false">IF($Y11="","",ROUND(SUMIF(应收键,$Y11,应收金额)-SUMIF(收款键,$Y11,收款金额),2))</f>
        <v>5700</v>
      </c>
      <c r="U11" s="49" t="n">
        <f aca="true">IF($AA11="","",IF($T11&lt;=0.01,"",MAX(0,TODAY()-$AA11)))</f>
        <v>254</v>
      </c>
      <c r="V11" s="50" t="str">
        <f aca="true">IF($Y11="","",IF($T11&gt;0.01,IF(AND(ISNUMBER($U11),$U11&gt;=账龄预警天),"▲欠款拖了 "&amp;TEXT($U11,"0")&amp;" 天","欠款未清"),IF($T11&lt;-0.01,"预收/多收","已结清"))&amp;IF(OR($E11="已签未回",$E11="未签",$E11="续签中")," ▲合同未回","")&amp;IF(AND(ISNUMBER($F11),$F11&lt;TODAY())," ▲合同已到期",""))</f>
        <v>▲欠款拖了 254 天</v>
      </c>
      <c r="W11" s="24"/>
      <c r="X11" s="35" t="str">
        <f aca="false">IF($Y11="","",IF(ROUND($H11+$I11-$N11+$Z11-$T11,2)&lt;&gt;0,"★期初＋本年－已收≠余额",IF(ROUND($R11+$S11-MAX(0,$T11),2)&lt;&gt;0,"★已开票＋未开票≠欠款",IF(ROUND($J11+$K11-$I11,2)&lt;&gt;0,"★合同款＋合同外款≠本年应收",IF(ROUND($O11+$P11+$Q11-$N11,2)&lt;&gt;0,"★发票＋收据＋现金≠本年已收","OK")))))</f>
        <v>OK</v>
      </c>
      <c r="Y11" s="35" t="str">
        <f aca="false">IF(维保合同!$C11="","",维保合同!$E11)</f>
        <v>河南南远电缆科技有限公司 ｜ 南远电缆</v>
      </c>
      <c r="Z11" s="40" t="n">
        <f aca="false">IF($Y11="","",ROUND(SUMIFS(应收金额,应收键,$Y11,应收年度,"&gt;"&amp;管理年度)-SUMIFS(收款金额,收款键,$Y11,收款年度,"&gt;"&amp;管理年度),2))</f>
        <v>0</v>
      </c>
      <c r="AA11" s="47" t="n">
        <f aca="false">IF($Y11="","",IF(SUMPRODUCT(MIN(IF((应收键=$Y11)*(应收未收&gt;0.01),应收日期,999999)))&gt;=999999,"",SUMPRODUCT(MIN(IF((应收键=$Y11)*(应收未收&gt;0.01),应收日期,999999)))))</f>
        <v>46032</v>
      </c>
    </row>
    <row r="12" customFormat="false" ht="26.85" hidden="false" customHeight="false" outlineLevel="0" collapsed="false">
      <c r="A12" s="29" t="n">
        <f aca="false">IF($Y12="","",ROW()-4)</f>
        <v>8</v>
      </c>
      <c r="B12" s="16" t="str">
        <f aca="false">IF($Y12="","",维保合同!$C12)</f>
        <v>黄冈市黄陂区鑫捷惠超市（个体工商户）</v>
      </c>
      <c r="C12" s="16" t="str">
        <f aca="false">IF($Y12="","",维保合同!$D12)</f>
        <v>项陂雅迪</v>
      </c>
      <c r="D12" s="35" t="str">
        <f aca="false">IF($Y12="","",维保合同!$F12)</f>
        <v>WB2026-008</v>
      </c>
      <c r="E12" s="35" t="str">
        <f aca="false">IF($Y12="","",维保合同!$G12)</f>
        <v>已签已回</v>
      </c>
      <c r="F12" s="47" t="n">
        <f aca="false">IF($Y12="","",维保合同!$I12)</f>
        <v>46418</v>
      </c>
      <c r="G12" s="38" t="n">
        <f aca="false">IF($Y12="","",维保合同!$K12)</f>
        <v>1</v>
      </c>
      <c r="H12" s="41" t="n">
        <f aca="false">IF($Y12="","",ROUND(SUMIFS(应收金额,应收键,$Y12,应收年度,"&lt;"&amp;管理年度)-SUMIFS(收款金额,收款键,$Y12,收款年度,"&lt;"&amp;管理年度),2))</f>
        <v>0</v>
      </c>
      <c r="I12" s="40" t="n">
        <f aca="false">IF($Y12="","",ROUND(SUMIFS(应收金额,应收键,$Y12,应收年度,管理年度),2))</f>
        <v>3000</v>
      </c>
      <c r="J12" s="40" t="n">
        <f aca="false">IF($Y12="","",ROUND(SUMIFS(应收金额,应收键,$Y12,应收年度,管理年度,应收款别,"合同款"),2))</f>
        <v>3000</v>
      </c>
      <c r="K12" s="40" t="n">
        <f aca="false">IF($Y12="","",ROUND($I12-$J12,2))</f>
        <v>0</v>
      </c>
      <c r="L12" s="40" t="n">
        <f aca="false">IF($Y12="","",ROUND(SUMIFS(应收开票额,应收键,$Y12,应收开票年度,管理年度),2))</f>
        <v>3000</v>
      </c>
      <c r="M12" s="40" t="n">
        <f aca="false">IF($Y12="","",ROUND($I12-$L12,2))</f>
        <v>0</v>
      </c>
      <c r="N12" s="40" t="n">
        <f aca="false">IF($Y12="","",ROUND(SUMIFS(收款金额,收款键,$Y12,收款年度,管理年度),2))</f>
        <v>3000</v>
      </c>
      <c r="O12" s="40" t="n">
        <f aca="false">IF($Y12="","",ROUND(SUMIFS(收款金额,收款键,$Y12,收款年度,管理年度,收款归类,"发票"),2))</f>
        <v>3000</v>
      </c>
      <c r="P12" s="40" t="n">
        <f aca="false">IF($Y12="","",ROUND(SUMIFS(收款金额,收款键,$Y12,收款年度,管理年度,收款归类,"收据"),2))</f>
        <v>0</v>
      </c>
      <c r="Q12" s="40" t="n">
        <f aca="false">IF($Y12="","",ROUND(SUMIFS(收款金额,收款键,$Y12,收款年度,管理年度,收款归类,"现金无票"),2))</f>
        <v>0</v>
      </c>
      <c r="R12" s="40" t="n">
        <f aca="false">IF($Y12="","",ROUND(MAX(0,MIN($T12,SUMIF(应收键,$Y12,应收开票额)-SUMIF(收款键,$Y12,收款金额))),2))</f>
        <v>0</v>
      </c>
      <c r="S12" s="40" t="n">
        <f aca="false">IF($Y12="","",ROUND(MAX(0,$T12)-$R12,2))</f>
        <v>0</v>
      </c>
      <c r="T12" s="48" t="n">
        <f aca="false">IF($Y12="","",ROUND(SUMIF(应收键,$Y12,应收金额)-SUMIF(收款键,$Y12,收款金额),2))</f>
        <v>0</v>
      </c>
      <c r="U12" s="49" t="str">
        <f aca="true">IF($AA12="","",IF($T12&lt;=0.01,"",MAX(0,TODAY()-$AA12)))</f>
        <v/>
      </c>
      <c r="V12" s="50" t="str">
        <f aca="true">IF($Y12="","",IF($T12&gt;0.01,IF(AND(ISNUMBER($U12),$U12&gt;=账龄预警天),"▲欠款拖了 "&amp;TEXT($U12,"0")&amp;" 天","欠款未清"),IF($T12&lt;-0.01,"预收/多收","已结清"))&amp;IF(OR($E12="已签未回",$E12="未签",$E12="续签中")," ▲合同未回","")&amp;IF(AND(ISNUMBER($F12),$F12&lt;TODAY())," ▲合同已到期",""))</f>
        <v>已结清</v>
      </c>
      <c r="W12" s="24"/>
      <c r="X12" s="35" t="str">
        <f aca="false">IF($Y12="","",IF(ROUND($H12+$I12-$N12+$Z12-$T12,2)&lt;&gt;0,"★期初＋本年－已收≠余额",IF(ROUND($R12+$S12-MAX(0,$T12),2)&lt;&gt;0,"★已开票＋未开票≠欠款",IF(ROUND($J12+$K12-$I12,2)&lt;&gt;0,"★合同款＋合同外款≠本年应收",IF(ROUND($O12+$P12+$Q12-$N12,2)&lt;&gt;0,"★发票＋收据＋现金≠本年已收","OK")))))</f>
        <v>OK</v>
      </c>
      <c r="Y12" s="35" t="str">
        <f aca="false">IF(维保合同!$C12="","",维保合同!$E12)</f>
        <v>黄冈市黄陂区鑫捷惠超市（个体工商户） ｜ 项陂雅迪</v>
      </c>
      <c r="Z12" s="40" t="n">
        <f aca="false">IF($Y12="","",ROUND(SUMIFS(应收金额,应收键,$Y12,应收年度,"&gt;"&amp;管理年度)-SUMIFS(收款金额,收款键,$Y12,收款年度,"&gt;"&amp;管理年度),2))</f>
        <v>0</v>
      </c>
      <c r="AA12" s="47" t="str">
        <f aca="false">IF($Y12="","",IF(SUMPRODUCT(MIN(IF((应收键=$Y12)*(应收未收&gt;0.01),应收日期,999999)))&gt;=999999,"",SUMPRODUCT(MIN(IF((应收键=$Y12)*(应收未收&gt;0.01),应收日期,999999)))))</f>
        <v/>
      </c>
    </row>
    <row r="13" customFormat="false" ht="15" hidden="false" customHeight="false" outlineLevel="0" collapsed="false">
      <c r="A13" s="29" t="n">
        <f aca="false">IF($Y13="","",ROW()-4)</f>
        <v>9</v>
      </c>
      <c r="B13" s="16" t="str">
        <f aca="false">IF($Y13="","",维保合同!$C13)</f>
        <v>河南尊品益定意食品有限公司</v>
      </c>
      <c r="C13" s="16" t="str">
        <f aca="false">IF($Y13="","",维保合同!$D13)</f>
        <v>意康意厂房</v>
      </c>
      <c r="D13" s="35" t="str">
        <f aca="false">IF($Y13="","",维保合同!$F13)</f>
        <v>WB2026-009</v>
      </c>
      <c r="E13" s="35" t="str">
        <f aca="false">IF($Y13="","",维保合同!$G13)</f>
        <v>已签已回</v>
      </c>
      <c r="F13" s="47" t="n">
        <f aca="false">IF($Y13="","",维保合同!$I13)</f>
        <v>46387</v>
      </c>
      <c r="G13" s="38" t="n">
        <f aca="false">IF($Y13="","",维保合同!$K13)</f>
        <v>5</v>
      </c>
      <c r="H13" s="41" t="n">
        <f aca="false">IF($Y13="","",ROUND(SUMIFS(应收金额,应收键,$Y13,应收年度,"&lt;"&amp;管理年度)-SUMIFS(收款金额,收款键,$Y13,收款年度,"&lt;"&amp;管理年度),2))</f>
        <v>0</v>
      </c>
      <c r="I13" s="40" t="n">
        <f aca="false">IF($Y13="","",ROUND(SUMIFS(应收金额,应收键,$Y13,应收年度,管理年度),2))</f>
        <v>16950</v>
      </c>
      <c r="J13" s="40" t="n">
        <f aca="false">IF($Y13="","",ROUND(SUMIFS(应收金额,应收键,$Y13,应收年度,管理年度,应收款别,"合同款"),2))</f>
        <v>15750</v>
      </c>
      <c r="K13" s="40" t="n">
        <f aca="false">IF($Y13="","",ROUND($I13-$J13,2))</f>
        <v>1200</v>
      </c>
      <c r="L13" s="40" t="n">
        <f aca="false">IF($Y13="","",ROUND(SUMIFS(应收开票额,应收键,$Y13,应收开票年度,管理年度),2))</f>
        <v>15750</v>
      </c>
      <c r="M13" s="40" t="n">
        <f aca="false">IF($Y13="","",ROUND($I13-$L13,2))</f>
        <v>1200</v>
      </c>
      <c r="N13" s="40" t="n">
        <f aca="false">IF($Y13="","",ROUND(SUMIFS(收款金额,收款键,$Y13,收款年度,管理年度),2))</f>
        <v>15750</v>
      </c>
      <c r="O13" s="40" t="n">
        <f aca="false">IF($Y13="","",ROUND(SUMIFS(收款金额,收款键,$Y13,收款年度,管理年度,收款归类,"发票"),2))</f>
        <v>15750</v>
      </c>
      <c r="P13" s="40" t="n">
        <f aca="false">IF($Y13="","",ROUND(SUMIFS(收款金额,收款键,$Y13,收款年度,管理年度,收款归类,"收据"),2))</f>
        <v>0</v>
      </c>
      <c r="Q13" s="40" t="n">
        <f aca="false">IF($Y13="","",ROUND(SUMIFS(收款金额,收款键,$Y13,收款年度,管理年度,收款归类,"现金无票"),2))</f>
        <v>0</v>
      </c>
      <c r="R13" s="40" t="n">
        <f aca="false">IF($Y13="","",ROUND(MAX(0,MIN($T13,SUMIF(应收键,$Y13,应收开票额)-SUMIF(收款键,$Y13,收款金额))),2))</f>
        <v>0</v>
      </c>
      <c r="S13" s="40" t="n">
        <f aca="false">IF($Y13="","",ROUND(MAX(0,$T13)-$R13,2))</f>
        <v>1200</v>
      </c>
      <c r="T13" s="48" t="n">
        <f aca="false">IF($Y13="","",ROUND(SUMIF(应收键,$Y13,应收金额)-SUMIF(收款键,$Y13,收款金额),2))</f>
        <v>1200</v>
      </c>
      <c r="U13" s="49" t="n">
        <f aca="true">IF($AA13="","",IF($T13&lt;=0.01,"",MAX(0,TODAY()-$AA13)))</f>
        <v>19</v>
      </c>
      <c r="V13" s="50" t="str">
        <f aca="true">IF($Y13="","",IF($T13&gt;0.01,IF(AND(ISNUMBER($U13),$U13&gt;=账龄预警天),"▲欠款拖了 "&amp;TEXT($U13,"0")&amp;" 天","欠款未清"),IF($T13&lt;-0.01,"预收/多收","已结清"))&amp;IF(OR($E13="已签未回",$E13="未签",$E13="续签中")," ▲合同未回","")&amp;IF(AND(ISNUMBER($F13),$F13&lt;TODAY())," ▲合同已到期",""))</f>
        <v>欠款未清</v>
      </c>
      <c r="W13" s="24"/>
      <c r="X13" s="35" t="str">
        <f aca="false">IF($Y13="","",IF(ROUND($H13+$I13-$N13+$Z13-$T13,2)&lt;&gt;0,"★期初＋本年－已收≠余额",IF(ROUND($R13+$S13-MAX(0,$T13),2)&lt;&gt;0,"★已开票＋未开票≠欠款",IF(ROUND($J13+$K13-$I13,2)&lt;&gt;0,"★合同款＋合同外款≠本年应收",IF(ROUND($O13+$P13+$Q13-$N13,2)&lt;&gt;0,"★发票＋收据＋现金≠本年已收","OK")))))</f>
        <v>OK</v>
      </c>
      <c r="Y13" s="35" t="str">
        <f aca="false">IF(维保合同!$C13="","",维保合同!$E13)</f>
        <v>河南尊品益定意食品有限公司 ｜ 意康意厂房</v>
      </c>
      <c r="Z13" s="40" t="n">
        <f aca="false">IF($Y13="","",ROUND(SUMIFS(应收金额,应收键,$Y13,应收年度,"&gt;"&amp;管理年度)-SUMIFS(收款金额,收款键,$Y13,收款年度,"&gt;"&amp;管理年度),2))</f>
        <v>0</v>
      </c>
      <c r="AA13" s="47" t="n">
        <f aca="false">IF($Y13="","",IF(SUMPRODUCT(MIN(IF((应收键=$Y13)*(应收未收&gt;0.01),应收日期,999999)))&gt;=999999,"",SUMPRODUCT(MIN(IF((应收键=$Y13)*(应收未收&gt;0.01),应收日期,999999)))))</f>
        <v>46267</v>
      </c>
    </row>
    <row r="14" customFormat="false" ht="15" hidden="false" customHeight="false" outlineLevel="0" collapsed="false">
      <c r="A14" s="29" t="n">
        <f aca="false">IF($Y14="","",ROW()-4)</f>
        <v>10</v>
      </c>
      <c r="B14" s="16" t="str">
        <f aca="false">IF($Y14="","",维保合同!$C14)</f>
        <v>河南光谷义神新材料孵化器有限公司</v>
      </c>
      <c r="C14" s="16" t="str">
        <f aca="false">IF($Y14="","",维保合同!$D14)</f>
        <v>永和云居</v>
      </c>
      <c r="D14" s="35" t="str">
        <f aca="false">IF($Y14="","",维保合同!$F14)</f>
        <v>WB2026-010</v>
      </c>
      <c r="E14" s="35" t="str">
        <f aca="false">IF($Y14="","",维保合同!$G14)</f>
        <v>已签未回</v>
      </c>
      <c r="F14" s="47" t="n">
        <f aca="false">IF($Y14="","",维保合同!$I14)</f>
        <v>46387</v>
      </c>
      <c r="G14" s="38" t="n">
        <f aca="false">IF($Y14="","",维保合同!$K14)</f>
        <v>6</v>
      </c>
      <c r="H14" s="41" t="n">
        <f aca="false">IF($Y14="","",ROUND(SUMIFS(应收金额,应收键,$Y14,应收年度,"&lt;"&amp;管理年度)-SUMIFS(收款金额,收款键,$Y14,收款年度,"&lt;"&amp;管理年度),2))</f>
        <v>3200</v>
      </c>
      <c r="I14" s="40" t="n">
        <f aca="false">IF($Y14="","",ROUND(SUMIFS(应收金额,应收键,$Y14,应收年度,管理年度),2))</f>
        <v>36800</v>
      </c>
      <c r="J14" s="40" t="n">
        <f aca="false">IF($Y14="","",ROUND(SUMIFS(应收金额,应收键,$Y14,应收年度,管理年度,应收款别,"合同款"),2))</f>
        <v>25200</v>
      </c>
      <c r="K14" s="40" t="n">
        <f aca="false">IF($Y14="","",ROUND($I14-$J14,2))</f>
        <v>11600</v>
      </c>
      <c r="L14" s="40" t="n">
        <f aca="false">IF($Y14="","",ROUND(SUMIFS(应收开票额,应收键,$Y14,应收开票年度,管理年度),2))</f>
        <v>14400</v>
      </c>
      <c r="M14" s="40" t="n">
        <f aca="false">IF($Y14="","",ROUND($I14-$L14,2))</f>
        <v>22400</v>
      </c>
      <c r="N14" s="40" t="n">
        <f aca="false">IF($Y14="","",ROUND(SUMIFS(收款金额,收款键,$Y14,收款年度,管理年度),2))</f>
        <v>15800</v>
      </c>
      <c r="O14" s="40" t="n">
        <f aca="false">IF($Y14="","",ROUND(SUMIFS(收款金额,收款键,$Y14,收款年度,管理年度,收款归类,"发票"),2))</f>
        <v>14000</v>
      </c>
      <c r="P14" s="40" t="n">
        <f aca="false">IF($Y14="","",ROUND(SUMIFS(收款金额,收款键,$Y14,收款年度,管理年度,收款归类,"收据"),2))</f>
        <v>1800</v>
      </c>
      <c r="Q14" s="40" t="n">
        <f aca="false">IF($Y14="","",ROUND(SUMIFS(收款金额,收款键,$Y14,收款年度,管理年度,收款归类,"现金无票"),2))</f>
        <v>0</v>
      </c>
      <c r="R14" s="40" t="n">
        <f aca="false">IF($Y14="","",ROUND(MAX(0,MIN($T14,SUMIF(应收键,$Y14,应收开票额)-SUMIF(收款键,$Y14,收款金额))),2))</f>
        <v>0</v>
      </c>
      <c r="S14" s="40" t="n">
        <f aca="false">IF($Y14="","",ROUND(MAX(0,$T14)-$R14,2))</f>
        <v>24200</v>
      </c>
      <c r="T14" s="48" t="n">
        <f aca="false">IF($Y14="","",ROUND(SUMIF(应收键,$Y14,应收金额)-SUMIF(收款键,$Y14,收款金额),2))</f>
        <v>24200</v>
      </c>
      <c r="U14" s="49" t="n">
        <f aca="true">IF($AA14="","",IF($T14&lt;=0.01,"",MAX(0,TODAY()-$AA14)))</f>
        <v>255</v>
      </c>
      <c r="V14" s="50" t="str">
        <f aca="true">IF($Y14="","",IF($T14&gt;0.01,IF(AND(ISNUMBER($U14),$U14&gt;=账龄预警天),"▲欠款拖了 "&amp;TEXT($U14,"0")&amp;" 天","欠款未清"),IF($T14&lt;-0.01,"预收/多收","已结清"))&amp;IF(OR($E14="已签未回",$E14="未签",$E14="续签中")," ▲合同未回","")&amp;IF(AND(ISNUMBER($F14),$F14&lt;TODAY())," ▲合同已到期",""))</f>
        <v>▲欠款拖了 255 天 ▲合同未回</v>
      </c>
      <c r="W14" s="24"/>
      <c r="X14" s="35" t="str">
        <f aca="false">IF($Y14="","",IF(ROUND($H14+$I14-$N14+$Z14-$T14,2)&lt;&gt;0,"★期初＋本年－已收≠余额",IF(ROUND($R14+$S14-MAX(0,$T14),2)&lt;&gt;0,"★已开票＋未开票≠欠款",IF(ROUND($J14+$K14-$I14,2)&lt;&gt;0,"★合同款＋合同外款≠本年应收",IF(ROUND($O14+$P14+$Q14-$N14,2)&lt;&gt;0,"★发票＋收据＋现金≠本年已收","OK")))))</f>
        <v>OK</v>
      </c>
      <c r="Y14" s="35" t="str">
        <f aca="false">IF(维保合同!$C14="","",维保合同!$E14)</f>
        <v>河南光谷义神新材料孵化器有限公司 ｜ 永和云居</v>
      </c>
      <c r="Z14" s="40" t="n">
        <f aca="false">IF($Y14="","",ROUND(SUMIFS(应收金额,应收键,$Y14,应收年度,"&gt;"&amp;管理年度)-SUMIFS(收款金额,收款键,$Y14,收款年度,"&gt;"&amp;管理年度),2))</f>
        <v>0</v>
      </c>
      <c r="AA14" s="47" t="n">
        <f aca="false">IF($Y14="","",IF(SUMPRODUCT(MIN(IF((应收键=$Y14)*(应收未收&gt;0.01),应收日期,999999)))&gt;=999999,"",SUMPRODUCT(MIN(IF((应收键=$Y14)*(应收未收&gt;0.01),应收日期,999999)))))</f>
        <v>46031</v>
      </c>
    </row>
    <row r="15" customFormat="false" ht="15" hidden="false" customHeight="false" outlineLevel="0" collapsed="false">
      <c r="A15" s="29" t="str">
        <f aca="false">IF($Y15="","",ROW()-4)</f>
        <v/>
      </c>
      <c r="B15" s="16" t="str">
        <f aca="false">IF($Y15="","",维保合同!$C15)</f>
        <v/>
      </c>
      <c r="C15" s="16" t="str">
        <f aca="false">IF($Y15="","",维保合同!$D15)</f>
        <v/>
      </c>
      <c r="D15" s="35" t="str">
        <f aca="false">IF($Y15="","",维保合同!$F15)</f>
        <v/>
      </c>
      <c r="E15" s="35" t="str">
        <f aca="false">IF($Y15="","",维保合同!$G15)</f>
        <v/>
      </c>
      <c r="F15" s="47" t="str">
        <f aca="false">IF($Y15="","",维保合同!$I15)</f>
        <v/>
      </c>
      <c r="G15" s="38" t="str">
        <f aca="false">IF($Y15="","",维保合同!$K15)</f>
        <v/>
      </c>
      <c r="H15" s="41" t="str">
        <f aca="false">IF($Y15="","",ROUND(SUMIFS(应收金额,应收键,$Y15,应收年度,"&lt;"&amp;管理年度)-SUMIFS(收款金额,收款键,$Y15,收款年度,"&lt;"&amp;管理年度),2))</f>
        <v/>
      </c>
      <c r="I15" s="40" t="str">
        <f aca="false">IF($Y15="","",ROUND(SUMIFS(应收金额,应收键,$Y15,应收年度,管理年度),2))</f>
        <v/>
      </c>
      <c r="J15" s="40" t="str">
        <f aca="false">IF($Y15="","",ROUND(SUMIFS(应收金额,应收键,$Y15,应收年度,管理年度,应收款别,"合同款"),2))</f>
        <v/>
      </c>
      <c r="K15" s="40" t="str">
        <f aca="false">IF($Y15="","",ROUND($I15-$J15,2))</f>
        <v/>
      </c>
      <c r="L15" s="40" t="str">
        <f aca="false">IF($Y15="","",ROUND(SUMIFS(应收开票额,应收键,$Y15,应收开票年度,管理年度),2))</f>
        <v/>
      </c>
      <c r="M15" s="40" t="str">
        <f aca="false">IF($Y15="","",ROUND($I15-$L15,2))</f>
        <v/>
      </c>
      <c r="N15" s="40" t="str">
        <f aca="false">IF($Y15="","",ROUND(SUMIFS(收款金额,收款键,$Y15,收款年度,管理年度),2))</f>
        <v/>
      </c>
      <c r="O15" s="40" t="str">
        <f aca="false">IF($Y15="","",ROUND(SUMIFS(收款金额,收款键,$Y15,收款年度,管理年度,收款归类,"发票"),2))</f>
        <v/>
      </c>
      <c r="P15" s="40" t="str">
        <f aca="false">IF($Y15="","",ROUND(SUMIFS(收款金额,收款键,$Y15,收款年度,管理年度,收款归类,"收据"),2))</f>
        <v/>
      </c>
      <c r="Q15" s="40" t="str">
        <f aca="false">IF($Y15="","",ROUND(SUMIFS(收款金额,收款键,$Y15,收款年度,管理年度,收款归类,"现金无票"),2))</f>
        <v/>
      </c>
      <c r="R15" s="40" t="str">
        <f aca="false">IF($Y15="","",ROUND(MAX(0,MIN($T15,SUMIF(应收键,$Y15,应收开票额)-SUMIF(收款键,$Y15,收款金额))),2))</f>
        <v/>
      </c>
      <c r="S15" s="40" t="str">
        <f aca="false">IF($Y15="","",ROUND(MAX(0,$T15)-$R15,2))</f>
        <v/>
      </c>
      <c r="T15" s="48" t="str">
        <f aca="false">IF($Y15="","",ROUND(SUMIF(应收键,$Y15,应收金额)-SUMIF(收款键,$Y15,收款金额),2))</f>
        <v/>
      </c>
      <c r="U15" s="49" t="str">
        <f aca="true">IF($AA15="","",IF($T15&lt;=0.01,"",MAX(0,TODAY()-$AA15)))</f>
        <v/>
      </c>
      <c r="V15" s="50" t="str">
        <f aca="true">IF($Y15="","",IF($T15&gt;0.01,IF(AND(ISNUMBER($U15),$U15&gt;=账龄预警天),"▲欠款拖了 "&amp;TEXT($U15,"0")&amp;" 天","欠款未清"),IF($T15&lt;-0.01,"预收/多收","已结清"))&amp;IF(OR($E15="已签未回",$E15="未签",$E15="续签中")," ▲合同未回","")&amp;IF(AND(ISNUMBER($F15),$F15&lt;TODAY())," ▲合同已到期",""))</f>
        <v/>
      </c>
      <c r="W15" s="24"/>
      <c r="X15" s="35" t="str">
        <f aca="false">IF($Y15="","",IF(ROUND($H15+$I15-$N15+$Z15-$T15,2)&lt;&gt;0,"★期初＋本年－已收≠余额",IF(ROUND($R15+$S15-MAX(0,$T15),2)&lt;&gt;0,"★已开票＋未开票≠欠款",IF(ROUND($J15+$K15-$I15,2)&lt;&gt;0,"★合同款＋合同外款≠本年应收",IF(ROUND($O15+$P15+$Q15-$N15,2)&lt;&gt;0,"★发票＋收据＋现金≠本年已收","OK")))))</f>
        <v/>
      </c>
      <c r="Y15" s="35" t="str">
        <f aca="false">IF(维保合同!$C15="","",维保合同!$E15)</f>
        <v/>
      </c>
      <c r="Z15" s="40" t="str">
        <f aca="false">IF($Y15="","",ROUND(SUMIFS(应收金额,应收键,$Y15,应收年度,"&gt;"&amp;管理年度)-SUMIFS(收款金额,收款键,$Y15,收款年度,"&gt;"&amp;管理年度),2))</f>
        <v/>
      </c>
      <c r="AA15" s="47" t="str">
        <f aca="false">IF($Y15="","",IF(SUMPRODUCT(MIN(IF((应收键=$Y15)*(应收未收&gt;0.01),应收日期,999999)))&gt;=999999,"",SUMPRODUCT(MIN(IF((应收键=$Y15)*(应收未收&gt;0.01),应收日期,999999)))))</f>
        <v/>
      </c>
    </row>
    <row r="16" customFormat="false" ht="15" hidden="false" customHeight="false" outlineLevel="0" collapsed="false">
      <c r="A16" s="29" t="str">
        <f aca="false">IF($Y16="","",ROW()-4)</f>
        <v/>
      </c>
      <c r="B16" s="16" t="str">
        <f aca="false">IF($Y16="","",维保合同!$C16)</f>
        <v/>
      </c>
      <c r="C16" s="16" t="str">
        <f aca="false">IF($Y16="","",维保合同!$D16)</f>
        <v/>
      </c>
      <c r="D16" s="35" t="str">
        <f aca="false">IF($Y16="","",维保合同!$F16)</f>
        <v/>
      </c>
      <c r="E16" s="35" t="str">
        <f aca="false">IF($Y16="","",维保合同!$G16)</f>
        <v/>
      </c>
      <c r="F16" s="47" t="str">
        <f aca="false">IF($Y16="","",维保合同!$I16)</f>
        <v/>
      </c>
      <c r="G16" s="38" t="str">
        <f aca="false">IF($Y16="","",维保合同!$K16)</f>
        <v/>
      </c>
      <c r="H16" s="41" t="str">
        <f aca="false">IF($Y16="","",ROUND(SUMIFS(应收金额,应收键,$Y16,应收年度,"&lt;"&amp;管理年度)-SUMIFS(收款金额,收款键,$Y16,收款年度,"&lt;"&amp;管理年度),2))</f>
        <v/>
      </c>
      <c r="I16" s="40" t="str">
        <f aca="false">IF($Y16="","",ROUND(SUMIFS(应收金额,应收键,$Y16,应收年度,管理年度),2))</f>
        <v/>
      </c>
      <c r="J16" s="40" t="str">
        <f aca="false">IF($Y16="","",ROUND(SUMIFS(应收金额,应收键,$Y16,应收年度,管理年度,应收款别,"合同款"),2))</f>
        <v/>
      </c>
      <c r="K16" s="40" t="str">
        <f aca="false">IF($Y16="","",ROUND($I16-$J16,2))</f>
        <v/>
      </c>
      <c r="L16" s="40" t="str">
        <f aca="false">IF($Y16="","",ROUND(SUMIFS(应收开票额,应收键,$Y16,应收开票年度,管理年度),2))</f>
        <v/>
      </c>
      <c r="M16" s="40" t="str">
        <f aca="false">IF($Y16="","",ROUND($I16-$L16,2))</f>
        <v/>
      </c>
      <c r="N16" s="40" t="str">
        <f aca="false">IF($Y16="","",ROUND(SUMIFS(收款金额,收款键,$Y16,收款年度,管理年度),2))</f>
        <v/>
      </c>
      <c r="O16" s="40" t="str">
        <f aca="false">IF($Y16="","",ROUND(SUMIFS(收款金额,收款键,$Y16,收款年度,管理年度,收款归类,"发票"),2))</f>
        <v/>
      </c>
      <c r="P16" s="40" t="str">
        <f aca="false">IF($Y16="","",ROUND(SUMIFS(收款金额,收款键,$Y16,收款年度,管理年度,收款归类,"收据"),2))</f>
        <v/>
      </c>
      <c r="Q16" s="40" t="str">
        <f aca="false">IF($Y16="","",ROUND(SUMIFS(收款金额,收款键,$Y16,收款年度,管理年度,收款归类,"现金无票"),2))</f>
        <v/>
      </c>
      <c r="R16" s="40" t="str">
        <f aca="false">IF($Y16="","",ROUND(MAX(0,MIN($T16,SUMIF(应收键,$Y16,应收开票额)-SUMIF(收款键,$Y16,收款金额))),2))</f>
        <v/>
      </c>
      <c r="S16" s="40" t="str">
        <f aca="false">IF($Y16="","",ROUND(MAX(0,$T16)-$R16,2))</f>
        <v/>
      </c>
      <c r="T16" s="48" t="str">
        <f aca="false">IF($Y16="","",ROUND(SUMIF(应收键,$Y16,应收金额)-SUMIF(收款键,$Y16,收款金额),2))</f>
        <v/>
      </c>
      <c r="U16" s="49" t="str">
        <f aca="true">IF($AA16="","",IF($T16&lt;=0.01,"",MAX(0,TODAY()-$AA16)))</f>
        <v/>
      </c>
      <c r="V16" s="50" t="str">
        <f aca="true">IF($Y16="","",IF($T16&gt;0.01,IF(AND(ISNUMBER($U16),$U16&gt;=账龄预警天),"▲欠款拖了 "&amp;TEXT($U16,"0")&amp;" 天","欠款未清"),IF($T16&lt;-0.01,"预收/多收","已结清"))&amp;IF(OR($E16="已签未回",$E16="未签",$E16="续签中")," ▲合同未回","")&amp;IF(AND(ISNUMBER($F16),$F16&lt;TODAY())," ▲合同已到期",""))</f>
        <v/>
      </c>
      <c r="W16" s="24"/>
      <c r="X16" s="35" t="str">
        <f aca="false">IF($Y16="","",IF(ROUND($H16+$I16-$N16+$Z16-$T16,2)&lt;&gt;0,"★期初＋本年－已收≠余额",IF(ROUND($R16+$S16-MAX(0,$T16),2)&lt;&gt;0,"★已开票＋未开票≠欠款",IF(ROUND($J16+$K16-$I16,2)&lt;&gt;0,"★合同款＋合同外款≠本年应收",IF(ROUND($O16+$P16+$Q16-$N16,2)&lt;&gt;0,"★发票＋收据＋现金≠本年已收","OK")))))</f>
        <v/>
      </c>
      <c r="Y16" s="35" t="str">
        <f aca="false">IF(维保合同!$C16="","",维保合同!$E16)</f>
        <v/>
      </c>
      <c r="Z16" s="40" t="str">
        <f aca="false">IF($Y16="","",ROUND(SUMIFS(应收金额,应收键,$Y16,应收年度,"&gt;"&amp;管理年度)-SUMIFS(收款金额,收款键,$Y16,收款年度,"&gt;"&amp;管理年度),2))</f>
        <v/>
      </c>
      <c r="AA16" s="47" t="str">
        <f aca="false">IF($Y16="","",IF(SUMPRODUCT(MIN(IF((应收键=$Y16)*(应收未收&gt;0.01),应收日期,999999)))&gt;=999999,"",SUMPRODUCT(MIN(IF((应收键=$Y16)*(应收未收&gt;0.01),应收日期,999999)))))</f>
        <v/>
      </c>
    </row>
    <row r="17" customFormat="false" ht="15" hidden="false" customHeight="false" outlineLevel="0" collapsed="false">
      <c r="A17" s="29" t="str">
        <f aca="false">IF($Y17="","",ROW()-4)</f>
        <v/>
      </c>
      <c r="B17" s="16" t="str">
        <f aca="false">IF($Y17="","",维保合同!$C17)</f>
        <v/>
      </c>
      <c r="C17" s="16" t="str">
        <f aca="false">IF($Y17="","",维保合同!$D17)</f>
        <v/>
      </c>
      <c r="D17" s="35" t="str">
        <f aca="false">IF($Y17="","",维保合同!$F17)</f>
        <v/>
      </c>
      <c r="E17" s="35" t="str">
        <f aca="false">IF($Y17="","",维保合同!$G17)</f>
        <v/>
      </c>
      <c r="F17" s="47" t="str">
        <f aca="false">IF($Y17="","",维保合同!$I17)</f>
        <v/>
      </c>
      <c r="G17" s="38" t="str">
        <f aca="false">IF($Y17="","",维保合同!$K17)</f>
        <v/>
      </c>
      <c r="H17" s="41" t="str">
        <f aca="false">IF($Y17="","",ROUND(SUMIFS(应收金额,应收键,$Y17,应收年度,"&lt;"&amp;管理年度)-SUMIFS(收款金额,收款键,$Y17,收款年度,"&lt;"&amp;管理年度),2))</f>
        <v/>
      </c>
      <c r="I17" s="40" t="str">
        <f aca="false">IF($Y17="","",ROUND(SUMIFS(应收金额,应收键,$Y17,应收年度,管理年度),2))</f>
        <v/>
      </c>
      <c r="J17" s="40" t="str">
        <f aca="false">IF($Y17="","",ROUND(SUMIFS(应收金额,应收键,$Y17,应收年度,管理年度,应收款别,"合同款"),2))</f>
        <v/>
      </c>
      <c r="K17" s="40" t="str">
        <f aca="false">IF($Y17="","",ROUND($I17-$J17,2))</f>
        <v/>
      </c>
      <c r="L17" s="40" t="str">
        <f aca="false">IF($Y17="","",ROUND(SUMIFS(应收开票额,应收键,$Y17,应收开票年度,管理年度),2))</f>
        <v/>
      </c>
      <c r="M17" s="40" t="str">
        <f aca="false">IF($Y17="","",ROUND($I17-$L17,2))</f>
        <v/>
      </c>
      <c r="N17" s="40" t="str">
        <f aca="false">IF($Y17="","",ROUND(SUMIFS(收款金额,收款键,$Y17,收款年度,管理年度),2))</f>
        <v/>
      </c>
      <c r="O17" s="40" t="str">
        <f aca="false">IF($Y17="","",ROUND(SUMIFS(收款金额,收款键,$Y17,收款年度,管理年度,收款归类,"发票"),2))</f>
        <v/>
      </c>
      <c r="P17" s="40" t="str">
        <f aca="false">IF($Y17="","",ROUND(SUMIFS(收款金额,收款键,$Y17,收款年度,管理年度,收款归类,"收据"),2))</f>
        <v/>
      </c>
      <c r="Q17" s="40" t="str">
        <f aca="false">IF($Y17="","",ROUND(SUMIFS(收款金额,收款键,$Y17,收款年度,管理年度,收款归类,"现金无票"),2))</f>
        <v/>
      </c>
      <c r="R17" s="40" t="str">
        <f aca="false">IF($Y17="","",ROUND(MAX(0,MIN($T17,SUMIF(应收键,$Y17,应收开票额)-SUMIF(收款键,$Y17,收款金额))),2))</f>
        <v/>
      </c>
      <c r="S17" s="40" t="str">
        <f aca="false">IF($Y17="","",ROUND(MAX(0,$T17)-$R17,2))</f>
        <v/>
      </c>
      <c r="T17" s="48" t="str">
        <f aca="false">IF($Y17="","",ROUND(SUMIF(应收键,$Y17,应收金额)-SUMIF(收款键,$Y17,收款金额),2))</f>
        <v/>
      </c>
      <c r="U17" s="49" t="str">
        <f aca="true">IF($AA17="","",IF($T17&lt;=0.01,"",MAX(0,TODAY()-$AA17)))</f>
        <v/>
      </c>
      <c r="V17" s="50" t="str">
        <f aca="true">IF($Y17="","",IF($T17&gt;0.01,IF(AND(ISNUMBER($U17),$U17&gt;=账龄预警天),"▲欠款拖了 "&amp;TEXT($U17,"0")&amp;" 天","欠款未清"),IF($T17&lt;-0.01,"预收/多收","已结清"))&amp;IF(OR($E17="已签未回",$E17="未签",$E17="续签中")," ▲合同未回","")&amp;IF(AND(ISNUMBER($F17),$F17&lt;TODAY())," ▲合同已到期",""))</f>
        <v/>
      </c>
      <c r="W17" s="24"/>
      <c r="X17" s="35" t="str">
        <f aca="false">IF($Y17="","",IF(ROUND($H17+$I17-$N17+$Z17-$T17,2)&lt;&gt;0,"★期初＋本年－已收≠余额",IF(ROUND($R17+$S17-MAX(0,$T17),2)&lt;&gt;0,"★已开票＋未开票≠欠款",IF(ROUND($J17+$K17-$I17,2)&lt;&gt;0,"★合同款＋合同外款≠本年应收",IF(ROUND($O17+$P17+$Q17-$N17,2)&lt;&gt;0,"★发票＋收据＋现金≠本年已收","OK")))))</f>
        <v/>
      </c>
      <c r="Y17" s="35" t="str">
        <f aca="false">IF(维保合同!$C17="","",维保合同!$E17)</f>
        <v/>
      </c>
      <c r="Z17" s="40" t="str">
        <f aca="false">IF($Y17="","",ROUND(SUMIFS(应收金额,应收键,$Y17,应收年度,"&gt;"&amp;管理年度)-SUMIFS(收款金额,收款键,$Y17,收款年度,"&gt;"&amp;管理年度),2))</f>
        <v/>
      </c>
      <c r="AA17" s="47" t="str">
        <f aca="false">IF($Y17="","",IF(SUMPRODUCT(MIN(IF((应收键=$Y17)*(应收未收&gt;0.01),应收日期,999999)))&gt;=999999,"",SUMPRODUCT(MIN(IF((应收键=$Y17)*(应收未收&gt;0.01),应收日期,999999)))))</f>
        <v/>
      </c>
    </row>
    <row r="18" customFormat="false" ht="15" hidden="false" customHeight="false" outlineLevel="0" collapsed="false">
      <c r="A18" s="29" t="str">
        <f aca="false">IF($Y18="","",ROW()-4)</f>
        <v/>
      </c>
      <c r="B18" s="16" t="str">
        <f aca="false">IF($Y18="","",维保合同!$C18)</f>
        <v/>
      </c>
      <c r="C18" s="16" t="str">
        <f aca="false">IF($Y18="","",维保合同!$D18)</f>
        <v/>
      </c>
      <c r="D18" s="35" t="str">
        <f aca="false">IF($Y18="","",维保合同!$F18)</f>
        <v/>
      </c>
      <c r="E18" s="35" t="str">
        <f aca="false">IF($Y18="","",维保合同!$G18)</f>
        <v/>
      </c>
      <c r="F18" s="47" t="str">
        <f aca="false">IF($Y18="","",维保合同!$I18)</f>
        <v/>
      </c>
      <c r="G18" s="38" t="str">
        <f aca="false">IF($Y18="","",维保合同!$K18)</f>
        <v/>
      </c>
      <c r="H18" s="41" t="str">
        <f aca="false">IF($Y18="","",ROUND(SUMIFS(应收金额,应收键,$Y18,应收年度,"&lt;"&amp;管理年度)-SUMIFS(收款金额,收款键,$Y18,收款年度,"&lt;"&amp;管理年度),2))</f>
        <v/>
      </c>
      <c r="I18" s="40" t="str">
        <f aca="false">IF($Y18="","",ROUND(SUMIFS(应收金额,应收键,$Y18,应收年度,管理年度),2))</f>
        <v/>
      </c>
      <c r="J18" s="40" t="str">
        <f aca="false">IF($Y18="","",ROUND(SUMIFS(应收金额,应收键,$Y18,应收年度,管理年度,应收款别,"合同款"),2))</f>
        <v/>
      </c>
      <c r="K18" s="40" t="str">
        <f aca="false">IF($Y18="","",ROUND($I18-$J18,2))</f>
        <v/>
      </c>
      <c r="L18" s="40" t="str">
        <f aca="false">IF($Y18="","",ROUND(SUMIFS(应收开票额,应收键,$Y18,应收开票年度,管理年度),2))</f>
        <v/>
      </c>
      <c r="M18" s="40" t="str">
        <f aca="false">IF($Y18="","",ROUND($I18-$L18,2))</f>
        <v/>
      </c>
      <c r="N18" s="40" t="str">
        <f aca="false">IF($Y18="","",ROUND(SUMIFS(收款金额,收款键,$Y18,收款年度,管理年度),2))</f>
        <v/>
      </c>
      <c r="O18" s="40" t="str">
        <f aca="false">IF($Y18="","",ROUND(SUMIFS(收款金额,收款键,$Y18,收款年度,管理年度,收款归类,"发票"),2))</f>
        <v/>
      </c>
      <c r="P18" s="40" t="str">
        <f aca="false">IF($Y18="","",ROUND(SUMIFS(收款金额,收款键,$Y18,收款年度,管理年度,收款归类,"收据"),2))</f>
        <v/>
      </c>
      <c r="Q18" s="40" t="str">
        <f aca="false">IF($Y18="","",ROUND(SUMIFS(收款金额,收款键,$Y18,收款年度,管理年度,收款归类,"现金无票"),2))</f>
        <v/>
      </c>
      <c r="R18" s="40" t="str">
        <f aca="false">IF($Y18="","",ROUND(MAX(0,MIN($T18,SUMIF(应收键,$Y18,应收开票额)-SUMIF(收款键,$Y18,收款金额))),2))</f>
        <v/>
      </c>
      <c r="S18" s="40" t="str">
        <f aca="false">IF($Y18="","",ROUND(MAX(0,$T18)-$R18,2))</f>
        <v/>
      </c>
      <c r="T18" s="48" t="str">
        <f aca="false">IF($Y18="","",ROUND(SUMIF(应收键,$Y18,应收金额)-SUMIF(收款键,$Y18,收款金额),2))</f>
        <v/>
      </c>
      <c r="U18" s="49" t="str">
        <f aca="true">IF($AA18="","",IF($T18&lt;=0.01,"",MAX(0,TODAY()-$AA18)))</f>
        <v/>
      </c>
      <c r="V18" s="50" t="str">
        <f aca="true">IF($Y18="","",IF($T18&gt;0.01,IF(AND(ISNUMBER($U18),$U18&gt;=账龄预警天),"▲欠款拖了 "&amp;TEXT($U18,"0")&amp;" 天","欠款未清"),IF($T18&lt;-0.01,"预收/多收","已结清"))&amp;IF(OR($E18="已签未回",$E18="未签",$E18="续签中")," ▲合同未回","")&amp;IF(AND(ISNUMBER($F18),$F18&lt;TODAY())," ▲合同已到期",""))</f>
        <v/>
      </c>
      <c r="W18" s="24"/>
      <c r="X18" s="35" t="str">
        <f aca="false">IF($Y18="","",IF(ROUND($H18+$I18-$N18+$Z18-$T18,2)&lt;&gt;0,"★期初＋本年－已收≠余额",IF(ROUND($R18+$S18-MAX(0,$T18),2)&lt;&gt;0,"★已开票＋未开票≠欠款",IF(ROUND($J18+$K18-$I18,2)&lt;&gt;0,"★合同款＋合同外款≠本年应收",IF(ROUND($O18+$P18+$Q18-$N18,2)&lt;&gt;0,"★发票＋收据＋现金≠本年已收","OK")))))</f>
        <v/>
      </c>
      <c r="Y18" s="35" t="str">
        <f aca="false">IF(维保合同!$C18="","",维保合同!$E18)</f>
        <v/>
      </c>
      <c r="Z18" s="40" t="str">
        <f aca="false">IF($Y18="","",ROUND(SUMIFS(应收金额,应收键,$Y18,应收年度,"&gt;"&amp;管理年度)-SUMIFS(收款金额,收款键,$Y18,收款年度,"&gt;"&amp;管理年度),2))</f>
        <v/>
      </c>
      <c r="AA18" s="47" t="str">
        <f aca="false">IF($Y18="","",IF(SUMPRODUCT(MIN(IF((应收键=$Y18)*(应收未收&gt;0.01),应收日期,999999)))&gt;=999999,"",SUMPRODUCT(MIN(IF((应收键=$Y18)*(应收未收&gt;0.01),应收日期,999999)))))</f>
        <v/>
      </c>
    </row>
    <row r="19" customFormat="false" ht="15" hidden="false" customHeight="false" outlineLevel="0" collapsed="false">
      <c r="A19" s="29" t="str">
        <f aca="false">IF($Y19="","",ROW()-4)</f>
        <v/>
      </c>
      <c r="B19" s="16" t="str">
        <f aca="false">IF($Y19="","",维保合同!$C19)</f>
        <v/>
      </c>
      <c r="C19" s="16" t="str">
        <f aca="false">IF($Y19="","",维保合同!$D19)</f>
        <v/>
      </c>
      <c r="D19" s="35" t="str">
        <f aca="false">IF($Y19="","",维保合同!$F19)</f>
        <v/>
      </c>
      <c r="E19" s="35" t="str">
        <f aca="false">IF($Y19="","",维保合同!$G19)</f>
        <v/>
      </c>
      <c r="F19" s="47" t="str">
        <f aca="false">IF($Y19="","",维保合同!$I19)</f>
        <v/>
      </c>
      <c r="G19" s="38" t="str">
        <f aca="false">IF($Y19="","",维保合同!$K19)</f>
        <v/>
      </c>
      <c r="H19" s="41" t="str">
        <f aca="false">IF($Y19="","",ROUND(SUMIFS(应收金额,应收键,$Y19,应收年度,"&lt;"&amp;管理年度)-SUMIFS(收款金额,收款键,$Y19,收款年度,"&lt;"&amp;管理年度),2))</f>
        <v/>
      </c>
      <c r="I19" s="40" t="str">
        <f aca="false">IF($Y19="","",ROUND(SUMIFS(应收金额,应收键,$Y19,应收年度,管理年度),2))</f>
        <v/>
      </c>
      <c r="J19" s="40" t="str">
        <f aca="false">IF($Y19="","",ROUND(SUMIFS(应收金额,应收键,$Y19,应收年度,管理年度,应收款别,"合同款"),2))</f>
        <v/>
      </c>
      <c r="K19" s="40" t="str">
        <f aca="false">IF($Y19="","",ROUND($I19-$J19,2))</f>
        <v/>
      </c>
      <c r="L19" s="40" t="str">
        <f aca="false">IF($Y19="","",ROUND(SUMIFS(应收开票额,应收键,$Y19,应收开票年度,管理年度),2))</f>
        <v/>
      </c>
      <c r="M19" s="40" t="str">
        <f aca="false">IF($Y19="","",ROUND($I19-$L19,2))</f>
        <v/>
      </c>
      <c r="N19" s="40" t="str">
        <f aca="false">IF($Y19="","",ROUND(SUMIFS(收款金额,收款键,$Y19,收款年度,管理年度),2))</f>
        <v/>
      </c>
      <c r="O19" s="40" t="str">
        <f aca="false">IF($Y19="","",ROUND(SUMIFS(收款金额,收款键,$Y19,收款年度,管理年度,收款归类,"发票"),2))</f>
        <v/>
      </c>
      <c r="P19" s="40" t="str">
        <f aca="false">IF($Y19="","",ROUND(SUMIFS(收款金额,收款键,$Y19,收款年度,管理年度,收款归类,"收据"),2))</f>
        <v/>
      </c>
      <c r="Q19" s="40" t="str">
        <f aca="false">IF($Y19="","",ROUND(SUMIFS(收款金额,收款键,$Y19,收款年度,管理年度,收款归类,"现金无票"),2))</f>
        <v/>
      </c>
      <c r="R19" s="40" t="str">
        <f aca="false">IF($Y19="","",ROUND(MAX(0,MIN($T19,SUMIF(应收键,$Y19,应收开票额)-SUMIF(收款键,$Y19,收款金额))),2))</f>
        <v/>
      </c>
      <c r="S19" s="40" t="str">
        <f aca="false">IF($Y19="","",ROUND(MAX(0,$T19)-$R19,2))</f>
        <v/>
      </c>
      <c r="T19" s="48" t="str">
        <f aca="false">IF($Y19="","",ROUND(SUMIF(应收键,$Y19,应收金额)-SUMIF(收款键,$Y19,收款金额),2))</f>
        <v/>
      </c>
      <c r="U19" s="49" t="str">
        <f aca="true">IF($AA19="","",IF($T19&lt;=0.01,"",MAX(0,TODAY()-$AA19)))</f>
        <v/>
      </c>
      <c r="V19" s="50" t="str">
        <f aca="true">IF($Y19="","",IF($T19&gt;0.01,IF(AND(ISNUMBER($U19),$U19&gt;=账龄预警天),"▲欠款拖了 "&amp;TEXT($U19,"0")&amp;" 天","欠款未清"),IF($T19&lt;-0.01,"预收/多收","已结清"))&amp;IF(OR($E19="已签未回",$E19="未签",$E19="续签中")," ▲合同未回","")&amp;IF(AND(ISNUMBER($F19),$F19&lt;TODAY())," ▲合同已到期",""))</f>
        <v/>
      </c>
      <c r="W19" s="24"/>
      <c r="X19" s="35" t="str">
        <f aca="false">IF($Y19="","",IF(ROUND($H19+$I19-$N19+$Z19-$T19,2)&lt;&gt;0,"★期初＋本年－已收≠余额",IF(ROUND($R19+$S19-MAX(0,$T19),2)&lt;&gt;0,"★已开票＋未开票≠欠款",IF(ROUND($J19+$K19-$I19,2)&lt;&gt;0,"★合同款＋合同外款≠本年应收",IF(ROUND($O19+$P19+$Q19-$N19,2)&lt;&gt;0,"★发票＋收据＋现金≠本年已收","OK")))))</f>
        <v/>
      </c>
      <c r="Y19" s="35" t="str">
        <f aca="false">IF(维保合同!$C19="","",维保合同!$E19)</f>
        <v/>
      </c>
      <c r="Z19" s="40" t="str">
        <f aca="false">IF($Y19="","",ROUND(SUMIFS(应收金额,应收键,$Y19,应收年度,"&gt;"&amp;管理年度)-SUMIFS(收款金额,收款键,$Y19,收款年度,"&gt;"&amp;管理年度),2))</f>
        <v/>
      </c>
      <c r="AA19" s="47" t="str">
        <f aca="false">IF($Y19="","",IF(SUMPRODUCT(MIN(IF((应收键=$Y19)*(应收未收&gt;0.01),应收日期,999999)))&gt;=999999,"",SUMPRODUCT(MIN(IF((应收键=$Y19)*(应收未收&gt;0.01),应收日期,999999)))))</f>
        <v/>
      </c>
    </row>
    <row r="20" customFormat="false" ht="15" hidden="false" customHeight="false" outlineLevel="0" collapsed="false">
      <c r="A20" s="29" t="str">
        <f aca="false">IF($Y20="","",ROW()-4)</f>
        <v/>
      </c>
      <c r="B20" s="16" t="str">
        <f aca="false">IF($Y20="","",维保合同!$C20)</f>
        <v/>
      </c>
      <c r="C20" s="16" t="str">
        <f aca="false">IF($Y20="","",维保合同!$D20)</f>
        <v/>
      </c>
      <c r="D20" s="35" t="str">
        <f aca="false">IF($Y20="","",维保合同!$F20)</f>
        <v/>
      </c>
      <c r="E20" s="35" t="str">
        <f aca="false">IF($Y20="","",维保合同!$G20)</f>
        <v/>
      </c>
      <c r="F20" s="47" t="str">
        <f aca="false">IF($Y20="","",维保合同!$I20)</f>
        <v/>
      </c>
      <c r="G20" s="38" t="str">
        <f aca="false">IF($Y20="","",维保合同!$K20)</f>
        <v/>
      </c>
      <c r="H20" s="41" t="str">
        <f aca="false">IF($Y20="","",ROUND(SUMIFS(应收金额,应收键,$Y20,应收年度,"&lt;"&amp;管理年度)-SUMIFS(收款金额,收款键,$Y20,收款年度,"&lt;"&amp;管理年度),2))</f>
        <v/>
      </c>
      <c r="I20" s="40" t="str">
        <f aca="false">IF($Y20="","",ROUND(SUMIFS(应收金额,应收键,$Y20,应收年度,管理年度),2))</f>
        <v/>
      </c>
      <c r="J20" s="40" t="str">
        <f aca="false">IF($Y20="","",ROUND(SUMIFS(应收金额,应收键,$Y20,应收年度,管理年度,应收款别,"合同款"),2))</f>
        <v/>
      </c>
      <c r="K20" s="40" t="str">
        <f aca="false">IF($Y20="","",ROUND($I20-$J20,2))</f>
        <v/>
      </c>
      <c r="L20" s="40" t="str">
        <f aca="false">IF($Y20="","",ROUND(SUMIFS(应收开票额,应收键,$Y20,应收开票年度,管理年度),2))</f>
        <v/>
      </c>
      <c r="M20" s="40" t="str">
        <f aca="false">IF($Y20="","",ROUND($I20-$L20,2))</f>
        <v/>
      </c>
      <c r="N20" s="40" t="str">
        <f aca="false">IF($Y20="","",ROUND(SUMIFS(收款金额,收款键,$Y20,收款年度,管理年度),2))</f>
        <v/>
      </c>
      <c r="O20" s="40" t="str">
        <f aca="false">IF($Y20="","",ROUND(SUMIFS(收款金额,收款键,$Y20,收款年度,管理年度,收款归类,"发票"),2))</f>
        <v/>
      </c>
      <c r="P20" s="40" t="str">
        <f aca="false">IF($Y20="","",ROUND(SUMIFS(收款金额,收款键,$Y20,收款年度,管理年度,收款归类,"收据"),2))</f>
        <v/>
      </c>
      <c r="Q20" s="40" t="str">
        <f aca="false">IF($Y20="","",ROUND(SUMIFS(收款金额,收款键,$Y20,收款年度,管理年度,收款归类,"现金无票"),2))</f>
        <v/>
      </c>
      <c r="R20" s="40" t="str">
        <f aca="false">IF($Y20="","",ROUND(MAX(0,MIN($T20,SUMIF(应收键,$Y20,应收开票额)-SUMIF(收款键,$Y20,收款金额))),2))</f>
        <v/>
      </c>
      <c r="S20" s="40" t="str">
        <f aca="false">IF($Y20="","",ROUND(MAX(0,$T20)-$R20,2))</f>
        <v/>
      </c>
      <c r="T20" s="48" t="str">
        <f aca="false">IF($Y20="","",ROUND(SUMIF(应收键,$Y20,应收金额)-SUMIF(收款键,$Y20,收款金额),2))</f>
        <v/>
      </c>
      <c r="U20" s="49" t="str">
        <f aca="true">IF($AA20="","",IF($T20&lt;=0.01,"",MAX(0,TODAY()-$AA20)))</f>
        <v/>
      </c>
      <c r="V20" s="50" t="str">
        <f aca="true">IF($Y20="","",IF($T20&gt;0.01,IF(AND(ISNUMBER($U20),$U20&gt;=账龄预警天),"▲欠款拖了 "&amp;TEXT($U20,"0")&amp;" 天","欠款未清"),IF($T20&lt;-0.01,"预收/多收","已结清"))&amp;IF(OR($E20="已签未回",$E20="未签",$E20="续签中")," ▲合同未回","")&amp;IF(AND(ISNUMBER($F20),$F20&lt;TODAY())," ▲合同已到期",""))</f>
        <v/>
      </c>
      <c r="W20" s="24"/>
      <c r="X20" s="35" t="str">
        <f aca="false">IF($Y20="","",IF(ROUND($H20+$I20-$N20+$Z20-$T20,2)&lt;&gt;0,"★期初＋本年－已收≠余额",IF(ROUND($R20+$S20-MAX(0,$T20),2)&lt;&gt;0,"★已开票＋未开票≠欠款",IF(ROUND($J20+$K20-$I20,2)&lt;&gt;0,"★合同款＋合同外款≠本年应收",IF(ROUND($O20+$P20+$Q20-$N20,2)&lt;&gt;0,"★发票＋收据＋现金≠本年已收","OK")))))</f>
        <v/>
      </c>
      <c r="Y20" s="35" t="str">
        <f aca="false">IF(维保合同!$C20="","",维保合同!$E20)</f>
        <v/>
      </c>
      <c r="Z20" s="40" t="str">
        <f aca="false">IF($Y20="","",ROUND(SUMIFS(应收金额,应收键,$Y20,应收年度,"&gt;"&amp;管理年度)-SUMIFS(收款金额,收款键,$Y20,收款年度,"&gt;"&amp;管理年度),2))</f>
        <v/>
      </c>
      <c r="AA20" s="47" t="str">
        <f aca="false">IF($Y20="","",IF(SUMPRODUCT(MIN(IF((应收键=$Y20)*(应收未收&gt;0.01),应收日期,999999)))&gt;=999999,"",SUMPRODUCT(MIN(IF((应收键=$Y20)*(应收未收&gt;0.01),应收日期,999999)))))</f>
        <v/>
      </c>
    </row>
    <row r="21" customFormat="false" ht="15" hidden="false" customHeight="false" outlineLevel="0" collapsed="false">
      <c r="A21" s="29" t="str">
        <f aca="false">IF($Y21="","",ROW()-4)</f>
        <v/>
      </c>
      <c r="B21" s="16" t="str">
        <f aca="false">IF($Y21="","",维保合同!$C21)</f>
        <v/>
      </c>
      <c r="C21" s="16" t="str">
        <f aca="false">IF($Y21="","",维保合同!$D21)</f>
        <v/>
      </c>
      <c r="D21" s="35" t="str">
        <f aca="false">IF($Y21="","",维保合同!$F21)</f>
        <v/>
      </c>
      <c r="E21" s="35" t="str">
        <f aca="false">IF($Y21="","",维保合同!$G21)</f>
        <v/>
      </c>
      <c r="F21" s="47" t="str">
        <f aca="false">IF($Y21="","",维保合同!$I21)</f>
        <v/>
      </c>
      <c r="G21" s="38" t="str">
        <f aca="false">IF($Y21="","",维保合同!$K21)</f>
        <v/>
      </c>
      <c r="H21" s="41" t="str">
        <f aca="false">IF($Y21="","",ROUND(SUMIFS(应收金额,应收键,$Y21,应收年度,"&lt;"&amp;管理年度)-SUMIFS(收款金额,收款键,$Y21,收款年度,"&lt;"&amp;管理年度),2))</f>
        <v/>
      </c>
      <c r="I21" s="40" t="str">
        <f aca="false">IF($Y21="","",ROUND(SUMIFS(应收金额,应收键,$Y21,应收年度,管理年度),2))</f>
        <v/>
      </c>
      <c r="J21" s="40" t="str">
        <f aca="false">IF($Y21="","",ROUND(SUMIFS(应收金额,应收键,$Y21,应收年度,管理年度,应收款别,"合同款"),2))</f>
        <v/>
      </c>
      <c r="K21" s="40" t="str">
        <f aca="false">IF($Y21="","",ROUND($I21-$J21,2))</f>
        <v/>
      </c>
      <c r="L21" s="40" t="str">
        <f aca="false">IF($Y21="","",ROUND(SUMIFS(应收开票额,应收键,$Y21,应收开票年度,管理年度),2))</f>
        <v/>
      </c>
      <c r="M21" s="40" t="str">
        <f aca="false">IF($Y21="","",ROUND($I21-$L21,2))</f>
        <v/>
      </c>
      <c r="N21" s="40" t="str">
        <f aca="false">IF($Y21="","",ROUND(SUMIFS(收款金额,收款键,$Y21,收款年度,管理年度),2))</f>
        <v/>
      </c>
      <c r="O21" s="40" t="str">
        <f aca="false">IF($Y21="","",ROUND(SUMIFS(收款金额,收款键,$Y21,收款年度,管理年度,收款归类,"发票"),2))</f>
        <v/>
      </c>
      <c r="P21" s="40" t="str">
        <f aca="false">IF($Y21="","",ROUND(SUMIFS(收款金额,收款键,$Y21,收款年度,管理年度,收款归类,"收据"),2))</f>
        <v/>
      </c>
      <c r="Q21" s="40" t="str">
        <f aca="false">IF($Y21="","",ROUND(SUMIFS(收款金额,收款键,$Y21,收款年度,管理年度,收款归类,"现金无票"),2))</f>
        <v/>
      </c>
      <c r="R21" s="40" t="str">
        <f aca="false">IF($Y21="","",ROUND(MAX(0,MIN($T21,SUMIF(应收键,$Y21,应收开票额)-SUMIF(收款键,$Y21,收款金额))),2))</f>
        <v/>
      </c>
      <c r="S21" s="40" t="str">
        <f aca="false">IF($Y21="","",ROUND(MAX(0,$T21)-$R21,2))</f>
        <v/>
      </c>
      <c r="T21" s="48" t="str">
        <f aca="false">IF($Y21="","",ROUND(SUMIF(应收键,$Y21,应收金额)-SUMIF(收款键,$Y21,收款金额),2))</f>
        <v/>
      </c>
      <c r="U21" s="49" t="str">
        <f aca="true">IF($AA21="","",IF($T21&lt;=0.01,"",MAX(0,TODAY()-$AA21)))</f>
        <v/>
      </c>
      <c r="V21" s="50" t="str">
        <f aca="true">IF($Y21="","",IF($T21&gt;0.01,IF(AND(ISNUMBER($U21),$U21&gt;=账龄预警天),"▲欠款拖了 "&amp;TEXT($U21,"0")&amp;" 天","欠款未清"),IF($T21&lt;-0.01,"预收/多收","已结清"))&amp;IF(OR($E21="已签未回",$E21="未签",$E21="续签中")," ▲合同未回","")&amp;IF(AND(ISNUMBER($F21),$F21&lt;TODAY())," ▲合同已到期",""))</f>
        <v/>
      </c>
      <c r="W21" s="24"/>
      <c r="X21" s="35" t="str">
        <f aca="false">IF($Y21="","",IF(ROUND($H21+$I21-$N21+$Z21-$T21,2)&lt;&gt;0,"★期初＋本年－已收≠余额",IF(ROUND($R21+$S21-MAX(0,$T21),2)&lt;&gt;0,"★已开票＋未开票≠欠款",IF(ROUND($J21+$K21-$I21,2)&lt;&gt;0,"★合同款＋合同外款≠本年应收",IF(ROUND($O21+$P21+$Q21-$N21,2)&lt;&gt;0,"★发票＋收据＋现金≠本年已收","OK")))))</f>
        <v/>
      </c>
      <c r="Y21" s="35" t="str">
        <f aca="false">IF(维保合同!$C21="","",维保合同!$E21)</f>
        <v/>
      </c>
      <c r="Z21" s="40" t="str">
        <f aca="false">IF($Y21="","",ROUND(SUMIFS(应收金额,应收键,$Y21,应收年度,"&gt;"&amp;管理年度)-SUMIFS(收款金额,收款键,$Y21,收款年度,"&gt;"&amp;管理年度),2))</f>
        <v/>
      </c>
      <c r="AA21" s="47" t="str">
        <f aca="false">IF($Y21="","",IF(SUMPRODUCT(MIN(IF((应收键=$Y21)*(应收未收&gt;0.01),应收日期,999999)))&gt;=999999,"",SUMPRODUCT(MIN(IF((应收键=$Y21)*(应收未收&gt;0.01),应收日期,999999)))))</f>
        <v/>
      </c>
    </row>
    <row r="22" customFormat="false" ht="15" hidden="false" customHeight="false" outlineLevel="0" collapsed="false">
      <c r="A22" s="29" t="str">
        <f aca="false">IF($Y22="","",ROW()-4)</f>
        <v/>
      </c>
      <c r="B22" s="16" t="str">
        <f aca="false">IF($Y22="","",维保合同!$C22)</f>
        <v/>
      </c>
      <c r="C22" s="16" t="str">
        <f aca="false">IF($Y22="","",维保合同!$D22)</f>
        <v/>
      </c>
      <c r="D22" s="35" t="str">
        <f aca="false">IF($Y22="","",维保合同!$F22)</f>
        <v/>
      </c>
      <c r="E22" s="35" t="str">
        <f aca="false">IF($Y22="","",维保合同!$G22)</f>
        <v/>
      </c>
      <c r="F22" s="47" t="str">
        <f aca="false">IF($Y22="","",维保合同!$I22)</f>
        <v/>
      </c>
      <c r="G22" s="38" t="str">
        <f aca="false">IF($Y22="","",维保合同!$K22)</f>
        <v/>
      </c>
      <c r="H22" s="41" t="str">
        <f aca="false">IF($Y22="","",ROUND(SUMIFS(应收金额,应收键,$Y22,应收年度,"&lt;"&amp;管理年度)-SUMIFS(收款金额,收款键,$Y22,收款年度,"&lt;"&amp;管理年度),2))</f>
        <v/>
      </c>
      <c r="I22" s="40" t="str">
        <f aca="false">IF($Y22="","",ROUND(SUMIFS(应收金额,应收键,$Y22,应收年度,管理年度),2))</f>
        <v/>
      </c>
      <c r="J22" s="40" t="str">
        <f aca="false">IF($Y22="","",ROUND(SUMIFS(应收金额,应收键,$Y22,应收年度,管理年度,应收款别,"合同款"),2))</f>
        <v/>
      </c>
      <c r="K22" s="40" t="str">
        <f aca="false">IF($Y22="","",ROUND($I22-$J22,2))</f>
        <v/>
      </c>
      <c r="L22" s="40" t="str">
        <f aca="false">IF($Y22="","",ROUND(SUMIFS(应收开票额,应收键,$Y22,应收开票年度,管理年度),2))</f>
        <v/>
      </c>
      <c r="M22" s="40" t="str">
        <f aca="false">IF($Y22="","",ROUND($I22-$L22,2))</f>
        <v/>
      </c>
      <c r="N22" s="40" t="str">
        <f aca="false">IF($Y22="","",ROUND(SUMIFS(收款金额,收款键,$Y22,收款年度,管理年度),2))</f>
        <v/>
      </c>
      <c r="O22" s="40" t="str">
        <f aca="false">IF($Y22="","",ROUND(SUMIFS(收款金额,收款键,$Y22,收款年度,管理年度,收款归类,"发票"),2))</f>
        <v/>
      </c>
      <c r="P22" s="40" t="str">
        <f aca="false">IF($Y22="","",ROUND(SUMIFS(收款金额,收款键,$Y22,收款年度,管理年度,收款归类,"收据"),2))</f>
        <v/>
      </c>
      <c r="Q22" s="40" t="str">
        <f aca="false">IF($Y22="","",ROUND(SUMIFS(收款金额,收款键,$Y22,收款年度,管理年度,收款归类,"现金无票"),2))</f>
        <v/>
      </c>
      <c r="R22" s="40" t="str">
        <f aca="false">IF($Y22="","",ROUND(MAX(0,MIN($T22,SUMIF(应收键,$Y22,应收开票额)-SUMIF(收款键,$Y22,收款金额))),2))</f>
        <v/>
      </c>
      <c r="S22" s="40" t="str">
        <f aca="false">IF($Y22="","",ROUND(MAX(0,$T22)-$R22,2))</f>
        <v/>
      </c>
      <c r="T22" s="48" t="str">
        <f aca="false">IF($Y22="","",ROUND(SUMIF(应收键,$Y22,应收金额)-SUMIF(收款键,$Y22,收款金额),2))</f>
        <v/>
      </c>
      <c r="U22" s="49" t="str">
        <f aca="true">IF($AA22="","",IF($T22&lt;=0.01,"",MAX(0,TODAY()-$AA22)))</f>
        <v/>
      </c>
      <c r="V22" s="50" t="str">
        <f aca="true">IF($Y22="","",IF($T22&gt;0.01,IF(AND(ISNUMBER($U22),$U22&gt;=账龄预警天),"▲欠款拖了 "&amp;TEXT($U22,"0")&amp;" 天","欠款未清"),IF($T22&lt;-0.01,"预收/多收","已结清"))&amp;IF(OR($E22="已签未回",$E22="未签",$E22="续签中")," ▲合同未回","")&amp;IF(AND(ISNUMBER($F22),$F22&lt;TODAY())," ▲合同已到期",""))</f>
        <v/>
      </c>
      <c r="W22" s="24"/>
      <c r="X22" s="35" t="str">
        <f aca="false">IF($Y22="","",IF(ROUND($H22+$I22-$N22+$Z22-$T22,2)&lt;&gt;0,"★期初＋本年－已收≠余额",IF(ROUND($R22+$S22-MAX(0,$T22),2)&lt;&gt;0,"★已开票＋未开票≠欠款",IF(ROUND($J22+$K22-$I22,2)&lt;&gt;0,"★合同款＋合同外款≠本年应收",IF(ROUND($O22+$P22+$Q22-$N22,2)&lt;&gt;0,"★发票＋收据＋现金≠本年已收","OK")))))</f>
        <v/>
      </c>
      <c r="Y22" s="35" t="str">
        <f aca="false">IF(维保合同!$C22="","",维保合同!$E22)</f>
        <v/>
      </c>
      <c r="Z22" s="40" t="str">
        <f aca="false">IF($Y22="","",ROUND(SUMIFS(应收金额,应收键,$Y22,应收年度,"&gt;"&amp;管理年度)-SUMIFS(收款金额,收款键,$Y22,收款年度,"&gt;"&amp;管理年度),2))</f>
        <v/>
      </c>
      <c r="AA22" s="47" t="str">
        <f aca="false">IF($Y22="","",IF(SUMPRODUCT(MIN(IF((应收键=$Y22)*(应收未收&gt;0.01),应收日期,999999)))&gt;=999999,"",SUMPRODUCT(MIN(IF((应收键=$Y22)*(应收未收&gt;0.01),应收日期,999999)))))</f>
        <v/>
      </c>
    </row>
    <row r="23" customFormat="false" ht="15" hidden="false" customHeight="false" outlineLevel="0" collapsed="false">
      <c r="A23" s="29" t="str">
        <f aca="false">IF($Y23="","",ROW()-4)</f>
        <v/>
      </c>
      <c r="B23" s="16" t="str">
        <f aca="false">IF($Y23="","",维保合同!$C23)</f>
        <v/>
      </c>
      <c r="C23" s="16" t="str">
        <f aca="false">IF($Y23="","",维保合同!$D23)</f>
        <v/>
      </c>
      <c r="D23" s="35" t="str">
        <f aca="false">IF($Y23="","",维保合同!$F23)</f>
        <v/>
      </c>
      <c r="E23" s="35" t="str">
        <f aca="false">IF($Y23="","",维保合同!$G23)</f>
        <v/>
      </c>
      <c r="F23" s="47" t="str">
        <f aca="false">IF($Y23="","",维保合同!$I23)</f>
        <v/>
      </c>
      <c r="G23" s="38" t="str">
        <f aca="false">IF($Y23="","",维保合同!$K23)</f>
        <v/>
      </c>
      <c r="H23" s="41" t="str">
        <f aca="false">IF($Y23="","",ROUND(SUMIFS(应收金额,应收键,$Y23,应收年度,"&lt;"&amp;管理年度)-SUMIFS(收款金额,收款键,$Y23,收款年度,"&lt;"&amp;管理年度),2))</f>
        <v/>
      </c>
      <c r="I23" s="40" t="str">
        <f aca="false">IF($Y23="","",ROUND(SUMIFS(应收金额,应收键,$Y23,应收年度,管理年度),2))</f>
        <v/>
      </c>
      <c r="J23" s="40" t="str">
        <f aca="false">IF($Y23="","",ROUND(SUMIFS(应收金额,应收键,$Y23,应收年度,管理年度,应收款别,"合同款"),2))</f>
        <v/>
      </c>
      <c r="K23" s="40" t="str">
        <f aca="false">IF($Y23="","",ROUND($I23-$J23,2))</f>
        <v/>
      </c>
      <c r="L23" s="40" t="str">
        <f aca="false">IF($Y23="","",ROUND(SUMIFS(应收开票额,应收键,$Y23,应收开票年度,管理年度),2))</f>
        <v/>
      </c>
      <c r="M23" s="40" t="str">
        <f aca="false">IF($Y23="","",ROUND($I23-$L23,2))</f>
        <v/>
      </c>
      <c r="N23" s="40" t="str">
        <f aca="false">IF($Y23="","",ROUND(SUMIFS(收款金额,收款键,$Y23,收款年度,管理年度),2))</f>
        <v/>
      </c>
      <c r="O23" s="40" t="str">
        <f aca="false">IF($Y23="","",ROUND(SUMIFS(收款金额,收款键,$Y23,收款年度,管理年度,收款归类,"发票"),2))</f>
        <v/>
      </c>
      <c r="P23" s="40" t="str">
        <f aca="false">IF($Y23="","",ROUND(SUMIFS(收款金额,收款键,$Y23,收款年度,管理年度,收款归类,"收据"),2))</f>
        <v/>
      </c>
      <c r="Q23" s="40" t="str">
        <f aca="false">IF($Y23="","",ROUND(SUMIFS(收款金额,收款键,$Y23,收款年度,管理年度,收款归类,"现金无票"),2))</f>
        <v/>
      </c>
      <c r="R23" s="40" t="str">
        <f aca="false">IF($Y23="","",ROUND(MAX(0,MIN($T23,SUMIF(应收键,$Y23,应收开票额)-SUMIF(收款键,$Y23,收款金额))),2))</f>
        <v/>
      </c>
      <c r="S23" s="40" t="str">
        <f aca="false">IF($Y23="","",ROUND(MAX(0,$T23)-$R23,2))</f>
        <v/>
      </c>
      <c r="T23" s="48" t="str">
        <f aca="false">IF($Y23="","",ROUND(SUMIF(应收键,$Y23,应收金额)-SUMIF(收款键,$Y23,收款金额),2))</f>
        <v/>
      </c>
      <c r="U23" s="49" t="str">
        <f aca="true">IF($AA23="","",IF($T23&lt;=0.01,"",MAX(0,TODAY()-$AA23)))</f>
        <v/>
      </c>
      <c r="V23" s="50" t="str">
        <f aca="true">IF($Y23="","",IF($T23&gt;0.01,IF(AND(ISNUMBER($U23),$U23&gt;=账龄预警天),"▲欠款拖了 "&amp;TEXT($U23,"0")&amp;" 天","欠款未清"),IF($T23&lt;-0.01,"预收/多收","已结清"))&amp;IF(OR($E23="已签未回",$E23="未签",$E23="续签中")," ▲合同未回","")&amp;IF(AND(ISNUMBER($F23),$F23&lt;TODAY())," ▲合同已到期",""))</f>
        <v/>
      </c>
      <c r="W23" s="24"/>
      <c r="X23" s="35" t="str">
        <f aca="false">IF($Y23="","",IF(ROUND($H23+$I23-$N23+$Z23-$T23,2)&lt;&gt;0,"★期初＋本年－已收≠余额",IF(ROUND($R23+$S23-MAX(0,$T23),2)&lt;&gt;0,"★已开票＋未开票≠欠款",IF(ROUND($J23+$K23-$I23,2)&lt;&gt;0,"★合同款＋合同外款≠本年应收",IF(ROUND($O23+$P23+$Q23-$N23,2)&lt;&gt;0,"★发票＋收据＋现金≠本年已收","OK")))))</f>
        <v/>
      </c>
      <c r="Y23" s="35" t="str">
        <f aca="false">IF(维保合同!$C23="","",维保合同!$E23)</f>
        <v/>
      </c>
      <c r="Z23" s="40" t="str">
        <f aca="false">IF($Y23="","",ROUND(SUMIFS(应收金额,应收键,$Y23,应收年度,"&gt;"&amp;管理年度)-SUMIFS(收款金额,收款键,$Y23,收款年度,"&gt;"&amp;管理年度),2))</f>
        <v/>
      </c>
      <c r="AA23" s="47" t="str">
        <f aca="false">IF($Y23="","",IF(SUMPRODUCT(MIN(IF((应收键=$Y23)*(应收未收&gt;0.01),应收日期,999999)))&gt;=999999,"",SUMPRODUCT(MIN(IF((应收键=$Y23)*(应收未收&gt;0.01),应收日期,999999)))))</f>
        <v/>
      </c>
    </row>
    <row r="24" customFormat="false" ht="15" hidden="false" customHeight="false" outlineLevel="0" collapsed="false">
      <c r="A24" s="29" t="str">
        <f aca="false">IF($Y24="","",ROW()-4)</f>
        <v/>
      </c>
      <c r="B24" s="16" t="str">
        <f aca="false">IF($Y24="","",维保合同!$C24)</f>
        <v/>
      </c>
      <c r="C24" s="16" t="str">
        <f aca="false">IF($Y24="","",维保合同!$D24)</f>
        <v/>
      </c>
      <c r="D24" s="35" t="str">
        <f aca="false">IF($Y24="","",维保合同!$F24)</f>
        <v/>
      </c>
      <c r="E24" s="35" t="str">
        <f aca="false">IF($Y24="","",维保合同!$G24)</f>
        <v/>
      </c>
      <c r="F24" s="47" t="str">
        <f aca="false">IF($Y24="","",维保合同!$I24)</f>
        <v/>
      </c>
      <c r="G24" s="38" t="str">
        <f aca="false">IF($Y24="","",维保合同!$K24)</f>
        <v/>
      </c>
      <c r="H24" s="41" t="str">
        <f aca="false">IF($Y24="","",ROUND(SUMIFS(应收金额,应收键,$Y24,应收年度,"&lt;"&amp;管理年度)-SUMIFS(收款金额,收款键,$Y24,收款年度,"&lt;"&amp;管理年度),2))</f>
        <v/>
      </c>
      <c r="I24" s="40" t="str">
        <f aca="false">IF($Y24="","",ROUND(SUMIFS(应收金额,应收键,$Y24,应收年度,管理年度),2))</f>
        <v/>
      </c>
      <c r="J24" s="40" t="str">
        <f aca="false">IF($Y24="","",ROUND(SUMIFS(应收金额,应收键,$Y24,应收年度,管理年度,应收款别,"合同款"),2))</f>
        <v/>
      </c>
      <c r="K24" s="40" t="str">
        <f aca="false">IF($Y24="","",ROUND($I24-$J24,2))</f>
        <v/>
      </c>
      <c r="L24" s="40" t="str">
        <f aca="false">IF($Y24="","",ROUND(SUMIFS(应收开票额,应收键,$Y24,应收开票年度,管理年度),2))</f>
        <v/>
      </c>
      <c r="M24" s="40" t="str">
        <f aca="false">IF($Y24="","",ROUND($I24-$L24,2))</f>
        <v/>
      </c>
      <c r="N24" s="40" t="str">
        <f aca="false">IF($Y24="","",ROUND(SUMIFS(收款金额,收款键,$Y24,收款年度,管理年度),2))</f>
        <v/>
      </c>
      <c r="O24" s="40" t="str">
        <f aca="false">IF($Y24="","",ROUND(SUMIFS(收款金额,收款键,$Y24,收款年度,管理年度,收款归类,"发票"),2))</f>
        <v/>
      </c>
      <c r="P24" s="40" t="str">
        <f aca="false">IF($Y24="","",ROUND(SUMIFS(收款金额,收款键,$Y24,收款年度,管理年度,收款归类,"收据"),2))</f>
        <v/>
      </c>
      <c r="Q24" s="40" t="str">
        <f aca="false">IF($Y24="","",ROUND(SUMIFS(收款金额,收款键,$Y24,收款年度,管理年度,收款归类,"现金无票"),2))</f>
        <v/>
      </c>
      <c r="R24" s="40" t="str">
        <f aca="false">IF($Y24="","",ROUND(MAX(0,MIN($T24,SUMIF(应收键,$Y24,应收开票额)-SUMIF(收款键,$Y24,收款金额))),2))</f>
        <v/>
      </c>
      <c r="S24" s="40" t="str">
        <f aca="false">IF($Y24="","",ROUND(MAX(0,$T24)-$R24,2))</f>
        <v/>
      </c>
      <c r="T24" s="48" t="str">
        <f aca="false">IF($Y24="","",ROUND(SUMIF(应收键,$Y24,应收金额)-SUMIF(收款键,$Y24,收款金额),2))</f>
        <v/>
      </c>
      <c r="U24" s="49" t="str">
        <f aca="true">IF($AA24="","",IF($T24&lt;=0.01,"",MAX(0,TODAY()-$AA24)))</f>
        <v/>
      </c>
      <c r="V24" s="50" t="str">
        <f aca="true">IF($Y24="","",IF($T24&gt;0.01,IF(AND(ISNUMBER($U24),$U24&gt;=账龄预警天),"▲欠款拖了 "&amp;TEXT($U24,"0")&amp;" 天","欠款未清"),IF($T24&lt;-0.01,"预收/多收","已结清"))&amp;IF(OR($E24="已签未回",$E24="未签",$E24="续签中")," ▲合同未回","")&amp;IF(AND(ISNUMBER($F24),$F24&lt;TODAY())," ▲合同已到期",""))</f>
        <v/>
      </c>
      <c r="W24" s="24"/>
      <c r="X24" s="35" t="str">
        <f aca="false">IF($Y24="","",IF(ROUND($H24+$I24-$N24+$Z24-$T24,2)&lt;&gt;0,"★期初＋本年－已收≠余额",IF(ROUND($R24+$S24-MAX(0,$T24),2)&lt;&gt;0,"★已开票＋未开票≠欠款",IF(ROUND($J24+$K24-$I24,2)&lt;&gt;0,"★合同款＋合同外款≠本年应收",IF(ROUND($O24+$P24+$Q24-$N24,2)&lt;&gt;0,"★发票＋收据＋现金≠本年已收","OK")))))</f>
        <v/>
      </c>
      <c r="Y24" s="35" t="str">
        <f aca="false">IF(维保合同!$C24="","",维保合同!$E24)</f>
        <v/>
      </c>
      <c r="Z24" s="40" t="str">
        <f aca="false">IF($Y24="","",ROUND(SUMIFS(应收金额,应收键,$Y24,应收年度,"&gt;"&amp;管理年度)-SUMIFS(收款金额,收款键,$Y24,收款年度,"&gt;"&amp;管理年度),2))</f>
        <v/>
      </c>
      <c r="AA24" s="47" t="str">
        <f aca="false">IF($Y24="","",IF(SUMPRODUCT(MIN(IF((应收键=$Y24)*(应收未收&gt;0.01),应收日期,999999)))&gt;=999999,"",SUMPRODUCT(MIN(IF((应收键=$Y24)*(应收未收&gt;0.01),应收日期,999999)))))</f>
        <v/>
      </c>
    </row>
    <row r="25" customFormat="false" ht="15" hidden="false" customHeight="false" outlineLevel="0" collapsed="false">
      <c r="A25" s="29" t="str">
        <f aca="false">IF($Y25="","",ROW()-4)</f>
        <v/>
      </c>
      <c r="B25" s="16" t="str">
        <f aca="false">IF($Y25="","",维保合同!$C25)</f>
        <v/>
      </c>
      <c r="C25" s="16" t="str">
        <f aca="false">IF($Y25="","",维保合同!$D25)</f>
        <v/>
      </c>
      <c r="D25" s="35" t="str">
        <f aca="false">IF($Y25="","",维保合同!$F25)</f>
        <v/>
      </c>
      <c r="E25" s="35" t="str">
        <f aca="false">IF($Y25="","",维保合同!$G25)</f>
        <v/>
      </c>
      <c r="F25" s="47" t="str">
        <f aca="false">IF($Y25="","",维保合同!$I25)</f>
        <v/>
      </c>
      <c r="G25" s="38" t="str">
        <f aca="false">IF($Y25="","",维保合同!$K25)</f>
        <v/>
      </c>
      <c r="H25" s="41" t="str">
        <f aca="false">IF($Y25="","",ROUND(SUMIFS(应收金额,应收键,$Y25,应收年度,"&lt;"&amp;管理年度)-SUMIFS(收款金额,收款键,$Y25,收款年度,"&lt;"&amp;管理年度),2))</f>
        <v/>
      </c>
      <c r="I25" s="40" t="str">
        <f aca="false">IF($Y25="","",ROUND(SUMIFS(应收金额,应收键,$Y25,应收年度,管理年度),2))</f>
        <v/>
      </c>
      <c r="J25" s="40" t="str">
        <f aca="false">IF($Y25="","",ROUND(SUMIFS(应收金额,应收键,$Y25,应收年度,管理年度,应收款别,"合同款"),2))</f>
        <v/>
      </c>
      <c r="K25" s="40" t="str">
        <f aca="false">IF($Y25="","",ROUND($I25-$J25,2))</f>
        <v/>
      </c>
      <c r="L25" s="40" t="str">
        <f aca="false">IF($Y25="","",ROUND(SUMIFS(应收开票额,应收键,$Y25,应收开票年度,管理年度),2))</f>
        <v/>
      </c>
      <c r="M25" s="40" t="str">
        <f aca="false">IF($Y25="","",ROUND($I25-$L25,2))</f>
        <v/>
      </c>
      <c r="N25" s="40" t="str">
        <f aca="false">IF($Y25="","",ROUND(SUMIFS(收款金额,收款键,$Y25,收款年度,管理年度),2))</f>
        <v/>
      </c>
      <c r="O25" s="40" t="str">
        <f aca="false">IF($Y25="","",ROUND(SUMIFS(收款金额,收款键,$Y25,收款年度,管理年度,收款归类,"发票"),2))</f>
        <v/>
      </c>
      <c r="P25" s="40" t="str">
        <f aca="false">IF($Y25="","",ROUND(SUMIFS(收款金额,收款键,$Y25,收款年度,管理年度,收款归类,"收据"),2))</f>
        <v/>
      </c>
      <c r="Q25" s="40" t="str">
        <f aca="false">IF($Y25="","",ROUND(SUMIFS(收款金额,收款键,$Y25,收款年度,管理年度,收款归类,"现金无票"),2))</f>
        <v/>
      </c>
      <c r="R25" s="40" t="str">
        <f aca="false">IF($Y25="","",ROUND(MAX(0,MIN($T25,SUMIF(应收键,$Y25,应收开票额)-SUMIF(收款键,$Y25,收款金额))),2))</f>
        <v/>
      </c>
      <c r="S25" s="40" t="str">
        <f aca="false">IF($Y25="","",ROUND(MAX(0,$T25)-$R25,2))</f>
        <v/>
      </c>
      <c r="T25" s="48" t="str">
        <f aca="false">IF($Y25="","",ROUND(SUMIF(应收键,$Y25,应收金额)-SUMIF(收款键,$Y25,收款金额),2))</f>
        <v/>
      </c>
      <c r="U25" s="49" t="str">
        <f aca="true">IF($AA25="","",IF($T25&lt;=0.01,"",MAX(0,TODAY()-$AA25)))</f>
        <v/>
      </c>
      <c r="V25" s="50" t="str">
        <f aca="true">IF($Y25="","",IF($T25&gt;0.01,IF(AND(ISNUMBER($U25),$U25&gt;=账龄预警天),"▲欠款拖了 "&amp;TEXT($U25,"0")&amp;" 天","欠款未清"),IF($T25&lt;-0.01,"预收/多收","已结清"))&amp;IF(OR($E25="已签未回",$E25="未签",$E25="续签中")," ▲合同未回","")&amp;IF(AND(ISNUMBER($F25),$F25&lt;TODAY())," ▲合同已到期",""))</f>
        <v/>
      </c>
      <c r="W25" s="24"/>
      <c r="X25" s="35" t="str">
        <f aca="false">IF($Y25="","",IF(ROUND($H25+$I25-$N25+$Z25-$T25,2)&lt;&gt;0,"★期初＋本年－已收≠余额",IF(ROUND($R25+$S25-MAX(0,$T25),2)&lt;&gt;0,"★已开票＋未开票≠欠款",IF(ROUND($J25+$K25-$I25,2)&lt;&gt;0,"★合同款＋合同外款≠本年应收",IF(ROUND($O25+$P25+$Q25-$N25,2)&lt;&gt;0,"★发票＋收据＋现金≠本年已收","OK")))))</f>
        <v/>
      </c>
      <c r="Y25" s="35" t="str">
        <f aca="false">IF(维保合同!$C25="","",维保合同!$E25)</f>
        <v/>
      </c>
      <c r="Z25" s="40" t="str">
        <f aca="false">IF($Y25="","",ROUND(SUMIFS(应收金额,应收键,$Y25,应收年度,"&gt;"&amp;管理年度)-SUMIFS(收款金额,收款键,$Y25,收款年度,"&gt;"&amp;管理年度),2))</f>
        <v/>
      </c>
      <c r="AA25" s="47" t="str">
        <f aca="false">IF($Y25="","",IF(SUMPRODUCT(MIN(IF((应收键=$Y25)*(应收未收&gt;0.01),应收日期,999999)))&gt;=999999,"",SUMPRODUCT(MIN(IF((应收键=$Y25)*(应收未收&gt;0.01),应收日期,999999)))))</f>
        <v/>
      </c>
    </row>
    <row r="26" customFormat="false" ht="15" hidden="false" customHeight="false" outlineLevel="0" collapsed="false">
      <c r="A26" s="29" t="str">
        <f aca="false">IF($Y26="","",ROW()-4)</f>
        <v/>
      </c>
      <c r="B26" s="16" t="str">
        <f aca="false">IF($Y26="","",维保合同!$C26)</f>
        <v/>
      </c>
      <c r="C26" s="16" t="str">
        <f aca="false">IF($Y26="","",维保合同!$D26)</f>
        <v/>
      </c>
      <c r="D26" s="35" t="str">
        <f aca="false">IF($Y26="","",维保合同!$F26)</f>
        <v/>
      </c>
      <c r="E26" s="35" t="str">
        <f aca="false">IF($Y26="","",维保合同!$G26)</f>
        <v/>
      </c>
      <c r="F26" s="47" t="str">
        <f aca="false">IF($Y26="","",维保合同!$I26)</f>
        <v/>
      </c>
      <c r="G26" s="38" t="str">
        <f aca="false">IF($Y26="","",维保合同!$K26)</f>
        <v/>
      </c>
      <c r="H26" s="41" t="str">
        <f aca="false">IF($Y26="","",ROUND(SUMIFS(应收金额,应收键,$Y26,应收年度,"&lt;"&amp;管理年度)-SUMIFS(收款金额,收款键,$Y26,收款年度,"&lt;"&amp;管理年度),2))</f>
        <v/>
      </c>
      <c r="I26" s="40" t="str">
        <f aca="false">IF($Y26="","",ROUND(SUMIFS(应收金额,应收键,$Y26,应收年度,管理年度),2))</f>
        <v/>
      </c>
      <c r="J26" s="40" t="str">
        <f aca="false">IF($Y26="","",ROUND(SUMIFS(应收金额,应收键,$Y26,应收年度,管理年度,应收款别,"合同款"),2))</f>
        <v/>
      </c>
      <c r="K26" s="40" t="str">
        <f aca="false">IF($Y26="","",ROUND($I26-$J26,2))</f>
        <v/>
      </c>
      <c r="L26" s="40" t="str">
        <f aca="false">IF($Y26="","",ROUND(SUMIFS(应收开票额,应收键,$Y26,应收开票年度,管理年度),2))</f>
        <v/>
      </c>
      <c r="M26" s="40" t="str">
        <f aca="false">IF($Y26="","",ROUND($I26-$L26,2))</f>
        <v/>
      </c>
      <c r="N26" s="40" t="str">
        <f aca="false">IF($Y26="","",ROUND(SUMIFS(收款金额,收款键,$Y26,收款年度,管理年度),2))</f>
        <v/>
      </c>
      <c r="O26" s="40" t="str">
        <f aca="false">IF($Y26="","",ROUND(SUMIFS(收款金额,收款键,$Y26,收款年度,管理年度,收款归类,"发票"),2))</f>
        <v/>
      </c>
      <c r="P26" s="40" t="str">
        <f aca="false">IF($Y26="","",ROUND(SUMIFS(收款金额,收款键,$Y26,收款年度,管理年度,收款归类,"收据"),2))</f>
        <v/>
      </c>
      <c r="Q26" s="40" t="str">
        <f aca="false">IF($Y26="","",ROUND(SUMIFS(收款金额,收款键,$Y26,收款年度,管理年度,收款归类,"现金无票"),2))</f>
        <v/>
      </c>
      <c r="R26" s="40" t="str">
        <f aca="false">IF($Y26="","",ROUND(MAX(0,MIN($T26,SUMIF(应收键,$Y26,应收开票额)-SUMIF(收款键,$Y26,收款金额))),2))</f>
        <v/>
      </c>
      <c r="S26" s="40" t="str">
        <f aca="false">IF($Y26="","",ROUND(MAX(0,$T26)-$R26,2))</f>
        <v/>
      </c>
      <c r="T26" s="48" t="str">
        <f aca="false">IF($Y26="","",ROUND(SUMIF(应收键,$Y26,应收金额)-SUMIF(收款键,$Y26,收款金额),2))</f>
        <v/>
      </c>
      <c r="U26" s="49" t="str">
        <f aca="true">IF($AA26="","",IF($T26&lt;=0.01,"",MAX(0,TODAY()-$AA26)))</f>
        <v/>
      </c>
      <c r="V26" s="50" t="str">
        <f aca="true">IF($Y26="","",IF($T26&gt;0.01,IF(AND(ISNUMBER($U26),$U26&gt;=账龄预警天),"▲欠款拖了 "&amp;TEXT($U26,"0")&amp;" 天","欠款未清"),IF($T26&lt;-0.01,"预收/多收","已结清"))&amp;IF(OR($E26="已签未回",$E26="未签",$E26="续签中")," ▲合同未回","")&amp;IF(AND(ISNUMBER($F26),$F26&lt;TODAY())," ▲合同已到期",""))</f>
        <v/>
      </c>
      <c r="W26" s="24"/>
      <c r="X26" s="35" t="str">
        <f aca="false">IF($Y26="","",IF(ROUND($H26+$I26-$N26+$Z26-$T26,2)&lt;&gt;0,"★期初＋本年－已收≠余额",IF(ROUND($R26+$S26-MAX(0,$T26),2)&lt;&gt;0,"★已开票＋未开票≠欠款",IF(ROUND($J26+$K26-$I26,2)&lt;&gt;0,"★合同款＋合同外款≠本年应收",IF(ROUND($O26+$P26+$Q26-$N26,2)&lt;&gt;0,"★发票＋收据＋现金≠本年已收","OK")))))</f>
        <v/>
      </c>
      <c r="Y26" s="35" t="str">
        <f aca="false">IF(维保合同!$C26="","",维保合同!$E26)</f>
        <v/>
      </c>
      <c r="Z26" s="40" t="str">
        <f aca="false">IF($Y26="","",ROUND(SUMIFS(应收金额,应收键,$Y26,应收年度,"&gt;"&amp;管理年度)-SUMIFS(收款金额,收款键,$Y26,收款年度,"&gt;"&amp;管理年度),2))</f>
        <v/>
      </c>
      <c r="AA26" s="47" t="str">
        <f aca="false">IF($Y26="","",IF(SUMPRODUCT(MIN(IF((应收键=$Y26)*(应收未收&gt;0.01),应收日期,999999)))&gt;=999999,"",SUMPRODUCT(MIN(IF((应收键=$Y26)*(应收未收&gt;0.01),应收日期,999999)))))</f>
        <v/>
      </c>
    </row>
    <row r="27" customFormat="false" ht="15" hidden="false" customHeight="false" outlineLevel="0" collapsed="false">
      <c r="A27" s="29" t="str">
        <f aca="false">IF($Y27="","",ROW()-4)</f>
        <v/>
      </c>
      <c r="B27" s="16" t="str">
        <f aca="false">IF($Y27="","",维保合同!$C27)</f>
        <v/>
      </c>
      <c r="C27" s="16" t="str">
        <f aca="false">IF($Y27="","",维保合同!$D27)</f>
        <v/>
      </c>
      <c r="D27" s="35" t="str">
        <f aca="false">IF($Y27="","",维保合同!$F27)</f>
        <v/>
      </c>
      <c r="E27" s="35" t="str">
        <f aca="false">IF($Y27="","",维保合同!$G27)</f>
        <v/>
      </c>
      <c r="F27" s="47" t="str">
        <f aca="false">IF($Y27="","",维保合同!$I27)</f>
        <v/>
      </c>
      <c r="G27" s="38" t="str">
        <f aca="false">IF($Y27="","",维保合同!$K27)</f>
        <v/>
      </c>
      <c r="H27" s="41" t="str">
        <f aca="false">IF($Y27="","",ROUND(SUMIFS(应收金额,应收键,$Y27,应收年度,"&lt;"&amp;管理年度)-SUMIFS(收款金额,收款键,$Y27,收款年度,"&lt;"&amp;管理年度),2))</f>
        <v/>
      </c>
      <c r="I27" s="40" t="str">
        <f aca="false">IF($Y27="","",ROUND(SUMIFS(应收金额,应收键,$Y27,应收年度,管理年度),2))</f>
        <v/>
      </c>
      <c r="J27" s="40" t="str">
        <f aca="false">IF($Y27="","",ROUND(SUMIFS(应收金额,应收键,$Y27,应收年度,管理年度,应收款别,"合同款"),2))</f>
        <v/>
      </c>
      <c r="K27" s="40" t="str">
        <f aca="false">IF($Y27="","",ROUND($I27-$J27,2))</f>
        <v/>
      </c>
      <c r="L27" s="40" t="str">
        <f aca="false">IF($Y27="","",ROUND(SUMIFS(应收开票额,应收键,$Y27,应收开票年度,管理年度),2))</f>
        <v/>
      </c>
      <c r="M27" s="40" t="str">
        <f aca="false">IF($Y27="","",ROUND($I27-$L27,2))</f>
        <v/>
      </c>
      <c r="N27" s="40" t="str">
        <f aca="false">IF($Y27="","",ROUND(SUMIFS(收款金额,收款键,$Y27,收款年度,管理年度),2))</f>
        <v/>
      </c>
      <c r="O27" s="40" t="str">
        <f aca="false">IF($Y27="","",ROUND(SUMIFS(收款金额,收款键,$Y27,收款年度,管理年度,收款归类,"发票"),2))</f>
        <v/>
      </c>
      <c r="P27" s="40" t="str">
        <f aca="false">IF($Y27="","",ROUND(SUMIFS(收款金额,收款键,$Y27,收款年度,管理年度,收款归类,"收据"),2))</f>
        <v/>
      </c>
      <c r="Q27" s="40" t="str">
        <f aca="false">IF($Y27="","",ROUND(SUMIFS(收款金额,收款键,$Y27,收款年度,管理年度,收款归类,"现金无票"),2))</f>
        <v/>
      </c>
      <c r="R27" s="40" t="str">
        <f aca="false">IF($Y27="","",ROUND(MAX(0,MIN($T27,SUMIF(应收键,$Y27,应收开票额)-SUMIF(收款键,$Y27,收款金额))),2))</f>
        <v/>
      </c>
      <c r="S27" s="40" t="str">
        <f aca="false">IF($Y27="","",ROUND(MAX(0,$T27)-$R27,2))</f>
        <v/>
      </c>
      <c r="T27" s="48" t="str">
        <f aca="false">IF($Y27="","",ROUND(SUMIF(应收键,$Y27,应收金额)-SUMIF(收款键,$Y27,收款金额),2))</f>
        <v/>
      </c>
      <c r="U27" s="49" t="str">
        <f aca="true">IF($AA27="","",IF($T27&lt;=0.01,"",MAX(0,TODAY()-$AA27)))</f>
        <v/>
      </c>
      <c r="V27" s="50" t="str">
        <f aca="true">IF($Y27="","",IF($T27&gt;0.01,IF(AND(ISNUMBER($U27),$U27&gt;=账龄预警天),"▲欠款拖了 "&amp;TEXT($U27,"0")&amp;" 天","欠款未清"),IF($T27&lt;-0.01,"预收/多收","已结清"))&amp;IF(OR($E27="已签未回",$E27="未签",$E27="续签中")," ▲合同未回","")&amp;IF(AND(ISNUMBER($F27),$F27&lt;TODAY())," ▲合同已到期",""))</f>
        <v/>
      </c>
      <c r="W27" s="24"/>
      <c r="X27" s="35" t="str">
        <f aca="false">IF($Y27="","",IF(ROUND($H27+$I27-$N27+$Z27-$T27,2)&lt;&gt;0,"★期初＋本年－已收≠余额",IF(ROUND($R27+$S27-MAX(0,$T27),2)&lt;&gt;0,"★已开票＋未开票≠欠款",IF(ROUND($J27+$K27-$I27,2)&lt;&gt;0,"★合同款＋合同外款≠本年应收",IF(ROUND($O27+$P27+$Q27-$N27,2)&lt;&gt;0,"★发票＋收据＋现金≠本年已收","OK")))))</f>
        <v/>
      </c>
      <c r="Y27" s="35" t="str">
        <f aca="false">IF(维保合同!$C27="","",维保合同!$E27)</f>
        <v/>
      </c>
      <c r="Z27" s="40" t="str">
        <f aca="false">IF($Y27="","",ROUND(SUMIFS(应收金额,应收键,$Y27,应收年度,"&gt;"&amp;管理年度)-SUMIFS(收款金额,收款键,$Y27,收款年度,"&gt;"&amp;管理年度),2))</f>
        <v/>
      </c>
      <c r="AA27" s="47" t="str">
        <f aca="false">IF($Y27="","",IF(SUMPRODUCT(MIN(IF((应收键=$Y27)*(应收未收&gt;0.01),应收日期,999999)))&gt;=999999,"",SUMPRODUCT(MIN(IF((应收键=$Y27)*(应收未收&gt;0.01),应收日期,999999)))))</f>
        <v/>
      </c>
    </row>
    <row r="28" customFormat="false" ht="15" hidden="false" customHeight="false" outlineLevel="0" collapsed="false">
      <c r="A28" s="29" t="str">
        <f aca="false">IF($Y28="","",ROW()-4)</f>
        <v/>
      </c>
      <c r="B28" s="16" t="str">
        <f aca="false">IF($Y28="","",维保合同!$C28)</f>
        <v/>
      </c>
      <c r="C28" s="16" t="str">
        <f aca="false">IF($Y28="","",维保合同!$D28)</f>
        <v/>
      </c>
      <c r="D28" s="35" t="str">
        <f aca="false">IF($Y28="","",维保合同!$F28)</f>
        <v/>
      </c>
      <c r="E28" s="35" t="str">
        <f aca="false">IF($Y28="","",维保合同!$G28)</f>
        <v/>
      </c>
      <c r="F28" s="47" t="str">
        <f aca="false">IF($Y28="","",维保合同!$I28)</f>
        <v/>
      </c>
      <c r="G28" s="38" t="str">
        <f aca="false">IF($Y28="","",维保合同!$K28)</f>
        <v/>
      </c>
      <c r="H28" s="41" t="str">
        <f aca="false">IF($Y28="","",ROUND(SUMIFS(应收金额,应收键,$Y28,应收年度,"&lt;"&amp;管理年度)-SUMIFS(收款金额,收款键,$Y28,收款年度,"&lt;"&amp;管理年度),2))</f>
        <v/>
      </c>
      <c r="I28" s="40" t="str">
        <f aca="false">IF($Y28="","",ROUND(SUMIFS(应收金额,应收键,$Y28,应收年度,管理年度),2))</f>
        <v/>
      </c>
      <c r="J28" s="40" t="str">
        <f aca="false">IF($Y28="","",ROUND(SUMIFS(应收金额,应收键,$Y28,应收年度,管理年度,应收款别,"合同款"),2))</f>
        <v/>
      </c>
      <c r="K28" s="40" t="str">
        <f aca="false">IF($Y28="","",ROUND($I28-$J28,2))</f>
        <v/>
      </c>
      <c r="L28" s="40" t="str">
        <f aca="false">IF($Y28="","",ROUND(SUMIFS(应收开票额,应收键,$Y28,应收开票年度,管理年度),2))</f>
        <v/>
      </c>
      <c r="M28" s="40" t="str">
        <f aca="false">IF($Y28="","",ROUND($I28-$L28,2))</f>
        <v/>
      </c>
      <c r="N28" s="40" t="str">
        <f aca="false">IF($Y28="","",ROUND(SUMIFS(收款金额,收款键,$Y28,收款年度,管理年度),2))</f>
        <v/>
      </c>
      <c r="O28" s="40" t="str">
        <f aca="false">IF($Y28="","",ROUND(SUMIFS(收款金额,收款键,$Y28,收款年度,管理年度,收款归类,"发票"),2))</f>
        <v/>
      </c>
      <c r="P28" s="40" t="str">
        <f aca="false">IF($Y28="","",ROUND(SUMIFS(收款金额,收款键,$Y28,收款年度,管理年度,收款归类,"收据"),2))</f>
        <v/>
      </c>
      <c r="Q28" s="40" t="str">
        <f aca="false">IF($Y28="","",ROUND(SUMIFS(收款金额,收款键,$Y28,收款年度,管理年度,收款归类,"现金无票"),2))</f>
        <v/>
      </c>
      <c r="R28" s="40" t="str">
        <f aca="false">IF($Y28="","",ROUND(MAX(0,MIN($T28,SUMIF(应收键,$Y28,应收开票额)-SUMIF(收款键,$Y28,收款金额))),2))</f>
        <v/>
      </c>
      <c r="S28" s="40" t="str">
        <f aca="false">IF($Y28="","",ROUND(MAX(0,$T28)-$R28,2))</f>
        <v/>
      </c>
      <c r="T28" s="48" t="str">
        <f aca="false">IF($Y28="","",ROUND(SUMIF(应收键,$Y28,应收金额)-SUMIF(收款键,$Y28,收款金额),2))</f>
        <v/>
      </c>
      <c r="U28" s="49" t="str">
        <f aca="true">IF($AA28="","",IF($T28&lt;=0.01,"",MAX(0,TODAY()-$AA28)))</f>
        <v/>
      </c>
      <c r="V28" s="50" t="str">
        <f aca="true">IF($Y28="","",IF($T28&gt;0.01,IF(AND(ISNUMBER($U28),$U28&gt;=账龄预警天),"▲欠款拖了 "&amp;TEXT($U28,"0")&amp;" 天","欠款未清"),IF($T28&lt;-0.01,"预收/多收","已结清"))&amp;IF(OR($E28="已签未回",$E28="未签",$E28="续签中")," ▲合同未回","")&amp;IF(AND(ISNUMBER($F28),$F28&lt;TODAY())," ▲合同已到期",""))</f>
        <v/>
      </c>
      <c r="W28" s="24"/>
      <c r="X28" s="35" t="str">
        <f aca="false">IF($Y28="","",IF(ROUND($H28+$I28-$N28+$Z28-$T28,2)&lt;&gt;0,"★期初＋本年－已收≠余额",IF(ROUND($R28+$S28-MAX(0,$T28),2)&lt;&gt;0,"★已开票＋未开票≠欠款",IF(ROUND($J28+$K28-$I28,2)&lt;&gt;0,"★合同款＋合同外款≠本年应收",IF(ROUND($O28+$P28+$Q28-$N28,2)&lt;&gt;0,"★发票＋收据＋现金≠本年已收","OK")))))</f>
        <v/>
      </c>
      <c r="Y28" s="35" t="str">
        <f aca="false">IF(维保合同!$C28="","",维保合同!$E28)</f>
        <v/>
      </c>
      <c r="Z28" s="40" t="str">
        <f aca="false">IF($Y28="","",ROUND(SUMIFS(应收金额,应收键,$Y28,应收年度,"&gt;"&amp;管理年度)-SUMIFS(收款金额,收款键,$Y28,收款年度,"&gt;"&amp;管理年度),2))</f>
        <v/>
      </c>
      <c r="AA28" s="47" t="str">
        <f aca="false">IF($Y28="","",IF(SUMPRODUCT(MIN(IF((应收键=$Y28)*(应收未收&gt;0.01),应收日期,999999)))&gt;=999999,"",SUMPRODUCT(MIN(IF((应收键=$Y28)*(应收未收&gt;0.01),应收日期,999999)))))</f>
        <v/>
      </c>
    </row>
    <row r="29" customFormat="false" ht="15" hidden="false" customHeight="false" outlineLevel="0" collapsed="false">
      <c r="A29" s="29" t="str">
        <f aca="false">IF($Y29="","",ROW()-4)</f>
        <v/>
      </c>
      <c r="B29" s="16" t="str">
        <f aca="false">IF($Y29="","",维保合同!$C29)</f>
        <v/>
      </c>
      <c r="C29" s="16" t="str">
        <f aca="false">IF($Y29="","",维保合同!$D29)</f>
        <v/>
      </c>
      <c r="D29" s="35" t="str">
        <f aca="false">IF($Y29="","",维保合同!$F29)</f>
        <v/>
      </c>
      <c r="E29" s="35" t="str">
        <f aca="false">IF($Y29="","",维保合同!$G29)</f>
        <v/>
      </c>
      <c r="F29" s="47" t="str">
        <f aca="false">IF($Y29="","",维保合同!$I29)</f>
        <v/>
      </c>
      <c r="G29" s="38" t="str">
        <f aca="false">IF($Y29="","",维保合同!$K29)</f>
        <v/>
      </c>
      <c r="H29" s="41" t="str">
        <f aca="false">IF($Y29="","",ROUND(SUMIFS(应收金额,应收键,$Y29,应收年度,"&lt;"&amp;管理年度)-SUMIFS(收款金额,收款键,$Y29,收款年度,"&lt;"&amp;管理年度),2))</f>
        <v/>
      </c>
      <c r="I29" s="40" t="str">
        <f aca="false">IF($Y29="","",ROUND(SUMIFS(应收金额,应收键,$Y29,应收年度,管理年度),2))</f>
        <v/>
      </c>
      <c r="J29" s="40" t="str">
        <f aca="false">IF($Y29="","",ROUND(SUMIFS(应收金额,应收键,$Y29,应收年度,管理年度,应收款别,"合同款"),2))</f>
        <v/>
      </c>
      <c r="K29" s="40" t="str">
        <f aca="false">IF($Y29="","",ROUND($I29-$J29,2))</f>
        <v/>
      </c>
      <c r="L29" s="40" t="str">
        <f aca="false">IF($Y29="","",ROUND(SUMIFS(应收开票额,应收键,$Y29,应收开票年度,管理年度),2))</f>
        <v/>
      </c>
      <c r="M29" s="40" t="str">
        <f aca="false">IF($Y29="","",ROUND($I29-$L29,2))</f>
        <v/>
      </c>
      <c r="N29" s="40" t="str">
        <f aca="false">IF($Y29="","",ROUND(SUMIFS(收款金额,收款键,$Y29,收款年度,管理年度),2))</f>
        <v/>
      </c>
      <c r="O29" s="40" t="str">
        <f aca="false">IF($Y29="","",ROUND(SUMIFS(收款金额,收款键,$Y29,收款年度,管理年度,收款归类,"发票"),2))</f>
        <v/>
      </c>
      <c r="P29" s="40" t="str">
        <f aca="false">IF($Y29="","",ROUND(SUMIFS(收款金额,收款键,$Y29,收款年度,管理年度,收款归类,"收据"),2))</f>
        <v/>
      </c>
      <c r="Q29" s="40" t="str">
        <f aca="false">IF($Y29="","",ROUND(SUMIFS(收款金额,收款键,$Y29,收款年度,管理年度,收款归类,"现金无票"),2))</f>
        <v/>
      </c>
      <c r="R29" s="40" t="str">
        <f aca="false">IF($Y29="","",ROUND(MAX(0,MIN($T29,SUMIF(应收键,$Y29,应收开票额)-SUMIF(收款键,$Y29,收款金额))),2))</f>
        <v/>
      </c>
      <c r="S29" s="40" t="str">
        <f aca="false">IF($Y29="","",ROUND(MAX(0,$T29)-$R29,2))</f>
        <v/>
      </c>
      <c r="T29" s="48" t="str">
        <f aca="false">IF($Y29="","",ROUND(SUMIF(应收键,$Y29,应收金额)-SUMIF(收款键,$Y29,收款金额),2))</f>
        <v/>
      </c>
      <c r="U29" s="49" t="str">
        <f aca="true">IF($AA29="","",IF($T29&lt;=0.01,"",MAX(0,TODAY()-$AA29)))</f>
        <v/>
      </c>
      <c r="V29" s="50" t="str">
        <f aca="true">IF($Y29="","",IF($T29&gt;0.01,IF(AND(ISNUMBER($U29),$U29&gt;=账龄预警天),"▲欠款拖了 "&amp;TEXT($U29,"0")&amp;" 天","欠款未清"),IF($T29&lt;-0.01,"预收/多收","已结清"))&amp;IF(OR($E29="已签未回",$E29="未签",$E29="续签中")," ▲合同未回","")&amp;IF(AND(ISNUMBER($F29),$F29&lt;TODAY())," ▲合同已到期",""))</f>
        <v/>
      </c>
      <c r="W29" s="24"/>
      <c r="X29" s="35" t="str">
        <f aca="false">IF($Y29="","",IF(ROUND($H29+$I29-$N29+$Z29-$T29,2)&lt;&gt;0,"★期初＋本年－已收≠余额",IF(ROUND($R29+$S29-MAX(0,$T29),2)&lt;&gt;0,"★已开票＋未开票≠欠款",IF(ROUND($J29+$K29-$I29,2)&lt;&gt;0,"★合同款＋合同外款≠本年应收",IF(ROUND($O29+$P29+$Q29-$N29,2)&lt;&gt;0,"★发票＋收据＋现金≠本年已收","OK")))))</f>
        <v/>
      </c>
      <c r="Y29" s="35" t="str">
        <f aca="false">IF(维保合同!$C29="","",维保合同!$E29)</f>
        <v/>
      </c>
      <c r="Z29" s="40" t="str">
        <f aca="false">IF($Y29="","",ROUND(SUMIFS(应收金额,应收键,$Y29,应收年度,"&gt;"&amp;管理年度)-SUMIFS(收款金额,收款键,$Y29,收款年度,"&gt;"&amp;管理年度),2))</f>
        <v/>
      </c>
      <c r="AA29" s="47" t="str">
        <f aca="false">IF($Y29="","",IF(SUMPRODUCT(MIN(IF((应收键=$Y29)*(应收未收&gt;0.01),应收日期,999999)))&gt;=999999,"",SUMPRODUCT(MIN(IF((应收键=$Y29)*(应收未收&gt;0.01),应收日期,999999)))))</f>
        <v/>
      </c>
    </row>
    <row r="30" customFormat="false" ht="15" hidden="false" customHeight="false" outlineLevel="0" collapsed="false">
      <c r="A30" s="29" t="str">
        <f aca="false">IF($Y30="","",ROW()-4)</f>
        <v/>
      </c>
      <c r="B30" s="16" t="str">
        <f aca="false">IF($Y30="","",维保合同!$C30)</f>
        <v/>
      </c>
      <c r="C30" s="16" t="str">
        <f aca="false">IF($Y30="","",维保合同!$D30)</f>
        <v/>
      </c>
      <c r="D30" s="35" t="str">
        <f aca="false">IF($Y30="","",维保合同!$F30)</f>
        <v/>
      </c>
      <c r="E30" s="35" t="str">
        <f aca="false">IF($Y30="","",维保合同!$G30)</f>
        <v/>
      </c>
      <c r="F30" s="47" t="str">
        <f aca="false">IF($Y30="","",维保合同!$I30)</f>
        <v/>
      </c>
      <c r="G30" s="38" t="str">
        <f aca="false">IF($Y30="","",维保合同!$K30)</f>
        <v/>
      </c>
      <c r="H30" s="41" t="str">
        <f aca="false">IF($Y30="","",ROUND(SUMIFS(应收金额,应收键,$Y30,应收年度,"&lt;"&amp;管理年度)-SUMIFS(收款金额,收款键,$Y30,收款年度,"&lt;"&amp;管理年度),2))</f>
        <v/>
      </c>
      <c r="I30" s="40" t="str">
        <f aca="false">IF($Y30="","",ROUND(SUMIFS(应收金额,应收键,$Y30,应收年度,管理年度),2))</f>
        <v/>
      </c>
      <c r="J30" s="40" t="str">
        <f aca="false">IF($Y30="","",ROUND(SUMIFS(应收金额,应收键,$Y30,应收年度,管理年度,应收款别,"合同款"),2))</f>
        <v/>
      </c>
      <c r="K30" s="40" t="str">
        <f aca="false">IF($Y30="","",ROUND($I30-$J30,2))</f>
        <v/>
      </c>
      <c r="L30" s="40" t="str">
        <f aca="false">IF($Y30="","",ROUND(SUMIFS(应收开票额,应收键,$Y30,应收开票年度,管理年度),2))</f>
        <v/>
      </c>
      <c r="M30" s="40" t="str">
        <f aca="false">IF($Y30="","",ROUND($I30-$L30,2))</f>
        <v/>
      </c>
      <c r="N30" s="40" t="str">
        <f aca="false">IF($Y30="","",ROUND(SUMIFS(收款金额,收款键,$Y30,收款年度,管理年度),2))</f>
        <v/>
      </c>
      <c r="O30" s="40" t="str">
        <f aca="false">IF($Y30="","",ROUND(SUMIFS(收款金额,收款键,$Y30,收款年度,管理年度,收款归类,"发票"),2))</f>
        <v/>
      </c>
      <c r="P30" s="40" t="str">
        <f aca="false">IF($Y30="","",ROUND(SUMIFS(收款金额,收款键,$Y30,收款年度,管理年度,收款归类,"收据"),2))</f>
        <v/>
      </c>
      <c r="Q30" s="40" t="str">
        <f aca="false">IF($Y30="","",ROUND(SUMIFS(收款金额,收款键,$Y30,收款年度,管理年度,收款归类,"现金无票"),2))</f>
        <v/>
      </c>
      <c r="R30" s="40" t="str">
        <f aca="false">IF($Y30="","",ROUND(MAX(0,MIN($T30,SUMIF(应收键,$Y30,应收开票额)-SUMIF(收款键,$Y30,收款金额))),2))</f>
        <v/>
      </c>
      <c r="S30" s="40" t="str">
        <f aca="false">IF($Y30="","",ROUND(MAX(0,$T30)-$R30,2))</f>
        <v/>
      </c>
      <c r="T30" s="48" t="str">
        <f aca="false">IF($Y30="","",ROUND(SUMIF(应收键,$Y30,应收金额)-SUMIF(收款键,$Y30,收款金额),2))</f>
        <v/>
      </c>
      <c r="U30" s="49" t="str">
        <f aca="true">IF($AA30="","",IF($T30&lt;=0.01,"",MAX(0,TODAY()-$AA30)))</f>
        <v/>
      </c>
      <c r="V30" s="50" t="str">
        <f aca="true">IF($Y30="","",IF($T30&gt;0.01,IF(AND(ISNUMBER($U30),$U30&gt;=账龄预警天),"▲欠款拖了 "&amp;TEXT($U30,"0")&amp;" 天","欠款未清"),IF($T30&lt;-0.01,"预收/多收","已结清"))&amp;IF(OR($E30="已签未回",$E30="未签",$E30="续签中")," ▲合同未回","")&amp;IF(AND(ISNUMBER($F30),$F30&lt;TODAY())," ▲合同已到期",""))</f>
        <v/>
      </c>
      <c r="W30" s="24"/>
      <c r="X30" s="35" t="str">
        <f aca="false">IF($Y30="","",IF(ROUND($H30+$I30-$N30+$Z30-$T30,2)&lt;&gt;0,"★期初＋本年－已收≠余额",IF(ROUND($R30+$S30-MAX(0,$T30),2)&lt;&gt;0,"★已开票＋未开票≠欠款",IF(ROUND($J30+$K30-$I30,2)&lt;&gt;0,"★合同款＋合同外款≠本年应收",IF(ROUND($O30+$P30+$Q30-$N30,2)&lt;&gt;0,"★发票＋收据＋现金≠本年已收","OK")))))</f>
        <v/>
      </c>
      <c r="Y30" s="35" t="str">
        <f aca="false">IF(维保合同!$C30="","",维保合同!$E30)</f>
        <v/>
      </c>
      <c r="Z30" s="40" t="str">
        <f aca="false">IF($Y30="","",ROUND(SUMIFS(应收金额,应收键,$Y30,应收年度,"&gt;"&amp;管理年度)-SUMIFS(收款金额,收款键,$Y30,收款年度,"&gt;"&amp;管理年度),2))</f>
        <v/>
      </c>
      <c r="AA30" s="47" t="str">
        <f aca="false">IF($Y30="","",IF(SUMPRODUCT(MIN(IF((应收键=$Y30)*(应收未收&gt;0.01),应收日期,999999)))&gt;=999999,"",SUMPRODUCT(MIN(IF((应收键=$Y30)*(应收未收&gt;0.01),应收日期,999999)))))</f>
        <v/>
      </c>
    </row>
    <row r="31" customFormat="false" ht="15" hidden="false" customHeight="false" outlineLevel="0" collapsed="false">
      <c r="A31" s="29" t="str">
        <f aca="false">IF($Y31="","",ROW()-4)</f>
        <v/>
      </c>
      <c r="B31" s="16" t="str">
        <f aca="false">IF($Y31="","",维保合同!$C31)</f>
        <v/>
      </c>
      <c r="C31" s="16" t="str">
        <f aca="false">IF($Y31="","",维保合同!$D31)</f>
        <v/>
      </c>
      <c r="D31" s="35" t="str">
        <f aca="false">IF($Y31="","",维保合同!$F31)</f>
        <v/>
      </c>
      <c r="E31" s="35" t="str">
        <f aca="false">IF($Y31="","",维保合同!$G31)</f>
        <v/>
      </c>
      <c r="F31" s="47" t="str">
        <f aca="false">IF($Y31="","",维保合同!$I31)</f>
        <v/>
      </c>
      <c r="G31" s="38" t="str">
        <f aca="false">IF($Y31="","",维保合同!$K31)</f>
        <v/>
      </c>
      <c r="H31" s="41" t="str">
        <f aca="false">IF($Y31="","",ROUND(SUMIFS(应收金额,应收键,$Y31,应收年度,"&lt;"&amp;管理年度)-SUMIFS(收款金额,收款键,$Y31,收款年度,"&lt;"&amp;管理年度),2))</f>
        <v/>
      </c>
      <c r="I31" s="40" t="str">
        <f aca="false">IF($Y31="","",ROUND(SUMIFS(应收金额,应收键,$Y31,应收年度,管理年度),2))</f>
        <v/>
      </c>
      <c r="J31" s="40" t="str">
        <f aca="false">IF($Y31="","",ROUND(SUMIFS(应收金额,应收键,$Y31,应收年度,管理年度,应收款别,"合同款"),2))</f>
        <v/>
      </c>
      <c r="K31" s="40" t="str">
        <f aca="false">IF($Y31="","",ROUND($I31-$J31,2))</f>
        <v/>
      </c>
      <c r="L31" s="40" t="str">
        <f aca="false">IF($Y31="","",ROUND(SUMIFS(应收开票额,应收键,$Y31,应收开票年度,管理年度),2))</f>
        <v/>
      </c>
      <c r="M31" s="40" t="str">
        <f aca="false">IF($Y31="","",ROUND($I31-$L31,2))</f>
        <v/>
      </c>
      <c r="N31" s="40" t="str">
        <f aca="false">IF($Y31="","",ROUND(SUMIFS(收款金额,收款键,$Y31,收款年度,管理年度),2))</f>
        <v/>
      </c>
      <c r="O31" s="40" t="str">
        <f aca="false">IF($Y31="","",ROUND(SUMIFS(收款金额,收款键,$Y31,收款年度,管理年度,收款归类,"发票"),2))</f>
        <v/>
      </c>
      <c r="P31" s="40" t="str">
        <f aca="false">IF($Y31="","",ROUND(SUMIFS(收款金额,收款键,$Y31,收款年度,管理年度,收款归类,"收据"),2))</f>
        <v/>
      </c>
      <c r="Q31" s="40" t="str">
        <f aca="false">IF($Y31="","",ROUND(SUMIFS(收款金额,收款键,$Y31,收款年度,管理年度,收款归类,"现金无票"),2))</f>
        <v/>
      </c>
      <c r="R31" s="40" t="str">
        <f aca="false">IF($Y31="","",ROUND(MAX(0,MIN($T31,SUMIF(应收键,$Y31,应收开票额)-SUMIF(收款键,$Y31,收款金额))),2))</f>
        <v/>
      </c>
      <c r="S31" s="40" t="str">
        <f aca="false">IF($Y31="","",ROUND(MAX(0,$T31)-$R31,2))</f>
        <v/>
      </c>
      <c r="T31" s="48" t="str">
        <f aca="false">IF($Y31="","",ROUND(SUMIF(应收键,$Y31,应收金额)-SUMIF(收款键,$Y31,收款金额),2))</f>
        <v/>
      </c>
      <c r="U31" s="49" t="str">
        <f aca="true">IF($AA31="","",IF($T31&lt;=0.01,"",MAX(0,TODAY()-$AA31)))</f>
        <v/>
      </c>
      <c r="V31" s="50" t="str">
        <f aca="true">IF($Y31="","",IF($T31&gt;0.01,IF(AND(ISNUMBER($U31),$U31&gt;=账龄预警天),"▲欠款拖了 "&amp;TEXT($U31,"0")&amp;" 天","欠款未清"),IF($T31&lt;-0.01,"预收/多收","已结清"))&amp;IF(OR($E31="已签未回",$E31="未签",$E31="续签中")," ▲合同未回","")&amp;IF(AND(ISNUMBER($F31),$F31&lt;TODAY())," ▲合同已到期",""))</f>
        <v/>
      </c>
      <c r="W31" s="24"/>
      <c r="X31" s="35" t="str">
        <f aca="false">IF($Y31="","",IF(ROUND($H31+$I31-$N31+$Z31-$T31,2)&lt;&gt;0,"★期初＋本年－已收≠余额",IF(ROUND($R31+$S31-MAX(0,$T31),2)&lt;&gt;0,"★已开票＋未开票≠欠款",IF(ROUND($J31+$K31-$I31,2)&lt;&gt;0,"★合同款＋合同外款≠本年应收",IF(ROUND($O31+$P31+$Q31-$N31,2)&lt;&gt;0,"★发票＋收据＋现金≠本年已收","OK")))))</f>
        <v/>
      </c>
      <c r="Y31" s="35" t="str">
        <f aca="false">IF(维保合同!$C31="","",维保合同!$E31)</f>
        <v/>
      </c>
      <c r="Z31" s="40" t="str">
        <f aca="false">IF($Y31="","",ROUND(SUMIFS(应收金额,应收键,$Y31,应收年度,"&gt;"&amp;管理年度)-SUMIFS(收款金额,收款键,$Y31,收款年度,"&gt;"&amp;管理年度),2))</f>
        <v/>
      </c>
      <c r="AA31" s="47" t="str">
        <f aca="false">IF($Y31="","",IF(SUMPRODUCT(MIN(IF((应收键=$Y31)*(应收未收&gt;0.01),应收日期,999999)))&gt;=999999,"",SUMPRODUCT(MIN(IF((应收键=$Y31)*(应收未收&gt;0.01),应收日期,999999)))))</f>
        <v/>
      </c>
    </row>
    <row r="32" customFormat="false" ht="15" hidden="false" customHeight="false" outlineLevel="0" collapsed="false">
      <c r="A32" s="29" t="str">
        <f aca="false">IF($Y32="","",ROW()-4)</f>
        <v/>
      </c>
      <c r="B32" s="16" t="str">
        <f aca="false">IF($Y32="","",维保合同!$C32)</f>
        <v/>
      </c>
      <c r="C32" s="16" t="str">
        <f aca="false">IF($Y32="","",维保合同!$D32)</f>
        <v/>
      </c>
      <c r="D32" s="35" t="str">
        <f aca="false">IF($Y32="","",维保合同!$F32)</f>
        <v/>
      </c>
      <c r="E32" s="35" t="str">
        <f aca="false">IF($Y32="","",维保合同!$G32)</f>
        <v/>
      </c>
      <c r="F32" s="47" t="str">
        <f aca="false">IF($Y32="","",维保合同!$I32)</f>
        <v/>
      </c>
      <c r="G32" s="38" t="str">
        <f aca="false">IF($Y32="","",维保合同!$K32)</f>
        <v/>
      </c>
      <c r="H32" s="41" t="str">
        <f aca="false">IF($Y32="","",ROUND(SUMIFS(应收金额,应收键,$Y32,应收年度,"&lt;"&amp;管理年度)-SUMIFS(收款金额,收款键,$Y32,收款年度,"&lt;"&amp;管理年度),2))</f>
        <v/>
      </c>
      <c r="I32" s="40" t="str">
        <f aca="false">IF($Y32="","",ROUND(SUMIFS(应收金额,应收键,$Y32,应收年度,管理年度),2))</f>
        <v/>
      </c>
      <c r="J32" s="40" t="str">
        <f aca="false">IF($Y32="","",ROUND(SUMIFS(应收金额,应收键,$Y32,应收年度,管理年度,应收款别,"合同款"),2))</f>
        <v/>
      </c>
      <c r="K32" s="40" t="str">
        <f aca="false">IF($Y32="","",ROUND($I32-$J32,2))</f>
        <v/>
      </c>
      <c r="L32" s="40" t="str">
        <f aca="false">IF($Y32="","",ROUND(SUMIFS(应收开票额,应收键,$Y32,应收开票年度,管理年度),2))</f>
        <v/>
      </c>
      <c r="M32" s="40" t="str">
        <f aca="false">IF($Y32="","",ROUND($I32-$L32,2))</f>
        <v/>
      </c>
      <c r="N32" s="40" t="str">
        <f aca="false">IF($Y32="","",ROUND(SUMIFS(收款金额,收款键,$Y32,收款年度,管理年度),2))</f>
        <v/>
      </c>
      <c r="O32" s="40" t="str">
        <f aca="false">IF($Y32="","",ROUND(SUMIFS(收款金额,收款键,$Y32,收款年度,管理年度,收款归类,"发票"),2))</f>
        <v/>
      </c>
      <c r="P32" s="40" t="str">
        <f aca="false">IF($Y32="","",ROUND(SUMIFS(收款金额,收款键,$Y32,收款年度,管理年度,收款归类,"收据"),2))</f>
        <v/>
      </c>
      <c r="Q32" s="40" t="str">
        <f aca="false">IF($Y32="","",ROUND(SUMIFS(收款金额,收款键,$Y32,收款年度,管理年度,收款归类,"现金无票"),2))</f>
        <v/>
      </c>
      <c r="R32" s="40" t="str">
        <f aca="false">IF($Y32="","",ROUND(MAX(0,MIN($T32,SUMIF(应收键,$Y32,应收开票额)-SUMIF(收款键,$Y32,收款金额))),2))</f>
        <v/>
      </c>
      <c r="S32" s="40" t="str">
        <f aca="false">IF($Y32="","",ROUND(MAX(0,$T32)-$R32,2))</f>
        <v/>
      </c>
      <c r="T32" s="48" t="str">
        <f aca="false">IF($Y32="","",ROUND(SUMIF(应收键,$Y32,应收金额)-SUMIF(收款键,$Y32,收款金额),2))</f>
        <v/>
      </c>
      <c r="U32" s="49" t="str">
        <f aca="true">IF($AA32="","",IF($T32&lt;=0.01,"",MAX(0,TODAY()-$AA32)))</f>
        <v/>
      </c>
      <c r="V32" s="50" t="str">
        <f aca="true">IF($Y32="","",IF($T32&gt;0.01,IF(AND(ISNUMBER($U32),$U32&gt;=账龄预警天),"▲欠款拖了 "&amp;TEXT($U32,"0")&amp;" 天","欠款未清"),IF($T32&lt;-0.01,"预收/多收","已结清"))&amp;IF(OR($E32="已签未回",$E32="未签",$E32="续签中")," ▲合同未回","")&amp;IF(AND(ISNUMBER($F32),$F32&lt;TODAY())," ▲合同已到期",""))</f>
        <v/>
      </c>
      <c r="W32" s="24"/>
      <c r="X32" s="35" t="str">
        <f aca="false">IF($Y32="","",IF(ROUND($H32+$I32-$N32+$Z32-$T32,2)&lt;&gt;0,"★期初＋本年－已收≠余额",IF(ROUND($R32+$S32-MAX(0,$T32),2)&lt;&gt;0,"★已开票＋未开票≠欠款",IF(ROUND($J32+$K32-$I32,2)&lt;&gt;0,"★合同款＋合同外款≠本年应收",IF(ROUND($O32+$P32+$Q32-$N32,2)&lt;&gt;0,"★发票＋收据＋现金≠本年已收","OK")))))</f>
        <v/>
      </c>
      <c r="Y32" s="35" t="str">
        <f aca="false">IF(维保合同!$C32="","",维保合同!$E32)</f>
        <v/>
      </c>
      <c r="Z32" s="40" t="str">
        <f aca="false">IF($Y32="","",ROUND(SUMIFS(应收金额,应收键,$Y32,应收年度,"&gt;"&amp;管理年度)-SUMIFS(收款金额,收款键,$Y32,收款年度,"&gt;"&amp;管理年度),2))</f>
        <v/>
      </c>
      <c r="AA32" s="47" t="str">
        <f aca="false">IF($Y32="","",IF(SUMPRODUCT(MIN(IF((应收键=$Y32)*(应收未收&gt;0.01),应收日期,999999)))&gt;=999999,"",SUMPRODUCT(MIN(IF((应收键=$Y32)*(应收未收&gt;0.01),应收日期,999999)))))</f>
        <v/>
      </c>
    </row>
    <row r="33" customFormat="false" ht="15" hidden="false" customHeight="false" outlineLevel="0" collapsed="false">
      <c r="A33" s="29" t="str">
        <f aca="false">IF($Y33="","",ROW()-4)</f>
        <v/>
      </c>
      <c r="B33" s="16" t="str">
        <f aca="false">IF($Y33="","",维保合同!$C33)</f>
        <v/>
      </c>
      <c r="C33" s="16" t="str">
        <f aca="false">IF($Y33="","",维保合同!$D33)</f>
        <v/>
      </c>
      <c r="D33" s="35" t="str">
        <f aca="false">IF($Y33="","",维保合同!$F33)</f>
        <v/>
      </c>
      <c r="E33" s="35" t="str">
        <f aca="false">IF($Y33="","",维保合同!$G33)</f>
        <v/>
      </c>
      <c r="F33" s="47" t="str">
        <f aca="false">IF($Y33="","",维保合同!$I33)</f>
        <v/>
      </c>
      <c r="G33" s="38" t="str">
        <f aca="false">IF($Y33="","",维保合同!$K33)</f>
        <v/>
      </c>
      <c r="H33" s="41" t="str">
        <f aca="false">IF($Y33="","",ROUND(SUMIFS(应收金额,应收键,$Y33,应收年度,"&lt;"&amp;管理年度)-SUMIFS(收款金额,收款键,$Y33,收款年度,"&lt;"&amp;管理年度),2))</f>
        <v/>
      </c>
      <c r="I33" s="40" t="str">
        <f aca="false">IF($Y33="","",ROUND(SUMIFS(应收金额,应收键,$Y33,应收年度,管理年度),2))</f>
        <v/>
      </c>
      <c r="J33" s="40" t="str">
        <f aca="false">IF($Y33="","",ROUND(SUMIFS(应收金额,应收键,$Y33,应收年度,管理年度,应收款别,"合同款"),2))</f>
        <v/>
      </c>
      <c r="K33" s="40" t="str">
        <f aca="false">IF($Y33="","",ROUND($I33-$J33,2))</f>
        <v/>
      </c>
      <c r="L33" s="40" t="str">
        <f aca="false">IF($Y33="","",ROUND(SUMIFS(应收开票额,应收键,$Y33,应收开票年度,管理年度),2))</f>
        <v/>
      </c>
      <c r="M33" s="40" t="str">
        <f aca="false">IF($Y33="","",ROUND($I33-$L33,2))</f>
        <v/>
      </c>
      <c r="N33" s="40" t="str">
        <f aca="false">IF($Y33="","",ROUND(SUMIFS(收款金额,收款键,$Y33,收款年度,管理年度),2))</f>
        <v/>
      </c>
      <c r="O33" s="40" t="str">
        <f aca="false">IF($Y33="","",ROUND(SUMIFS(收款金额,收款键,$Y33,收款年度,管理年度,收款归类,"发票"),2))</f>
        <v/>
      </c>
      <c r="P33" s="40" t="str">
        <f aca="false">IF($Y33="","",ROUND(SUMIFS(收款金额,收款键,$Y33,收款年度,管理年度,收款归类,"收据"),2))</f>
        <v/>
      </c>
      <c r="Q33" s="40" t="str">
        <f aca="false">IF($Y33="","",ROUND(SUMIFS(收款金额,收款键,$Y33,收款年度,管理年度,收款归类,"现金无票"),2))</f>
        <v/>
      </c>
      <c r="R33" s="40" t="str">
        <f aca="false">IF($Y33="","",ROUND(MAX(0,MIN($T33,SUMIF(应收键,$Y33,应收开票额)-SUMIF(收款键,$Y33,收款金额))),2))</f>
        <v/>
      </c>
      <c r="S33" s="40" t="str">
        <f aca="false">IF($Y33="","",ROUND(MAX(0,$T33)-$R33,2))</f>
        <v/>
      </c>
      <c r="T33" s="48" t="str">
        <f aca="false">IF($Y33="","",ROUND(SUMIF(应收键,$Y33,应收金额)-SUMIF(收款键,$Y33,收款金额),2))</f>
        <v/>
      </c>
      <c r="U33" s="49" t="str">
        <f aca="true">IF($AA33="","",IF($T33&lt;=0.01,"",MAX(0,TODAY()-$AA33)))</f>
        <v/>
      </c>
      <c r="V33" s="50" t="str">
        <f aca="true">IF($Y33="","",IF($T33&gt;0.01,IF(AND(ISNUMBER($U33),$U33&gt;=账龄预警天),"▲欠款拖了 "&amp;TEXT($U33,"0")&amp;" 天","欠款未清"),IF($T33&lt;-0.01,"预收/多收","已结清"))&amp;IF(OR($E33="已签未回",$E33="未签",$E33="续签中")," ▲合同未回","")&amp;IF(AND(ISNUMBER($F33),$F33&lt;TODAY())," ▲合同已到期",""))</f>
        <v/>
      </c>
      <c r="W33" s="24"/>
      <c r="X33" s="35" t="str">
        <f aca="false">IF($Y33="","",IF(ROUND($H33+$I33-$N33+$Z33-$T33,2)&lt;&gt;0,"★期初＋本年－已收≠余额",IF(ROUND($R33+$S33-MAX(0,$T33),2)&lt;&gt;0,"★已开票＋未开票≠欠款",IF(ROUND($J33+$K33-$I33,2)&lt;&gt;0,"★合同款＋合同外款≠本年应收",IF(ROUND($O33+$P33+$Q33-$N33,2)&lt;&gt;0,"★发票＋收据＋现金≠本年已收","OK")))))</f>
        <v/>
      </c>
      <c r="Y33" s="35" t="str">
        <f aca="false">IF(维保合同!$C33="","",维保合同!$E33)</f>
        <v/>
      </c>
      <c r="Z33" s="40" t="str">
        <f aca="false">IF($Y33="","",ROUND(SUMIFS(应收金额,应收键,$Y33,应收年度,"&gt;"&amp;管理年度)-SUMIFS(收款金额,收款键,$Y33,收款年度,"&gt;"&amp;管理年度),2))</f>
        <v/>
      </c>
      <c r="AA33" s="47" t="str">
        <f aca="false">IF($Y33="","",IF(SUMPRODUCT(MIN(IF((应收键=$Y33)*(应收未收&gt;0.01),应收日期,999999)))&gt;=999999,"",SUMPRODUCT(MIN(IF((应收键=$Y33)*(应收未收&gt;0.01),应收日期,999999)))))</f>
        <v/>
      </c>
    </row>
    <row r="34" customFormat="false" ht="15" hidden="false" customHeight="false" outlineLevel="0" collapsed="false">
      <c r="A34" s="29" t="str">
        <f aca="false">IF($Y34="","",ROW()-4)</f>
        <v/>
      </c>
      <c r="B34" s="16" t="str">
        <f aca="false">IF($Y34="","",维保合同!$C34)</f>
        <v/>
      </c>
      <c r="C34" s="16" t="str">
        <f aca="false">IF($Y34="","",维保合同!$D34)</f>
        <v/>
      </c>
      <c r="D34" s="35" t="str">
        <f aca="false">IF($Y34="","",维保合同!$F34)</f>
        <v/>
      </c>
      <c r="E34" s="35" t="str">
        <f aca="false">IF($Y34="","",维保合同!$G34)</f>
        <v/>
      </c>
      <c r="F34" s="47" t="str">
        <f aca="false">IF($Y34="","",维保合同!$I34)</f>
        <v/>
      </c>
      <c r="G34" s="38" t="str">
        <f aca="false">IF($Y34="","",维保合同!$K34)</f>
        <v/>
      </c>
      <c r="H34" s="41" t="str">
        <f aca="false">IF($Y34="","",ROUND(SUMIFS(应收金额,应收键,$Y34,应收年度,"&lt;"&amp;管理年度)-SUMIFS(收款金额,收款键,$Y34,收款年度,"&lt;"&amp;管理年度),2))</f>
        <v/>
      </c>
      <c r="I34" s="40" t="str">
        <f aca="false">IF($Y34="","",ROUND(SUMIFS(应收金额,应收键,$Y34,应收年度,管理年度),2))</f>
        <v/>
      </c>
      <c r="J34" s="40" t="str">
        <f aca="false">IF($Y34="","",ROUND(SUMIFS(应收金额,应收键,$Y34,应收年度,管理年度,应收款别,"合同款"),2))</f>
        <v/>
      </c>
      <c r="K34" s="40" t="str">
        <f aca="false">IF($Y34="","",ROUND($I34-$J34,2))</f>
        <v/>
      </c>
      <c r="L34" s="40" t="str">
        <f aca="false">IF($Y34="","",ROUND(SUMIFS(应收开票额,应收键,$Y34,应收开票年度,管理年度),2))</f>
        <v/>
      </c>
      <c r="M34" s="40" t="str">
        <f aca="false">IF($Y34="","",ROUND($I34-$L34,2))</f>
        <v/>
      </c>
      <c r="N34" s="40" t="str">
        <f aca="false">IF($Y34="","",ROUND(SUMIFS(收款金额,收款键,$Y34,收款年度,管理年度),2))</f>
        <v/>
      </c>
      <c r="O34" s="40" t="str">
        <f aca="false">IF($Y34="","",ROUND(SUMIFS(收款金额,收款键,$Y34,收款年度,管理年度,收款归类,"发票"),2))</f>
        <v/>
      </c>
      <c r="P34" s="40" t="str">
        <f aca="false">IF($Y34="","",ROUND(SUMIFS(收款金额,收款键,$Y34,收款年度,管理年度,收款归类,"收据"),2))</f>
        <v/>
      </c>
      <c r="Q34" s="40" t="str">
        <f aca="false">IF($Y34="","",ROUND(SUMIFS(收款金额,收款键,$Y34,收款年度,管理年度,收款归类,"现金无票"),2))</f>
        <v/>
      </c>
      <c r="R34" s="40" t="str">
        <f aca="false">IF($Y34="","",ROUND(MAX(0,MIN($T34,SUMIF(应收键,$Y34,应收开票额)-SUMIF(收款键,$Y34,收款金额))),2))</f>
        <v/>
      </c>
      <c r="S34" s="40" t="str">
        <f aca="false">IF($Y34="","",ROUND(MAX(0,$T34)-$R34,2))</f>
        <v/>
      </c>
      <c r="T34" s="48" t="str">
        <f aca="false">IF($Y34="","",ROUND(SUMIF(应收键,$Y34,应收金额)-SUMIF(收款键,$Y34,收款金额),2))</f>
        <v/>
      </c>
      <c r="U34" s="49" t="str">
        <f aca="true">IF($AA34="","",IF($T34&lt;=0.01,"",MAX(0,TODAY()-$AA34)))</f>
        <v/>
      </c>
      <c r="V34" s="50" t="str">
        <f aca="true">IF($Y34="","",IF($T34&gt;0.01,IF(AND(ISNUMBER($U34),$U34&gt;=账龄预警天),"▲欠款拖了 "&amp;TEXT($U34,"0")&amp;" 天","欠款未清"),IF($T34&lt;-0.01,"预收/多收","已结清"))&amp;IF(OR($E34="已签未回",$E34="未签",$E34="续签中")," ▲合同未回","")&amp;IF(AND(ISNUMBER($F34),$F34&lt;TODAY())," ▲合同已到期",""))</f>
        <v/>
      </c>
      <c r="W34" s="24"/>
      <c r="X34" s="35" t="str">
        <f aca="false">IF($Y34="","",IF(ROUND($H34+$I34-$N34+$Z34-$T34,2)&lt;&gt;0,"★期初＋本年－已收≠余额",IF(ROUND($R34+$S34-MAX(0,$T34),2)&lt;&gt;0,"★已开票＋未开票≠欠款",IF(ROUND($J34+$K34-$I34,2)&lt;&gt;0,"★合同款＋合同外款≠本年应收",IF(ROUND($O34+$P34+$Q34-$N34,2)&lt;&gt;0,"★发票＋收据＋现金≠本年已收","OK")))))</f>
        <v/>
      </c>
      <c r="Y34" s="35" t="str">
        <f aca="false">IF(维保合同!$C34="","",维保合同!$E34)</f>
        <v/>
      </c>
      <c r="Z34" s="40" t="str">
        <f aca="false">IF($Y34="","",ROUND(SUMIFS(应收金额,应收键,$Y34,应收年度,"&gt;"&amp;管理年度)-SUMIFS(收款金额,收款键,$Y34,收款年度,"&gt;"&amp;管理年度),2))</f>
        <v/>
      </c>
      <c r="AA34" s="47" t="str">
        <f aca="false">IF($Y34="","",IF(SUMPRODUCT(MIN(IF((应收键=$Y34)*(应收未收&gt;0.01),应收日期,999999)))&gt;=999999,"",SUMPRODUCT(MIN(IF((应收键=$Y34)*(应收未收&gt;0.01),应收日期,999999)))))</f>
        <v/>
      </c>
    </row>
    <row r="35" customFormat="false" ht="15" hidden="false" customHeight="false" outlineLevel="0" collapsed="false">
      <c r="A35" s="29" t="str">
        <f aca="false">IF($Y35="","",ROW()-4)</f>
        <v/>
      </c>
      <c r="B35" s="16" t="str">
        <f aca="false">IF($Y35="","",维保合同!$C35)</f>
        <v/>
      </c>
      <c r="C35" s="16" t="str">
        <f aca="false">IF($Y35="","",维保合同!$D35)</f>
        <v/>
      </c>
      <c r="D35" s="35" t="str">
        <f aca="false">IF($Y35="","",维保合同!$F35)</f>
        <v/>
      </c>
      <c r="E35" s="35" t="str">
        <f aca="false">IF($Y35="","",维保合同!$G35)</f>
        <v/>
      </c>
      <c r="F35" s="47" t="str">
        <f aca="false">IF($Y35="","",维保合同!$I35)</f>
        <v/>
      </c>
      <c r="G35" s="38" t="str">
        <f aca="false">IF($Y35="","",维保合同!$K35)</f>
        <v/>
      </c>
      <c r="H35" s="41" t="str">
        <f aca="false">IF($Y35="","",ROUND(SUMIFS(应收金额,应收键,$Y35,应收年度,"&lt;"&amp;管理年度)-SUMIFS(收款金额,收款键,$Y35,收款年度,"&lt;"&amp;管理年度),2))</f>
        <v/>
      </c>
      <c r="I35" s="40" t="str">
        <f aca="false">IF($Y35="","",ROUND(SUMIFS(应收金额,应收键,$Y35,应收年度,管理年度),2))</f>
        <v/>
      </c>
      <c r="J35" s="40" t="str">
        <f aca="false">IF($Y35="","",ROUND(SUMIFS(应收金额,应收键,$Y35,应收年度,管理年度,应收款别,"合同款"),2))</f>
        <v/>
      </c>
      <c r="K35" s="40" t="str">
        <f aca="false">IF($Y35="","",ROUND($I35-$J35,2))</f>
        <v/>
      </c>
      <c r="L35" s="40" t="str">
        <f aca="false">IF($Y35="","",ROUND(SUMIFS(应收开票额,应收键,$Y35,应收开票年度,管理年度),2))</f>
        <v/>
      </c>
      <c r="M35" s="40" t="str">
        <f aca="false">IF($Y35="","",ROUND($I35-$L35,2))</f>
        <v/>
      </c>
      <c r="N35" s="40" t="str">
        <f aca="false">IF($Y35="","",ROUND(SUMIFS(收款金额,收款键,$Y35,收款年度,管理年度),2))</f>
        <v/>
      </c>
      <c r="O35" s="40" t="str">
        <f aca="false">IF($Y35="","",ROUND(SUMIFS(收款金额,收款键,$Y35,收款年度,管理年度,收款归类,"发票"),2))</f>
        <v/>
      </c>
      <c r="P35" s="40" t="str">
        <f aca="false">IF($Y35="","",ROUND(SUMIFS(收款金额,收款键,$Y35,收款年度,管理年度,收款归类,"收据"),2))</f>
        <v/>
      </c>
      <c r="Q35" s="40" t="str">
        <f aca="false">IF($Y35="","",ROUND(SUMIFS(收款金额,收款键,$Y35,收款年度,管理年度,收款归类,"现金无票"),2))</f>
        <v/>
      </c>
      <c r="R35" s="40" t="str">
        <f aca="false">IF($Y35="","",ROUND(MAX(0,MIN($T35,SUMIF(应收键,$Y35,应收开票额)-SUMIF(收款键,$Y35,收款金额))),2))</f>
        <v/>
      </c>
      <c r="S35" s="40" t="str">
        <f aca="false">IF($Y35="","",ROUND(MAX(0,$T35)-$R35,2))</f>
        <v/>
      </c>
      <c r="T35" s="48" t="str">
        <f aca="false">IF($Y35="","",ROUND(SUMIF(应收键,$Y35,应收金额)-SUMIF(收款键,$Y35,收款金额),2))</f>
        <v/>
      </c>
      <c r="U35" s="49" t="str">
        <f aca="true">IF($AA35="","",IF($T35&lt;=0.01,"",MAX(0,TODAY()-$AA35)))</f>
        <v/>
      </c>
      <c r="V35" s="50" t="str">
        <f aca="true">IF($Y35="","",IF($T35&gt;0.01,IF(AND(ISNUMBER($U35),$U35&gt;=账龄预警天),"▲欠款拖了 "&amp;TEXT($U35,"0")&amp;" 天","欠款未清"),IF($T35&lt;-0.01,"预收/多收","已结清"))&amp;IF(OR($E35="已签未回",$E35="未签",$E35="续签中")," ▲合同未回","")&amp;IF(AND(ISNUMBER($F35),$F35&lt;TODAY())," ▲合同已到期",""))</f>
        <v/>
      </c>
      <c r="W35" s="24"/>
      <c r="X35" s="35" t="str">
        <f aca="false">IF($Y35="","",IF(ROUND($H35+$I35-$N35+$Z35-$T35,2)&lt;&gt;0,"★期初＋本年－已收≠余额",IF(ROUND($R35+$S35-MAX(0,$T35),2)&lt;&gt;0,"★已开票＋未开票≠欠款",IF(ROUND($J35+$K35-$I35,2)&lt;&gt;0,"★合同款＋合同外款≠本年应收",IF(ROUND($O35+$P35+$Q35-$N35,2)&lt;&gt;0,"★发票＋收据＋现金≠本年已收","OK")))))</f>
        <v/>
      </c>
      <c r="Y35" s="35" t="str">
        <f aca="false">IF(维保合同!$C35="","",维保合同!$E35)</f>
        <v/>
      </c>
      <c r="Z35" s="40" t="str">
        <f aca="false">IF($Y35="","",ROUND(SUMIFS(应收金额,应收键,$Y35,应收年度,"&gt;"&amp;管理年度)-SUMIFS(收款金额,收款键,$Y35,收款年度,"&gt;"&amp;管理年度),2))</f>
        <v/>
      </c>
      <c r="AA35" s="47" t="str">
        <f aca="false">IF($Y35="","",IF(SUMPRODUCT(MIN(IF((应收键=$Y35)*(应收未收&gt;0.01),应收日期,999999)))&gt;=999999,"",SUMPRODUCT(MIN(IF((应收键=$Y35)*(应收未收&gt;0.01),应收日期,999999)))))</f>
        <v/>
      </c>
    </row>
    <row r="36" customFormat="false" ht="15" hidden="false" customHeight="false" outlineLevel="0" collapsed="false">
      <c r="A36" s="29" t="str">
        <f aca="false">IF($Y36="","",ROW()-4)</f>
        <v/>
      </c>
      <c r="B36" s="16" t="str">
        <f aca="false">IF($Y36="","",维保合同!$C36)</f>
        <v/>
      </c>
      <c r="C36" s="16" t="str">
        <f aca="false">IF($Y36="","",维保合同!$D36)</f>
        <v/>
      </c>
      <c r="D36" s="35" t="str">
        <f aca="false">IF($Y36="","",维保合同!$F36)</f>
        <v/>
      </c>
      <c r="E36" s="35" t="str">
        <f aca="false">IF($Y36="","",维保合同!$G36)</f>
        <v/>
      </c>
      <c r="F36" s="47" t="str">
        <f aca="false">IF($Y36="","",维保合同!$I36)</f>
        <v/>
      </c>
      <c r="G36" s="38" t="str">
        <f aca="false">IF($Y36="","",维保合同!$K36)</f>
        <v/>
      </c>
      <c r="H36" s="41" t="str">
        <f aca="false">IF($Y36="","",ROUND(SUMIFS(应收金额,应收键,$Y36,应收年度,"&lt;"&amp;管理年度)-SUMIFS(收款金额,收款键,$Y36,收款年度,"&lt;"&amp;管理年度),2))</f>
        <v/>
      </c>
      <c r="I36" s="40" t="str">
        <f aca="false">IF($Y36="","",ROUND(SUMIFS(应收金额,应收键,$Y36,应收年度,管理年度),2))</f>
        <v/>
      </c>
      <c r="J36" s="40" t="str">
        <f aca="false">IF($Y36="","",ROUND(SUMIFS(应收金额,应收键,$Y36,应收年度,管理年度,应收款别,"合同款"),2))</f>
        <v/>
      </c>
      <c r="K36" s="40" t="str">
        <f aca="false">IF($Y36="","",ROUND($I36-$J36,2))</f>
        <v/>
      </c>
      <c r="L36" s="40" t="str">
        <f aca="false">IF($Y36="","",ROUND(SUMIFS(应收开票额,应收键,$Y36,应收开票年度,管理年度),2))</f>
        <v/>
      </c>
      <c r="M36" s="40" t="str">
        <f aca="false">IF($Y36="","",ROUND($I36-$L36,2))</f>
        <v/>
      </c>
      <c r="N36" s="40" t="str">
        <f aca="false">IF($Y36="","",ROUND(SUMIFS(收款金额,收款键,$Y36,收款年度,管理年度),2))</f>
        <v/>
      </c>
      <c r="O36" s="40" t="str">
        <f aca="false">IF($Y36="","",ROUND(SUMIFS(收款金额,收款键,$Y36,收款年度,管理年度,收款归类,"发票"),2))</f>
        <v/>
      </c>
      <c r="P36" s="40" t="str">
        <f aca="false">IF($Y36="","",ROUND(SUMIFS(收款金额,收款键,$Y36,收款年度,管理年度,收款归类,"收据"),2))</f>
        <v/>
      </c>
      <c r="Q36" s="40" t="str">
        <f aca="false">IF($Y36="","",ROUND(SUMIFS(收款金额,收款键,$Y36,收款年度,管理年度,收款归类,"现金无票"),2))</f>
        <v/>
      </c>
      <c r="R36" s="40" t="str">
        <f aca="false">IF($Y36="","",ROUND(MAX(0,MIN($T36,SUMIF(应收键,$Y36,应收开票额)-SUMIF(收款键,$Y36,收款金额))),2))</f>
        <v/>
      </c>
      <c r="S36" s="40" t="str">
        <f aca="false">IF($Y36="","",ROUND(MAX(0,$T36)-$R36,2))</f>
        <v/>
      </c>
      <c r="T36" s="48" t="str">
        <f aca="false">IF($Y36="","",ROUND(SUMIF(应收键,$Y36,应收金额)-SUMIF(收款键,$Y36,收款金额),2))</f>
        <v/>
      </c>
      <c r="U36" s="49" t="str">
        <f aca="true">IF($AA36="","",IF($T36&lt;=0.01,"",MAX(0,TODAY()-$AA36)))</f>
        <v/>
      </c>
      <c r="V36" s="50" t="str">
        <f aca="true">IF($Y36="","",IF($T36&gt;0.01,IF(AND(ISNUMBER($U36),$U36&gt;=账龄预警天),"▲欠款拖了 "&amp;TEXT($U36,"0")&amp;" 天","欠款未清"),IF($T36&lt;-0.01,"预收/多收","已结清"))&amp;IF(OR($E36="已签未回",$E36="未签",$E36="续签中")," ▲合同未回","")&amp;IF(AND(ISNUMBER($F36),$F36&lt;TODAY())," ▲合同已到期",""))</f>
        <v/>
      </c>
      <c r="W36" s="24"/>
      <c r="X36" s="35" t="str">
        <f aca="false">IF($Y36="","",IF(ROUND($H36+$I36-$N36+$Z36-$T36,2)&lt;&gt;0,"★期初＋本年－已收≠余额",IF(ROUND($R36+$S36-MAX(0,$T36),2)&lt;&gt;0,"★已开票＋未开票≠欠款",IF(ROUND($J36+$K36-$I36,2)&lt;&gt;0,"★合同款＋合同外款≠本年应收",IF(ROUND($O36+$P36+$Q36-$N36,2)&lt;&gt;0,"★发票＋收据＋现金≠本年已收","OK")))))</f>
        <v/>
      </c>
      <c r="Y36" s="35" t="str">
        <f aca="false">IF(维保合同!$C36="","",维保合同!$E36)</f>
        <v/>
      </c>
      <c r="Z36" s="40" t="str">
        <f aca="false">IF($Y36="","",ROUND(SUMIFS(应收金额,应收键,$Y36,应收年度,"&gt;"&amp;管理年度)-SUMIFS(收款金额,收款键,$Y36,收款年度,"&gt;"&amp;管理年度),2))</f>
        <v/>
      </c>
      <c r="AA36" s="47" t="str">
        <f aca="false">IF($Y36="","",IF(SUMPRODUCT(MIN(IF((应收键=$Y36)*(应收未收&gt;0.01),应收日期,999999)))&gt;=999999,"",SUMPRODUCT(MIN(IF((应收键=$Y36)*(应收未收&gt;0.01),应收日期,999999)))))</f>
        <v/>
      </c>
    </row>
    <row r="37" customFormat="false" ht="15" hidden="false" customHeight="false" outlineLevel="0" collapsed="false">
      <c r="A37" s="29" t="str">
        <f aca="false">IF($Y37="","",ROW()-4)</f>
        <v/>
      </c>
      <c r="B37" s="16" t="str">
        <f aca="false">IF($Y37="","",维保合同!$C37)</f>
        <v/>
      </c>
      <c r="C37" s="16" t="str">
        <f aca="false">IF($Y37="","",维保合同!$D37)</f>
        <v/>
      </c>
      <c r="D37" s="35" t="str">
        <f aca="false">IF($Y37="","",维保合同!$F37)</f>
        <v/>
      </c>
      <c r="E37" s="35" t="str">
        <f aca="false">IF($Y37="","",维保合同!$G37)</f>
        <v/>
      </c>
      <c r="F37" s="47" t="str">
        <f aca="false">IF($Y37="","",维保合同!$I37)</f>
        <v/>
      </c>
      <c r="G37" s="38" t="str">
        <f aca="false">IF($Y37="","",维保合同!$K37)</f>
        <v/>
      </c>
      <c r="H37" s="41" t="str">
        <f aca="false">IF($Y37="","",ROUND(SUMIFS(应收金额,应收键,$Y37,应收年度,"&lt;"&amp;管理年度)-SUMIFS(收款金额,收款键,$Y37,收款年度,"&lt;"&amp;管理年度),2))</f>
        <v/>
      </c>
      <c r="I37" s="40" t="str">
        <f aca="false">IF($Y37="","",ROUND(SUMIFS(应收金额,应收键,$Y37,应收年度,管理年度),2))</f>
        <v/>
      </c>
      <c r="J37" s="40" t="str">
        <f aca="false">IF($Y37="","",ROUND(SUMIFS(应收金额,应收键,$Y37,应收年度,管理年度,应收款别,"合同款"),2))</f>
        <v/>
      </c>
      <c r="K37" s="40" t="str">
        <f aca="false">IF($Y37="","",ROUND($I37-$J37,2))</f>
        <v/>
      </c>
      <c r="L37" s="40" t="str">
        <f aca="false">IF($Y37="","",ROUND(SUMIFS(应收开票额,应收键,$Y37,应收开票年度,管理年度),2))</f>
        <v/>
      </c>
      <c r="M37" s="40" t="str">
        <f aca="false">IF($Y37="","",ROUND($I37-$L37,2))</f>
        <v/>
      </c>
      <c r="N37" s="40" t="str">
        <f aca="false">IF($Y37="","",ROUND(SUMIFS(收款金额,收款键,$Y37,收款年度,管理年度),2))</f>
        <v/>
      </c>
      <c r="O37" s="40" t="str">
        <f aca="false">IF($Y37="","",ROUND(SUMIFS(收款金额,收款键,$Y37,收款年度,管理年度,收款归类,"发票"),2))</f>
        <v/>
      </c>
      <c r="P37" s="40" t="str">
        <f aca="false">IF($Y37="","",ROUND(SUMIFS(收款金额,收款键,$Y37,收款年度,管理年度,收款归类,"收据"),2))</f>
        <v/>
      </c>
      <c r="Q37" s="40" t="str">
        <f aca="false">IF($Y37="","",ROUND(SUMIFS(收款金额,收款键,$Y37,收款年度,管理年度,收款归类,"现金无票"),2))</f>
        <v/>
      </c>
      <c r="R37" s="40" t="str">
        <f aca="false">IF($Y37="","",ROUND(MAX(0,MIN($T37,SUMIF(应收键,$Y37,应收开票额)-SUMIF(收款键,$Y37,收款金额))),2))</f>
        <v/>
      </c>
      <c r="S37" s="40" t="str">
        <f aca="false">IF($Y37="","",ROUND(MAX(0,$T37)-$R37,2))</f>
        <v/>
      </c>
      <c r="T37" s="48" t="str">
        <f aca="false">IF($Y37="","",ROUND(SUMIF(应收键,$Y37,应收金额)-SUMIF(收款键,$Y37,收款金额),2))</f>
        <v/>
      </c>
      <c r="U37" s="49" t="str">
        <f aca="true">IF($AA37="","",IF($T37&lt;=0.01,"",MAX(0,TODAY()-$AA37)))</f>
        <v/>
      </c>
      <c r="V37" s="50" t="str">
        <f aca="true">IF($Y37="","",IF($T37&gt;0.01,IF(AND(ISNUMBER($U37),$U37&gt;=账龄预警天),"▲欠款拖了 "&amp;TEXT($U37,"0")&amp;" 天","欠款未清"),IF($T37&lt;-0.01,"预收/多收","已结清"))&amp;IF(OR($E37="已签未回",$E37="未签",$E37="续签中")," ▲合同未回","")&amp;IF(AND(ISNUMBER($F37),$F37&lt;TODAY())," ▲合同已到期",""))</f>
        <v/>
      </c>
      <c r="W37" s="24"/>
      <c r="X37" s="35" t="str">
        <f aca="false">IF($Y37="","",IF(ROUND($H37+$I37-$N37+$Z37-$T37,2)&lt;&gt;0,"★期初＋本年－已收≠余额",IF(ROUND($R37+$S37-MAX(0,$T37),2)&lt;&gt;0,"★已开票＋未开票≠欠款",IF(ROUND($J37+$K37-$I37,2)&lt;&gt;0,"★合同款＋合同外款≠本年应收",IF(ROUND($O37+$P37+$Q37-$N37,2)&lt;&gt;0,"★发票＋收据＋现金≠本年已收","OK")))))</f>
        <v/>
      </c>
      <c r="Y37" s="35" t="str">
        <f aca="false">IF(维保合同!$C37="","",维保合同!$E37)</f>
        <v/>
      </c>
      <c r="Z37" s="40" t="str">
        <f aca="false">IF($Y37="","",ROUND(SUMIFS(应收金额,应收键,$Y37,应收年度,"&gt;"&amp;管理年度)-SUMIFS(收款金额,收款键,$Y37,收款年度,"&gt;"&amp;管理年度),2))</f>
        <v/>
      </c>
      <c r="AA37" s="47" t="str">
        <f aca="false">IF($Y37="","",IF(SUMPRODUCT(MIN(IF((应收键=$Y37)*(应收未收&gt;0.01),应收日期,999999)))&gt;=999999,"",SUMPRODUCT(MIN(IF((应收键=$Y37)*(应收未收&gt;0.01),应收日期,999999)))))</f>
        <v/>
      </c>
    </row>
    <row r="38" customFormat="false" ht="15" hidden="false" customHeight="false" outlineLevel="0" collapsed="false">
      <c r="A38" s="29" t="str">
        <f aca="false">IF($Y38="","",ROW()-4)</f>
        <v/>
      </c>
      <c r="B38" s="16" t="str">
        <f aca="false">IF($Y38="","",维保合同!$C38)</f>
        <v/>
      </c>
      <c r="C38" s="16" t="str">
        <f aca="false">IF($Y38="","",维保合同!$D38)</f>
        <v/>
      </c>
      <c r="D38" s="35" t="str">
        <f aca="false">IF($Y38="","",维保合同!$F38)</f>
        <v/>
      </c>
      <c r="E38" s="35" t="str">
        <f aca="false">IF($Y38="","",维保合同!$G38)</f>
        <v/>
      </c>
      <c r="F38" s="47" t="str">
        <f aca="false">IF($Y38="","",维保合同!$I38)</f>
        <v/>
      </c>
      <c r="G38" s="38" t="str">
        <f aca="false">IF($Y38="","",维保合同!$K38)</f>
        <v/>
      </c>
      <c r="H38" s="41" t="str">
        <f aca="false">IF($Y38="","",ROUND(SUMIFS(应收金额,应收键,$Y38,应收年度,"&lt;"&amp;管理年度)-SUMIFS(收款金额,收款键,$Y38,收款年度,"&lt;"&amp;管理年度),2))</f>
        <v/>
      </c>
      <c r="I38" s="40" t="str">
        <f aca="false">IF($Y38="","",ROUND(SUMIFS(应收金额,应收键,$Y38,应收年度,管理年度),2))</f>
        <v/>
      </c>
      <c r="J38" s="40" t="str">
        <f aca="false">IF($Y38="","",ROUND(SUMIFS(应收金额,应收键,$Y38,应收年度,管理年度,应收款别,"合同款"),2))</f>
        <v/>
      </c>
      <c r="K38" s="40" t="str">
        <f aca="false">IF($Y38="","",ROUND($I38-$J38,2))</f>
        <v/>
      </c>
      <c r="L38" s="40" t="str">
        <f aca="false">IF($Y38="","",ROUND(SUMIFS(应收开票额,应收键,$Y38,应收开票年度,管理年度),2))</f>
        <v/>
      </c>
      <c r="M38" s="40" t="str">
        <f aca="false">IF($Y38="","",ROUND($I38-$L38,2))</f>
        <v/>
      </c>
      <c r="N38" s="40" t="str">
        <f aca="false">IF($Y38="","",ROUND(SUMIFS(收款金额,收款键,$Y38,收款年度,管理年度),2))</f>
        <v/>
      </c>
      <c r="O38" s="40" t="str">
        <f aca="false">IF($Y38="","",ROUND(SUMIFS(收款金额,收款键,$Y38,收款年度,管理年度,收款归类,"发票"),2))</f>
        <v/>
      </c>
      <c r="P38" s="40" t="str">
        <f aca="false">IF($Y38="","",ROUND(SUMIFS(收款金额,收款键,$Y38,收款年度,管理年度,收款归类,"收据"),2))</f>
        <v/>
      </c>
      <c r="Q38" s="40" t="str">
        <f aca="false">IF($Y38="","",ROUND(SUMIFS(收款金额,收款键,$Y38,收款年度,管理年度,收款归类,"现金无票"),2))</f>
        <v/>
      </c>
      <c r="R38" s="40" t="str">
        <f aca="false">IF($Y38="","",ROUND(MAX(0,MIN($T38,SUMIF(应收键,$Y38,应收开票额)-SUMIF(收款键,$Y38,收款金额))),2))</f>
        <v/>
      </c>
      <c r="S38" s="40" t="str">
        <f aca="false">IF($Y38="","",ROUND(MAX(0,$T38)-$R38,2))</f>
        <v/>
      </c>
      <c r="T38" s="48" t="str">
        <f aca="false">IF($Y38="","",ROUND(SUMIF(应收键,$Y38,应收金额)-SUMIF(收款键,$Y38,收款金额),2))</f>
        <v/>
      </c>
      <c r="U38" s="49" t="str">
        <f aca="true">IF($AA38="","",IF($T38&lt;=0.01,"",MAX(0,TODAY()-$AA38)))</f>
        <v/>
      </c>
      <c r="V38" s="50" t="str">
        <f aca="true">IF($Y38="","",IF($T38&gt;0.01,IF(AND(ISNUMBER($U38),$U38&gt;=账龄预警天),"▲欠款拖了 "&amp;TEXT($U38,"0")&amp;" 天","欠款未清"),IF($T38&lt;-0.01,"预收/多收","已结清"))&amp;IF(OR($E38="已签未回",$E38="未签",$E38="续签中")," ▲合同未回","")&amp;IF(AND(ISNUMBER($F38),$F38&lt;TODAY())," ▲合同已到期",""))</f>
        <v/>
      </c>
      <c r="W38" s="24"/>
      <c r="X38" s="35" t="str">
        <f aca="false">IF($Y38="","",IF(ROUND($H38+$I38-$N38+$Z38-$T38,2)&lt;&gt;0,"★期初＋本年－已收≠余额",IF(ROUND($R38+$S38-MAX(0,$T38),2)&lt;&gt;0,"★已开票＋未开票≠欠款",IF(ROUND($J38+$K38-$I38,2)&lt;&gt;0,"★合同款＋合同外款≠本年应收",IF(ROUND($O38+$P38+$Q38-$N38,2)&lt;&gt;0,"★发票＋收据＋现金≠本年已收","OK")))))</f>
        <v/>
      </c>
      <c r="Y38" s="35" t="str">
        <f aca="false">IF(维保合同!$C38="","",维保合同!$E38)</f>
        <v/>
      </c>
      <c r="Z38" s="40" t="str">
        <f aca="false">IF($Y38="","",ROUND(SUMIFS(应收金额,应收键,$Y38,应收年度,"&gt;"&amp;管理年度)-SUMIFS(收款金额,收款键,$Y38,收款年度,"&gt;"&amp;管理年度),2))</f>
        <v/>
      </c>
      <c r="AA38" s="47" t="str">
        <f aca="false">IF($Y38="","",IF(SUMPRODUCT(MIN(IF((应收键=$Y38)*(应收未收&gt;0.01),应收日期,999999)))&gt;=999999,"",SUMPRODUCT(MIN(IF((应收键=$Y38)*(应收未收&gt;0.01),应收日期,999999)))))</f>
        <v/>
      </c>
    </row>
    <row r="39" customFormat="false" ht="15" hidden="false" customHeight="false" outlineLevel="0" collapsed="false">
      <c r="A39" s="29" t="str">
        <f aca="false">IF($Y39="","",ROW()-4)</f>
        <v/>
      </c>
      <c r="B39" s="16" t="str">
        <f aca="false">IF($Y39="","",维保合同!$C39)</f>
        <v/>
      </c>
      <c r="C39" s="16" t="str">
        <f aca="false">IF($Y39="","",维保合同!$D39)</f>
        <v/>
      </c>
      <c r="D39" s="35" t="str">
        <f aca="false">IF($Y39="","",维保合同!$F39)</f>
        <v/>
      </c>
      <c r="E39" s="35" t="str">
        <f aca="false">IF($Y39="","",维保合同!$G39)</f>
        <v/>
      </c>
      <c r="F39" s="47" t="str">
        <f aca="false">IF($Y39="","",维保合同!$I39)</f>
        <v/>
      </c>
      <c r="G39" s="38" t="str">
        <f aca="false">IF($Y39="","",维保合同!$K39)</f>
        <v/>
      </c>
      <c r="H39" s="41" t="str">
        <f aca="false">IF($Y39="","",ROUND(SUMIFS(应收金额,应收键,$Y39,应收年度,"&lt;"&amp;管理年度)-SUMIFS(收款金额,收款键,$Y39,收款年度,"&lt;"&amp;管理年度),2))</f>
        <v/>
      </c>
      <c r="I39" s="40" t="str">
        <f aca="false">IF($Y39="","",ROUND(SUMIFS(应收金额,应收键,$Y39,应收年度,管理年度),2))</f>
        <v/>
      </c>
      <c r="J39" s="40" t="str">
        <f aca="false">IF($Y39="","",ROUND(SUMIFS(应收金额,应收键,$Y39,应收年度,管理年度,应收款别,"合同款"),2))</f>
        <v/>
      </c>
      <c r="K39" s="40" t="str">
        <f aca="false">IF($Y39="","",ROUND($I39-$J39,2))</f>
        <v/>
      </c>
      <c r="L39" s="40" t="str">
        <f aca="false">IF($Y39="","",ROUND(SUMIFS(应收开票额,应收键,$Y39,应收开票年度,管理年度),2))</f>
        <v/>
      </c>
      <c r="M39" s="40" t="str">
        <f aca="false">IF($Y39="","",ROUND($I39-$L39,2))</f>
        <v/>
      </c>
      <c r="N39" s="40" t="str">
        <f aca="false">IF($Y39="","",ROUND(SUMIFS(收款金额,收款键,$Y39,收款年度,管理年度),2))</f>
        <v/>
      </c>
      <c r="O39" s="40" t="str">
        <f aca="false">IF($Y39="","",ROUND(SUMIFS(收款金额,收款键,$Y39,收款年度,管理年度,收款归类,"发票"),2))</f>
        <v/>
      </c>
      <c r="P39" s="40" t="str">
        <f aca="false">IF($Y39="","",ROUND(SUMIFS(收款金额,收款键,$Y39,收款年度,管理年度,收款归类,"收据"),2))</f>
        <v/>
      </c>
      <c r="Q39" s="40" t="str">
        <f aca="false">IF($Y39="","",ROUND(SUMIFS(收款金额,收款键,$Y39,收款年度,管理年度,收款归类,"现金无票"),2))</f>
        <v/>
      </c>
      <c r="R39" s="40" t="str">
        <f aca="false">IF($Y39="","",ROUND(MAX(0,MIN($T39,SUMIF(应收键,$Y39,应收开票额)-SUMIF(收款键,$Y39,收款金额))),2))</f>
        <v/>
      </c>
      <c r="S39" s="40" t="str">
        <f aca="false">IF($Y39="","",ROUND(MAX(0,$T39)-$R39,2))</f>
        <v/>
      </c>
      <c r="T39" s="48" t="str">
        <f aca="false">IF($Y39="","",ROUND(SUMIF(应收键,$Y39,应收金额)-SUMIF(收款键,$Y39,收款金额),2))</f>
        <v/>
      </c>
      <c r="U39" s="49" t="str">
        <f aca="true">IF($AA39="","",IF($T39&lt;=0.01,"",MAX(0,TODAY()-$AA39)))</f>
        <v/>
      </c>
      <c r="V39" s="50" t="str">
        <f aca="true">IF($Y39="","",IF($T39&gt;0.01,IF(AND(ISNUMBER($U39),$U39&gt;=账龄预警天),"▲欠款拖了 "&amp;TEXT($U39,"0")&amp;" 天","欠款未清"),IF($T39&lt;-0.01,"预收/多收","已结清"))&amp;IF(OR($E39="已签未回",$E39="未签",$E39="续签中")," ▲合同未回","")&amp;IF(AND(ISNUMBER($F39),$F39&lt;TODAY())," ▲合同已到期",""))</f>
        <v/>
      </c>
      <c r="W39" s="24"/>
      <c r="X39" s="35" t="str">
        <f aca="false">IF($Y39="","",IF(ROUND($H39+$I39-$N39+$Z39-$T39,2)&lt;&gt;0,"★期初＋本年－已收≠余额",IF(ROUND($R39+$S39-MAX(0,$T39),2)&lt;&gt;0,"★已开票＋未开票≠欠款",IF(ROUND($J39+$K39-$I39,2)&lt;&gt;0,"★合同款＋合同外款≠本年应收",IF(ROUND($O39+$P39+$Q39-$N39,2)&lt;&gt;0,"★发票＋收据＋现金≠本年已收","OK")))))</f>
        <v/>
      </c>
      <c r="Y39" s="35" t="str">
        <f aca="false">IF(维保合同!$C39="","",维保合同!$E39)</f>
        <v/>
      </c>
      <c r="Z39" s="40" t="str">
        <f aca="false">IF($Y39="","",ROUND(SUMIFS(应收金额,应收键,$Y39,应收年度,"&gt;"&amp;管理年度)-SUMIFS(收款金额,收款键,$Y39,收款年度,"&gt;"&amp;管理年度),2))</f>
        <v/>
      </c>
      <c r="AA39" s="47" t="str">
        <f aca="false">IF($Y39="","",IF(SUMPRODUCT(MIN(IF((应收键=$Y39)*(应收未收&gt;0.01),应收日期,999999)))&gt;=999999,"",SUMPRODUCT(MIN(IF((应收键=$Y39)*(应收未收&gt;0.01),应收日期,999999)))))</f>
        <v/>
      </c>
    </row>
    <row r="40" customFormat="false" ht="15" hidden="false" customHeight="false" outlineLevel="0" collapsed="false">
      <c r="A40" s="29" t="str">
        <f aca="false">IF($Y40="","",ROW()-4)</f>
        <v/>
      </c>
      <c r="B40" s="16" t="str">
        <f aca="false">IF($Y40="","",维保合同!$C40)</f>
        <v/>
      </c>
      <c r="C40" s="16" t="str">
        <f aca="false">IF($Y40="","",维保合同!$D40)</f>
        <v/>
      </c>
      <c r="D40" s="35" t="str">
        <f aca="false">IF($Y40="","",维保合同!$F40)</f>
        <v/>
      </c>
      <c r="E40" s="35" t="str">
        <f aca="false">IF($Y40="","",维保合同!$G40)</f>
        <v/>
      </c>
      <c r="F40" s="47" t="str">
        <f aca="false">IF($Y40="","",维保合同!$I40)</f>
        <v/>
      </c>
      <c r="G40" s="38" t="str">
        <f aca="false">IF($Y40="","",维保合同!$K40)</f>
        <v/>
      </c>
      <c r="H40" s="41" t="str">
        <f aca="false">IF($Y40="","",ROUND(SUMIFS(应收金额,应收键,$Y40,应收年度,"&lt;"&amp;管理年度)-SUMIFS(收款金额,收款键,$Y40,收款年度,"&lt;"&amp;管理年度),2))</f>
        <v/>
      </c>
      <c r="I40" s="40" t="str">
        <f aca="false">IF($Y40="","",ROUND(SUMIFS(应收金额,应收键,$Y40,应收年度,管理年度),2))</f>
        <v/>
      </c>
      <c r="J40" s="40" t="str">
        <f aca="false">IF($Y40="","",ROUND(SUMIFS(应收金额,应收键,$Y40,应收年度,管理年度,应收款别,"合同款"),2))</f>
        <v/>
      </c>
      <c r="K40" s="40" t="str">
        <f aca="false">IF($Y40="","",ROUND($I40-$J40,2))</f>
        <v/>
      </c>
      <c r="L40" s="40" t="str">
        <f aca="false">IF($Y40="","",ROUND(SUMIFS(应收开票额,应收键,$Y40,应收开票年度,管理年度),2))</f>
        <v/>
      </c>
      <c r="M40" s="40" t="str">
        <f aca="false">IF($Y40="","",ROUND($I40-$L40,2))</f>
        <v/>
      </c>
      <c r="N40" s="40" t="str">
        <f aca="false">IF($Y40="","",ROUND(SUMIFS(收款金额,收款键,$Y40,收款年度,管理年度),2))</f>
        <v/>
      </c>
      <c r="O40" s="40" t="str">
        <f aca="false">IF($Y40="","",ROUND(SUMIFS(收款金额,收款键,$Y40,收款年度,管理年度,收款归类,"发票"),2))</f>
        <v/>
      </c>
      <c r="P40" s="40" t="str">
        <f aca="false">IF($Y40="","",ROUND(SUMIFS(收款金额,收款键,$Y40,收款年度,管理年度,收款归类,"收据"),2))</f>
        <v/>
      </c>
      <c r="Q40" s="40" t="str">
        <f aca="false">IF($Y40="","",ROUND(SUMIFS(收款金额,收款键,$Y40,收款年度,管理年度,收款归类,"现金无票"),2))</f>
        <v/>
      </c>
      <c r="R40" s="40" t="str">
        <f aca="false">IF($Y40="","",ROUND(MAX(0,MIN($T40,SUMIF(应收键,$Y40,应收开票额)-SUMIF(收款键,$Y40,收款金额))),2))</f>
        <v/>
      </c>
      <c r="S40" s="40" t="str">
        <f aca="false">IF($Y40="","",ROUND(MAX(0,$T40)-$R40,2))</f>
        <v/>
      </c>
      <c r="T40" s="48" t="str">
        <f aca="false">IF($Y40="","",ROUND(SUMIF(应收键,$Y40,应收金额)-SUMIF(收款键,$Y40,收款金额),2))</f>
        <v/>
      </c>
      <c r="U40" s="49" t="str">
        <f aca="true">IF($AA40="","",IF($T40&lt;=0.01,"",MAX(0,TODAY()-$AA40)))</f>
        <v/>
      </c>
      <c r="V40" s="50" t="str">
        <f aca="true">IF($Y40="","",IF($T40&gt;0.01,IF(AND(ISNUMBER($U40),$U40&gt;=账龄预警天),"▲欠款拖了 "&amp;TEXT($U40,"0")&amp;" 天","欠款未清"),IF($T40&lt;-0.01,"预收/多收","已结清"))&amp;IF(OR($E40="已签未回",$E40="未签",$E40="续签中")," ▲合同未回","")&amp;IF(AND(ISNUMBER($F40),$F40&lt;TODAY())," ▲合同已到期",""))</f>
        <v/>
      </c>
      <c r="W40" s="24"/>
      <c r="X40" s="35" t="str">
        <f aca="false">IF($Y40="","",IF(ROUND($H40+$I40-$N40+$Z40-$T40,2)&lt;&gt;0,"★期初＋本年－已收≠余额",IF(ROUND($R40+$S40-MAX(0,$T40),2)&lt;&gt;0,"★已开票＋未开票≠欠款",IF(ROUND($J40+$K40-$I40,2)&lt;&gt;0,"★合同款＋合同外款≠本年应收",IF(ROUND($O40+$P40+$Q40-$N40,2)&lt;&gt;0,"★发票＋收据＋现金≠本年已收","OK")))))</f>
        <v/>
      </c>
      <c r="Y40" s="35" t="str">
        <f aca="false">IF(维保合同!$C40="","",维保合同!$E40)</f>
        <v/>
      </c>
      <c r="Z40" s="40" t="str">
        <f aca="false">IF($Y40="","",ROUND(SUMIFS(应收金额,应收键,$Y40,应收年度,"&gt;"&amp;管理年度)-SUMIFS(收款金额,收款键,$Y40,收款年度,"&gt;"&amp;管理年度),2))</f>
        <v/>
      </c>
      <c r="AA40" s="47" t="str">
        <f aca="false">IF($Y40="","",IF(SUMPRODUCT(MIN(IF((应收键=$Y40)*(应收未收&gt;0.01),应收日期,999999)))&gt;=999999,"",SUMPRODUCT(MIN(IF((应收键=$Y40)*(应收未收&gt;0.01),应收日期,999999)))))</f>
        <v/>
      </c>
    </row>
    <row r="41" customFormat="false" ht="15" hidden="false" customHeight="false" outlineLevel="0" collapsed="false">
      <c r="A41" s="29" t="str">
        <f aca="false">IF($Y41="","",ROW()-4)</f>
        <v/>
      </c>
      <c r="B41" s="16" t="str">
        <f aca="false">IF($Y41="","",维保合同!$C41)</f>
        <v/>
      </c>
      <c r="C41" s="16" t="str">
        <f aca="false">IF($Y41="","",维保合同!$D41)</f>
        <v/>
      </c>
      <c r="D41" s="35" t="str">
        <f aca="false">IF($Y41="","",维保合同!$F41)</f>
        <v/>
      </c>
      <c r="E41" s="35" t="str">
        <f aca="false">IF($Y41="","",维保合同!$G41)</f>
        <v/>
      </c>
      <c r="F41" s="47" t="str">
        <f aca="false">IF($Y41="","",维保合同!$I41)</f>
        <v/>
      </c>
      <c r="G41" s="38" t="str">
        <f aca="false">IF($Y41="","",维保合同!$K41)</f>
        <v/>
      </c>
      <c r="H41" s="41" t="str">
        <f aca="false">IF($Y41="","",ROUND(SUMIFS(应收金额,应收键,$Y41,应收年度,"&lt;"&amp;管理年度)-SUMIFS(收款金额,收款键,$Y41,收款年度,"&lt;"&amp;管理年度),2))</f>
        <v/>
      </c>
      <c r="I41" s="40" t="str">
        <f aca="false">IF($Y41="","",ROUND(SUMIFS(应收金额,应收键,$Y41,应收年度,管理年度),2))</f>
        <v/>
      </c>
      <c r="J41" s="40" t="str">
        <f aca="false">IF($Y41="","",ROUND(SUMIFS(应收金额,应收键,$Y41,应收年度,管理年度,应收款别,"合同款"),2))</f>
        <v/>
      </c>
      <c r="K41" s="40" t="str">
        <f aca="false">IF($Y41="","",ROUND($I41-$J41,2))</f>
        <v/>
      </c>
      <c r="L41" s="40" t="str">
        <f aca="false">IF($Y41="","",ROUND(SUMIFS(应收开票额,应收键,$Y41,应收开票年度,管理年度),2))</f>
        <v/>
      </c>
      <c r="M41" s="40" t="str">
        <f aca="false">IF($Y41="","",ROUND($I41-$L41,2))</f>
        <v/>
      </c>
      <c r="N41" s="40" t="str">
        <f aca="false">IF($Y41="","",ROUND(SUMIFS(收款金额,收款键,$Y41,收款年度,管理年度),2))</f>
        <v/>
      </c>
      <c r="O41" s="40" t="str">
        <f aca="false">IF($Y41="","",ROUND(SUMIFS(收款金额,收款键,$Y41,收款年度,管理年度,收款归类,"发票"),2))</f>
        <v/>
      </c>
      <c r="P41" s="40" t="str">
        <f aca="false">IF($Y41="","",ROUND(SUMIFS(收款金额,收款键,$Y41,收款年度,管理年度,收款归类,"收据"),2))</f>
        <v/>
      </c>
      <c r="Q41" s="40" t="str">
        <f aca="false">IF($Y41="","",ROUND(SUMIFS(收款金额,收款键,$Y41,收款年度,管理年度,收款归类,"现金无票"),2))</f>
        <v/>
      </c>
      <c r="R41" s="40" t="str">
        <f aca="false">IF($Y41="","",ROUND(MAX(0,MIN($T41,SUMIF(应收键,$Y41,应收开票额)-SUMIF(收款键,$Y41,收款金额))),2))</f>
        <v/>
      </c>
      <c r="S41" s="40" t="str">
        <f aca="false">IF($Y41="","",ROUND(MAX(0,$T41)-$R41,2))</f>
        <v/>
      </c>
      <c r="T41" s="48" t="str">
        <f aca="false">IF($Y41="","",ROUND(SUMIF(应收键,$Y41,应收金额)-SUMIF(收款键,$Y41,收款金额),2))</f>
        <v/>
      </c>
      <c r="U41" s="49" t="str">
        <f aca="true">IF($AA41="","",IF($T41&lt;=0.01,"",MAX(0,TODAY()-$AA41)))</f>
        <v/>
      </c>
      <c r="V41" s="50" t="str">
        <f aca="true">IF($Y41="","",IF($T41&gt;0.01,IF(AND(ISNUMBER($U41),$U41&gt;=账龄预警天),"▲欠款拖了 "&amp;TEXT($U41,"0")&amp;" 天","欠款未清"),IF($T41&lt;-0.01,"预收/多收","已结清"))&amp;IF(OR($E41="已签未回",$E41="未签",$E41="续签中")," ▲合同未回","")&amp;IF(AND(ISNUMBER($F41),$F41&lt;TODAY())," ▲合同已到期",""))</f>
        <v/>
      </c>
      <c r="W41" s="24"/>
      <c r="X41" s="35" t="str">
        <f aca="false">IF($Y41="","",IF(ROUND($H41+$I41-$N41+$Z41-$T41,2)&lt;&gt;0,"★期初＋本年－已收≠余额",IF(ROUND($R41+$S41-MAX(0,$T41),2)&lt;&gt;0,"★已开票＋未开票≠欠款",IF(ROUND($J41+$K41-$I41,2)&lt;&gt;0,"★合同款＋合同外款≠本年应收",IF(ROUND($O41+$P41+$Q41-$N41,2)&lt;&gt;0,"★发票＋收据＋现金≠本年已收","OK")))))</f>
        <v/>
      </c>
      <c r="Y41" s="35" t="str">
        <f aca="false">IF(维保合同!$C41="","",维保合同!$E41)</f>
        <v/>
      </c>
      <c r="Z41" s="40" t="str">
        <f aca="false">IF($Y41="","",ROUND(SUMIFS(应收金额,应收键,$Y41,应收年度,"&gt;"&amp;管理年度)-SUMIFS(收款金额,收款键,$Y41,收款年度,"&gt;"&amp;管理年度),2))</f>
        <v/>
      </c>
      <c r="AA41" s="47" t="str">
        <f aca="false">IF($Y41="","",IF(SUMPRODUCT(MIN(IF((应收键=$Y41)*(应收未收&gt;0.01),应收日期,999999)))&gt;=999999,"",SUMPRODUCT(MIN(IF((应收键=$Y41)*(应收未收&gt;0.01),应收日期,999999)))))</f>
        <v/>
      </c>
    </row>
    <row r="42" customFormat="false" ht="15" hidden="false" customHeight="false" outlineLevel="0" collapsed="false">
      <c r="A42" s="29" t="str">
        <f aca="false">IF($Y42="","",ROW()-4)</f>
        <v/>
      </c>
      <c r="B42" s="16" t="str">
        <f aca="false">IF($Y42="","",维保合同!$C42)</f>
        <v/>
      </c>
      <c r="C42" s="16" t="str">
        <f aca="false">IF($Y42="","",维保合同!$D42)</f>
        <v/>
      </c>
      <c r="D42" s="35" t="str">
        <f aca="false">IF($Y42="","",维保合同!$F42)</f>
        <v/>
      </c>
      <c r="E42" s="35" t="str">
        <f aca="false">IF($Y42="","",维保合同!$G42)</f>
        <v/>
      </c>
      <c r="F42" s="47" t="str">
        <f aca="false">IF($Y42="","",维保合同!$I42)</f>
        <v/>
      </c>
      <c r="G42" s="38" t="str">
        <f aca="false">IF($Y42="","",维保合同!$K42)</f>
        <v/>
      </c>
      <c r="H42" s="41" t="str">
        <f aca="false">IF($Y42="","",ROUND(SUMIFS(应收金额,应收键,$Y42,应收年度,"&lt;"&amp;管理年度)-SUMIFS(收款金额,收款键,$Y42,收款年度,"&lt;"&amp;管理年度),2))</f>
        <v/>
      </c>
      <c r="I42" s="40" t="str">
        <f aca="false">IF($Y42="","",ROUND(SUMIFS(应收金额,应收键,$Y42,应收年度,管理年度),2))</f>
        <v/>
      </c>
      <c r="J42" s="40" t="str">
        <f aca="false">IF($Y42="","",ROUND(SUMIFS(应收金额,应收键,$Y42,应收年度,管理年度,应收款别,"合同款"),2))</f>
        <v/>
      </c>
      <c r="K42" s="40" t="str">
        <f aca="false">IF($Y42="","",ROUND($I42-$J42,2))</f>
        <v/>
      </c>
      <c r="L42" s="40" t="str">
        <f aca="false">IF($Y42="","",ROUND(SUMIFS(应收开票额,应收键,$Y42,应收开票年度,管理年度),2))</f>
        <v/>
      </c>
      <c r="M42" s="40" t="str">
        <f aca="false">IF($Y42="","",ROUND($I42-$L42,2))</f>
        <v/>
      </c>
      <c r="N42" s="40" t="str">
        <f aca="false">IF($Y42="","",ROUND(SUMIFS(收款金额,收款键,$Y42,收款年度,管理年度),2))</f>
        <v/>
      </c>
      <c r="O42" s="40" t="str">
        <f aca="false">IF($Y42="","",ROUND(SUMIFS(收款金额,收款键,$Y42,收款年度,管理年度,收款归类,"发票"),2))</f>
        <v/>
      </c>
      <c r="P42" s="40" t="str">
        <f aca="false">IF($Y42="","",ROUND(SUMIFS(收款金额,收款键,$Y42,收款年度,管理年度,收款归类,"收据"),2))</f>
        <v/>
      </c>
      <c r="Q42" s="40" t="str">
        <f aca="false">IF($Y42="","",ROUND(SUMIFS(收款金额,收款键,$Y42,收款年度,管理年度,收款归类,"现金无票"),2))</f>
        <v/>
      </c>
      <c r="R42" s="40" t="str">
        <f aca="false">IF($Y42="","",ROUND(MAX(0,MIN($T42,SUMIF(应收键,$Y42,应收开票额)-SUMIF(收款键,$Y42,收款金额))),2))</f>
        <v/>
      </c>
      <c r="S42" s="40" t="str">
        <f aca="false">IF($Y42="","",ROUND(MAX(0,$T42)-$R42,2))</f>
        <v/>
      </c>
      <c r="T42" s="48" t="str">
        <f aca="false">IF($Y42="","",ROUND(SUMIF(应收键,$Y42,应收金额)-SUMIF(收款键,$Y42,收款金额),2))</f>
        <v/>
      </c>
      <c r="U42" s="49" t="str">
        <f aca="true">IF($AA42="","",IF($T42&lt;=0.01,"",MAX(0,TODAY()-$AA42)))</f>
        <v/>
      </c>
      <c r="V42" s="50" t="str">
        <f aca="true">IF($Y42="","",IF($T42&gt;0.01,IF(AND(ISNUMBER($U42),$U42&gt;=账龄预警天),"▲欠款拖了 "&amp;TEXT($U42,"0")&amp;" 天","欠款未清"),IF($T42&lt;-0.01,"预收/多收","已结清"))&amp;IF(OR($E42="已签未回",$E42="未签",$E42="续签中")," ▲合同未回","")&amp;IF(AND(ISNUMBER($F42),$F42&lt;TODAY())," ▲合同已到期",""))</f>
        <v/>
      </c>
      <c r="W42" s="24"/>
      <c r="X42" s="35" t="str">
        <f aca="false">IF($Y42="","",IF(ROUND($H42+$I42-$N42+$Z42-$T42,2)&lt;&gt;0,"★期初＋本年－已收≠余额",IF(ROUND($R42+$S42-MAX(0,$T42),2)&lt;&gt;0,"★已开票＋未开票≠欠款",IF(ROUND($J42+$K42-$I42,2)&lt;&gt;0,"★合同款＋合同外款≠本年应收",IF(ROUND($O42+$P42+$Q42-$N42,2)&lt;&gt;0,"★发票＋收据＋现金≠本年已收","OK")))))</f>
        <v/>
      </c>
      <c r="Y42" s="35" t="str">
        <f aca="false">IF(维保合同!$C42="","",维保合同!$E42)</f>
        <v/>
      </c>
      <c r="Z42" s="40" t="str">
        <f aca="false">IF($Y42="","",ROUND(SUMIFS(应收金额,应收键,$Y42,应收年度,"&gt;"&amp;管理年度)-SUMIFS(收款金额,收款键,$Y42,收款年度,"&gt;"&amp;管理年度),2))</f>
        <v/>
      </c>
      <c r="AA42" s="47" t="str">
        <f aca="false">IF($Y42="","",IF(SUMPRODUCT(MIN(IF((应收键=$Y42)*(应收未收&gt;0.01),应收日期,999999)))&gt;=999999,"",SUMPRODUCT(MIN(IF((应收键=$Y42)*(应收未收&gt;0.01),应收日期,999999)))))</f>
        <v/>
      </c>
    </row>
    <row r="43" customFormat="false" ht="15" hidden="false" customHeight="false" outlineLevel="0" collapsed="false">
      <c r="A43" s="29" t="str">
        <f aca="false">IF($Y43="","",ROW()-4)</f>
        <v/>
      </c>
      <c r="B43" s="16" t="str">
        <f aca="false">IF($Y43="","",维保合同!$C43)</f>
        <v/>
      </c>
      <c r="C43" s="16" t="str">
        <f aca="false">IF($Y43="","",维保合同!$D43)</f>
        <v/>
      </c>
      <c r="D43" s="35" t="str">
        <f aca="false">IF($Y43="","",维保合同!$F43)</f>
        <v/>
      </c>
      <c r="E43" s="35" t="str">
        <f aca="false">IF($Y43="","",维保合同!$G43)</f>
        <v/>
      </c>
      <c r="F43" s="47" t="str">
        <f aca="false">IF($Y43="","",维保合同!$I43)</f>
        <v/>
      </c>
      <c r="G43" s="38" t="str">
        <f aca="false">IF($Y43="","",维保合同!$K43)</f>
        <v/>
      </c>
      <c r="H43" s="41" t="str">
        <f aca="false">IF($Y43="","",ROUND(SUMIFS(应收金额,应收键,$Y43,应收年度,"&lt;"&amp;管理年度)-SUMIFS(收款金额,收款键,$Y43,收款年度,"&lt;"&amp;管理年度),2))</f>
        <v/>
      </c>
      <c r="I43" s="40" t="str">
        <f aca="false">IF($Y43="","",ROUND(SUMIFS(应收金额,应收键,$Y43,应收年度,管理年度),2))</f>
        <v/>
      </c>
      <c r="J43" s="40" t="str">
        <f aca="false">IF($Y43="","",ROUND(SUMIFS(应收金额,应收键,$Y43,应收年度,管理年度,应收款别,"合同款"),2))</f>
        <v/>
      </c>
      <c r="K43" s="40" t="str">
        <f aca="false">IF($Y43="","",ROUND($I43-$J43,2))</f>
        <v/>
      </c>
      <c r="L43" s="40" t="str">
        <f aca="false">IF($Y43="","",ROUND(SUMIFS(应收开票额,应收键,$Y43,应收开票年度,管理年度),2))</f>
        <v/>
      </c>
      <c r="M43" s="40" t="str">
        <f aca="false">IF($Y43="","",ROUND($I43-$L43,2))</f>
        <v/>
      </c>
      <c r="N43" s="40" t="str">
        <f aca="false">IF($Y43="","",ROUND(SUMIFS(收款金额,收款键,$Y43,收款年度,管理年度),2))</f>
        <v/>
      </c>
      <c r="O43" s="40" t="str">
        <f aca="false">IF($Y43="","",ROUND(SUMIFS(收款金额,收款键,$Y43,收款年度,管理年度,收款归类,"发票"),2))</f>
        <v/>
      </c>
      <c r="P43" s="40" t="str">
        <f aca="false">IF($Y43="","",ROUND(SUMIFS(收款金额,收款键,$Y43,收款年度,管理年度,收款归类,"收据"),2))</f>
        <v/>
      </c>
      <c r="Q43" s="40" t="str">
        <f aca="false">IF($Y43="","",ROUND(SUMIFS(收款金额,收款键,$Y43,收款年度,管理年度,收款归类,"现金无票"),2))</f>
        <v/>
      </c>
      <c r="R43" s="40" t="str">
        <f aca="false">IF($Y43="","",ROUND(MAX(0,MIN($T43,SUMIF(应收键,$Y43,应收开票额)-SUMIF(收款键,$Y43,收款金额))),2))</f>
        <v/>
      </c>
      <c r="S43" s="40" t="str">
        <f aca="false">IF($Y43="","",ROUND(MAX(0,$T43)-$R43,2))</f>
        <v/>
      </c>
      <c r="T43" s="48" t="str">
        <f aca="false">IF($Y43="","",ROUND(SUMIF(应收键,$Y43,应收金额)-SUMIF(收款键,$Y43,收款金额),2))</f>
        <v/>
      </c>
      <c r="U43" s="49" t="str">
        <f aca="true">IF($AA43="","",IF($T43&lt;=0.01,"",MAX(0,TODAY()-$AA43)))</f>
        <v/>
      </c>
      <c r="V43" s="50" t="str">
        <f aca="true">IF($Y43="","",IF($T43&gt;0.01,IF(AND(ISNUMBER($U43),$U43&gt;=账龄预警天),"▲欠款拖了 "&amp;TEXT($U43,"0")&amp;" 天","欠款未清"),IF($T43&lt;-0.01,"预收/多收","已结清"))&amp;IF(OR($E43="已签未回",$E43="未签",$E43="续签中")," ▲合同未回","")&amp;IF(AND(ISNUMBER($F43),$F43&lt;TODAY())," ▲合同已到期",""))</f>
        <v/>
      </c>
      <c r="W43" s="24"/>
      <c r="X43" s="35" t="str">
        <f aca="false">IF($Y43="","",IF(ROUND($H43+$I43-$N43+$Z43-$T43,2)&lt;&gt;0,"★期初＋本年－已收≠余额",IF(ROUND($R43+$S43-MAX(0,$T43),2)&lt;&gt;0,"★已开票＋未开票≠欠款",IF(ROUND($J43+$K43-$I43,2)&lt;&gt;0,"★合同款＋合同外款≠本年应收",IF(ROUND($O43+$P43+$Q43-$N43,2)&lt;&gt;0,"★发票＋收据＋现金≠本年已收","OK")))))</f>
        <v/>
      </c>
      <c r="Y43" s="35" t="str">
        <f aca="false">IF(维保合同!$C43="","",维保合同!$E43)</f>
        <v/>
      </c>
      <c r="Z43" s="40" t="str">
        <f aca="false">IF($Y43="","",ROUND(SUMIFS(应收金额,应收键,$Y43,应收年度,"&gt;"&amp;管理年度)-SUMIFS(收款金额,收款键,$Y43,收款年度,"&gt;"&amp;管理年度),2))</f>
        <v/>
      </c>
      <c r="AA43" s="47" t="str">
        <f aca="false">IF($Y43="","",IF(SUMPRODUCT(MIN(IF((应收键=$Y43)*(应收未收&gt;0.01),应收日期,999999)))&gt;=999999,"",SUMPRODUCT(MIN(IF((应收键=$Y43)*(应收未收&gt;0.01),应收日期,999999)))))</f>
        <v/>
      </c>
    </row>
    <row r="44" customFormat="false" ht="15" hidden="false" customHeight="false" outlineLevel="0" collapsed="false">
      <c r="A44" s="29" t="str">
        <f aca="false">IF($Y44="","",ROW()-4)</f>
        <v/>
      </c>
      <c r="B44" s="16" t="str">
        <f aca="false">IF($Y44="","",维保合同!$C44)</f>
        <v/>
      </c>
      <c r="C44" s="16" t="str">
        <f aca="false">IF($Y44="","",维保合同!$D44)</f>
        <v/>
      </c>
      <c r="D44" s="35" t="str">
        <f aca="false">IF($Y44="","",维保合同!$F44)</f>
        <v/>
      </c>
      <c r="E44" s="35" t="str">
        <f aca="false">IF($Y44="","",维保合同!$G44)</f>
        <v/>
      </c>
      <c r="F44" s="47" t="str">
        <f aca="false">IF($Y44="","",维保合同!$I44)</f>
        <v/>
      </c>
      <c r="G44" s="38" t="str">
        <f aca="false">IF($Y44="","",维保合同!$K44)</f>
        <v/>
      </c>
      <c r="H44" s="41" t="str">
        <f aca="false">IF($Y44="","",ROUND(SUMIFS(应收金额,应收键,$Y44,应收年度,"&lt;"&amp;管理年度)-SUMIFS(收款金额,收款键,$Y44,收款年度,"&lt;"&amp;管理年度),2))</f>
        <v/>
      </c>
      <c r="I44" s="40" t="str">
        <f aca="false">IF($Y44="","",ROUND(SUMIFS(应收金额,应收键,$Y44,应收年度,管理年度),2))</f>
        <v/>
      </c>
      <c r="J44" s="40" t="str">
        <f aca="false">IF($Y44="","",ROUND(SUMIFS(应收金额,应收键,$Y44,应收年度,管理年度,应收款别,"合同款"),2))</f>
        <v/>
      </c>
      <c r="K44" s="40" t="str">
        <f aca="false">IF($Y44="","",ROUND($I44-$J44,2))</f>
        <v/>
      </c>
      <c r="L44" s="40" t="str">
        <f aca="false">IF($Y44="","",ROUND(SUMIFS(应收开票额,应收键,$Y44,应收开票年度,管理年度),2))</f>
        <v/>
      </c>
      <c r="M44" s="40" t="str">
        <f aca="false">IF($Y44="","",ROUND($I44-$L44,2))</f>
        <v/>
      </c>
      <c r="N44" s="40" t="str">
        <f aca="false">IF($Y44="","",ROUND(SUMIFS(收款金额,收款键,$Y44,收款年度,管理年度),2))</f>
        <v/>
      </c>
      <c r="O44" s="40" t="str">
        <f aca="false">IF($Y44="","",ROUND(SUMIFS(收款金额,收款键,$Y44,收款年度,管理年度,收款归类,"发票"),2))</f>
        <v/>
      </c>
      <c r="P44" s="40" t="str">
        <f aca="false">IF($Y44="","",ROUND(SUMIFS(收款金额,收款键,$Y44,收款年度,管理年度,收款归类,"收据"),2))</f>
        <v/>
      </c>
      <c r="Q44" s="40" t="str">
        <f aca="false">IF($Y44="","",ROUND(SUMIFS(收款金额,收款键,$Y44,收款年度,管理年度,收款归类,"现金无票"),2))</f>
        <v/>
      </c>
      <c r="R44" s="40" t="str">
        <f aca="false">IF($Y44="","",ROUND(MAX(0,MIN($T44,SUMIF(应收键,$Y44,应收开票额)-SUMIF(收款键,$Y44,收款金额))),2))</f>
        <v/>
      </c>
      <c r="S44" s="40" t="str">
        <f aca="false">IF($Y44="","",ROUND(MAX(0,$T44)-$R44,2))</f>
        <v/>
      </c>
      <c r="T44" s="48" t="str">
        <f aca="false">IF($Y44="","",ROUND(SUMIF(应收键,$Y44,应收金额)-SUMIF(收款键,$Y44,收款金额),2))</f>
        <v/>
      </c>
      <c r="U44" s="49" t="str">
        <f aca="true">IF($AA44="","",IF($T44&lt;=0.01,"",MAX(0,TODAY()-$AA44)))</f>
        <v/>
      </c>
      <c r="V44" s="50" t="str">
        <f aca="true">IF($Y44="","",IF($T44&gt;0.01,IF(AND(ISNUMBER($U44),$U44&gt;=账龄预警天),"▲欠款拖了 "&amp;TEXT($U44,"0")&amp;" 天","欠款未清"),IF($T44&lt;-0.01,"预收/多收","已结清"))&amp;IF(OR($E44="已签未回",$E44="未签",$E44="续签中")," ▲合同未回","")&amp;IF(AND(ISNUMBER($F44),$F44&lt;TODAY())," ▲合同已到期",""))</f>
        <v/>
      </c>
      <c r="W44" s="24"/>
      <c r="X44" s="35" t="str">
        <f aca="false">IF($Y44="","",IF(ROUND($H44+$I44-$N44+$Z44-$T44,2)&lt;&gt;0,"★期初＋本年－已收≠余额",IF(ROUND($R44+$S44-MAX(0,$T44),2)&lt;&gt;0,"★已开票＋未开票≠欠款",IF(ROUND($J44+$K44-$I44,2)&lt;&gt;0,"★合同款＋合同外款≠本年应收",IF(ROUND($O44+$P44+$Q44-$N44,2)&lt;&gt;0,"★发票＋收据＋现金≠本年已收","OK")))))</f>
        <v/>
      </c>
      <c r="Y44" s="35" t="str">
        <f aca="false">IF(维保合同!$C44="","",维保合同!$E44)</f>
        <v/>
      </c>
      <c r="Z44" s="40" t="str">
        <f aca="false">IF($Y44="","",ROUND(SUMIFS(应收金额,应收键,$Y44,应收年度,"&gt;"&amp;管理年度)-SUMIFS(收款金额,收款键,$Y44,收款年度,"&gt;"&amp;管理年度),2))</f>
        <v/>
      </c>
      <c r="AA44" s="47" t="str">
        <f aca="false">IF($Y44="","",IF(SUMPRODUCT(MIN(IF((应收键=$Y44)*(应收未收&gt;0.01),应收日期,999999)))&gt;=999999,"",SUMPRODUCT(MIN(IF((应收键=$Y44)*(应收未收&gt;0.01),应收日期,999999)))))</f>
        <v/>
      </c>
    </row>
    <row r="45" customFormat="false" ht="15" hidden="false" customHeight="false" outlineLevel="0" collapsed="false">
      <c r="A45" s="29" t="str">
        <f aca="false">IF($Y45="","",ROW()-4)</f>
        <v/>
      </c>
      <c r="B45" s="16" t="str">
        <f aca="false">IF($Y45="","",维保合同!$C45)</f>
        <v/>
      </c>
      <c r="C45" s="16" t="str">
        <f aca="false">IF($Y45="","",维保合同!$D45)</f>
        <v/>
      </c>
      <c r="D45" s="35" t="str">
        <f aca="false">IF($Y45="","",维保合同!$F45)</f>
        <v/>
      </c>
      <c r="E45" s="35" t="str">
        <f aca="false">IF($Y45="","",维保合同!$G45)</f>
        <v/>
      </c>
      <c r="F45" s="47" t="str">
        <f aca="false">IF($Y45="","",维保合同!$I45)</f>
        <v/>
      </c>
      <c r="G45" s="38" t="str">
        <f aca="false">IF($Y45="","",维保合同!$K45)</f>
        <v/>
      </c>
      <c r="H45" s="41" t="str">
        <f aca="false">IF($Y45="","",ROUND(SUMIFS(应收金额,应收键,$Y45,应收年度,"&lt;"&amp;管理年度)-SUMIFS(收款金额,收款键,$Y45,收款年度,"&lt;"&amp;管理年度),2))</f>
        <v/>
      </c>
      <c r="I45" s="40" t="str">
        <f aca="false">IF($Y45="","",ROUND(SUMIFS(应收金额,应收键,$Y45,应收年度,管理年度),2))</f>
        <v/>
      </c>
      <c r="J45" s="40" t="str">
        <f aca="false">IF($Y45="","",ROUND(SUMIFS(应收金额,应收键,$Y45,应收年度,管理年度,应收款别,"合同款"),2))</f>
        <v/>
      </c>
      <c r="K45" s="40" t="str">
        <f aca="false">IF($Y45="","",ROUND($I45-$J45,2))</f>
        <v/>
      </c>
      <c r="L45" s="40" t="str">
        <f aca="false">IF($Y45="","",ROUND(SUMIFS(应收开票额,应收键,$Y45,应收开票年度,管理年度),2))</f>
        <v/>
      </c>
      <c r="M45" s="40" t="str">
        <f aca="false">IF($Y45="","",ROUND($I45-$L45,2))</f>
        <v/>
      </c>
      <c r="N45" s="40" t="str">
        <f aca="false">IF($Y45="","",ROUND(SUMIFS(收款金额,收款键,$Y45,收款年度,管理年度),2))</f>
        <v/>
      </c>
      <c r="O45" s="40" t="str">
        <f aca="false">IF($Y45="","",ROUND(SUMIFS(收款金额,收款键,$Y45,收款年度,管理年度,收款归类,"发票"),2))</f>
        <v/>
      </c>
      <c r="P45" s="40" t="str">
        <f aca="false">IF($Y45="","",ROUND(SUMIFS(收款金额,收款键,$Y45,收款年度,管理年度,收款归类,"收据"),2))</f>
        <v/>
      </c>
      <c r="Q45" s="40" t="str">
        <f aca="false">IF($Y45="","",ROUND(SUMIFS(收款金额,收款键,$Y45,收款年度,管理年度,收款归类,"现金无票"),2))</f>
        <v/>
      </c>
      <c r="R45" s="40" t="str">
        <f aca="false">IF($Y45="","",ROUND(MAX(0,MIN($T45,SUMIF(应收键,$Y45,应收开票额)-SUMIF(收款键,$Y45,收款金额))),2))</f>
        <v/>
      </c>
      <c r="S45" s="40" t="str">
        <f aca="false">IF($Y45="","",ROUND(MAX(0,$T45)-$R45,2))</f>
        <v/>
      </c>
      <c r="T45" s="48" t="str">
        <f aca="false">IF($Y45="","",ROUND(SUMIF(应收键,$Y45,应收金额)-SUMIF(收款键,$Y45,收款金额),2))</f>
        <v/>
      </c>
      <c r="U45" s="49" t="str">
        <f aca="true">IF($AA45="","",IF($T45&lt;=0.01,"",MAX(0,TODAY()-$AA45)))</f>
        <v/>
      </c>
      <c r="V45" s="50" t="str">
        <f aca="true">IF($Y45="","",IF($T45&gt;0.01,IF(AND(ISNUMBER($U45),$U45&gt;=账龄预警天),"▲欠款拖了 "&amp;TEXT($U45,"0")&amp;" 天","欠款未清"),IF($T45&lt;-0.01,"预收/多收","已结清"))&amp;IF(OR($E45="已签未回",$E45="未签",$E45="续签中")," ▲合同未回","")&amp;IF(AND(ISNUMBER($F45),$F45&lt;TODAY())," ▲合同已到期",""))</f>
        <v/>
      </c>
      <c r="W45" s="24"/>
      <c r="X45" s="35" t="str">
        <f aca="false">IF($Y45="","",IF(ROUND($H45+$I45-$N45+$Z45-$T45,2)&lt;&gt;0,"★期初＋本年－已收≠余额",IF(ROUND($R45+$S45-MAX(0,$T45),2)&lt;&gt;0,"★已开票＋未开票≠欠款",IF(ROUND($J45+$K45-$I45,2)&lt;&gt;0,"★合同款＋合同外款≠本年应收",IF(ROUND($O45+$P45+$Q45-$N45,2)&lt;&gt;0,"★发票＋收据＋现金≠本年已收","OK")))))</f>
        <v/>
      </c>
      <c r="Y45" s="35" t="str">
        <f aca="false">IF(维保合同!$C45="","",维保合同!$E45)</f>
        <v/>
      </c>
      <c r="Z45" s="40" t="str">
        <f aca="false">IF($Y45="","",ROUND(SUMIFS(应收金额,应收键,$Y45,应收年度,"&gt;"&amp;管理年度)-SUMIFS(收款金额,收款键,$Y45,收款年度,"&gt;"&amp;管理年度),2))</f>
        <v/>
      </c>
      <c r="AA45" s="47" t="str">
        <f aca="false">IF($Y45="","",IF(SUMPRODUCT(MIN(IF((应收键=$Y45)*(应收未收&gt;0.01),应收日期,999999)))&gt;=999999,"",SUMPRODUCT(MIN(IF((应收键=$Y45)*(应收未收&gt;0.01),应收日期,999999)))))</f>
        <v/>
      </c>
    </row>
    <row r="46" customFormat="false" ht="15" hidden="false" customHeight="false" outlineLevel="0" collapsed="false">
      <c r="A46" s="29" t="str">
        <f aca="false">IF($Y46="","",ROW()-4)</f>
        <v/>
      </c>
      <c r="B46" s="16" t="str">
        <f aca="false">IF($Y46="","",维保合同!$C46)</f>
        <v/>
      </c>
      <c r="C46" s="16" t="str">
        <f aca="false">IF($Y46="","",维保合同!$D46)</f>
        <v/>
      </c>
      <c r="D46" s="35" t="str">
        <f aca="false">IF($Y46="","",维保合同!$F46)</f>
        <v/>
      </c>
      <c r="E46" s="35" t="str">
        <f aca="false">IF($Y46="","",维保合同!$G46)</f>
        <v/>
      </c>
      <c r="F46" s="47" t="str">
        <f aca="false">IF($Y46="","",维保合同!$I46)</f>
        <v/>
      </c>
      <c r="G46" s="38" t="str">
        <f aca="false">IF($Y46="","",维保合同!$K46)</f>
        <v/>
      </c>
      <c r="H46" s="41" t="str">
        <f aca="false">IF($Y46="","",ROUND(SUMIFS(应收金额,应收键,$Y46,应收年度,"&lt;"&amp;管理年度)-SUMIFS(收款金额,收款键,$Y46,收款年度,"&lt;"&amp;管理年度),2))</f>
        <v/>
      </c>
      <c r="I46" s="40" t="str">
        <f aca="false">IF($Y46="","",ROUND(SUMIFS(应收金额,应收键,$Y46,应收年度,管理年度),2))</f>
        <v/>
      </c>
      <c r="J46" s="40" t="str">
        <f aca="false">IF($Y46="","",ROUND(SUMIFS(应收金额,应收键,$Y46,应收年度,管理年度,应收款别,"合同款"),2))</f>
        <v/>
      </c>
      <c r="K46" s="40" t="str">
        <f aca="false">IF($Y46="","",ROUND($I46-$J46,2))</f>
        <v/>
      </c>
      <c r="L46" s="40" t="str">
        <f aca="false">IF($Y46="","",ROUND(SUMIFS(应收开票额,应收键,$Y46,应收开票年度,管理年度),2))</f>
        <v/>
      </c>
      <c r="M46" s="40" t="str">
        <f aca="false">IF($Y46="","",ROUND($I46-$L46,2))</f>
        <v/>
      </c>
      <c r="N46" s="40" t="str">
        <f aca="false">IF($Y46="","",ROUND(SUMIFS(收款金额,收款键,$Y46,收款年度,管理年度),2))</f>
        <v/>
      </c>
      <c r="O46" s="40" t="str">
        <f aca="false">IF($Y46="","",ROUND(SUMIFS(收款金额,收款键,$Y46,收款年度,管理年度,收款归类,"发票"),2))</f>
        <v/>
      </c>
      <c r="P46" s="40" t="str">
        <f aca="false">IF($Y46="","",ROUND(SUMIFS(收款金额,收款键,$Y46,收款年度,管理年度,收款归类,"收据"),2))</f>
        <v/>
      </c>
      <c r="Q46" s="40" t="str">
        <f aca="false">IF($Y46="","",ROUND(SUMIFS(收款金额,收款键,$Y46,收款年度,管理年度,收款归类,"现金无票"),2))</f>
        <v/>
      </c>
      <c r="R46" s="40" t="str">
        <f aca="false">IF($Y46="","",ROUND(MAX(0,MIN($T46,SUMIF(应收键,$Y46,应收开票额)-SUMIF(收款键,$Y46,收款金额))),2))</f>
        <v/>
      </c>
      <c r="S46" s="40" t="str">
        <f aca="false">IF($Y46="","",ROUND(MAX(0,$T46)-$R46,2))</f>
        <v/>
      </c>
      <c r="T46" s="48" t="str">
        <f aca="false">IF($Y46="","",ROUND(SUMIF(应收键,$Y46,应收金额)-SUMIF(收款键,$Y46,收款金额),2))</f>
        <v/>
      </c>
      <c r="U46" s="49" t="str">
        <f aca="true">IF($AA46="","",IF($T46&lt;=0.01,"",MAX(0,TODAY()-$AA46)))</f>
        <v/>
      </c>
      <c r="V46" s="50" t="str">
        <f aca="true">IF($Y46="","",IF($T46&gt;0.01,IF(AND(ISNUMBER($U46),$U46&gt;=账龄预警天),"▲欠款拖了 "&amp;TEXT($U46,"0")&amp;" 天","欠款未清"),IF($T46&lt;-0.01,"预收/多收","已结清"))&amp;IF(OR($E46="已签未回",$E46="未签",$E46="续签中")," ▲合同未回","")&amp;IF(AND(ISNUMBER($F46),$F46&lt;TODAY())," ▲合同已到期",""))</f>
        <v/>
      </c>
      <c r="W46" s="24"/>
      <c r="X46" s="35" t="str">
        <f aca="false">IF($Y46="","",IF(ROUND($H46+$I46-$N46+$Z46-$T46,2)&lt;&gt;0,"★期初＋本年－已收≠余额",IF(ROUND($R46+$S46-MAX(0,$T46),2)&lt;&gt;0,"★已开票＋未开票≠欠款",IF(ROUND($J46+$K46-$I46,2)&lt;&gt;0,"★合同款＋合同外款≠本年应收",IF(ROUND($O46+$P46+$Q46-$N46,2)&lt;&gt;0,"★发票＋收据＋现金≠本年已收","OK")))))</f>
        <v/>
      </c>
      <c r="Y46" s="35" t="str">
        <f aca="false">IF(维保合同!$C46="","",维保合同!$E46)</f>
        <v/>
      </c>
      <c r="Z46" s="40" t="str">
        <f aca="false">IF($Y46="","",ROUND(SUMIFS(应收金额,应收键,$Y46,应收年度,"&gt;"&amp;管理年度)-SUMIFS(收款金额,收款键,$Y46,收款年度,"&gt;"&amp;管理年度),2))</f>
        <v/>
      </c>
      <c r="AA46" s="47" t="str">
        <f aca="false">IF($Y46="","",IF(SUMPRODUCT(MIN(IF((应收键=$Y46)*(应收未收&gt;0.01),应收日期,999999)))&gt;=999999,"",SUMPRODUCT(MIN(IF((应收键=$Y46)*(应收未收&gt;0.01),应收日期,999999)))))</f>
        <v/>
      </c>
    </row>
    <row r="47" customFormat="false" ht="15" hidden="false" customHeight="false" outlineLevel="0" collapsed="false">
      <c r="A47" s="29" t="str">
        <f aca="false">IF($Y47="","",ROW()-4)</f>
        <v/>
      </c>
      <c r="B47" s="16" t="str">
        <f aca="false">IF($Y47="","",维保合同!$C47)</f>
        <v/>
      </c>
      <c r="C47" s="16" t="str">
        <f aca="false">IF($Y47="","",维保合同!$D47)</f>
        <v/>
      </c>
      <c r="D47" s="35" t="str">
        <f aca="false">IF($Y47="","",维保合同!$F47)</f>
        <v/>
      </c>
      <c r="E47" s="35" t="str">
        <f aca="false">IF($Y47="","",维保合同!$G47)</f>
        <v/>
      </c>
      <c r="F47" s="47" t="str">
        <f aca="false">IF($Y47="","",维保合同!$I47)</f>
        <v/>
      </c>
      <c r="G47" s="38" t="str">
        <f aca="false">IF($Y47="","",维保合同!$K47)</f>
        <v/>
      </c>
      <c r="H47" s="41" t="str">
        <f aca="false">IF($Y47="","",ROUND(SUMIFS(应收金额,应收键,$Y47,应收年度,"&lt;"&amp;管理年度)-SUMIFS(收款金额,收款键,$Y47,收款年度,"&lt;"&amp;管理年度),2))</f>
        <v/>
      </c>
      <c r="I47" s="40" t="str">
        <f aca="false">IF($Y47="","",ROUND(SUMIFS(应收金额,应收键,$Y47,应收年度,管理年度),2))</f>
        <v/>
      </c>
      <c r="J47" s="40" t="str">
        <f aca="false">IF($Y47="","",ROUND(SUMIFS(应收金额,应收键,$Y47,应收年度,管理年度,应收款别,"合同款"),2))</f>
        <v/>
      </c>
      <c r="K47" s="40" t="str">
        <f aca="false">IF($Y47="","",ROUND($I47-$J47,2))</f>
        <v/>
      </c>
      <c r="L47" s="40" t="str">
        <f aca="false">IF($Y47="","",ROUND(SUMIFS(应收开票额,应收键,$Y47,应收开票年度,管理年度),2))</f>
        <v/>
      </c>
      <c r="M47" s="40" t="str">
        <f aca="false">IF($Y47="","",ROUND($I47-$L47,2))</f>
        <v/>
      </c>
      <c r="N47" s="40" t="str">
        <f aca="false">IF($Y47="","",ROUND(SUMIFS(收款金额,收款键,$Y47,收款年度,管理年度),2))</f>
        <v/>
      </c>
      <c r="O47" s="40" t="str">
        <f aca="false">IF($Y47="","",ROUND(SUMIFS(收款金额,收款键,$Y47,收款年度,管理年度,收款归类,"发票"),2))</f>
        <v/>
      </c>
      <c r="P47" s="40" t="str">
        <f aca="false">IF($Y47="","",ROUND(SUMIFS(收款金额,收款键,$Y47,收款年度,管理年度,收款归类,"收据"),2))</f>
        <v/>
      </c>
      <c r="Q47" s="40" t="str">
        <f aca="false">IF($Y47="","",ROUND(SUMIFS(收款金额,收款键,$Y47,收款年度,管理年度,收款归类,"现金无票"),2))</f>
        <v/>
      </c>
      <c r="R47" s="40" t="str">
        <f aca="false">IF($Y47="","",ROUND(MAX(0,MIN($T47,SUMIF(应收键,$Y47,应收开票额)-SUMIF(收款键,$Y47,收款金额))),2))</f>
        <v/>
      </c>
      <c r="S47" s="40" t="str">
        <f aca="false">IF($Y47="","",ROUND(MAX(0,$T47)-$R47,2))</f>
        <v/>
      </c>
      <c r="T47" s="48" t="str">
        <f aca="false">IF($Y47="","",ROUND(SUMIF(应收键,$Y47,应收金额)-SUMIF(收款键,$Y47,收款金额),2))</f>
        <v/>
      </c>
      <c r="U47" s="49" t="str">
        <f aca="true">IF($AA47="","",IF($T47&lt;=0.01,"",MAX(0,TODAY()-$AA47)))</f>
        <v/>
      </c>
      <c r="V47" s="50" t="str">
        <f aca="true">IF($Y47="","",IF($T47&gt;0.01,IF(AND(ISNUMBER($U47),$U47&gt;=账龄预警天),"▲欠款拖了 "&amp;TEXT($U47,"0")&amp;" 天","欠款未清"),IF($T47&lt;-0.01,"预收/多收","已结清"))&amp;IF(OR($E47="已签未回",$E47="未签",$E47="续签中")," ▲合同未回","")&amp;IF(AND(ISNUMBER($F47),$F47&lt;TODAY())," ▲合同已到期",""))</f>
        <v/>
      </c>
      <c r="W47" s="24"/>
      <c r="X47" s="35" t="str">
        <f aca="false">IF($Y47="","",IF(ROUND($H47+$I47-$N47+$Z47-$T47,2)&lt;&gt;0,"★期初＋本年－已收≠余额",IF(ROUND($R47+$S47-MAX(0,$T47),2)&lt;&gt;0,"★已开票＋未开票≠欠款",IF(ROUND($J47+$K47-$I47,2)&lt;&gt;0,"★合同款＋合同外款≠本年应收",IF(ROUND($O47+$P47+$Q47-$N47,2)&lt;&gt;0,"★发票＋收据＋现金≠本年已收","OK")))))</f>
        <v/>
      </c>
      <c r="Y47" s="35" t="str">
        <f aca="false">IF(维保合同!$C47="","",维保合同!$E47)</f>
        <v/>
      </c>
      <c r="Z47" s="40" t="str">
        <f aca="false">IF($Y47="","",ROUND(SUMIFS(应收金额,应收键,$Y47,应收年度,"&gt;"&amp;管理年度)-SUMIFS(收款金额,收款键,$Y47,收款年度,"&gt;"&amp;管理年度),2))</f>
        <v/>
      </c>
      <c r="AA47" s="47" t="str">
        <f aca="false">IF($Y47="","",IF(SUMPRODUCT(MIN(IF((应收键=$Y47)*(应收未收&gt;0.01),应收日期,999999)))&gt;=999999,"",SUMPRODUCT(MIN(IF((应收键=$Y47)*(应收未收&gt;0.01),应收日期,999999)))))</f>
        <v/>
      </c>
    </row>
    <row r="48" customFormat="false" ht="15" hidden="false" customHeight="false" outlineLevel="0" collapsed="false">
      <c r="A48" s="29" t="str">
        <f aca="false">IF($Y48="","",ROW()-4)</f>
        <v/>
      </c>
      <c r="B48" s="16" t="str">
        <f aca="false">IF($Y48="","",维保合同!$C48)</f>
        <v/>
      </c>
      <c r="C48" s="16" t="str">
        <f aca="false">IF($Y48="","",维保合同!$D48)</f>
        <v/>
      </c>
      <c r="D48" s="35" t="str">
        <f aca="false">IF($Y48="","",维保合同!$F48)</f>
        <v/>
      </c>
      <c r="E48" s="35" t="str">
        <f aca="false">IF($Y48="","",维保合同!$G48)</f>
        <v/>
      </c>
      <c r="F48" s="47" t="str">
        <f aca="false">IF($Y48="","",维保合同!$I48)</f>
        <v/>
      </c>
      <c r="G48" s="38" t="str">
        <f aca="false">IF($Y48="","",维保合同!$K48)</f>
        <v/>
      </c>
      <c r="H48" s="41" t="str">
        <f aca="false">IF($Y48="","",ROUND(SUMIFS(应收金额,应收键,$Y48,应收年度,"&lt;"&amp;管理年度)-SUMIFS(收款金额,收款键,$Y48,收款年度,"&lt;"&amp;管理年度),2))</f>
        <v/>
      </c>
      <c r="I48" s="40" t="str">
        <f aca="false">IF($Y48="","",ROUND(SUMIFS(应收金额,应收键,$Y48,应收年度,管理年度),2))</f>
        <v/>
      </c>
      <c r="J48" s="40" t="str">
        <f aca="false">IF($Y48="","",ROUND(SUMIFS(应收金额,应收键,$Y48,应收年度,管理年度,应收款别,"合同款"),2))</f>
        <v/>
      </c>
      <c r="K48" s="40" t="str">
        <f aca="false">IF($Y48="","",ROUND($I48-$J48,2))</f>
        <v/>
      </c>
      <c r="L48" s="40" t="str">
        <f aca="false">IF($Y48="","",ROUND(SUMIFS(应收开票额,应收键,$Y48,应收开票年度,管理年度),2))</f>
        <v/>
      </c>
      <c r="M48" s="40" t="str">
        <f aca="false">IF($Y48="","",ROUND($I48-$L48,2))</f>
        <v/>
      </c>
      <c r="N48" s="40" t="str">
        <f aca="false">IF($Y48="","",ROUND(SUMIFS(收款金额,收款键,$Y48,收款年度,管理年度),2))</f>
        <v/>
      </c>
      <c r="O48" s="40" t="str">
        <f aca="false">IF($Y48="","",ROUND(SUMIFS(收款金额,收款键,$Y48,收款年度,管理年度,收款归类,"发票"),2))</f>
        <v/>
      </c>
      <c r="P48" s="40" t="str">
        <f aca="false">IF($Y48="","",ROUND(SUMIFS(收款金额,收款键,$Y48,收款年度,管理年度,收款归类,"收据"),2))</f>
        <v/>
      </c>
      <c r="Q48" s="40" t="str">
        <f aca="false">IF($Y48="","",ROUND(SUMIFS(收款金额,收款键,$Y48,收款年度,管理年度,收款归类,"现金无票"),2))</f>
        <v/>
      </c>
      <c r="R48" s="40" t="str">
        <f aca="false">IF($Y48="","",ROUND(MAX(0,MIN($T48,SUMIF(应收键,$Y48,应收开票额)-SUMIF(收款键,$Y48,收款金额))),2))</f>
        <v/>
      </c>
      <c r="S48" s="40" t="str">
        <f aca="false">IF($Y48="","",ROUND(MAX(0,$T48)-$R48,2))</f>
        <v/>
      </c>
      <c r="T48" s="48" t="str">
        <f aca="false">IF($Y48="","",ROUND(SUMIF(应收键,$Y48,应收金额)-SUMIF(收款键,$Y48,收款金额),2))</f>
        <v/>
      </c>
      <c r="U48" s="49" t="str">
        <f aca="true">IF($AA48="","",IF($T48&lt;=0.01,"",MAX(0,TODAY()-$AA48)))</f>
        <v/>
      </c>
      <c r="V48" s="50" t="str">
        <f aca="true">IF($Y48="","",IF($T48&gt;0.01,IF(AND(ISNUMBER($U48),$U48&gt;=账龄预警天),"▲欠款拖了 "&amp;TEXT($U48,"0")&amp;" 天","欠款未清"),IF($T48&lt;-0.01,"预收/多收","已结清"))&amp;IF(OR($E48="已签未回",$E48="未签",$E48="续签中")," ▲合同未回","")&amp;IF(AND(ISNUMBER($F48),$F48&lt;TODAY())," ▲合同已到期",""))</f>
        <v/>
      </c>
      <c r="W48" s="24"/>
      <c r="X48" s="35" t="str">
        <f aca="false">IF($Y48="","",IF(ROUND($H48+$I48-$N48+$Z48-$T48,2)&lt;&gt;0,"★期初＋本年－已收≠余额",IF(ROUND($R48+$S48-MAX(0,$T48),2)&lt;&gt;0,"★已开票＋未开票≠欠款",IF(ROUND($J48+$K48-$I48,2)&lt;&gt;0,"★合同款＋合同外款≠本年应收",IF(ROUND($O48+$P48+$Q48-$N48,2)&lt;&gt;0,"★发票＋收据＋现金≠本年已收","OK")))))</f>
        <v/>
      </c>
      <c r="Y48" s="35" t="str">
        <f aca="false">IF(维保合同!$C48="","",维保合同!$E48)</f>
        <v/>
      </c>
      <c r="Z48" s="40" t="str">
        <f aca="false">IF($Y48="","",ROUND(SUMIFS(应收金额,应收键,$Y48,应收年度,"&gt;"&amp;管理年度)-SUMIFS(收款金额,收款键,$Y48,收款年度,"&gt;"&amp;管理年度),2))</f>
        <v/>
      </c>
      <c r="AA48" s="47" t="str">
        <f aca="false">IF($Y48="","",IF(SUMPRODUCT(MIN(IF((应收键=$Y48)*(应收未收&gt;0.01),应收日期,999999)))&gt;=999999,"",SUMPRODUCT(MIN(IF((应收键=$Y48)*(应收未收&gt;0.01),应收日期,999999)))))</f>
        <v/>
      </c>
    </row>
    <row r="49" customFormat="false" ht="15" hidden="false" customHeight="false" outlineLevel="0" collapsed="false">
      <c r="A49" s="29" t="str">
        <f aca="false">IF($Y49="","",ROW()-4)</f>
        <v/>
      </c>
      <c r="B49" s="16" t="str">
        <f aca="false">IF($Y49="","",维保合同!$C49)</f>
        <v/>
      </c>
      <c r="C49" s="16" t="str">
        <f aca="false">IF($Y49="","",维保合同!$D49)</f>
        <v/>
      </c>
      <c r="D49" s="35" t="str">
        <f aca="false">IF($Y49="","",维保合同!$F49)</f>
        <v/>
      </c>
      <c r="E49" s="35" t="str">
        <f aca="false">IF($Y49="","",维保合同!$G49)</f>
        <v/>
      </c>
      <c r="F49" s="47" t="str">
        <f aca="false">IF($Y49="","",维保合同!$I49)</f>
        <v/>
      </c>
      <c r="G49" s="38" t="str">
        <f aca="false">IF($Y49="","",维保合同!$K49)</f>
        <v/>
      </c>
      <c r="H49" s="41" t="str">
        <f aca="false">IF($Y49="","",ROUND(SUMIFS(应收金额,应收键,$Y49,应收年度,"&lt;"&amp;管理年度)-SUMIFS(收款金额,收款键,$Y49,收款年度,"&lt;"&amp;管理年度),2))</f>
        <v/>
      </c>
      <c r="I49" s="40" t="str">
        <f aca="false">IF($Y49="","",ROUND(SUMIFS(应收金额,应收键,$Y49,应收年度,管理年度),2))</f>
        <v/>
      </c>
      <c r="J49" s="40" t="str">
        <f aca="false">IF($Y49="","",ROUND(SUMIFS(应收金额,应收键,$Y49,应收年度,管理年度,应收款别,"合同款"),2))</f>
        <v/>
      </c>
      <c r="K49" s="40" t="str">
        <f aca="false">IF($Y49="","",ROUND($I49-$J49,2))</f>
        <v/>
      </c>
      <c r="L49" s="40" t="str">
        <f aca="false">IF($Y49="","",ROUND(SUMIFS(应收开票额,应收键,$Y49,应收开票年度,管理年度),2))</f>
        <v/>
      </c>
      <c r="M49" s="40" t="str">
        <f aca="false">IF($Y49="","",ROUND($I49-$L49,2))</f>
        <v/>
      </c>
      <c r="N49" s="40" t="str">
        <f aca="false">IF($Y49="","",ROUND(SUMIFS(收款金额,收款键,$Y49,收款年度,管理年度),2))</f>
        <v/>
      </c>
      <c r="O49" s="40" t="str">
        <f aca="false">IF($Y49="","",ROUND(SUMIFS(收款金额,收款键,$Y49,收款年度,管理年度,收款归类,"发票"),2))</f>
        <v/>
      </c>
      <c r="P49" s="40" t="str">
        <f aca="false">IF($Y49="","",ROUND(SUMIFS(收款金额,收款键,$Y49,收款年度,管理年度,收款归类,"收据"),2))</f>
        <v/>
      </c>
      <c r="Q49" s="40" t="str">
        <f aca="false">IF($Y49="","",ROUND(SUMIFS(收款金额,收款键,$Y49,收款年度,管理年度,收款归类,"现金无票"),2))</f>
        <v/>
      </c>
      <c r="R49" s="40" t="str">
        <f aca="false">IF($Y49="","",ROUND(MAX(0,MIN($T49,SUMIF(应收键,$Y49,应收开票额)-SUMIF(收款键,$Y49,收款金额))),2))</f>
        <v/>
      </c>
      <c r="S49" s="40" t="str">
        <f aca="false">IF($Y49="","",ROUND(MAX(0,$T49)-$R49,2))</f>
        <v/>
      </c>
      <c r="T49" s="48" t="str">
        <f aca="false">IF($Y49="","",ROUND(SUMIF(应收键,$Y49,应收金额)-SUMIF(收款键,$Y49,收款金额),2))</f>
        <v/>
      </c>
      <c r="U49" s="49" t="str">
        <f aca="true">IF($AA49="","",IF($T49&lt;=0.01,"",MAX(0,TODAY()-$AA49)))</f>
        <v/>
      </c>
      <c r="V49" s="50" t="str">
        <f aca="true">IF($Y49="","",IF($T49&gt;0.01,IF(AND(ISNUMBER($U49),$U49&gt;=账龄预警天),"▲欠款拖了 "&amp;TEXT($U49,"0")&amp;" 天","欠款未清"),IF($T49&lt;-0.01,"预收/多收","已结清"))&amp;IF(OR($E49="已签未回",$E49="未签",$E49="续签中")," ▲合同未回","")&amp;IF(AND(ISNUMBER($F49),$F49&lt;TODAY())," ▲合同已到期",""))</f>
        <v/>
      </c>
      <c r="W49" s="24"/>
      <c r="X49" s="35" t="str">
        <f aca="false">IF($Y49="","",IF(ROUND($H49+$I49-$N49+$Z49-$T49,2)&lt;&gt;0,"★期初＋本年－已收≠余额",IF(ROUND($R49+$S49-MAX(0,$T49),2)&lt;&gt;0,"★已开票＋未开票≠欠款",IF(ROUND($J49+$K49-$I49,2)&lt;&gt;0,"★合同款＋合同外款≠本年应收",IF(ROUND($O49+$P49+$Q49-$N49,2)&lt;&gt;0,"★发票＋收据＋现金≠本年已收","OK")))))</f>
        <v/>
      </c>
      <c r="Y49" s="35" t="str">
        <f aca="false">IF(维保合同!$C49="","",维保合同!$E49)</f>
        <v/>
      </c>
      <c r="Z49" s="40" t="str">
        <f aca="false">IF($Y49="","",ROUND(SUMIFS(应收金额,应收键,$Y49,应收年度,"&gt;"&amp;管理年度)-SUMIFS(收款金额,收款键,$Y49,收款年度,"&gt;"&amp;管理年度),2))</f>
        <v/>
      </c>
      <c r="AA49" s="47" t="str">
        <f aca="false">IF($Y49="","",IF(SUMPRODUCT(MIN(IF((应收键=$Y49)*(应收未收&gt;0.01),应收日期,999999)))&gt;=999999,"",SUMPRODUCT(MIN(IF((应收键=$Y49)*(应收未收&gt;0.01),应收日期,999999)))))</f>
        <v/>
      </c>
    </row>
    <row r="50" customFormat="false" ht="15" hidden="false" customHeight="false" outlineLevel="0" collapsed="false">
      <c r="A50" s="29" t="str">
        <f aca="false">IF($Y50="","",ROW()-4)</f>
        <v/>
      </c>
      <c r="B50" s="16" t="str">
        <f aca="false">IF($Y50="","",维保合同!$C50)</f>
        <v/>
      </c>
      <c r="C50" s="16" t="str">
        <f aca="false">IF($Y50="","",维保合同!$D50)</f>
        <v/>
      </c>
      <c r="D50" s="35" t="str">
        <f aca="false">IF($Y50="","",维保合同!$F50)</f>
        <v/>
      </c>
      <c r="E50" s="35" t="str">
        <f aca="false">IF($Y50="","",维保合同!$G50)</f>
        <v/>
      </c>
      <c r="F50" s="47" t="str">
        <f aca="false">IF($Y50="","",维保合同!$I50)</f>
        <v/>
      </c>
      <c r="G50" s="38" t="str">
        <f aca="false">IF($Y50="","",维保合同!$K50)</f>
        <v/>
      </c>
      <c r="H50" s="41" t="str">
        <f aca="false">IF($Y50="","",ROUND(SUMIFS(应收金额,应收键,$Y50,应收年度,"&lt;"&amp;管理年度)-SUMIFS(收款金额,收款键,$Y50,收款年度,"&lt;"&amp;管理年度),2))</f>
        <v/>
      </c>
      <c r="I50" s="40" t="str">
        <f aca="false">IF($Y50="","",ROUND(SUMIFS(应收金额,应收键,$Y50,应收年度,管理年度),2))</f>
        <v/>
      </c>
      <c r="J50" s="40" t="str">
        <f aca="false">IF($Y50="","",ROUND(SUMIFS(应收金额,应收键,$Y50,应收年度,管理年度,应收款别,"合同款"),2))</f>
        <v/>
      </c>
      <c r="K50" s="40" t="str">
        <f aca="false">IF($Y50="","",ROUND($I50-$J50,2))</f>
        <v/>
      </c>
      <c r="L50" s="40" t="str">
        <f aca="false">IF($Y50="","",ROUND(SUMIFS(应收开票额,应收键,$Y50,应收开票年度,管理年度),2))</f>
        <v/>
      </c>
      <c r="M50" s="40" t="str">
        <f aca="false">IF($Y50="","",ROUND($I50-$L50,2))</f>
        <v/>
      </c>
      <c r="N50" s="40" t="str">
        <f aca="false">IF($Y50="","",ROUND(SUMIFS(收款金额,收款键,$Y50,收款年度,管理年度),2))</f>
        <v/>
      </c>
      <c r="O50" s="40" t="str">
        <f aca="false">IF($Y50="","",ROUND(SUMIFS(收款金额,收款键,$Y50,收款年度,管理年度,收款归类,"发票"),2))</f>
        <v/>
      </c>
      <c r="P50" s="40" t="str">
        <f aca="false">IF($Y50="","",ROUND(SUMIFS(收款金额,收款键,$Y50,收款年度,管理年度,收款归类,"收据"),2))</f>
        <v/>
      </c>
      <c r="Q50" s="40" t="str">
        <f aca="false">IF($Y50="","",ROUND(SUMIFS(收款金额,收款键,$Y50,收款年度,管理年度,收款归类,"现金无票"),2))</f>
        <v/>
      </c>
      <c r="R50" s="40" t="str">
        <f aca="false">IF($Y50="","",ROUND(MAX(0,MIN($T50,SUMIF(应收键,$Y50,应收开票额)-SUMIF(收款键,$Y50,收款金额))),2))</f>
        <v/>
      </c>
      <c r="S50" s="40" t="str">
        <f aca="false">IF($Y50="","",ROUND(MAX(0,$T50)-$R50,2))</f>
        <v/>
      </c>
      <c r="T50" s="48" t="str">
        <f aca="false">IF($Y50="","",ROUND(SUMIF(应收键,$Y50,应收金额)-SUMIF(收款键,$Y50,收款金额),2))</f>
        <v/>
      </c>
      <c r="U50" s="49" t="str">
        <f aca="true">IF($AA50="","",IF($T50&lt;=0.01,"",MAX(0,TODAY()-$AA50)))</f>
        <v/>
      </c>
      <c r="V50" s="50" t="str">
        <f aca="true">IF($Y50="","",IF($T50&gt;0.01,IF(AND(ISNUMBER($U50),$U50&gt;=账龄预警天),"▲欠款拖了 "&amp;TEXT($U50,"0")&amp;" 天","欠款未清"),IF($T50&lt;-0.01,"预收/多收","已结清"))&amp;IF(OR($E50="已签未回",$E50="未签",$E50="续签中")," ▲合同未回","")&amp;IF(AND(ISNUMBER($F50),$F50&lt;TODAY())," ▲合同已到期",""))</f>
        <v/>
      </c>
      <c r="W50" s="24"/>
      <c r="X50" s="35" t="str">
        <f aca="false">IF($Y50="","",IF(ROUND($H50+$I50-$N50+$Z50-$T50,2)&lt;&gt;0,"★期初＋本年－已收≠余额",IF(ROUND($R50+$S50-MAX(0,$T50),2)&lt;&gt;0,"★已开票＋未开票≠欠款",IF(ROUND($J50+$K50-$I50,2)&lt;&gt;0,"★合同款＋合同外款≠本年应收",IF(ROUND($O50+$P50+$Q50-$N50,2)&lt;&gt;0,"★发票＋收据＋现金≠本年已收","OK")))))</f>
        <v/>
      </c>
      <c r="Y50" s="35" t="str">
        <f aca="false">IF(维保合同!$C50="","",维保合同!$E50)</f>
        <v/>
      </c>
      <c r="Z50" s="40" t="str">
        <f aca="false">IF($Y50="","",ROUND(SUMIFS(应收金额,应收键,$Y50,应收年度,"&gt;"&amp;管理年度)-SUMIFS(收款金额,收款键,$Y50,收款年度,"&gt;"&amp;管理年度),2))</f>
        <v/>
      </c>
      <c r="AA50" s="47" t="str">
        <f aca="false">IF($Y50="","",IF(SUMPRODUCT(MIN(IF((应收键=$Y50)*(应收未收&gt;0.01),应收日期,999999)))&gt;=999999,"",SUMPRODUCT(MIN(IF((应收键=$Y50)*(应收未收&gt;0.01),应收日期,999999)))))</f>
        <v/>
      </c>
    </row>
    <row r="51" customFormat="false" ht="15" hidden="false" customHeight="false" outlineLevel="0" collapsed="false">
      <c r="A51" s="29" t="str">
        <f aca="false">IF($Y51="","",ROW()-4)</f>
        <v/>
      </c>
      <c r="B51" s="16" t="str">
        <f aca="false">IF($Y51="","",维保合同!$C51)</f>
        <v/>
      </c>
      <c r="C51" s="16" t="str">
        <f aca="false">IF($Y51="","",维保合同!$D51)</f>
        <v/>
      </c>
      <c r="D51" s="35" t="str">
        <f aca="false">IF($Y51="","",维保合同!$F51)</f>
        <v/>
      </c>
      <c r="E51" s="35" t="str">
        <f aca="false">IF($Y51="","",维保合同!$G51)</f>
        <v/>
      </c>
      <c r="F51" s="47" t="str">
        <f aca="false">IF($Y51="","",维保合同!$I51)</f>
        <v/>
      </c>
      <c r="G51" s="38" t="str">
        <f aca="false">IF($Y51="","",维保合同!$K51)</f>
        <v/>
      </c>
      <c r="H51" s="41" t="str">
        <f aca="false">IF($Y51="","",ROUND(SUMIFS(应收金额,应收键,$Y51,应收年度,"&lt;"&amp;管理年度)-SUMIFS(收款金额,收款键,$Y51,收款年度,"&lt;"&amp;管理年度),2))</f>
        <v/>
      </c>
      <c r="I51" s="40" t="str">
        <f aca="false">IF($Y51="","",ROUND(SUMIFS(应收金额,应收键,$Y51,应收年度,管理年度),2))</f>
        <v/>
      </c>
      <c r="J51" s="40" t="str">
        <f aca="false">IF($Y51="","",ROUND(SUMIFS(应收金额,应收键,$Y51,应收年度,管理年度,应收款别,"合同款"),2))</f>
        <v/>
      </c>
      <c r="K51" s="40" t="str">
        <f aca="false">IF($Y51="","",ROUND($I51-$J51,2))</f>
        <v/>
      </c>
      <c r="L51" s="40" t="str">
        <f aca="false">IF($Y51="","",ROUND(SUMIFS(应收开票额,应收键,$Y51,应收开票年度,管理年度),2))</f>
        <v/>
      </c>
      <c r="M51" s="40" t="str">
        <f aca="false">IF($Y51="","",ROUND($I51-$L51,2))</f>
        <v/>
      </c>
      <c r="N51" s="40" t="str">
        <f aca="false">IF($Y51="","",ROUND(SUMIFS(收款金额,收款键,$Y51,收款年度,管理年度),2))</f>
        <v/>
      </c>
      <c r="O51" s="40" t="str">
        <f aca="false">IF($Y51="","",ROUND(SUMIFS(收款金额,收款键,$Y51,收款年度,管理年度,收款归类,"发票"),2))</f>
        <v/>
      </c>
      <c r="P51" s="40" t="str">
        <f aca="false">IF($Y51="","",ROUND(SUMIFS(收款金额,收款键,$Y51,收款年度,管理年度,收款归类,"收据"),2))</f>
        <v/>
      </c>
      <c r="Q51" s="40" t="str">
        <f aca="false">IF($Y51="","",ROUND(SUMIFS(收款金额,收款键,$Y51,收款年度,管理年度,收款归类,"现金无票"),2))</f>
        <v/>
      </c>
      <c r="R51" s="40" t="str">
        <f aca="false">IF($Y51="","",ROUND(MAX(0,MIN($T51,SUMIF(应收键,$Y51,应收开票额)-SUMIF(收款键,$Y51,收款金额))),2))</f>
        <v/>
      </c>
      <c r="S51" s="40" t="str">
        <f aca="false">IF($Y51="","",ROUND(MAX(0,$T51)-$R51,2))</f>
        <v/>
      </c>
      <c r="T51" s="48" t="str">
        <f aca="false">IF($Y51="","",ROUND(SUMIF(应收键,$Y51,应收金额)-SUMIF(收款键,$Y51,收款金额),2))</f>
        <v/>
      </c>
      <c r="U51" s="49" t="str">
        <f aca="true">IF($AA51="","",IF($T51&lt;=0.01,"",MAX(0,TODAY()-$AA51)))</f>
        <v/>
      </c>
      <c r="V51" s="50" t="str">
        <f aca="true">IF($Y51="","",IF($T51&gt;0.01,IF(AND(ISNUMBER($U51),$U51&gt;=账龄预警天),"▲欠款拖了 "&amp;TEXT($U51,"0")&amp;" 天","欠款未清"),IF($T51&lt;-0.01,"预收/多收","已结清"))&amp;IF(OR($E51="已签未回",$E51="未签",$E51="续签中")," ▲合同未回","")&amp;IF(AND(ISNUMBER($F51),$F51&lt;TODAY())," ▲合同已到期",""))</f>
        <v/>
      </c>
      <c r="W51" s="24"/>
      <c r="X51" s="35" t="str">
        <f aca="false">IF($Y51="","",IF(ROUND($H51+$I51-$N51+$Z51-$T51,2)&lt;&gt;0,"★期初＋本年－已收≠余额",IF(ROUND($R51+$S51-MAX(0,$T51),2)&lt;&gt;0,"★已开票＋未开票≠欠款",IF(ROUND($J51+$K51-$I51,2)&lt;&gt;0,"★合同款＋合同外款≠本年应收",IF(ROUND($O51+$P51+$Q51-$N51,2)&lt;&gt;0,"★发票＋收据＋现金≠本年已收","OK")))))</f>
        <v/>
      </c>
      <c r="Y51" s="35" t="str">
        <f aca="false">IF(维保合同!$C51="","",维保合同!$E51)</f>
        <v/>
      </c>
      <c r="Z51" s="40" t="str">
        <f aca="false">IF($Y51="","",ROUND(SUMIFS(应收金额,应收键,$Y51,应收年度,"&gt;"&amp;管理年度)-SUMIFS(收款金额,收款键,$Y51,收款年度,"&gt;"&amp;管理年度),2))</f>
        <v/>
      </c>
      <c r="AA51" s="47" t="str">
        <f aca="false">IF($Y51="","",IF(SUMPRODUCT(MIN(IF((应收键=$Y51)*(应收未收&gt;0.01),应收日期,999999)))&gt;=999999,"",SUMPRODUCT(MIN(IF((应收键=$Y51)*(应收未收&gt;0.01),应收日期,999999)))))</f>
        <v/>
      </c>
    </row>
    <row r="52" customFormat="false" ht="15" hidden="false" customHeight="false" outlineLevel="0" collapsed="false">
      <c r="A52" s="29" t="str">
        <f aca="false">IF($Y52="","",ROW()-4)</f>
        <v/>
      </c>
      <c r="B52" s="16" t="str">
        <f aca="false">IF($Y52="","",维保合同!$C52)</f>
        <v/>
      </c>
      <c r="C52" s="16" t="str">
        <f aca="false">IF($Y52="","",维保合同!$D52)</f>
        <v/>
      </c>
      <c r="D52" s="35" t="str">
        <f aca="false">IF($Y52="","",维保合同!$F52)</f>
        <v/>
      </c>
      <c r="E52" s="35" t="str">
        <f aca="false">IF($Y52="","",维保合同!$G52)</f>
        <v/>
      </c>
      <c r="F52" s="47" t="str">
        <f aca="false">IF($Y52="","",维保合同!$I52)</f>
        <v/>
      </c>
      <c r="G52" s="38" t="str">
        <f aca="false">IF($Y52="","",维保合同!$K52)</f>
        <v/>
      </c>
      <c r="H52" s="41" t="str">
        <f aca="false">IF($Y52="","",ROUND(SUMIFS(应收金额,应收键,$Y52,应收年度,"&lt;"&amp;管理年度)-SUMIFS(收款金额,收款键,$Y52,收款年度,"&lt;"&amp;管理年度),2))</f>
        <v/>
      </c>
      <c r="I52" s="40" t="str">
        <f aca="false">IF($Y52="","",ROUND(SUMIFS(应收金额,应收键,$Y52,应收年度,管理年度),2))</f>
        <v/>
      </c>
      <c r="J52" s="40" t="str">
        <f aca="false">IF($Y52="","",ROUND(SUMIFS(应收金额,应收键,$Y52,应收年度,管理年度,应收款别,"合同款"),2))</f>
        <v/>
      </c>
      <c r="K52" s="40" t="str">
        <f aca="false">IF($Y52="","",ROUND($I52-$J52,2))</f>
        <v/>
      </c>
      <c r="L52" s="40" t="str">
        <f aca="false">IF($Y52="","",ROUND(SUMIFS(应收开票额,应收键,$Y52,应收开票年度,管理年度),2))</f>
        <v/>
      </c>
      <c r="M52" s="40" t="str">
        <f aca="false">IF($Y52="","",ROUND($I52-$L52,2))</f>
        <v/>
      </c>
      <c r="N52" s="40" t="str">
        <f aca="false">IF($Y52="","",ROUND(SUMIFS(收款金额,收款键,$Y52,收款年度,管理年度),2))</f>
        <v/>
      </c>
      <c r="O52" s="40" t="str">
        <f aca="false">IF($Y52="","",ROUND(SUMIFS(收款金额,收款键,$Y52,收款年度,管理年度,收款归类,"发票"),2))</f>
        <v/>
      </c>
      <c r="P52" s="40" t="str">
        <f aca="false">IF($Y52="","",ROUND(SUMIFS(收款金额,收款键,$Y52,收款年度,管理年度,收款归类,"收据"),2))</f>
        <v/>
      </c>
      <c r="Q52" s="40" t="str">
        <f aca="false">IF($Y52="","",ROUND(SUMIFS(收款金额,收款键,$Y52,收款年度,管理年度,收款归类,"现金无票"),2))</f>
        <v/>
      </c>
      <c r="R52" s="40" t="str">
        <f aca="false">IF($Y52="","",ROUND(MAX(0,MIN($T52,SUMIF(应收键,$Y52,应收开票额)-SUMIF(收款键,$Y52,收款金额))),2))</f>
        <v/>
      </c>
      <c r="S52" s="40" t="str">
        <f aca="false">IF($Y52="","",ROUND(MAX(0,$T52)-$R52,2))</f>
        <v/>
      </c>
      <c r="T52" s="48" t="str">
        <f aca="false">IF($Y52="","",ROUND(SUMIF(应收键,$Y52,应收金额)-SUMIF(收款键,$Y52,收款金额),2))</f>
        <v/>
      </c>
      <c r="U52" s="49" t="str">
        <f aca="true">IF($AA52="","",IF($T52&lt;=0.01,"",MAX(0,TODAY()-$AA52)))</f>
        <v/>
      </c>
      <c r="V52" s="50" t="str">
        <f aca="true">IF($Y52="","",IF($T52&gt;0.01,IF(AND(ISNUMBER($U52),$U52&gt;=账龄预警天),"▲欠款拖了 "&amp;TEXT($U52,"0")&amp;" 天","欠款未清"),IF($T52&lt;-0.01,"预收/多收","已结清"))&amp;IF(OR($E52="已签未回",$E52="未签",$E52="续签中")," ▲合同未回","")&amp;IF(AND(ISNUMBER($F52),$F52&lt;TODAY())," ▲合同已到期",""))</f>
        <v/>
      </c>
      <c r="W52" s="24"/>
      <c r="X52" s="35" t="str">
        <f aca="false">IF($Y52="","",IF(ROUND($H52+$I52-$N52+$Z52-$T52,2)&lt;&gt;0,"★期初＋本年－已收≠余额",IF(ROUND($R52+$S52-MAX(0,$T52),2)&lt;&gt;0,"★已开票＋未开票≠欠款",IF(ROUND($J52+$K52-$I52,2)&lt;&gt;0,"★合同款＋合同外款≠本年应收",IF(ROUND($O52+$P52+$Q52-$N52,2)&lt;&gt;0,"★发票＋收据＋现金≠本年已收","OK")))))</f>
        <v/>
      </c>
      <c r="Y52" s="35" t="str">
        <f aca="false">IF(维保合同!$C52="","",维保合同!$E52)</f>
        <v/>
      </c>
      <c r="Z52" s="40" t="str">
        <f aca="false">IF($Y52="","",ROUND(SUMIFS(应收金额,应收键,$Y52,应收年度,"&gt;"&amp;管理年度)-SUMIFS(收款金额,收款键,$Y52,收款年度,"&gt;"&amp;管理年度),2))</f>
        <v/>
      </c>
      <c r="AA52" s="47" t="str">
        <f aca="false">IF($Y52="","",IF(SUMPRODUCT(MIN(IF((应收键=$Y52)*(应收未收&gt;0.01),应收日期,999999)))&gt;=999999,"",SUMPRODUCT(MIN(IF((应收键=$Y52)*(应收未收&gt;0.01),应收日期,999999)))))</f>
        <v/>
      </c>
    </row>
    <row r="53" customFormat="false" ht="15" hidden="false" customHeight="false" outlineLevel="0" collapsed="false">
      <c r="A53" s="29" t="str">
        <f aca="false">IF($Y53="","",ROW()-4)</f>
        <v/>
      </c>
      <c r="B53" s="16" t="str">
        <f aca="false">IF($Y53="","",维保合同!$C53)</f>
        <v/>
      </c>
      <c r="C53" s="16" t="str">
        <f aca="false">IF($Y53="","",维保合同!$D53)</f>
        <v/>
      </c>
      <c r="D53" s="35" t="str">
        <f aca="false">IF($Y53="","",维保合同!$F53)</f>
        <v/>
      </c>
      <c r="E53" s="35" t="str">
        <f aca="false">IF($Y53="","",维保合同!$G53)</f>
        <v/>
      </c>
      <c r="F53" s="47" t="str">
        <f aca="false">IF($Y53="","",维保合同!$I53)</f>
        <v/>
      </c>
      <c r="G53" s="38" t="str">
        <f aca="false">IF($Y53="","",维保合同!$K53)</f>
        <v/>
      </c>
      <c r="H53" s="41" t="str">
        <f aca="false">IF($Y53="","",ROUND(SUMIFS(应收金额,应收键,$Y53,应收年度,"&lt;"&amp;管理年度)-SUMIFS(收款金额,收款键,$Y53,收款年度,"&lt;"&amp;管理年度),2))</f>
        <v/>
      </c>
      <c r="I53" s="40" t="str">
        <f aca="false">IF($Y53="","",ROUND(SUMIFS(应收金额,应收键,$Y53,应收年度,管理年度),2))</f>
        <v/>
      </c>
      <c r="J53" s="40" t="str">
        <f aca="false">IF($Y53="","",ROUND(SUMIFS(应收金额,应收键,$Y53,应收年度,管理年度,应收款别,"合同款"),2))</f>
        <v/>
      </c>
      <c r="K53" s="40" t="str">
        <f aca="false">IF($Y53="","",ROUND($I53-$J53,2))</f>
        <v/>
      </c>
      <c r="L53" s="40" t="str">
        <f aca="false">IF($Y53="","",ROUND(SUMIFS(应收开票额,应收键,$Y53,应收开票年度,管理年度),2))</f>
        <v/>
      </c>
      <c r="M53" s="40" t="str">
        <f aca="false">IF($Y53="","",ROUND($I53-$L53,2))</f>
        <v/>
      </c>
      <c r="N53" s="40" t="str">
        <f aca="false">IF($Y53="","",ROUND(SUMIFS(收款金额,收款键,$Y53,收款年度,管理年度),2))</f>
        <v/>
      </c>
      <c r="O53" s="40" t="str">
        <f aca="false">IF($Y53="","",ROUND(SUMIFS(收款金额,收款键,$Y53,收款年度,管理年度,收款归类,"发票"),2))</f>
        <v/>
      </c>
      <c r="P53" s="40" t="str">
        <f aca="false">IF($Y53="","",ROUND(SUMIFS(收款金额,收款键,$Y53,收款年度,管理年度,收款归类,"收据"),2))</f>
        <v/>
      </c>
      <c r="Q53" s="40" t="str">
        <f aca="false">IF($Y53="","",ROUND(SUMIFS(收款金额,收款键,$Y53,收款年度,管理年度,收款归类,"现金无票"),2))</f>
        <v/>
      </c>
      <c r="R53" s="40" t="str">
        <f aca="false">IF($Y53="","",ROUND(MAX(0,MIN($T53,SUMIF(应收键,$Y53,应收开票额)-SUMIF(收款键,$Y53,收款金额))),2))</f>
        <v/>
      </c>
      <c r="S53" s="40" t="str">
        <f aca="false">IF($Y53="","",ROUND(MAX(0,$T53)-$R53,2))</f>
        <v/>
      </c>
      <c r="T53" s="48" t="str">
        <f aca="false">IF($Y53="","",ROUND(SUMIF(应收键,$Y53,应收金额)-SUMIF(收款键,$Y53,收款金额),2))</f>
        <v/>
      </c>
      <c r="U53" s="49" t="str">
        <f aca="true">IF($AA53="","",IF($T53&lt;=0.01,"",MAX(0,TODAY()-$AA53)))</f>
        <v/>
      </c>
      <c r="V53" s="50" t="str">
        <f aca="true">IF($Y53="","",IF($T53&gt;0.01,IF(AND(ISNUMBER($U53),$U53&gt;=账龄预警天),"▲欠款拖了 "&amp;TEXT($U53,"0")&amp;" 天","欠款未清"),IF($T53&lt;-0.01,"预收/多收","已结清"))&amp;IF(OR($E53="已签未回",$E53="未签",$E53="续签中")," ▲合同未回","")&amp;IF(AND(ISNUMBER($F53),$F53&lt;TODAY())," ▲合同已到期",""))</f>
        <v/>
      </c>
      <c r="W53" s="24"/>
      <c r="X53" s="35" t="str">
        <f aca="false">IF($Y53="","",IF(ROUND($H53+$I53-$N53+$Z53-$T53,2)&lt;&gt;0,"★期初＋本年－已收≠余额",IF(ROUND($R53+$S53-MAX(0,$T53),2)&lt;&gt;0,"★已开票＋未开票≠欠款",IF(ROUND($J53+$K53-$I53,2)&lt;&gt;0,"★合同款＋合同外款≠本年应收",IF(ROUND($O53+$P53+$Q53-$N53,2)&lt;&gt;0,"★发票＋收据＋现金≠本年已收","OK")))))</f>
        <v/>
      </c>
      <c r="Y53" s="35" t="str">
        <f aca="false">IF(维保合同!$C53="","",维保合同!$E53)</f>
        <v/>
      </c>
      <c r="Z53" s="40" t="str">
        <f aca="false">IF($Y53="","",ROUND(SUMIFS(应收金额,应收键,$Y53,应收年度,"&gt;"&amp;管理年度)-SUMIFS(收款金额,收款键,$Y53,收款年度,"&gt;"&amp;管理年度),2))</f>
        <v/>
      </c>
      <c r="AA53" s="47" t="str">
        <f aca="false">IF($Y53="","",IF(SUMPRODUCT(MIN(IF((应收键=$Y53)*(应收未收&gt;0.01),应收日期,999999)))&gt;=999999,"",SUMPRODUCT(MIN(IF((应收键=$Y53)*(应收未收&gt;0.01),应收日期,999999)))))</f>
        <v/>
      </c>
    </row>
    <row r="54" customFormat="false" ht="15" hidden="false" customHeight="false" outlineLevel="0" collapsed="false">
      <c r="A54" s="29" t="str">
        <f aca="false">IF($Y54="","",ROW()-4)</f>
        <v/>
      </c>
      <c r="B54" s="16" t="str">
        <f aca="false">IF($Y54="","",维保合同!$C54)</f>
        <v/>
      </c>
      <c r="C54" s="16" t="str">
        <f aca="false">IF($Y54="","",维保合同!$D54)</f>
        <v/>
      </c>
      <c r="D54" s="35" t="str">
        <f aca="false">IF($Y54="","",维保合同!$F54)</f>
        <v/>
      </c>
      <c r="E54" s="35" t="str">
        <f aca="false">IF($Y54="","",维保合同!$G54)</f>
        <v/>
      </c>
      <c r="F54" s="47" t="str">
        <f aca="false">IF($Y54="","",维保合同!$I54)</f>
        <v/>
      </c>
      <c r="G54" s="38" t="str">
        <f aca="false">IF($Y54="","",维保合同!$K54)</f>
        <v/>
      </c>
      <c r="H54" s="41" t="str">
        <f aca="false">IF($Y54="","",ROUND(SUMIFS(应收金额,应收键,$Y54,应收年度,"&lt;"&amp;管理年度)-SUMIFS(收款金额,收款键,$Y54,收款年度,"&lt;"&amp;管理年度),2))</f>
        <v/>
      </c>
      <c r="I54" s="40" t="str">
        <f aca="false">IF($Y54="","",ROUND(SUMIFS(应收金额,应收键,$Y54,应收年度,管理年度),2))</f>
        <v/>
      </c>
      <c r="J54" s="40" t="str">
        <f aca="false">IF($Y54="","",ROUND(SUMIFS(应收金额,应收键,$Y54,应收年度,管理年度,应收款别,"合同款"),2))</f>
        <v/>
      </c>
      <c r="K54" s="40" t="str">
        <f aca="false">IF($Y54="","",ROUND($I54-$J54,2))</f>
        <v/>
      </c>
      <c r="L54" s="40" t="str">
        <f aca="false">IF($Y54="","",ROUND(SUMIFS(应收开票额,应收键,$Y54,应收开票年度,管理年度),2))</f>
        <v/>
      </c>
      <c r="M54" s="40" t="str">
        <f aca="false">IF($Y54="","",ROUND($I54-$L54,2))</f>
        <v/>
      </c>
      <c r="N54" s="40" t="str">
        <f aca="false">IF($Y54="","",ROUND(SUMIFS(收款金额,收款键,$Y54,收款年度,管理年度),2))</f>
        <v/>
      </c>
      <c r="O54" s="40" t="str">
        <f aca="false">IF($Y54="","",ROUND(SUMIFS(收款金额,收款键,$Y54,收款年度,管理年度,收款归类,"发票"),2))</f>
        <v/>
      </c>
      <c r="P54" s="40" t="str">
        <f aca="false">IF($Y54="","",ROUND(SUMIFS(收款金额,收款键,$Y54,收款年度,管理年度,收款归类,"收据"),2))</f>
        <v/>
      </c>
      <c r="Q54" s="40" t="str">
        <f aca="false">IF($Y54="","",ROUND(SUMIFS(收款金额,收款键,$Y54,收款年度,管理年度,收款归类,"现金无票"),2))</f>
        <v/>
      </c>
      <c r="R54" s="40" t="str">
        <f aca="false">IF($Y54="","",ROUND(MAX(0,MIN($T54,SUMIF(应收键,$Y54,应收开票额)-SUMIF(收款键,$Y54,收款金额))),2))</f>
        <v/>
      </c>
      <c r="S54" s="40" t="str">
        <f aca="false">IF($Y54="","",ROUND(MAX(0,$T54)-$R54,2))</f>
        <v/>
      </c>
      <c r="T54" s="48" t="str">
        <f aca="false">IF($Y54="","",ROUND(SUMIF(应收键,$Y54,应收金额)-SUMIF(收款键,$Y54,收款金额),2))</f>
        <v/>
      </c>
      <c r="U54" s="49" t="str">
        <f aca="true">IF($AA54="","",IF($T54&lt;=0.01,"",MAX(0,TODAY()-$AA54)))</f>
        <v/>
      </c>
      <c r="V54" s="50" t="str">
        <f aca="true">IF($Y54="","",IF($T54&gt;0.01,IF(AND(ISNUMBER($U54),$U54&gt;=账龄预警天),"▲欠款拖了 "&amp;TEXT($U54,"0")&amp;" 天","欠款未清"),IF($T54&lt;-0.01,"预收/多收","已结清"))&amp;IF(OR($E54="已签未回",$E54="未签",$E54="续签中")," ▲合同未回","")&amp;IF(AND(ISNUMBER($F54),$F54&lt;TODAY())," ▲合同已到期",""))</f>
        <v/>
      </c>
      <c r="W54" s="24"/>
      <c r="X54" s="35" t="str">
        <f aca="false">IF($Y54="","",IF(ROUND($H54+$I54-$N54+$Z54-$T54,2)&lt;&gt;0,"★期初＋本年－已收≠余额",IF(ROUND($R54+$S54-MAX(0,$T54),2)&lt;&gt;0,"★已开票＋未开票≠欠款",IF(ROUND($J54+$K54-$I54,2)&lt;&gt;0,"★合同款＋合同外款≠本年应收",IF(ROUND($O54+$P54+$Q54-$N54,2)&lt;&gt;0,"★发票＋收据＋现金≠本年已收","OK")))))</f>
        <v/>
      </c>
      <c r="Y54" s="35" t="str">
        <f aca="false">IF(维保合同!$C54="","",维保合同!$E54)</f>
        <v/>
      </c>
      <c r="Z54" s="40" t="str">
        <f aca="false">IF($Y54="","",ROUND(SUMIFS(应收金额,应收键,$Y54,应收年度,"&gt;"&amp;管理年度)-SUMIFS(收款金额,收款键,$Y54,收款年度,"&gt;"&amp;管理年度),2))</f>
        <v/>
      </c>
      <c r="AA54" s="47" t="str">
        <f aca="false">IF($Y54="","",IF(SUMPRODUCT(MIN(IF((应收键=$Y54)*(应收未收&gt;0.01),应收日期,999999)))&gt;=999999,"",SUMPRODUCT(MIN(IF((应收键=$Y54)*(应收未收&gt;0.01),应收日期,999999)))))</f>
        <v/>
      </c>
    </row>
    <row r="55" customFormat="false" ht="15" hidden="false" customHeight="false" outlineLevel="0" collapsed="false">
      <c r="A55" s="29" t="str">
        <f aca="false">IF($Y55="","",ROW()-4)</f>
        <v/>
      </c>
      <c r="B55" s="16" t="str">
        <f aca="false">IF($Y55="","",维保合同!$C55)</f>
        <v/>
      </c>
      <c r="C55" s="16" t="str">
        <f aca="false">IF($Y55="","",维保合同!$D55)</f>
        <v/>
      </c>
      <c r="D55" s="35" t="str">
        <f aca="false">IF($Y55="","",维保合同!$F55)</f>
        <v/>
      </c>
      <c r="E55" s="35" t="str">
        <f aca="false">IF($Y55="","",维保合同!$G55)</f>
        <v/>
      </c>
      <c r="F55" s="47" t="str">
        <f aca="false">IF($Y55="","",维保合同!$I55)</f>
        <v/>
      </c>
      <c r="G55" s="38" t="str">
        <f aca="false">IF($Y55="","",维保合同!$K55)</f>
        <v/>
      </c>
      <c r="H55" s="41" t="str">
        <f aca="false">IF($Y55="","",ROUND(SUMIFS(应收金额,应收键,$Y55,应收年度,"&lt;"&amp;管理年度)-SUMIFS(收款金额,收款键,$Y55,收款年度,"&lt;"&amp;管理年度),2))</f>
        <v/>
      </c>
      <c r="I55" s="40" t="str">
        <f aca="false">IF($Y55="","",ROUND(SUMIFS(应收金额,应收键,$Y55,应收年度,管理年度),2))</f>
        <v/>
      </c>
      <c r="J55" s="40" t="str">
        <f aca="false">IF($Y55="","",ROUND(SUMIFS(应收金额,应收键,$Y55,应收年度,管理年度,应收款别,"合同款"),2))</f>
        <v/>
      </c>
      <c r="K55" s="40" t="str">
        <f aca="false">IF($Y55="","",ROUND($I55-$J55,2))</f>
        <v/>
      </c>
      <c r="L55" s="40" t="str">
        <f aca="false">IF($Y55="","",ROUND(SUMIFS(应收开票额,应收键,$Y55,应收开票年度,管理年度),2))</f>
        <v/>
      </c>
      <c r="M55" s="40" t="str">
        <f aca="false">IF($Y55="","",ROUND($I55-$L55,2))</f>
        <v/>
      </c>
      <c r="N55" s="40" t="str">
        <f aca="false">IF($Y55="","",ROUND(SUMIFS(收款金额,收款键,$Y55,收款年度,管理年度),2))</f>
        <v/>
      </c>
      <c r="O55" s="40" t="str">
        <f aca="false">IF($Y55="","",ROUND(SUMIFS(收款金额,收款键,$Y55,收款年度,管理年度,收款归类,"发票"),2))</f>
        <v/>
      </c>
      <c r="P55" s="40" t="str">
        <f aca="false">IF($Y55="","",ROUND(SUMIFS(收款金额,收款键,$Y55,收款年度,管理年度,收款归类,"收据"),2))</f>
        <v/>
      </c>
      <c r="Q55" s="40" t="str">
        <f aca="false">IF($Y55="","",ROUND(SUMIFS(收款金额,收款键,$Y55,收款年度,管理年度,收款归类,"现金无票"),2))</f>
        <v/>
      </c>
      <c r="R55" s="40" t="str">
        <f aca="false">IF($Y55="","",ROUND(MAX(0,MIN($T55,SUMIF(应收键,$Y55,应收开票额)-SUMIF(收款键,$Y55,收款金额))),2))</f>
        <v/>
      </c>
      <c r="S55" s="40" t="str">
        <f aca="false">IF($Y55="","",ROUND(MAX(0,$T55)-$R55,2))</f>
        <v/>
      </c>
      <c r="T55" s="48" t="str">
        <f aca="false">IF($Y55="","",ROUND(SUMIF(应收键,$Y55,应收金额)-SUMIF(收款键,$Y55,收款金额),2))</f>
        <v/>
      </c>
      <c r="U55" s="49" t="str">
        <f aca="true">IF($AA55="","",IF($T55&lt;=0.01,"",MAX(0,TODAY()-$AA55)))</f>
        <v/>
      </c>
      <c r="V55" s="50" t="str">
        <f aca="true">IF($Y55="","",IF($T55&gt;0.01,IF(AND(ISNUMBER($U55),$U55&gt;=账龄预警天),"▲欠款拖了 "&amp;TEXT($U55,"0")&amp;" 天","欠款未清"),IF($T55&lt;-0.01,"预收/多收","已结清"))&amp;IF(OR($E55="已签未回",$E55="未签",$E55="续签中")," ▲合同未回","")&amp;IF(AND(ISNUMBER($F55),$F55&lt;TODAY())," ▲合同已到期",""))</f>
        <v/>
      </c>
      <c r="W55" s="24"/>
      <c r="X55" s="35" t="str">
        <f aca="false">IF($Y55="","",IF(ROUND($H55+$I55-$N55+$Z55-$T55,2)&lt;&gt;0,"★期初＋本年－已收≠余额",IF(ROUND($R55+$S55-MAX(0,$T55),2)&lt;&gt;0,"★已开票＋未开票≠欠款",IF(ROUND($J55+$K55-$I55,2)&lt;&gt;0,"★合同款＋合同外款≠本年应收",IF(ROUND($O55+$P55+$Q55-$N55,2)&lt;&gt;0,"★发票＋收据＋现金≠本年已收","OK")))))</f>
        <v/>
      </c>
      <c r="Y55" s="35" t="str">
        <f aca="false">IF(维保合同!$C55="","",维保合同!$E55)</f>
        <v/>
      </c>
      <c r="Z55" s="40" t="str">
        <f aca="false">IF($Y55="","",ROUND(SUMIFS(应收金额,应收键,$Y55,应收年度,"&gt;"&amp;管理年度)-SUMIFS(收款金额,收款键,$Y55,收款年度,"&gt;"&amp;管理年度),2))</f>
        <v/>
      </c>
      <c r="AA55" s="47" t="str">
        <f aca="false">IF($Y55="","",IF(SUMPRODUCT(MIN(IF((应收键=$Y55)*(应收未收&gt;0.01),应收日期,999999)))&gt;=999999,"",SUMPRODUCT(MIN(IF((应收键=$Y55)*(应收未收&gt;0.01),应收日期,999999)))))</f>
        <v/>
      </c>
    </row>
    <row r="56" customFormat="false" ht="15" hidden="false" customHeight="false" outlineLevel="0" collapsed="false">
      <c r="A56" s="29" t="str">
        <f aca="false">IF($Y56="","",ROW()-4)</f>
        <v/>
      </c>
      <c r="B56" s="16" t="str">
        <f aca="false">IF($Y56="","",维保合同!$C56)</f>
        <v/>
      </c>
      <c r="C56" s="16" t="str">
        <f aca="false">IF($Y56="","",维保合同!$D56)</f>
        <v/>
      </c>
      <c r="D56" s="35" t="str">
        <f aca="false">IF($Y56="","",维保合同!$F56)</f>
        <v/>
      </c>
      <c r="E56" s="35" t="str">
        <f aca="false">IF($Y56="","",维保合同!$G56)</f>
        <v/>
      </c>
      <c r="F56" s="47" t="str">
        <f aca="false">IF($Y56="","",维保合同!$I56)</f>
        <v/>
      </c>
      <c r="G56" s="38" t="str">
        <f aca="false">IF($Y56="","",维保合同!$K56)</f>
        <v/>
      </c>
      <c r="H56" s="41" t="str">
        <f aca="false">IF($Y56="","",ROUND(SUMIFS(应收金额,应收键,$Y56,应收年度,"&lt;"&amp;管理年度)-SUMIFS(收款金额,收款键,$Y56,收款年度,"&lt;"&amp;管理年度),2))</f>
        <v/>
      </c>
      <c r="I56" s="40" t="str">
        <f aca="false">IF($Y56="","",ROUND(SUMIFS(应收金额,应收键,$Y56,应收年度,管理年度),2))</f>
        <v/>
      </c>
      <c r="J56" s="40" t="str">
        <f aca="false">IF($Y56="","",ROUND(SUMIFS(应收金额,应收键,$Y56,应收年度,管理年度,应收款别,"合同款"),2))</f>
        <v/>
      </c>
      <c r="K56" s="40" t="str">
        <f aca="false">IF($Y56="","",ROUND($I56-$J56,2))</f>
        <v/>
      </c>
      <c r="L56" s="40" t="str">
        <f aca="false">IF($Y56="","",ROUND(SUMIFS(应收开票额,应收键,$Y56,应收开票年度,管理年度),2))</f>
        <v/>
      </c>
      <c r="M56" s="40" t="str">
        <f aca="false">IF($Y56="","",ROUND($I56-$L56,2))</f>
        <v/>
      </c>
      <c r="N56" s="40" t="str">
        <f aca="false">IF($Y56="","",ROUND(SUMIFS(收款金额,收款键,$Y56,收款年度,管理年度),2))</f>
        <v/>
      </c>
      <c r="O56" s="40" t="str">
        <f aca="false">IF($Y56="","",ROUND(SUMIFS(收款金额,收款键,$Y56,收款年度,管理年度,收款归类,"发票"),2))</f>
        <v/>
      </c>
      <c r="P56" s="40" t="str">
        <f aca="false">IF($Y56="","",ROUND(SUMIFS(收款金额,收款键,$Y56,收款年度,管理年度,收款归类,"收据"),2))</f>
        <v/>
      </c>
      <c r="Q56" s="40" t="str">
        <f aca="false">IF($Y56="","",ROUND(SUMIFS(收款金额,收款键,$Y56,收款年度,管理年度,收款归类,"现金无票"),2))</f>
        <v/>
      </c>
      <c r="R56" s="40" t="str">
        <f aca="false">IF($Y56="","",ROUND(MAX(0,MIN($T56,SUMIF(应收键,$Y56,应收开票额)-SUMIF(收款键,$Y56,收款金额))),2))</f>
        <v/>
      </c>
      <c r="S56" s="40" t="str">
        <f aca="false">IF($Y56="","",ROUND(MAX(0,$T56)-$R56,2))</f>
        <v/>
      </c>
      <c r="T56" s="48" t="str">
        <f aca="false">IF($Y56="","",ROUND(SUMIF(应收键,$Y56,应收金额)-SUMIF(收款键,$Y56,收款金额),2))</f>
        <v/>
      </c>
      <c r="U56" s="49" t="str">
        <f aca="true">IF($AA56="","",IF($T56&lt;=0.01,"",MAX(0,TODAY()-$AA56)))</f>
        <v/>
      </c>
      <c r="V56" s="50" t="str">
        <f aca="true">IF($Y56="","",IF($T56&gt;0.01,IF(AND(ISNUMBER($U56),$U56&gt;=账龄预警天),"▲欠款拖了 "&amp;TEXT($U56,"0")&amp;" 天","欠款未清"),IF($T56&lt;-0.01,"预收/多收","已结清"))&amp;IF(OR($E56="已签未回",$E56="未签",$E56="续签中")," ▲合同未回","")&amp;IF(AND(ISNUMBER($F56),$F56&lt;TODAY())," ▲合同已到期",""))</f>
        <v/>
      </c>
      <c r="W56" s="24"/>
      <c r="X56" s="35" t="str">
        <f aca="false">IF($Y56="","",IF(ROUND($H56+$I56-$N56+$Z56-$T56,2)&lt;&gt;0,"★期初＋本年－已收≠余额",IF(ROUND($R56+$S56-MAX(0,$T56),2)&lt;&gt;0,"★已开票＋未开票≠欠款",IF(ROUND($J56+$K56-$I56,2)&lt;&gt;0,"★合同款＋合同外款≠本年应收",IF(ROUND($O56+$P56+$Q56-$N56,2)&lt;&gt;0,"★发票＋收据＋现金≠本年已收","OK")))))</f>
        <v/>
      </c>
      <c r="Y56" s="35" t="str">
        <f aca="false">IF(维保合同!$C56="","",维保合同!$E56)</f>
        <v/>
      </c>
      <c r="Z56" s="40" t="str">
        <f aca="false">IF($Y56="","",ROUND(SUMIFS(应收金额,应收键,$Y56,应收年度,"&gt;"&amp;管理年度)-SUMIFS(收款金额,收款键,$Y56,收款年度,"&gt;"&amp;管理年度),2))</f>
        <v/>
      </c>
      <c r="AA56" s="47" t="str">
        <f aca="false">IF($Y56="","",IF(SUMPRODUCT(MIN(IF((应收键=$Y56)*(应收未收&gt;0.01),应收日期,999999)))&gt;=999999,"",SUMPRODUCT(MIN(IF((应收键=$Y56)*(应收未收&gt;0.01),应收日期,999999)))))</f>
        <v/>
      </c>
    </row>
    <row r="57" customFormat="false" ht="15" hidden="false" customHeight="false" outlineLevel="0" collapsed="false">
      <c r="A57" s="29" t="str">
        <f aca="false">IF($Y57="","",ROW()-4)</f>
        <v/>
      </c>
      <c r="B57" s="16" t="str">
        <f aca="false">IF($Y57="","",维保合同!$C57)</f>
        <v/>
      </c>
      <c r="C57" s="16" t="str">
        <f aca="false">IF($Y57="","",维保合同!$D57)</f>
        <v/>
      </c>
      <c r="D57" s="35" t="str">
        <f aca="false">IF($Y57="","",维保合同!$F57)</f>
        <v/>
      </c>
      <c r="E57" s="35" t="str">
        <f aca="false">IF($Y57="","",维保合同!$G57)</f>
        <v/>
      </c>
      <c r="F57" s="47" t="str">
        <f aca="false">IF($Y57="","",维保合同!$I57)</f>
        <v/>
      </c>
      <c r="G57" s="38" t="str">
        <f aca="false">IF($Y57="","",维保合同!$K57)</f>
        <v/>
      </c>
      <c r="H57" s="41" t="str">
        <f aca="false">IF($Y57="","",ROUND(SUMIFS(应收金额,应收键,$Y57,应收年度,"&lt;"&amp;管理年度)-SUMIFS(收款金额,收款键,$Y57,收款年度,"&lt;"&amp;管理年度),2))</f>
        <v/>
      </c>
      <c r="I57" s="40" t="str">
        <f aca="false">IF($Y57="","",ROUND(SUMIFS(应收金额,应收键,$Y57,应收年度,管理年度),2))</f>
        <v/>
      </c>
      <c r="J57" s="40" t="str">
        <f aca="false">IF($Y57="","",ROUND(SUMIFS(应收金额,应收键,$Y57,应收年度,管理年度,应收款别,"合同款"),2))</f>
        <v/>
      </c>
      <c r="K57" s="40" t="str">
        <f aca="false">IF($Y57="","",ROUND($I57-$J57,2))</f>
        <v/>
      </c>
      <c r="L57" s="40" t="str">
        <f aca="false">IF($Y57="","",ROUND(SUMIFS(应收开票额,应收键,$Y57,应收开票年度,管理年度),2))</f>
        <v/>
      </c>
      <c r="M57" s="40" t="str">
        <f aca="false">IF($Y57="","",ROUND($I57-$L57,2))</f>
        <v/>
      </c>
      <c r="N57" s="40" t="str">
        <f aca="false">IF($Y57="","",ROUND(SUMIFS(收款金额,收款键,$Y57,收款年度,管理年度),2))</f>
        <v/>
      </c>
      <c r="O57" s="40" t="str">
        <f aca="false">IF($Y57="","",ROUND(SUMIFS(收款金额,收款键,$Y57,收款年度,管理年度,收款归类,"发票"),2))</f>
        <v/>
      </c>
      <c r="P57" s="40" t="str">
        <f aca="false">IF($Y57="","",ROUND(SUMIFS(收款金额,收款键,$Y57,收款年度,管理年度,收款归类,"收据"),2))</f>
        <v/>
      </c>
      <c r="Q57" s="40" t="str">
        <f aca="false">IF($Y57="","",ROUND(SUMIFS(收款金额,收款键,$Y57,收款年度,管理年度,收款归类,"现金无票"),2))</f>
        <v/>
      </c>
      <c r="R57" s="40" t="str">
        <f aca="false">IF($Y57="","",ROUND(MAX(0,MIN($T57,SUMIF(应收键,$Y57,应收开票额)-SUMIF(收款键,$Y57,收款金额))),2))</f>
        <v/>
      </c>
      <c r="S57" s="40" t="str">
        <f aca="false">IF($Y57="","",ROUND(MAX(0,$T57)-$R57,2))</f>
        <v/>
      </c>
      <c r="T57" s="48" t="str">
        <f aca="false">IF($Y57="","",ROUND(SUMIF(应收键,$Y57,应收金额)-SUMIF(收款键,$Y57,收款金额),2))</f>
        <v/>
      </c>
      <c r="U57" s="49" t="str">
        <f aca="true">IF($AA57="","",IF($T57&lt;=0.01,"",MAX(0,TODAY()-$AA57)))</f>
        <v/>
      </c>
      <c r="V57" s="50" t="str">
        <f aca="true">IF($Y57="","",IF($T57&gt;0.01,IF(AND(ISNUMBER($U57),$U57&gt;=账龄预警天),"▲欠款拖了 "&amp;TEXT($U57,"0")&amp;" 天","欠款未清"),IF($T57&lt;-0.01,"预收/多收","已结清"))&amp;IF(OR($E57="已签未回",$E57="未签",$E57="续签中")," ▲合同未回","")&amp;IF(AND(ISNUMBER($F57),$F57&lt;TODAY())," ▲合同已到期",""))</f>
        <v/>
      </c>
      <c r="W57" s="24"/>
      <c r="X57" s="35" t="str">
        <f aca="false">IF($Y57="","",IF(ROUND($H57+$I57-$N57+$Z57-$T57,2)&lt;&gt;0,"★期初＋本年－已收≠余额",IF(ROUND($R57+$S57-MAX(0,$T57),2)&lt;&gt;0,"★已开票＋未开票≠欠款",IF(ROUND($J57+$K57-$I57,2)&lt;&gt;0,"★合同款＋合同外款≠本年应收",IF(ROUND($O57+$P57+$Q57-$N57,2)&lt;&gt;0,"★发票＋收据＋现金≠本年已收","OK")))))</f>
        <v/>
      </c>
      <c r="Y57" s="35" t="str">
        <f aca="false">IF(维保合同!$C57="","",维保合同!$E57)</f>
        <v/>
      </c>
      <c r="Z57" s="40" t="str">
        <f aca="false">IF($Y57="","",ROUND(SUMIFS(应收金额,应收键,$Y57,应收年度,"&gt;"&amp;管理年度)-SUMIFS(收款金额,收款键,$Y57,收款年度,"&gt;"&amp;管理年度),2))</f>
        <v/>
      </c>
      <c r="AA57" s="47" t="str">
        <f aca="false">IF($Y57="","",IF(SUMPRODUCT(MIN(IF((应收键=$Y57)*(应收未收&gt;0.01),应收日期,999999)))&gt;=999999,"",SUMPRODUCT(MIN(IF((应收键=$Y57)*(应收未收&gt;0.01),应收日期,999999)))))</f>
        <v/>
      </c>
    </row>
    <row r="58" customFormat="false" ht="15" hidden="false" customHeight="false" outlineLevel="0" collapsed="false">
      <c r="A58" s="29" t="str">
        <f aca="false">IF($Y58="","",ROW()-4)</f>
        <v/>
      </c>
      <c r="B58" s="16" t="str">
        <f aca="false">IF($Y58="","",维保合同!$C58)</f>
        <v/>
      </c>
      <c r="C58" s="16" t="str">
        <f aca="false">IF($Y58="","",维保合同!$D58)</f>
        <v/>
      </c>
      <c r="D58" s="35" t="str">
        <f aca="false">IF($Y58="","",维保合同!$F58)</f>
        <v/>
      </c>
      <c r="E58" s="35" t="str">
        <f aca="false">IF($Y58="","",维保合同!$G58)</f>
        <v/>
      </c>
      <c r="F58" s="47" t="str">
        <f aca="false">IF($Y58="","",维保合同!$I58)</f>
        <v/>
      </c>
      <c r="G58" s="38" t="str">
        <f aca="false">IF($Y58="","",维保合同!$K58)</f>
        <v/>
      </c>
      <c r="H58" s="41" t="str">
        <f aca="false">IF($Y58="","",ROUND(SUMIFS(应收金额,应收键,$Y58,应收年度,"&lt;"&amp;管理年度)-SUMIFS(收款金额,收款键,$Y58,收款年度,"&lt;"&amp;管理年度),2))</f>
        <v/>
      </c>
      <c r="I58" s="40" t="str">
        <f aca="false">IF($Y58="","",ROUND(SUMIFS(应收金额,应收键,$Y58,应收年度,管理年度),2))</f>
        <v/>
      </c>
      <c r="J58" s="40" t="str">
        <f aca="false">IF($Y58="","",ROUND(SUMIFS(应收金额,应收键,$Y58,应收年度,管理年度,应收款别,"合同款"),2))</f>
        <v/>
      </c>
      <c r="K58" s="40" t="str">
        <f aca="false">IF($Y58="","",ROUND($I58-$J58,2))</f>
        <v/>
      </c>
      <c r="L58" s="40" t="str">
        <f aca="false">IF($Y58="","",ROUND(SUMIFS(应收开票额,应收键,$Y58,应收开票年度,管理年度),2))</f>
        <v/>
      </c>
      <c r="M58" s="40" t="str">
        <f aca="false">IF($Y58="","",ROUND($I58-$L58,2))</f>
        <v/>
      </c>
      <c r="N58" s="40" t="str">
        <f aca="false">IF($Y58="","",ROUND(SUMIFS(收款金额,收款键,$Y58,收款年度,管理年度),2))</f>
        <v/>
      </c>
      <c r="O58" s="40" t="str">
        <f aca="false">IF($Y58="","",ROUND(SUMIFS(收款金额,收款键,$Y58,收款年度,管理年度,收款归类,"发票"),2))</f>
        <v/>
      </c>
      <c r="P58" s="40" t="str">
        <f aca="false">IF($Y58="","",ROUND(SUMIFS(收款金额,收款键,$Y58,收款年度,管理年度,收款归类,"收据"),2))</f>
        <v/>
      </c>
      <c r="Q58" s="40" t="str">
        <f aca="false">IF($Y58="","",ROUND(SUMIFS(收款金额,收款键,$Y58,收款年度,管理年度,收款归类,"现金无票"),2))</f>
        <v/>
      </c>
      <c r="R58" s="40" t="str">
        <f aca="false">IF($Y58="","",ROUND(MAX(0,MIN($T58,SUMIF(应收键,$Y58,应收开票额)-SUMIF(收款键,$Y58,收款金额))),2))</f>
        <v/>
      </c>
      <c r="S58" s="40" t="str">
        <f aca="false">IF($Y58="","",ROUND(MAX(0,$T58)-$R58,2))</f>
        <v/>
      </c>
      <c r="T58" s="48" t="str">
        <f aca="false">IF($Y58="","",ROUND(SUMIF(应收键,$Y58,应收金额)-SUMIF(收款键,$Y58,收款金额),2))</f>
        <v/>
      </c>
      <c r="U58" s="49" t="str">
        <f aca="true">IF($AA58="","",IF($T58&lt;=0.01,"",MAX(0,TODAY()-$AA58)))</f>
        <v/>
      </c>
      <c r="V58" s="50" t="str">
        <f aca="true">IF($Y58="","",IF($T58&gt;0.01,IF(AND(ISNUMBER($U58),$U58&gt;=账龄预警天),"▲欠款拖了 "&amp;TEXT($U58,"0")&amp;" 天","欠款未清"),IF($T58&lt;-0.01,"预收/多收","已结清"))&amp;IF(OR($E58="已签未回",$E58="未签",$E58="续签中")," ▲合同未回","")&amp;IF(AND(ISNUMBER($F58),$F58&lt;TODAY())," ▲合同已到期",""))</f>
        <v/>
      </c>
      <c r="W58" s="24"/>
      <c r="X58" s="35" t="str">
        <f aca="false">IF($Y58="","",IF(ROUND($H58+$I58-$N58+$Z58-$T58,2)&lt;&gt;0,"★期初＋本年－已收≠余额",IF(ROUND($R58+$S58-MAX(0,$T58),2)&lt;&gt;0,"★已开票＋未开票≠欠款",IF(ROUND($J58+$K58-$I58,2)&lt;&gt;0,"★合同款＋合同外款≠本年应收",IF(ROUND($O58+$P58+$Q58-$N58,2)&lt;&gt;0,"★发票＋收据＋现金≠本年已收","OK")))))</f>
        <v/>
      </c>
      <c r="Y58" s="35" t="str">
        <f aca="false">IF(维保合同!$C58="","",维保合同!$E58)</f>
        <v/>
      </c>
      <c r="Z58" s="40" t="str">
        <f aca="false">IF($Y58="","",ROUND(SUMIFS(应收金额,应收键,$Y58,应收年度,"&gt;"&amp;管理年度)-SUMIFS(收款金额,收款键,$Y58,收款年度,"&gt;"&amp;管理年度),2))</f>
        <v/>
      </c>
      <c r="AA58" s="47" t="str">
        <f aca="false">IF($Y58="","",IF(SUMPRODUCT(MIN(IF((应收键=$Y58)*(应收未收&gt;0.01),应收日期,999999)))&gt;=999999,"",SUMPRODUCT(MIN(IF((应收键=$Y58)*(应收未收&gt;0.01),应收日期,999999)))))</f>
        <v/>
      </c>
    </row>
    <row r="59" customFormat="false" ht="15" hidden="false" customHeight="false" outlineLevel="0" collapsed="false">
      <c r="A59" s="29" t="str">
        <f aca="false">IF($Y59="","",ROW()-4)</f>
        <v/>
      </c>
      <c r="B59" s="16" t="str">
        <f aca="false">IF($Y59="","",维保合同!$C59)</f>
        <v/>
      </c>
      <c r="C59" s="16" t="str">
        <f aca="false">IF($Y59="","",维保合同!$D59)</f>
        <v/>
      </c>
      <c r="D59" s="35" t="str">
        <f aca="false">IF($Y59="","",维保合同!$F59)</f>
        <v/>
      </c>
      <c r="E59" s="35" t="str">
        <f aca="false">IF($Y59="","",维保合同!$G59)</f>
        <v/>
      </c>
      <c r="F59" s="47" t="str">
        <f aca="false">IF($Y59="","",维保合同!$I59)</f>
        <v/>
      </c>
      <c r="G59" s="38" t="str">
        <f aca="false">IF($Y59="","",维保合同!$K59)</f>
        <v/>
      </c>
      <c r="H59" s="41" t="str">
        <f aca="false">IF($Y59="","",ROUND(SUMIFS(应收金额,应收键,$Y59,应收年度,"&lt;"&amp;管理年度)-SUMIFS(收款金额,收款键,$Y59,收款年度,"&lt;"&amp;管理年度),2))</f>
        <v/>
      </c>
      <c r="I59" s="40" t="str">
        <f aca="false">IF($Y59="","",ROUND(SUMIFS(应收金额,应收键,$Y59,应收年度,管理年度),2))</f>
        <v/>
      </c>
      <c r="J59" s="40" t="str">
        <f aca="false">IF($Y59="","",ROUND(SUMIFS(应收金额,应收键,$Y59,应收年度,管理年度,应收款别,"合同款"),2))</f>
        <v/>
      </c>
      <c r="K59" s="40" t="str">
        <f aca="false">IF($Y59="","",ROUND($I59-$J59,2))</f>
        <v/>
      </c>
      <c r="L59" s="40" t="str">
        <f aca="false">IF($Y59="","",ROUND(SUMIFS(应收开票额,应收键,$Y59,应收开票年度,管理年度),2))</f>
        <v/>
      </c>
      <c r="M59" s="40" t="str">
        <f aca="false">IF($Y59="","",ROUND($I59-$L59,2))</f>
        <v/>
      </c>
      <c r="N59" s="40" t="str">
        <f aca="false">IF($Y59="","",ROUND(SUMIFS(收款金额,收款键,$Y59,收款年度,管理年度),2))</f>
        <v/>
      </c>
      <c r="O59" s="40" t="str">
        <f aca="false">IF($Y59="","",ROUND(SUMIFS(收款金额,收款键,$Y59,收款年度,管理年度,收款归类,"发票"),2))</f>
        <v/>
      </c>
      <c r="P59" s="40" t="str">
        <f aca="false">IF($Y59="","",ROUND(SUMIFS(收款金额,收款键,$Y59,收款年度,管理年度,收款归类,"收据"),2))</f>
        <v/>
      </c>
      <c r="Q59" s="40" t="str">
        <f aca="false">IF($Y59="","",ROUND(SUMIFS(收款金额,收款键,$Y59,收款年度,管理年度,收款归类,"现金无票"),2))</f>
        <v/>
      </c>
      <c r="R59" s="40" t="str">
        <f aca="false">IF($Y59="","",ROUND(MAX(0,MIN($T59,SUMIF(应收键,$Y59,应收开票额)-SUMIF(收款键,$Y59,收款金额))),2))</f>
        <v/>
      </c>
      <c r="S59" s="40" t="str">
        <f aca="false">IF($Y59="","",ROUND(MAX(0,$T59)-$R59,2))</f>
        <v/>
      </c>
      <c r="T59" s="48" t="str">
        <f aca="false">IF($Y59="","",ROUND(SUMIF(应收键,$Y59,应收金额)-SUMIF(收款键,$Y59,收款金额),2))</f>
        <v/>
      </c>
      <c r="U59" s="49" t="str">
        <f aca="true">IF($AA59="","",IF($T59&lt;=0.01,"",MAX(0,TODAY()-$AA59)))</f>
        <v/>
      </c>
      <c r="V59" s="50" t="str">
        <f aca="true">IF($Y59="","",IF($T59&gt;0.01,IF(AND(ISNUMBER($U59),$U59&gt;=账龄预警天),"▲欠款拖了 "&amp;TEXT($U59,"0")&amp;" 天","欠款未清"),IF($T59&lt;-0.01,"预收/多收","已结清"))&amp;IF(OR($E59="已签未回",$E59="未签",$E59="续签中")," ▲合同未回","")&amp;IF(AND(ISNUMBER($F59),$F59&lt;TODAY())," ▲合同已到期",""))</f>
        <v/>
      </c>
      <c r="W59" s="24"/>
      <c r="X59" s="35" t="str">
        <f aca="false">IF($Y59="","",IF(ROUND($H59+$I59-$N59+$Z59-$T59,2)&lt;&gt;0,"★期初＋本年－已收≠余额",IF(ROUND($R59+$S59-MAX(0,$T59),2)&lt;&gt;0,"★已开票＋未开票≠欠款",IF(ROUND($J59+$K59-$I59,2)&lt;&gt;0,"★合同款＋合同外款≠本年应收",IF(ROUND($O59+$P59+$Q59-$N59,2)&lt;&gt;0,"★发票＋收据＋现金≠本年已收","OK")))))</f>
        <v/>
      </c>
      <c r="Y59" s="35" t="str">
        <f aca="false">IF(维保合同!$C59="","",维保合同!$E59)</f>
        <v/>
      </c>
      <c r="Z59" s="40" t="str">
        <f aca="false">IF($Y59="","",ROUND(SUMIFS(应收金额,应收键,$Y59,应收年度,"&gt;"&amp;管理年度)-SUMIFS(收款金额,收款键,$Y59,收款年度,"&gt;"&amp;管理年度),2))</f>
        <v/>
      </c>
      <c r="AA59" s="47" t="str">
        <f aca="false">IF($Y59="","",IF(SUMPRODUCT(MIN(IF((应收键=$Y59)*(应收未收&gt;0.01),应收日期,999999)))&gt;=999999,"",SUMPRODUCT(MIN(IF((应收键=$Y59)*(应收未收&gt;0.01),应收日期,999999)))))</f>
        <v/>
      </c>
    </row>
    <row r="60" customFormat="false" ht="15" hidden="false" customHeight="false" outlineLevel="0" collapsed="false">
      <c r="A60" s="29" t="str">
        <f aca="false">IF($Y60="","",ROW()-4)</f>
        <v/>
      </c>
      <c r="B60" s="16" t="str">
        <f aca="false">IF($Y60="","",维保合同!$C60)</f>
        <v/>
      </c>
      <c r="C60" s="16" t="str">
        <f aca="false">IF($Y60="","",维保合同!$D60)</f>
        <v/>
      </c>
      <c r="D60" s="35" t="str">
        <f aca="false">IF($Y60="","",维保合同!$F60)</f>
        <v/>
      </c>
      <c r="E60" s="35" t="str">
        <f aca="false">IF($Y60="","",维保合同!$G60)</f>
        <v/>
      </c>
      <c r="F60" s="47" t="str">
        <f aca="false">IF($Y60="","",维保合同!$I60)</f>
        <v/>
      </c>
      <c r="G60" s="38" t="str">
        <f aca="false">IF($Y60="","",维保合同!$K60)</f>
        <v/>
      </c>
      <c r="H60" s="41" t="str">
        <f aca="false">IF($Y60="","",ROUND(SUMIFS(应收金额,应收键,$Y60,应收年度,"&lt;"&amp;管理年度)-SUMIFS(收款金额,收款键,$Y60,收款年度,"&lt;"&amp;管理年度),2))</f>
        <v/>
      </c>
      <c r="I60" s="40" t="str">
        <f aca="false">IF($Y60="","",ROUND(SUMIFS(应收金额,应收键,$Y60,应收年度,管理年度),2))</f>
        <v/>
      </c>
      <c r="J60" s="40" t="str">
        <f aca="false">IF($Y60="","",ROUND(SUMIFS(应收金额,应收键,$Y60,应收年度,管理年度,应收款别,"合同款"),2))</f>
        <v/>
      </c>
      <c r="K60" s="40" t="str">
        <f aca="false">IF($Y60="","",ROUND($I60-$J60,2))</f>
        <v/>
      </c>
      <c r="L60" s="40" t="str">
        <f aca="false">IF($Y60="","",ROUND(SUMIFS(应收开票额,应收键,$Y60,应收开票年度,管理年度),2))</f>
        <v/>
      </c>
      <c r="M60" s="40" t="str">
        <f aca="false">IF($Y60="","",ROUND($I60-$L60,2))</f>
        <v/>
      </c>
      <c r="N60" s="40" t="str">
        <f aca="false">IF($Y60="","",ROUND(SUMIFS(收款金额,收款键,$Y60,收款年度,管理年度),2))</f>
        <v/>
      </c>
      <c r="O60" s="40" t="str">
        <f aca="false">IF($Y60="","",ROUND(SUMIFS(收款金额,收款键,$Y60,收款年度,管理年度,收款归类,"发票"),2))</f>
        <v/>
      </c>
      <c r="P60" s="40" t="str">
        <f aca="false">IF($Y60="","",ROUND(SUMIFS(收款金额,收款键,$Y60,收款年度,管理年度,收款归类,"收据"),2))</f>
        <v/>
      </c>
      <c r="Q60" s="40" t="str">
        <f aca="false">IF($Y60="","",ROUND(SUMIFS(收款金额,收款键,$Y60,收款年度,管理年度,收款归类,"现金无票"),2))</f>
        <v/>
      </c>
      <c r="R60" s="40" t="str">
        <f aca="false">IF($Y60="","",ROUND(MAX(0,MIN($T60,SUMIF(应收键,$Y60,应收开票额)-SUMIF(收款键,$Y60,收款金额))),2))</f>
        <v/>
      </c>
      <c r="S60" s="40" t="str">
        <f aca="false">IF($Y60="","",ROUND(MAX(0,$T60)-$R60,2))</f>
        <v/>
      </c>
      <c r="T60" s="48" t="str">
        <f aca="false">IF($Y60="","",ROUND(SUMIF(应收键,$Y60,应收金额)-SUMIF(收款键,$Y60,收款金额),2))</f>
        <v/>
      </c>
      <c r="U60" s="49" t="str">
        <f aca="true">IF($AA60="","",IF($T60&lt;=0.01,"",MAX(0,TODAY()-$AA60)))</f>
        <v/>
      </c>
      <c r="V60" s="50" t="str">
        <f aca="true">IF($Y60="","",IF($T60&gt;0.01,IF(AND(ISNUMBER($U60),$U60&gt;=账龄预警天),"▲欠款拖了 "&amp;TEXT($U60,"0")&amp;" 天","欠款未清"),IF($T60&lt;-0.01,"预收/多收","已结清"))&amp;IF(OR($E60="已签未回",$E60="未签",$E60="续签中")," ▲合同未回","")&amp;IF(AND(ISNUMBER($F60),$F60&lt;TODAY())," ▲合同已到期",""))</f>
        <v/>
      </c>
      <c r="W60" s="24"/>
      <c r="X60" s="35" t="str">
        <f aca="false">IF($Y60="","",IF(ROUND($H60+$I60-$N60+$Z60-$T60,2)&lt;&gt;0,"★期初＋本年－已收≠余额",IF(ROUND($R60+$S60-MAX(0,$T60),2)&lt;&gt;0,"★已开票＋未开票≠欠款",IF(ROUND($J60+$K60-$I60,2)&lt;&gt;0,"★合同款＋合同外款≠本年应收",IF(ROUND($O60+$P60+$Q60-$N60,2)&lt;&gt;0,"★发票＋收据＋现金≠本年已收","OK")))))</f>
        <v/>
      </c>
      <c r="Y60" s="35" t="str">
        <f aca="false">IF(维保合同!$C60="","",维保合同!$E60)</f>
        <v/>
      </c>
      <c r="Z60" s="40" t="str">
        <f aca="false">IF($Y60="","",ROUND(SUMIFS(应收金额,应收键,$Y60,应收年度,"&gt;"&amp;管理年度)-SUMIFS(收款金额,收款键,$Y60,收款年度,"&gt;"&amp;管理年度),2))</f>
        <v/>
      </c>
      <c r="AA60" s="47" t="str">
        <f aca="false">IF($Y60="","",IF(SUMPRODUCT(MIN(IF((应收键=$Y60)*(应收未收&gt;0.01),应收日期,999999)))&gt;=999999,"",SUMPRODUCT(MIN(IF((应收键=$Y60)*(应收未收&gt;0.01),应收日期,999999)))))</f>
        <v/>
      </c>
    </row>
    <row r="61" customFormat="false" ht="15" hidden="false" customHeight="false" outlineLevel="0" collapsed="false">
      <c r="A61" s="29" t="str">
        <f aca="false">IF($Y61="","",ROW()-4)</f>
        <v/>
      </c>
      <c r="B61" s="16" t="str">
        <f aca="false">IF($Y61="","",维保合同!$C61)</f>
        <v/>
      </c>
      <c r="C61" s="16" t="str">
        <f aca="false">IF($Y61="","",维保合同!$D61)</f>
        <v/>
      </c>
      <c r="D61" s="35" t="str">
        <f aca="false">IF($Y61="","",维保合同!$F61)</f>
        <v/>
      </c>
      <c r="E61" s="35" t="str">
        <f aca="false">IF($Y61="","",维保合同!$G61)</f>
        <v/>
      </c>
      <c r="F61" s="47" t="str">
        <f aca="false">IF($Y61="","",维保合同!$I61)</f>
        <v/>
      </c>
      <c r="G61" s="38" t="str">
        <f aca="false">IF($Y61="","",维保合同!$K61)</f>
        <v/>
      </c>
      <c r="H61" s="41" t="str">
        <f aca="false">IF($Y61="","",ROUND(SUMIFS(应收金额,应收键,$Y61,应收年度,"&lt;"&amp;管理年度)-SUMIFS(收款金额,收款键,$Y61,收款年度,"&lt;"&amp;管理年度),2))</f>
        <v/>
      </c>
      <c r="I61" s="40" t="str">
        <f aca="false">IF($Y61="","",ROUND(SUMIFS(应收金额,应收键,$Y61,应收年度,管理年度),2))</f>
        <v/>
      </c>
      <c r="J61" s="40" t="str">
        <f aca="false">IF($Y61="","",ROUND(SUMIFS(应收金额,应收键,$Y61,应收年度,管理年度,应收款别,"合同款"),2))</f>
        <v/>
      </c>
      <c r="K61" s="40" t="str">
        <f aca="false">IF($Y61="","",ROUND($I61-$J61,2))</f>
        <v/>
      </c>
      <c r="L61" s="40" t="str">
        <f aca="false">IF($Y61="","",ROUND(SUMIFS(应收开票额,应收键,$Y61,应收开票年度,管理年度),2))</f>
        <v/>
      </c>
      <c r="M61" s="40" t="str">
        <f aca="false">IF($Y61="","",ROUND($I61-$L61,2))</f>
        <v/>
      </c>
      <c r="N61" s="40" t="str">
        <f aca="false">IF($Y61="","",ROUND(SUMIFS(收款金额,收款键,$Y61,收款年度,管理年度),2))</f>
        <v/>
      </c>
      <c r="O61" s="40" t="str">
        <f aca="false">IF($Y61="","",ROUND(SUMIFS(收款金额,收款键,$Y61,收款年度,管理年度,收款归类,"发票"),2))</f>
        <v/>
      </c>
      <c r="P61" s="40" t="str">
        <f aca="false">IF($Y61="","",ROUND(SUMIFS(收款金额,收款键,$Y61,收款年度,管理年度,收款归类,"收据"),2))</f>
        <v/>
      </c>
      <c r="Q61" s="40" t="str">
        <f aca="false">IF($Y61="","",ROUND(SUMIFS(收款金额,收款键,$Y61,收款年度,管理年度,收款归类,"现金无票"),2))</f>
        <v/>
      </c>
      <c r="R61" s="40" t="str">
        <f aca="false">IF($Y61="","",ROUND(MAX(0,MIN($T61,SUMIF(应收键,$Y61,应收开票额)-SUMIF(收款键,$Y61,收款金额))),2))</f>
        <v/>
      </c>
      <c r="S61" s="40" t="str">
        <f aca="false">IF($Y61="","",ROUND(MAX(0,$T61)-$R61,2))</f>
        <v/>
      </c>
      <c r="T61" s="48" t="str">
        <f aca="false">IF($Y61="","",ROUND(SUMIF(应收键,$Y61,应收金额)-SUMIF(收款键,$Y61,收款金额),2))</f>
        <v/>
      </c>
      <c r="U61" s="49" t="str">
        <f aca="true">IF($AA61="","",IF($T61&lt;=0.01,"",MAX(0,TODAY()-$AA61)))</f>
        <v/>
      </c>
      <c r="V61" s="50" t="str">
        <f aca="true">IF($Y61="","",IF($T61&gt;0.01,IF(AND(ISNUMBER($U61),$U61&gt;=账龄预警天),"▲欠款拖了 "&amp;TEXT($U61,"0")&amp;" 天","欠款未清"),IF($T61&lt;-0.01,"预收/多收","已结清"))&amp;IF(OR($E61="已签未回",$E61="未签",$E61="续签中")," ▲合同未回","")&amp;IF(AND(ISNUMBER($F61),$F61&lt;TODAY())," ▲合同已到期",""))</f>
        <v/>
      </c>
      <c r="W61" s="24"/>
      <c r="X61" s="35" t="str">
        <f aca="false">IF($Y61="","",IF(ROUND($H61+$I61-$N61+$Z61-$T61,2)&lt;&gt;0,"★期初＋本年－已收≠余额",IF(ROUND($R61+$S61-MAX(0,$T61),2)&lt;&gt;0,"★已开票＋未开票≠欠款",IF(ROUND($J61+$K61-$I61,2)&lt;&gt;0,"★合同款＋合同外款≠本年应收",IF(ROUND($O61+$P61+$Q61-$N61,2)&lt;&gt;0,"★发票＋收据＋现金≠本年已收","OK")))))</f>
        <v/>
      </c>
      <c r="Y61" s="35" t="str">
        <f aca="false">IF(维保合同!$C61="","",维保合同!$E61)</f>
        <v/>
      </c>
      <c r="Z61" s="40" t="str">
        <f aca="false">IF($Y61="","",ROUND(SUMIFS(应收金额,应收键,$Y61,应收年度,"&gt;"&amp;管理年度)-SUMIFS(收款金额,收款键,$Y61,收款年度,"&gt;"&amp;管理年度),2))</f>
        <v/>
      </c>
      <c r="AA61" s="47" t="str">
        <f aca="false">IF($Y61="","",IF(SUMPRODUCT(MIN(IF((应收键=$Y61)*(应收未收&gt;0.01),应收日期,999999)))&gt;=999999,"",SUMPRODUCT(MIN(IF((应收键=$Y61)*(应收未收&gt;0.01),应收日期,999999)))))</f>
        <v/>
      </c>
    </row>
    <row r="62" customFormat="false" ht="15" hidden="false" customHeight="false" outlineLevel="0" collapsed="false">
      <c r="A62" s="29" t="str">
        <f aca="false">IF($Y62="","",ROW()-4)</f>
        <v/>
      </c>
      <c r="B62" s="16" t="str">
        <f aca="false">IF($Y62="","",维保合同!$C62)</f>
        <v/>
      </c>
      <c r="C62" s="16" t="str">
        <f aca="false">IF($Y62="","",维保合同!$D62)</f>
        <v/>
      </c>
      <c r="D62" s="35" t="str">
        <f aca="false">IF($Y62="","",维保合同!$F62)</f>
        <v/>
      </c>
      <c r="E62" s="35" t="str">
        <f aca="false">IF($Y62="","",维保合同!$G62)</f>
        <v/>
      </c>
      <c r="F62" s="47" t="str">
        <f aca="false">IF($Y62="","",维保合同!$I62)</f>
        <v/>
      </c>
      <c r="G62" s="38" t="str">
        <f aca="false">IF($Y62="","",维保合同!$K62)</f>
        <v/>
      </c>
      <c r="H62" s="41" t="str">
        <f aca="false">IF($Y62="","",ROUND(SUMIFS(应收金额,应收键,$Y62,应收年度,"&lt;"&amp;管理年度)-SUMIFS(收款金额,收款键,$Y62,收款年度,"&lt;"&amp;管理年度),2))</f>
        <v/>
      </c>
      <c r="I62" s="40" t="str">
        <f aca="false">IF($Y62="","",ROUND(SUMIFS(应收金额,应收键,$Y62,应收年度,管理年度),2))</f>
        <v/>
      </c>
      <c r="J62" s="40" t="str">
        <f aca="false">IF($Y62="","",ROUND(SUMIFS(应收金额,应收键,$Y62,应收年度,管理年度,应收款别,"合同款"),2))</f>
        <v/>
      </c>
      <c r="K62" s="40" t="str">
        <f aca="false">IF($Y62="","",ROUND($I62-$J62,2))</f>
        <v/>
      </c>
      <c r="L62" s="40" t="str">
        <f aca="false">IF($Y62="","",ROUND(SUMIFS(应收开票额,应收键,$Y62,应收开票年度,管理年度),2))</f>
        <v/>
      </c>
      <c r="M62" s="40" t="str">
        <f aca="false">IF($Y62="","",ROUND($I62-$L62,2))</f>
        <v/>
      </c>
      <c r="N62" s="40" t="str">
        <f aca="false">IF($Y62="","",ROUND(SUMIFS(收款金额,收款键,$Y62,收款年度,管理年度),2))</f>
        <v/>
      </c>
      <c r="O62" s="40" t="str">
        <f aca="false">IF($Y62="","",ROUND(SUMIFS(收款金额,收款键,$Y62,收款年度,管理年度,收款归类,"发票"),2))</f>
        <v/>
      </c>
      <c r="P62" s="40" t="str">
        <f aca="false">IF($Y62="","",ROUND(SUMIFS(收款金额,收款键,$Y62,收款年度,管理年度,收款归类,"收据"),2))</f>
        <v/>
      </c>
      <c r="Q62" s="40" t="str">
        <f aca="false">IF($Y62="","",ROUND(SUMIFS(收款金额,收款键,$Y62,收款年度,管理年度,收款归类,"现金无票"),2))</f>
        <v/>
      </c>
      <c r="R62" s="40" t="str">
        <f aca="false">IF($Y62="","",ROUND(MAX(0,MIN($T62,SUMIF(应收键,$Y62,应收开票额)-SUMIF(收款键,$Y62,收款金额))),2))</f>
        <v/>
      </c>
      <c r="S62" s="40" t="str">
        <f aca="false">IF($Y62="","",ROUND(MAX(0,$T62)-$R62,2))</f>
        <v/>
      </c>
      <c r="T62" s="48" t="str">
        <f aca="false">IF($Y62="","",ROUND(SUMIF(应收键,$Y62,应收金额)-SUMIF(收款键,$Y62,收款金额),2))</f>
        <v/>
      </c>
      <c r="U62" s="49" t="str">
        <f aca="true">IF($AA62="","",IF($T62&lt;=0.01,"",MAX(0,TODAY()-$AA62)))</f>
        <v/>
      </c>
      <c r="V62" s="50" t="str">
        <f aca="true">IF($Y62="","",IF($T62&gt;0.01,IF(AND(ISNUMBER($U62),$U62&gt;=账龄预警天),"▲欠款拖了 "&amp;TEXT($U62,"0")&amp;" 天","欠款未清"),IF($T62&lt;-0.01,"预收/多收","已结清"))&amp;IF(OR($E62="已签未回",$E62="未签",$E62="续签中")," ▲合同未回","")&amp;IF(AND(ISNUMBER($F62),$F62&lt;TODAY())," ▲合同已到期",""))</f>
        <v/>
      </c>
      <c r="W62" s="24"/>
      <c r="X62" s="35" t="str">
        <f aca="false">IF($Y62="","",IF(ROUND($H62+$I62-$N62+$Z62-$T62,2)&lt;&gt;0,"★期初＋本年－已收≠余额",IF(ROUND($R62+$S62-MAX(0,$T62),2)&lt;&gt;0,"★已开票＋未开票≠欠款",IF(ROUND($J62+$K62-$I62,2)&lt;&gt;0,"★合同款＋合同外款≠本年应收",IF(ROUND($O62+$P62+$Q62-$N62,2)&lt;&gt;0,"★发票＋收据＋现金≠本年已收","OK")))))</f>
        <v/>
      </c>
      <c r="Y62" s="35" t="str">
        <f aca="false">IF(维保合同!$C62="","",维保合同!$E62)</f>
        <v/>
      </c>
      <c r="Z62" s="40" t="str">
        <f aca="false">IF($Y62="","",ROUND(SUMIFS(应收金额,应收键,$Y62,应收年度,"&gt;"&amp;管理年度)-SUMIFS(收款金额,收款键,$Y62,收款年度,"&gt;"&amp;管理年度),2))</f>
        <v/>
      </c>
      <c r="AA62" s="47" t="str">
        <f aca="false">IF($Y62="","",IF(SUMPRODUCT(MIN(IF((应收键=$Y62)*(应收未收&gt;0.01),应收日期,999999)))&gt;=999999,"",SUMPRODUCT(MIN(IF((应收键=$Y62)*(应收未收&gt;0.01),应收日期,999999)))))</f>
        <v/>
      </c>
    </row>
    <row r="63" customFormat="false" ht="15" hidden="false" customHeight="false" outlineLevel="0" collapsed="false">
      <c r="A63" s="29" t="str">
        <f aca="false">IF($Y63="","",ROW()-4)</f>
        <v/>
      </c>
      <c r="B63" s="16" t="str">
        <f aca="false">IF($Y63="","",维保合同!$C63)</f>
        <v/>
      </c>
      <c r="C63" s="16" t="str">
        <f aca="false">IF($Y63="","",维保合同!$D63)</f>
        <v/>
      </c>
      <c r="D63" s="35" t="str">
        <f aca="false">IF($Y63="","",维保合同!$F63)</f>
        <v/>
      </c>
      <c r="E63" s="35" t="str">
        <f aca="false">IF($Y63="","",维保合同!$G63)</f>
        <v/>
      </c>
      <c r="F63" s="47" t="str">
        <f aca="false">IF($Y63="","",维保合同!$I63)</f>
        <v/>
      </c>
      <c r="G63" s="38" t="str">
        <f aca="false">IF($Y63="","",维保合同!$K63)</f>
        <v/>
      </c>
      <c r="H63" s="41" t="str">
        <f aca="false">IF($Y63="","",ROUND(SUMIFS(应收金额,应收键,$Y63,应收年度,"&lt;"&amp;管理年度)-SUMIFS(收款金额,收款键,$Y63,收款年度,"&lt;"&amp;管理年度),2))</f>
        <v/>
      </c>
      <c r="I63" s="40" t="str">
        <f aca="false">IF($Y63="","",ROUND(SUMIFS(应收金额,应收键,$Y63,应收年度,管理年度),2))</f>
        <v/>
      </c>
      <c r="J63" s="40" t="str">
        <f aca="false">IF($Y63="","",ROUND(SUMIFS(应收金额,应收键,$Y63,应收年度,管理年度,应收款别,"合同款"),2))</f>
        <v/>
      </c>
      <c r="K63" s="40" t="str">
        <f aca="false">IF($Y63="","",ROUND($I63-$J63,2))</f>
        <v/>
      </c>
      <c r="L63" s="40" t="str">
        <f aca="false">IF($Y63="","",ROUND(SUMIFS(应收开票额,应收键,$Y63,应收开票年度,管理年度),2))</f>
        <v/>
      </c>
      <c r="M63" s="40" t="str">
        <f aca="false">IF($Y63="","",ROUND($I63-$L63,2))</f>
        <v/>
      </c>
      <c r="N63" s="40" t="str">
        <f aca="false">IF($Y63="","",ROUND(SUMIFS(收款金额,收款键,$Y63,收款年度,管理年度),2))</f>
        <v/>
      </c>
      <c r="O63" s="40" t="str">
        <f aca="false">IF($Y63="","",ROUND(SUMIFS(收款金额,收款键,$Y63,收款年度,管理年度,收款归类,"发票"),2))</f>
        <v/>
      </c>
      <c r="P63" s="40" t="str">
        <f aca="false">IF($Y63="","",ROUND(SUMIFS(收款金额,收款键,$Y63,收款年度,管理年度,收款归类,"收据"),2))</f>
        <v/>
      </c>
      <c r="Q63" s="40" t="str">
        <f aca="false">IF($Y63="","",ROUND(SUMIFS(收款金额,收款键,$Y63,收款年度,管理年度,收款归类,"现金无票"),2))</f>
        <v/>
      </c>
      <c r="R63" s="40" t="str">
        <f aca="false">IF($Y63="","",ROUND(MAX(0,MIN($T63,SUMIF(应收键,$Y63,应收开票额)-SUMIF(收款键,$Y63,收款金额))),2))</f>
        <v/>
      </c>
      <c r="S63" s="40" t="str">
        <f aca="false">IF($Y63="","",ROUND(MAX(0,$T63)-$R63,2))</f>
        <v/>
      </c>
      <c r="T63" s="48" t="str">
        <f aca="false">IF($Y63="","",ROUND(SUMIF(应收键,$Y63,应收金额)-SUMIF(收款键,$Y63,收款金额),2))</f>
        <v/>
      </c>
      <c r="U63" s="49" t="str">
        <f aca="true">IF($AA63="","",IF($T63&lt;=0.01,"",MAX(0,TODAY()-$AA63)))</f>
        <v/>
      </c>
      <c r="V63" s="50" t="str">
        <f aca="true">IF($Y63="","",IF($T63&gt;0.01,IF(AND(ISNUMBER($U63),$U63&gt;=账龄预警天),"▲欠款拖了 "&amp;TEXT($U63,"0")&amp;" 天","欠款未清"),IF($T63&lt;-0.01,"预收/多收","已结清"))&amp;IF(OR($E63="已签未回",$E63="未签",$E63="续签中")," ▲合同未回","")&amp;IF(AND(ISNUMBER($F63),$F63&lt;TODAY())," ▲合同已到期",""))</f>
        <v/>
      </c>
      <c r="W63" s="24"/>
      <c r="X63" s="35" t="str">
        <f aca="false">IF($Y63="","",IF(ROUND($H63+$I63-$N63+$Z63-$T63,2)&lt;&gt;0,"★期初＋本年－已收≠余额",IF(ROUND($R63+$S63-MAX(0,$T63),2)&lt;&gt;0,"★已开票＋未开票≠欠款",IF(ROUND($J63+$K63-$I63,2)&lt;&gt;0,"★合同款＋合同外款≠本年应收",IF(ROUND($O63+$P63+$Q63-$N63,2)&lt;&gt;0,"★发票＋收据＋现金≠本年已收","OK")))))</f>
        <v/>
      </c>
      <c r="Y63" s="35" t="str">
        <f aca="false">IF(维保合同!$C63="","",维保合同!$E63)</f>
        <v/>
      </c>
      <c r="Z63" s="40" t="str">
        <f aca="false">IF($Y63="","",ROUND(SUMIFS(应收金额,应收键,$Y63,应收年度,"&gt;"&amp;管理年度)-SUMIFS(收款金额,收款键,$Y63,收款年度,"&gt;"&amp;管理年度),2))</f>
        <v/>
      </c>
      <c r="AA63" s="47" t="str">
        <f aca="false">IF($Y63="","",IF(SUMPRODUCT(MIN(IF((应收键=$Y63)*(应收未收&gt;0.01),应收日期,999999)))&gt;=999999,"",SUMPRODUCT(MIN(IF((应收键=$Y63)*(应收未收&gt;0.01),应收日期,999999)))))</f>
        <v/>
      </c>
    </row>
    <row r="64" customFormat="false" ht="15" hidden="false" customHeight="false" outlineLevel="0" collapsed="false">
      <c r="A64" s="29" t="str">
        <f aca="false">IF($Y64="","",ROW()-4)</f>
        <v/>
      </c>
      <c r="B64" s="16" t="str">
        <f aca="false">IF($Y64="","",维保合同!$C64)</f>
        <v/>
      </c>
      <c r="C64" s="16" t="str">
        <f aca="false">IF($Y64="","",维保合同!$D64)</f>
        <v/>
      </c>
      <c r="D64" s="35" t="str">
        <f aca="false">IF($Y64="","",维保合同!$F64)</f>
        <v/>
      </c>
      <c r="E64" s="35" t="str">
        <f aca="false">IF($Y64="","",维保合同!$G64)</f>
        <v/>
      </c>
      <c r="F64" s="47" t="str">
        <f aca="false">IF($Y64="","",维保合同!$I64)</f>
        <v/>
      </c>
      <c r="G64" s="38" t="str">
        <f aca="false">IF($Y64="","",维保合同!$K64)</f>
        <v/>
      </c>
      <c r="H64" s="41" t="str">
        <f aca="false">IF($Y64="","",ROUND(SUMIFS(应收金额,应收键,$Y64,应收年度,"&lt;"&amp;管理年度)-SUMIFS(收款金额,收款键,$Y64,收款年度,"&lt;"&amp;管理年度),2))</f>
        <v/>
      </c>
      <c r="I64" s="40" t="str">
        <f aca="false">IF($Y64="","",ROUND(SUMIFS(应收金额,应收键,$Y64,应收年度,管理年度),2))</f>
        <v/>
      </c>
      <c r="J64" s="40" t="str">
        <f aca="false">IF($Y64="","",ROUND(SUMIFS(应收金额,应收键,$Y64,应收年度,管理年度,应收款别,"合同款"),2))</f>
        <v/>
      </c>
      <c r="K64" s="40" t="str">
        <f aca="false">IF($Y64="","",ROUND($I64-$J64,2))</f>
        <v/>
      </c>
      <c r="L64" s="40" t="str">
        <f aca="false">IF($Y64="","",ROUND(SUMIFS(应收开票额,应收键,$Y64,应收开票年度,管理年度),2))</f>
        <v/>
      </c>
      <c r="M64" s="40" t="str">
        <f aca="false">IF($Y64="","",ROUND($I64-$L64,2))</f>
        <v/>
      </c>
      <c r="N64" s="40" t="str">
        <f aca="false">IF($Y64="","",ROUND(SUMIFS(收款金额,收款键,$Y64,收款年度,管理年度),2))</f>
        <v/>
      </c>
      <c r="O64" s="40" t="str">
        <f aca="false">IF($Y64="","",ROUND(SUMIFS(收款金额,收款键,$Y64,收款年度,管理年度,收款归类,"发票"),2))</f>
        <v/>
      </c>
      <c r="P64" s="40" t="str">
        <f aca="false">IF($Y64="","",ROUND(SUMIFS(收款金额,收款键,$Y64,收款年度,管理年度,收款归类,"收据"),2))</f>
        <v/>
      </c>
      <c r="Q64" s="40" t="str">
        <f aca="false">IF($Y64="","",ROUND(SUMIFS(收款金额,收款键,$Y64,收款年度,管理年度,收款归类,"现金无票"),2))</f>
        <v/>
      </c>
      <c r="R64" s="40" t="str">
        <f aca="false">IF($Y64="","",ROUND(MAX(0,MIN($T64,SUMIF(应收键,$Y64,应收开票额)-SUMIF(收款键,$Y64,收款金额))),2))</f>
        <v/>
      </c>
      <c r="S64" s="40" t="str">
        <f aca="false">IF($Y64="","",ROUND(MAX(0,$T64)-$R64,2))</f>
        <v/>
      </c>
      <c r="T64" s="48" t="str">
        <f aca="false">IF($Y64="","",ROUND(SUMIF(应收键,$Y64,应收金额)-SUMIF(收款键,$Y64,收款金额),2))</f>
        <v/>
      </c>
      <c r="U64" s="49" t="str">
        <f aca="true">IF($AA64="","",IF($T64&lt;=0.01,"",MAX(0,TODAY()-$AA64)))</f>
        <v/>
      </c>
      <c r="V64" s="50" t="str">
        <f aca="true">IF($Y64="","",IF($T64&gt;0.01,IF(AND(ISNUMBER($U64),$U64&gt;=账龄预警天),"▲欠款拖了 "&amp;TEXT($U64,"0")&amp;" 天","欠款未清"),IF($T64&lt;-0.01,"预收/多收","已结清"))&amp;IF(OR($E64="已签未回",$E64="未签",$E64="续签中")," ▲合同未回","")&amp;IF(AND(ISNUMBER($F64),$F64&lt;TODAY())," ▲合同已到期",""))</f>
        <v/>
      </c>
      <c r="W64" s="24"/>
      <c r="X64" s="35" t="str">
        <f aca="false">IF($Y64="","",IF(ROUND($H64+$I64-$N64+$Z64-$T64,2)&lt;&gt;0,"★期初＋本年－已收≠余额",IF(ROUND($R64+$S64-MAX(0,$T64),2)&lt;&gt;0,"★已开票＋未开票≠欠款",IF(ROUND($J64+$K64-$I64,2)&lt;&gt;0,"★合同款＋合同外款≠本年应收",IF(ROUND($O64+$P64+$Q64-$N64,2)&lt;&gt;0,"★发票＋收据＋现金≠本年已收","OK")))))</f>
        <v/>
      </c>
      <c r="Y64" s="35" t="str">
        <f aca="false">IF(维保合同!$C64="","",维保合同!$E64)</f>
        <v/>
      </c>
      <c r="Z64" s="40" t="str">
        <f aca="false">IF($Y64="","",ROUND(SUMIFS(应收金额,应收键,$Y64,应收年度,"&gt;"&amp;管理年度)-SUMIFS(收款金额,收款键,$Y64,收款年度,"&gt;"&amp;管理年度),2))</f>
        <v/>
      </c>
      <c r="AA64" s="47" t="str">
        <f aca="false">IF($Y64="","",IF(SUMPRODUCT(MIN(IF((应收键=$Y64)*(应收未收&gt;0.01),应收日期,999999)))&gt;=999999,"",SUMPRODUCT(MIN(IF((应收键=$Y64)*(应收未收&gt;0.01),应收日期,999999)))))</f>
        <v/>
      </c>
    </row>
    <row r="65" customFormat="false" ht="15" hidden="false" customHeight="false" outlineLevel="0" collapsed="false">
      <c r="A65" s="29" t="str">
        <f aca="false">IF($Y65="","",ROW()-4)</f>
        <v/>
      </c>
      <c r="B65" s="16" t="str">
        <f aca="false">IF($Y65="","",维保合同!$C65)</f>
        <v/>
      </c>
      <c r="C65" s="16" t="str">
        <f aca="false">IF($Y65="","",维保合同!$D65)</f>
        <v/>
      </c>
      <c r="D65" s="35" t="str">
        <f aca="false">IF($Y65="","",维保合同!$F65)</f>
        <v/>
      </c>
      <c r="E65" s="35" t="str">
        <f aca="false">IF($Y65="","",维保合同!$G65)</f>
        <v/>
      </c>
      <c r="F65" s="47" t="str">
        <f aca="false">IF($Y65="","",维保合同!$I65)</f>
        <v/>
      </c>
      <c r="G65" s="38" t="str">
        <f aca="false">IF($Y65="","",维保合同!$K65)</f>
        <v/>
      </c>
      <c r="H65" s="41" t="str">
        <f aca="false">IF($Y65="","",ROUND(SUMIFS(应收金额,应收键,$Y65,应收年度,"&lt;"&amp;管理年度)-SUMIFS(收款金额,收款键,$Y65,收款年度,"&lt;"&amp;管理年度),2))</f>
        <v/>
      </c>
      <c r="I65" s="40" t="str">
        <f aca="false">IF($Y65="","",ROUND(SUMIFS(应收金额,应收键,$Y65,应收年度,管理年度),2))</f>
        <v/>
      </c>
      <c r="J65" s="40" t="str">
        <f aca="false">IF($Y65="","",ROUND(SUMIFS(应收金额,应收键,$Y65,应收年度,管理年度,应收款别,"合同款"),2))</f>
        <v/>
      </c>
      <c r="K65" s="40" t="str">
        <f aca="false">IF($Y65="","",ROUND($I65-$J65,2))</f>
        <v/>
      </c>
      <c r="L65" s="40" t="str">
        <f aca="false">IF($Y65="","",ROUND(SUMIFS(应收开票额,应收键,$Y65,应收开票年度,管理年度),2))</f>
        <v/>
      </c>
      <c r="M65" s="40" t="str">
        <f aca="false">IF($Y65="","",ROUND($I65-$L65,2))</f>
        <v/>
      </c>
      <c r="N65" s="40" t="str">
        <f aca="false">IF($Y65="","",ROUND(SUMIFS(收款金额,收款键,$Y65,收款年度,管理年度),2))</f>
        <v/>
      </c>
      <c r="O65" s="40" t="str">
        <f aca="false">IF($Y65="","",ROUND(SUMIFS(收款金额,收款键,$Y65,收款年度,管理年度,收款归类,"发票"),2))</f>
        <v/>
      </c>
      <c r="P65" s="40" t="str">
        <f aca="false">IF($Y65="","",ROUND(SUMIFS(收款金额,收款键,$Y65,收款年度,管理年度,收款归类,"收据"),2))</f>
        <v/>
      </c>
      <c r="Q65" s="40" t="str">
        <f aca="false">IF($Y65="","",ROUND(SUMIFS(收款金额,收款键,$Y65,收款年度,管理年度,收款归类,"现金无票"),2))</f>
        <v/>
      </c>
      <c r="R65" s="40" t="str">
        <f aca="false">IF($Y65="","",ROUND(MAX(0,MIN($T65,SUMIF(应收键,$Y65,应收开票额)-SUMIF(收款键,$Y65,收款金额))),2))</f>
        <v/>
      </c>
      <c r="S65" s="40" t="str">
        <f aca="false">IF($Y65="","",ROUND(MAX(0,$T65)-$R65,2))</f>
        <v/>
      </c>
      <c r="T65" s="48" t="str">
        <f aca="false">IF($Y65="","",ROUND(SUMIF(应收键,$Y65,应收金额)-SUMIF(收款键,$Y65,收款金额),2))</f>
        <v/>
      </c>
      <c r="U65" s="49" t="str">
        <f aca="true">IF($AA65="","",IF($T65&lt;=0.01,"",MAX(0,TODAY()-$AA65)))</f>
        <v/>
      </c>
      <c r="V65" s="50" t="str">
        <f aca="true">IF($Y65="","",IF($T65&gt;0.01,IF(AND(ISNUMBER($U65),$U65&gt;=账龄预警天),"▲欠款拖了 "&amp;TEXT($U65,"0")&amp;" 天","欠款未清"),IF($T65&lt;-0.01,"预收/多收","已结清"))&amp;IF(OR($E65="已签未回",$E65="未签",$E65="续签中")," ▲合同未回","")&amp;IF(AND(ISNUMBER($F65),$F65&lt;TODAY())," ▲合同已到期",""))</f>
        <v/>
      </c>
      <c r="W65" s="24"/>
      <c r="X65" s="35" t="str">
        <f aca="false">IF($Y65="","",IF(ROUND($H65+$I65-$N65+$Z65-$T65,2)&lt;&gt;0,"★期初＋本年－已收≠余额",IF(ROUND($R65+$S65-MAX(0,$T65),2)&lt;&gt;0,"★已开票＋未开票≠欠款",IF(ROUND($J65+$K65-$I65,2)&lt;&gt;0,"★合同款＋合同外款≠本年应收",IF(ROUND($O65+$P65+$Q65-$N65,2)&lt;&gt;0,"★发票＋收据＋现金≠本年已收","OK")))))</f>
        <v/>
      </c>
      <c r="Y65" s="35" t="str">
        <f aca="false">IF(维保合同!$C65="","",维保合同!$E65)</f>
        <v/>
      </c>
      <c r="Z65" s="40" t="str">
        <f aca="false">IF($Y65="","",ROUND(SUMIFS(应收金额,应收键,$Y65,应收年度,"&gt;"&amp;管理年度)-SUMIFS(收款金额,收款键,$Y65,收款年度,"&gt;"&amp;管理年度),2))</f>
        <v/>
      </c>
      <c r="AA65" s="47" t="str">
        <f aca="false">IF($Y65="","",IF(SUMPRODUCT(MIN(IF((应收键=$Y65)*(应收未收&gt;0.01),应收日期,999999)))&gt;=999999,"",SUMPRODUCT(MIN(IF((应收键=$Y65)*(应收未收&gt;0.01),应收日期,999999)))))</f>
        <v/>
      </c>
    </row>
    <row r="66" customFormat="false" ht="15" hidden="false" customHeight="false" outlineLevel="0" collapsed="false">
      <c r="A66" s="29" t="str">
        <f aca="false">IF($Y66="","",ROW()-4)</f>
        <v/>
      </c>
      <c r="B66" s="16" t="str">
        <f aca="false">IF($Y66="","",维保合同!$C66)</f>
        <v/>
      </c>
      <c r="C66" s="16" t="str">
        <f aca="false">IF($Y66="","",维保合同!$D66)</f>
        <v/>
      </c>
      <c r="D66" s="35" t="str">
        <f aca="false">IF($Y66="","",维保合同!$F66)</f>
        <v/>
      </c>
      <c r="E66" s="35" t="str">
        <f aca="false">IF($Y66="","",维保合同!$G66)</f>
        <v/>
      </c>
      <c r="F66" s="47" t="str">
        <f aca="false">IF($Y66="","",维保合同!$I66)</f>
        <v/>
      </c>
      <c r="G66" s="38" t="str">
        <f aca="false">IF($Y66="","",维保合同!$K66)</f>
        <v/>
      </c>
      <c r="H66" s="41" t="str">
        <f aca="false">IF($Y66="","",ROUND(SUMIFS(应收金额,应收键,$Y66,应收年度,"&lt;"&amp;管理年度)-SUMIFS(收款金额,收款键,$Y66,收款年度,"&lt;"&amp;管理年度),2))</f>
        <v/>
      </c>
      <c r="I66" s="40" t="str">
        <f aca="false">IF($Y66="","",ROUND(SUMIFS(应收金额,应收键,$Y66,应收年度,管理年度),2))</f>
        <v/>
      </c>
      <c r="J66" s="40" t="str">
        <f aca="false">IF($Y66="","",ROUND(SUMIFS(应收金额,应收键,$Y66,应收年度,管理年度,应收款别,"合同款"),2))</f>
        <v/>
      </c>
      <c r="K66" s="40" t="str">
        <f aca="false">IF($Y66="","",ROUND($I66-$J66,2))</f>
        <v/>
      </c>
      <c r="L66" s="40" t="str">
        <f aca="false">IF($Y66="","",ROUND(SUMIFS(应收开票额,应收键,$Y66,应收开票年度,管理年度),2))</f>
        <v/>
      </c>
      <c r="M66" s="40" t="str">
        <f aca="false">IF($Y66="","",ROUND($I66-$L66,2))</f>
        <v/>
      </c>
      <c r="N66" s="40" t="str">
        <f aca="false">IF($Y66="","",ROUND(SUMIFS(收款金额,收款键,$Y66,收款年度,管理年度),2))</f>
        <v/>
      </c>
      <c r="O66" s="40" t="str">
        <f aca="false">IF($Y66="","",ROUND(SUMIFS(收款金额,收款键,$Y66,收款年度,管理年度,收款归类,"发票"),2))</f>
        <v/>
      </c>
      <c r="P66" s="40" t="str">
        <f aca="false">IF($Y66="","",ROUND(SUMIFS(收款金额,收款键,$Y66,收款年度,管理年度,收款归类,"收据"),2))</f>
        <v/>
      </c>
      <c r="Q66" s="40" t="str">
        <f aca="false">IF($Y66="","",ROUND(SUMIFS(收款金额,收款键,$Y66,收款年度,管理年度,收款归类,"现金无票"),2))</f>
        <v/>
      </c>
      <c r="R66" s="40" t="str">
        <f aca="false">IF($Y66="","",ROUND(MAX(0,MIN($T66,SUMIF(应收键,$Y66,应收开票额)-SUMIF(收款键,$Y66,收款金额))),2))</f>
        <v/>
      </c>
      <c r="S66" s="40" t="str">
        <f aca="false">IF($Y66="","",ROUND(MAX(0,$T66)-$R66,2))</f>
        <v/>
      </c>
      <c r="T66" s="48" t="str">
        <f aca="false">IF($Y66="","",ROUND(SUMIF(应收键,$Y66,应收金额)-SUMIF(收款键,$Y66,收款金额),2))</f>
        <v/>
      </c>
      <c r="U66" s="49" t="str">
        <f aca="true">IF($AA66="","",IF($T66&lt;=0.01,"",MAX(0,TODAY()-$AA66)))</f>
        <v/>
      </c>
      <c r="V66" s="50" t="str">
        <f aca="true">IF($Y66="","",IF($T66&gt;0.01,IF(AND(ISNUMBER($U66),$U66&gt;=账龄预警天),"▲欠款拖了 "&amp;TEXT($U66,"0")&amp;" 天","欠款未清"),IF($T66&lt;-0.01,"预收/多收","已结清"))&amp;IF(OR($E66="已签未回",$E66="未签",$E66="续签中")," ▲合同未回","")&amp;IF(AND(ISNUMBER($F66),$F66&lt;TODAY())," ▲合同已到期",""))</f>
        <v/>
      </c>
      <c r="W66" s="24"/>
      <c r="X66" s="35" t="str">
        <f aca="false">IF($Y66="","",IF(ROUND($H66+$I66-$N66+$Z66-$T66,2)&lt;&gt;0,"★期初＋本年－已收≠余额",IF(ROUND($R66+$S66-MAX(0,$T66),2)&lt;&gt;0,"★已开票＋未开票≠欠款",IF(ROUND($J66+$K66-$I66,2)&lt;&gt;0,"★合同款＋合同外款≠本年应收",IF(ROUND($O66+$P66+$Q66-$N66,2)&lt;&gt;0,"★发票＋收据＋现金≠本年已收","OK")))))</f>
        <v/>
      </c>
      <c r="Y66" s="35" t="str">
        <f aca="false">IF(维保合同!$C66="","",维保合同!$E66)</f>
        <v/>
      </c>
      <c r="Z66" s="40" t="str">
        <f aca="false">IF($Y66="","",ROUND(SUMIFS(应收金额,应收键,$Y66,应收年度,"&gt;"&amp;管理年度)-SUMIFS(收款金额,收款键,$Y66,收款年度,"&gt;"&amp;管理年度),2))</f>
        <v/>
      </c>
      <c r="AA66" s="47" t="str">
        <f aca="false">IF($Y66="","",IF(SUMPRODUCT(MIN(IF((应收键=$Y66)*(应收未收&gt;0.01),应收日期,999999)))&gt;=999999,"",SUMPRODUCT(MIN(IF((应收键=$Y66)*(应收未收&gt;0.01),应收日期,999999)))))</f>
        <v/>
      </c>
    </row>
    <row r="67" customFormat="false" ht="15" hidden="false" customHeight="false" outlineLevel="0" collapsed="false">
      <c r="A67" s="29" t="str">
        <f aca="false">IF($Y67="","",ROW()-4)</f>
        <v/>
      </c>
      <c r="B67" s="16" t="str">
        <f aca="false">IF($Y67="","",维保合同!$C67)</f>
        <v/>
      </c>
      <c r="C67" s="16" t="str">
        <f aca="false">IF($Y67="","",维保合同!$D67)</f>
        <v/>
      </c>
      <c r="D67" s="35" t="str">
        <f aca="false">IF($Y67="","",维保合同!$F67)</f>
        <v/>
      </c>
      <c r="E67" s="35" t="str">
        <f aca="false">IF($Y67="","",维保合同!$G67)</f>
        <v/>
      </c>
      <c r="F67" s="47" t="str">
        <f aca="false">IF($Y67="","",维保合同!$I67)</f>
        <v/>
      </c>
      <c r="G67" s="38" t="str">
        <f aca="false">IF($Y67="","",维保合同!$K67)</f>
        <v/>
      </c>
      <c r="H67" s="41" t="str">
        <f aca="false">IF($Y67="","",ROUND(SUMIFS(应收金额,应收键,$Y67,应收年度,"&lt;"&amp;管理年度)-SUMIFS(收款金额,收款键,$Y67,收款年度,"&lt;"&amp;管理年度),2))</f>
        <v/>
      </c>
      <c r="I67" s="40" t="str">
        <f aca="false">IF($Y67="","",ROUND(SUMIFS(应收金额,应收键,$Y67,应收年度,管理年度),2))</f>
        <v/>
      </c>
      <c r="J67" s="40" t="str">
        <f aca="false">IF($Y67="","",ROUND(SUMIFS(应收金额,应收键,$Y67,应收年度,管理年度,应收款别,"合同款"),2))</f>
        <v/>
      </c>
      <c r="K67" s="40" t="str">
        <f aca="false">IF($Y67="","",ROUND($I67-$J67,2))</f>
        <v/>
      </c>
      <c r="L67" s="40" t="str">
        <f aca="false">IF($Y67="","",ROUND(SUMIFS(应收开票额,应收键,$Y67,应收开票年度,管理年度),2))</f>
        <v/>
      </c>
      <c r="M67" s="40" t="str">
        <f aca="false">IF($Y67="","",ROUND($I67-$L67,2))</f>
        <v/>
      </c>
      <c r="N67" s="40" t="str">
        <f aca="false">IF($Y67="","",ROUND(SUMIFS(收款金额,收款键,$Y67,收款年度,管理年度),2))</f>
        <v/>
      </c>
      <c r="O67" s="40" t="str">
        <f aca="false">IF($Y67="","",ROUND(SUMIFS(收款金额,收款键,$Y67,收款年度,管理年度,收款归类,"发票"),2))</f>
        <v/>
      </c>
      <c r="P67" s="40" t="str">
        <f aca="false">IF($Y67="","",ROUND(SUMIFS(收款金额,收款键,$Y67,收款年度,管理年度,收款归类,"收据"),2))</f>
        <v/>
      </c>
      <c r="Q67" s="40" t="str">
        <f aca="false">IF($Y67="","",ROUND(SUMIFS(收款金额,收款键,$Y67,收款年度,管理年度,收款归类,"现金无票"),2))</f>
        <v/>
      </c>
      <c r="R67" s="40" t="str">
        <f aca="false">IF($Y67="","",ROUND(MAX(0,MIN($T67,SUMIF(应收键,$Y67,应收开票额)-SUMIF(收款键,$Y67,收款金额))),2))</f>
        <v/>
      </c>
      <c r="S67" s="40" t="str">
        <f aca="false">IF($Y67="","",ROUND(MAX(0,$T67)-$R67,2))</f>
        <v/>
      </c>
      <c r="T67" s="48" t="str">
        <f aca="false">IF($Y67="","",ROUND(SUMIF(应收键,$Y67,应收金额)-SUMIF(收款键,$Y67,收款金额),2))</f>
        <v/>
      </c>
      <c r="U67" s="49" t="str">
        <f aca="true">IF($AA67="","",IF($T67&lt;=0.01,"",MAX(0,TODAY()-$AA67)))</f>
        <v/>
      </c>
      <c r="V67" s="50" t="str">
        <f aca="true">IF($Y67="","",IF($T67&gt;0.01,IF(AND(ISNUMBER($U67),$U67&gt;=账龄预警天),"▲欠款拖了 "&amp;TEXT($U67,"0")&amp;" 天","欠款未清"),IF($T67&lt;-0.01,"预收/多收","已结清"))&amp;IF(OR($E67="已签未回",$E67="未签",$E67="续签中")," ▲合同未回","")&amp;IF(AND(ISNUMBER($F67),$F67&lt;TODAY())," ▲合同已到期",""))</f>
        <v/>
      </c>
      <c r="W67" s="24"/>
      <c r="X67" s="35" t="str">
        <f aca="false">IF($Y67="","",IF(ROUND($H67+$I67-$N67+$Z67-$T67,2)&lt;&gt;0,"★期初＋本年－已收≠余额",IF(ROUND($R67+$S67-MAX(0,$T67),2)&lt;&gt;0,"★已开票＋未开票≠欠款",IF(ROUND($J67+$K67-$I67,2)&lt;&gt;0,"★合同款＋合同外款≠本年应收",IF(ROUND($O67+$P67+$Q67-$N67,2)&lt;&gt;0,"★发票＋收据＋现金≠本年已收","OK")))))</f>
        <v/>
      </c>
      <c r="Y67" s="35" t="str">
        <f aca="false">IF(维保合同!$C67="","",维保合同!$E67)</f>
        <v/>
      </c>
      <c r="Z67" s="40" t="str">
        <f aca="false">IF($Y67="","",ROUND(SUMIFS(应收金额,应收键,$Y67,应收年度,"&gt;"&amp;管理年度)-SUMIFS(收款金额,收款键,$Y67,收款年度,"&gt;"&amp;管理年度),2))</f>
        <v/>
      </c>
      <c r="AA67" s="47" t="str">
        <f aca="false">IF($Y67="","",IF(SUMPRODUCT(MIN(IF((应收键=$Y67)*(应收未收&gt;0.01),应收日期,999999)))&gt;=999999,"",SUMPRODUCT(MIN(IF((应收键=$Y67)*(应收未收&gt;0.01),应收日期,999999)))))</f>
        <v/>
      </c>
    </row>
    <row r="68" customFormat="false" ht="15" hidden="false" customHeight="false" outlineLevel="0" collapsed="false">
      <c r="A68" s="29" t="str">
        <f aca="false">IF($Y68="","",ROW()-4)</f>
        <v/>
      </c>
      <c r="B68" s="16" t="str">
        <f aca="false">IF($Y68="","",维保合同!$C68)</f>
        <v/>
      </c>
      <c r="C68" s="16" t="str">
        <f aca="false">IF($Y68="","",维保合同!$D68)</f>
        <v/>
      </c>
      <c r="D68" s="35" t="str">
        <f aca="false">IF($Y68="","",维保合同!$F68)</f>
        <v/>
      </c>
      <c r="E68" s="35" t="str">
        <f aca="false">IF($Y68="","",维保合同!$G68)</f>
        <v/>
      </c>
      <c r="F68" s="47" t="str">
        <f aca="false">IF($Y68="","",维保合同!$I68)</f>
        <v/>
      </c>
      <c r="G68" s="38" t="str">
        <f aca="false">IF($Y68="","",维保合同!$K68)</f>
        <v/>
      </c>
      <c r="H68" s="41" t="str">
        <f aca="false">IF($Y68="","",ROUND(SUMIFS(应收金额,应收键,$Y68,应收年度,"&lt;"&amp;管理年度)-SUMIFS(收款金额,收款键,$Y68,收款年度,"&lt;"&amp;管理年度),2))</f>
        <v/>
      </c>
      <c r="I68" s="40" t="str">
        <f aca="false">IF($Y68="","",ROUND(SUMIFS(应收金额,应收键,$Y68,应收年度,管理年度),2))</f>
        <v/>
      </c>
      <c r="J68" s="40" t="str">
        <f aca="false">IF($Y68="","",ROUND(SUMIFS(应收金额,应收键,$Y68,应收年度,管理年度,应收款别,"合同款"),2))</f>
        <v/>
      </c>
      <c r="K68" s="40" t="str">
        <f aca="false">IF($Y68="","",ROUND($I68-$J68,2))</f>
        <v/>
      </c>
      <c r="L68" s="40" t="str">
        <f aca="false">IF($Y68="","",ROUND(SUMIFS(应收开票额,应收键,$Y68,应收开票年度,管理年度),2))</f>
        <v/>
      </c>
      <c r="M68" s="40" t="str">
        <f aca="false">IF($Y68="","",ROUND($I68-$L68,2))</f>
        <v/>
      </c>
      <c r="N68" s="40" t="str">
        <f aca="false">IF($Y68="","",ROUND(SUMIFS(收款金额,收款键,$Y68,收款年度,管理年度),2))</f>
        <v/>
      </c>
      <c r="O68" s="40" t="str">
        <f aca="false">IF($Y68="","",ROUND(SUMIFS(收款金额,收款键,$Y68,收款年度,管理年度,收款归类,"发票"),2))</f>
        <v/>
      </c>
      <c r="P68" s="40" t="str">
        <f aca="false">IF($Y68="","",ROUND(SUMIFS(收款金额,收款键,$Y68,收款年度,管理年度,收款归类,"收据"),2))</f>
        <v/>
      </c>
      <c r="Q68" s="40" t="str">
        <f aca="false">IF($Y68="","",ROUND(SUMIFS(收款金额,收款键,$Y68,收款年度,管理年度,收款归类,"现金无票"),2))</f>
        <v/>
      </c>
      <c r="R68" s="40" t="str">
        <f aca="false">IF($Y68="","",ROUND(MAX(0,MIN($T68,SUMIF(应收键,$Y68,应收开票额)-SUMIF(收款键,$Y68,收款金额))),2))</f>
        <v/>
      </c>
      <c r="S68" s="40" t="str">
        <f aca="false">IF($Y68="","",ROUND(MAX(0,$T68)-$R68,2))</f>
        <v/>
      </c>
      <c r="T68" s="48" t="str">
        <f aca="false">IF($Y68="","",ROUND(SUMIF(应收键,$Y68,应收金额)-SUMIF(收款键,$Y68,收款金额),2))</f>
        <v/>
      </c>
      <c r="U68" s="49" t="str">
        <f aca="true">IF($AA68="","",IF($T68&lt;=0.01,"",MAX(0,TODAY()-$AA68)))</f>
        <v/>
      </c>
      <c r="V68" s="50" t="str">
        <f aca="true">IF($Y68="","",IF($T68&gt;0.01,IF(AND(ISNUMBER($U68),$U68&gt;=账龄预警天),"▲欠款拖了 "&amp;TEXT($U68,"0")&amp;" 天","欠款未清"),IF($T68&lt;-0.01,"预收/多收","已结清"))&amp;IF(OR($E68="已签未回",$E68="未签",$E68="续签中")," ▲合同未回","")&amp;IF(AND(ISNUMBER($F68),$F68&lt;TODAY())," ▲合同已到期",""))</f>
        <v/>
      </c>
      <c r="W68" s="24"/>
      <c r="X68" s="35" t="str">
        <f aca="false">IF($Y68="","",IF(ROUND($H68+$I68-$N68+$Z68-$T68,2)&lt;&gt;0,"★期初＋本年－已收≠余额",IF(ROUND($R68+$S68-MAX(0,$T68),2)&lt;&gt;0,"★已开票＋未开票≠欠款",IF(ROUND($J68+$K68-$I68,2)&lt;&gt;0,"★合同款＋合同外款≠本年应收",IF(ROUND($O68+$P68+$Q68-$N68,2)&lt;&gt;0,"★发票＋收据＋现金≠本年已收","OK")))))</f>
        <v/>
      </c>
      <c r="Y68" s="35" t="str">
        <f aca="false">IF(维保合同!$C68="","",维保合同!$E68)</f>
        <v/>
      </c>
      <c r="Z68" s="40" t="str">
        <f aca="false">IF($Y68="","",ROUND(SUMIFS(应收金额,应收键,$Y68,应收年度,"&gt;"&amp;管理年度)-SUMIFS(收款金额,收款键,$Y68,收款年度,"&gt;"&amp;管理年度),2))</f>
        <v/>
      </c>
      <c r="AA68" s="47" t="str">
        <f aca="false">IF($Y68="","",IF(SUMPRODUCT(MIN(IF((应收键=$Y68)*(应收未收&gt;0.01),应收日期,999999)))&gt;=999999,"",SUMPRODUCT(MIN(IF((应收键=$Y68)*(应收未收&gt;0.01),应收日期,999999)))))</f>
        <v/>
      </c>
    </row>
    <row r="69" customFormat="false" ht="15" hidden="false" customHeight="false" outlineLevel="0" collapsed="false">
      <c r="A69" s="29" t="str">
        <f aca="false">IF($Y69="","",ROW()-4)</f>
        <v/>
      </c>
      <c r="B69" s="16" t="str">
        <f aca="false">IF($Y69="","",维保合同!$C69)</f>
        <v/>
      </c>
      <c r="C69" s="16" t="str">
        <f aca="false">IF($Y69="","",维保合同!$D69)</f>
        <v/>
      </c>
      <c r="D69" s="35" t="str">
        <f aca="false">IF($Y69="","",维保合同!$F69)</f>
        <v/>
      </c>
      <c r="E69" s="35" t="str">
        <f aca="false">IF($Y69="","",维保合同!$G69)</f>
        <v/>
      </c>
      <c r="F69" s="47" t="str">
        <f aca="false">IF($Y69="","",维保合同!$I69)</f>
        <v/>
      </c>
      <c r="G69" s="38" t="str">
        <f aca="false">IF($Y69="","",维保合同!$K69)</f>
        <v/>
      </c>
      <c r="H69" s="41" t="str">
        <f aca="false">IF($Y69="","",ROUND(SUMIFS(应收金额,应收键,$Y69,应收年度,"&lt;"&amp;管理年度)-SUMIFS(收款金额,收款键,$Y69,收款年度,"&lt;"&amp;管理年度),2))</f>
        <v/>
      </c>
      <c r="I69" s="40" t="str">
        <f aca="false">IF($Y69="","",ROUND(SUMIFS(应收金额,应收键,$Y69,应收年度,管理年度),2))</f>
        <v/>
      </c>
      <c r="J69" s="40" t="str">
        <f aca="false">IF($Y69="","",ROUND(SUMIFS(应收金额,应收键,$Y69,应收年度,管理年度,应收款别,"合同款"),2))</f>
        <v/>
      </c>
      <c r="K69" s="40" t="str">
        <f aca="false">IF($Y69="","",ROUND($I69-$J69,2))</f>
        <v/>
      </c>
      <c r="L69" s="40" t="str">
        <f aca="false">IF($Y69="","",ROUND(SUMIFS(应收开票额,应收键,$Y69,应收开票年度,管理年度),2))</f>
        <v/>
      </c>
      <c r="M69" s="40" t="str">
        <f aca="false">IF($Y69="","",ROUND($I69-$L69,2))</f>
        <v/>
      </c>
      <c r="N69" s="40" t="str">
        <f aca="false">IF($Y69="","",ROUND(SUMIFS(收款金额,收款键,$Y69,收款年度,管理年度),2))</f>
        <v/>
      </c>
      <c r="O69" s="40" t="str">
        <f aca="false">IF($Y69="","",ROUND(SUMIFS(收款金额,收款键,$Y69,收款年度,管理年度,收款归类,"发票"),2))</f>
        <v/>
      </c>
      <c r="P69" s="40" t="str">
        <f aca="false">IF($Y69="","",ROUND(SUMIFS(收款金额,收款键,$Y69,收款年度,管理年度,收款归类,"收据"),2))</f>
        <v/>
      </c>
      <c r="Q69" s="40" t="str">
        <f aca="false">IF($Y69="","",ROUND(SUMIFS(收款金额,收款键,$Y69,收款年度,管理年度,收款归类,"现金无票"),2))</f>
        <v/>
      </c>
      <c r="R69" s="40" t="str">
        <f aca="false">IF($Y69="","",ROUND(MAX(0,MIN($T69,SUMIF(应收键,$Y69,应收开票额)-SUMIF(收款键,$Y69,收款金额))),2))</f>
        <v/>
      </c>
      <c r="S69" s="40" t="str">
        <f aca="false">IF($Y69="","",ROUND(MAX(0,$T69)-$R69,2))</f>
        <v/>
      </c>
      <c r="T69" s="48" t="str">
        <f aca="false">IF($Y69="","",ROUND(SUMIF(应收键,$Y69,应收金额)-SUMIF(收款键,$Y69,收款金额),2))</f>
        <v/>
      </c>
      <c r="U69" s="49" t="str">
        <f aca="true">IF($AA69="","",IF($T69&lt;=0.01,"",MAX(0,TODAY()-$AA69)))</f>
        <v/>
      </c>
      <c r="V69" s="50" t="str">
        <f aca="true">IF($Y69="","",IF($T69&gt;0.01,IF(AND(ISNUMBER($U69),$U69&gt;=账龄预警天),"▲欠款拖了 "&amp;TEXT($U69,"0")&amp;" 天","欠款未清"),IF($T69&lt;-0.01,"预收/多收","已结清"))&amp;IF(OR($E69="已签未回",$E69="未签",$E69="续签中")," ▲合同未回","")&amp;IF(AND(ISNUMBER($F69),$F69&lt;TODAY())," ▲合同已到期",""))</f>
        <v/>
      </c>
      <c r="W69" s="24"/>
      <c r="X69" s="35" t="str">
        <f aca="false">IF($Y69="","",IF(ROUND($H69+$I69-$N69+$Z69-$T69,2)&lt;&gt;0,"★期初＋本年－已收≠余额",IF(ROUND($R69+$S69-MAX(0,$T69),2)&lt;&gt;0,"★已开票＋未开票≠欠款",IF(ROUND($J69+$K69-$I69,2)&lt;&gt;0,"★合同款＋合同外款≠本年应收",IF(ROUND($O69+$P69+$Q69-$N69,2)&lt;&gt;0,"★发票＋收据＋现金≠本年已收","OK")))))</f>
        <v/>
      </c>
      <c r="Y69" s="35" t="str">
        <f aca="false">IF(维保合同!$C69="","",维保合同!$E69)</f>
        <v/>
      </c>
      <c r="Z69" s="40" t="str">
        <f aca="false">IF($Y69="","",ROUND(SUMIFS(应收金额,应收键,$Y69,应收年度,"&gt;"&amp;管理年度)-SUMIFS(收款金额,收款键,$Y69,收款年度,"&gt;"&amp;管理年度),2))</f>
        <v/>
      </c>
      <c r="AA69" s="47" t="str">
        <f aca="false">IF($Y69="","",IF(SUMPRODUCT(MIN(IF((应收键=$Y69)*(应收未收&gt;0.01),应收日期,999999)))&gt;=999999,"",SUMPRODUCT(MIN(IF((应收键=$Y69)*(应收未收&gt;0.01),应收日期,999999)))))</f>
        <v/>
      </c>
    </row>
    <row r="70" customFormat="false" ht="15" hidden="false" customHeight="false" outlineLevel="0" collapsed="false">
      <c r="A70" s="29" t="str">
        <f aca="false">IF($Y70="","",ROW()-4)</f>
        <v/>
      </c>
      <c r="B70" s="16" t="str">
        <f aca="false">IF($Y70="","",维保合同!$C70)</f>
        <v/>
      </c>
      <c r="C70" s="16" t="str">
        <f aca="false">IF($Y70="","",维保合同!$D70)</f>
        <v/>
      </c>
      <c r="D70" s="35" t="str">
        <f aca="false">IF($Y70="","",维保合同!$F70)</f>
        <v/>
      </c>
      <c r="E70" s="35" t="str">
        <f aca="false">IF($Y70="","",维保合同!$G70)</f>
        <v/>
      </c>
      <c r="F70" s="47" t="str">
        <f aca="false">IF($Y70="","",维保合同!$I70)</f>
        <v/>
      </c>
      <c r="G70" s="38" t="str">
        <f aca="false">IF($Y70="","",维保合同!$K70)</f>
        <v/>
      </c>
      <c r="H70" s="41" t="str">
        <f aca="false">IF($Y70="","",ROUND(SUMIFS(应收金额,应收键,$Y70,应收年度,"&lt;"&amp;管理年度)-SUMIFS(收款金额,收款键,$Y70,收款年度,"&lt;"&amp;管理年度),2))</f>
        <v/>
      </c>
      <c r="I70" s="40" t="str">
        <f aca="false">IF($Y70="","",ROUND(SUMIFS(应收金额,应收键,$Y70,应收年度,管理年度),2))</f>
        <v/>
      </c>
      <c r="J70" s="40" t="str">
        <f aca="false">IF($Y70="","",ROUND(SUMIFS(应收金额,应收键,$Y70,应收年度,管理年度,应收款别,"合同款"),2))</f>
        <v/>
      </c>
      <c r="K70" s="40" t="str">
        <f aca="false">IF($Y70="","",ROUND($I70-$J70,2))</f>
        <v/>
      </c>
      <c r="L70" s="40" t="str">
        <f aca="false">IF($Y70="","",ROUND(SUMIFS(应收开票额,应收键,$Y70,应收开票年度,管理年度),2))</f>
        <v/>
      </c>
      <c r="M70" s="40" t="str">
        <f aca="false">IF($Y70="","",ROUND($I70-$L70,2))</f>
        <v/>
      </c>
      <c r="N70" s="40" t="str">
        <f aca="false">IF($Y70="","",ROUND(SUMIFS(收款金额,收款键,$Y70,收款年度,管理年度),2))</f>
        <v/>
      </c>
      <c r="O70" s="40" t="str">
        <f aca="false">IF($Y70="","",ROUND(SUMIFS(收款金额,收款键,$Y70,收款年度,管理年度,收款归类,"发票"),2))</f>
        <v/>
      </c>
      <c r="P70" s="40" t="str">
        <f aca="false">IF($Y70="","",ROUND(SUMIFS(收款金额,收款键,$Y70,收款年度,管理年度,收款归类,"收据"),2))</f>
        <v/>
      </c>
      <c r="Q70" s="40" t="str">
        <f aca="false">IF($Y70="","",ROUND(SUMIFS(收款金额,收款键,$Y70,收款年度,管理年度,收款归类,"现金无票"),2))</f>
        <v/>
      </c>
      <c r="R70" s="40" t="str">
        <f aca="false">IF($Y70="","",ROUND(MAX(0,MIN($T70,SUMIF(应收键,$Y70,应收开票额)-SUMIF(收款键,$Y70,收款金额))),2))</f>
        <v/>
      </c>
      <c r="S70" s="40" t="str">
        <f aca="false">IF($Y70="","",ROUND(MAX(0,$T70)-$R70,2))</f>
        <v/>
      </c>
      <c r="T70" s="48" t="str">
        <f aca="false">IF($Y70="","",ROUND(SUMIF(应收键,$Y70,应收金额)-SUMIF(收款键,$Y70,收款金额),2))</f>
        <v/>
      </c>
      <c r="U70" s="49" t="str">
        <f aca="true">IF($AA70="","",IF($T70&lt;=0.01,"",MAX(0,TODAY()-$AA70)))</f>
        <v/>
      </c>
      <c r="V70" s="50" t="str">
        <f aca="true">IF($Y70="","",IF($T70&gt;0.01,IF(AND(ISNUMBER($U70),$U70&gt;=账龄预警天),"▲欠款拖了 "&amp;TEXT($U70,"0")&amp;" 天","欠款未清"),IF($T70&lt;-0.01,"预收/多收","已结清"))&amp;IF(OR($E70="已签未回",$E70="未签",$E70="续签中")," ▲合同未回","")&amp;IF(AND(ISNUMBER($F70),$F70&lt;TODAY())," ▲合同已到期",""))</f>
        <v/>
      </c>
      <c r="W70" s="24"/>
      <c r="X70" s="35" t="str">
        <f aca="false">IF($Y70="","",IF(ROUND($H70+$I70-$N70+$Z70-$T70,2)&lt;&gt;0,"★期初＋本年－已收≠余额",IF(ROUND($R70+$S70-MAX(0,$T70),2)&lt;&gt;0,"★已开票＋未开票≠欠款",IF(ROUND($J70+$K70-$I70,2)&lt;&gt;0,"★合同款＋合同外款≠本年应收",IF(ROUND($O70+$P70+$Q70-$N70,2)&lt;&gt;0,"★发票＋收据＋现金≠本年已收","OK")))))</f>
        <v/>
      </c>
      <c r="Y70" s="35" t="str">
        <f aca="false">IF(维保合同!$C70="","",维保合同!$E70)</f>
        <v/>
      </c>
      <c r="Z70" s="40" t="str">
        <f aca="false">IF($Y70="","",ROUND(SUMIFS(应收金额,应收键,$Y70,应收年度,"&gt;"&amp;管理年度)-SUMIFS(收款金额,收款键,$Y70,收款年度,"&gt;"&amp;管理年度),2))</f>
        <v/>
      </c>
      <c r="AA70" s="47" t="str">
        <f aca="false">IF($Y70="","",IF(SUMPRODUCT(MIN(IF((应收键=$Y70)*(应收未收&gt;0.01),应收日期,999999)))&gt;=999999,"",SUMPRODUCT(MIN(IF((应收键=$Y70)*(应收未收&gt;0.01),应收日期,999999)))))</f>
        <v/>
      </c>
    </row>
    <row r="71" customFormat="false" ht="15" hidden="false" customHeight="false" outlineLevel="0" collapsed="false">
      <c r="A71" s="29" t="str">
        <f aca="false">IF($Y71="","",ROW()-4)</f>
        <v/>
      </c>
      <c r="B71" s="16" t="str">
        <f aca="false">IF($Y71="","",维保合同!$C71)</f>
        <v/>
      </c>
      <c r="C71" s="16" t="str">
        <f aca="false">IF($Y71="","",维保合同!$D71)</f>
        <v/>
      </c>
      <c r="D71" s="35" t="str">
        <f aca="false">IF($Y71="","",维保合同!$F71)</f>
        <v/>
      </c>
      <c r="E71" s="35" t="str">
        <f aca="false">IF($Y71="","",维保合同!$G71)</f>
        <v/>
      </c>
      <c r="F71" s="47" t="str">
        <f aca="false">IF($Y71="","",维保合同!$I71)</f>
        <v/>
      </c>
      <c r="G71" s="38" t="str">
        <f aca="false">IF($Y71="","",维保合同!$K71)</f>
        <v/>
      </c>
      <c r="H71" s="41" t="str">
        <f aca="false">IF($Y71="","",ROUND(SUMIFS(应收金额,应收键,$Y71,应收年度,"&lt;"&amp;管理年度)-SUMIFS(收款金额,收款键,$Y71,收款年度,"&lt;"&amp;管理年度),2))</f>
        <v/>
      </c>
      <c r="I71" s="40" t="str">
        <f aca="false">IF($Y71="","",ROUND(SUMIFS(应收金额,应收键,$Y71,应收年度,管理年度),2))</f>
        <v/>
      </c>
      <c r="J71" s="40" t="str">
        <f aca="false">IF($Y71="","",ROUND(SUMIFS(应收金额,应收键,$Y71,应收年度,管理年度,应收款别,"合同款"),2))</f>
        <v/>
      </c>
      <c r="K71" s="40" t="str">
        <f aca="false">IF($Y71="","",ROUND($I71-$J71,2))</f>
        <v/>
      </c>
      <c r="L71" s="40" t="str">
        <f aca="false">IF($Y71="","",ROUND(SUMIFS(应收开票额,应收键,$Y71,应收开票年度,管理年度),2))</f>
        <v/>
      </c>
      <c r="M71" s="40" t="str">
        <f aca="false">IF($Y71="","",ROUND($I71-$L71,2))</f>
        <v/>
      </c>
      <c r="N71" s="40" t="str">
        <f aca="false">IF($Y71="","",ROUND(SUMIFS(收款金额,收款键,$Y71,收款年度,管理年度),2))</f>
        <v/>
      </c>
      <c r="O71" s="40" t="str">
        <f aca="false">IF($Y71="","",ROUND(SUMIFS(收款金额,收款键,$Y71,收款年度,管理年度,收款归类,"发票"),2))</f>
        <v/>
      </c>
      <c r="P71" s="40" t="str">
        <f aca="false">IF($Y71="","",ROUND(SUMIFS(收款金额,收款键,$Y71,收款年度,管理年度,收款归类,"收据"),2))</f>
        <v/>
      </c>
      <c r="Q71" s="40" t="str">
        <f aca="false">IF($Y71="","",ROUND(SUMIFS(收款金额,收款键,$Y71,收款年度,管理年度,收款归类,"现金无票"),2))</f>
        <v/>
      </c>
      <c r="R71" s="40" t="str">
        <f aca="false">IF($Y71="","",ROUND(MAX(0,MIN($T71,SUMIF(应收键,$Y71,应收开票额)-SUMIF(收款键,$Y71,收款金额))),2))</f>
        <v/>
      </c>
      <c r="S71" s="40" t="str">
        <f aca="false">IF($Y71="","",ROUND(MAX(0,$T71)-$R71,2))</f>
        <v/>
      </c>
      <c r="T71" s="48" t="str">
        <f aca="false">IF($Y71="","",ROUND(SUMIF(应收键,$Y71,应收金额)-SUMIF(收款键,$Y71,收款金额),2))</f>
        <v/>
      </c>
      <c r="U71" s="49" t="str">
        <f aca="true">IF($AA71="","",IF($T71&lt;=0.01,"",MAX(0,TODAY()-$AA71)))</f>
        <v/>
      </c>
      <c r="V71" s="50" t="str">
        <f aca="true">IF($Y71="","",IF($T71&gt;0.01,IF(AND(ISNUMBER($U71),$U71&gt;=账龄预警天),"▲欠款拖了 "&amp;TEXT($U71,"0")&amp;" 天","欠款未清"),IF($T71&lt;-0.01,"预收/多收","已结清"))&amp;IF(OR($E71="已签未回",$E71="未签",$E71="续签中")," ▲合同未回","")&amp;IF(AND(ISNUMBER($F71),$F71&lt;TODAY())," ▲合同已到期",""))</f>
        <v/>
      </c>
      <c r="W71" s="24"/>
      <c r="X71" s="35" t="str">
        <f aca="false">IF($Y71="","",IF(ROUND($H71+$I71-$N71+$Z71-$T71,2)&lt;&gt;0,"★期初＋本年－已收≠余额",IF(ROUND($R71+$S71-MAX(0,$T71),2)&lt;&gt;0,"★已开票＋未开票≠欠款",IF(ROUND($J71+$K71-$I71,2)&lt;&gt;0,"★合同款＋合同外款≠本年应收",IF(ROUND($O71+$P71+$Q71-$N71,2)&lt;&gt;0,"★发票＋收据＋现金≠本年已收","OK")))))</f>
        <v/>
      </c>
      <c r="Y71" s="35" t="str">
        <f aca="false">IF(维保合同!$C71="","",维保合同!$E71)</f>
        <v/>
      </c>
      <c r="Z71" s="40" t="str">
        <f aca="false">IF($Y71="","",ROUND(SUMIFS(应收金额,应收键,$Y71,应收年度,"&gt;"&amp;管理年度)-SUMIFS(收款金额,收款键,$Y71,收款年度,"&gt;"&amp;管理年度),2))</f>
        <v/>
      </c>
      <c r="AA71" s="47" t="str">
        <f aca="false">IF($Y71="","",IF(SUMPRODUCT(MIN(IF((应收键=$Y71)*(应收未收&gt;0.01),应收日期,999999)))&gt;=999999,"",SUMPRODUCT(MIN(IF((应收键=$Y71)*(应收未收&gt;0.01),应收日期,999999)))))</f>
        <v/>
      </c>
    </row>
    <row r="72" customFormat="false" ht="15" hidden="false" customHeight="false" outlineLevel="0" collapsed="false">
      <c r="A72" s="29" t="str">
        <f aca="false">IF($Y72="","",ROW()-4)</f>
        <v/>
      </c>
      <c r="B72" s="16" t="str">
        <f aca="false">IF($Y72="","",维保合同!$C72)</f>
        <v/>
      </c>
      <c r="C72" s="16" t="str">
        <f aca="false">IF($Y72="","",维保合同!$D72)</f>
        <v/>
      </c>
      <c r="D72" s="35" t="str">
        <f aca="false">IF($Y72="","",维保合同!$F72)</f>
        <v/>
      </c>
      <c r="E72" s="35" t="str">
        <f aca="false">IF($Y72="","",维保合同!$G72)</f>
        <v/>
      </c>
      <c r="F72" s="47" t="str">
        <f aca="false">IF($Y72="","",维保合同!$I72)</f>
        <v/>
      </c>
      <c r="G72" s="38" t="str">
        <f aca="false">IF($Y72="","",维保合同!$K72)</f>
        <v/>
      </c>
      <c r="H72" s="41" t="str">
        <f aca="false">IF($Y72="","",ROUND(SUMIFS(应收金额,应收键,$Y72,应收年度,"&lt;"&amp;管理年度)-SUMIFS(收款金额,收款键,$Y72,收款年度,"&lt;"&amp;管理年度),2))</f>
        <v/>
      </c>
      <c r="I72" s="40" t="str">
        <f aca="false">IF($Y72="","",ROUND(SUMIFS(应收金额,应收键,$Y72,应收年度,管理年度),2))</f>
        <v/>
      </c>
      <c r="J72" s="40" t="str">
        <f aca="false">IF($Y72="","",ROUND(SUMIFS(应收金额,应收键,$Y72,应收年度,管理年度,应收款别,"合同款"),2))</f>
        <v/>
      </c>
      <c r="K72" s="40" t="str">
        <f aca="false">IF($Y72="","",ROUND($I72-$J72,2))</f>
        <v/>
      </c>
      <c r="L72" s="40" t="str">
        <f aca="false">IF($Y72="","",ROUND(SUMIFS(应收开票额,应收键,$Y72,应收开票年度,管理年度),2))</f>
        <v/>
      </c>
      <c r="M72" s="40" t="str">
        <f aca="false">IF($Y72="","",ROUND($I72-$L72,2))</f>
        <v/>
      </c>
      <c r="N72" s="40" t="str">
        <f aca="false">IF($Y72="","",ROUND(SUMIFS(收款金额,收款键,$Y72,收款年度,管理年度),2))</f>
        <v/>
      </c>
      <c r="O72" s="40" t="str">
        <f aca="false">IF($Y72="","",ROUND(SUMIFS(收款金额,收款键,$Y72,收款年度,管理年度,收款归类,"发票"),2))</f>
        <v/>
      </c>
      <c r="P72" s="40" t="str">
        <f aca="false">IF($Y72="","",ROUND(SUMIFS(收款金额,收款键,$Y72,收款年度,管理年度,收款归类,"收据"),2))</f>
        <v/>
      </c>
      <c r="Q72" s="40" t="str">
        <f aca="false">IF($Y72="","",ROUND(SUMIFS(收款金额,收款键,$Y72,收款年度,管理年度,收款归类,"现金无票"),2))</f>
        <v/>
      </c>
      <c r="R72" s="40" t="str">
        <f aca="false">IF($Y72="","",ROUND(MAX(0,MIN($T72,SUMIF(应收键,$Y72,应收开票额)-SUMIF(收款键,$Y72,收款金额))),2))</f>
        <v/>
      </c>
      <c r="S72" s="40" t="str">
        <f aca="false">IF($Y72="","",ROUND(MAX(0,$T72)-$R72,2))</f>
        <v/>
      </c>
      <c r="T72" s="48" t="str">
        <f aca="false">IF($Y72="","",ROUND(SUMIF(应收键,$Y72,应收金额)-SUMIF(收款键,$Y72,收款金额),2))</f>
        <v/>
      </c>
      <c r="U72" s="49" t="str">
        <f aca="true">IF($AA72="","",IF($T72&lt;=0.01,"",MAX(0,TODAY()-$AA72)))</f>
        <v/>
      </c>
      <c r="V72" s="50" t="str">
        <f aca="true">IF($Y72="","",IF($T72&gt;0.01,IF(AND(ISNUMBER($U72),$U72&gt;=账龄预警天),"▲欠款拖了 "&amp;TEXT($U72,"0")&amp;" 天","欠款未清"),IF($T72&lt;-0.01,"预收/多收","已结清"))&amp;IF(OR($E72="已签未回",$E72="未签",$E72="续签中")," ▲合同未回","")&amp;IF(AND(ISNUMBER($F72),$F72&lt;TODAY())," ▲合同已到期",""))</f>
        <v/>
      </c>
      <c r="W72" s="24"/>
      <c r="X72" s="35" t="str">
        <f aca="false">IF($Y72="","",IF(ROUND($H72+$I72-$N72+$Z72-$T72,2)&lt;&gt;0,"★期初＋本年－已收≠余额",IF(ROUND($R72+$S72-MAX(0,$T72),2)&lt;&gt;0,"★已开票＋未开票≠欠款",IF(ROUND($J72+$K72-$I72,2)&lt;&gt;0,"★合同款＋合同外款≠本年应收",IF(ROUND($O72+$P72+$Q72-$N72,2)&lt;&gt;0,"★发票＋收据＋现金≠本年已收","OK")))))</f>
        <v/>
      </c>
      <c r="Y72" s="35" t="str">
        <f aca="false">IF(维保合同!$C72="","",维保合同!$E72)</f>
        <v/>
      </c>
      <c r="Z72" s="40" t="str">
        <f aca="false">IF($Y72="","",ROUND(SUMIFS(应收金额,应收键,$Y72,应收年度,"&gt;"&amp;管理年度)-SUMIFS(收款金额,收款键,$Y72,收款年度,"&gt;"&amp;管理年度),2))</f>
        <v/>
      </c>
      <c r="AA72" s="47" t="str">
        <f aca="false">IF($Y72="","",IF(SUMPRODUCT(MIN(IF((应收键=$Y72)*(应收未收&gt;0.01),应收日期,999999)))&gt;=999999,"",SUMPRODUCT(MIN(IF((应收键=$Y72)*(应收未收&gt;0.01),应收日期,999999)))))</f>
        <v/>
      </c>
    </row>
    <row r="73" customFormat="false" ht="15" hidden="false" customHeight="false" outlineLevel="0" collapsed="false">
      <c r="A73" s="29" t="str">
        <f aca="false">IF($Y73="","",ROW()-4)</f>
        <v/>
      </c>
      <c r="B73" s="16" t="str">
        <f aca="false">IF($Y73="","",维保合同!$C73)</f>
        <v/>
      </c>
      <c r="C73" s="16" t="str">
        <f aca="false">IF($Y73="","",维保合同!$D73)</f>
        <v/>
      </c>
      <c r="D73" s="35" t="str">
        <f aca="false">IF($Y73="","",维保合同!$F73)</f>
        <v/>
      </c>
      <c r="E73" s="35" t="str">
        <f aca="false">IF($Y73="","",维保合同!$G73)</f>
        <v/>
      </c>
      <c r="F73" s="47" t="str">
        <f aca="false">IF($Y73="","",维保合同!$I73)</f>
        <v/>
      </c>
      <c r="G73" s="38" t="str">
        <f aca="false">IF($Y73="","",维保合同!$K73)</f>
        <v/>
      </c>
      <c r="H73" s="41" t="str">
        <f aca="false">IF($Y73="","",ROUND(SUMIFS(应收金额,应收键,$Y73,应收年度,"&lt;"&amp;管理年度)-SUMIFS(收款金额,收款键,$Y73,收款年度,"&lt;"&amp;管理年度),2))</f>
        <v/>
      </c>
      <c r="I73" s="40" t="str">
        <f aca="false">IF($Y73="","",ROUND(SUMIFS(应收金额,应收键,$Y73,应收年度,管理年度),2))</f>
        <v/>
      </c>
      <c r="J73" s="40" t="str">
        <f aca="false">IF($Y73="","",ROUND(SUMIFS(应收金额,应收键,$Y73,应收年度,管理年度,应收款别,"合同款"),2))</f>
        <v/>
      </c>
      <c r="K73" s="40" t="str">
        <f aca="false">IF($Y73="","",ROUND($I73-$J73,2))</f>
        <v/>
      </c>
      <c r="L73" s="40" t="str">
        <f aca="false">IF($Y73="","",ROUND(SUMIFS(应收开票额,应收键,$Y73,应收开票年度,管理年度),2))</f>
        <v/>
      </c>
      <c r="M73" s="40" t="str">
        <f aca="false">IF($Y73="","",ROUND($I73-$L73,2))</f>
        <v/>
      </c>
      <c r="N73" s="40" t="str">
        <f aca="false">IF($Y73="","",ROUND(SUMIFS(收款金额,收款键,$Y73,收款年度,管理年度),2))</f>
        <v/>
      </c>
      <c r="O73" s="40" t="str">
        <f aca="false">IF($Y73="","",ROUND(SUMIFS(收款金额,收款键,$Y73,收款年度,管理年度,收款归类,"发票"),2))</f>
        <v/>
      </c>
      <c r="P73" s="40" t="str">
        <f aca="false">IF($Y73="","",ROUND(SUMIFS(收款金额,收款键,$Y73,收款年度,管理年度,收款归类,"收据"),2))</f>
        <v/>
      </c>
      <c r="Q73" s="40" t="str">
        <f aca="false">IF($Y73="","",ROUND(SUMIFS(收款金额,收款键,$Y73,收款年度,管理年度,收款归类,"现金无票"),2))</f>
        <v/>
      </c>
      <c r="R73" s="40" t="str">
        <f aca="false">IF($Y73="","",ROUND(MAX(0,MIN($T73,SUMIF(应收键,$Y73,应收开票额)-SUMIF(收款键,$Y73,收款金额))),2))</f>
        <v/>
      </c>
      <c r="S73" s="40" t="str">
        <f aca="false">IF($Y73="","",ROUND(MAX(0,$T73)-$R73,2))</f>
        <v/>
      </c>
      <c r="T73" s="48" t="str">
        <f aca="false">IF($Y73="","",ROUND(SUMIF(应收键,$Y73,应收金额)-SUMIF(收款键,$Y73,收款金额),2))</f>
        <v/>
      </c>
      <c r="U73" s="49" t="str">
        <f aca="true">IF($AA73="","",IF($T73&lt;=0.01,"",MAX(0,TODAY()-$AA73)))</f>
        <v/>
      </c>
      <c r="V73" s="50" t="str">
        <f aca="true">IF($Y73="","",IF($T73&gt;0.01,IF(AND(ISNUMBER($U73),$U73&gt;=账龄预警天),"▲欠款拖了 "&amp;TEXT($U73,"0")&amp;" 天","欠款未清"),IF($T73&lt;-0.01,"预收/多收","已结清"))&amp;IF(OR($E73="已签未回",$E73="未签",$E73="续签中")," ▲合同未回","")&amp;IF(AND(ISNUMBER($F73),$F73&lt;TODAY())," ▲合同已到期",""))</f>
        <v/>
      </c>
      <c r="W73" s="24"/>
      <c r="X73" s="35" t="str">
        <f aca="false">IF($Y73="","",IF(ROUND($H73+$I73-$N73+$Z73-$T73,2)&lt;&gt;0,"★期初＋本年－已收≠余额",IF(ROUND($R73+$S73-MAX(0,$T73),2)&lt;&gt;0,"★已开票＋未开票≠欠款",IF(ROUND($J73+$K73-$I73,2)&lt;&gt;0,"★合同款＋合同外款≠本年应收",IF(ROUND($O73+$P73+$Q73-$N73,2)&lt;&gt;0,"★发票＋收据＋现金≠本年已收","OK")))))</f>
        <v/>
      </c>
      <c r="Y73" s="35" t="str">
        <f aca="false">IF(维保合同!$C73="","",维保合同!$E73)</f>
        <v/>
      </c>
      <c r="Z73" s="40" t="str">
        <f aca="false">IF($Y73="","",ROUND(SUMIFS(应收金额,应收键,$Y73,应收年度,"&gt;"&amp;管理年度)-SUMIFS(收款金额,收款键,$Y73,收款年度,"&gt;"&amp;管理年度),2))</f>
        <v/>
      </c>
      <c r="AA73" s="47" t="str">
        <f aca="false">IF($Y73="","",IF(SUMPRODUCT(MIN(IF((应收键=$Y73)*(应收未收&gt;0.01),应收日期,999999)))&gt;=999999,"",SUMPRODUCT(MIN(IF((应收键=$Y73)*(应收未收&gt;0.01),应收日期,999999)))))</f>
        <v/>
      </c>
    </row>
    <row r="74" customFormat="false" ht="15" hidden="false" customHeight="false" outlineLevel="0" collapsed="false">
      <c r="A74" s="29" t="str">
        <f aca="false">IF($Y74="","",ROW()-4)</f>
        <v/>
      </c>
      <c r="B74" s="16" t="str">
        <f aca="false">IF($Y74="","",维保合同!$C74)</f>
        <v/>
      </c>
      <c r="C74" s="16" t="str">
        <f aca="false">IF($Y74="","",维保合同!$D74)</f>
        <v/>
      </c>
      <c r="D74" s="35" t="str">
        <f aca="false">IF($Y74="","",维保合同!$F74)</f>
        <v/>
      </c>
      <c r="E74" s="35" t="str">
        <f aca="false">IF($Y74="","",维保合同!$G74)</f>
        <v/>
      </c>
      <c r="F74" s="47" t="str">
        <f aca="false">IF($Y74="","",维保合同!$I74)</f>
        <v/>
      </c>
      <c r="G74" s="38" t="str">
        <f aca="false">IF($Y74="","",维保合同!$K74)</f>
        <v/>
      </c>
      <c r="H74" s="41" t="str">
        <f aca="false">IF($Y74="","",ROUND(SUMIFS(应收金额,应收键,$Y74,应收年度,"&lt;"&amp;管理年度)-SUMIFS(收款金额,收款键,$Y74,收款年度,"&lt;"&amp;管理年度),2))</f>
        <v/>
      </c>
      <c r="I74" s="40" t="str">
        <f aca="false">IF($Y74="","",ROUND(SUMIFS(应收金额,应收键,$Y74,应收年度,管理年度),2))</f>
        <v/>
      </c>
      <c r="J74" s="40" t="str">
        <f aca="false">IF($Y74="","",ROUND(SUMIFS(应收金额,应收键,$Y74,应收年度,管理年度,应收款别,"合同款"),2))</f>
        <v/>
      </c>
      <c r="K74" s="40" t="str">
        <f aca="false">IF($Y74="","",ROUND($I74-$J74,2))</f>
        <v/>
      </c>
      <c r="L74" s="40" t="str">
        <f aca="false">IF($Y74="","",ROUND(SUMIFS(应收开票额,应收键,$Y74,应收开票年度,管理年度),2))</f>
        <v/>
      </c>
      <c r="M74" s="40" t="str">
        <f aca="false">IF($Y74="","",ROUND($I74-$L74,2))</f>
        <v/>
      </c>
      <c r="N74" s="40" t="str">
        <f aca="false">IF($Y74="","",ROUND(SUMIFS(收款金额,收款键,$Y74,收款年度,管理年度),2))</f>
        <v/>
      </c>
      <c r="O74" s="40" t="str">
        <f aca="false">IF($Y74="","",ROUND(SUMIFS(收款金额,收款键,$Y74,收款年度,管理年度,收款归类,"发票"),2))</f>
        <v/>
      </c>
      <c r="P74" s="40" t="str">
        <f aca="false">IF($Y74="","",ROUND(SUMIFS(收款金额,收款键,$Y74,收款年度,管理年度,收款归类,"收据"),2))</f>
        <v/>
      </c>
      <c r="Q74" s="40" t="str">
        <f aca="false">IF($Y74="","",ROUND(SUMIFS(收款金额,收款键,$Y74,收款年度,管理年度,收款归类,"现金无票"),2))</f>
        <v/>
      </c>
      <c r="R74" s="40" t="str">
        <f aca="false">IF($Y74="","",ROUND(MAX(0,MIN($T74,SUMIF(应收键,$Y74,应收开票额)-SUMIF(收款键,$Y74,收款金额))),2))</f>
        <v/>
      </c>
      <c r="S74" s="40" t="str">
        <f aca="false">IF($Y74="","",ROUND(MAX(0,$T74)-$R74,2))</f>
        <v/>
      </c>
      <c r="T74" s="48" t="str">
        <f aca="false">IF($Y74="","",ROUND(SUMIF(应收键,$Y74,应收金额)-SUMIF(收款键,$Y74,收款金额),2))</f>
        <v/>
      </c>
      <c r="U74" s="49" t="str">
        <f aca="true">IF($AA74="","",IF($T74&lt;=0.01,"",MAX(0,TODAY()-$AA74)))</f>
        <v/>
      </c>
      <c r="V74" s="50" t="str">
        <f aca="true">IF($Y74="","",IF($T74&gt;0.01,IF(AND(ISNUMBER($U74),$U74&gt;=账龄预警天),"▲欠款拖了 "&amp;TEXT($U74,"0")&amp;" 天","欠款未清"),IF($T74&lt;-0.01,"预收/多收","已结清"))&amp;IF(OR($E74="已签未回",$E74="未签",$E74="续签中")," ▲合同未回","")&amp;IF(AND(ISNUMBER($F74),$F74&lt;TODAY())," ▲合同已到期",""))</f>
        <v/>
      </c>
      <c r="W74" s="24"/>
      <c r="X74" s="35" t="str">
        <f aca="false">IF($Y74="","",IF(ROUND($H74+$I74-$N74+$Z74-$T74,2)&lt;&gt;0,"★期初＋本年－已收≠余额",IF(ROUND($R74+$S74-MAX(0,$T74),2)&lt;&gt;0,"★已开票＋未开票≠欠款",IF(ROUND($J74+$K74-$I74,2)&lt;&gt;0,"★合同款＋合同外款≠本年应收",IF(ROUND($O74+$P74+$Q74-$N74,2)&lt;&gt;0,"★发票＋收据＋现金≠本年已收","OK")))))</f>
        <v/>
      </c>
      <c r="Y74" s="35" t="str">
        <f aca="false">IF(维保合同!$C74="","",维保合同!$E74)</f>
        <v/>
      </c>
      <c r="Z74" s="40" t="str">
        <f aca="false">IF($Y74="","",ROUND(SUMIFS(应收金额,应收键,$Y74,应收年度,"&gt;"&amp;管理年度)-SUMIFS(收款金额,收款键,$Y74,收款年度,"&gt;"&amp;管理年度),2))</f>
        <v/>
      </c>
      <c r="AA74" s="47" t="str">
        <f aca="false">IF($Y74="","",IF(SUMPRODUCT(MIN(IF((应收键=$Y74)*(应收未收&gt;0.01),应收日期,999999)))&gt;=999999,"",SUMPRODUCT(MIN(IF((应收键=$Y74)*(应收未收&gt;0.01),应收日期,999999)))))</f>
        <v/>
      </c>
    </row>
    <row r="75" customFormat="false" ht="15" hidden="false" customHeight="false" outlineLevel="0" collapsed="false">
      <c r="A75" s="29" t="str">
        <f aca="false">IF($Y75="","",ROW()-4)</f>
        <v/>
      </c>
      <c r="B75" s="16" t="str">
        <f aca="false">IF($Y75="","",维保合同!$C75)</f>
        <v/>
      </c>
      <c r="C75" s="16" t="str">
        <f aca="false">IF($Y75="","",维保合同!$D75)</f>
        <v/>
      </c>
      <c r="D75" s="35" t="str">
        <f aca="false">IF($Y75="","",维保合同!$F75)</f>
        <v/>
      </c>
      <c r="E75" s="35" t="str">
        <f aca="false">IF($Y75="","",维保合同!$G75)</f>
        <v/>
      </c>
      <c r="F75" s="47" t="str">
        <f aca="false">IF($Y75="","",维保合同!$I75)</f>
        <v/>
      </c>
      <c r="G75" s="38" t="str">
        <f aca="false">IF($Y75="","",维保合同!$K75)</f>
        <v/>
      </c>
      <c r="H75" s="41" t="str">
        <f aca="false">IF($Y75="","",ROUND(SUMIFS(应收金额,应收键,$Y75,应收年度,"&lt;"&amp;管理年度)-SUMIFS(收款金额,收款键,$Y75,收款年度,"&lt;"&amp;管理年度),2))</f>
        <v/>
      </c>
      <c r="I75" s="40" t="str">
        <f aca="false">IF($Y75="","",ROUND(SUMIFS(应收金额,应收键,$Y75,应收年度,管理年度),2))</f>
        <v/>
      </c>
      <c r="J75" s="40" t="str">
        <f aca="false">IF($Y75="","",ROUND(SUMIFS(应收金额,应收键,$Y75,应收年度,管理年度,应收款别,"合同款"),2))</f>
        <v/>
      </c>
      <c r="K75" s="40" t="str">
        <f aca="false">IF($Y75="","",ROUND($I75-$J75,2))</f>
        <v/>
      </c>
      <c r="L75" s="40" t="str">
        <f aca="false">IF($Y75="","",ROUND(SUMIFS(应收开票额,应收键,$Y75,应收开票年度,管理年度),2))</f>
        <v/>
      </c>
      <c r="M75" s="40" t="str">
        <f aca="false">IF($Y75="","",ROUND($I75-$L75,2))</f>
        <v/>
      </c>
      <c r="N75" s="40" t="str">
        <f aca="false">IF($Y75="","",ROUND(SUMIFS(收款金额,收款键,$Y75,收款年度,管理年度),2))</f>
        <v/>
      </c>
      <c r="O75" s="40" t="str">
        <f aca="false">IF($Y75="","",ROUND(SUMIFS(收款金额,收款键,$Y75,收款年度,管理年度,收款归类,"发票"),2))</f>
        <v/>
      </c>
      <c r="P75" s="40" t="str">
        <f aca="false">IF($Y75="","",ROUND(SUMIFS(收款金额,收款键,$Y75,收款年度,管理年度,收款归类,"收据"),2))</f>
        <v/>
      </c>
      <c r="Q75" s="40" t="str">
        <f aca="false">IF($Y75="","",ROUND(SUMIFS(收款金额,收款键,$Y75,收款年度,管理年度,收款归类,"现金无票"),2))</f>
        <v/>
      </c>
      <c r="R75" s="40" t="str">
        <f aca="false">IF($Y75="","",ROUND(MAX(0,MIN($T75,SUMIF(应收键,$Y75,应收开票额)-SUMIF(收款键,$Y75,收款金额))),2))</f>
        <v/>
      </c>
      <c r="S75" s="40" t="str">
        <f aca="false">IF($Y75="","",ROUND(MAX(0,$T75)-$R75,2))</f>
        <v/>
      </c>
      <c r="T75" s="48" t="str">
        <f aca="false">IF($Y75="","",ROUND(SUMIF(应收键,$Y75,应收金额)-SUMIF(收款键,$Y75,收款金额),2))</f>
        <v/>
      </c>
      <c r="U75" s="49" t="str">
        <f aca="true">IF($AA75="","",IF($T75&lt;=0.01,"",MAX(0,TODAY()-$AA75)))</f>
        <v/>
      </c>
      <c r="V75" s="50" t="str">
        <f aca="true">IF($Y75="","",IF($T75&gt;0.01,IF(AND(ISNUMBER($U75),$U75&gt;=账龄预警天),"▲欠款拖了 "&amp;TEXT($U75,"0")&amp;" 天","欠款未清"),IF($T75&lt;-0.01,"预收/多收","已结清"))&amp;IF(OR($E75="已签未回",$E75="未签",$E75="续签中")," ▲合同未回","")&amp;IF(AND(ISNUMBER($F75),$F75&lt;TODAY())," ▲合同已到期",""))</f>
        <v/>
      </c>
      <c r="W75" s="24"/>
      <c r="X75" s="35" t="str">
        <f aca="false">IF($Y75="","",IF(ROUND($H75+$I75-$N75+$Z75-$T75,2)&lt;&gt;0,"★期初＋本年－已收≠余额",IF(ROUND($R75+$S75-MAX(0,$T75),2)&lt;&gt;0,"★已开票＋未开票≠欠款",IF(ROUND($J75+$K75-$I75,2)&lt;&gt;0,"★合同款＋合同外款≠本年应收",IF(ROUND($O75+$P75+$Q75-$N75,2)&lt;&gt;0,"★发票＋收据＋现金≠本年已收","OK")))))</f>
        <v/>
      </c>
      <c r="Y75" s="35" t="str">
        <f aca="false">IF(维保合同!$C75="","",维保合同!$E75)</f>
        <v/>
      </c>
      <c r="Z75" s="40" t="str">
        <f aca="false">IF($Y75="","",ROUND(SUMIFS(应收金额,应收键,$Y75,应收年度,"&gt;"&amp;管理年度)-SUMIFS(收款金额,收款键,$Y75,收款年度,"&gt;"&amp;管理年度),2))</f>
        <v/>
      </c>
      <c r="AA75" s="47" t="str">
        <f aca="false">IF($Y75="","",IF(SUMPRODUCT(MIN(IF((应收键=$Y75)*(应收未收&gt;0.01),应收日期,999999)))&gt;=999999,"",SUMPRODUCT(MIN(IF((应收键=$Y75)*(应收未收&gt;0.01),应收日期,999999)))))</f>
        <v/>
      </c>
    </row>
    <row r="76" customFormat="false" ht="15" hidden="false" customHeight="false" outlineLevel="0" collapsed="false">
      <c r="A76" s="29" t="str">
        <f aca="false">IF($Y76="","",ROW()-4)</f>
        <v/>
      </c>
      <c r="B76" s="16" t="str">
        <f aca="false">IF($Y76="","",维保合同!$C76)</f>
        <v/>
      </c>
      <c r="C76" s="16" t="str">
        <f aca="false">IF($Y76="","",维保合同!$D76)</f>
        <v/>
      </c>
      <c r="D76" s="35" t="str">
        <f aca="false">IF($Y76="","",维保合同!$F76)</f>
        <v/>
      </c>
      <c r="E76" s="35" t="str">
        <f aca="false">IF($Y76="","",维保合同!$G76)</f>
        <v/>
      </c>
      <c r="F76" s="47" t="str">
        <f aca="false">IF($Y76="","",维保合同!$I76)</f>
        <v/>
      </c>
      <c r="G76" s="38" t="str">
        <f aca="false">IF($Y76="","",维保合同!$K76)</f>
        <v/>
      </c>
      <c r="H76" s="41" t="str">
        <f aca="false">IF($Y76="","",ROUND(SUMIFS(应收金额,应收键,$Y76,应收年度,"&lt;"&amp;管理年度)-SUMIFS(收款金额,收款键,$Y76,收款年度,"&lt;"&amp;管理年度),2))</f>
        <v/>
      </c>
      <c r="I76" s="40" t="str">
        <f aca="false">IF($Y76="","",ROUND(SUMIFS(应收金额,应收键,$Y76,应收年度,管理年度),2))</f>
        <v/>
      </c>
      <c r="J76" s="40" t="str">
        <f aca="false">IF($Y76="","",ROUND(SUMIFS(应收金额,应收键,$Y76,应收年度,管理年度,应收款别,"合同款"),2))</f>
        <v/>
      </c>
      <c r="K76" s="40" t="str">
        <f aca="false">IF($Y76="","",ROUND($I76-$J76,2))</f>
        <v/>
      </c>
      <c r="L76" s="40" t="str">
        <f aca="false">IF($Y76="","",ROUND(SUMIFS(应收开票额,应收键,$Y76,应收开票年度,管理年度),2))</f>
        <v/>
      </c>
      <c r="M76" s="40" t="str">
        <f aca="false">IF($Y76="","",ROUND($I76-$L76,2))</f>
        <v/>
      </c>
      <c r="N76" s="40" t="str">
        <f aca="false">IF($Y76="","",ROUND(SUMIFS(收款金额,收款键,$Y76,收款年度,管理年度),2))</f>
        <v/>
      </c>
      <c r="O76" s="40" t="str">
        <f aca="false">IF($Y76="","",ROUND(SUMIFS(收款金额,收款键,$Y76,收款年度,管理年度,收款归类,"发票"),2))</f>
        <v/>
      </c>
      <c r="P76" s="40" t="str">
        <f aca="false">IF($Y76="","",ROUND(SUMIFS(收款金额,收款键,$Y76,收款年度,管理年度,收款归类,"收据"),2))</f>
        <v/>
      </c>
      <c r="Q76" s="40" t="str">
        <f aca="false">IF($Y76="","",ROUND(SUMIFS(收款金额,收款键,$Y76,收款年度,管理年度,收款归类,"现金无票"),2))</f>
        <v/>
      </c>
      <c r="R76" s="40" t="str">
        <f aca="false">IF($Y76="","",ROUND(MAX(0,MIN($T76,SUMIF(应收键,$Y76,应收开票额)-SUMIF(收款键,$Y76,收款金额))),2))</f>
        <v/>
      </c>
      <c r="S76" s="40" t="str">
        <f aca="false">IF($Y76="","",ROUND(MAX(0,$T76)-$R76,2))</f>
        <v/>
      </c>
      <c r="T76" s="48" t="str">
        <f aca="false">IF($Y76="","",ROUND(SUMIF(应收键,$Y76,应收金额)-SUMIF(收款键,$Y76,收款金额),2))</f>
        <v/>
      </c>
      <c r="U76" s="49" t="str">
        <f aca="true">IF($AA76="","",IF($T76&lt;=0.01,"",MAX(0,TODAY()-$AA76)))</f>
        <v/>
      </c>
      <c r="V76" s="50" t="str">
        <f aca="true">IF($Y76="","",IF($T76&gt;0.01,IF(AND(ISNUMBER($U76),$U76&gt;=账龄预警天),"▲欠款拖了 "&amp;TEXT($U76,"0")&amp;" 天","欠款未清"),IF($T76&lt;-0.01,"预收/多收","已结清"))&amp;IF(OR($E76="已签未回",$E76="未签",$E76="续签中")," ▲合同未回","")&amp;IF(AND(ISNUMBER($F76),$F76&lt;TODAY())," ▲合同已到期",""))</f>
        <v/>
      </c>
      <c r="W76" s="24"/>
      <c r="X76" s="35" t="str">
        <f aca="false">IF($Y76="","",IF(ROUND($H76+$I76-$N76+$Z76-$T76,2)&lt;&gt;0,"★期初＋本年－已收≠余额",IF(ROUND($R76+$S76-MAX(0,$T76),2)&lt;&gt;0,"★已开票＋未开票≠欠款",IF(ROUND($J76+$K76-$I76,2)&lt;&gt;0,"★合同款＋合同外款≠本年应收",IF(ROUND($O76+$P76+$Q76-$N76,2)&lt;&gt;0,"★发票＋收据＋现金≠本年已收","OK")))))</f>
        <v/>
      </c>
      <c r="Y76" s="35" t="str">
        <f aca="false">IF(维保合同!$C76="","",维保合同!$E76)</f>
        <v/>
      </c>
      <c r="Z76" s="40" t="str">
        <f aca="false">IF($Y76="","",ROUND(SUMIFS(应收金额,应收键,$Y76,应收年度,"&gt;"&amp;管理年度)-SUMIFS(收款金额,收款键,$Y76,收款年度,"&gt;"&amp;管理年度),2))</f>
        <v/>
      </c>
      <c r="AA76" s="47" t="str">
        <f aca="false">IF($Y76="","",IF(SUMPRODUCT(MIN(IF((应收键=$Y76)*(应收未收&gt;0.01),应收日期,999999)))&gt;=999999,"",SUMPRODUCT(MIN(IF((应收键=$Y76)*(应收未收&gt;0.01),应收日期,999999)))))</f>
        <v/>
      </c>
    </row>
    <row r="77" customFormat="false" ht="15" hidden="false" customHeight="false" outlineLevel="0" collapsed="false">
      <c r="A77" s="29" t="str">
        <f aca="false">IF($Y77="","",ROW()-4)</f>
        <v/>
      </c>
      <c r="B77" s="16" t="str">
        <f aca="false">IF($Y77="","",维保合同!$C77)</f>
        <v/>
      </c>
      <c r="C77" s="16" t="str">
        <f aca="false">IF($Y77="","",维保合同!$D77)</f>
        <v/>
      </c>
      <c r="D77" s="35" t="str">
        <f aca="false">IF($Y77="","",维保合同!$F77)</f>
        <v/>
      </c>
      <c r="E77" s="35" t="str">
        <f aca="false">IF($Y77="","",维保合同!$G77)</f>
        <v/>
      </c>
      <c r="F77" s="47" t="str">
        <f aca="false">IF($Y77="","",维保合同!$I77)</f>
        <v/>
      </c>
      <c r="G77" s="38" t="str">
        <f aca="false">IF($Y77="","",维保合同!$K77)</f>
        <v/>
      </c>
      <c r="H77" s="41" t="str">
        <f aca="false">IF($Y77="","",ROUND(SUMIFS(应收金额,应收键,$Y77,应收年度,"&lt;"&amp;管理年度)-SUMIFS(收款金额,收款键,$Y77,收款年度,"&lt;"&amp;管理年度),2))</f>
        <v/>
      </c>
      <c r="I77" s="40" t="str">
        <f aca="false">IF($Y77="","",ROUND(SUMIFS(应收金额,应收键,$Y77,应收年度,管理年度),2))</f>
        <v/>
      </c>
      <c r="J77" s="40" t="str">
        <f aca="false">IF($Y77="","",ROUND(SUMIFS(应收金额,应收键,$Y77,应收年度,管理年度,应收款别,"合同款"),2))</f>
        <v/>
      </c>
      <c r="K77" s="40" t="str">
        <f aca="false">IF($Y77="","",ROUND($I77-$J77,2))</f>
        <v/>
      </c>
      <c r="L77" s="40" t="str">
        <f aca="false">IF($Y77="","",ROUND(SUMIFS(应收开票额,应收键,$Y77,应收开票年度,管理年度),2))</f>
        <v/>
      </c>
      <c r="M77" s="40" t="str">
        <f aca="false">IF($Y77="","",ROUND($I77-$L77,2))</f>
        <v/>
      </c>
      <c r="N77" s="40" t="str">
        <f aca="false">IF($Y77="","",ROUND(SUMIFS(收款金额,收款键,$Y77,收款年度,管理年度),2))</f>
        <v/>
      </c>
      <c r="O77" s="40" t="str">
        <f aca="false">IF($Y77="","",ROUND(SUMIFS(收款金额,收款键,$Y77,收款年度,管理年度,收款归类,"发票"),2))</f>
        <v/>
      </c>
      <c r="P77" s="40" t="str">
        <f aca="false">IF($Y77="","",ROUND(SUMIFS(收款金额,收款键,$Y77,收款年度,管理年度,收款归类,"收据"),2))</f>
        <v/>
      </c>
      <c r="Q77" s="40" t="str">
        <f aca="false">IF($Y77="","",ROUND(SUMIFS(收款金额,收款键,$Y77,收款年度,管理年度,收款归类,"现金无票"),2))</f>
        <v/>
      </c>
      <c r="R77" s="40" t="str">
        <f aca="false">IF($Y77="","",ROUND(MAX(0,MIN($T77,SUMIF(应收键,$Y77,应收开票额)-SUMIF(收款键,$Y77,收款金额))),2))</f>
        <v/>
      </c>
      <c r="S77" s="40" t="str">
        <f aca="false">IF($Y77="","",ROUND(MAX(0,$T77)-$R77,2))</f>
        <v/>
      </c>
      <c r="T77" s="48" t="str">
        <f aca="false">IF($Y77="","",ROUND(SUMIF(应收键,$Y77,应收金额)-SUMIF(收款键,$Y77,收款金额),2))</f>
        <v/>
      </c>
      <c r="U77" s="49" t="str">
        <f aca="true">IF($AA77="","",IF($T77&lt;=0.01,"",MAX(0,TODAY()-$AA77)))</f>
        <v/>
      </c>
      <c r="V77" s="50" t="str">
        <f aca="true">IF($Y77="","",IF($T77&gt;0.01,IF(AND(ISNUMBER($U77),$U77&gt;=账龄预警天),"▲欠款拖了 "&amp;TEXT($U77,"0")&amp;" 天","欠款未清"),IF($T77&lt;-0.01,"预收/多收","已结清"))&amp;IF(OR($E77="已签未回",$E77="未签",$E77="续签中")," ▲合同未回","")&amp;IF(AND(ISNUMBER($F77),$F77&lt;TODAY())," ▲合同已到期",""))</f>
        <v/>
      </c>
      <c r="W77" s="24"/>
      <c r="X77" s="35" t="str">
        <f aca="false">IF($Y77="","",IF(ROUND($H77+$I77-$N77+$Z77-$T77,2)&lt;&gt;0,"★期初＋本年－已收≠余额",IF(ROUND($R77+$S77-MAX(0,$T77),2)&lt;&gt;0,"★已开票＋未开票≠欠款",IF(ROUND($J77+$K77-$I77,2)&lt;&gt;0,"★合同款＋合同外款≠本年应收",IF(ROUND($O77+$P77+$Q77-$N77,2)&lt;&gt;0,"★发票＋收据＋现金≠本年已收","OK")))))</f>
        <v/>
      </c>
      <c r="Y77" s="35" t="str">
        <f aca="false">IF(维保合同!$C77="","",维保合同!$E77)</f>
        <v/>
      </c>
      <c r="Z77" s="40" t="str">
        <f aca="false">IF($Y77="","",ROUND(SUMIFS(应收金额,应收键,$Y77,应收年度,"&gt;"&amp;管理年度)-SUMIFS(收款金额,收款键,$Y77,收款年度,"&gt;"&amp;管理年度),2))</f>
        <v/>
      </c>
      <c r="AA77" s="47" t="str">
        <f aca="false">IF($Y77="","",IF(SUMPRODUCT(MIN(IF((应收键=$Y77)*(应收未收&gt;0.01),应收日期,999999)))&gt;=999999,"",SUMPRODUCT(MIN(IF((应收键=$Y77)*(应收未收&gt;0.01),应收日期,999999)))))</f>
        <v/>
      </c>
    </row>
    <row r="78" customFormat="false" ht="15" hidden="false" customHeight="false" outlineLevel="0" collapsed="false">
      <c r="A78" s="29" t="str">
        <f aca="false">IF($Y78="","",ROW()-4)</f>
        <v/>
      </c>
      <c r="B78" s="16" t="str">
        <f aca="false">IF($Y78="","",维保合同!$C78)</f>
        <v/>
      </c>
      <c r="C78" s="16" t="str">
        <f aca="false">IF($Y78="","",维保合同!$D78)</f>
        <v/>
      </c>
      <c r="D78" s="35" t="str">
        <f aca="false">IF($Y78="","",维保合同!$F78)</f>
        <v/>
      </c>
      <c r="E78" s="35" t="str">
        <f aca="false">IF($Y78="","",维保合同!$G78)</f>
        <v/>
      </c>
      <c r="F78" s="47" t="str">
        <f aca="false">IF($Y78="","",维保合同!$I78)</f>
        <v/>
      </c>
      <c r="G78" s="38" t="str">
        <f aca="false">IF($Y78="","",维保合同!$K78)</f>
        <v/>
      </c>
      <c r="H78" s="41" t="str">
        <f aca="false">IF($Y78="","",ROUND(SUMIFS(应收金额,应收键,$Y78,应收年度,"&lt;"&amp;管理年度)-SUMIFS(收款金额,收款键,$Y78,收款年度,"&lt;"&amp;管理年度),2))</f>
        <v/>
      </c>
      <c r="I78" s="40" t="str">
        <f aca="false">IF($Y78="","",ROUND(SUMIFS(应收金额,应收键,$Y78,应收年度,管理年度),2))</f>
        <v/>
      </c>
      <c r="J78" s="40" t="str">
        <f aca="false">IF($Y78="","",ROUND(SUMIFS(应收金额,应收键,$Y78,应收年度,管理年度,应收款别,"合同款"),2))</f>
        <v/>
      </c>
      <c r="K78" s="40" t="str">
        <f aca="false">IF($Y78="","",ROUND($I78-$J78,2))</f>
        <v/>
      </c>
      <c r="L78" s="40" t="str">
        <f aca="false">IF($Y78="","",ROUND(SUMIFS(应收开票额,应收键,$Y78,应收开票年度,管理年度),2))</f>
        <v/>
      </c>
      <c r="M78" s="40" t="str">
        <f aca="false">IF($Y78="","",ROUND($I78-$L78,2))</f>
        <v/>
      </c>
      <c r="N78" s="40" t="str">
        <f aca="false">IF($Y78="","",ROUND(SUMIFS(收款金额,收款键,$Y78,收款年度,管理年度),2))</f>
        <v/>
      </c>
      <c r="O78" s="40" t="str">
        <f aca="false">IF($Y78="","",ROUND(SUMIFS(收款金额,收款键,$Y78,收款年度,管理年度,收款归类,"发票"),2))</f>
        <v/>
      </c>
      <c r="P78" s="40" t="str">
        <f aca="false">IF($Y78="","",ROUND(SUMIFS(收款金额,收款键,$Y78,收款年度,管理年度,收款归类,"收据"),2))</f>
        <v/>
      </c>
      <c r="Q78" s="40" t="str">
        <f aca="false">IF($Y78="","",ROUND(SUMIFS(收款金额,收款键,$Y78,收款年度,管理年度,收款归类,"现金无票"),2))</f>
        <v/>
      </c>
      <c r="R78" s="40" t="str">
        <f aca="false">IF($Y78="","",ROUND(MAX(0,MIN($T78,SUMIF(应收键,$Y78,应收开票额)-SUMIF(收款键,$Y78,收款金额))),2))</f>
        <v/>
      </c>
      <c r="S78" s="40" t="str">
        <f aca="false">IF($Y78="","",ROUND(MAX(0,$T78)-$R78,2))</f>
        <v/>
      </c>
      <c r="T78" s="48" t="str">
        <f aca="false">IF($Y78="","",ROUND(SUMIF(应收键,$Y78,应收金额)-SUMIF(收款键,$Y78,收款金额),2))</f>
        <v/>
      </c>
      <c r="U78" s="49" t="str">
        <f aca="true">IF($AA78="","",IF($T78&lt;=0.01,"",MAX(0,TODAY()-$AA78)))</f>
        <v/>
      </c>
      <c r="V78" s="50" t="str">
        <f aca="true">IF($Y78="","",IF($T78&gt;0.01,IF(AND(ISNUMBER($U78),$U78&gt;=账龄预警天),"▲欠款拖了 "&amp;TEXT($U78,"0")&amp;" 天","欠款未清"),IF($T78&lt;-0.01,"预收/多收","已结清"))&amp;IF(OR($E78="已签未回",$E78="未签",$E78="续签中")," ▲合同未回","")&amp;IF(AND(ISNUMBER($F78),$F78&lt;TODAY())," ▲合同已到期",""))</f>
        <v/>
      </c>
      <c r="W78" s="24"/>
      <c r="X78" s="35" t="str">
        <f aca="false">IF($Y78="","",IF(ROUND($H78+$I78-$N78+$Z78-$T78,2)&lt;&gt;0,"★期初＋本年－已收≠余额",IF(ROUND($R78+$S78-MAX(0,$T78),2)&lt;&gt;0,"★已开票＋未开票≠欠款",IF(ROUND($J78+$K78-$I78,2)&lt;&gt;0,"★合同款＋合同外款≠本年应收",IF(ROUND($O78+$P78+$Q78-$N78,2)&lt;&gt;0,"★发票＋收据＋现金≠本年已收","OK")))))</f>
        <v/>
      </c>
      <c r="Y78" s="35" t="str">
        <f aca="false">IF(维保合同!$C78="","",维保合同!$E78)</f>
        <v/>
      </c>
      <c r="Z78" s="40" t="str">
        <f aca="false">IF($Y78="","",ROUND(SUMIFS(应收金额,应收键,$Y78,应收年度,"&gt;"&amp;管理年度)-SUMIFS(收款金额,收款键,$Y78,收款年度,"&gt;"&amp;管理年度),2))</f>
        <v/>
      </c>
      <c r="AA78" s="47" t="str">
        <f aca="false">IF($Y78="","",IF(SUMPRODUCT(MIN(IF((应收键=$Y78)*(应收未收&gt;0.01),应收日期,999999)))&gt;=999999,"",SUMPRODUCT(MIN(IF((应收键=$Y78)*(应收未收&gt;0.01),应收日期,999999)))))</f>
        <v/>
      </c>
    </row>
    <row r="79" customFormat="false" ht="15" hidden="false" customHeight="false" outlineLevel="0" collapsed="false">
      <c r="A79" s="29" t="str">
        <f aca="false">IF($Y79="","",ROW()-4)</f>
        <v/>
      </c>
      <c r="B79" s="16" t="str">
        <f aca="false">IF($Y79="","",维保合同!$C79)</f>
        <v/>
      </c>
      <c r="C79" s="16" t="str">
        <f aca="false">IF($Y79="","",维保合同!$D79)</f>
        <v/>
      </c>
      <c r="D79" s="35" t="str">
        <f aca="false">IF($Y79="","",维保合同!$F79)</f>
        <v/>
      </c>
      <c r="E79" s="35" t="str">
        <f aca="false">IF($Y79="","",维保合同!$G79)</f>
        <v/>
      </c>
      <c r="F79" s="47" t="str">
        <f aca="false">IF($Y79="","",维保合同!$I79)</f>
        <v/>
      </c>
      <c r="G79" s="38" t="str">
        <f aca="false">IF($Y79="","",维保合同!$K79)</f>
        <v/>
      </c>
      <c r="H79" s="41" t="str">
        <f aca="false">IF($Y79="","",ROUND(SUMIFS(应收金额,应收键,$Y79,应收年度,"&lt;"&amp;管理年度)-SUMIFS(收款金额,收款键,$Y79,收款年度,"&lt;"&amp;管理年度),2))</f>
        <v/>
      </c>
      <c r="I79" s="40" t="str">
        <f aca="false">IF($Y79="","",ROUND(SUMIFS(应收金额,应收键,$Y79,应收年度,管理年度),2))</f>
        <v/>
      </c>
      <c r="J79" s="40" t="str">
        <f aca="false">IF($Y79="","",ROUND(SUMIFS(应收金额,应收键,$Y79,应收年度,管理年度,应收款别,"合同款"),2))</f>
        <v/>
      </c>
      <c r="K79" s="40" t="str">
        <f aca="false">IF($Y79="","",ROUND($I79-$J79,2))</f>
        <v/>
      </c>
      <c r="L79" s="40" t="str">
        <f aca="false">IF($Y79="","",ROUND(SUMIFS(应收开票额,应收键,$Y79,应收开票年度,管理年度),2))</f>
        <v/>
      </c>
      <c r="M79" s="40" t="str">
        <f aca="false">IF($Y79="","",ROUND($I79-$L79,2))</f>
        <v/>
      </c>
      <c r="N79" s="40" t="str">
        <f aca="false">IF($Y79="","",ROUND(SUMIFS(收款金额,收款键,$Y79,收款年度,管理年度),2))</f>
        <v/>
      </c>
      <c r="O79" s="40" t="str">
        <f aca="false">IF($Y79="","",ROUND(SUMIFS(收款金额,收款键,$Y79,收款年度,管理年度,收款归类,"发票"),2))</f>
        <v/>
      </c>
      <c r="P79" s="40" t="str">
        <f aca="false">IF($Y79="","",ROUND(SUMIFS(收款金额,收款键,$Y79,收款年度,管理年度,收款归类,"收据"),2))</f>
        <v/>
      </c>
      <c r="Q79" s="40" t="str">
        <f aca="false">IF($Y79="","",ROUND(SUMIFS(收款金额,收款键,$Y79,收款年度,管理年度,收款归类,"现金无票"),2))</f>
        <v/>
      </c>
      <c r="R79" s="40" t="str">
        <f aca="false">IF($Y79="","",ROUND(MAX(0,MIN($T79,SUMIF(应收键,$Y79,应收开票额)-SUMIF(收款键,$Y79,收款金额))),2))</f>
        <v/>
      </c>
      <c r="S79" s="40" t="str">
        <f aca="false">IF($Y79="","",ROUND(MAX(0,$T79)-$R79,2))</f>
        <v/>
      </c>
      <c r="T79" s="48" t="str">
        <f aca="false">IF($Y79="","",ROUND(SUMIF(应收键,$Y79,应收金额)-SUMIF(收款键,$Y79,收款金额),2))</f>
        <v/>
      </c>
      <c r="U79" s="49" t="str">
        <f aca="true">IF($AA79="","",IF($T79&lt;=0.01,"",MAX(0,TODAY()-$AA79)))</f>
        <v/>
      </c>
      <c r="V79" s="50" t="str">
        <f aca="true">IF($Y79="","",IF($T79&gt;0.01,IF(AND(ISNUMBER($U79),$U79&gt;=账龄预警天),"▲欠款拖了 "&amp;TEXT($U79,"0")&amp;" 天","欠款未清"),IF($T79&lt;-0.01,"预收/多收","已结清"))&amp;IF(OR($E79="已签未回",$E79="未签",$E79="续签中")," ▲合同未回","")&amp;IF(AND(ISNUMBER($F79),$F79&lt;TODAY())," ▲合同已到期",""))</f>
        <v/>
      </c>
      <c r="W79" s="24"/>
      <c r="X79" s="35" t="str">
        <f aca="false">IF($Y79="","",IF(ROUND($H79+$I79-$N79+$Z79-$T79,2)&lt;&gt;0,"★期初＋本年－已收≠余额",IF(ROUND($R79+$S79-MAX(0,$T79),2)&lt;&gt;0,"★已开票＋未开票≠欠款",IF(ROUND($J79+$K79-$I79,2)&lt;&gt;0,"★合同款＋合同外款≠本年应收",IF(ROUND($O79+$P79+$Q79-$N79,2)&lt;&gt;0,"★发票＋收据＋现金≠本年已收","OK")))))</f>
        <v/>
      </c>
      <c r="Y79" s="35" t="str">
        <f aca="false">IF(维保合同!$C79="","",维保合同!$E79)</f>
        <v/>
      </c>
      <c r="Z79" s="40" t="str">
        <f aca="false">IF($Y79="","",ROUND(SUMIFS(应收金额,应收键,$Y79,应收年度,"&gt;"&amp;管理年度)-SUMIFS(收款金额,收款键,$Y79,收款年度,"&gt;"&amp;管理年度),2))</f>
        <v/>
      </c>
      <c r="AA79" s="47" t="str">
        <f aca="false">IF($Y79="","",IF(SUMPRODUCT(MIN(IF((应收键=$Y79)*(应收未收&gt;0.01),应收日期,999999)))&gt;=999999,"",SUMPRODUCT(MIN(IF((应收键=$Y79)*(应收未收&gt;0.01),应收日期,999999)))))</f>
        <v/>
      </c>
    </row>
    <row r="80" customFormat="false" ht="15" hidden="false" customHeight="false" outlineLevel="0" collapsed="false">
      <c r="A80" s="29" t="str">
        <f aca="false">IF($Y80="","",ROW()-4)</f>
        <v/>
      </c>
      <c r="B80" s="16" t="str">
        <f aca="false">IF($Y80="","",维保合同!$C80)</f>
        <v/>
      </c>
      <c r="C80" s="16" t="str">
        <f aca="false">IF($Y80="","",维保合同!$D80)</f>
        <v/>
      </c>
      <c r="D80" s="35" t="str">
        <f aca="false">IF($Y80="","",维保合同!$F80)</f>
        <v/>
      </c>
      <c r="E80" s="35" t="str">
        <f aca="false">IF($Y80="","",维保合同!$G80)</f>
        <v/>
      </c>
      <c r="F80" s="47" t="str">
        <f aca="false">IF($Y80="","",维保合同!$I80)</f>
        <v/>
      </c>
      <c r="G80" s="38" t="str">
        <f aca="false">IF($Y80="","",维保合同!$K80)</f>
        <v/>
      </c>
      <c r="H80" s="41" t="str">
        <f aca="false">IF($Y80="","",ROUND(SUMIFS(应收金额,应收键,$Y80,应收年度,"&lt;"&amp;管理年度)-SUMIFS(收款金额,收款键,$Y80,收款年度,"&lt;"&amp;管理年度),2))</f>
        <v/>
      </c>
      <c r="I80" s="40" t="str">
        <f aca="false">IF($Y80="","",ROUND(SUMIFS(应收金额,应收键,$Y80,应收年度,管理年度),2))</f>
        <v/>
      </c>
      <c r="J80" s="40" t="str">
        <f aca="false">IF($Y80="","",ROUND(SUMIFS(应收金额,应收键,$Y80,应收年度,管理年度,应收款别,"合同款"),2))</f>
        <v/>
      </c>
      <c r="K80" s="40" t="str">
        <f aca="false">IF($Y80="","",ROUND($I80-$J80,2))</f>
        <v/>
      </c>
      <c r="L80" s="40" t="str">
        <f aca="false">IF($Y80="","",ROUND(SUMIFS(应收开票额,应收键,$Y80,应收开票年度,管理年度),2))</f>
        <v/>
      </c>
      <c r="M80" s="40" t="str">
        <f aca="false">IF($Y80="","",ROUND($I80-$L80,2))</f>
        <v/>
      </c>
      <c r="N80" s="40" t="str">
        <f aca="false">IF($Y80="","",ROUND(SUMIFS(收款金额,收款键,$Y80,收款年度,管理年度),2))</f>
        <v/>
      </c>
      <c r="O80" s="40" t="str">
        <f aca="false">IF($Y80="","",ROUND(SUMIFS(收款金额,收款键,$Y80,收款年度,管理年度,收款归类,"发票"),2))</f>
        <v/>
      </c>
      <c r="P80" s="40" t="str">
        <f aca="false">IF($Y80="","",ROUND(SUMIFS(收款金额,收款键,$Y80,收款年度,管理年度,收款归类,"收据"),2))</f>
        <v/>
      </c>
      <c r="Q80" s="40" t="str">
        <f aca="false">IF($Y80="","",ROUND(SUMIFS(收款金额,收款键,$Y80,收款年度,管理年度,收款归类,"现金无票"),2))</f>
        <v/>
      </c>
      <c r="R80" s="40" t="str">
        <f aca="false">IF($Y80="","",ROUND(MAX(0,MIN($T80,SUMIF(应收键,$Y80,应收开票额)-SUMIF(收款键,$Y80,收款金额))),2))</f>
        <v/>
      </c>
      <c r="S80" s="40" t="str">
        <f aca="false">IF($Y80="","",ROUND(MAX(0,$T80)-$R80,2))</f>
        <v/>
      </c>
      <c r="T80" s="48" t="str">
        <f aca="false">IF($Y80="","",ROUND(SUMIF(应收键,$Y80,应收金额)-SUMIF(收款键,$Y80,收款金额),2))</f>
        <v/>
      </c>
      <c r="U80" s="49" t="str">
        <f aca="true">IF($AA80="","",IF($T80&lt;=0.01,"",MAX(0,TODAY()-$AA80)))</f>
        <v/>
      </c>
      <c r="V80" s="50" t="str">
        <f aca="true">IF($Y80="","",IF($T80&gt;0.01,IF(AND(ISNUMBER($U80),$U80&gt;=账龄预警天),"▲欠款拖了 "&amp;TEXT($U80,"0")&amp;" 天","欠款未清"),IF($T80&lt;-0.01,"预收/多收","已结清"))&amp;IF(OR($E80="已签未回",$E80="未签",$E80="续签中")," ▲合同未回","")&amp;IF(AND(ISNUMBER($F80),$F80&lt;TODAY())," ▲合同已到期",""))</f>
        <v/>
      </c>
      <c r="W80" s="24"/>
      <c r="X80" s="35" t="str">
        <f aca="false">IF($Y80="","",IF(ROUND($H80+$I80-$N80+$Z80-$T80,2)&lt;&gt;0,"★期初＋本年－已收≠余额",IF(ROUND($R80+$S80-MAX(0,$T80),2)&lt;&gt;0,"★已开票＋未开票≠欠款",IF(ROUND($J80+$K80-$I80,2)&lt;&gt;0,"★合同款＋合同外款≠本年应收",IF(ROUND($O80+$P80+$Q80-$N80,2)&lt;&gt;0,"★发票＋收据＋现金≠本年已收","OK")))))</f>
        <v/>
      </c>
      <c r="Y80" s="35" t="str">
        <f aca="false">IF(维保合同!$C80="","",维保合同!$E80)</f>
        <v/>
      </c>
      <c r="Z80" s="40" t="str">
        <f aca="false">IF($Y80="","",ROUND(SUMIFS(应收金额,应收键,$Y80,应收年度,"&gt;"&amp;管理年度)-SUMIFS(收款金额,收款键,$Y80,收款年度,"&gt;"&amp;管理年度),2))</f>
        <v/>
      </c>
      <c r="AA80" s="47" t="str">
        <f aca="false">IF($Y80="","",IF(SUMPRODUCT(MIN(IF((应收键=$Y80)*(应收未收&gt;0.01),应收日期,999999)))&gt;=999999,"",SUMPRODUCT(MIN(IF((应收键=$Y80)*(应收未收&gt;0.01),应收日期,999999)))))</f>
        <v/>
      </c>
    </row>
    <row r="81" customFormat="false" ht="15" hidden="false" customHeight="false" outlineLevel="0" collapsed="false">
      <c r="A81" s="29" t="str">
        <f aca="false">IF($Y81="","",ROW()-4)</f>
        <v/>
      </c>
      <c r="B81" s="16" t="str">
        <f aca="false">IF($Y81="","",维保合同!$C81)</f>
        <v/>
      </c>
      <c r="C81" s="16" t="str">
        <f aca="false">IF($Y81="","",维保合同!$D81)</f>
        <v/>
      </c>
      <c r="D81" s="35" t="str">
        <f aca="false">IF($Y81="","",维保合同!$F81)</f>
        <v/>
      </c>
      <c r="E81" s="35" t="str">
        <f aca="false">IF($Y81="","",维保合同!$G81)</f>
        <v/>
      </c>
      <c r="F81" s="47" t="str">
        <f aca="false">IF($Y81="","",维保合同!$I81)</f>
        <v/>
      </c>
      <c r="G81" s="38" t="str">
        <f aca="false">IF($Y81="","",维保合同!$K81)</f>
        <v/>
      </c>
      <c r="H81" s="41" t="str">
        <f aca="false">IF($Y81="","",ROUND(SUMIFS(应收金额,应收键,$Y81,应收年度,"&lt;"&amp;管理年度)-SUMIFS(收款金额,收款键,$Y81,收款年度,"&lt;"&amp;管理年度),2))</f>
        <v/>
      </c>
      <c r="I81" s="40" t="str">
        <f aca="false">IF($Y81="","",ROUND(SUMIFS(应收金额,应收键,$Y81,应收年度,管理年度),2))</f>
        <v/>
      </c>
      <c r="J81" s="40" t="str">
        <f aca="false">IF($Y81="","",ROUND(SUMIFS(应收金额,应收键,$Y81,应收年度,管理年度,应收款别,"合同款"),2))</f>
        <v/>
      </c>
      <c r="K81" s="40" t="str">
        <f aca="false">IF($Y81="","",ROUND($I81-$J81,2))</f>
        <v/>
      </c>
      <c r="L81" s="40" t="str">
        <f aca="false">IF($Y81="","",ROUND(SUMIFS(应收开票额,应收键,$Y81,应收开票年度,管理年度),2))</f>
        <v/>
      </c>
      <c r="M81" s="40" t="str">
        <f aca="false">IF($Y81="","",ROUND($I81-$L81,2))</f>
        <v/>
      </c>
      <c r="N81" s="40" t="str">
        <f aca="false">IF($Y81="","",ROUND(SUMIFS(收款金额,收款键,$Y81,收款年度,管理年度),2))</f>
        <v/>
      </c>
      <c r="O81" s="40" t="str">
        <f aca="false">IF($Y81="","",ROUND(SUMIFS(收款金额,收款键,$Y81,收款年度,管理年度,收款归类,"发票"),2))</f>
        <v/>
      </c>
      <c r="P81" s="40" t="str">
        <f aca="false">IF($Y81="","",ROUND(SUMIFS(收款金额,收款键,$Y81,收款年度,管理年度,收款归类,"收据"),2))</f>
        <v/>
      </c>
      <c r="Q81" s="40" t="str">
        <f aca="false">IF($Y81="","",ROUND(SUMIFS(收款金额,收款键,$Y81,收款年度,管理年度,收款归类,"现金无票"),2))</f>
        <v/>
      </c>
      <c r="R81" s="40" t="str">
        <f aca="false">IF($Y81="","",ROUND(MAX(0,MIN($T81,SUMIF(应收键,$Y81,应收开票额)-SUMIF(收款键,$Y81,收款金额))),2))</f>
        <v/>
      </c>
      <c r="S81" s="40" t="str">
        <f aca="false">IF($Y81="","",ROUND(MAX(0,$T81)-$R81,2))</f>
        <v/>
      </c>
      <c r="T81" s="48" t="str">
        <f aca="false">IF($Y81="","",ROUND(SUMIF(应收键,$Y81,应收金额)-SUMIF(收款键,$Y81,收款金额),2))</f>
        <v/>
      </c>
      <c r="U81" s="49" t="str">
        <f aca="true">IF($AA81="","",IF($T81&lt;=0.01,"",MAX(0,TODAY()-$AA81)))</f>
        <v/>
      </c>
      <c r="V81" s="50" t="str">
        <f aca="true">IF($Y81="","",IF($T81&gt;0.01,IF(AND(ISNUMBER($U81),$U81&gt;=账龄预警天),"▲欠款拖了 "&amp;TEXT($U81,"0")&amp;" 天","欠款未清"),IF($T81&lt;-0.01,"预收/多收","已结清"))&amp;IF(OR($E81="已签未回",$E81="未签",$E81="续签中")," ▲合同未回","")&amp;IF(AND(ISNUMBER($F81),$F81&lt;TODAY())," ▲合同已到期",""))</f>
        <v/>
      </c>
      <c r="W81" s="24"/>
      <c r="X81" s="35" t="str">
        <f aca="false">IF($Y81="","",IF(ROUND($H81+$I81-$N81+$Z81-$T81,2)&lt;&gt;0,"★期初＋本年－已收≠余额",IF(ROUND($R81+$S81-MAX(0,$T81),2)&lt;&gt;0,"★已开票＋未开票≠欠款",IF(ROUND($J81+$K81-$I81,2)&lt;&gt;0,"★合同款＋合同外款≠本年应收",IF(ROUND($O81+$P81+$Q81-$N81,2)&lt;&gt;0,"★发票＋收据＋现金≠本年已收","OK")))))</f>
        <v/>
      </c>
      <c r="Y81" s="35" t="str">
        <f aca="false">IF(维保合同!$C81="","",维保合同!$E81)</f>
        <v/>
      </c>
      <c r="Z81" s="40" t="str">
        <f aca="false">IF($Y81="","",ROUND(SUMIFS(应收金额,应收键,$Y81,应收年度,"&gt;"&amp;管理年度)-SUMIFS(收款金额,收款键,$Y81,收款年度,"&gt;"&amp;管理年度),2))</f>
        <v/>
      </c>
      <c r="AA81" s="47" t="str">
        <f aca="false">IF($Y81="","",IF(SUMPRODUCT(MIN(IF((应收键=$Y81)*(应收未收&gt;0.01),应收日期,999999)))&gt;=999999,"",SUMPRODUCT(MIN(IF((应收键=$Y81)*(应收未收&gt;0.01),应收日期,999999)))))</f>
        <v/>
      </c>
    </row>
    <row r="82" customFormat="false" ht="15" hidden="false" customHeight="false" outlineLevel="0" collapsed="false">
      <c r="A82" s="29" t="str">
        <f aca="false">IF($Y82="","",ROW()-4)</f>
        <v/>
      </c>
      <c r="B82" s="16" t="str">
        <f aca="false">IF($Y82="","",维保合同!$C82)</f>
        <v/>
      </c>
      <c r="C82" s="16" t="str">
        <f aca="false">IF($Y82="","",维保合同!$D82)</f>
        <v/>
      </c>
      <c r="D82" s="35" t="str">
        <f aca="false">IF($Y82="","",维保合同!$F82)</f>
        <v/>
      </c>
      <c r="E82" s="35" t="str">
        <f aca="false">IF($Y82="","",维保合同!$G82)</f>
        <v/>
      </c>
      <c r="F82" s="47" t="str">
        <f aca="false">IF($Y82="","",维保合同!$I82)</f>
        <v/>
      </c>
      <c r="G82" s="38" t="str">
        <f aca="false">IF($Y82="","",维保合同!$K82)</f>
        <v/>
      </c>
      <c r="H82" s="41" t="str">
        <f aca="false">IF($Y82="","",ROUND(SUMIFS(应收金额,应收键,$Y82,应收年度,"&lt;"&amp;管理年度)-SUMIFS(收款金额,收款键,$Y82,收款年度,"&lt;"&amp;管理年度),2))</f>
        <v/>
      </c>
      <c r="I82" s="40" t="str">
        <f aca="false">IF($Y82="","",ROUND(SUMIFS(应收金额,应收键,$Y82,应收年度,管理年度),2))</f>
        <v/>
      </c>
      <c r="J82" s="40" t="str">
        <f aca="false">IF($Y82="","",ROUND(SUMIFS(应收金额,应收键,$Y82,应收年度,管理年度,应收款别,"合同款"),2))</f>
        <v/>
      </c>
      <c r="K82" s="40" t="str">
        <f aca="false">IF($Y82="","",ROUND($I82-$J82,2))</f>
        <v/>
      </c>
      <c r="L82" s="40" t="str">
        <f aca="false">IF($Y82="","",ROUND(SUMIFS(应收开票额,应收键,$Y82,应收开票年度,管理年度),2))</f>
        <v/>
      </c>
      <c r="M82" s="40" t="str">
        <f aca="false">IF($Y82="","",ROUND($I82-$L82,2))</f>
        <v/>
      </c>
      <c r="N82" s="40" t="str">
        <f aca="false">IF($Y82="","",ROUND(SUMIFS(收款金额,收款键,$Y82,收款年度,管理年度),2))</f>
        <v/>
      </c>
      <c r="O82" s="40" t="str">
        <f aca="false">IF($Y82="","",ROUND(SUMIFS(收款金额,收款键,$Y82,收款年度,管理年度,收款归类,"发票"),2))</f>
        <v/>
      </c>
      <c r="P82" s="40" t="str">
        <f aca="false">IF($Y82="","",ROUND(SUMIFS(收款金额,收款键,$Y82,收款年度,管理年度,收款归类,"收据"),2))</f>
        <v/>
      </c>
      <c r="Q82" s="40" t="str">
        <f aca="false">IF($Y82="","",ROUND(SUMIFS(收款金额,收款键,$Y82,收款年度,管理年度,收款归类,"现金无票"),2))</f>
        <v/>
      </c>
      <c r="R82" s="40" t="str">
        <f aca="false">IF($Y82="","",ROUND(MAX(0,MIN($T82,SUMIF(应收键,$Y82,应收开票额)-SUMIF(收款键,$Y82,收款金额))),2))</f>
        <v/>
      </c>
      <c r="S82" s="40" t="str">
        <f aca="false">IF($Y82="","",ROUND(MAX(0,$T82)-$R82,2))</f>
        <v/>
      </c>
      <c r="T82" s="48" t="str">
        <f aca="false">IF($Y82="","",ROUND(SUMIF(应收键,$Y82,应收金额)-SUMIF(收款键,$Y82,收款金额),2))</f>
        <v/>
      </c>
      <c r="U82" s="49" t="str">
        <f aca="true">IF($AA82="","",IF($T82&lt;=0.01,"",MAX(0,TODAY()-$AA82)))</f>
        <v/>
      </c>
      <c r="V82" s="50" t="str">
        <f aca="true">IF($Y82="","",IF($T82&gt;0.01,IF(AND(ISNUMBER($U82),$U82&gt;=账龄预警天),"▲欠款拖了 "&amp;TEXT($U82,"0")&amp;" 天","欠款未清"),IF($T82&lt;-0.01,"预收/多收","已结清"))&amp;IF(OR($E82="已签未回",$E82="未签",$E82="续签中")," ▲合同未回","")&amp;IF(AND(ISNUMBER($F82),$F82&lt;TODAY())," ▲合同已到期",""))</f>
        <v/>
      </c>
      <c r="W82" s="24"/>
      <c r="X82" s="35" t="str">
        <f aca="false">IF($Y82="","",IF(ROUND($H82+$I82-$N82+$Z82-$T82,2)&lt;&gt;0,"★期初＋本年－已收≠余额",IF(ROUND($R82+$S82-MAX(0,$T82),2)&lt;&gt;0,"★已开票＋未开票≠欠款",IF(ROUND($J82+$K82-$I82,2)&lt;&gt;0,"★合同款＋合同外款≠本年应收",IF(ROUND($O82+$P82+$Q82-$N82,2)&lt;&gt;0,"★发票＋收据＋现金≠本年已收","OK")))))</f>
        <v/>
      </c>
      <c r="Y82" s="35" t="str">
        <f aca="false">IF(维保合同!$C82="","",维保合同!$E82)</f>
        <v/>
      </c>
      <c r="Z82" s="40" t="str">
        <f aca="false">IF($Y82="","",ROUND(SUMIFS(应收金额,应收键,$Y82,应收年度,"&gt;"&amp;管理年度)-SUMIFS(收款金额,收款键,$Y82,收款年度,"&gt;"&amp;管理年度),2))</f>
        <v/>
      </c>
      <c r="AA82" s="47" t="str">
        <f aca="false">IF($Y82="","",IF(SUMPRODUCT(MIN(IF((应收键=$Y82)*(应收未收&gt;0.01),应收日期,999999)))&gt;=999999,"",SUMPRODUCT(MIN(IF((应收键=$Y82)*(应收未收&gt;0.01),应收日期,999999)))))</f>
        <v/>
      </c>
    </row>
    <row r="83" customFormat="false" ht="15" hidden="false" customHeight="false" outlineLevel="0" collapsed="false">
      <c r="A83" s="29" t="str">
        <f aca="false">IF($Y83="","",ROW()-4)</f>
        <v/>
      </c>
      <c r="B83" s="16" t="str">
        <f aca="false">IF($Y83="","",维保合同!$C83)</f>
        <v/>
      </c>
      <c r="C83" s="16" t="str">
        <f aca="false">IF($Y83="","",维保合同!$D83)</f>
        <v/>
      </c>
      <c r="D83" s="35" t="str">
        <f aca="false">IF($Y83="","",维保合同!$F83)</f>
        <v/>
      </c>
      <c r="E83" s="35" t="str">
        <f aca="false">IF($Y83="","",维保合同!$G83)</f>
        <v/>
      </c>
      <c r="F83" s="47" t="str">
        <f aca="false">IF($Y83="","",维保合同!$I83)</f>
        <v/>
      </c>
      <c r="G83" s="38" t="str">
        <f aca="false">IF($Y83="","",维保合同!$K83)</f>
        <v/>
      </c>
      <c r="H83" s="41" t="str">
        <f aca="false">IF($Y83="","",ROUND(SUMIFS(应收金额,应收键,$Y83,应收年度,"&lt;"&amp;管理年度)-SUMIFS(收款金额,收款键,$Y83,收款年度,"&lt;"&amp;管理年度),2))</f>
        <v/>
      </c>
      <c r="I83" s="40" t="str">
        <f aca="false">IF($Y83="","",ROUND(SUMIFS(应收金额,应收键,$Y83,应收年度,管理年度),2))</f>
        <v/>
      </c>
      <c r="J83" s="40" t="str">
        <f aca="false">IF($Y83="","",ROUND(SUMIFS(应收金额,应收键,$Y83,应收年度,管理年度,应收款别,"合同款"),2))</f>
        <v/>
      </c>
      <c r="K83" s="40" t="str">
        <f aca="false">IF($Y83="","",ROUND($I83-$J83,2))</f>
        <v/>
      </c>
      <c r="L83" s="40" t="str">
        <f aca="false">IF($Y83="","",ROUND(SUMIFS(应收开票额,应收键,$Y83,应收开票年度,管理年度),2))</f>
        <v/>
      </c>
      <c r="M83" s="40" t="str">
        <f aca="false">IF($Y83="","",ROUND($I83-$L83,2))</f>
        <v/>
      </c>
      <c r="N83" s="40" t="str">
        <f aca="false">IF($Y83="","",ROUND(SUMIFS(收款金额,收款键,$Y83,收款年度,管理年度),2))</f>
        <v/>
      </c>
      <c r="O83" s="40" t="str">
        <f aca="false">IF($Y83="","",ROUND(SUMIFS(收款金额,收款键,$Y83,收款年度,管理年度,收款归类,"发票"),2))</f>
        <v/>
      </c>
      <c r="P83" s="40" t="str">
        <f aca="false">IF($Y83="","",ROUND(SUMIFS(收款金额,收款键,$Y83,收款年度,管理年度,收款归类,"收据"),2))</f>
        <v/>
      </c>
      <c r="Q83" s="40" t="str">
        <f aca="false">IF($Y83="","",ROUND(SUMIFS(收款金额,收款键,$Y83,收款年度,管理年度,收款归类,"现金无票"),2))</f>
        <v/>
      </c>
      <c r="R83" s="40" t="str">
        <f aca="false">IF($Y83="","",ROUND(MAX(0,MIN($T83,SUMIF(应收键,$Y83,应收开票额)-SUMIF(收款键,$Y83,收款金额))),2))</f>
        <v/>
      </c>
      <c r="S83" s="40" t="str">
        <f aca="false">IF($Y83="","",ROUND(MAX(0,$T83)-$R83,2))</f>
        <v/>
      </c>
      <c r="T83" s="48" t="str">
        <f aca="false">IF($Y83="","",ROUND(SUMIF(应收键,$Y83,应收金额)-SUMIF(收款键,$Y83,收款金额),2))</f>
        <v/>
      </c>
      <c r="U83" s="49" t="str">
        <f aca="true">IF($AA83="","",IF($T83&lt;=0.01,"",MAX(0,TODAY()-$AA83)))</f>
        <v/>
      </c>
      <c r="V83" s="50" t="str">
        <f aca="true">IF($Y83="","",IF($T83&gt;0.01,IF(AND(ISNUMBER($U83),$U83&gt;=账龄预警天),"▲欠款拖了 "&amp;TEXT($U83,"0")&amp;" 天","欠款未清"),IF($T83&lt;-0.01,"预收/多收","已结清"))&amp;IF(OR($E83="已签未回",$E83="未签",$E83="续签中")," ▲合同未回","")&amp;IF(AND(ISNUMBER($F83),$F83&lt;TODAY())," ▲合同已到期",""))</f>
        <v/>
      </c>
      <c r="W83" s="24"/>
      <c r="X83" s="35" t="str">
        <f aca="false">IF($Y83="","",IF(ROUND($H83+$I83-$N83+$Z83-$T83,2)&lt;&gt;0,"★期初＋本年－已收≠余额",IF(ROUND($R83+$S83-MAX(0,$T83),2)&lt;&gt;0,"★已开票＋未开票≠欠款",IF(ROUND($J83+$K83-$I83,2)&lt;&gt;0,"★合同款＋合同外款≠本年应收",IF(ROUND($O83+$P83+$Q83-$N83,2)&lt;&gt;0,"★发票＋收据＋现金≠本年已收","OK")))))</f>
        <v/>
      </c>
      <c r="Y83" s="35" t="str">
        <f aca="false">IF(维保合同!$C83="","",维保合同!$E83)</f>
        <v/>
      </c>
      <c r="Z83" s="40" t="str">
        <f aca="false">IF($Y83="","",ROUND(SUMIFS(应收金额,应收键,$Y83,应收年度,"&gt;"&amp;管理年度)-SUMIFS(收款金额,收款键,$Y83,收款年度,"&gt;"&amp;管理年度),2))</f>
        <v/>
      </c>
      <c r="AA83" s="47" t="str">
        <f aca="false">IF($Y83="","",IF(SUMPRODUCT(MIN(IF((应收键=$Y83)*(应收未收&gt;0.01),应收日期,999999)))&gt;=999999,"",SUMPRODUCT(MIN(IF((应收键=$Y83)*(应收未收&gt;0.01),应收日期,999999)))))</f>
        <v/>
      </c>
    </row>
    <row r="84" customFormat="false" ht="15" hidden="false" customHeight="false" outlineLevel="0" collapsed="false">
      <c r="A84" s="29" t="str">
        <f aca="false">IF($Y84="","",ROW()-4)</f>
        <v/>
      </c>
      <c r="B84" s="16" t="str">
        <f aca="false">IF($Y84="","",维保合同!$C84)</f>
        <v/>
      </c>
      <c r="C84" s="16" t="str">
        <f aca="false">IF($Y84="","",维保合同!$D84)</f>
        <v/>
      </c>
      <c r="D84" s="35" t="str">
        <f aca="false">IF($Y84="","",维保合同!$F84)</f>
        <v/>
      </c>
      <c r="E84" s="35" t="str">
        <f aca="false">IF($Y84="","",维保合同!$G84)</f>
        <v/>
      </c>
      <c r="F84" s="47" t="str">
        <f aca="false">IF($Y84="","",维保合同!$I84)</f>
        <v/>
      </c>
      <c r="G84" s="38" t="str">
        <f aca="false">IF($Y84="","",维保合同!$K84)</f>
        <v/>
      </c>
      <c r="H84" s="41" t="str">
        <f aca="false">IF($Y84="","",ROUND(SUMIFS(应收金额,应收键,$Y84,应收年度,"&lt;"&amp;管理年度)-SUMIFS(收款金额,收款键,$Y84,收款年度,"&lt;"&amp;管理年度),2))</f>
        <v/>
      </c>
      <c r="I84" s="40" t="str">
        <f aca="false">IF($Y84="","",ROUND(SUMIFS(应收金额,应收键,$Y84,应收年度,管理年度),2))</f>
        <v/>
      </c>
      <c r="J84" s="40" t="str">
        <f aca="false">IF($Y84="","",ROUND(SUMIFS(应收金额,应收键,$Y84,应收年度,管理年度,应收款别,"合同款"),2))</f>
        <v/>
      </c>
      <c r="K84" s="40" t="str">
        <f aca="false">IF($Y84="","",ROUND($I84-$J84,2))</f>
        <v/>
      </c>
      <c r="L84" s="40" t="str">
        <f aca="false">IF($Y84="","",ROUND(SUMIFS(应收开票额,应收键,$Y84,应收开票年度,管理年度),2))</f>
        <v/>
      </c>
      <c r="M84" s="40" t="str">
        <f aca="false">IF($Y84="","",ROUND($I84-$L84,2))</f>
        <v/>
      </c>
      <c r="N84" s="40" t="str">
        <f aca="false">IF($Y84="","",ROUND(SUMIFS(收款金额,收款键,$Y84,收款年度,管理年度),2))</f>
        <v/>
      </c>
      <c r="O84" s="40" t="str">
        <f aca="false">IF($Y84="","",ROUND(SUMIFS(收款金额,收款键,$Y84,收款年度,管理年度,收款归类,"发票"),2))</f>
        <v/>
      </c>
      <c r="P84" s="40" t="str">
        <f aca="false">IF($Y84="","",ROUND(SUMIFS(收款金额,收款键,$Y84,收款年度,管理年度,收款归类,"收据"),2))</f>
        <v/>
      </c>
      <c r="Q84" s="40" t="str">
        <f aca="false">IF($Y84="","",ROUND(SUMIFS(收款金额,收款键,$Y84,收款年度,管理年度,收款归类,"现金无票"),2))</f>
        <v/>
      </c>
      <c r="R84" s="40" t="str">
        <f aca="false">IF($Y84="","",ROUND(MAX(0,MIN($T84,SUMIF(应收键,$Y84,应收开票额)-SUMIF(收款键,$Y84,收款金额))),2))</f>
        <v/>
      </c>
      <c r="S84" s="40" t="str">
        <f aca="false">IF($Y84="","",ROUND(MAX(0,$T84)-$R84,2))</f>
        <v/>
      </c>
      <c r="T84" s="48" t="str">
        <f aca="false">IF($Y84="","",ROUND(SUMIF(应收键,$Y84,应收金额)-SUMIF(收款键,$Y84,收款金额),2))</f>
        <v/>
      </c>
      <c r="U84" s="49" t="str">
        <f aca="true">IF($AA84="","",IF($T84&lt;=0.01,"",MAX(0,TODAY()-$AA84)))</f>
        <v/>
      </c>
      <c r="V84" s="50" t="str">
        <f aca="true">IF($Y84="","",IF($T84&gt;0.01,IF(AND(ISNUMBER($U84),$U84&gt;=账龄预警天),"▲欠款拖了 "&amp;TEXT($U84,"0")&amp;" 天","欠款未清"),IF($T84&lt;-0.01,"预收/多收","已结清"))&amp;IF(OR($E84="已签未回",$E84="未签",$E84="续签中")," ▲合同未回","")&amp;IF(AND(ISNUMBER($F84),$F84&lt;TODAY())," ▲合同已到期",""))</f>
        <v/>
      </c>
      <c r="W84" s="24"/>
      <c r="X84" s="35" t="str">
        <f aca="false">IF($Y84="","",IF(ROUND($H84+$I84-$N84+$Z84-$T84,2)&lt;&gt;0,"★期初＋本年－已收≠余额",IF(ROUND($R84+$S84-MAX(0,$T84),2)&lt;&gt;0,"★已开票＋未开票≠欠款",IF(ROUND($J84+$K84-$I84,2)&lt;&gt;0,"★合同款＋合同外款≠本年应收",IF(ROUND($O84+$P84+$Q84-$N84,2)&lt;&gt;0,"★发票＋收据＋现金≠本年已收","OK")))))</f>
        <v/>
      </c>
      <c r="Y84" s="35" t="str">
        <f aca="false">IF(维保合同!$C84="","",维保合同!$E84)</f>
        <v/>
      </c>
      <c r="Z84" s="40" t="str">
        <f aca="false">IF($Y84="","",ROUND(SUMIFS(应收金额,应收键,$Y84,应收年度,"&gt;"&amp;管理年度)-SUMIFS(收款金额,收款键,$Y84,收款年度,"&gt;"&amp;管理年度),2))</f>
        <v/>
      </c>
      <c r="AA84" s="47" t="str">
        <f aca="false">IF($Y84="","",IF(SUMPRODUCT(MIN(IF((应收键=$Y84)*(应收未收&gt;0.01),应收日期,999999)))&gt;=999999,"",SUMPRODUCT(MIN(IF((应收键=$Y84)*(应收未收&gt;0.01),应收日期,999999)))))</f>
        <v/>
      </c>
    </row>
    <row r="85" customFormat="false" ht="15" hidden="false" customHeight="false" outlineLevel="0" collapsed="false">
      <c r="A85" s="29" t="str">
        <f aca="false">IF($Y85="","",ROW()-4)</f>
        <v/>
      </c>
      <c r="B85" s="16" t="str">
        <f aca="false">IF($Y85="","",维保合同!$C85)</f>
        <v/>
      </c>
      <c r="C85" s="16" t="str">
        <f aca="false">IF($Y85="","",维保合同!$D85)</f>
        <v/>
      </c>
      <c r="D85" s="35" t="str">
        <f aca="false">IF($Y85="","",维保合同!$F85)</f>
        <v/>
      </c>
      <c r="E85" s="35" t="str">
        <f aca="false">IF($Y85="","",维保合同!$G85)</f>
        <v/>
      </c>
      <c r="F85" s="47" t="str">
        <f aca="false">IF($Y85="","",维保合同!$I85)</f>
        <v/>
      </c>
      <c r="G85" s="38" t="str">
        <f aca="false">IF($Y85="","",维保合同!$K85)</f>
        <v/>
      </c>
      <c r="H85" s="41" t="str">
        <f aca="false">IF($Y85="","",ROUND(SUMIFS(应收金额,应收键,$Y85,应收年度,"&lt;"&amp;管理年度)-SUMIFS(收款金额,收款键,$Y85,收款年度,"&lt;"&amp;管理年度),2))</f>
        <v/>
      </c>
      <c r="I85" s="40" t="str">
        <f aca="false">IF($Y85="","",ROUND(SUMIFS(应收金额,应收键,$Y85,应收年度,管理年度),2))</f>
        <v/>
      </c>
      <c r="J85" s="40" t="str">
        <f aca="false">IF($Y85="","",ROUND(SUMIFS(应收金额,应收键,$Y85,应收年度,管理年度,应收款别,"合同款"),2))</f>
        <v/>
      </c>
      <c r="K85" s="40" t="str">
        <f aca="false">IF($Y85="","",ROUND($I85-$J85,2))</f>
        <v/>
      </c>
      <c r="L85" s="40" t="str">
        <f aca="false">IF($Y85="","",ROUND(SUMIFS(应收开票额,应收键,$Y85,应收开票年度,管理年度),2))</f>
        <v/>
      </c>
      <c r="M85" s="40" t="str">
        <f aca="false">IF($Y85="","",ROUND($I85-$L85,2))</f>
        <v/>
      </c>
      <c r="N85" s="40" t="str">
        <f aca="false">IF($Y85="","",ROUND(SUMIFS(收款金额,收款键,$Y85,收款年度,管理年度),2))</f>
        <v/>
      </c>
      <c r="O85" s="40" t="str">
        <f aca="false">IF($Y85="","",ROUND(SUMIFS(收款金额,收款键,$Y85,收款年度,管理年度,收款归类,"发票"),2))</f>
        <v/>
      </c>
      <c r="P85" s="40" t="str">
        <f aca="false">IF($Y85="","",ROUND(SUMIFS(收款金额,收款键,$Y85,收款年度,管理年度,收款归类,"收据"),2))</f>
        <v/>
      </c>
      <c r="Q85" s="40" t="str">
        <f aca="false">IF($Y85="","",ROUND(SUMIFS(收款金额,收款键,$Y85,收款年度,管理年度,收款归类,"现金无票"),2))</f>
        <v/>
      </c>
      <c r="R85" s="40" t="str">
        <f aca="false">IF($Y85="","",ROUND(MAX(0,MIN($T85,SUMIF(应收键,$Y85,应收开票额)-SUMIF(收款键,$Y85,收款金额))),2))</f>
        <v/>
      </c>
      <c r="S85" s="40" t="str">
        <f aca="false">IF($Y85="","",ROUND(MAX(0,$T85)-$R85,2))</f>
        <v/>
      </c>
      <c r="T85" s="48" t="str">
        <f aca="false">IF($Y85="","",ROUND(SUMIF(应收键,$Y85,应收金额)-SUMIF(收款键,$Y85,收款金额),2))</f>
        <v/>
      </c>
      <c r="U85" s="49" t="str">
        <f aca="true">IF($AA85="","",IF($T85&lt;=0.01,"",MAX(0,TODAY()-$AA85)))</f>
        <v/>
      </c>
      <c r="V85" s="50" t="str">
        <f aca="true">IF($Y85="","",IF($T85&gt;0.01,IF(AND(ISNUMBER($U85),$U85&gt;=账龄预警天),"▲欠款拖了 "&amp;TEXT($U85,"0")&amp;" 天","欠款未清"),IF($T85&lt;-0.01,"预收/多收","已结清"))&amp;IF(OR($E85="已签未回",$E85="未签",$E85="续签中")," ▲合同未回","")&amp;IF(AND(ISNUMBER($F85),$F85&lt;TODAY())," ▲合同已到期",""))</f>
        <v/>
      </c>
      <c r="W85" s="24"/>
      <c r="X85" s="35" t="str">
        <f aca="false">IF($Y85="","",IF(ROUND($H85+$I85-$N85+$Z85-$T85,2)&lt;&gt;0,"★期初＋本年－已收≠余额",IF(ROUND($R85+$S85-MAX(0,$T85),2)&lt;&gt;0,"★已开票＋未开票≠欠款",IF(ROUND($J85+$K85-$I85,2)&lt;&gt;0,"★合同款＋合同外款≠本年应收",IF(ROUND($O85+$P85+$Q85-$N85,2)&lt;&gt;0,"★发票＋收据＋现金≠本年已收","OK")))))</f>
        <v/>
      </c>
      <c r="Y85" s="35" t="str">
        <f aca="false">IF(维保合同!$C85="","",维保合同!$E85)</f>
        <v/>
      </c>
      <c r="Z85" s="40" t="str">
        <f aca="false">IF($Y85="","",ROUND(SUMIFS(应收金额,应收键,$Y85,应收年度,"&gt;"&amp;管理年度)-SUMIFS(收款金额,收款键,$Y85,收款年度,"&gt;"&amp;管理年度),2))</f>
        <v/>
      </c>
      <c r="AA85" s="47" t="str">
        <f aca="false">IF($Y85="","",IF(SUMPRODUCT(MIN(IF((应收键=$Y85)*(应收未收&gt;0.01),应收日期,999999)))&gt;=999999,"",SUMPRODUCT(MIN(IF((应收键=$Y85)*(应收未收&gt;0.01),应收日期,999999)))))</f>
        <v/>
      </c>
    </row>
    <row r="86" customFormat="false" ht="15" hidden="false" customHeight="false" outlineLevel="0" collapsed="false">
      <c r="A86" s="29" t="str">
        <f aca="false">IF($Y86="","",ROW()-4)</f>
        <v/>
      </c>
      <c r="B86" s="16" t="str">
        <f aca="false">IF($Y86="","",维保合同!$C86)</f>
        <v/>
      </c>
      <c r="C86" s="16" t="str">
        <f aca="false">IF($Y86="","",维保合同!$D86)</f>
        <v/>
      </c>
      <c r="D86" s="35" t="str">
        <f aca="false">IF($Y86="","",维保合同!$F86)</f>
        <v/>
      </c>
      <c r="E86" s="35" t="str">
        <f aca="false">IF($Y86="","",维保合同!$G86)</f>
        <v/>
      </c>
      <c r="F86" s="47" t="str">
        <f aca="false">IF($Y86="","",维保合同!$I86)</f>
        <v/>
      </c>
      <c r="G86" s="38" t="str">
        <f aca="false">IF($Y86="","",维保合同!$K86)</f>
        <v/>
      </c>
      <c r="H86" s="41" t="str">
        <f aca="false">IF($Y86="","",ROUND(SUMIFS(应收金额,应收键,$Y86,应收年度,"&lt;"&amp;管理年度)-SUMIFS(收款金额,收款键,$Y86,收款年度,"&lt;"&amp;管理年度),2))</f>
        <v/>
      </c>
      <c r="I86" s="40" t="str">
        <f aca="false">IF($Y86="","",ROUND(SUMIFS(应收金额,应收键,$Y86,应收年度,管理年度),2))</f>
        <v/>
      </c>
      <c r="J86" s="40" t="str">
        <f aca="false">IF($Y86="","",ROUND(SUMIFS(应收金额,应收键,$Y86,应收年度,管理年度,应收款别,"合同款"),2))</f>
        <v/>
      </c>
      <c r="K86" s="40" t="str">
        <f aca="false">IF($Y86="","",ROUND($I86-$J86,2))</f>
        <v/>
      </c>
      <c r="L86" s="40" t="str">
        <f aca="false">IF($Y86="","",ROUND(SUMIFS(应收开票额,应收键,$Y86,应收开票年度,管理年度),2))</f>
        <v/>
      </c>
      <c r="M86" s="40" t="str">
        <f aca="false">IF($Y86="","",ROUND($I86-$L86,2))</f>
        <v/>
      </c>
      <c r="N86" s="40" t="str">
        <f aca="false">IF($Y86="","",ROUND(SUMIFS(收款金额,收款键,$Y86,收款年度,管理年度),2))</f>
        <v/>
      </c>
      <c r="O86" s="40" t="str">
        <f aca="false">IF($Y86="","",ROUND(SUMIFS(收款金额,收款键,$Y86,收款年度,管理年度,收款归类,"发票"),2))</f>
        <v/>
      </c>
      <c r="P86" s="40" t="str">
        <f aca="false">IF($Y86="","",ROUND(SUMIFS(收款金额,收款键,$Y86,收款年度,管理年度,收款归类,"收据"),2))</f>
        <v/>
      </c>
      <c r="Q86" s="40" t="str">
        <f aca="false">IF($Y86="","",ROUND(SUMIFS(收款金额,收款键,$Y86,收款年度,管理年度,收款归类,"现金无票"),2))</f>
        <v/>
      </c>
      <c r="R86" s="40" t="str">
        <f aca="false">IF($Y86="","",ROUND(MAX(0,MIN($T86,SUMIF(应收键,$Y86,应收开票额)-SUMIF(收款键,$Y86,收款金额))),2))</f>
        <v/>
      </c>
      <c r="S86" s="40" t="str">
        <f aca="false">IF($Y86="","",ROUND(MAX(0,$T86)-$R86,2))</f>
        <v/>
      </c>
      <c r="T86" s="48" t="str">
        <f aca="false">IF($Y86="","",ROUND(SUMIF(应收键,$Y86,应收金额)-SUMIF(收款键,$Y86,收款金额),2))</f>
        <v/>
      </c>
      <c r="U86" s="49" t="str">
        <f aca="true">IF($AA86="","",IF($T86&lt;=0.01,"",MAX(0,TODAY()-$AA86)))</f>
        <v/>
      </c>
      <c r="V86" s="50" t="str">
        <f aca="true">IF($Y86="","",IF($T86&gt;0.01,IF(AND(ISNUMBER($U86),$U86&gt;=账龄预警天),"▲欠款拖了 "&amp;TEXT($U86,"0")&amp;" 天","欠款未清"),IF($T86&lt;-0.01,"预收/多收","已结清"))&amp;IF(OR($E86="已签未回",$E86="未签",$E86="续签中")," ▲合同未回","")&amp;IF(AND(ISNUMBER($F86),$F86&lt;TODAY())," ▲合同已到期",""))</f>
        <v/>
      </c>
      <c r="W86" s="24"/>
      <c r="X86" s="35" t="str">
        <f aca="false">IF($Y86="","",IF(ROUND($H86+$I86-$N86+$Z86-$T86,2)&lt;&gt;0,"★期初＋本年－已收≠余额",IF(ROUND($R86+$S86-MAX(0,$T86),2)&lt;&gt;0,"★已开票＋未开票≠欠款",IF(ROUND($J86+$K86-$I86,2)&lt;&gt;0,"★合同款＋合同外款≠本年应收",IF(ROUND($O86+$P86+$Q86-$N86,2)&lt;&gt;0,"★发票＋收据＋现金≠本年已收","OK")))))</f>
        <v/>
      </c>
      <c r="Y86" s="35" t="str">
        <f aca="false">IF(维保合同!$C86="","",维保合同!$E86)</f>
        <v/>
      </c>
      <c r="Z86" s="40" t="str">
        <f aca="false">IF($Y86="","",ROUND(SUMIFS(应收金额,应收键,$Y86,应收年度,"&gt;"&amp;管理年度)-SUMIFS(收款金额,收款键,$Y86,收款年度,"&gt;"&amp;管理年度),2))</f>
        <v/>
      </c>
      <c r="AA86" s="47" t="str">
        <f aca="false">IF($Y86="","",IF(SUMPRODUCT(MIN(IF((应收键=$Y86)*(应收未收&gt;0.01),应收日期,999999)))&gt;=999999,"",SUMPRODUCT(MIN(IF((应收键=$Y86)*(应收未收&gt;0.01),应收日期,999999)))))</f>
        <v/>
      </c>
    </row>
    <row r="87" customFormat="false" ht="15" hidden="false" customHeight="false" outlineLevel="0" collapsed="false">
      <c r="A87" s="29" t="str">
        <f aca="false">IF($Y87="","",ROW()-4)</f>
        <v/>
      </c>
      <c r="B87" s="16" t="str">
        <f aca="false">IF($Y87="","",维保合同!$C87)</f>
        <v/>
      </c>
      <c r="C87" s="16" t="str">
        <f aca="false">IF($Y87="","",维保合同!$D87)</f>
        <v/>
      </c>
      <c r="D87" s="35" t="str">
        <f aca="false">IF($Y87="","",维保合同!$F87)</f>
        <v/>
      </c>
      <c r="E87" s="35" t="str">
        <f aca="false">IF($Y87="","",维保合同!$G87)</f>
        <v/>
      </c>
      <c r="F87" s="47" t="str">
        <f aca="false">IF($Y87="","",维保合同!$I87)</f>
        <v/>
      </c>
      <c r="G87" s="38" t="str">
        <f aca="false">IF($Y87="","",维保合同!$K87)</f>
        <v/>
      </c>
      <c r="H87" s="41" t="str">
        <f aca="false">IF($Y87="","",ROUND(SUMIFS(应收金额,应收键,$Y87,应收年度,"&lt;"&amp;管理年度)-SUMIFS(收款金额,收款键,$Y87,收款年度,"&lt;"&amp;管理年度),2))</f>
        <v/>
      </c>
      <c r="I87" s="40" t="str">
        <f aca="false">IF($Y87="","",ROUND(SUMIFS(应收金额,应收键,$Y87,应收年度,管理年度),2))</f>
        <v/>
      </c>
      <c r="J87" s="40" t="str">
        <f aca="false">IF($Y87="","",ROUND(SUMIFS(应收金额,应收键,$Y87,应收年度,管理年度,应收款别,"合同款"),2))</f>
        <v/>
      </c>
      <c r="K87" s="40" t="str">
        <f aca="false">IF($Y87="","",ROUND($I87-$J87,2))</f>
        <v/>
      </c>
      <c r="L87" s="40" t="str">
        <f aca="false">IF($Y87="","",ROUND(SUMIFS(应收开票额,应收键,$Y87,应收开票年度,管理年度),2))</f>
        <v/>
      </c>
      <c r="M87" s="40" t="str">
        <f aca="false">IF($Y87="","",ROUND($I87-$L87,2))</f>
        <v/>
      </c>
      <c r="N87" s="40" t="str">
        <f aca="false">IF($Y87="","",ROUND(SUMIFS(收款金额,收款键,$Y87,收款年度,管理年度),2))</f>
        <v/>
      </c>
      <c r="O87" s="40" t="str">
        <f aca="false">IF($Y87="","",ROUND(SUMIFS(收款金额,收款键,$Y87,收款年度,管理年度,收款归类,"发票"),2))</f>
        <v/>
      </c>
      <c r="P87" s="40" t="str">
        <f aca="false">IF($Y87="","",ROUND(SUMIFS(收款金额,收款键,$Y87,收款年度,管理年度,收款归类,"收据"),2))</f>
        <v/>
      </c>
      <c r="Q87" s="40" t="str">
        <f aca="false">IF($Y87="","",ROUND(SUMIFS(收款金额,收款键,$Y87,收款年度,管理年度,收款归类,"现金无票"),2))</f>
        <v/>
      </c>
      <c r="R87" s="40" t="str">
        <f aca="false">IF($Y87="","",ROUND(MAX(0,MIN($T87,SUMIF(应收键,$Y87,应收开票额)-SUMIF(收款键,$Y87,收款金额))),2))</f>
        <v/>
      </c>
      <c r="S87" s="40" t="str">
        <f aca="false">IF($Y87="","",ROUND(MAX(0,$T87)-$R87,2))</f>
        <v/>
      </c>
      <c r="T87" s="48" t="str">
        <f aca="false">IF($Y87="","",ROUND(SUMIF(应收键,$Y87,应收金额)-SUMIF(收款键,$Y87,收款金额),2))</f>
        <v/>
      </c>
      <c r="U87" s="49" t="str">
        <f aca="true">IF($AA87="","",IF($T87&lt;=0.01,"",MAX(0,TODAY()-$AA87)))</f>
        <v/>
      </c>
      <c r="V87" s="50" t="str">
        <f aca="true">IF($Y87="","",IF($T87&gt;0.01,IF(AND(ISNUMBER($U87),$U87&gt;=账龄预警天),"▲欠款拖了 "&amp;TEXT($U87,"0")&amp;" 天","欠款未清"),IF($T87&lt;-0.01,"预收/多收","已结清"))&amp;IF(OR($E87="已签未回",$E87="未签",$E87="续签中")," ▲合同未回","")&amp;IF(AND(ISNUMBER($F87),$F87&lt;TODAY())," ▲合同已到期",""))</f>
        <v/>
      </c>
      <c r="W87" s="24"/>
      <c r="X87" s="35" t="str">
        <f aca="false">IF($Y87="","",IF(ROUND($H87+$I87-$N87+$Z87-$T87,2)&lt;&gt;0,"★期初＋本年－已收≠余额",IF(ROUND($R87+$S87-MAX(0,$T87),2)&lt;&gt;0,"★已开票＋未开票≠欠款",IF(ROUND($J87+$K87-$I87,2)&lt;&gt;0,"★合同款＋合同外款≠本年应收",IF(ROUND($O87+$P87+$Q87-$N87,2)&lt;&gt;0,"★发票＋收据＋现金≠本年已收","OK")))))</f>
        <v/>
      </c>
      <c r="Y87" s="35" t="str">
        <f aca="false">IF(维保合同!$C87="","",维保合同!$E87)</f>
        <v/>
      </c>
      <c r="Z87" s="40" t="str">
        <f aca="false">IF($Y87="","",ROUND(SUMIFS(应收金额,应收键,$Y87,应收年度,"&gt;"&amp;管理年度)-SUMIFS(收款金额,收款键,$Y87,收款年度,"&gt;"&amp;管理年度),2))</f>
        <v/>
      </c>
      <c r="AA87" s="47" t="str">
        <f aca="false">IF($Y87="","",IF(SUMPRODUCT(MIN(IF((应收键=$Y87)*(应收未收&gt;0.01),应收日期,999999)))&gt;=999999,"",SUMPRODUCT(MIN(IF((应收键=$Y87)*(应收未收&gt;0.01),应收日期,999999)))))</f>
        <v/>
      </c>
    </row>
    <row r="88" customFormat="false" ht="15" hidden="false" customHeight="false" outlineLevel="0" collapsed="false">
      <c r="A88" s="29" t="str">
        <f aca="false">IF($Y88="","",ROW()-4)</f>
        <v/>
      </c>
      <c r="B88" s="16" t="str">
        <f aca="false">IF($Y88="","",维保合同!$C88)</f>
        <v/>
      </c>
      <c r="C88" s="16" t="str">
        <f aca="false">IF($Y88="","",维保合同!$D88)</f>
        <v/>
      </c>
      <c r="D88" s="35" t="str">
        <f aca="false">IF($Y88="","",维保合同!$F88)</f>
        <v/>
      </c>
      <c r="E88" s="35" t="str">
        <f aca="false">IF($Y88="","",维保合同!$G88)</f>
        <v/>
      </c>
      <c r="F88" s="47" t="str">
        <f aca="false">IF($Y88="","",维保合同!$I88)</f>
        <v/>
      </c>
      <c r="G88" s="38" t="str">
        <f aca="false">IF($Y88="","",维保合同!$K88)</f>
        <v/>
      </c>
      <c r="H88" s="41" t="str">
        <f aca="false">IF($Y88="","",ROUND(SUMIFS(应收金额,应收键,$Y88,应收年度,"&lt;"&amp;管理年度)-SUMIFS(收款金额,收款键,$Y88,收款年度,"&lt;"&amp;管理年度),2))</f>
        <v/>
      </c>
      <c r="I88" s="40" t="str">
        <f aca="false">IF($Y88="","",ROUND(SUMIFS(应收金额,应收键,$Y88,应收年度,管理年度),2))</f>
        <v/>
      </c>
      <c r="J88" s="40" t="str">
        <f aca="false">IF($Y88="","",ROUND(SUMIFS(应收金额,应收键,$Y88,应收年度,管理年度,应收款别,"合同款"),2))</f>
        <v/>
      </c>
      <c r="K88" s="40" t="str">
        <f aca="false">IF($Y88="","",ROUND($I88-$J88,2))</f>
        <v/>
      </c>
      <c r="L88" s="40" t="str">
        <f aca="false">IF($Y88="","",ROUND(SUMIFS(应收开票额,应收键,$Y88,应收开票年度,管理年度),2))</f>
        <v/>
      </c>
      <c r="M88" s="40" t="str">
        <f aca="false">IF($Y88="","",ROUND($I88-$L88,2))</f>
        <v/>
      </c>
      <c r="N88" s="40" t="str">
        <f aca="false">IF($Y88="","",ROUND(SUMIFS(收款金额,收款键,$Y88,收款年度,管理年度),2))</f>
        <v/>
      </c>
      <c r="O88" s="40" t="str">
        <f aca="false">IF($Y88="","",ROUND(SUMIFS(收款金额,收款键,$Y88,收款年度,管理年度,收款归类,"发票"),2))</f>
        <v/>
      </c>
      <c r="P88" s="40" t="str">
        <f aca="false">IF($Y88="","",ROUND(SUMIFS(收款金额,收款键,$Y88,收款年度,管理年度,收款归类,"收据"),2))</f>
        <v/>
      </c>
      <c r="Q88" s="40" t="str">
        <f aca="false">IF($Y88="","",ROUND(SUMIFS(收款金额,收款键,$Y88,收款年度,管理年度,收款归类,"现金无票"),2))</f>
        <v/>
      </c>
      <c r="R88" s="40" t="str">
        <f aca="false">IF($Y88="","",ROUND(MAX(0,MIN($T88,SUMIF(应收键,$Y88,应收开票额)-SUMIF(收款键,$Y88,收款金额))),2))</f>
        <v/>
      </c>
      <c r="S88" s="40" t="str">
        <f aca="false">IF($Y88="","",ROUND(MAX(0,$T88)-$R88,2))</f>
        <v/>
      </c>
      <c r="T88" s="48" t="str">
        <f aca="false">IF($Y88="","",ROUND(SUMIF(应收键,$Y88,应收金额)-SUMIF(收款键,$Y88,收款金额),2))</f>
        <v/>
      </c>
      <c r="U88" s="49" t="str">
        <f aca="true">IF($AA88="","",IF($T88&lt;=0.01,"",MAX(0,TODAY()-$AA88)))</f>
        <v/>
      </c>
      <c r="V88" s="50" t="str">
        <f aca="true">IF($Y88="","",IF($T88&gt;0.01,IF(AND(ISNUMBER($U88),$U88&gt;=账龄预警天),"▲欠款拖了 "&amp;TEXT($U88,"0")&amp;" 天","欠款未清"),IF($T88&lt;-0.01,"预收/多收","已结清"))&amp;IF(OR($E88="已签未回",$E88="未签",$E88="续签中")," ▲合同未回","")&amp;IF(AND(ISNUMBER($F88),$F88&lt;TODAY())," ▲合同已到期",""))</f>
        <v/>
      </c>
      <c r="W88" s="24"/>
      <c r="X88" s="35" t="str">
        <f aca="false">IF($Y88="","",IF(ROUND($H88+$I88-$N88+$Z88-$T88,2)&lt;&gt;0,"★期初＋本年－已收≠余额",IF(ROUND($R88+$S88-MAX(0,$T88),2)&lt;&gt;0,"★已开票＋未开票≠欠款",IF(ROUND($J88+$K88-$I88,2)&lt;&gt;0,"★合同款＋合同外款≠本年应收",IF(ROUND($O88+$P88+$Q88-$N88,2)&lt;&gt;0,"★发票＋收据＋现金≠本年已收","OK")))))</f>
        <v/>
      </c>
      <c r="Y88" s="35" t="str">
        <f aca="false">IF(维保合同!$C88="","",维保合同!$E88)</f>
        <v/>
      </c>
      <c r="Z88" s="40" t="str">
        <f aca="false">IF($Y88="","",ROUND(SUMIFS(应收金额,应收键,$Y88,应收年度,"&gt;"&amp;管理年度)-SUMIFS(收款金额,收款键,$Y88,收款年度,"&gt;"&amp;管理年度),2))</f>
        <v/>
      </c>
      <c r="AA88" s="47" t="str">
        <f aca="false">IF($Y88="","",IF(SUMPRODUCT(MIN(IF((应收键=$Y88)*(应收未收&gt;0.01),应收日期,999999)))&gt;=999999,"",SUMPRODUCT(MIN(IF((应收键=$Y88)*(应收未收&gt;0.01),应收日期,999999)))))</f>
        <v/>
      </c>
    </row>
    <row r="89" customFormat="false" ht="15" hidden="false" customHeight="false" outlineLevel="0" collapsed="false">
      <c r="A89" s="29" t="str">
        <f aca="false">IF($Y89="","",ROW()-4)</f>
        <v/>
      </c>
      <c r="B89" s="16" t="str">
        <f aca="false">IF($Y89="","",维保合同!$C89)</f>
        <v/>
      </c>
      <c r="C89" s="16" t="str">
        <f aca="false">IF($Y89="","",维保合同!$D89)</f>
        <v/>
      </c>
      <c r="D89" s="35" t="str">
        <f aca="false">IF($Y89="","",维保合同!$F89)</f>
        <v/>
      </c>
      <c r="E89" s="35" t="str">
        <f aca="false">IF($Y89="","",维保合同!$G89)</f>
        <v/>
      </c>
      <c r="F89" s="47" t="str">
        <f aca="false">IF($Y89="","",维保合同!$I89)</f>
        <v/>
      </c>
      <c r="G89" s="38" t="str">
        <f aca="false">IF($Y89="","",维保合同!$K89)</f>
        <v/>
      </c>
      <c r="H89" s="41" t="str">
        <f aca="false">IF($Y89="","",ROUND(SUMIFS(应收金额,应收键,$Y89,应收年度,"&lt;"&amp;管理年度)-SUMIFS(收款金额,收款键,$Y89,收款年度,"&lt;"&amp;管理年度),2))</f>
        <v/>
      </c>
      <c r="I89" s="40" t="str">
        <f aca="false">IF($Y89="","",ROUND(SUMIFS(应收金额,应收键,$Y89,应收年度,管理年度),2))</f>
        <v/>
      </c>
      <c r="J89" s="40" t="str">
        <f aca="false">IF($Y89="","",ROUND(SUMIFS(应收金额,应收键,$Y89,应收年度,管理年度,应收款别,"合同款"),2))</f>
        <v/>
      </c>
      <c r="K89" s="40" t="str">
        <f aca="false">IF($Y89="","",ROUND($I89-$J89,2))</f>
        <v/>
      </c>
      <c r="L89" s="40" t="str">
        <f aca="false">IF($Y89="","",ROUND(SUMIFS(应收开票额,应收键,$Y89,应收开票年度,管理年度),2))</f>
        <v/>
      </c>
      <c r="M89" s="40" t="str">
        <f aca="false">IF($Y89="","",ROUND($I89-$L89,2))</f>
        <v/>
      </c>
      <c r="N89" s="40" t="str">
        <f aca="false">IF($Y89="","",ROUND(SUMIFS(收款金额,收款键,$Y89,收款年度,管理年度),2))</f>
        <v/>
      </c>
      <c r="O89" s="40" t="str">
        <f aca="false">IF($Y89="","",ROUND(SUMIFS(收款金额,收款键,$Y89,收款年度,管理年度,收款归类,"发票"),2))</f>
        <v/>
      </c>
      <c r="P89" s="40" t="str">
        <f aca="false">IF($Y89="","",ROUND(SUMIFS(收款金额,收款键,$Y89,收款年度,管理年度,收款归类,"收据"),2))</f>
        <v/>
      </c>
      <c r="Q89" s="40" t="str">
        <f aca="false">IF($Y89="","",ROUND(SUMIFS(收款金额,收款键,$Y89,收款年度,管理年度,收款归类,"现金无票"),2))</f>
        <v/>
      </c>
      <c r="R89" s="40" t="str">
        <f aca="false">IF($Y89="","",ROUND(MAX(0,MIN($T89,SUMIF(应收键,$Y89,应收开票额)-SUMIF(收款键,$Y89,收款金额))),2))</f>
        <v/>
      </c>
      <c r="S89" s="40" t="str">
        <f aca="false">IF($Y89="","",ROUND(MAX(0,$T89)-$R89,2))</f>
        <v/>
      </c>
      <c r="T89" s="48" t="str">
        <f aca="false">IF($Y89="","",ROUND(SUMIF(应收键,$Y89,应收金额)-SUMIF(收款键,$Y89,收款金额),2))</f>
        <v/>
      </c>
      <c r="U89" s="49" t="str">
        <f aca="true">IF($AA89="","",IF($T89&lt;=0.01,"",MAX(0,TODAY()-$AA89)))</f>
        <v/>
      </c>
      <c r="V89" s="50" t="str">
        <f aca="true">IF($Y89="","",IF($T89&gt;0.01,IF(AND(ISNUMBER($U89),$U89&gt;=账龄预警天),"▲欠款拖了 "&amp;TEXT($U89,"0")&amp;" 天","欠款未清"),IF($T89&lt;-0.01,"预收/多收","已结清"))&amp;IF(OR($E89="已签未回",$E89="未签",$E89="续签中")," ▲合同未回","")&amp;IF(AND(ISNUMBER($F89),$F89&lt;TODAY())," ▲合同已到期",""))</f>
        <v/>
      </c>
      <c r="W89" s="24"/>
      <c r="X89" s="35" t="str">
        <f aca="false">IF($Y89="","",IF(ROUND($H89+$I89-$N89+$Z89-$T89,2)&lt;&gt;0,"★期初＋本年－已收≠余额",IF(ROUND($R89+$S89-MAX(0,$T89),2)&lt;&gt;0,"★已开票＋未开票≠欠款",IF(ROUND($J89+$K89-$I89,2)&lt;&gt;0,"★合同款＋合同外款≠本年应收",IF(ROUND($O89+$P89+$Q89-$N89,2)&lt;&gt;0,"★发票＋收据＋现金≠本年已收","OK")))))</f>
        <v/>
      </c>
      <c r="Y89" s="35" t="str">
        <f aca="false">IF(维保合同!$C89="","",维保合同!$E89)</f>
        <v/>
      </c>
      <c r="Z89" s="40" t="str">
        <f aca="false">IF($Y89="","",ROUND(SUMIFS(应收金额,应收键,$Y89,应收年度,"&gt;"&amp;管理年度)-SUMIFS(收款金额,收款键,$Y89,收款年度,"&gt;"&amp;管理年度),2))</f>
        <v/>
      </c>
      <c r="AA89" s="47" t="str">
        <f aca="false">IF($Y89="","",IF(SUMPRODUCT(MIN(IF((应收键=$Y89)*(应收未收&gt;0.01),应收日期,999999)))&gt;=999999,"",SUMPRODUCT(MIN(IF((应收键=$Y89)*(应收未收&gt;0.01),应收日期,999999)))))</f>
        <v/>
      </c>
    </row>
    <row r="90" customFormat="false" ht="15" hidden="false" customHeight="false" outlineLevel="0" collapsed="false">
      <c r="A90" s="29" t="str">
        <f aca="false">IF($Y90="","",ROW()-4)</f>
        <v/>
      </c>
      <c r="B90" s="16" t="str">
        <f aca="false">IF($Y90="","",维保合同!$C90)</f>
        <v/>
      </c>
      <c r="C90" s="16" t="str">
        <f aca="false">IF($Y90="","",维保合同!$D90)</f>
        <v/>
      </c>
      <c r="D90" s="35" t="str">
        <f aca="false">IF($Y90="","",维保合同!$F90)</f>
        <v/>
      </c>
      <c r="E90" s="35" t="str">
        <f aca="false">IF($Y90="","",维保合同!$G90)</f>
        <v/>
      </c>
      <c r="F90" s="47" t="str">
        <f aca="false">IF($Y90="","",维保合同!$I90)</f>
        <v/>
      </c>
      <c r="G90" s="38" t="str">
        <f aca="false">IF($Y90="","",维保合同!$K90)</f>
        <v/>
      </c>
      <c r="H90" s="41" t="str">
        <f aca="false">IF($Y90="","",ROUND(SUMIFS(应收金额,应收键,$Y90,应收年度,"&lt;"&amp;管理年度)-SUMIFS(收款金额,收款键,$Y90,收款年度,"&lt;"&amp;管理年度),2))</f>
        <v/>
      </c>
      <c r="I90" s="40" t="str">
        <f aca="false">IF($Y90="","",ROUND(SUMIFS(应收金额,应收键,$Y90,应收年度,管理年度),2))</f>
        <v/>
      </c>
      <c r="J90" s="40" t="str">
        <f aca="false">IF($Y90="","",ROUND(SUMIFS(应收金额,应收键,$Y90,应收年度,管理年度,应收款别,"合同款"),2))</f>
        <v/>
      </c>
      <c r="K90" s="40" t="str">
        <f aca="false">IF($Y90="","",ROUND($I90-$J90,2))</f>
        <v/>
      </c>
      <c r="L90" s="40" t="str">
        <f aca="false">IF($Y90="","",ROUND(SUMIFS(应收开票额,应收键,$Y90,应收开票年度,管理年度),2))</f>
        <v/>
      </c>
      <c r="M90" s="40" t="str">
        <f aca="false">IF($Y90="","",ROUND($I90-$L90,2))</f>
        <v/>
      </c>
      <c r="N90" s="40" t="str">
        <f aca="false">IF($Y90="","",ROUND(SUMIFS(收款金额,收款键,$Y90,收款年度,管理年度),2))</f>
        <v/>
      </c>
      <c r="O90" s="40" t="str">
        <f aca="false">IF($Y90="","",ROUND(SUMIFS(收款金额,收款键,$Y90,收款年度,管理年度,收款归类,"发票"),2))</f>
        <v/>
      </c>
      <c r="P90" s="40" t="str">
        <f aca="false">IF($Y90="","",ROUND(SUMIFS(收款金额,收款键,$Y90,收款年度,管理年度,收款归类,"收据"),2))</f>
        <v/>
      </c>
      <c r="Q90" s="40" t="str">
        <f aca="false">IF($Y90="","",ROUND(SUMIFS(收款金额,收款键,$Y90,收款年度,管理年度,收款归类,"现金无票"),2))</f>
        <v/>
      </c>
      <c r="R90" s="40" t="str">
        <f aca="false">IF($Y90="","",ROUND(MAX(0,MIN($T90,SUMIF(应收键,$Y90,应收开票额)-SUMIF(收款键,$Y90,收款金额))),2))</f>
        <v/>
      </c>
      <c r="S90" s="40" t="str">
        <f aca="false">IF($Y90="","",ROUND(MAX(0,$T90)-$R90,2))</f>
        <v/>
      </c>
      <c r="T90" s="48" t="str">
        <f aca="false">IF($Y90="","",ROUND(SUMIF(应收键,$Y90,应收金额)-SUMIF(收款键,$Y90,收款金额),2))</f>
        <v/>
      </c>
      <c r="U90" s="49" t="str">
        <f aca="true">IF($AA90="","",IF($T90&lt;=0.01,"",MAX(0,TODAY()-$AA90)))</f>
        <v/>
      </c>
      <c r="V90" s="50" t="str">
        <f aca="true">IF($Y90="","",IF($T90&gt;0.01,IF(AND(ISNUMBER($U90),$U90&gt;=账龄预警天),"▲欠款拖了 "&amp;TEXT($U90,"0")&amp;" 天","欠款未清"),IF($T90&lt;-0.01,"预收/多收","已结清"))&amp;IF(OR($E90="已签未回",$E90="未签",$E90="续签中")," ▲合同未回","")&amp;IF(AND(ISNUMBER($F90),$F90&lt;TODAY())," ▲合同已到期",""))</f>
        <v/>
      </c>
      <c r="W90" s="24"/>
      <c r="X90" s="35" t="str">
        <f aca="false">IF($Y90="","",IF(ROUND($H90+$I90-$N90+$Z90-$T90,2)&lt;&gt;0,"★期初＋本年－已收≠余额",IF(ROUND($R90+$S90-MAX(0,$T90),2)&lt;&gt;0,"★已开票＋未开票≠欠款",IF(ROUND($J90+$K90-$I90,2)&lt;&gt;0,"★合同款＋合同外款≠本年应收",IF(ROUND($O90+$P90+$Q90-$N90,2)&lt;&gt;0,"★发票＋收据＋现金≠本年已收","OK")))))</f>
        <v/>
      </c>
      <c r="Y90" s="35" t="str">
        <f aca="false">IF(维保合同!$C90="","",维保合同!$E90)</f>
        <v/>
      </c>
      <c r="Z90" s="40" t="str">
        <f aca="false">IF($Y90="","",ROUND(SUMIFS(应收金额,应收键,$Y90,应收年度,"&gt;"&amp;管理年度)-SUMIFS(收款金额,收款键,$Y90,收款年度,"&gt;"&amp;管理年度),2))</f>
        <v/>
      </c>
      <c r="AA90" s="47" t="str">
        <f aca="false">IF($Y90="","",IF(SUMPRODUCT(MIN(IF((应收键=$Y90)*(应收未收&gt;0.01),应收日期,999999)))&gt;=999999,"",SUMPRODUCT(MIN(IF((应收键=$Y90)*(应收未收&gt;0.01),应收日期,999999)))))</f>
        <v/>
      </c>
    </row>
    <row r="91" customFormat="false" ht="15" hidden="false" customHeight="false" outlineLevel="0" collapsed="false">
      <c r="A91" s="29" t="str">
        <f aca="false">IF($Y91="","",ROW()-4)</f>
        <v/>
      </c>
      <c r="B91" s="16" t="str">
        <f aca="false">IF($Y91="","",维保合同!$C91)</f>
        <v/>
      </c>
      <c r="C91" s="16" t="str">
        <f aca="false">IF($Y91="","",维保合同!$D91)</f>
        <v/>
      </c>
      <c r="D91" s="35" t="str">
        <f aca="false">IF($Y91="","",维保合同!$F91)</f>
        <v/>
      </c>
      <c r="E91" s="35" t="str">
        <f aca="false">IF($Y91="","",维保合同!$G91)</f>
        <v/>
      </c>
      <c r="F91" s="47" t="str">
        <f aca="false">IF($Y91="","",维保合同!$I91)</f>
        <v/>
      </c>
      <c r="G91" s="38" t="str">
        <f aca="false">IF($Y91="","",维保合同!$K91)</f>
        <v/>
      </c>
      <c r="H91" s="41" t="str">
        <f aca="false">IF($Y91="","",ROUND(SUMIFS(应收金额,应收键,$Y91,应收年度,"&lt;"&amp;管理年度)-SUMIFS(收款金额,收款键,$Y91,收款年度,"&lt;"&amp;管理年度),2))</f>
        <v/>
      </c>
      <c r="I91" s="40" t="str">
        <f aca="false">IF($Y91="","",ROUND(SUMIFS(应收金额,应收键,$Y91,应收年度,管理年度),2))</f>
        <v/>
      </c>
      <c r="J91" s="40" t="str">
        <f aca="false">IF($Y91="","",ROUND(SUMIFS(应收金额,应收键,$Y91,应收年度,管理年度,应收款别,"合同款"),2))</f>
        <v/>
      </c>
      <c r="K91" s="40" t="str">
        <f aca="false">IF($Y91="","",ROUND($I91-$J91,2))</f>
        <v/>
      </c>
      <c r="L91" s="40" t="str">
        <f aca="false">IF($Y91="","",ROUND(SUMIFS(应收开票额,应收键,$Y91,应收开票年度,管理年度),2))</f>
        <v/>
      </c>
      <c r="M91" s="40" t="str">
        <f aca="false">IF($Y91="","",ROUND($I91-$L91,2))</f>
        <v/>
      </c>
      <c r="N91" s="40" t="str">
        <f aca="false">IF($Y91="","",ROUND(SUMIFS(收款金额,收款键,$Y91,收款年度,管理年度),2))</f>
        <v/>
      </c>
      <c r="O91" s="40" t="str">
        <f aca="false">IF($Y91="","",ROUND(SUMIFS(收款金额,收款键,$Y91,收款年度,管理年度,收款归类,"发票"),2))</f>
        <v/>
      </c>
      <c r="P91" s="40" t="str">
        <f aca="false">IF($Y91="","",ROUND(SUMIFS(收款金额,收款键,$Y91,收款年度,管理年度,收款归类,"收据"),2))</f>
        <v/>
      </c>
      <c r="Q91" s="40" t="str">
        <f aca="false">IF($Y91="","",ROUND(SUMIFS(收款金额,收款键,$Y91,收款年度,管理年度,收款归类,"现金无票"),2))</f>
        <v/>
      </c>
      <c r="R91" s="40" t="str">
        <f aca="false">IF($Y91="","",ROUND(MAX(0,MIN($T91,SUMIF(应收键,$Y91,应收开票额)-SUMIF(收款键,$Y91,收款金额))),2))</f>
        <v/>
      </c>
      <c r="S91" s="40" t="str">
        <f aca="false">IF($Y91="","",ROUND(MAX(0,$T91)-$R91,2))</f>
        <v/>
      </c>
      <c r="T91" s="48" t="str">
        <f aca="false">IF($Y91="","",ROUND(SUMIF(应收键,$Y91,应收金额)-SUMIF(收款键,$Y91,收款金额),2))</f>
        <v/>
      </c>
      <c r="U91" s="49" t="str">
        <f aca="true">IF($AA91="","",IF($T91&lt;=0.01,"",MAX(0,TODAY()-$AA91)))</f>
        <v/>
      </c>
      <c r="V91" s="50" t="str">
        <f aca="true">IF($Y91="","",IF($T91&gt;0.01,IF(AND(ISNUMBER($U91),$U91&gt;=账龄预警天),"▲欠款拖了 "&amp;TEXT($U91,"0")&amp;" 天","欠款未清"),IF($T91&lt;-0.01,"预收/多收","已结清"))&amp;IF(OR($E91="已签未回",$E91="未签",$E91="续签中")," ▲合同未回","")&amp;IF(AND(ISNUMBER($F91),$F91&lt;TODAY())," ▲合同已到期",""))</f>
        <v/>
      </c>
      <c r="W91" s="24"/>
      <c r="X91" s="35" t="str">
        <f aca="false">IF($Y91="","",IF(ROUND($H91+$I91-$N91+$Z91-$T91,2)&lt;&gt;0,"★期初＋本年－已收≠余额",IF(ROUND($R91+$S91-MAX(0,$T91),2)&lt;&gt;0,"★已开票＋未开票≠欠款",IF(ROUND($J91+$K91-$I91,2)&lt;&gt;0,"★合同款＋合同外款≠本年应收",IF(ROUND($O91+$P91+$Q91-$N91,2)&lt;&gt;0,"★发票＋收据＋现金≠本年已收","OK")))))</f>
        <v/>
      </c>
      <c r="Y91" s="35" t="str">
        <f aca="false">IF(维保合同!$C91="","",维保合同!$E91)</f>
        <v/>
      </c>
      <c r="Z91" s="40" t="str">
        <f aca="false">IF($Y91="","",ROUND(SUMIFS(应收金额,应收键,$Y91,应收年度,"&gt;"&amp;管理年度)-SUMIFS(收款金额,收款键,$Y91,收款年度,"&gt;"&amp;管理年度),2))</f>
        <v/>
      </c>
      <c r="AA91" s="47" t="str">
        <f aca="false">IF($Y91="","",IF(SUMPRODUCT(MIN(IF((应收键=$Y91)*(应收未收&gt;0.01),应收日期,999999)))&gt;=999999,"",SUMPRODUCT(MIN(IF((应收键=$Y91)*(应收未收&gt;0.01),应收日期,999999)))))</f>
        <v/>
      </c>
    </row>
    <row r="92" customFormat="false" ht="15" hidden="false" customHeight="false" outlineLevel="0" collapsed="false">
      <c r="A92" s="29" t="str">
        <f aca="false">IF($Y92="","",ROW()-4)</f>
        <v/>
      </c>
      <c r="B92" s="16" t="str">
        <f aca="false">IF($Y92="","",维保合同!$C92)</f>
        <v/>
      </c>
      <c r="C92" s="16" t="str">
        <f aca="false">IF($Y92="","",维保合同!$D92)</f>
        <v/>
      </c>
      <c r="D92" s="35" t="str">
        <f aca="false">IF($Y92="","",维保合同!$F92)</f>
        <v/>
      </c>
      <c r="E92" s="35" t="str">
        <f aca="false">IF($Y92="","",维保合同!$G92)</f>
        <v/>
      </c>
      <c r="F92" s="47" t="str">
        <f aca="false">IF($Y92="","",维保合同!$I92)</f>
        <v/>
      </c>
      <c r="G92" s="38" t="str">
        <f aca="false">IF($Y92="","",维保合同!$K92)</f>
        <v/>
      </c>
      <c r="H92" s="41" t="str">
        <f aca="false">IF($Y92="","",ROUND(SUMIFS(应收金额,应收键,$Y92,应收年度,"&lt;"&amp;管理年度)-SUMIFS(收款金额,收款键,$Y92,收款年度,"&lt;"&amp;管理年度),2))</f>
        <v/>
      </c>
      <c r="I92" s="40" t="str">
        <f aca="false">IF($Y92="","",ROUND(SUMIFS(应收金额,应收键,$Y92,应收年度,管理年度),2))</f>
        <v/>
      </c>
      <c r="J92" s="40" t="str">
        <f aca="false">IF($Y92="","",ROUND(SUMIFS(应收金额,应收键,$Y92,应收年度,管理年度,应收款别,"合同款"),2))</f>
        <v/>
      </c>
      <c r="K92" s="40" t="str">
        <f aca="false">IF($Y92="","",ROUND($I92-$J92,2))</f>
        <v/>
      </c>
      <c r="L92" s="40" t="str">
        <f aca="false">IF($Y92="","",ROUND(SUMIFS(应收开票额,应收键,$Y92,应收开票年度,管理年度),2))</f>
        <v/>
      </c>
      <c r="M92" s="40" t="str">
        <f aca="false">IF($Y92="","",ROUND($I92-$L92,2))</f>
        <v/>
      </c>
      <c r="N92" s="40" t="str">
        <f aca="false">IF($Y92="","",ROUND(SUMIFS(收款金额,收款键,$Y92,收款年度,管理年度),2))</f>
        <v/>
      </c>
      <c r="O92" s="40" t="str">
        <f aca="false">IF($Y92="","",ROUND(SUMIFS(收款金额,收款键,$Y92,收款年度,管理年度,收款归类,"发票"),2))</f>
        <v/>
      </c>
      <c r="P92" s="40" t="str">
        <f aca="false">IF($Y92="","",ROUND(SUMIFS(收款金额,收款键,$Y92,收款年度,管理年度,收款归类,"收据"),2))</f>
        <v/>
      </c>
      <c r="Q92" s="40" t="str">
        <f aca="false">IF($Y92="","",ROUND(SUMIFS(收款金额,收款键,$Y92,收款年度,管理年度,收款归类,"现金无票"),2))</f>
        <v/>
      </c>
      <c r="R92" s="40" t="str">
        <f aca="false">IF($Y92="","",ROUND(MAX(0,MIN($T92,SUMIF(应收键,$Y92,应收开票额)-SUMIF(收款键,$Y92,收款金额))),2))</f>
        <v/>
      </c>
      <c r="S92" s="40" t="str">
        <f aca="false">IF($Y92="","",ROUND(MAX(0,$T92)-$R92,2))</f>
        <v/>
      </c>
      <c r="T92" s="48" t="str">
        <f aca="false">IF($Y92="","",ROUND(SUMIF(应收键,$Y92,应收金额)-SUMIF(收款键,$Y92,收款金额),2))</f>
        <v/>
      </c>
      <c r="U92" s="49" t="str">
        <f aca="true">IF($AA92="","",IF($T92&lt;=0.01,"",MAX(0,TODAY()-$AA92)))</f>
        <v/>
      </c>
      <c r="V92" s="50" t="str">
        <f aca="true">IF($Y92="","",IF($T92&gt;0.01,IF(AND(ISNUMBER($U92),$U92&gt;=账龄预警天),"▲欠款拖了 "&amp;TEXT($U92,"0")&amp;" 天","欠款未清"),IF($T92&lt;-0.01,"预收/多收","已结清"))&amp;IF(OR($E92="已签未回",$E92="未签",$E92="续签中")," ▲合同未回","")&amp;IF(AND(ISNUMBER($F92),$F92&lt;TODAY())," ▲合同已到期",""))</f>
        <v/>
      </c>
      <c r="W92" s="24"/>
      <c r="X92" s="35" t="str">
        <f aca="false">IF($Y92="","",IF(ROUND($H92+$I92-$N92+$Z92-$T92,2)&lt;&gt;0,"★期初＋本年－已收≠余额",IF(ROUND($R92+$S92-MAX(0,$T92),2)&lt;&gt;0,"★已开票＋未开票≠欠款",IF(ROUND($J92+$K92-$I92,2)&lt;&gt;0,"★合同款＋合同外款≠本年应收",IF(ROUND($O92+$P92+$Q92-$N92,2)&lt;&gt;0,"★发票＋收据＋现金≠本年已收","OK")))))</f>
        <v/>
      </c>
      <c r="Y92" s="35" t="str">
        <f aca="false">IF(维保合同!$C92="","",维保合同!$E92)</f>
        <v/>
      </c>
      <c r="Z92" s="40" t="str">
        <f aca="false">IF($Y92="","",ROUND(SUMIFS(应收金额,应收键,$Y92,应收年度,"&gt;"&amp;管理年度)-SUMIFS(收款金额,收款键,$Y92,收款年度,"&gt;"&amp;管理年度),2))</f>
        <v/>
      </c>
      <c r="AA92" s="47" t="str">
        <f aca="false">IF($Y92="","",IF(SUMPRODUCT(MIN(IF((应收键=$Y92)*(应收未收&gt;0.01),应收日期,999999)))&gt;=999999,"",SUMPRODUCT(MIN(IF((应收键=$Y92)*(应收未收&gt;0.01),应收日期,999999)))))</f>
        <v/>
      </c>
    </row>
    <row r="93" customFormat="false" ht="15" hidden="false" customHeight="false" outlineLevel="0" collapsed="false">
      <c r="A93" s="29" t="str">
        <f aca="false">IF($Y93="","",ROW()-4)</f>
        <v/>
      </c>
      <c r="B93" s="16" t="str">
        <f aca="false">IF($Y93="","",维保合同!$C93)</f>
        <v/>
      </c>
      <c r="C93" s="16" t="str">
        <f aca="false">IF($Y93="","",维保合同!$D93)</f>
        <v/>
      </c>
      <c r="D93" s="35" t="str">
        <f aca="false">IF($Y93="","",维保合同!$F93)</f>
        <v/>
      </c>
      <c r="E93" s="35" t="str">
        <f aca="false">IF($Y93="","",维保合同!$G93)</f>
        <v/>
      </c>
      <c r="F93" s="47" t="str">
        <f aca="false">IF($Y93="","",维保合同!$I93)</f>
        <v/>
      </c>
      <c r="G93" s="38" t="str">
        <f aca="false">IF($Y93="","",维保合同!$K93)</f>
        <v/>
      </c>
      <c r="H93" s="41" t="str">
        <f aca="false">IF($Y93="","",ROUND(SUMIFS(应收金额,应收键,$Y93,应收年度,"&lt;"&amp;管理年度)-SUMIFS(收款金额,收款键,$Y93,收款年度,"&lt;"&amp;管理年度),2))</f>
        <v/>
      </c>
      <c r="I93" s="40" t="str">
        <f aca="false">IF($Y93="","",ROUND(SUMIFS(应收金额,应收键,$Y93,应收年度,管理年度),2))</f>
        <v/>
      </c>
      <c r="J93" s="40" t="str">
        <f aca="false">IF($Y93="","",ROUND(SUMIFS(应收金额,应收键,$Y93,应收年度,管理年度,应收款别,"合同款"),2))</f>
        <v/>
      </c>
      <c r="K93" s="40" t="str">
        <f aca="false">IF($Y93="","",ROUND($I93-$J93,2))</f>
        <v/>
      </c>
      <c r="L93" s="40" t="str">
        <f aca="false">IF($Y93="","",ROUND(SUMIFS(应收开票额,应收键,$Y93,应收开票年度,管理年度),2))</f>
        <v/>
      </c>
      <c r="M93" s="40" t="str">
        <f aca="false">IF($Y93="","",ROUND($I93-$L93,2))</f>
        <v/>
      </c>
      <c r="N93" s="40" t="str">
        <f aca="false">IF($Y93="","",ROUND(SUMIFS(收款金额,收款键,$Y93,收款年度,管理年度),2))</f>
        <v/>
      </c>
      <c r="O93" s="40" t="str">
        <f aca="false">IF($Y93="","",ROUND(SUMIFS(收款金额,收款键,$Y93,收款年度,管理年度,收款归类,"发票"),2))</f>
        <v/>
      </c>
      <c r="P93" s="40" t="str">
        <f aca="false">IF($Y93="","",ROUND(SUMIFS(收款金额,收款键,$Y93,收款年度,管理年度,收款归类,"收据"),2))</f>
        <v/>
      </c>
      <c r="Q93" s="40" t="str">
        <f aca="false">IF($Y93="","",ROUND(SUMIFS(收款金额,收款键,$Y93,收款年度,管理年度,收款归类,"现金无票"),2))</f>
        <v/>
      </c>
      <c r="R93" s="40" t="str">
        <f aca="false">IF($Y93="","",ROUND(MAX(0,MIN($T93,SUMIF(应收键,$Y93,应收开票额)-SUMIF(收款键,$Y93,收款金额))),2))</f>
        <v/>
      </c>
      <c r="S93" s="40" t="str">
        <f aca="false">IF($Y93="","",ROUND(MAX(0,$T93)-$R93,2))</f>
        <v/>
      </c>
      <c r="T93" s="48" t="str">
        <f aca="false">IF($Y93="","",ROUND(SUMIF(应收键,$Y93,应收金额)-SUMIF(收款键,$Y93,收款金额),2))</f>
        <v/>
      </c>
      <c r="U93" s="49" t="str">
        <f aca="true">IF($AA93="","",IF($T93&lt;=0.01,"",MAX(0,TODAY()-$AA93)))</f>
        <v/>
      </c>
      <c r="V93" s="50" t="str">
        <f aca="true">IF($Y93="","",IF($T93&gt;0.01,IF(AND(ISNUMBER($U93),$U93&gt;=账龄预警天),"▲欠款拖了 "&amp;TEXT($U93,"0")&amp;" 天","欠款未清"),IF($T93&lt;-0.01,"预收/多收","已结清"))&amp;IF(OR($E93="已签未回",$E93="未签",$E93="续签中")," ▲合同未回","")&amp;IF(AND(ISNUMBER($F93),$F93&lt;TODAY())," ▲合同已到期",""))</f>
        <v/>
      </c>
      <c r="W93" s="24"/>
      <c r="X93" s="35" t="str">
        <f aca="false">IF($Y93="","",IF(ROUND($H93+$I93-$N93+$Z93-$T93,2)&lt;&gt;0,"★期初＋本年－已收≠余额",IF(ROUND($R93+$S93-MAX(0,$T93),2)&lt;&gt;0,"★已开票＋未开票≠欠款",IF(ROUND($J93+$K93-$I93,2)&lt;&gt;0,"★合同款＋合同外款≠本年应收",IF(ROUND($O93+$P93+$Q93-$N93,2)&lt;&gt;0,"★发票＋收据＋现金≠本年已收","OK")))))</f>
        <v/>
      </c>
      <c r="Y93" s="35" t="str">
        <f aca="false">IF(维保合同!$C93="","",维保合同!$E93)</f>
        <v/>
      </c>
      <c r="Z93" s="40" t="str">
        <f aca="false">IF($Y93="","",ROUND(SUMIFS(应收金额,应收键,$Y93,应收年度,"&gt;"&amp;管理年度)-SUMIFS(收款金额,收款键,$Y93,收款年度,"&gt;"&amp;管理年度),2))</f>
        <v/>
      </c>
      <c r="AA93" s="47" t="str">
        <f aca="false">IF($Y93="","",IF(SUMPRODUCT(MIN(IF((应收键=$Y93)*(应收未收&gt;0.01),应收日期,999999)))&gt;=999999,"",SUMPRODUCT(MIN(IF((应收键=$Y93)*(应收未收&gt;0.01),应收日期,999999)))))</f>
        <v/>
      </c>
    </row>
    <row r="94" customFormat="false" ht="15" hidden="false" customHeight="false" outlineLevel="0" collapsed="false">
      <c r="A94" s="29" t="str">
        <f aca="false">IF($Y94="","",ROW()-4)</f>
        <v/>
      </c>
      <c r="B94" s="16" t="str">
        <f aca="false">IF($Y94="","",维保合同!$C94)</f>
        <v/>
      </c>
      <c r="C94" s="16" t="str">
        <f aca="false">IF($Y94="","",维保合同!$D94)</f>
        <v/>
      </c>
      <c r="D94" s="35" t="str">
        <f aca="false">IF($Y94="","",维保合同!$F94)</f>
        <v/>
      </c>
      <c r="E94" s="35" t="str">
        <f aca="false">IF($Y94="","",维保合同!$G94)</f>
        <v/>
      </c>
      <c r="F94" s="47" t="str">
        <f aca="false">IF($Y94="","",维保合同!$I94)</f>
        <v/>
      </c>
      <c r="G94" s="38" t="str">
        <f aca="false">IF($Y94="","",维保合同!$K94)</f>
        <v/>
      </c>
      <c r="H94" s="41" t="str">
        <f aca="false">IF($Y94="","",ROUND(SUMIFS(应收金额,应收键,$Y94,应收年度,"&lt;"&amp;管理年度)-SUMIFS(收款金额,收款键,$Y94,收款年度,"&lt;"&amp;管理年度),2))</f>
        <v/>
      </c>
      <c r="I94" s="40" t="str">
        <f aca="false">IF($Y94="","",ROUND(SUMIFS(应收金额,应收键,$Y94,应收年度,管理年度),2))</f>
        <v/>
      </c>
      <c r="J94" s="40" t="str">
        <f aca="false">IF($Y94="","",ROUND(SUMIFS(应收金额,应收键,$Y94,应收年度,管理年度,应收款别,"合同款"),2))</f>
        <v/>
      </c>
      <c r="K94" s="40" t="str">
        <f aca="false">IF($Y94="","",ROUND($I94-$J94,2))</f>
        <v/>
      </c>
      <c r="L94" s="40" t="str">
        <f aca="false">IF($Y94="","",ROUND(SUMIFS(应收开票额,应收键,$Y94,应收开票年度,管理年度),2))</f>
        <v/>
      </c>
      <c r="M94" s="40" t="str">
        <f aca="false">IF($Y94="","",ROUND($I94-$L94,2))</f>
        <v/>
      </c>
      <c r="N94" s="40" t="str">
        <f aca="false">IF($Y94="","",ROUND(SUMIFS(收款金额,收款键,$Y94,收款年度,管理年度),2))</f>
        <v/>
      </c>
      <c r="O94" s="40" t="str">
        <f aca="false">IF($Y94="","",ROUND(SUMIFS(收款金额,收款键,$Y94,收款年度,管理年度,收款归类,"发票"),2))</f>
        <v/>
      </c>
      <c r="P94" s="40" t="str">
        <f aca="false">IF($Y94="","",ROUND(SUMIFS(收款金额,收款键,$Y94,收款年度,管理年度,收款归类,"收据"),2))</f>
        <v/>
      </c>
      <c r="Q94" s="40" t="str">
        <f aca="false">IF($Y94="","",ROUND(SUMIFS(收款金额,收款键,$Y94,收款年度,管理年度,收款归类,"现金无票"),2))</f>
        <v/>
      </c>
      <c r="R94" s="40" t="str">
        <f aca="false">IF($Y94="","",ROUND(MAX(0,MIN($T94,SUMIF(应收键,$Y94,应收开票额)-SUMIF(收款键,$Y94,收款金额))),2))</f>
        <v/>
      </c>
      <c r="S94" s="40" t="str">
        <f aca="false">IF($Y94="","",ROUND(MAX(0,$T94)-$R94,2))</f>
        <v/>
      </c>
      <c r="T94" s="48" t="str">
        <f aca="false">IF($Y94="","",ROUND(SUMIF(应收键,$Y94,应收金额)-SUMIF(收款键,$Y94,收款金额),2))</f>
        <v/>
      </c>
      <c r="U94" s="49" t="str">
        <f aca="true">IF($AA94="","",IF($T94&lt;=0.01,"",MAX(0,TODAY()-$AA94)))</f>
        <v/>
      </c>
      <c r="V94" s="50" t="str">
        <f aca="true">IF($Y94="","",IF($T94&gt;0.01,IF(AND(ISNUMBER($U94),$U94&gt;=账龄预警天),"▲欠款拖了 "&amp;TEXT($U94,"0")&amp;" 天","欠款未清"),IF($T94&lt;-0.01,"预收/多收","已结清"))&amp;IF(OR($E94="已签未回",$E94="未签",$E94="续签中")," ▲合同未回","")&amp;IF(AND(ISNUMBER($F94),$F94&lt;TODAY())," ▲合同已到期",""))</f>
        <v/>
      </c>
      <c r="W94" s="24"/>
      <c r="X94" s="35" t="str">
        <f aca="false">IF($Y94="","",IF(ROUND($H94+$I94-$N94+$Z94-$T94,2)&lt;&gt;0,"★期初＋本年－已收≠余额",IF(ROUND($R94+$S94-MAX(0,$T94),2)&lt;&gt;0,"★已开票＋未开票≠欠款",IF(ROUND($J94+$K94-$I94,2)&lt;&gt;0,"★合同款＋合同外款≠本年应收",IF(ROUND($O94+$P94+$Q94-$N94,2)&lt;&gt;0,"★发票＋收据＋现金≠本年已收","OK")))))</f>
        <v/>
      </c>
      <c r="Y94" s="35" t="str">
        <f aca="false">IF(维保合同!$C94="","",维保合同!$E94)</f>
        <v/>
      </c>
      <c r="Z94" s="40" t="str">
        <f aca="false">IF($Y94="","",ROUND(SUMIFS(应收金额,应收键,$Y94,应收年度,"&gt;"&amp;管理年度)-SUMIFS(收款金额,收款键,$Y94,收款年度,"&gt;"&amp;管理年度),2))</f>
        <v/>
      </c>
      <c r="AA94" s="47" t="str">
        <f aca="false">IF($Y94="","",IF(SUMPRODUCT(MIN(IF((应收键=$Y94)*(应收未收&gt;0.01),应收日期,999999)))&gt;=999999,"",SUMPRODUCT(MIN(IF((应收键=$Y94)*(应收未收&gt;0.01),应收日期,999999)))))</f>
        <v/>
      </c>
    </row>
    <row r="95" customFormat="false" ht="15" hidden="false" customHeight="false" outlineLevel="0" collapsed="false">
      <c r="A95" s="29" t="str">
        <f aca="false">IF($Y95="","",ROW()-4)</f>
        <v/>
      </c>
      <c r="B95" s="16" t="str">
        <f aca="false">IF($Y95="","",维保合同!$C95)</f>
        <v/>
      </c>
      <c r="C95" s="16" t="str">
        <f aca="false">IF($Y95="","",维保合同!$D95)</f>
        <v/>
      </c>
      <c r="D95" s="35" t="str">
        <f aca="false">IF($Y95="","",维保合同!$F95)</f>
        <v/>
      </c>
      <c r="E95" s="35" t="str">
        <f aca="false">IF($Y95="","",维保合同!$G95)</f>
        <v/>
      </c>
      <c r="F95" s="47" t="str">
        <f aca="false">IF($Y95="","",维保合同!$I95)</f>
        <v/>
      </c>
      <c r="G95" s="38" t="str">
        <f aca="false">IF($Y95="","",维保合同!$K95)</f>
        <v/>
      </c>
      <c r="H95" s="41" t="str">
        <f aca="false">IF($Y95="","",ROUND(SUMIFS(应收金额,应收键,$Y95,应收年度,"&lt;"&amp;管理年度)-SUMIFS(收款金额,收款键,$Y95,收款年度,"&lt;"&amp;管理年度),2))</f>
        <v/>
      </c>
      <c r="I95" s="40" t="str">
        <f aca="false">IF($Y95="","",ROUND(SUMIFS(应收金额,应收键,$Y95,应收年度,管理年度),2))</f>
        <v/>
      </c>
      <c r="J95" s="40" t="str">
        <f aca="false">IF($Y95="","",ROUND(SUMIFS(应收金额,应收键,$Y95,应收年度,管理年度,应收款别,"合同款"),2))</f>
        <v/>
      </c>
      <c r="K95" s="40" t="str">
        <f aca="false">IF($Y95="","",ROUND($I95-$J95,2))</f>
        <v/>
      </c>
      <c r="L95" s="40" t="str">
        <f aca="false">IF($Y95="","",ROUND(SUMIFS(应收开票额,应收键,$Y95,应收开票年度,管理年度),2))</f>
        <v/>
      </c>
      <c r="M95" s="40" t="str">
        <f aca="false">IF($Y95="","",ROUND($I95-$L95,2))</f>
        <v/>
      </c>
      <c r="N95" s="40" t="str">
        <f aca="false">IF($Y95="","",ROUND(SUMIFS(收款金额,收款键,$Y95,收款年度,管理年度),2))</f>
        <v/>
      </c>
      <c r="O95" s="40" t="str">
        <f aca="false">IF($Y95="","",ROUND(SUMIFS(收款金额,收款键,$Y95,收款年度,管理年度,收款归类,"发票"),2))</f>
        <v/>
      </c>
      <c r="P95" s="40" t="str">
        <f aca="false">IF($Y95="","",ROUND(SUMIFS(收款金额,收款键,$Y95,收款年度,管理年度,收款归类,"收据"),2))</f>
        <v/>
      </c>
      <c r="Q95" s="40" t="str">
        <f aca="false">IF($Y95="","",ROUND(SUMIFS(收款金额,收款键,$Y95,收款年度,管理年度,收款归类,"现金无票"),2))</f>
        <v/>
      </c>
      <c r="R95" s="40" t="str">
        <f aca="false">IF($Y95="","",ROUND(MAX(0,MIN($T95,SUMIF(应收键,$Y95,应收开票额)-SUMIF(收款键,$Y95,收款金额))),2))</f>
        <v/>
      </c>
      <c r="S95" s="40" t="str">
        <f aca="false">IF($Y95="","",ROUND(MAX(0,$T95)-$R95,2))</f>
        <v/>
      </c>
      <c r="T95" s="48" t="str">
        <f aca="false">IF($Y95="","",ROUND(SUMIF(应收键,$Y95,应收金额)-SUMIF(收款键,$Y95,收款金额),2))</f>
        <v/>
      </c>
      <c r="U95" s="49" t="str">
        <f aca="true">IF($AA95="","",IF($T95&lt;=0.01,"",MAX(0,TODAY()-$AA95)))</f>
        <v/>
      </c>
      <c r="V95" s="50" t="str">
        <f aca="true">IF($Y95="","",IF($T95&gt;0.01,IF(AND(ISNUMBER($U95),$U95&gt;=账龄预警天),"▲欠款拖了 "&amp;TEXT($U95,"0")&amp;" 天","欠款未清"),IF($T95&lt;-0.01,"预收/多收","已结清"))&amp;IF(OR($E95="已签未回",$E95="未签",$E95="续签中")," ▲合同未回","")&amp;IF(AND(ISNUMBER($F95),$F95&lt;TODAY())," ▲合同已到期",""))</f>
        <v/>
      </c>
      <c r="W95" s="24"/>
      <c r="X95" s="35" t="str">
        <f aca="false">IF($Y95="","",IF(ROUND($H95+$I95-$N95+$Z95-$T95,2)&lt;&gt;0,"★期初＋本年－已收≠余额",IF(ROUND($R95+$S95-MAX(0,$T95),2)&lt;&gt;0,"★已开票＋未开票≠欠款",IF(ROUND($J95+$K95-$I95,2)&lt;&gt;0,"★合同款＋合同外款≠本年应收",IF(ROUND($O95+$P95+$Q95-$N95,2)&lt;&gt;0,"★发票＋收据＋现金≠本年已收","OK")))))</f>
        <v/>
      </c>
      <c r="Y95" s="35" t="str">
        <f aca="false">IF(维保合同!$C95="","",维保合同!$E95)</f>
        <v/>
      </c>
      <c r="Z95" s="40" t="str">
        <f aca="false">IF($Y95="","",ROUND(SUMIFS(应收金额,应收键,$Y95,应收年度,"&gt;"&amp;管理年度)-SUMIFS(收款金额,收款键,$Y95,收款年度,"&gt;"&amp;管理年度),2))</f>
        <v/>
      </c>
      <c r="AA95" s="47" t="str">
        <f aca="false">IF($Y95="","",IF(SUMPRODUCT(MIN(IF((应收键=$Y95)*(应收未收&gt;0.01),应收日期,999999)))&gt;=999999,"",SUMPRODUCT(MIN(IF((应收键=$Y95)*(应收未收&gt;0.01),应收日期,999999)))))</f>
        <v/>
      </c>
    </row>
    <row r="96" customFormat="false" ht="15" hidden="false" customHeight="false" outlineLevel="0" collapsed="false">
      <c r="A96" s="29" t="str">
        <f aca="false">IF($Y96="","",ROW()-4)</f>
        <v/>
      </c>
      <c r="B96" s="16" t="str">
        <f aca="false">IF($Y96="","",维保合同!$C96)</f>
        <v/>
      </c>
      <c r="C96" s="16" t="str">
        <f aca="false">IF($Y96="","",维保合同!$D96)</f>
        <v/>
      </c>
      <c r="D96" s="35" t="str">
        <f aca="false">IF($Y96="","",维保合同!$F96)</f>
        <v/>
      </c>
      <c r="E96" s="35" t="str">
        <f aca="false">IF($Y96="","",维保合同!$G96)</f>
        <v/>
      </c>
      <c r="F96" s="47" t="str">
        <f aca="false">IF($Y96="","",维保合同!$I96)</f>
        <v/>
      </c>
      <c r="G96" s="38" t="str">
        <f aca="false">IF($Y96="","",维保合同!$K96)</f>
        <v/>
      </c>
      <c r="H96" s="41" t="str">
        <f aca="false">IF($Y96="","",ROUND(SUMIFS(应收金额,应收键,$Y96,应收年度,"&lt;"&amp;管理年度)-SUMIFS(收款金额,收款键,$Y96,收款年度,"&lt;"&amp;管理年度),2))</f>
        <v/>
      </c>
      <c r="I96" s="40" t="str">
        <f aca="false">IF($Y96="","",ROUND(SUMIFS(应收金额,应收键,$Y96,应收年度,管理年度),2))</f>
        <v/>
      </c>
      <c r="J96" s="40" t="str">
        <f aca="false">IF($Y96="","",ROUND(SUMIFS(应收金额,应收键,$Y96,应收年度,管理年度,应收款别,"合同款"),2))</f>
        <v/>
      </c>
      <c r="K96" s="40" t="str">
        <f aca="false">IF($Y96="","",ROUND($I96-$J96,2))</f>
        <v/>
      </c>
      <c r="L96" s="40" t="str">
        <f aca="false">IF($Y96="","",ROUND(SUMIFS(应收开票额,应收键,$Y96,应收开票年度,管理年度),2))</f>
        <v/>
      </c>
      <c r="M96" s="40" t="str">
        <f aca="false">IF($Y96="","",ROUND($I96-$L96,2))</f>
        <v/>
      </c>
      <c r="N96" s="40" t="str">
        <f aca="false">IF($Y96="","",ROUND(SUMIFS(收款金额,收款键,$Y96,收款年度,管理年度),2))</f>
        <v/>
      </c>
      <c r="O96" s="40" t="str">
        <f aca="false">IF($Y96="","",ROUND(SUMIFS(收款金额,收款键,$Y96,收款年度,管理年度,收款归类,"发票"),2))</f>
        <v/>
      </c>
      <c r="P96" s="40" t="str">
        <f aca="false">IF($Y96="","",ROUND(SUMIFS(收款金额,收款键,$Y96,收款年度,管理年度,收款归类,"收据"),2))</f>
        <v/>
      </c>
      <c r="Q96" s="40" t="str">
        <f aca="false">IF($Y96="","",ROUND(SUMIFS(收款金额,收款键,$Y96,收款年度,管理年度,收款归类,"现金无票"),2))</f>
        <v/>
      </c>
      <c r="R96" s="40" t="str">
        <f aca="false">IF($Y96="","",ROUND(MAX(0,MIN($T96,SUMIF(应收键,$Y96,应收开票额)-SUMIF(收款键,$Y96,收款金额))),2))</f>
        <v/>
      </c>
      <c r="S96" s="40" t="str">
        <f aca="false">IF($Y96="","",ROUND(MAX(0,$T96)-$R96,2))</f>
        <v/>
      </c>
      <c r="T96" s="48" t="str">
        <f aca="false">IF($Y96="","",ROUND(SUMIF(应收键,$Y96,应收金额)-SUMIF(收款键,$Y96,收款金额),2))</f>
        <v/>
      </c>
      <c r="U96" s="49" t="str">
        <f aca="true">IF($AA96="","",IF($T96&lt;=0.01,"",MAX(0,TODAY()-$AA96)))</f>
        <v/>
      </c>
      <c r="V96" s="50" t="str">
        <f aca="true">IF($Y96="","",IF($T96&gt;0.01,IF(AND(ISNUMBER($U96),$U96&gt;=账龄预警天),"▲欠款拖了 "&amp;TEXT($U96,"0")&amp;" 天","欠款未清"),IF($T96&lt;-0.01,"预收/多收","已结清"))&amp;IF(OR($E96="已签未回",$E96="未签",$E96="续签中")," ▲合同未回","")&amp;IF(AND(ISNUMBER($F96),$F96&lt;TODAY())," ▲合同已到期",""))</f>
        <v/>
      </c>
      <c r="W96" s="24"/>
      <c r="X96" s="35" t="str">
        <f aca="false">IF($Y96="","",IF(ROUND($H96+$I96-$N96+$Z96-$T96,2)&lt;&gt;0,"★期初＋本年－已收≠余额",IF(ROUND($R96+$S96-MAX(0,$T96),2)&lt;&gt;0,"★已开票＋未开票≠欠款",IF(ROUND($J96+$K96-$I96,2)&lt;&gt;0,"★合同款＋合同外款≠本年应收",IF(ROUND($O96+$P96+$Q96-$N96,2)&lt;&gt;0,"★发票＋收据＋现金≠本年已收","OK")))))</f>
        <v/>
      </c>
      <c r="Y96" s="35" t="str">
        <f aca="false">IF(维保合同!$C96="","",维保合同!$E96)</f>
        <v/>
      </c>
      <c r="Z96" s="40" t="str">
        <f aca="false">IF($Y96="","",ROUND(SUMIFS(应收金额,应收键,$Y96,应收年度,"&gt;"&amp;管理年度)-SUMIFS(收款金额,收款键,$Y96,收款年度,"&gt;"&amp;管理年度),2))</f>
        <v/>
      </c>
      <c r="AA96" s="47" t="str">
        <f aca="false">IF($Y96="","",IF(SUMPRODUCT(MIN(IF((应收键=$Y96)*(应收未收&gt;0.01),应收日期,999999)))&gt;=999999,"",SUMPRODUCT(MIN(IF((应收键=$Y96)*(应收未收&gt;0.01),应收日期,999999)))))</f>
        <v/>
      </c>
    </row>
    <row r="97" customFormat="false" ht="15" hidden="false" customHeight="false" outlineLevel="0" collapsed="false">
      <c r="A97" s="29" t="str">
        <f aca="false">IF($Y97="","",ROW()-4)</f>
        <v/>
      </c>
      <c r="B97" s="16" t="str">
        <f aca="false">IF($Y97="","",维保合同!$C97)</f>
        <v/>
      </c>
      <c r="C97" s="16" t="str">
        <f aca="false">IF($Y97="","",维保合同!$D97)</f>
        <v/>
      </c>
      <c r="D97" s="35" t="str">
        <f aca="false">IF($Y97="","",维保合同!$F97)</f>
        <v/>
      </c>
      <c r="E97" s="35" t="str">
        <f aca="false">IF($Y97="","",维保合同!$G97)</f>
        <v/>
      </c>
      <c r="F97" s="47" t="str">
        <f aca="false">IF($Y97="","",维保合同!$I97)</f>
        <v/>
      </c>
      <c r="G97" s="38" t="str">
        <f aca="false">IF($Y97="","",维保合同!$K97)</f>
        <v/>
      </c>
      <c r="H97" s="41" t="str">
        <f aca="false">IF($Y97="","",ROUND(SUMIFS(应收金额,应收键,$Y97,应收年度,"&lt;"&amp;管理年度)-SUMIFS(收款金额,收款键,$Y97,收款年度,"&lt;"&amp;管理年度),2))</f>
        <v/>
      </c>
      <c r="I97" s="40" t="str">
        <f aca="false">IF($Y97="","",ROUND(SUMIFS(应收金额,应收键,$Y97,应收年度,管理年度),2))</f>
        <v/>
      </c>
      <c r="J97" s="40" t="str">
        <f aca="false">IF($Y97="","",ROUND(SUMIFS(应收金额,应收键,$Y97,应收年度,管理年度,应收款别,"合同款"),2))</f>
        <v/>
      </c>
      <c r="K97" s="40" t="str">
        <f aca="false">IF($Y97="","",ROUND($I97-$J97,2))</f>
        <v/>
      </c>
      <c r="L97" s="40" t="str">
        <f aca="false">IF($Y97="","",ROUND(SUMIFS(应收开票额,应收键,$Y97,应收开票年度,管理年度),2))</f>
        <v/>
      </c>
      <c r="M97" s="40" t="str">
        <f aca="false">IF($Y97="","",ROUND($I97-$L97,2))</f>
        <v/>
      </c>
      <c r="N97" s="40" t="str">
        <f aca="false">IF($Y97="","",ROUND(SUMIFS(收款金额,收款键,$Y97,收款年度,管理年度),2))</f>
        <v/>
      </c>
      <c r="O97" s="40" t="str">
        <f aca="false">IF($Y97="","",ROUND(SUMIFS(收款金额,收款键,$Y97,收款年度,管理年度,收款归类,"发票"),2))</f>
        <v/>
      </c>
      <c r="P97" s="40" t="str">
        <f aca="false">IF($Y97="","",ROUND(SUMIFS(收款金额,收款键,$Y97,收款年度,管理年度,收款归类,"收据"),2))</f>
        <v/>
      </c>
      <c r="Q97" s="40" t="str">
        <f aca="false">IF($Y97="","",ROUND(SUMIFS(收款金额,收款键,$Y97,收款年度,管理年度,收款归类,"现金无票"),2))</f>
        <v/>
      </c>
      <c r="R97" s="40" t="str">
        <f aca="false">IF($Y97="","",ROUND(MAX(0,MIN($T97,SUMIF(应收键,$Y97,应收开票额)-SUMIF(收款键,$Y97,收款金额))),2))</f>
        <v/>
      </c>
      <c r="S97" s="40" t="str">
        <f aca="false">IF($Y97="","",ROUND(MAX(0,$T97)-$R97,2))</f>
        <v/>
      </c>
      <c r="T97" s="48" t="str">
        <f aca="false">IF($Y97="","",ROUND(SUMIF(应收键,$Y97,应收金额)-SUMIF(收款键,$Y97,收款金额),2))</f>
        <v/>
      </c>
      <c r="U97" s="49" t="str">
        <f aca="true">IF($AA97="","",IF($T97&lt;=0.01,"",MAX(0,TODAY()-$AA97)))</f>
        <v/>
      </c>
      <c r="V97" s="50" t="str">
        <f aca="true">IF($Y97="","",IF($T97&gt;0.01,IF(AND(ISNUMBER($U97),$U97&gt;=账龄预警天),"▲欠款拖了 "&amp;TEXT($U97,"0")&amp;" 天","欠款未清"),IF($T97&lt;-0.01,"预收/多收","已结清"))&amp;IF(OR($E97="已签未回",$E97="未签",$E97="续签中")," ▲合同未回","")&amp;IF(AND(ISNUMBER($F97),$F97&lt;TODAY())," ▲合同已到期",""))</f>
        <v/>
      </c>
      <c r="W97" s="24"/>
      <c r="X97" s="35" t="str">
        <f aca="false">IF($Y97="","",IF(ROUND($H97+$I97-$N97+$Z97-$T97,2)&lt;&gt;0,"★期初＋本年－已收≠余额",IF(ROUND($R97+$S97-MAX(0,$T97),2)&lt;&gt;0,"★已开票＋未开票≠欠款",IF(ROUND($J97+$K97-$I97,2)&lt;&gt;0,"★合同款＋合同外款≠本年应收",IF(ROUND($O97+$P97+$Q97-$N97,2)&lt;&gt;0,"★发票＋收据＋现金≠本年已收","OK")))))</f>
        <v/>
      </c>
      <c r="Y97" s="35" t="str">
        <f aca="false">IF(维保合同!$C97="","",维保合同!$E97)</f>
        <v/>
      </c>
      <c r="Z97" s="40" t="str">
        <f aca="false">IF($Y97="","",ROUND(SUMIFS(应收金额,应收键,$Y97,应收年度,"&gt;"&amp;管理年度)-SUMIFS(收款金额,收款键,$Y97,收款年度,"&gt;"&amp;管理年度),2))</f>
        <v/>
      </c>
      <c r="AA97" s="47" t="str">
        <f aca="false">IF($Y97="","",IF(SUMPRODUCT(MIN(IF((应收键=$Y97)*(应收未收&gt;0.01),应收日期,999999)))&gt;=999999,"",SUMPRODUCT(MIN(IF((应收键=$Y97)*(应收未收&gt;0.01),应收日期,999999)))))</f>
        <v/>
      </c>
    </row>
    <row r="98" customFormat="false" ht="15" hidden="false" customHeight="false" outlineLevel="0" collapsed="false">
      <c r="A98" s="29" t="str">
        <f aca="false">IF($Y98="","",ROW()-4)</f>
        <v/>
      </c>
      <c r="B98" s="16" t="str">
        <f aca="false">IF($Y98="","",维保合同!$C98)</f>
        <v/>
      </c>
      <c r="C98" s="16" t="str">
        <f aca="false">IF($Y98="","",维保合同!$D98)</f>
        <v/>
      </c>
      <c r="D98" s="35" t="str">
        <f aca="false">IF($Y98="","",维保合同!$F98)</f>
        <v/>
      </c>
      <c r="E98" s="35" t="str">
        <f aca="false">IF($Y98="","",维保合同!$G98)</f>
        <v/>
      </c>
      <c r="F98" s="47" t="str">
        <f aca="false">IF($Y98="","",维保合同!$I98)</f>
        <v/>
      </c>
      <c r="G98" s="38" t="str">
        <f aca="false">IF($Y98="","",维保合同!$K98)</f>
        <v/>
      </c>
      <c r="H98" s="41" t="str">
        <f aca="false">IF($Y98="","",ROUND(SUMIFS(应收金额,应收键,$Y98,应收年度,"&lt;"&amp;管理年度)-SUMIFS(收款金额,收款键,$Y98,收款年度,"&lt;"&amp;管理年度),2))</f>
        <v/>
      </c>
      <c r="I98" s="40" t="str">
        <f aca="false">IF($Y98="","",ROUND(SUMIFS(应收金额,应收键,$Y98,应收年度,管理年度),2))</f>
        <v/>
      </c>
      <c r="J98" s="40" t="str">
        <f aca="false">IF($Y98="","",ROUND(SUMIFS(应收金额,应收键,$Y98,应收年度,管理年度,应收款别,"合同款"),2))</f>
        <v/>
      </c>
      <c r="K98" s="40" t="str">
        <f aca="false">IF($Y98="","",ROUND($I98-$J98,2))</f>
        <v/>
      </c>
      <c r="L98" s="40" t="str">
        <f aca="false">IF($Y98="","",ROUND(SUMIFS(应收开票额,应收键,$Y98,应收开票年度,管理年度),2))</f>
        <v/>
      </c>
      <c r="M98" s="40" t="str">
        <f aca="false">IF($Y98="","",ROUND($I98-$L98,2))</f>
        <v/>
      </c>
      <c r="N98" s="40" t="str">
        <f aca="false">IF($Y98="","",ROUND(SUMIFS(收款金额,收款键,$Y98,收款年度,管理年度),2))</f>
        <v/>
      </c>
      <c r="O98" s="40" t="str">
        <f aca="false">IF($Y98="","",ROUND(SUMIFS(收款金额,收款键,$Y98,收款年度,管理年度,收款归类,"发票"),2))</f>
        <v/>
      </c>
      <c r="P98" s="40" t="str">
        <f aca="false">IF($Y98="","",ROUND(SUMIFS(收款金额,收款键,$Y98,收款年度,管理年度,收款归类,"收据"),2))</f>
        <v/>
      </c>
      <c r="Q98" s="40" t="str">
        <f aca="false">IF($Y98="","",ROUND(SUMIFS(收款金额,收款键,$Y98,收款年度,管理年度,收款归类,"现金无票"),2))</f>
        <v/>
      </c>
      <c r="R98" s="40" t="str">
        <f aca="false">IF($Y98="","",ROUND(MAX(0,MIN($T98,SUMIF(应收键,$Y98,应收开票额)-SUMIF(收款键,$Y98,收款金额))),2))</f>
        <v/>
      </c>
      <c r="S98" s="40" t="str">
        <f aca="false">IF($Y98="","",ROUND(MAX(0,$T98)-$R98,2))</f>
        <v/>
      </c>
      <c r="T98" s="48" t="str">
        <f aca="false">IF($Y98="","",ROUND(SUMIF(应收键,$Y98,应收金额)-SUMIF(收款键,$Y98,收款金额),2))</f>
        <v/>
      </c>
      <c r="U98" s="49" t="str">
        <f aca="true">IF($AA98="","",IF($T98&lt;=0.01,"",MAX(0,TODAY()-$AA98)))</f>
        <v/>
      </c>
      <c r="V98" s="50" t="str">
        <f aca="true">IF($Y98="","",IF($T98&gt;0.01,IF(AND(ISNUMBER($U98),$U98&gt;=账龄预警天),"▲欠款拖了 "&amp;TEXT($U98,"0")&amp;" 天","欠款未清"),IF($T98&lt;-0.01,"预收/多收","已结清"))&amp;IF(OR($E98="已签未回",$E98="未签",$E98="续签中")," ▲合同未回","")&amp;IF(AND(ISNUMBER($F98),$F98&lt;TODAY())," ▲合同已到期",""))</f>
        <v/>
      </c>
      <c r="W98" s="24"/>
      <c r="X98" s="35" t="str">
        <f aca="false">IF($Y98="","",IF(ROUND($H98+$I98-$N98+$Z98-$T98,2)&lt;&gt;0,"★期初＋本年－已收≠余额",IF(ROUND($R98+$S98-MAX(0,$T98),2)&lt;&gt;0,"★已开票＋未开票≠欠款",IF(ROUND($J98+$K98-$I98,2)&lt;&gt;0,"★合同款＋合同外款≠本年应收",IF(ROUND($O98+$P98+$Q98-$N98,2)&lt;&gt;0,"★发票＋收据＋现金≠本年已收","OK")))))</f>
        <v/>
      </c>
      <c r="Y98" s="35" t="str">
        <f aca="false">IF(维保合同!$C98="","",维保合同!$E98)</f>
        <v/>
      </c>
      <c r="Z98" s="40" t="str">
        <f aca="false">IF($Y98="","",ROUND(SUMIFS(应收金额,应收键,$Y98,应收年度,"&gt;"&amp;管理年度)-SUMIFS(收款金额,收款键,$Y98,收款年度,"&gt;"&amp;管理年度),2))</f>
        <v/>
      </c>
      <c r="AA98" s="47" t="str">
        <f aca="false">IF($Y98="","",IF(SUMPRODUCT(MIN(IF((应收键=$Y98)*(应收未收&gt;0.01),应收日期,999999)))&gt;=999999,"",SUMPRODUCT(MIN(IF((应收键=$Y98)*(应收未收&gt;0.01),应收日期,999999)))))</f>
        <v/>
      </c>
    </row>
    <row r="99" customFormat="false" ht="15" hidden="false" customHeight="false" outlineLevel="0" collapsed="false">
      <c r="A99" s="29" t="str">
        <f aca="false">IF($Y99="","",ROW()-4)</f>
        <v/>
      </c>
      <c r="B99" s="16" t="str">
        <f aca="false">IF($Y99="","",维保合同!$C99)</f>
        <v/>
      </c>
      <c r="C99" s="16" t="str">
        <f aca="false">IF($Y99="","",维保合同!$D99)</f>
        <v/>
      </c>
      <c r="D99" s="35" t="str">
        <f aca="false">IF($Y99="","",维保合同!$F99)</f>
        <v/>
      </c>
      <c r="E99" s="35" t="str">
        <f aca="false">IF($Y99="","",维保合同!$G99)</f>
        <v/>
      </c>
      <c r="F99" s="47" t="str">
        <f aca="false">IF($Y99="","",维保合同!$I99)</f>
        <v/>
      </c>
      <c r="G99" s="38" t="str">
        <f aca="false">IF($Y99="","",维保合同!$K99)</f>
        <v/>
      </c>
      <c r="H99" s="41" t="str">
        <f aca="false">IF($Y99="","",ROUND(SUMIFS(应收金额,应收键,$Y99,应收年度,"&lt;"&amp;管理年度)-SUMIFS(收款金额,收款键,$Y99,收款年度,"&lt;"&amp;管理年度),2))</f>
        <v/>
      </c>
      <c r="I99" s="40" t="str">
        <f aca="false">IF($Y99="","",ROUND(SUMIFS(应收金额,应收键,$Y99,应收年度,管理年度),2))</f>
        <v/>
      </c>
      <c r="J99" s="40" t="str">
        <f aca="false">IF($Y99="","",ROUND(SUMIFS(应收金额,应收键,$Y99,应收年度,管理年度,应收款别,"合同款"),2))</f>
        <v/>
      </c>
      <c r="K99" s="40" t="str">
        <f aca="false">IF($Y99="","",ROUND($I99-$J99,2))</f>
        <v/>
      </c>
      <c r="L99" s="40" t="str">
        <f aca="false">IF($Y99="","",ROUND(SUMIFS(应收开票额,应收键,$Y99,应收开票年度,管理年度),2))</f>
        <v/>
      </c>
      <c r="M99" s="40" t="str">
        <f aca="false">IF($Y99="","",ROUND($I99-$L99,2))</f>
        <v/>
      </c>
      <c r="N99" s="40" t="str">
        <f aca="false">IF($Y99="","",ROUND(SUMIFS(收款金额,收款键,$Y99,收款年度,管理年度),2))</f>
        <v/>
      </c>
      <c r="O99" s="40" t="str">
        <f aca="false">IF($Y99="","",ROUND(SUMIFS(收款金额,收款键,$Y99,收款年度,管理年度,收款归类,"发票"),2))</f>
        <v/>
      </c>
      <c r="P99" s="40" t="str">
        <f aca="false">IF($Y99="","",ROUND(SUMIFS(收款金额,收款键,$Y99,收款年度,管理年度,收款归类,"收据"),2))</f>
        <v/>
      </c>
      <c r="Q99" s="40" t="str">
        <f aca="false">IF($Y99="","",ROUND(SUMIFS(收款金额,收款键,$Y99,收款年度,管理年度,收款归类,"现金无票"),2))</f>
        <v/>
      </c>
      <c r="R99" s="40" t="str">
        <f aca="false">IF($Y99="","",ROUND(MAX(0,MIN($T99,SUMIF(应收键,$Y99,应收开票额)-SUMIF(收款键,$Y99,收款金额))),2))</f>
        <v/>
      </c>
      <c r="S99" s="40" t="str">
        <f aca="false">IF($Y99="","",ROUND(MAX(0,$T99)-$R99,2))</f>
        <v/>
      </c>
      <c r="T99" s="48" t="str">
        <f aca="false">IF($Y99="","",ROUND(SUMIF(应收键,$Y99,应收金额)-SUMIF(收款键,$Y99,收款金额),2))</f>
        <v/>
      </c>
      <c r="U99" s="49" t="str">
        <f aca="true">IF($AA99="","",IF($T99&lt;=0.01,"",MAX(0,TODAY()-$AA99)))</f>
        <v/>
      </c>
      <c r="V99" s="50" t="str">
        <f aca="true">IF($Y99="","",IF($T99&gt;0.01,IF(AND(ISNUMBER($U99),$U99&gt;=账龄预警天),"▲欠款拖了 "&amp;TEXT($U99,"0")&amp;" 天","欠款未清"),IF($T99&lt;-0.01,"预收/多收","已结清"))&amp;IF(OR($E99="已签未回",$E99="未签",$E99="续签中")," ▲合同未回","")&amp;IF(AND(ISNUMBER($F99),$F99&lt;TODAY())," ▲合同已到期",""))</f>
        <v/>
      </c>
      <c r="W99" s="24"/>
      <c r="X99" s="35" t="str">
        <f aca="false">IF($Y99="","",IF(ROUND($H99+$I99-$N99+$Z99-$T99,2)&lt;&gt;0,"★期初＋本年－已收≠余额",IF(ROUND($R99+$S99-MAX(0,$T99),2)&lt;&gt;0,"★已开票＋未开票≠欠款",IF(ROUND($J99+$K99-$I99,2)&lt;&gt;0,"★合同款＋合同外款≠本年应收",IF(ROUND($O99+$P99+$Q99-$N99,2)&lt;&gt;0,"★发票＋收据＋现金≠本年已收","OK")))))</f>
        <v/>
      </c>
      <c r="Y99" s="35" t="str">
        <f aca="false">IF(维保合同!$C99="","",维保合同!$E99)</f>
        <v/>
      </c>
      <c r="Z99" s="40" t="str">
        <f aca="false">IF($Y99="","",ROUND(SUMIFS(应收金额,应收键,$Y99,应收年度,"&gt;"&amp;管理年度)-SUMIFS(收款金额,收款键,$Y99,收款年度,"&gt;"&amp;管理年度),2))</f>
        <v/>
      </c>
      <c r="AA99" s="47" t="str">
        <f aca="false">IF($Y99="","",IF(SUMPRODUCT(MIN(IF((应收键=$Y99)*(应收未收&gt;0.01),应收日期,999999)))&gt;=999999,"",SUMPRODUCT(MIN(IF((应收键=$Y99)*(应收未收&gt;0.01),应收日期,999999)))))</f>
        <v/>
      </c>
    </row>
    <row r="100" customFormat="false" ht="15" hidden="false" customHeight="false" outlineLevel="0" collapsed="false">
      <c r="A100" s="29" t="str">
        <f aca="false">IF($Y100="","",ROW()-4)</f>
        <v/>
      </c>
      <c r="B100" s="16" t="str">
        <f aca="false">IF($Y100="","",维保合同!$C100)</f>
        <v/>
      </c>
      <c r="C100" s="16" t="str">
        <f aca="false">IF($Y100="","",维保合同!$D100)</f>
        <v/>
      </c>
      <c r="D100" s="35" t="str">
        <f aca="false">IF($Y100="","",维保合同!$F100)</f>
        <v/>
      </c>
      <c r="E100" s="35" t="str">
        <f aca="false">IF($Y100="","",维保合同!$G100)</f>
        <v/>
      </c>
      <c r="F100" s="47" t="str">
        <f aca="false">IF($Y100="","",维保合同!$I100)</f>
        <v/>
      </c>
      <c r="G100" s="38" t="str">
        <f aca="false">IF($Y100="","",维保合同!$K100)</f>
        <v/>
      </c>
      <c r="H100" s="41" t="str">
        <f aca="false">IF($Y100="","",ROUND(SUMIFS(应收金额,应收键,$Y100,应收年度,"&lt;"&amp;管理年度)-SUMIFS(收款金额,收款键,$Y100,收款年度,"&lt;"&amp;管理年度),2))</f>
        <v/>
      </c>
      <c r="I100" s="40" t="str">
        <f aca="false">IF($Y100="","",ROUND(SUMIFS(应收金额,应收键,$Y100,应收年度,管理年度),2))</f>
        <v/>
      </c>
      <c r="J100" s="40" t="str">
        <f aca="false">IF($Y100="","",ROUND(SUMIFS(应收金额,应收键,$Y100,应收年度,管理年度,应收款别,"合同款"),2))</f>
        <v/>
      </c>
      <c r="K100" s="40" t="str">
        <f aca="false">IF($Y100="","",ROUND($I100-$J100,2))</f>
        <v/>
      </c>
      <c r="L100" s="40" t="str">
        <f aca="false">IF($Y100="","",ROUND(SUMIFS(应收开票额,应收键,$Y100,应收开票年度,管理年度),2))</f>
        <v/>
      </c>
      <c r="M100" s="40" t="str">
        <f aca="false">IF($Y100="","",ROUND($I100-$L100,2))</f>
        <v/>
      </c>
      <c r="N100" s="40" t="str">
        <f aca="false">IF($Y100="","",ROUND(SUMIFS(收款金额,收款键,$Y100,收款年度,管理年度),2))</f>
        <v/>
      </c>
      <c r="O100" s="40" t="str">
        <f aca="false">IF($Y100="","",ROUND(SUMIFS(收款金额,收款键,$Y100,收款年度,管理年度,收款归类,"发票"),2))</f>
        <v/>
      </c>
      <c r="P100" s="40" t="str">
        <f aca="false">IF($Y100="","",ROUND(SUMIFS(收款金额,收款键,$Y100,收款年度,管理年度,收款归类,"收据"),2))</f>
        <v/>
      </c>
      <c r="Q100" s="40" t="str">
        <f aca="false">IF($Y100="","",ROUND(SUMIFS(收款金额,收款键,$Y100,收款年度,管理年度,收款归类,"现金无票"),2))</f>
        <v/>
      </c>
      <c r="R100" s="40" t="str">
        <f aca="false">IF($Y100="","",ROUND(MAX(0,MIN($T100,SUMIF(应收键,$Y100,应收开票额)-SUMIF(收款键,$Y100,收款金额))),2))</f>
        <v/>
      </c>
      <c r="S100" s="40" t="str">
        <f aca="false">IF($Y100="","",ROUND(MAX(0,$T100)-$R100,2))</f>
        <v/>
      </c>
      <c r="T100" s="48" t="str">
        <f aca="false">IF($Y100="","",ROUND(SUMIF(应收键,$Y100,应收金额)-SUMIF(收款键,$Y100,收款金额),2))</f>
        <v/>
      </c>
      <c r="U100" s="49" t="str">
        <f aca="true">IF($AA100="","",IF($T100&lt;=0.01,"",MAX(0,TODAY()-$AA100)))</f>
        <v/>
      </c>
      <c r="V100" s="50" t="str">
        <f aca="true">IF($Y100="","",IF($T100&gt;0.01,IF(AND(ISNUMBER($U100),$U100&gt;=账龄预警天),"▲欠款拖了 "&amp;TEXT($U100,"0")&amp;" 天","欠款未清"),IF($T100&lt;-0.01,"预收/多收","已结清"))&amp;IF(OR($E100="已签未回",$E100="未签",$E100="续签中")," ▲合同未回","")&amp;IF(AND(ISNUMBER($F100),$F100&lt;TODAY())," ▲合同已到期",""))</f>
        <v/>
      </c>
      <c r="W100" s="24"/>
      <c r="X100" s="35" t="str">
        <f aca="false">IF($Y100="","",IF(ROUND($H100+$I100-$N100+$Z100-$T100,2)&lt;&gt;0,"★期初＋本年－已收≠余额",IF(ROUND($R100+$S100-MAX(0,$T100),2)&lt;&gt;0,"★已开票＋未开票≠欠款",IF(ROUND($J100+$K100-$I100,2)&lt;&gt;0,"★合同款＋合同外款≠本年应收",IF(ROUND($O100+$P100+$Q100-$N100,2)&lt;&gt;0,"★发票＋收据＋现金≠本年已收","OK")))))</f>
        <v/>
      </c>
      <c r="Y100" s="35" t="str">
        <f aca="false">IF(维保合同!$C100="","",维保合同!$E100)</f>
        <v/>
      </c>
      <c r="Z100" s="40" t="str">
        <f aca="false">IF($Y100="","",ROUND(SUMIFS(应收金额,应收键,$Y100,应收年度,"&gt;"&amp;管理年度)-SUMIFS(收款金额,收款键,$Y100,收款年度,"&gt;"&amp;管理年度),2))</f>
        <v/>
      </c>
      <c r="AA100" s="47" t="str">
        <f aca="false">IF($Y100="","",IF(SUMPRODUCT(MIN(IF((应收键=$Y100)*(应收未收&gt;0.01),应收日期,999999)))&gt;=999999,"",SUMPRODUCT(MIN(IF((应收键=$Y100)*(应收未收&gt;0.01),应收日期,999999)))))</f>
        <v/>
      </c>
    </row>
    <row r="101" customFormat="false" ht="15" hidden="false" customHeight="false" outlineLevel="0" collapsed="false">
      <c r="A101" s="29" t="str">
        <f aca="false">IF($Y101="","",ROW()-4)</f>
        <v/>
      </c>
      <c r="B101" s="16" t="str">
        <f aca="false">IF($Y101="","",维保合同!$C101)</f>
        <v/>
      </c>
      <c r="C101" s="16" t="str">
        <f aca="false">IF($Y101="","",维保合同!$D101)</f>
        <v/>
      </c>
      <c r="D101" s="35" t="str">
        <f aca="false">IF($Y101="","",维保合同!$F101)</f>
        <v/>
      </c>
      <c r="E101" s="35" t="str">
        <f aca="false">IF($Y101="","",维保合同!$G101)</f>
        <v/>
      </c>
      <c r="F101" s="47" t="str">
        <f aca="false">IF($Y101="","",维保合同!$I101)</f>
        <v/>
      </c>
      <c r="G101" s="38" t="str">
        <f aca="false">IF($Y101="","",维保合同!$K101)</f>
        <v/>
      </c>
      <c r="H101" s="41" t="str">
        <f aca="false">IF($Y101="","",ROUND(SUMIFS(应收金额,应收键,$Y101,应收年度,"&lt;"&amp;管理年度)-SUMIFS(收款金额,收款键,$Y101,收款年度,"&lt;"&amp;管理年度),2))</f>
        <v/>
      </c>
      <c r="I101" s="40" t="str">
        <f aca="false">IF($Y101="","",ROUND(SUMIFS(应收金额,应收键,$Y101,应收年度,管理年度),2))</f>
        <v/>
      </c>
      <c r="J101" s="40" t="str">
        <f aca="false">IF($Y101="","",ROUND(SUMIFS(应收金额,应收键,$Y101,应收年度,管理年度,应收款别,"合同款"),2))</f>
        <v/>
      </c>
      <c r="K101" s="40" t="str">
        <f aca="false">IF($Y101="","",ROUND($I101-$J101,2))</f>
        <v/>
      </c>
      <c r="L101" s="40" t="str">
        <f aca="false">IF($Y101="","",ROUND(SUMIFS(应收开票额,应收键,$Y101,应收开票年度,管理年度),2))</f>
        <v/>
      </c>
      <c r="M101" s="40" t="str">
        <f aca="false">IF($Y101="","",ROUND($I101-$L101,2))</f>
        <v/>
      </c>
      <c r="N101" s="40" t="str">
        <f aca="false">IF($Y101="","",ROUND(SUMIFS(收款金额,收款键,$Y101,收款年度,管理年度),2))</f>
        <v/>
      </c>
      <c r="O101" s="40" t="str">
        <f aca="false">IF($Y101="","",ROUND(SUMIFS(收款金额,收款键,$Y101,收款年度,管理年度,收款归类,"发票"),2))</f>
        <v/>
      </c>
      <c r="P101" s="40" t="str">
        <f aca="false">IF($Y101="","",ROUND(SUMIFS(收款金额,收款键,$Y101,收款年度,管理年度,收款归类,"收据"),2))</f>
        <v/>
      </c>
      <c r="Q101" s="40" t="str">
        <f aca="false">IF($Y101="","",ROUND(SUMIFS(收款金额,收款键,$Y101,收款年度,管理年度,收款归类,"现金无票"),2))</f>
        <v/>
      </c>
      <c r="R101" s="40" t="str">
        <f aca="false">IF($Y101="","",ROUND(MAX(0,MIN($T101,SUMIF(应收键,$Y101,应收开票额)-SUMIF(收款键,$Y101,收款金额))),2))</f>
        <v/>
      </c>
      <c r="S101" s="40" t="str">
        <f aca="false">IF($Y101="","",ROUND(MAX(0,$T101)-$R101,2))</f>
        <v/>
      </c>
      <c r="T101" s="48" t="str">
        <f aca="false">IF($Y101="","",ROUND(SUMIF(应收键,$Y101,应收金额)-SUMIF(收款键,$Y101,收款金额),2))</f>
        <v/>
      </c>
      <c r="U101" s="49" t="str">
        <f aca="true">IF($AA101="","",IF($T101&lt;=0.01,"",MAX(0,TODAY()-$AA101)))</f>
        <v/>
      </c>
      <c r="V101" s="50" t="str">
        <f aca="true">IF($Y101="","",IF($T101&gt;0.01,IF(AND(ISNUMBER($U101),$U101&gt;=账龄预警天),"▲欠款拖了 "&amp;TEXT($U101,"0")&amp;" 天","欠款未清"),IF($T101&lt;-0.01,"预收/多收","已结清"))&amp;IF(OR($E101="已签未回",$E101="未签",$E101="续签中")," ▲合同未回","")&amp;IF(AND(ISNUMBER($F101),$F101&lt;TODAY())," ▲合同已到期",""))</f>
        <v/>
      </c>
      <c r="W101" s="24"/>
      <c r="X101" s="35" t="str">
        <f aca="false">IF($Y101="","",IF(ROUND($H101+$I101-$N101+$Z101-$T101,2)&lt;&gt;0,"★期初＋本年－已收≠余额",IF(ROUND($R101+$S101-MAX(0,$T101),2)&lt;&gt;0,"★已开票＋未开票≠欠款",IF(ROUND($J101+$K101-$I101,2)&lt;&gt;0,"★合同款＋合同外款≠本年应收",IF(ROUND($O101+$P101+$Q101-$N101,2)&lt;&gt;0,"★发票＋收据＋现金≠本年已收","OK")))))</f>
        <v/>
      </c>
      <c r="Y101" s="35" t="str">
        <f aca="false">IF(维保合同!$C101="","",维保合同!$E101)</f>
        <v/>
      </c>
      <c r="Z101" s="40" t="str">
        <f aca="false">IF($Y101="","",ROUND(SUMIFS(应收金额,应收键,$Y101,应收年度,"&gt;"&amp;管理年度)-SUMIFS(收款金额,收款键,$Y101,收款年度,"&gt;"&amp;管理年度),2))</f>
        <v/>
      </c>
      <c r="AA101" s="47" t="str">
        <f aca="false">IF($Y101="","",IF(SUMPRODUCT(MIN(IF((应收键=$Y101)*(应收未收&gt;0.01),应收日期,999999)))&gt;=999999,"",SUMPRODUCT(MIN(IF((应收键=$Y101)*(应收未收&gt;0.01),应收日期,999999)))))</f>
        <v/>
      </c>
    </row>
    <row r="102" customFormat="false" ht="15" hidden="false" customHeight="false" outlineLevel="0" collapsed="false">
      <c r="A102" s="29" t="str">
        <f aca="false">IF($Y102="","",ROW()-4)</f>
        <v/>
      </c>
      <c r="B102" s="16" t="str">
        <f aca="false">IF($Y102="","",维保合同!$C102)</f>
        <v/>
      </c>
      <c r="C102" s="16" t="str">
        <f aca="false">IF($Y102="","",维保合同!$D102)</f>
        <v/>
      </c>
      <c r="D102" s="35" t="str">
        <f aca="false">IF($Y102="","",维保合同!$F102)</f>
        <v/>
      </c>
      <c r="E102" s="35" t="str">
        <f aca="false">IF($Y102="","",维保合同!$G102)</f>
        <v/>
      </c>
      <c r="F102" s="47" t="str">
        <f aca="false">IF($Y102="","",维保合同!$I102)</f>
        <v/>
      </c>
      <c r="G102" s="38" t="str">
        <f aca="false">IF($Y102="","",维保合同!$K102)</f>
        <v/>
      </c>
      <c r="H102" s="41" t="str">
        <f aca="false">IF($Y102="","",ROUND(SUMIFS(应收金额,应收键,$Y102,应收年度,"&lt;"&amp;管理年度)-SUMIFS(收款金额,收款键,$Y102,收款年度,"&lt;"&amp;管理年度),2))</f>
        <v/>
      </c>
      <c r="I102" s="40" t="str">
        <f aca="false">IF($Y102="","",ROUND(SUMIFS(应收金额,应收键,$Y102,应收年度,管理年度),2))</f>
        <v/>
      </c>
      <c r="J102" s="40" t="str">
        <f aca="false">IF($Y102="","",ROUND(SUMIFS(应收金额,应收键,$Y102,应收年度,管理年度,应收款别,"合同款"),2))</f>
        <v/>
      </c>
      <c r="K102" s="40" t="str">
        <f aca="false">IF($Y102="","",ROUND($I102-$J102,2))</f>
        <v/>
      </c>
      <c r="L102" s="40" t="str">
        <f aca="false">IF($Y102="","",ROUND(SUMIFS(应收开票额,应收键,$Y102,应收开票年度,管理年度),2))</f>
        <v/>
      </c>
      <c r="M102" s="40" t="str">
        <f aca="false">IF($Y102="","",ROUND($I102-$L102,2))</f>
        <v/>
      </c>
      <c r="N102" s="40" t="str">
        <f aca="false">IF($Y102="","",ROUND(SUMIFS(收款金额,收款键,$Y102,收款年度,管理年度),2))</f>
        <v/>
      </c>
      <c r="O102" s="40" t="str">
        <f aca="false">IF($Y102="","",ROUND(SUMIFS(收款金额,收款键,$Y102,收款年度,管理年度,收款归类,"发票"),2))</f>
        <v/>
      </c>
      <c r="P102" s="40" t="str">
        <f aca="false">IF($Y102="","",ROUND(SUMIFS(收款金额,收款键,$Y102,收款年度,管理年度,收款归类,"收据"),2))</f>
        <v/>
      </c>
      <c r="Q102" s="40" t="str">
        <f aca="false">IF($Y102="","",ROUND(SUMIFS(收款金额,收款键,$Y102,收款年度,管理年度,收款归类,"现金无票"),2))</f>
        <v/>
      </c>
      <c r="R102" s="40" t="str">
        <f aca="false">IF($Y102="","",ROUND(MAX(0,MIN($T102,SUMIF(应收键,$Y102,应收开票额)-SUMIF(收款键,$Y102,收款金额))),2))</f>
        <v/>
      </c>
      <c r="S102" s="40" t="str">
        <f aca="false">IF($Y102="","",ROUND(MAX(0,$T102)-$R102,2))</f>
        <v/>
      </c>
      <c r="T102" s="48" t="str">
        <f aca="false">IF($Y102="","",ROUND(SUMIF(应收键,$Y102,应收金额)-SUMIF(收款键,$Y102,收款金额),2))</f>
        <v/>
      </c>
      <c r="U102" s="49" t="str">
        <f aca="true">IF($AA102="","",IF($T102&lt;=0.01,"",MAX(0,TODAY()-$AA102)))</f>
        <v/>
      </c>
      <c r="V102" s="50" t="str">
        <f aca="true">IF($Y102="","",IF($T102&gt;0.01,IF(AND(ISNUMBER($U102),$U102&gt;=账龄预警天),"▲欠款拖了 "&amp;TEXT($U102,"0")&amp;" 天","欠款未清"),IF($T102&lt;-0.01,"预收/多收","已结清"))&amp;IF(OR($E102="已签未回",$E102="未签",$E102="续签中")," ▲合同未回","")&amp;IF(AND(ISNUMBER($F102),$F102&lt;TODAY())," ▲合同已到期",""))</f>
        <v/>
      </c>
      <c r="W102" s="24"/>
      <c r="X102" s="35" t="str">
        <f aca="false">IF($Y102="","",IF(ROUND($H102+$I102-$N102+$Z102-$T102,2)&lt;&gt;0,"★期初＋本年－已收≠余额",IF(ROUND($R102+$S102-MAX(0,$T102),2)&lt;&gt;0,"★已开票＋未开票≠欠款",IF(ROUND($J102+$K102-$I102,2)&lt;&gt;0,"★合同款＋合同外款≠本年应收",IF(ROUND($O102+$P102+$Q102-$N102,2)&lt;&gt;0,"★发票＋收据＋现金≠本年已收","OK")))))</f>
        <v/>
      </c>
      <c r="Y102" s="35" t="str">
        <f aca="false">IF(维保合同!$C102="","",维保合同!$E102)</f>
        <v/>
      </c>
      <c r="Z102" s="40" t="str">
        <f aca="false">IF($Y102="","",ROUND(SUMIFS(应收金额,应收键,$Y102,应收年度,"&gt;"&amp;管理年度)-SUMIFS(收款金额,收款键,$Y102,收款年度,"&gt;"&amp;管理年度),2))</f>
        <v/>
      </c>
      <c r="AA102" s="47" t="str">
        <f aca="false">IF($Y102="","",IF(SUMPRODUCT(MIN(IF((应收键=$Y102)*(应收未收&gt;0.01),应收日期,999999)))&gt;=999999,"",SUMPRODUCT(MIN(IF((应收键=$Y102)*(应收未收&gt;0.01),应收日期,999999)))))</f>
        <v/>
      </c>
    </row>
    <row r="103" customFormat="false" ht="15" hidden="false" customHeight="false" outlineLevel="0" collapsed="false">
      <c r="A103" s="29" t="str">
        <f aca="false">IF($Y103="","",ROW()-4)</f>
        <v/>
      </c>
      <c r="B103" s="16" t="str">
        <f aca="false">IF($Y103="","",维保合同!$C103)</f>
        <v/>
      </c>
      <c r="C103" s="16" t="str">
        <f aca="false">IF($Y103="","",维保合同!$D103)</f>
        <v/>
      </c>
      <c r="D103" s="35" t="str">
        <f aca="false">IF($Y103="","",维保合同!$F103)</f>
        <v/>
      </c>
      <c r="E103" s="35" t="str">
        <f aca="false">IF($Y103="","",维保合同!$G103)</f>
        <v/>
      </c>
      <c r="F103" s="47" t="str">
        <f aca="false">IF($Y103="","",维保合同!$I103)</f>
        <v/>
      </c>
      <c r="G103" s="38" t="str">
        <f aca="false">IF($Y103="","",维保合同!$K103)</f>
        <v/>
      </c>
      <c r="H103" s="41" t="str">
        <f aca="false">IF($Y103="","",ROUND(SUMIFS(应收金额,应收键,$Y103,应收年度,"&lt;"&amp;管理年度)-SUMIFS(收款金额,收款键,$Y103,收款年度,"&lt;"&amp;管理年度),2))</f>
        <v/>
      </c>
      <c r="I103" s="40" t="str">
        <f aca="false">IF($Y103="","",ROUND(SUMIFS(应收金额,应收键,$Y103,应收年度,管理年度),2))</f>
        <v/>
      </c>
      <c r="J103" s="40" t="str">
        <f aca="false">IF($Y103="","",ROUND(SUMIFS(应收金额,应收键,$Y103,应收年度,管理年度,应收款别,"合同款"),2))</f>
        <v/>
      </c>
      <c r="K103" s="40" t="str">
        <f aca="false">IF($Y103="","",ROUND($I103-$J103,2))</f>
        <v/>
      </c>
      <c r="L103" s="40" t="str">
        <f aca="false">IF($Y103="","",ROUND(SUMIFS(应收开票额,应收键,$Y103,应收开票年度,管理年度),2))</f>
        <v/>
      </c>
      <c r="M103" s="40" t="str">
        <f aca="false">IF($Y103="","",ROUND($I103-$L103,2))</f>
        <v/>
      </c>
      <c r="N103" s="40" t="str">
        <f aca="false">IF($Y103="","",ROUND(SUMIFS(收款金额,收款键,$Y103,收款年度,管理年度),2))</f>
        <v/>
      </c>
      <c r="O103" s="40" t="str">
        <f aca="false">IF($Y103="","",ROUND(SUMIFS(收款金额,收款键,$Y103,收款年度,管理年度,收款归类,"发票"),2))</f>
        <v/>
      </c>
      <c r="P103" s="40" t="str">
        <f aca="false">IF($Y103="","",ROUND(SUMIFS(收款金额,收款键,$Y103,收款年度,管理年度,收款归类,"收据"),2))</f>
        <v/>
      </c>
      <c r="Q103" s="40" t="str">
        <f aca="false">IF($Y103="","",ROUND(SUMIFS(收款金额,收款键,$Y103,收款年度,管理年度,收款归类,"现金无票"),2))</f>
        <v/>
      </c>
      <c r="R103" s="40" t="str">
        <f aca="false">IF($Y103="","",ROUND(MAX(0,MIN($T103,SUMIF(应收键,$Y103,应收开票额)-SUMIF(收款键,$Y103,收款金额))),2))</f>
        <v/>
      </c>
      <c r="S103" s="40" t="str">
        <f aca="false">IF($Y103="","",ROUND(MAX(0,$T103)-$R103,2))</f>
        <v/>
      </c>
      <c r="T103" s="48" t="str">
        <f aca="false">IF($Y103="","",ROUND(SUMIF(应收键,$Y103,应收金额)-SUMIF(收款键,$Y103,收款金额),2))</f>
        <v/>
      </c>
      <c r="U103" s="49" t="str">
        <f aca="true">IF($AA103="","",IF($T103&lt;=0.01,"",MAX(0,TODAY()-$AA103)))</f>
        <v/>
      </c>
      <c r="V103" s="50" t="str">
        <f aca="true">IF($Y103="","",IF($T103&gt;0.01,IF(AND(ISNUMBER($U103),$U103&gt;=账龄预警天),"▲欠款拖了 "&amp;TEXT($U103,"0")&amp;" 天","欠款未清"),IF($T103&lt;-0.01,"预收/多收","已结清"))&amp;IF(OR($E103="已签未回",$E103="未签",$E103="续签中")," ▲合同未回","")&amp;IF(AND(ISNUMBER($F103),$F103&lt;TODAY())," ▲合同已到期",""))</f>
        <v/>
      </c>
      <c r="W103" s="24"/>
      <c r="X103" s="35" t="str">
        <f aca="false">IF($Y103="","",IF(ROUND($H103+$I103-$N103+$Z103-$T103,2)&lt;&gt;0,"★期初＋本年－已收≠余额",IF(ROUND($R103+$S103-MAX(0,$T103),2)&lt;&gt;0,"★已开票＋未开票≠欠款",IF(ROUND($J103+$K103-$I103,2)&lt;&gt;0,"★合同款＋合同外款≠本年应收",IF(ROUND($O103+$P103+$Q103-$N103,2)&lt;&gt;0,"★发票＋收据＋现金≠本年已收","OK")))))</f>
        <v/>
      </c>
      <c r="Y103" s="35" t="str">
        <f aca="false">IF(维保合同!$C103="","",维保合同!$E103)</f>
        <v/>
      </c>
      <c r="Z103" s="40" t="str">
        <f aca="false">IF($Y103="","",ROUND(SUMIFS(应收金额,应收键,$Y103,应收年度,"&gt;"&amp;管理年度)-SUMIFS(收款金额,收款键,$Y103,收款年度,"&gt;"&amp;管理年度),2))</f>
        <v/>
      </c>
      <c r="AA103" s="47" t="str">
        <f aca="false">IF($Y103="","",IF(SUMPRODUCT(MIN(IF((应收键=$Y103)*(应收未收&gt;0.01),应收日期,999999)))&gt;=999999,"",SUMPRODUCT(MIN(IF((应收键=$Y103)*(应收未收&gt;0.01),应收日期,999999)))))</f>
        <v/>
      </c>
    </row>
    <row r="104" customFormat="false" ht="15" hidden="false" customHeight="false" outlineLevel="0" collapsed="false">
      <c r="A104" s="29" t="str">
        <f aca="false">IF($Y104="","",ROW()-4)</f>
        <v/>
      </c>
      <c r="B104" s="16" t="str">
        <f aca="false">IF($Y104="","",维保合同!$C104)</f>
        <v/>
      </c>
      <c r="C104" s="16" t="str">
        <f aca="false">IF($Y104="","",维保合同!$D104)</f>
        <v/>
      </c>
      <c r="D104" s="35" t="str">
        <f aca="false">IF($Y104="","",维保合同!$F104)</f>
        <v/>
      </c>
      <c r="E104" s="35" t="str">
        <f aca="false">IF($Y104="","",维保合同!$G104)</f>
        <v/>
      </c>
      <c r="F104" s="47" t="str">
        <f aca="false">IF($Y104="","",维保合同!$I104)</f>
        <v/>
      </c>
      <c r="G104" s="38" t="str">
        <f aca="false">IF($Y104="","",维保合同!$K104)</f>
        <v/>
      </c>
      <c r="H104" s="41" t="str">
        <f aca="false">IF($Y104="","",ROUND(SUMIFS(应收金额,应收键,$Y104,应收年度,"&lt;"&amp;管理年度)-SUMIFS(收款金额,收款键,$Y104,收款年度,"&lt;"&amp;管理年度),2))</f>
        <v/>
      </c>
      <c r="I104" s="40" t="str">
        <f aca="false">IF($Y104="","",ROUND(SUMIFS(应收金额,应收键,$Y104,应收年度,管理年度),2))</f>
        <v/>
      </c>
      <c r="J104" s="40" t="str">
        <f aca="false">IF($Y104="","",ROUND(SUMIFS(应收金额,应收键,$Y104,应收年度,管理年度,应收款别,"合同款"),2))</f>
        <v/>
      </c>
      <c r="K104" s="40" t="str">
        <f aca="false">IF($Y104="","",ROUND($I104-$J104,2))</f>
        <v/>
      </c>
      <c r="L104" s="40" t="str">
        <f aca="false">IF($Y104="","",ROUND(SUMIFS(应收开票额,应收键,$Y104,应收开票年度,管理年度),2))</f>
        <v/>
      </c>
      <c r="M104" s="40" t="str">
        <f aca="false">IF($Y104="","",ROUND($I104-$L104,2))</f>
        <v/>
      </c>
      <c r="N104" s="40" t="str">
        <f aca="false">IF($Y104="","",ROUND(SUMIFS(收款金额,收款键,$Y104,收款年度,管理年度),2))</f>
        <v/>
      </c>
      <c r="O104" s="40" t="str">
        <f aca="false">IF($Y104="","",ROUND(SUMIFS(收款金额,收款键,$Y104,收款年度,管理年度,收款归类,"发票"),2))</f>
        <v/>
      </c>
      <c r="P104" s="40" t="str">
        <f aca="false">IF($Y104="","",ROUND(SUMIFS(收款金额,收款键,$Y104,收款年度,管理年度,收款归类,"收据"),2))</f>
        <v/>
      </c>
      <c r="Q104" s="40" t="str">
        <f aca="false">IF($Y104="","",ROUND(SUMIFS(收款金额,收款键,$Y104,收款年度,管理年度,收款归类,"现金无票"),2))</f>
        <v/>
      </c>
      <c r="R104" s="40" t="str">
        <f aca="false">IF($Y104="","",ROUND(MAX(0,MIN($T104,SUMIF(应收键,$Y104,应收开票额)-SUMIF(收款键,$Y104,收款金额))),2))</f>
        <v/>
      </c>
      <c r="S104" s="40" t="str">
        <f aca="false">IF($Y104="","",ROUND(MAX(0,$T104)-$R104,2))</f>
        <v/>
      </c>
      <c r="T104" s="48" t="str">
        <f aca="false">IF($Y104="","",ROUND(SUMIF(应收键,$Y104,应收金额)-SUMIF(收款键,$Y104,收款金额),2))</f>
        <v/>
      </c>
      <c r="U104" s="49" t="str">
        <f aca="true">IF($AA104="","",IF($T104&lt;=0.01,"",MAX(0,TODAY()-$AA104)))</f>
        <v/>
      </c>
      <c r="V104" s="50" t="str">
        <f aca="true">IF($Y104="","",IF($T104&gt;0.01,IF(AND(ISNUMBER($U104),$U104&gt;=账龄预警天),"▲欠款拖了 "&amp;TEXT($U104,"0")&amp;" 天","欠款未清"),IF($T104&lt;-0.01,"预收/多收","已结清"))&amp;IF(OR($E104="已签未回",$E104="未签",$E104="续签中")," ▲合同未回","")&amp;IF(AND(ISNUMBER($F104),$F104&lt;TODAY())," ▲合同已到期",""))</f>
        <v/>
      </c>
      <c r="W104" s="24"/>
      <c r="X104" s="35" t="str">
        <f aca="false">IF($Y104="","",IF(ROUND($H104+$I104-$N104+$Z104-$T104,2)&lt;&gt;0,"★期初＋本年－已收≠余额",IF(ROUND($R104+$S104-MAX(0,$T104),2)&lt;&gt;0,"★已开票＋未开票≠欠款",IF(ROUND($J104+$K104-$I104,2)&lt;&gt;0,"★合同款＋合同外款≠本年应收",IF(ROUND($O104+$P104+$Q104-$N104,2)&lt;&gt;0,"★发票＋收据＋现金≠本年已收","OK")))))</f>
        <v/>
      </c>
      <c r="Y104" s="35" t="str">
        <f aca="false">IF(维保合同!$C104="","",维保合同!$E104)</f>
        <v/>
      </c>
      <c r="Z104" s="40" t="str">
        <f aca="false">IF($Y104="","",ROUND(SUMIFS(应收金额,应收键,$Y104,应收年度,"&gt;"&amp;管理年度)-SUMIFS(收款金额,收款键,$Y104,收款年度,"&gt;"&amp;管理年度),2))</f>
        <v/>
      </c>
      <c r="AA104" s="47" t="str">
        <f aca="false">IF($Y104="","",IF(SUMPRODUCT(MIN(IF((应收键=$Y104)*(应收未收&gt;0.01),应收日期,999999)))&gt;=999999,"",SUMPRODUCT(MIN(IF((应收键=$Y104)*(应收未收&gt;0.01),应收日期,999999)))))</f>
        <v/>
      </c>
    </row>
    <row r="105" customFormat="false" ht="15" hidden="false" customHeight="false" outlineLevel="0" collapsed="false">
      <c r="A105" s="29" t="str">
        <f aca="false">IF($Y105="","",ROW()-4)</f>
        <v/>
      </c>
      <c r="B105" s="16" t="str">
        <f aca="false">IF($Y105="","",维保合同!$C105)</f>
        <v/>
      </c>
      <c r="C105" s="16" t="str">
        <f aca="false">IF($Y105="","",维保合同!$D105)</f>
        <v/>
      </c>
      <c r="D105" s="35" t="str">
        <f aca="false">IF($Y105="","",维保合同!$F105)</f>
        <v/>
      </c>
      <c r="E105" s="35" t="str">
        <f aca="false">IF($Y105="","",维保合同!$G105)</f>
        <v/>
      </c>
      <c r="F105" s="47" t="str">
        <f aca="false">IF($Y105="","",维保合同!$I105)</f>
        <v/>
      </c>
      <c r="G105" s="38" t="str">
        <f aca="false">IF($Y105="","",维保合同!$K105)</f>
        <v/>
      </c>
      <c r="H105" s="41" t="str">
        <f aca="false">IF($Y105="","",ROUND(SUMIFS(应收金额,应收键,$Y105,应收年度,"&lt;"&amp;管理年度)-SUMIFS(收款金额,收款键,$Y105,收款年度,"&lt;"&amp;管理年度),2))</f>
        <v/>
      </c>
      <c r="I105" s="40" t="str">
        <f aca="false">IF($Y105="","",ROUND(SUMIFS(应收金额,应收键,$Y105,应收年度,管理年度),2))</f>
        <v/>
      </c>
      <c r="J105" s="40" t="str">
        <f aca="false">IF($Y105="","",ROUND(SUMIFS(应收金额,应收键,$Y105,应收年度,管理年度,应收款别,"合同款"),2))</f>
        <v/>
      </c>
      <c r="K105" s="40" t="str">
        <f aca="false">IF($Y105="","",ROUND($I105-$J105,2))</f>
        <v/>
      </c>
      <c r="L105" s="40" t="str">
        <f aca="false">IF($Y105="","",ROUND(SUMIFS(应收开票额,应收键,$Y105,应收开票年度,管理年度),2))</f>
        <v/>
      </c>
      <c r="M105" s="40" t="str">
        <f aca="false">IF($Y105="","",ROUND($I105-$L105,2))</f>
        <v/>
      </c>
      <c r="N105" s="40" t="str">
        <f aca="false">IF($Y105="","",ROUND(SUMIFS(收款金额,收款键,$Y105,收款年度,管理年度),2))</f>
        <v/>
      </c>
      <c r="O105" s="40" t="str">
        <f aca="false">IF($Y105="","",ROUND(SUMIFS(收款金额,收款键,$Y105,收款年度,管理年度,收款归类,"发票"),2))</f>
        <v/>
      </c>
      <c r="P105" s="40" t="str">
        <f aca="false">IF($Y105="","",ROUND(SUMIFS(收款金额,收款键,$Y105,收款年度,管理年度,收款归类,"收据"),2))</f>
        <v/>
      </c>
      <c r="Q105" s="40" t="str">
        <f aca="false">IF($Y105="","",ROUND(SUMIFS(收款金额,收款键,$Y105,收款年度,管理年度,收款归类,"现金无票"),2))</f>
        <v/>
      </c>
      <c r="R105" s="40" t="str">
        <f aca="false">IF($Y105="","",ROUND(MAX(0,MIN($T105,SUMIF(应收键,$Y105,应收开票额)-SUMIF(收款键,$Y105,收款金额))),2))</f>
        <v/>
      </c>
      <c r="S105" s="40" t="str">
        <f aca="false">IF($Y105="","",ROUND(MAX(0,$T105)-$R105,2))</f>
        <v/>
      </c>
      <c r="T105" s="48" t="str">
        <f aca="false">IF($Y105="","",ROUND(SUMIF(应收键,$Y105,应收金额)-SUMIF(收款键,$Y105,收款金额),2))</f>
        <v/>
      </c>
      <c r="U105" s="49" t="str">
        <f aca="true">IF($AA105="","",IF($T105&lt;=0.01,"",MAX(0,TODAY()-$AA105)))</f>
        <v/>
      </c>
      <c r="V105" s="50" t="str">
        <f aca="true">IF($Y105="","",IF($T105&gt;0.01,IF(AND(ISNUMBER($U105),$U105&gt;=账龄预警天),"▲欠款拖了 "&amp;TEXT($U105,"0")&amp;" 天","欠款未清"),IF($T105&lt;-0.01,"预收/多收","已结清"))&amp;IF(OR($E105="已签未回",$E105="未签",$E105="续签中")," ▲合同未回","")&amp;IF(AND(ISNUMBER($F105),$F105&lt;TODAY())," ▲合同已到期",""))</f>
        <v/>
      </c>
      <c r="W105" s="24"/>
      <c r="X105" s="35" t="str">
        <f aca="false">IF($Y105="","",IF(ROUND($H105+$I105-$N105+$Z105-$T105,2)&lt;&gt;0,"★期初＋本年－已收≠余额",IF(ROUND($R105+$S105-MAX(0,$T105),2)&lt;&gt;0,"★已开票＋未开票≠欠款",IF(ROUND($J105+$K105-$I105,2)&lt;&gt;0,"★合同款＋合同外款≠本年应收",IF(ROUND($O105+$P105+$Q105-$N105,2)&lt;&gt;0,"★发票＋收据＋现金≠本年已收","OK")))))</f>
        <v/>
      </c>
      <c r="Y105" s="35" t="str">
        <f aca="false">IF(维保合同!$C105="","",维保合同!$E105)</f>
        <v/>
      </c>
      <c r="Z105" s="40" t="str">
        <f aca="false">IF($Y105="","",ROUND(SUMIFS(应收金额,应收键,$Y105,应收年度,"&gt;"&amp;管理年度)-SUMIFS(收款金额,收款键,$Y105,收款年度,"&gt;"&amp;管理年度),2))</f>
        <v/>
      </c>
      <c r="AA105" s="47" t="str">
        <f aca="false">IF($Y105="","",IF(SUMPRODUCT(MIN(IF((应收键=$Y105)*(应收未收&gt;0.01),应收日期,999999)))&gt;=999999,"",SUMPRODUCT(MIN(IF((应收键=$Y105)*(应收未收&gt;0.01),应收日期,999999)))))</f>
        <v/>
      </c>
    </row>
    <row r="106" customFormat="false" ht="15" hidden="false" customHeight="false" outlineLevel="0" collapsed="false">
      <c r="A106" s="29" t="str">
        <f aca="false">IF($Y106="","",ROW()-4)</f>
        <v/>
      </c>
      <c r="B106" s="16" t="str">
        <f aca="false">IF($Y106="","",维保合同!$C106)</f>
        <v/>
      </c>
      <c r="C106" s="16" t="str">
        <f aca="false">IF($Y106="","",维保合同!$D106)</f>
        <v/>
      </c>
      <c r="D106" s="35" t="str">
        <f aca="false">IF($Y106="","",维保合同!$F106)</f>
        <v/>
      </c>
      <c r="E106" s="35" t="str">
        <f aca="false">IF($Y106="","",维保合同!$G106)</f>
        <v/>
      </c>
      <c r="F106" s="47" t="str">
        <f aca="false">IF($Y106="","",维保合同!$I106)</f>
        <v/>
      </c>
      <c r="G106" s="38" t="str">
        <f aca="false">IF($Y106="","",维保合同!$K106)</f>
        <v/>
      </c>
      <c r="H106" s="41" t="str">
        <f aca="false">IF($Y106="","",ROUND(SUMIFS(应收金额,应收键,$Y106,应收年度,"&lt;"&amp;管理年度)-SUMIFS(收款金额,收款键,$Y106,收款年度,"&lt;"&amp;管理年度),2))</f>
        <v/>
      </c>
      <c r="I106" s="40" t="str">
        <f aca="false">IF($Y106="","",ROUND(SUMIFS(应收金额,应收键,$Y106,应收年度,管理年度),2))</f>
        <v/>
      </c>
      <c r="J106" s="40" t="str">
        <f aca="false">IF($Y106="","",ROUND(SUMIFS(应收金额,应收键,$Y106,应收年度,管理年度,应收款别,"合同款"),2))</f>
        <v/>
      </c>
      <c r="K106" s="40" t="str">
        <f aca="false">IF($Y106="","",ROUND($I106-$J106,2))</f>
        <v/>
      </c>
      <c r="L106" s="40" t="str">
        <f aca="false">IF($Y106="","",ROUND(SUMIFS(应收开票额,应收键,$Y106,应收开票年度,管理年度),2))</f>
        <v/>
      </c>
      <c r="M106" s="40" t="str">
        <f aca="false">IF($Y106="","",ROUND($I106-$L106,2))</f>
        <v/>
      </c>
      <c r="N106" s="40" t="str">
        <f aca="false">IF($Y106="","",ROUND(SUMIFS(收款金额,收款键,$Y106,收款年度,管理年度),2))</f>
        <v/>
      </c>
      <c r="O106" s="40" t="str">
        <f aca="false">IF($Y106="","",ROUND(SUMIFS(收款金额,收款键,$Y106,收款年度,管理年度,收款归类,"发票"),2))</f>
        <v/>
      </c>
      <c r="P106" s="40" t="str">
        <f aca="false">IF($Y106="","",ROUND(SUMIFS(收款金额,收款键,$Y106,收款年度,管理年度,收款归类,"收据"),2))</f>
        <v/>
      </c>
      <c r="Q106" s="40" t="str">
        <f aca="false">IF($Y106="","",ROUND(SUMIFS(收款金额,收款键,$Y106,收款年度,管理年度,收款归类,"现金无票"),2))</f>
        <v/>
      </c>
      <c r="R106" s="40" t="str">
        <f aca="false">IF($Y106="","",ROUND(MAX(0,MIN($T106,SUMIF(应收键,$Y106,应收开票额)-SUMIF(收款键,$Y106,收款金额))),2))</f>
        <v/>
      </c>
      <c r="S106" s="40" t="str">
        <f aca="false">IF($Y106="","",ROUND(MAX(0,$T106)-$R106,2))</f>
        <v/>
      </c>
      <c r="T106" s="48" t="str">
        <f aca="false">IF($Y106="","",ROUND(SUMIF(应收键,$Y106,应收金额)-SUMIF(收款键,$Y106,收款金额),2))</f>
        <v/>
      </c>
      <c r="U106" s="49" t="str">
        <f aca="true">IF($AA106="","",IF($T106&lt;=0.01,"",MAX(0,TODAY()-$AA106)))</f>
        <v/>
      </c>
      <c r="V106" s="50" t="str">
        <f aca="true">IF($Y106="","",IF($T106&gt;0.01,IF(AND(ISNUMBER($U106),$U106&gt;=账龄预警天),"▲欠款拖了 "&amp;TEXT($U106,"0")&amp;" 天","欠款未清"),IF($T106&lt;-0.01,"预收/多收","已结清"))&amp;IF(OR($E106="已签未回",$E106="未签",$E106="续签中")," ▲合同未回","")&amp;IF(AND(ISNUMBER($F106),$F106&lt;TODAY())," ▲合同已到期",""))</f>
        <v/>
      </c>
      <c r="W106" s="24"/>
      <c r="X106" s="35" t="str">
        <f aca="false">IF($Y106="","",IF(ROUND($H106+$I106-$N106+$Z106-$T106,2)&lt;&gt;0,"★期初＋本年－已收≠余额",IF(ROUND($R106+$S106-MAX(0,$T106),2)&lt;&gt;0,"★已开票＋未开票≠欠款",IF(ROUND($J106+$K106-$I106,2)&lt;&gt;0,"★合同款＋合同外款≠本年应收",IF(ROUND($O106+$P106+$Q106-$N106,2)&lt;&gt;0,"★发票＋收据＋现金≠本年已收","OK")))))</f>
        <v/>
      </c>
      <c r="Y106" s="35" t="str">
        <f aca="false">IF(维保合同!$C106="","",维保合同!$E106)</f>
        <v/>
      </c>
      <c r="Z106" s="40" t="str">
        <f aca="false">IF($Y106="","",ROUND(SUMIFS(应收金额,应收键,$Y106,应收年度,"&gt;"&amp;管理年度)-SUMIFS(收款金额,收款键,$Y106,收款年度,"&gt;"&amp;管理年度),2))</f>
        <v/>
      </c>
      <c r="AA106" s="47" t="str">
        <f aca="false">IF($Y106="","",IF(SUMPRODUCT(MIN(IF((应收键=$Y106)*(应收未收&gt;0.01),应收日期,999999)))&gt;=999999,"",SUMPRODUCT(MIN(IF((应收键=$Y106)*(应收未收&gt;0.01),应收日期,999999)))))</f>
        <v/>
      </c>
    </row>
    <row r="107" customFormat="false" ht="15" hidden="false" customHeight="false" outlineLevel="0" collapsed="false">
      <c r="A107" s="29" t="str">
        <f aca="false">IF($Y107="","",ROW()-4)</f>
        <v/>
      </c>
      <c r="B107" s="16" t="str">
        <f aca="false">IF($Y107="","",维保合同!$C107)</f>
        <v/>
      </c>
      <c r="C107" s="16" t="str">
        <f aca="false">IF($Y107="","",维保合同!$D107)</f>
        <v/>
      </c>
      <c r="D107" s="35" t="str">
        <f aca="false">IF($Y107="","",维保合同!$F107)</f>
        <v/>
      </c>
      <c r="E107" s="35" t="str">
        <f aca="false">IF($Y107="","",维保合同!$G107)</f>
        <v/>
      </c>
      <c r="F107" s="47" t="str">
        <f aca="false">IF($Y107="","",维保合同!$I107)</f>
        <v/>
      </c>
      <c r="G107" s="38" t="str">
        <f aca="false">IF($Y107="","",维保合同!$K107)</f>
        <v/>
      </c>
      <c r="H107" s="41" t="str">
        <f aca="false">IF($Y107="","",ROUND(SUMIFS(应收金额,应收键,$Y107,应收年度,"&lt;"&amp;管理年度)-SUMIFS(收款金额,收款键,$Y107,收款年度,"&lt;"&amp;管理年度),2))</f>
        <v/>
      </c>
      <c r="I107" s="40" t="str">
        <f aca="false">IF($Y107="","",ROUND(SUMIFS(应收金额,应收键,$Y107,应收年度,管理年度),2))</f>
        <v/>
      </c>
      <c r="J107" s="40" t="str">
        <f aca="false">IF($Y107="","",ROUND(SUMIFS(应收金额,应收键,$Y107,应收年度,管理年度,应收款别,"合同款"),2))</f>
        <v/>
      </c>
      <c r="K107" s="40" t="str">
        <f aca="false">IF($Y107="","",ROUND($I107-$J107,2))</f>
        <v/>
      </c>
      <c r="L107" s="40" t="str">
        <f aca="false">IF($Y107="","",ROUND(SUMIFS(应收开票额,应收键,$Y107,应收开票年度,管理年度),2))</f>
        <v/>
      </c>
      <c r="M107" s="40" t="str">
        <f aca="false">IF($Y107="","",ROUND($I107-$L107,2))</f>
        <v/>
      </c>
      <c r="N107" s="40" t="str">
        <f aca="false">IF($Y107="","",ROUND(SUMIFS(收款金额,收款键,$Y107,收款年度,管理年度),2))</f>
        <v/>
      </c>
      <c r="O107" s="40" t="str">
        <f aca="false">IF($Y107="","",ROUND(SUMIFS(收款金额,收款键,$Y107,收款年度,管理年度,收款归类,"发票"),2))</f>
        <v/>
      </c>
      <c r="P107" s="40" t="str">
        <f aca="false">IF($Y107="","",ROUND(SUMIFS(收款金额,收款键,$Y107,收款年度,管理年度,收款归类,"收据"),2))</f>
        <v/>
      </c>
      <c r="Q107" s="40" t="str">
        <f aca="false">IF($Y107="","",ROUND(SUMIFS(收款金额,收款键,$Y107,收款年度,管理年度,收款归类,"现金无票"),2))</f>
        <v/>
      </c>
      <c r="R107" s="40" t="str">
        <f aca="false">IF($Y107="","",ROUND(MAX(0,MIN($T107,SUMIF(应收键,$Y107,应收开票额)-SUMIF(收款键,$Y107,收款金额))),2))</f>
        <v/>
      </c>
      <c r="S107" s="40" t="str">
        <f aca="false">IF($Y107="","",ROUND(MAX(0,$T107)-$R107,2))</f>
        <v/>
      </c>
      <c r="T107" s="48" t="str">
        <f aca="false">IF($Y107="","",ROUND(SUMIF(应收键,$Y107,应收金额)-SUMIF(收款键,$Y107,收款金额),2))</f>
        <v/>
      </c>
      <c r="U107" s="49" t="str">
        <f aca="true">IF($AA107="","",IF($T107&lt;=0.01,"",MAX(0,TODAY()-$AA107)))</f>
        <v/>
      </c>
      <c r="V107" s="50" t="str">
        <f aca="true">IF($Y107="","",IF($T107&gt;0.01,IF(AND(ISNUMBER($U107),$U107&gt;=账龄预警天),"▲欠款拖了 "&amp;TEXT($U107,"0")&amp;" 天","欠款未清"),IF($T107&lt;-0.01,"预收/多收","已结清"))&amp;IF(OR($E107="已签未回",$E107="未签",$E107="续签中")," ▲合同未回","")&amp;IF(AND(ISNUMBER($F107),$F107&lt;TODAY())," ▲合同已到期",""))</f>
        <v/>
      </c>
      <c r="W107" s="24"/>
      <c r="X107" s="35" t="str">
        <f aca="false">IF($Y107="","",IF(ROUND($H107+$I107-$N107+$Z107-$T107,2)&lt;&gt;0,"★期初＋本年－已收≠余额",IF(ROUND($R107+$S107-MAX(0,$T107),2)&lt;&gt;0,"★已开票＋未开票≠欠款",IF(ROUND($J107+$K107-$I107,2)&lt;&gt;0,"★合同款＋合同外款≠本年应收",IF(ROUND($O107+$P107+$Q107-$N107,2)&lt;&gt;0,"★发票＋收据＋现金≠本年已收","OK")))))</f>
        <v/>
      </c>
      <c r="Y107" s="35" t="str">
        <f aca="false">IF(维保合同!$C107="","",维保合同!$E107)</f>
        <v/>
      </c>
      <c r="Z107" s="40" t="str">
        <f aca="false">IF($Y107="","",ROUND(SUMIFS(应收金额,应收键,$Y107,应收年度,"&gt;"&amp;管理年度)-SUMIFS(收款金额,收款键,$Y107,收款年度,"&gt;"&amp;管理年度),2))</f>
        <v/>
      </c>
      <c r="AA107" s="47" t="str">
        <f aca="false">IF($Y107="","",IF(SUMPRODUCT(MIN(IF((应收键=$Y107)*(应收未收&gt;0.01),应收日期,999999)))&gt;=999999,"",SUMPRODUCT(MIN(IF((应收键=$Y107)*(应收未收&gt;0.01),应收日期,999999)))))</f>
        <v/>
      </c>
    </row>
    <row r="108" customFormat="false" ht="15" hidden="false" customHeight="false" outlineLevel="0" collapsed="false">
      <c r="A108" s="29" t="str">
        <f aca="false">IF($Y108="","",ROW()-4)</f>
        <v/>
      </c>
      <c r="B108" s="16" t="str">
        <f aca="false">IF($Y108="","",维保合同!$C108)</f>
        <v/>
      </c>
      <c r="C108" s="16" t="str">
        <f aca="false">IF($Y108="","",维保合同!$D108)</f>
        <v/>
      </c>
      <c r="D108" s="35" t="str">
        <f aca="false">IF($Y108="","",维保合同!$F108)</f>
        <v/>
      </c>
      <c r="E108" s="35" t="str">
        <f aca="false">IF($Y108="","",维保合同!$G108)</f>
        <v/>
      </c>
      <c r="F108" s="47" t="str">
        <f aca="false">IF($Y108="","",维保合同!$I108)</f>
        <v/>
      </c>
      <c r="G108" s="38" t="str">
        <f aca="false">IF($Y108="","",维保合同!$K108)</f>
        <v/>
      </c>
      <c r="H108" s="41" t="str">
        <f aca="false">IF($Y108="","",ROUND(SUMIFS(应收金额,应收键,$Y108,应收年度,"&lt;"&amp;管理年度)-SUMIFS(收款金额,收款键,$Y108,收款年度,"&lt;"&amp;管理年度),2))</f>
        <v/>
      </c>
      <c r="I108" s="40" t="str">
        <f aca="false">IF($Y108="","",ROUND(SUMIFS(应收金额,应收键,$Y108,应收年度,管理年度),2))</f>
        <v/>
      </c>
      <c r="J108" s="40" t="str">
        <f aca="false">IF($Y108="","",ROUND(SUMIFS(应收金额,应收键,$Y108,应收年度,管理年度,应收款别,"合同款"),2))</f>
        <v/>
      </c>
      <c r="K108" s="40" t="str">
        <f aca="false">IF($Y108="","",ROUND($I108-$J108,2))</f>
        <v/>
      </c>
      <c r="L108" s="40" t="str">
        <f aca="false">IF($Y108="","",ROUND(SUMIFS(应收开票额,应收键,$Y108,应收开票年度,管理年度),2))</f>
        <v/>
      </c>
      <c r="M108" s="40" t="str">
        <f aca="false">IF($Y108="","",ROUND($I108-$L108,2))</f>
        <v/>
      </c>
      <c r="N108" s="40" t="str">
        <f aca="false">IF($Y108="","",ROUND(SUMIFS(收款金额,收款键,$Y108,收款年度,管理年度),2))</f>
        <v/>
      </c>
      <c r="O108" s="40" t="str">
        <f aca="false">IF($Y108="","",ROUND(SUMIFS(收款金额,收款键,$Y108,收款年度,管理年度,收款归类,"发票"),2))</f>
        <v/>
      </c>
      <c r="P108" s="40" t="str">
        <f aca="false">IF($Y108="","",ROUND(SUMIFS(收款金额,收款键,$Y108,收款年度,管理年度,收款归类,"收据"),2))</f>
        <v/>
      </c>
      <c r="Q108" s="40" t="str">
        <f aca="false">IF($Y108="","",ROUND(SUMIFS(收款金额,收款键,$Y108,收款年度,管理年度,收款归类,"现金无票"),2))</f>
        <v/>
      </c>
      <c r="R108" s="40" t="str">
        <f aca="false">IF($Y108="","",ROUND(MAX(0,MIN($T108,SUMIF(应收键,$Y108,应收开票额)-SUMIF(收款键,$Y108,收款金额))),2))</f>
        <v/>
      </c>
      <c r="S108" s="40" t="str">
        <f aca="false">IF($Y108="","",ROUND(MAX(0,$T108)-$R108,2))</f>
        <v/>
      </c>
      <c r="T108" s="48" t="str">
        <f aca="false">IF($Y108="","",ROUND(SUMIF(应收键,$Y108,应收金额)-SUMIF(收款键,$Y108,收款金额),2))</f>
        <v/>
      </c>
      <c r="U108" s="49" t="str">
        <f aca="true">IF($AA108="","",IF($T108&lt;=0.01,"",MAX(0,TODAY()-$AA108)))</f>
        <v/>
      </c>
      <c r="V108" s="50" t="str">
        <f aca="true">IF($Y108="","",IF($T108&gt;0.01,IF(AND(ISNUMBER($U108),$U108&gt;=账龄预警天),"▲欠款拖了 "&amp;TEXT($U108,"0")&amp;" 天","欠款未清"),IF($T108&lt;-0.01,"预收/多收","已结清"))&amp;IF(OR($E108="已签未回",$E108="未签",$E108="续签中")," ▲合同未回","")&amp;IF(AND(ISNUMBER($F108),$F108&lt;TODAY())," ▲合同已到期",""))</f>
        <v/>
      </c>
      <c r="W108" s="24"/>
      <c r="X108" s="35" t="str">
        <f aca="false">IF($Y108="","",IF(ROUND($H108+$I108-$N108+$Z108-$T108,2)&lt;&gt;0,"★期初＋本年－已收≠余额",IF(ROUND($R108+$S108-MAX(0,$T108),2)&lt;&gt;0,"★已开票＋未开票≠欠款",IF(ROUND($J108+$K108-$I108,2)&lt;&gt;0,"★合同款＋合同外款≠本年应收",IF(ROUND($O108+$P108+$Q108-$N108,2)&lt;&gt;0,"★发票＋收据＋现金≠本年已收","OK")))))</f>
        <v/>
      </c>
      <c r="Y108" s="35" t="str">
        <f aca="false">IF(维保合同!$C108="","",维保合同!$E108)</f>
        <v/>
      </c>
      <c r="Z108" s="40" t="str">
        <f aca="false">IF($Y108="","",ROUND(SUMIFS(应收金额,应收键,$Y108,应收年度,"&gt;"&amp;管理年度)-SUMIFS(收款金额,收款键,$Y108,收款年度,"&gt;"&amp;管理年度),2))</f>
        <v/>
      </c>
      <c r="AA108" s="47" t="str">
        <f aca="false">IF($Y108="","",IF(SUMPRODUCT(MIN(IF((应收键=$Y108)*(应收未收&gt;0.01),应收日期,999999)))&gt;=999999,"",SUMPRODUCT(MIN(IF((应收键=$Y108)*(应收未收&gt;0.01),应收日期,999999)))))</f>
        <v/>
      </c>
    </row>
    <row r="109" customFormat="false" ht="15" hidden="false" customHeight="false" outlineLevel="0" collapsed="false">
      <c r="A109" s="29" t="str">
        <f aca="false">IF($Y109="","",ROW()-4)</f>
        <v/>
      </c>
      <c r="B109" s="16" t="str">
        <f aca="false">IF($Y109="","",维保合同!$C109)</f>
        <v/>
      </c>
      <c r="C109" s="16" t="str">
        <f aca="false">IF($Y109="","",维保合同!$D109)</f>
        <v/>
      </c>
      <c r="D109" s="35" t="str">
        <f aca="false">IF($Y109="","",维保合同!$F109)</f>
        <v/>
      </c>
      <c r="E109" s="35" t="str">
        <f aca="false">IF($Y109="","",维保合同!$G109)</f>
        <v/>
      </c>
      <c r="F109" s="47" t="str">
        <f aca="false">IF($Y109="","",维保合同!$I109)</f>
        <v/>
      </c>
      <c r="G109" s="38" t="str">
        <f aca="false">IF($Y109="","",维保合同!$K109)</f>
        <v/>
      </c>
      <c r="H109" s="41" t="str">
        <f aca="false">IF($Y109="","",ROUND(SUMIFS(应收金额,应收键,$Y109,应收年度,"&lt;"&amp;管理年度)-SUMIFS(收款金额,收款键,$Y109,收款年度,"&lt;"&amp;管理年度),2))</f>
        <v/>
      </c>
      <c r="I109" s="40" t="str">
        <f aca="false">IF($Y109="","",ROUND(SUMIFS(应收金额,应收键,$Y109,应收年度,管理年度),2))</f>
        <v/>
      </c>
      <c r="J109" s="40" t="str">
        <f aca="false">IF($Y109="","",ROUND(SUMIFS(应收金额,应收键,$Y109,应收年度,管理年度,应收款别,"合同款"),2))</f>
        <v/>
      </c>
      <c r="K109" s="40" t="str">
        <f aca="false">IF($Y109="","",ROUND($I109-$J109,2))</f>
        <v/>
      </c>
      <c r="L109" s="40" t="str">
        <f aca="false">IF($Y109="","",ROUND(SUMIFS(应收开票额,应收键,$Y109,应收开票年度,管理年度),2))</f>
        <v/>
      </c>
      <c r="M109" s="40" t="str">
        <f aca="false">IF($Y109="","",ROUND($I109-$L109,2))</f>
        <v/>
      </c>
      <c r="N109" s="40" t="str">
        <f aca="false">IF($Y109="","",ROUND(SUMIFS(收款金额,收款键,$Y109,收款年度,管理年度),2))</f>
        <v/>
      </c>
      <c r="O109" s="40" t="str">
        <f aca="false">IF($Y109="","",ROUND(SUMIFS(收款金额,收款键,$Y109,收款年度,管理年度,收款归类,"发票"),2))</f>
        <v/>
      </c>
      <c r="P109" s="40" t="str">
        <f aca="false">IF($Y109="","",ROUND(SUMIFS(收款金额,收款键,$Y109,收款年度,管理年度,收款归类,"收据"),2))</f>
        <v/>
      </c>
      <c r="Q109" s="40" t="str">
        <f aca="false">IF($Y109="","",ROUND(SUMIFS(收款金额,收款键,$Y109,收款年度,管理年度,收款归类,"现金无票"),2))</f>
        <v/>
      </c>
      <c r="R109" s="40" t="str">
        <f aca="false">IF($Y109="","",ROUND(MAX(0,MIN($T109,SUMIF(应收键,$Y109,应收开票额)-SUMIF(收款键,$Y109,收款金额))),2))</f>
        <v/>
      </c>
      <c r="S109" s="40" t="str">
        <f aca="false">IF($Y109="","",ROUND(MAX(0,$T109)-$R109,2))</f>
        <v/>
      </c>
      <c r="T109" s="48" t="str">
        <f aca="false">IF($Y109="","",ROUND(SUMIF(应收键,$Y109,应收金额)-SUMIF(收款键,$Y109,收款金额),2))</f>
        <v/>
      </c>
      <c r="U109" s="49" t="str">
        <f aca="true">IF($AA109="","",IF($T109&lt;=0.01,"",MAX(0,TODAY()-$AA109)))</f>
        <v/>
      </c>
      <c r="V109" s="50" t="str">
        <f aca="true">IF($Y109="","",IF($T109&gt;0.01,IF(AND(ISNUMBER($U109),$U109&gt;=账龄预警天),"▲欠款拖了 "&amp;TEXT($U109,"0")&amp;" 天","欠款未清"),IF($T109&lt;-0.01,"预收/多收","已结清"))&amp;IF(OR($E109="已签未回",$E109="未签",$E109="续签中")," ▲合同未回","")&amp;IF(AND(ISNUMBER($F109),$F109&lt;TODAY())," ▲合同已到期",""))</f>
        <v/>
      </c>
      <c r="W109" s="24"/>
      <c r="X109" s="35" t="str">
        <f aca="false">IF($Y109="","",IF(ROUND($H109+$I109-$N109+$Z109-$T109,2)&lt;&gt;0,"★期初＋本年－已收≠余额",IF(ROUND($R109+$S109-MAX(0,$T109),2)&lt;&gt;0,"★已开票＋未开票≠欠款",IF(ROUND($J109+$K109-$I109,2)&lt;&gt;0,"★合同款＋合同外款≠本年应收",IF(ROUND($O109+$P109+$Q109-$N109,2)&lt;&gt;0,"★发票＋收据＋现金≠本年已收","OK")))))</f>
        <v/>
      </c>
      <c r="Y109" s="35" t="str">
        <f aca="false">IF(维保合同!$C109="","",维保合同!$E109)</f>
        <v/>
      </c>
      <c r="Z109" s="40" t="str">
        <f aca="false">IF($Y109="","",ROUND(SUMIFS(应收金额,应收键,$Y109,应收年度,"&gt;"&amp;管理年度)-SUMIFS(收款金额,收款键,$Y109,收款年度,"&gt;"&amp;管理年度),2))</f>
        <v/>
      </c>
      <c r="AA109" s="47" t="str">
        <f aca="false">IF($Y109="","",IF(SUMPRODUCT(MIN(IF((应收键=$Y109)*(应收未收&gt;0.01),应收日期,999999)))&gt;=999999,"",SUMPRODUCT(MIN(IF((应收键=$Y109)*(应收未收&gt;0.01),应收日期,999999)))))</f>
        <v/>
      </c>
    </row>
    <row r="110" customFormat="false" ht="15" hidden="false" customHeight="false" outlineLevel="0" collapsed="false">
      <c r="A110" s="29" t="str">
        <f aca="false">IF($Y110="","",ROW()-4)</f>
        <v/>
      </c>
      <c r="B110" s="16" t="str">
        <f aca="false">IF($Y110="","",维保合同!$C110)</f>
        <v/>
      </c>
      <c r="C110" s="16" t="str">
        <f aca="false">IF($Y110="","",维保合同!$D110)</f>
        <v/>
      </c>
      <c r="D110" s="35" t="str">
        <f aca="false">IF($Y110="","",维保合同!$F110)</f>
        <v/>
      </c>
      <c r="E110" s="35" t="str">
        <f aca="false">IF($Y110="","",维保合同!$G110)</f>
        <v/>
      </c>
      <c r="F110" s="47" t="str">
        <f aca="false">IF($Y110="","",维保合同!$I110)</f>
        <v/>
      </c>
      <c r="G110" s="38" t="str">
        <f aca="false">IF($Y110="","",维保合同!$K110)</f>
        <v/>
      </c>
      <c r="H110" s="41" t="str">
        <f aca="false">IF($Y110="","",ROUND(SUMIFS(应收金额,应收键,$Y110,应收年度,"&lt;"&amp;管理年度)-SUMIFS(收款金额,收款键,$Y110,收款年度,"&lt;"&amp;管理年度),2))</f>
        <v/>
      </c>
      <c r="I110" s="40" t="str">
        <f aca="false">IF($Y110="","",ROUND(SUMIFS(应收金额,应收键,$Y110,应收年度,管理年度),2))</f>
        <v/>
      </c>
      <c r="J110" s="40" t="str">
        <f aca="false">IF($Y110="","",ROUND(SUMIFS(应收金额,应收键,$Y110,应收年度,管理年度,应收款别,"合同款"),2))</f>
        <v/>
      </c>
      <c r="K110" s="40" t="str">
        <f aca="false">IF($Y110="","",ROUND($I110-$J110,2))</f>
        <v/>
      </c>
      <c r="L110" s="40" t="str">
        <f aca="false">IF($Y110="","",ROUND(SUMIFS(应收开票额,应收键,$Y110,应收开票年度,管理年度),2))</f>
        <v/>
      </c>
      <c r="M110" s="40" t="str">
        <f aca="false">IF($Y110="","",ROUND($I110-$L110,2))</f>
        <v/>
      </c>
      <c r="N110" s="40" t="str">
        <f aca="false">IF($Y110="","",ROUND(SUMIFS(收款金额,收款键,$Y110,收款年度,管理年度),2))</f>
        <v/>
      </c>
      <c r="O110" s="40" t="str">
        <f aca="false">IF($Y110="","",ROUND(SUMIFS(收款金额,收款键,$Y110,收款年度,管理年度,收款归类,"发票"),2))</f>
        <v/>
      </c>
      <c r="P110" s="40" t="str">
        <f aca="false">IF($Y110="","",ROUND(SUMIFS(收款金额,收款键,$Y110,收款年度,管理年度,收款归类,"收据"),2))</f>
        <v/>
      </c>
      <c r="Q110" s="40" t="str">
        <f aca="false">IF($Y110="","",ROUND(SUMIFS(收款金额,收款键,$Y110,收款年度,管理年度,收款归类,"现金无票"),2))</f>
        <v/>
      </c>
      <c r="R110" s="40" t="str">
        <f aca="false">IF($Y110="","",ROUND(MAX(0,MIN($T110,SUMIF(应收键,$Y110,应收开票额)-SUMIF(收款键,$Y110,收款金额))),2))</f>
        <v/>
      </c>
      <c r="S110" s="40" t="str">
        <f aca="false">IF($Y110="","",ROUND(MAX(0,$T110)-$R110,2))</f>
        <v/>
      </c>
      <c r="T110" s="48" t="str">
        <f aca="false">IF($Y110="","",ROUND(SUMIF(应收键,$Y110,应收金额)-SUMIF(收款键,$Y110,收款金额),2))</f>
        <v/>
      </c>
      <c r="U110" s="49" t="str">
        <f aca="true">IF($AA110="","",IF($T110&lt;=0.01,"",MAX(0,TODAY()-$AA110)))</f>
        <v/>
      </c>
      <c r="V110" s="50" t="str">
        <f aca="true">IF($Y110="","",IF($T110&gt;0.01,IF(AND(ISNUMBER($U110),$U110&gt;=账龄预警天),"▲欠款拖了 "&amp;TEXT($U110,"0")&amp;" 天","欠款未清"),IF($T110&lt;-0.01,"预收/多收","已结清"))&amp;IF(OR($E110="已签未回",$E110="未签",$E110="续签中")," ▲合同未回","")&amp;IF(AND(ISNUMBER($F110),$F110&lt;TODAY())," ▲合同已到期",""))</f>
        <v/>
      </c>
      <c r="W110" s="24"/>
      <c r="X110" s="35" t="str">
        <f aca="false">IF($Y110="","",IF(ROUND($H110+$I110-$N110+$Z110-$T110,2)&lt;&gt;0,"★期初＋本年－已收≠余额",IF(ROUND($R110+$S110-MAX(0,$T110),2)&lt;&gt;0,"★已开票＋未开票≠欠款",IF(ROUND($J110+$K110-$I110,2)&lt;&gt;0,"★合同款＋合同外款≠本年应收",IF(ROUND($O110+$P110+$Q110-$N110,2)&lt;&gt;0,"★发票＋收据＋现金≠本年已收","OK")))))</f>
        <v/>
      </c>
      <c r="Y110" s="35" t="str">
        <f aca="false">IF(维保合同!$C110="","",维保合同!$E110)</f>
        <v/>
      </c>
      <c r="Z110" s="40" t="str">
        <f aca="false">IF($Y110="","",ROUND(SUMIFS(应收金额,应收键,$Y110,应收年度,"&gt;"&amp;管理年度)-SUMIFS(收款金额,收款键,$Y110,收款年度,"&gt;"&amp;管理年度),2))</f>
        <v/>
      </c>
      <c r="AA110" s="47" t="str">
        <f aca="false">IF($Y110="","",IF(SUMPRODUCT(MIN(IF((应收键=$Y110)*(应收未收&gt;0.01),应收日期,999999)))&gt;=999999,"",SUMPRODUCT(MIN(IF((应收键=$Y110)*(应收未收&gt;0.01),应收日期,999999)))))</f>
        <v/>
      </c>
    </row>
    <row r="111" customFormat="false" ht="15" hidden="false" customHeight="false" outlineLevel="0" collapsed="false">
      <c r="A111" s="29" t="str">
        <f aca="false">IF($Y111="","",ROW()-4)</f>
        <v/>
      </c>
      <c r="B111" s="16" t="str">
        <f aca="false">IF($Y111="","",维保合同!$C111)</f>
        <v/>
      </c>
      <c r="C111" s="16" t="str">
        <f aca="false">IF($Y111="","",维保合同!$D111)</f>
        <v/>
      </c>
      <c r="D111" s="35" t="str">
        <f aca="false">IF($Y111="","",维保合同!$F111)</f>
        <v/>
      </c>
      <c r="E111" s="35" t="str">
        <f aca="false">IF($Y111="","",维保合同!$G111)</f>
        <v/>
      </c>
      <c r="F111" s="47" t="str">
        <f aca="false">IF($Y111="","",维保合同!$I111)</f>
        <v/>
      </c>
      <c r="G111" s="38" t="str">
        <f aca="false">IF($Y111="","",维保合同!$K111)</f>
        <v/>
      </c>
      <c r="H111" s="41" t="str">
        <f aca="false">IF($Y111="","",ROUND(SUMIFS(应收金额,应收键,$Y111,应收年度,"&lt;"&amp;管理年度)-SUMIFS(收款金额,收款键,$Y111,收款年度,"&lt;"&amp;管理年度),2))</f>
        <v/>
      </c>
      <c r="I111" s="40" t="str">
        <f aca="false">IF($Y111="","",ROUND(SUMIFS(应收金额,应收键,$Y111,应收年度,管理年度),2))</f>
        <v/>
      </c>
      <c r="J111" s="40" t="str">
        <f aca="false">IF($Y111="","",ROUND(SUMIFS(应收金额,应收键,$Y111,应收年度,管理年度,应收款别,"合同款"),2))</f>
        <v/>
      </c>
      <c r="K111" s="40" t="str">
        <f aca="false">IF($Y111="","",ROUND($I111-$J111,2))</f>
        <v/>
      </c>
      <c r="L111" s="40" t="str">
        <f aca="false">IF($Y111="","",ROUND(SUMIFS(应收开票额,应收键,$Y111,应收开票年度,管理年度),2))</f>
        <v/>
      </c>
      <c r="M111" s="40" t="str">
        <f aca="false">IF($Y111="","",ROUND($I111-$L111,2))</f>
        <v/>
      </c>
      <c r="N111" s="40" t="str">
        <f aca="false">IF($Y111="","",ROUND(SUMIFS(收款金额,收款键,$Y111,收款年度,管理年度),2))</f>
        <v/>
      </c>
      <c r="O111" s="40" t="str">
        <f aca="false">IF($Y111="","",ROUND(SUMIFS(收款金额,收款键,$Y111,收款年度,管理年度,收款归类,"发票"),2))</f>
        <v/>
      </c>
      <c r="P111" s="40" t="str">
        <f aca="false">IF($Y111="","",ROUND(SUMIFS(收款金额,收款键,$Y111,收款年度,管理年度,收款归类,"收据"),2))</f>
        <v/>
      </c>
      <c r="Q111" s="40" t="str">
        <f aca="false">IF($Y111="","",ROUND(SUMIFS(收款金额,收款键,$Y111,收款年度,管理年度,收款归类,"现金无票"),2))</f>
        <v/>
      </c>
      <c r="R111" s="40" t="str">
        <f aca="false">IF($Y111="","",ROUND(MAX(0,MIN($T111,SUMIF(应收键,$Y111,应收开票额)-SUMIF(收款键,$Y111,收款金额))),2))</f>
        <v/>
      </c>
      <c r="S111" s="40" t="str">
        <f aca="false">IF($Y111="","",ROUND(MAX(0,$T111)-$R111,2))</f>
        <v/>
      </c>
      <c r="T111" s="48" t="str">
        <f aca="false">IF($Y111="","",ROUND(SUMIF(应收键,$Y111,应收金额)-SUMIF(收款键,$Y111,收款金额),2))</f>
        <v/>
      </c>
      <c r="U111" s="49" t="str">
        <f aca="true">IF($AA111="","",IF($T111&lt;=0.01,"",MAX(0,TODAY()-$AA111)))</f>
        <v/>
      </c>
      <c r="V111" s="50" t="str">
        <f aca="true">IF($Y111="","",IF($T111&gt;0.01,IF(AND(ISNUMBER($U111),$U111&gt;=账龄预警天),"▲欠款拖了 "&amp;TEXT($U111,"0")&amp;" 天","欠款未清"),IF($T111&lt;-0.01,"预收/多收","已结清"))&amp;IF(OR($E111="已签未回",$E111="未签",$E111="续签中")," ▲合同未回","")&amp;IF(AND(ISNUMBER($F111),$F111&lt;TODAY())," ▲合同已到期",""))</f>
        <v/>
      </c>
      <c r="W111" s="24"/>
      <c r="X111" s="35" t="str">
        <f aca="false">IF($Y111="","",IF(ROUND($H111+$I111-$N111+$Z111-$T111,2)&lt;&gt;0,"★期初＋本年－已收≠余额",IF(ROUND($R111+$S111-MAX(0,$T111),2)&lt;&gt;0,"★已开票＋未开票≠欠款",IF(ROUND($J111+$K111-$I111,2)&lt;&gt;0,"★合同款＋合同外款≠本年应收",IF(ROUND($O111+$P111+$Q111-$N111,2)&lt;&gt;0,"★发票＋收据＋现金≠本年已收","OK")))))</f>
        <v/>
      </c>
      <c r="Y111" s="35" t="str">
        <f aca="false">IF(维保合同!$C111="","",维保合同!$E111)</f>
        <v/>
      </c>
      <c r="Z111" s="40" t="str">
        <f aca="false">IF($Y111="","",ROUND(SUMIFS(应收金额,应收键,$Y111,应收年度,"&gt;"&amp;管理年度)-SUMIFS(收款金额,收款键,$Y111,收款年度,"&gt;"&amp;管理年度),2))</f>
        <v/>
      </c>
      <c r="AA111" s="47" t="str">
        <f aca="false">IF($Y111="","",IF(SUMPRODUCT(MIN(IF((应收键=$Y111)*(应收未收&gt;0.01),应收日期,999999)))&gt;=999999,"",SUMPRODUCT(MIN(IF((应收键=$Y111)*(应收未收&gt;0.01),应收日期,999999)))))</f>
        <v/>
      </c>
    </row>
    <row r="112" customFormat="false" ht="15" hidden="false" customHeight="false" outlineLevel="0" collapsed="false">
      <c r="A112" s="29" t="str">
        <f aca="false">IF($Y112="","",ROW()-4)</f>
        <v/>
      </c>
      <c r="B112" s="16" t="str">
        <f aca="false">IF($Y112="","",维保合同!$C112)</f>
        <v/>
      </c>
      <c r="C112" s="16" t="str">
        <f aca="false">IF($Y112="","",维保合同!$D112)</f>
        <v/>
      </c>
      <c r="D112" s="35" t="str">
        <f aca="false">IF($Y112="","",维保合同!$F112)</f>
        <v/>
      </c>
      <c r="E112" s="35" t="str">
        <f aca="false">IF($Y112="","",维保合同!$G112)</f>
        <v/>
      </c>
      <c r="F112" s="47" t="str">
        <f aca="false">IF($Y112="","",维保合同!$I112)</f>
        <v/>
      </c>
      <c r="G112" s="38" t="str">
        <f aca="false">IF($Y112="","",维保合同!$K112)</f>
        <v/>
      </c>
      <c r="H112" s="41" t="str">
        <f aca="false">IF($Y112="","",ROUND(SUMIFS(应收金额,应收键,$Y112,应收年度,"&lt;"&amp;管理年度)-SUMIFS(收款金额,收款键,$Y112,收款年度,"&lt;"&amp;管理年度),2))</f>
        <v/>
      </c>
      <c r="I112" s="40" t="str">
        <f aca="false">IF($Y112="","",ROUND(SUMIFS(应收金额,应收键,$Y112,应收年度,管理年度),2))</f>
        <v/>
      </c>
      <c r="J112" s="40" t="str">
        <f aca="false">IF($Y112="","",ROUND(SUMIFS(应收金额,应收键,$Y112,应收年度,管理年度,应收款别,"合同款"),2))</f>
        <v/>
      </c>
      <c r="K112" s="40" t="str">
        <f aca="false">IF($Y112="","",ROUND($I112-$J112,2))</f>
        <v/>
      </c>
      <c r="L112" s="40" t="str">
        <f aca="false">IF($Y112="","",ROUND(SUMIFS(应收开票额,应收键,$Y112,应收开票年度,管理年度),2))</f>
        <v/>
      </c>
      <c r="M112" s="40" t="str">
        <f aca="false">IF($Y112="","",ROUND($I112-$L112,2))</f>
        <v/>
      </c>
      <c r="N112" s="40" t="str">
        <f aca="false">IF($Y112="","",ROUND(SUMIFS(收款金额,收款键,$Y112,收款年度,管理年度),2))</f>
        <v/>
      </c>
      <c r="O112" s="40" t="str">
        <f aca="false">IF($Y112="","",ROUND(SUMIFS(收款金额,收款键,$Y112,收款年度,管理年度,收款归类,"发票"),2))</f>
        <v/>
      </c>
      <c r="P112" s="40" t="str">
        <f aca="false">IF($Y112="","",ROUND(SUMIFS(收款金额,收款键,$Y112,收款年度,管理年度,收款归类,"收据"),2))</f>
        <v/>
      </c>
      <c r="Q112" s="40" t="str">
        <f aca="false">IF($Y112="","",ROUND(SUMIFS(收款金额,收款键,$Y112,收款年度,管理年度,收款归类,"现金无票"),2))</f>
        <v/>
      </c>
      <c r="R112" s="40" t="str">
        <f aca="false">IF($Y112="","",ROUND(MAX(0,MIN($T112,SUMIF(应收键,$Y112,应收开票额)-SUMIF(收款键,$Y112,收款金额))),2))</f>
        <v/>
      </c>
      <c r="S112" s="40" t="str">
        <f aca="false">IF($Y112="","",ROUND(MAX(0,$T112)-$R112,2))</f>
        <v/>
      </c>
      <c r="T112" s="48" t="str">
        <f aca="false">IF($Y112="","",ROUND(SUMIF(应收键,$Y112,应收金额)-SUMIF(收款键,$Y112,收款金额),2))</f>
        <v/>
      </c>
      <c r="U112" s="49" t="str">
        <f aca="true">IF($AA112="","",IF($T112&lt;=0.01,"",MAX(0,TODAY()-$AA112)))</f>
        <v/>
      </c>
      <c r="V112" s="50" t="str">
        <f aca="true">IF($Y112="","",IF($T112&gt;0.01,IF(AND(ISNUMBER($U112),$U112&gt;=账龄预警天),"▲欠款拖了 "&amp;TEXT($U112,"0")&amp;" 天","欠款未清"),IF($T112&lt;-0.01,"预收/多收","已结清"))&amp;IF(OR($E112="已签未回",$E112="未签",$E112="续签中")," ▲合同未回","")&amp;IF(AND(ISNUMBER($F112),$F112&lt;TODAY())," ▲合同已到期",""))</f>
        <v/>
      </c>
      <c r="W112" s="24"/>
      <c r="X112" s="35" t="str">
        <f aca="false">IF($Y112="","",IF(ROUND($H112+$I112-$N112+$Z112-$T112,2)&lt;&gt;0,"★期初＋本年－已收≠余额",IF(ROUND($R112+$S112-MAX(0,$T112),2)&lt;&gt;0,"★已开票＋未开票≠欠款",IF(ROUND($J112+$K112-$I112,2)&lt;&gt;0,"★合同款＋合同外款≠本年应收",IF(ROUND($O112+$P112+$Q112-$N112,2)&lt;&gt;0,"★发票＋收据＋现金≠本年已收","OK")))))</f>
        <v/>
      </c>
      <c r="Y112" s="35" t="str">
        <f aca="false">IF(维保合同!$C112="","",维保合同!$E112)</f>
        <v/>
      </c>
      <c r="Z112" s="40" t="str">
        <f aca="false">IF($Y112="","",ROUND(SUMIFS(应收金额,应收键,$Y112,应收年度,"&gt;"&amp;管理年度)-SUMIFS(收款金额,收款键,$Y112,收款年度,"&gt;"&amp;管理年度),2))</f>
        <v/>
      </c>
      <c r="AA112" s="47" t="str">
        <f aca="false">IF($Y112="","",IF(SUMPRODUCT(MIN(IF((应收键=$Y112)*(应收未收&gt;0.01),应收日期,999999)))&gt;=999999,"",SUMPRODUCT(MIN(IF((应收键=$Y112)*(应收未收&gt;0.01),应收日期,999999)))))</f>
        <v/>
      </c>
    </row>
    <row r="113" customFormat="false" ht="15" hidden="false" customHeight="false" outlineLevel="0" collapsed="false">
      <c r="A113" s="29" t="str">
        <f aca="false">IF($Y113="","",ROW()-4)</f>
        <v/>
      </c>
      <c r="B113" s="16" t="str">
        <f aca="false">IF($Y113="","",维保合同!$C113)</f>
        <v/>
      </c>
      <c r="C113" s="16" t="str">
        <f aca="false">IF($Y113="","",维保合同!$D113)</f>
        <v/>
      </c>
      <c r="D113" s="35" t="str">
        <f aca="false">IF($Y113="","",维保合同!$F113)</f>
        <v/>
      </c>
      <c r="E113" s="35" t="str">
        <f aca="false">IF($Y113="","",维保合同!$G113)</f>
        <v/>
      </c>
      <c r="F113" s="47" t="str">
        <f aca="false">IF($Y113="","",维保合同!$I113)</f>
        <v/>
      </c>
      <c r="G113" s="38" t="str">
        <f aca="false">IF($Y113="","",维保合同!$K113)</f>
        <v/>
      </c>
      <c r="H113" s="41" t="str">
        <f aca="false">IF($Y113="","",ROUND(SUMIFS(应收金额,应收键,$Y113,应收年度,"&lt;"&amp;管理年度)-SUMIFS(收款金额,收款键,$Y113,收款年度,"&lt;"&amp;管理年度),2))</f>
        <v/>
      </c>
      <c r="I113" s="40" t="str">
        <f aca="false">IF($Y113="","",ROUND(SUMIFS(应收金额,应收键,$Y113,应收年度,管理年度),2))</f>
        <v/>
      </c>
      <c r="J113" s="40" t="str">
        <f aca="false">IF($Y113="","",ROUND(SUMIFS(应收金额,应收键,$Y113,应收年度,管理年度,应收款别,"合同款"),2))</f>
        <v/>
      </c>
      <c r="K113" s="40" t="str">
        <f aca="false">IF($Y113="","",ROUND($I113-$J113,2))</f>
        <v/>
      </c>
      <c r="L113" s="40" t="str">
        <f aca="false">IF($Y113="","",ROUND(SUMIFS(应收开票额,应收键,$Y113,应收开票年度,管理年度),2))</f>
        <v/>
      </c>
      <c r="M113" s="40" t="str">
        <f aca="false">IF($Y113="","",ROUND($I113-$L113,2))</f>
        <v/>
      </c>
      <c r="N113" s="40" t="str">
        <f aca="false">IF($Y113="","",ROUND(SUMIFS(收款金额,收款键,$Y113,收款年度,管理年度),2))</f>
        <v/>
      </c>
      <c r="O113" s="40" t="str">
        <f aca="false">IF($Y113="","",ROUND(SUMIFS(收款金额,收款键,$Y113,收款年度,管理年度,收款归类,"发票"),2))</f>
        <v/>
      </c>
      <c r="P113" s="40" t="str">
        <f aca="false">IF($Y113="","",ROUND(SUMIFS(收款金额,收款键,$Y113,收款年度,管理年度,收款归类,"收据"),2))</f>
        <v/>
      </c>
      <c r="Q113" s="40" t="str">
        <f aca="false">IF($Y113="","",ROUND(SUMIFS(收款金额,收款键,$Y113,收款年度,管理年度,收款归类,"现金无票"),2))</f>
        <v/>
      </c>
      <c r="R113" s="40" t="str">
        <f aca="false">IF($Y113="","",ROUND(MAX(0,MIN($T113,SUMIF(应收键,$Y113,应收开票额)-SUMIF(收款键,$Y113,收款金额))),2))</f>
        <v/>
      </c>
      <c r="S113" s="40" t="str">
        <f aca="false">IF($Y113="","",ROUND(MAX(0,$T113)-$R113,2))</f>
        <v/>
      </c>
      <c r="T113" s="48" t="str">
        <f aca="false">IF($Y113="","",ROUND(SUMIF(应收键,$Y113,应收金额)-SUMIF(收款键,$Y113,收款金额),2))</f>
        <v/>
      </c>
      <c r="U113" s="49" t="str">
        <f aca="true">IF($AA113="","",IF($T113&lt;=0.01,"",MAX(0,TODAY()-$AA113)))</f>
        <v/>
      </c>
      <c r="V113" s="50" t="str">
        <f aca="true">IF($Y113="","",IF($T113&gt;0.01,IF(AND(ISNUMBER($U113),$U113&gt;=账龄预警天),"▲欠款拖了 "&amp;TEXT($U113,"0")&amp;" 天","欠款未清"),IF($T113&lt;-0.01,"预收/多收","已结清"))&amp;IF(OR($E113="已签未回",$E113="未签",$E113="续签中")," ▲合同未回","")&amp;IF(AND(ISNUMBER($F113),$F113&lt;TODAY())," ▲合同已到期",""))</f>
        <v/>
      </c>
      <c r="W113" s="24"/>
      <c r="X113" s="35" t="str">
        <f aca="false">IF($Y113="","",IF(ROUND($H113+$I113-$N113+$Z113-$T113,2)&lt;&gt;0,"★期初＋本年－已收≠余额",IF(ROUND($R113+$S113-MAX(0,$T113),2)&lt;&gt;0,"★已开票＋未开票≠欠款",IF(ROUND($J113+$K113-$I113,2)&lt;&gt;0,"★合同款＋合同外款≠本年应收",IF(ROUND($O113+$P113+$Q113-$N113,2)&lt;&gt;0,"★发票＋收据＋现金≠本年已收","OK")))))</f>
        <v/>
      </c>
      <c r="Y113" s="35" t="str">
        <f aca="false">IF(维保合同!$C113="","",维保合同!$E113)</f>
        <v/>
      </c>
      <c r="Z113" s="40" t="str">
        <f aca="false">IF($Y113="","",ROUND(SUMIFS(应收金额,应收键,$Y113,应收年度,"&gt;"&amp;管理年度)-SUMIFS(收款金额,收款键,$Y113,收款年度,"&gt;"&amp;管理年度),2))</f>
        <v/>
      </c>
      <c r="AA113" s="47" t="str">
        <f aca="false">IF($Y113="","",IF(SUMPRODUCT(MIN(IF((应收键=$Y113)*(应收未收&gt;0.01),应收日期,999999)))&gt;=999999,"",SUMPRODUCT(MIN(IF((应收键=$Y113)*(应收未收&gt;0.01),应收日期,999999)))))</f>
        <v/>
      </c>
    </row>
    <row r="114" customFormat="false" ht="15" hidden="false" customHeight="false" outlineLevel="0" collapsed="false">
      <c r="A114" s="29" t="str">
        <f aca="false">IF($Y114="","",ROW()-4)</f>
        <v/>
      </c>
      <c r="B114" s="16" t="str">
        <f aca="false">IF($Y114="","",维保合同!$C114)</f>
        <v/>
      </c>
      <c r="C114" s="16" t="str">
        <f aca="false">IF($Y114="","",维保合同!$D114)</f>
        <v/>
      </c>
      <c r="D114" s="35" t="str">
        <f aca="false">IF($Y114="","",维保合同!$F114)</f>
        <v/>
      </c>
      <c r="E114" s="35" t="str">
        <f aca="false">IF($Y114="","",维保合同!$G114)</f>
        <v/>
      </c>
      <c r="F114" s="47" t="str">
        <f aca="false">IF($Y114="","",维保合同!$I114)</f>
        <v/>
      </c>
      <c r="G114" s="38" t="str">
        <f aca="false">IF($Y114="","",维保合同!$K114)</f>
        <v/>
      </c>
      <c r="H114" s="41" t="str">
        <f aca="false">IF($Y114="","",ROUND(SUMIFS(应收金额,应收键,$Y114,应收年度,"&lt;"&amp;管理年度)-SUMIFS(收款金额,收款键,$Y114,收款年度,"&lt;"&amp;管理年度),2))</f>
        <v/>
      </c>
      <c r="I114" s="40" t="str">
        <f aca="false">IF($Y114="","",ROUND(SUMIFS(应收金额,应收键,$Y114,应收年度,管理年度),2))</f>
        <v/>
      </c>
      <c r="J114" s="40" t="str">
        <f aca="false">IF($Y114="","",ROUND(SUMIFS(应收金额,应收键,$Y114,应收年度,管理年度,应收款别,"合同款"),2))</f>
        <v/>
      </c>
      <c r="K114" s="40" t="str">
        <f aca="false">IF($Y114="","",ROUND($I114-$J114,2))</f>
        <v/>
      </c>
      <c r="L114" s="40" t="str">
        <f aca="false">IF($Y114="","",ROUND(SUMIFS(应收开票额,应收键,$Y114,应收开票年度,管理年度),2))</f>
        <v/>
      </c>
      <c r="M114" s="40" t="str">
        <f aca="false">IF($Y114="","",ROUND($I114-$L114,2))</f>
        <v/>
      </c>
      <c r="N114" s="40" t="str">
        <f aca="false">IF($Y114="","",ROUND(SUMIFS(收款金额,收款键,$Y114,收款年度,管理年度),2))</f>
        <v/>
      </c>
      <c r="O114" s="40" t="str">
        <f aca="false">IF($Y114="","",ROUND(SUMIFS(收款金额,收款键,$Y114,收款年度,管理年度,收款归类,"发票"),2))</f>
        <v/>
      </c>
      <c r="P114" s="40" t="str">
        <f aca="false">IF($Y114="","",ROUND(SUMIFS(收款金额,收款键,$Y114,收款年度,管理年度,收款归类,"收据"),2))</f>
        <v/>
      </c>
      <c r="Q114" s="40" t="str">
        <f aca="false">IF($Y114="","",ROUND(SUMIFS(收款金额,收款键,$Y114,收款年度,管理年度,收款归类,"现金无票"),2))</f>
        <v/>
      </c>
      <c r="R114" s="40" t="str">
        <f aca="false">IF($Y114="","",ROUND(MAX(0,MIN($T114,SUMIF(应收键,$Y114,应收开票额)-SUMIF(收款键,$Y114,收款金额))),2))</f>
        <v/>
      </c>
      <c r="S114" s="40" t="str">
        <f aca="false">IF($Y114="","",ROUND(MAX(0,$T114)-$R114,2))</f>
        <v/>
      </c>
      <c r="T114" s="48" t="str">
        <f aca="false">IF($Y114="","",ROUND(SUMIF(应收键,$Y114,应收金额)-SUMIF(收款键,$Y114,收款金额),2))</f>
        <v/>
      </c>
      <c r="U114" s="49" t="str">
        <f aca="true">IF($AA114="","",IF($T114&lt;=0.01,"",MAX(0,TODAY()-$AA114)))</f>
        <v/>
      </c>
      <c r="V114" s="50" t="str">
        <f aca="true">IF($Y114="","",IF($T114&gt;0.01,IF(AND(ISNUMBER($U114),$U114&gt;=账龄预警天),"▲欠款拖了 "&amp;TEXT($U114,"0")&amp;" 天","欠款未清"),IF($T114&lt;-0.01,"预收/多收","已结清"))&amp;IF(OR($E114="已签未回",$E114="未签",$E114="续签中")," ▲合同未回","")&amp;IF(AND(ISNUMBER($F114),$F114&lt;TODAY())," ▲合同已到期",""))</f>
        <v/>
      </c>
      <c r="W114" s="24"/>
      <c r="X114" s="35" t="str">
        <f aca="false">IF($Y114="","",IF(ROUND($H114+$I114-$N114+$Z114-$T114,2)&lt;&gt;0,"★期初＋本年－已收≠余额",IF(ROUND($R114+$S114-MAX(0,$T114),2)&lt;&gt;0,"★已开票＋未开票≠欠款",IF(ROUND($J114+$K114-$I114,2)&lt;&gt;0,"★合同款＋合同外款≠本年应收",IF(ROUND($O114+$P114+$Q114-$N114,2)&lt;&gt;0,"★发票＋收据＋现金≠本年已收","OK")))))</f>
        <v/>
      </c>
      <c r="Y114" s="35" t="str">
        <f aca="false">IF(维保合同!$C114="","",维保合同!$E114)</f>
        <v/>
      </c>
      <c r="Z114" s="40" t="str">
        <f aca="false">IF($Y114="","",ROUND(SUMIFS(应收金额,应收键,$Y114,应收年度,"&gt;"&amp;管理年度)-SUMIFS(收款金额,收款键,$Y114,收款年度,"&gt;"&amp;管理年度),2))</f>
        <v/>
      </c>
      <c r="AA114" s="47" t="str">
        <f aca="false">IF($Y114="","",IF(SUMPRODUCT(MIN(IF((应收键=$Y114)*(应收未收&gt;0.01),应收日期,999999)))&gt;=999999,"",SUMPRODUCT(MIN(IF((应收键=$Y114)*(应收未收&gt;0.01),应收日期,999999)))))</f>
        <v/>
      </c>
    </row>
    <row r="115" customFormat="false" ht="15" hidden="false" customHeight="false" outlineLevel="0" collapsed="false">
      <c r="A115" s="29" t="str">
        <f aca="false">IF($Y115="","",ROW()-4)</f>
        <v/>
      </c>
      <c r="B115" s="16" t="str">
        <f aca="false">IF($Y115="","",维保合同!$C115)</f>
        <v/>
      </c>
      <c r="C115" s="16" t="str">
        <f aca="false">IF($Y115="","",维保合同!$D115)</f>
        <v/>
      </c>
      <c r="D115" s="35" t="str">
        <f aca="false">IF($Y115="","",维保合同!$F115)</f>
        <v/>
      </c>
      <c r="E115" s="35" t="str">
        <f aca="false">IF($Y115="","",维保合同!$G115)</f>
        <v/>
      </c>
      <c r="F115" s="47" t="str">
        <f aca="false">IF($Y115="","",维保合同!$I115)</f>
        <v/>
      </c>
      <c r="G115" s="38" t="str">
        <f aca="false">IF($Y115="","",维保合同!$K115)</f>
        <v/>
      </c>
      <c r="H115" s="41" t="str">
        <f aca="false">IF($Y115="","",ROUND(SUMIFS(应收金额,应收键,$Y115,应收年度,"&lt;"&amp;管理年度)-SUMIFS(收款金额,收款键,$Y115,收款年度,"&lt;"&amp;管理年度),2))</f>
        <v/>
      </c>
      <c r="I115" s="40" t="str">
        <f aca="false">IF($Y115="","",ROUND(SUMIFS(应收金额,应收键,$Y115,应收年度,管理年度),2))</f>
        <v/>
      </c>
      <c r="J115" s="40" t="str">
        <f aca="false">IF($Y115="","",ROUND(SUMIFS(应收金额,应收键,$Y115,应收年度,管理年度,应收款别,"合同款"),2))</f>
        <v/>
      </c>
      <c r="K115" s="40" t="str">
        <f aca="false">IF($Y115="","",ROUND($I115-$J115,2))</f>
        <v/>
      </c>
      <c r="L115" s="40" t="str">
        <f aca="false">IF($Y115="","",ROUND(SUMIFS(应收开票额,应收键,$Y115,应收开票年度,管理年度),2))</f>
        <v/>
      </c>
      <c r="M115" s="40" t="str">
        <f aca="false">IF($Y115="","",ROUND($I115-$L115,2))</f>
        <v/>
      </c>
      <c r="N115" s="40" t="str">
        <f aca="false">IF($Y115="","",ROUND(SUMIFS(收款金额,收款键,$Y115,收款年度,管理年度),2))</f>
        <v/>
      </c>
      <c r="O115" s="40" t="str">
        <f aca="false">IF($Y115="","",ROUND(SUMIFS(收款金额,收款键,$Y115,收款年度,管理年度,收款归类,"发票"),2))</f>
        <v/>
      </c>
      <c r="P115" s="40" t="str">
        <f aca="false">IF($Y115="","",ROUND(SUMIFS(收款金额,收款键,$Y115,收款年度,管理年度,收款归类,"收据"),2))</f>
        <v/>
      </c>
      <c r="Q115" s="40" t="str">
        <f aca="false">IF($Y115="","",ROUND(SUMIFS(收款金额,收款键,$Y115,收款年度,管理年度,收款归类,"现金无票"),2))</f>
        <v/>
      </c>
      <c r="R115" s="40" t="str">
        <f aca="false">IF($Y115="","",ROUND(MAX(0,MIN($T115,SUMIF(应收键,$Y115,应收开票额)-SUMIF(收款键,$Y115,收款金额))),2))</f>
        <v/>
      </c>
      <c r="S115" s="40" t="str">
        <f aca="false">IF($Y115="","",ROUND(MAX(0,$T115)-$R115,2))</f>
        <v/>
      </c>
      <c r="T115" s="48" t="str">
        <f aca="false">IF($Y115="","",ROUND(SUMIF(应收键,$Y115,应收金额)-SUMIF(收款键,$Y115,收款金额),2))</f>
        <v/>
      </c>
      <c r="U115" s="49" t="str">
        <f aca="true">IF($AA115="","",IF($T115&lt;=0.01,"",MAX(0,TODAY()-$AA115)))</f>
        <v/>
      </c>
      <c r="V115" s="50" t="str">
        <f aca="true">IF($Y115="","",IF($T115&gt;0.01,IF(AND(ISNUMBER($U115),$U115&gt;=账龄预警天),"▲欠款拖了 "&amp;TEXT($U115,"0")&amp;" 天","欠款未清"),IF($T115&lt;-0.01,"预收/多收","已结清"))&amp;IF(OR($E115="已签未回",$E115="未签",$E115="续签中")," ▲合同未回","")&amp;IF(AND(ISNUMBER($F115),$F115&lt;TODAY())," ▲合同已到期",""))</f>
        <v/>
      </c>
      <c r="W115" s="24"/>
      <c r="X115" s="35" t="str">
        <f aca="false">IF($Y115="","",IF(ROUND($H115+$I115-$N115+$Z115-$T115,2)&lt;&gt;0,"★期初＋本年－已收≠余额",IF(ROUND($R115+$S115-MAX(0,$T115),2)&lt;&gt;0,"★已开票＋未开票≠欠款",IF(ROUND($J115+$K115-$I115,2)&lt;&gt;0,"★合同款＋合同外款≠本年应收",IF(ROUND($O115+$P115+$Q115-$N115,2)&lt;&gt;0,"★发票＋收据＋现金≠本年已收","OK")))))</f>
        <v/>
      </c>
      <c r="Y115" s="35" t="str">
        <f aca="false">IF(维保合同!$C115="","",维保合同!$E115)</f>
        <v/>
      </c>
      <c r="Z115" s="40" t="str">
        <f aca="false">IF($Y115="","",ROUND(SUMIFS(应收金额,应收键,$Y115,应收年度,"&gt;"&amp;管理年度)-SUMIFS(收款金额,收款键,$Y115,收款年度,"&gt;"&amp;管理年度),2))</f>
        <v/>
      </c>
      <c r="AA115" s="47" t="str">
        <f aca="false">IF($Y115="","",IF(SUMPRODUCT(MIN(IF((应收键=$Y115)*(应收未收&gt;0.01),应收日期,999999)))&gt;=999999,"",SUMPRODUCT(MIN(IF((应收键=$Y115)*(应收未收&gt;0.01),应收日期,999999)))))</f>
        <v/>
      </c>
    </row>
    <row r="116" customFormat="false" ht="15" hidden="false" customHeight="false" outlineLevel="0" collapsed="false">
      <c r="A116" s="29" t="str">
        <f aca="false">IF($Y116="","",ROW()-4)</f>
        <v/>
      </c>
      <c r="B116" s="16" t="str">
        <f aca="false">IF($Y116="","",维保合同!$C116)</f>
        <v/>
      </c>
      <c r="C116" s="16" t="str">
        <f aca="false">IF($Y116="","",维保合同!$D116)</f>
        <v/>
      </c>
      <c r="D116" s="35" t="str">
        <f aca="false">IF($Y116="","",维保合同!$F116)</f>
        <v/>
      </c>
      <c r="E116" s="35" t="str">
        <f aca="false">IF($Y116="","",维保合同!$G116)</f>
        <v/>
      </c>
      <c r="F116" s="47" t="str">
        <f aca="false">IF($Y116="","",维保合同!$I116)</f>
        <v/>
      </c>
      <c r="G116" s="38" t="str">
        <f aca="false">IF($Y116="","",维保合同!$K116)</f>
        <v/>
      </c>
      <c r="H116" s="41" t="str">
        <f aca="false">IF($Y116="","",ROUND(SUMIFS(应收金额,应收键,$Y116,应收年度,"&lt;"&amp;管理年度)-SUMIFS(收款金额,收款键,$Y116,收款年度,"&lt;"&amp;管理年度),2))</f>
        <v/>
      </c>
      <c r="I116" s="40" t="str">
        <f aca="false">IF($Y116="","",ROUND(SUMIFS(应收金额,应收键,$Y116,应收年度,管理年度),2))</f>
        <v/>
      </c>
      <c r="J116" s="40" t="str">
        <f aca="false">IF($Y116="","",ROUND(SUMIFS(应收金额,应收键,$Y116,应收年度,管理年度,应收款别,"合同款"),2))</f>
        <v/>
      </c>
      <c r="K116" s="40" t="str">
        <f aca="false">IF($Y116="","",ROUND($I116-$J116,2))</f>
        <v/>
      </c>
      <c r="L116" s="40" t="str">
        <f aca="false">IF($Y116="","",ROUND(SUMIFS(应收开票额,应收键,$Y116,应收开票年度,管理年度),2))</f>
        <v/>
      </c>
      <c r="M116" s="40" t="str">
        <f aca="false">IF($Y116="","",ROUND($I116-$L116,2))</f>
        <v/>
      </c>
      <c r="N116" s="40" t="str">
        <f aca="false">IF($Y116="","",ROUND(SUMIFS(收款金额,收款键,$Y116,收款年度,管理年度),2))</f>
        <v/>
      </c>
      <c r="O116" s="40" t="str">
        <f aca="false">IF($Y116="","",ROUND(SUMIFS(收款金额,收款键,$Y116,收款年度,管理年度,收款归类,"发票"),2))</f>
        <v/>
      </c>
      <c r="P116" s="40" t="str">
        <f aca="false">IF($Y116="","",ROUND(SUMIFS(收款金额,收款键,$Y116,收款年度,管理年度,收款归类,"收据"),2))</f>
        <v/>
      </c>
      <c r="Q116" s="40" t="str">
        <f aca="false">IF($Y116="","",ROUND(SUMIFS(收款金额,收款键,$Y116,收款年度,管理年度,收款归类,"现金无票"),2))</f>
        <v/>
      </c>
      <c r="R116" s="40" t="str">
        <f aca="false">IF($Y116="","",ROUND(MAX(0,MIN($T116,SUMIF(应收键,$Y116,应收开票额)-SUMIF(收款键,$Y116,收款金额))),2))</f>
        <v/>
      </c>
      <c r="S116" s="40" t="str">
        <f aca="false">IF($Y116="","",ROUND(MAX(0,$T116)-$R116,2))</f>
        <v/>
      </c>
      <c r="T116" s="48" t="str">
        <f aca="false">IF($Y116="","",ROUND(SUMIF(应收键,$Y116,应收金额)-SUMIF(收款键,$Y116,收款金额),2))</f>
        <v/>
      </c>
      <c r="U116" s="49" t="str">
        <f aca="true">IF($AA116="","",IF($T116&lt;=0.01,"",MAX(0,TODAY()-$AA116)))</f>
        <v/>
      </c>
      <c r="V116" s="50" t="str">
        <f aca="true">IF($Y116="","",IF($T116&gt;0.01,IF(AND(ISNUMBER($U116),$U116&gt;=账龄预警天),"▲欠款拖了 "&amp;TEXT($U116,"0")&amp;" 天","欠款未清"),IF($T116&lt;-0.01,"预收/多收","已结清"))&amp;IF(OR($E116="已签未回",$E116="未签",$E116="续签中")," ▲合同未回","")&amp;IF(AND(ISNUMBER($F116),$F116&lt;TODAY())," ▲合同已到期",""))</f>
        <v/>
      </c>
      <c r="W116" s="24"/>
      <c r="X116" s="35" t="str">
        <f aca="false">IF($Y116="","",IF(ROUND($H116+$I116-$N116+$Z116-$T116,2)&lt;&gt;0,"★期初＋本年－已收≠余额",IF(ROUND($R116+$S116-MAX(0,$T116),2)&lt;&gt;0,"★已开票＋未开票≠欠款",IF(ROUND($J116+$K116-$I116,2)&lt;&gt;0,"★合同款＋合同外款≠本年应收",IF(ROUND($O116+$P116+$Q116-$N116,2)&lt;&gt;0,"★发票＋收据＋现金≠本年已收","OK")))))</f>
        <v/>
      </c>
      <c r="Y116" s="35" t="str">
        <f aca="false">IF(维保合同!$C116="","",维保合同!$E116)</f>
        <v/>
      </c>
      <c r="Z116" s="40" t="str">
        <f aca="false">IF($Y116="","",ROUND(SUMIFS(应收金额,应收键,$Y116,应收年度,"&gt;"&amp;管理年度)-SUMIFS(收款金额,收款键,$Y116,收款年度,"&gt;"&amp;管理年度),2))</f>
        <v/>
      </c>
      <c r="AA116" s="47" t="str">
        <f aca="false">IF($Y116="","",IF(SUMPRODUCT(MIN(IF((应收键=$Y116)*(应收未收&gt;0.01),应收日期,999999)))&gt;=999999,"",SUMPRODUCT(MIN(IF((应收键=$Y116)*(应收未收&gt;0.01),应收日期,999999)))))</f>
        <v/>
      </c>
    </row>
    <row r="117" customFormat="false" ht="15" hidden="false" customHeight="false" outlineLevel="0" collapsed="false">
      <c r="A117" s="29" t="str">
        <f aca="false">IF($Y117="","",ROW()-4)</f>
        <v/>
      </c>
      <c r="B117" s="16" t="str">
        <f aca="false">IF($Y117="","",维保合同!$C117)</f>
        <v/>
      </c>
      <c r="C117" s="16" t="str">
        <f aca="false">IF($Y117="","",维保合同!$D117)</f>
        <v/>
      </c>
      <c r="D117" s="35" t="str">
        <f aca="false">IF($Y117="","",维保合同!$F117)</f>
        <v/>
      </c>
      <c r="E117" s="35" t="str">
        <f aca="false">IF($Y117="","",维保合同!$G117)</f>
        <v/>
      </c>
      <c r="F117" s="47" t="str">
        <f aca="false">IF($Y117="","",维保合同!$I117)</f>
        <v/>
      </c>
      <c r="G117" s="38" t="str">
        <f aca="false">IF($Y117="","",维保合同!$K117)</f>
        <v/>
      </c>
      <c r="H117" s="41" t="str">
        <f aca="false">IF($Y117="","",ROUND(SUMIFS(应收金额,应收键,$Y117,应收年度,"&lt;"&amp;管理年度)-SUMIFS(收款金额,收款键,$Y117,收款年度,"&lt;"&amp;管理年度),2))</f>
        <v/>
      </c>
      <c r="I117" s="40" t="str">
        <f aca="false">IF($Y117="","",ROUND(SUMIFS(应收金额,应收键,$Y117,应收年度,管理年度),2))</f>
        <v/>
      </c>
      <c r="J117" s="40" t="str">
        <f aca="false">IF($Y117="","",ROUND(SUMIFS(应收金额,应收键,$Y117,应收年度,管理年度,应收款别,"合同款"),2))</f>
        <v/>
      </c>
      <c r="K117" s="40" t="str">
        <f aca="false">IF($Y117="","",ROUND($I117-$J117,2))</f>
        <v/>
      </c>
      <c r="L117" s="40" t="str">
        <f aca="false">IF($Y117="","",ROUND(SUMIFS(应收开票额,应收键,$Y117,应收开票年度,管理年度),2))</f>
        <v/>
      </c>
      <c r="M117" s="40" t="str">
        <f aca="false">IF($Y117="","",ROUND($I117-$L117,2))</f>
        <v/>
      </c>
      <c r="N117" s="40" t="str">
        <f aca="false">IF($Y117="","",ROUND(SUMIFS(收款金额,收款键,$Y117,收款年度,管理年度),2))</f>
        <v/>
      </c>
      <c r="O117" s="40" t="str">
        <f aca="false">IF($Y117="","",ROUND(SUMIFS(收款金额,收款键,$Y117,收款年度,管理年度,收款归类,"发票"),2))</f>
        <v/>
      </c>
      <c r="P117" s="40" t="str">
        <f aca="false">IF($Y117="","",ROUND(SUMIFS(收款金额,收款键,$Y117,收款年度,管理年度,收款归类,"收据"),2))</f>
        <v/>
      </c>
      <c r="Q117" s="40" t="str">
        <f aca="false">IF($Y117="","",ROUND(SUMIFS(收款金额,收款键,$Y117,收款年度,管理年度,收款归类,"现金无票"),2))</f>
        <v/>
      </c>
      <c r="R117" s="40" t="str">
        <f aca="false">IF($Y117="","",ROUND(MAX(0,MIN($T117,SUMIF(应收键,$Y117,应收开票额)-SUMIF(收款键,$Y117,收款金额))),2))</f>
        <v/>
      </c>
      <c r="S117" s="40" t="str">
        <f aca="false">IF($Y117="","",ROUND(MAX(0,$T117)-$R117,2))</f>
        <v/>
      </c>
      <c r="T117" s="48" t="str">
        <f aca="false">IF($Y117="","",ROUND(SUMIF(应收键,$Y117,应收金额)-SUMIF(收款键,$Y117,收款金额),2))</f>
        <v/>
      </c>
      <c r="U117" s="49" t="str">
        <f aca="true">IF($AA117="","",IF($T117&lt;=0.01,"",MAX(0,TODAY()-$AA117)))</f>
        <v/>
      </c>
      <c r="V117" s="50" t="str">
        <f aca="true">IF($Y117="","",IF($T117&gt;0.01,IF(AND(ISNUMBER($U117),$U117&gt;=账龄预警天),"▲欠款拖了 "&amp;TEXT($U117,"0")&amp;" 天","欠款未清"),IF($T117&lt;-0.01,"预收/多收","已结清"))&amp;IF(OR($E117="已签未回",$E117="未签",$E117="续签中")," ▲合同未回","")&amp;IF(AND(ISNUMBER($F117),$F117&lt;TODAY())," ▲合同已到期",""))</f>
        <v/>
      </c>
      <c r="W117" s="24"/>
      <c r="X117" s="35" t="str">
        <f aca="false">IF($Y117="","",IF(ROUND($H117+$I117-$N117+$Z117-$T117,2)&lt;&gt;0,"★期初＋本年－已收≠余额",IF(ROUND($R117+$S117-MAX(0,$T117),2)&lt;&gt;0,"★已开票＋未开票≠欠款",IF(ROUND($J117+$K117-$I117,2)&lt;&gt;0,"★合同款＋合同外款≠本年应收",IF(ROUND($O117+$P117+$Q117-$N117,2)&lt;&gt;0,"★发票＋收据＋现金≠本年已收","OK")))))</f>
        <v/>
      </c>
      <c r="Y117" s="35" t="str">
        <f aca="false">IF(维保合同!$C117="","",维保合同!$E117)</f>
        <v/>
      </c>
      <c r="Z117" s="40" t="str">
        <f aca="false">IF($Y117="","",ROUND(SUMIFS(应收金额,应收键,$Y117,应收年度,"&gt;"&amp;管理年度)-SUMIFS(收款金额,收款键,$Y117,收款年度,"&gt;"&amp;管理年度),2))</f>
        <v/>
      </c>
      <c r="AA117" s="47" t="str">
        <f aca="false">IF($Y117="","",IF(SUMPRODUCT(MIN(IF((应收键=$Y117)*(应收未收&gt;0.01),应收日期,999999)))&gt;=999999,"",SUMPRODUCT(MIN(IF((应收键=$Y117)*(应收未收&gt;0.01),应收日期,999999)))))</f>
        <v/>
      </c>
    </row>
    <row r="118" customFormat="false" ht="15" hidden="false" customHeight="false" outlineLevel="0" collapsed="false">
      <c r="A118" s="29" t="str">
        <f aca="false">IF($Y118="","",ROW()-4)</f>
        <v/>
      </c>
      <c r="B118" s="16" t="str">
        <f aca="false">IF($Y118="","",维保合同!$C118)</f>
        <v/>
      </c>
      <c r="C118" s="16" t="str">
        <f aca="false">IF($Y118="","",维保合同!$D118)</f>
        <v/>
      </c>
      <c r="D118" s="35" t="str">
        <f aca="false">IF($Y118="","",维保合同!$F118)</f>
        <v/>
      </c>
      <c r="E118" s="35" t="str">
        <f aca="false">IF($Y118="","",维保合同!$G118)</f>
        <v/>
      </c>
      <c r="F118" s="47" t="str">
        <f aca="false">IF($Y118="","",维保合同!$I118)</f>
        <v/>
      </c>
      <c r="G118" s="38" t="str">
        <f aca="false">IF($Y118="","",维保合同!$K118)</f>
        <v/>
      </c>
      <c r="H118" s="41" t="str">
        <f aca="false">IF($Y118="","",ROUND(SUMIFS(应收金额,应收键,$Y118,应收年度,"&lt;"&amp;管理年度)-SUMIFS(收款金额,收款键,$Y118,收款年度,"&lt;"&amp;管理年度),2))</f>
        <v/>
      </c>
      <c r="I118" s="40" t="str">
        <f aca="false">IF($Y118="","",ROUND(SUMIFS(应收金额,应收键,$Y118,应收年度,管理年度),2))</f>
        <v/>
      </c>
      <c r="J118" s="40" t="str">
        <f aca="false">IF($Y118="","",ROUND(SUMIFS(应收金额,应收键,$Y118,应收年度,管理年度,应收款别,"合同款"),2))</f>
        <v/>
      </c>
      <c r="K118" s="40" t="str">
        <f aca="false">IF($Y118="","",ROUND($I118-$J118,2))</f>
        <v/>
      </c>
      <c r="L118" s="40" t="str">
        <f aca="false">IF($Y118="","",ROUND(SUMIFS(应收开票额,应收键,$Y118,应收开票年度,管理年度),2))</f>
        <v/>
      </c>
      <c r="M118" s="40" t="str">
        <f aca="false">IF($Y118="","",ROUND($I118-$L118,2))</f>
        <v/>
      </c>
      <c r="N118" s="40" t="str">
        <f aca="false">IF($Y118="","",ROUND(SUMIFS(收款金额,收款键,$Y118,收款年度,管理年度),2))</f>
        <v/>
      </c>
      <c r="O118" s="40" t="str">
        <f aca="false">IF($Y118="","",ROUND(SUMIFS(收款金额,收款键,$Y118,收款年度,管理年度,收款归类,"发票"),2))</f>
        <v/>
      </c>
      <c r="P118" s="40" t="str">
        <f aca="false">IF($Y118="","",ROUND(SUMIFS(收款金额,收款键,$Y118,收款年度,管理年度,收款归类,"收据"),2))</f>
        <v/>
      </c>
      <c r="Q118" s="40" t="str">
        <f aca="false">IF($Y118="","",ROUND(SUMIFS(收款金额,收款键,$Y118,收款年度,管理年度,收款归类,"现金无票"),2))</f>
        <v/>
      </c>
      <c r="R118" s="40" t="str">
        <f aca="false">IF($Y118="","",ROUND(MAX(0,MIN($T118,SUMIF(应收键,$Y118,应收开票额)-SUMIF(收款键,$Y118,收款金额))),2))</f>
        <v/>
      </c>
      <c r="S118" s="40" t="str">
        <f aca="false">IF($Y118="","",ROUND(MAX(0,$T118)-$R118,2))</f>
        <v/>
      </c>
      <c r="T118" s="48" t="str">
        <f aca="false">IF($Y118="","",ROUND(SUMIF(应收键,$Y118,应收金额)-SUMIF(收款键,$Y118,收款金额),2))</f>
        <v/>
      </c>
      <c r="U118" s="49" t="str">
        <f aca="true">IF($AA118="","",IF($T118&lt;=0.01,"",MAX(0,TODAY()-$AA118)))</f>
        <v/>
      </c>
      <c r="V118" s="50" t="str">
        <f aca="true">IF($Y118="","",IF($T118&gt;0.01,IF(AND(ISNUMBER($U118),$U118&gt;=账龄预警天),"▲欠款拖了 "&amp;TEXT($U118,"0")&amp;" 天","欠款未清"),IF($T118&lt;-0.01,"预收/多收","已结清"))&amp;IF(OR($E118="已签未回",$E118="未签",$E118="续签中")," ▲合同未回","")&amp;IF(AND(ISNUMBER($F118),$F118&lt;TODAY())," ▲合同已到期",""))</f>
        <v/>
      </c>
      <c r="W118" s="24"/>
      <c r="X118" s="35" t="str">
        <f aca="false">IF($Y118="","",IF(ROUND($H118+$I118-$N118+$Z118-$T118,2)&lt;&gt;0,"★期初＋本年－已收≠余额",IF(ROUND($R118+$S118-MAX(0,$T118),2)&lt;&gt;0,"★已开票＋未开票≠欠款",IF(ROUND($J118+$K118-$I118,2)&lt;&gt;0,"★合同款＋合同外款≠本年应收",IF(ROUND($O118+$P118+$Q118-$N118,2)&lt;&gt;0,"★发票＋收据＋现金≠本年已收","OK")))))</f>
        <v/>
      </c>
      <c r="Y118" s="35" t="str">
        <f aca="false">IF(维保合同!$C118="","",维保合同!$E118)</f>
        <v/>
      </c>
      <c r="Z118" s="40" t="str">
        <f aca="false">IF($Y118="","",ROUND(SUMIFS(应收金额,应收键,$Y118,应收年度,"&gt;"&amp;管理年度)-SUMIFS(收款金额,收款键,$Y118,收款年度,"&gt;"&amp;管理年度),2))</f>
        <v/>
      </c>
      <c r="AA118" s="47" t="str">
        <f aca="false">IF($Y118="","",IF(SUMPRODUCT(MIN(IF((应收键=$Y118)*(应收未收&gt;0.01),应收日期,999999)))&gt;=999999,"",SUMPRODUCT(MIN(IF((应收键=$Y118)*(应收未收&gt;0.01),应收日期,999999)))))</f>
        <v/>
      </c>
    </row>
    <row r="119" customFormat="false" ht="15" hidden="false" customHeight="false" outlineLevel="0" collapsed="false">
      <c r="A119" s="29" t="str">
        <f aca="false">IF($Y119="","",ROW()-4)</f>
        <v/>
      </c>
      <c r="B119" s="16" t="str">
        <f aca="false">IF($Y119="","",维保合同!$C119)</f>
        <v/>
      </c>
      <c r="C119" s="16" t="str">
        <f aca="false">IF($Y119="","",维保合同!$D119)</f>
        <v/>
      </c>
      <c r="D119" s="35" t="str">
        <f aca="false">IF($Y119="","",维保合同!$F119)</f>
        <v/>
      </c>
      <c r="E119" s="35" t="str">
        <f aca="false">IF($Y119="","",维保合同!$G119)</f>
        <v/>
      </c>
      <c r="F119" s="47" t="str">
        <f aca="false">IF($Y119="","",维保合同!$I119)</f>
        <v/>
      </c>
      <c r="G119" s="38" t="str">
        <f aca="false">IF($Y119="","",维保合同!$K119)</f>
        <v/>
      </c>
      <c r="H119" s="41" t="str">
        <f aca="false">IF($Y119="","",ROUND(SUMIFS(应收金额,应收键,$Y119,应收年度,"&lt;"&amp;管理年度)-SUMIFS(收款金额,收款键,$Y119,收款年度,"&lt;"&amp;管理年度),2))</f>
        <v/>
      </c>
      <c r="I119" s="40" t="str">
        <f aca="false">IF($Y119="","",ROUND(SUMIFS(应收金额,应收键,$Y119,应收年度,管理年度),2))</f>
        <v/>
      </c>
      <c r="J119" s="40" t="str">
        <f aca="false">IF($Y119="","",ROUND(SUMIFS(应收金额,应收键,$Y119,应收年度,管理年度,应收款别,"合同款"),2))</f>
        <v/>
      </c>
      <c r="K119" s="40" t="str">
        <f aca="false">IF($Y119="","",ROUND($I119-$J119,2))</f>
        <v/>
      </c>
      <c r="L119" s="40" t="str">
        <f aca="false">IF($Y119="","",ROUND(SUMIFS(应收开票额,应收键,$Y119,应收开票年度,管理年度),2))</f>
        <v/>
      </c>
      <c r="M119" s="40" t="str">
        <f aca="false">IF($Y119="","",ROUND($I119-$L119,2))</f>
        <v/>
      </c>
      <c r="N119" s="40" t="str">
        <f aca="false">IF($Y119="","",ROUND(SUMIFS(收款金额,收款键,$Y119,收款年度,管理年度),2))</f>
        <v/>
      </c>
      <c r="O119" s="40" t="str">
        <f aca="false">IF($Y119="","",ROUND(SUMIFS(收款金额,收款键,$Y119,收款年度,管理年度,收款归类,"发票"),2))</f>
        <v/>
      </c>
      <c r="P119" s="40" t="str">
        <f aca="false">IF($Y119="","",ROUND(SUMIFS(收款金额,收款键,$Y119,收款年度,管理年度,收款归类,"收据"),2))</f>
        <v/>
      </c>
      <c r="Q119" s="40" t="str">
        <f aca="false">IF($Y119="","",ROUND(SUMIFS(收款金额,收款键,$Y119,收款年度,管理年度,收款归类,"现金无票"),2))</f>
        <v/>
      </c>
      <c r="R119" s="40" t="str">
        <f aca="false">IF($Y119="","",ROUND(MAX(0,MIN($T119,SUMIF(应收键,$Y119,应收开票额)-SUMIF(收款键,$Y119,收款金额))),2))</f>
        <v/>
      </c>
      <c r="S119" s="40" t="str">
        <f aca="false">IF($Y119="","",ROUND(MAX(0,$T119)-$R119,2))</f>
        <v/>
      </c>
      <c r="T119" s="48" t="str">
        <f aca="false">IF($Y119="","",ROUND(SUMIF(应收键,$Y119,应收金额)-SUMIF(收款键,$Y119,收款金额),2))</f>
        <v/>
      </c>
      <c r="U119" s="49" t="str">
        <f aca="true">IF($AA119="","",IF($T119&lt;=0.01,"",MAX(0,TODAY()-$AA119)))</f>
        <v/>
      </c>
      <c r="V119" s="50" t="str">
        <f aca="true">IF($Y119="","",IF($T119&gt;0.01,IF(AND(ISNUMBER($U119),$U119&gt;=账龄预警天),"▲欠款拖了 "&amp;TEXT($U119,"0")&amp;" 天","欠款未清"),IF($T119&lt;-0.01,"预收/多收","已结清"))&amp;IF(OR($E119="已签未回",$E119="未签",$E119="续签中")," ▲合同未回","")&amp;IF(AND(ISNUMBER($F119),$F119&lt;TODAY())," ▲合同已到期",""))</f>
        <v/>
      </c>
      <c r="W119" s="24"/>
      <c r="X119" s="35" t="str">
        <f aca="false">IF($Y119="","",IF(ROUND($H119+$I119-$N119+$Z119-$T119,2)&lt;&gt;0,"★期初＋本年－已收≠余额",IF(ROUND($R119+$S119-MAX(0,$T119),2)&lt;&gt;0,"★已开票＋未开票≠欠款",IF(ROUND($J119+$K119-$I119,2)&lt;&gt;0,"★合同款＋合同外款≠本年应收",IF(ROUND($O119+$P119+$Q119-$N119,2)&lt;&gt;0,"★发票＋收据＋现金≠本年已收","OK")))))</f>
        <v/>
      </c>
      <c r="Y119" s="35" t="str">
        <f aca="false">IF(维保合同!$C119="","",维保合同!$E119)</f>
        <v/>
      </c>
      <c r="Z119" s="40" t="str">
        <f aca="false">IF($Y119="","",ROUND(SUMIFS(应收金额,应收键,$Y119,应收年度,"&gt;"&amp;管理年度)-SUMIFS(收款金额,收款键,$Y119,收款年度,"&gt;"&amp;管理年度),2))</f>
        <v/>
      </c>
      <c r="AA119" s="47" t="str">
        <f aca="false">IF($Y119="","",IF(SUMPRODUCT(MIN(IF((应收键=$Y119)*(应收未收&gt;0.01),应收日期,999999)))&gt;=999999,"",SUMPRODUCT(MIN(IF((应收键=$Y119)*(应收未收&gt;0.01),应收日期,999999)))))</f>
        <v/>
      </c>
    </row>
    <row r="120" customFormat="false" ht="15" hidden="false" customHeight="false" outlineLevel="0" collapsed="false">
      <c r="A120" s="29" t="str">
        <f aca="false">IF($Y120="","",ROW()-4)</f>
        <v/>
      </c>
      <c r="B120" s="16" t="str">
        <f aca="false">IF($Y120="","",维保合同!$C120)</f>
        <v/>
      </c>
      <c r="C120" s="16" t="str">
        <f aca="false">IF($Y120="","",维保合同!$D120)</f>
        <v/>
      </c>
      <c r="D120" s="35" t="str">
        <f aca="false">IF($Y120="","",维保合同!$F120)</f>
        <v/>
      </c>
      <c r="E120" s="35" t="str">
        <f aca="false">IF($Y120="","",维保合同!$G120)</f>
        <v/>
      </c>
      <c r="F120" s="47" t="str">
        <f aca="false">IF($Y120="","",维保合同!$I120)</f>
        <v/>
      </c>
      <c r="G120" s="38" t="str">
        <f aca="false">IF($Y120="","",维保合同!$K120)</f>
        <v/>
      </c>
      <c r="H120" s="41" t="str">
        <f aca="false">IF($Y120="","",ROUND(SUMIFS(应收金额,应收键,$Y120,应收年度,"&lt;"&amp;管理年度)-SUMIFS(收款金额,收款键,$Y120,收款年度,"&lt;"&amp;管理年度),2))</f>
        <v/>
      </c>
      <c r="I120" s="40" t="str">
        <f aca="false">IF($Y120="","",ROUND(SUMIFS(应收金额,应收键,$Y120,应收年度,管理年度),2))</f>
        <v/>
      </c>
      <c r="J120" s="40" t="str">
        <f aca="false">IF($Y120="","",ROUND(SUMIFS(应收金额,应收键,$Y120,应收年度,管理年度,应收款别,"合同款"),2))</f>
        <v/>
      </c>
      <c r="K120" s="40" t="str">
        <f aca="false">IF($Y120="","",ROUND($I120-$J120,2))</f>
        <v/>
      </c>
      <c r="L120" s="40" t="str">
        <f aca="false">IF($Y120="","",ROUND(SUMIFS(应收开票额,应收键,$Y120,应收开票年度,管理年度),2))</f>
        <v/>
      </c>
      <c r="M120" s="40" t="str">
        <f aca="false">IF($Y120="","",ROUND($I120-$L120,2))</f>
        <v/>
      </c>
      <c r="N120" s="40" t="str">
        <f aca="false">IF($Y120="","",ROUND(SUMIFS(收款金额,收款键,$Y120,收款年度,管理年度),2))</f>
        <v/>
      </c>
      <c r="O120" s="40" t="str">
        <f aca="false">IF($Y120="","",ROUND(SUMIFS(收款金额,收款键,$Y120,收款年度,管理年度,收款归类,"发票"),2))</f>
        <v/>
      </c>
      <c r="P120" s="40" t="str">
        <f aca="false">IF($Y120="","",ROUND(SUMIFS(收款金额,收款键,$Y120,收款年度,管理年度,收款归类,"收据"),2))</f>
        <v/>
      </c>
      <c r="Q120" s="40" t="str">
        <f aca="false">IF($Y120="","",ROUND(SUMIFS(收款金额,收款键,$Y120,收款年度,管理年度,收款归类,"现金无票"),2))</f>
        <v/>
      </c>
      <c r="R120" s="40" t="str">
        <f aca="false">IF($Y120="","",ROUND(MAX(0,MIN($T120,SUMIF(应收键,$Y120,应收开票额)-SUMIF(收款键,$Y120,收款金额))),2))</f>
        <v/>
      </c>
      <c r="S120" s="40" t="str">
        <f aca="false">IF($Y120="","",ROUND(MAX(0,$T120)-$R120,2))</f>
        <v/>
      </c>
      <c r="T120" s="48" t="str">
        <f aca="false">IF($Y120="","",ROUND(SUMIF(应收键,$Y120,应收金额)-SUMIF(收款键,$Y120,收款金额),2))</f>
        <v/>
      </c>
      <c r="U120" s="49" t="str">
        <f aca="true">IF($AA120="","",IF($T120&lt;=0.01,"",MAX(0,TODAY()-$AA120)))</f>
        <v/>
      </c>
      <c r="V120" s="50" t="str">
        <f aca="true">IF($Y120="","",IF($T120&gt;0.01,IF(AND(ISNUMBER($U120),$U120&gt;=账龄预警天),"▲欠款拖了 "&amp;TEXT($U120,"0")&amp;" 天","欠款未清"),IF($T120&lt;-0.01,"预收/多收","已结清"))&amp;IF(OR($E120="已签未回",$E120="未签",$E120="续签中")," ▲合同未回","")&amp;IF(AND(ISNUMBER($F120),$F120&lt;TODAY())," ▲合同已到期",""))</f>
        <v/>
      </c>
      <c r="W120" s="24"/>
      <c r="X120" s="35" t="str">
        <f aca="false">IF($Y120="","",IF(ROUND($H120+$I120-$N120+$Z120-$T120,2)&lt;&gt;0,"★期初＋本年－已收≠余额",IF(ROUND($R120+$S120-MAX(0,$T120),2)&lt;&gt;0,"★已开票＋未开票≠欠款",IF(ROUND($J120+$K120-$I120,2)&lt;&gt;0,"★合同款＋合同外款≠本年应收",IF(ROUND($O120+$P120+$Q120-$N120,2)&lt;&gt;0,"★发票＋收据＋现金≠本年已收","OK")))))</f>
        <v/>
      </c>
      <c r="Y120" s="35" t="str">
        <f aca="false">IF(维保合同!$C120="","",维保合同!$E120)</f>
        <v/>
      </c>
      <c r="Z120" s="40" t="str">
        <f aca="false">IF($Y120="","",ROUND(SUMIFS(应收金额,应收键,$Y120,应收年度,"&gt;"&amp;管理年度)-SUMIFS(收款金额,收款键,$Y120,收款年度,"&gt;"&amp;管理年度),2))</f>
        <v/>
      </c>
      <c r="AA120" s="47" t="str">
        <f aca="false">IF($Y120="","",IF(SUMPRODUCT(MIN(IF((应收键=$Y120)*(应收未收&gt;0.01),应收日期,999999)))&gt;=999999,"",SUMPRODUCT(MIN(IF((应收键=$Y120)*(应收未收&gt;0.01),应收日期,999999)))))</f>
        <v/>
      </c>
    </row>
    <row r="121" customFormat="false" ht="15" hidden="false" customHeight="false" outlineLevel="0" collapsed="false">
      <c r="A121" s="29" t="str">
        <f aca="false">IF($Y121="","",ROW()-4)</f>
        <v/>
      </c>
      <c r="B121" s="16" t="str">
        <f aca="false">IF($Y121="","",维保合同!$C121)</f>
        <v/>
      </c>
      <c r="C121" s="16" t="str">
        <f aca="false">IF($Y121="","",维保合同!$D121)</f>
        <v/>
      </c>
      <c r="D121" s="35" t="str">
        <f aca="false">IF($Y121="","",维保合同!$F121)</f>
        <v/>
      </c>
      <c r="E121" s="35" t="str">
        <f aca="false">IF($Y121="","",维保合同!$G121)</f>
        <v/>
      </c>
      <c r="F121" s="47" t="str">
        <f aca="false">IF($Y121="","",维保合同!$I121)</f>
        <v/>
      </c>
      <c r="G121" s="38" t="str">
        <f aca="false">IF($Y121="","",维保合同!$K121)</f>
        <v/>
      </c>
      <c r="H121" s="41" t="str">
        <f aca="false">IF($Y121="","",ROUND(SUMIFS(应收金额,应收键,$Y121,应收年度,"&lt;"&amp;管理年度)-SUMIFS(收款金额,收款键,$Y121,收款年度,"&lt;"&amp;管理年度),2))</f>
        <v/>
      </c>
      <c r="I121" s="40" t="str">
        <f aca="false">IF($Y121="","",ROUND(SUMIFS(应收金额,应收键,$Y121,应收年度,管理年度),2))</f>
        <v/>
      </c>
      <c r="J121" s="40" t="str">
        <f aca="false">IF($Y121="","",ROUND(SUMIFS(应收金额,应收键,$Y121,应收年度,管理年度,应收款别,"合同款"),2))</f>
        <v/>
      </c>
      <c r="K121" s="40" t="str">
        <f aca="false">IF($Y121="","",ROUND($I121-$J121,2))</f>
        <v/>
      </c>
      <c r="L121" s="40" t="str">
        <f aca="false">IF($Y121="","",ROUND(SUMIFS(应收开票额,应收键,$Y121,应收开票年度,管理年度),2))</f>
        <v/>
      </c>
      <c r="M121" s="40" t="str">
        <f aca="false">IF($Y121="","",ROUND($I121-$L121,2))</f>
        <v/>
      </c>
      <c r="N121" s="40" t="str">
        <f aca="false">IF($Y121="","",ROUND(SUMIFS(收款金额,收款键,$Y121,收款年度,管理年度),2))</f>
        <v/>
      </c>
      <c r="O121" s="40" t="str">
        <f aca="false">IF($Y121="","",ROUND(SUMIFS(收款金额,收款键,$Y121,收款年度,管理年度,收款归类,"发票"),2))</f>
        <v/>
      </c>
      <c r="P121" s="40" t="str">
        <f aca="false">IF($Y121="","",ROUND(SUMIFS(收款金额,收款键,$Y121,收款年度,管理年度,收款归类,"收据"),2))</f>
        <v/>
      </c>
      <c r="Q121" s="40" t="str">
        <f aca="false">IF($Y121="","",ROUND(SUMIFS(收款金额,收款键,$Y121,收款年度,管理年度,收款归类,"现金无票"),2))</f>
        <v/>
      </c>
      <c r="R121" s="40" t="str">
        <f aca="false">IF($Y121="","",ROUND(MAX(0,MIN($T121,SUMIF(应收键,$Y121,应收开票额)-SUMIF(收款键,$Y121,收款金额))),2))</f>
        <v/>
      </c>
      <c r="S121" s="40" t="str">
        <f aca="false">IF($Y121="","",ROUND(MAX(0,$T121)-$R121,2))</f>
        <v/>
      </c>
      <c r="T121" s="48" t="str">
        <f aca="false">IF($Y121="","",ROUND(SUMIF(应收键,$Y121,应收金额)-SUMIF(收款键,$Y121,收款金额),2))</f>
        <v/>
      </c>
      <c r="U121" s="49" t="str">
        <f aca="true">IF($AA121="","",IF($T121&lt;=0.01,"",MAX(0,TODAY()-$AA121)))</f>
        <v/>
      </c>
      <c r="V121" s="50" t="str">
        <f aca="true">IF($Y121="","",IF($T121&gt;0.01,IF(AND(ISNUMBER($U121),$U121&gt;=账龄预警天),"▲欠款拖了 "&amp;TEXT($U121,"0")&amp;" 天","欠款未清"),IF($T121&lt;-0.01,"预收/多收","已结清"))&amp;IF(OR($E121="已签未回",$E121="未签",$E121="续签中")," ▲合同未回","")&amp;IF(AND(ISNUMBER($F121),$F121&lt;TODAY())," ▲合同已到期",""))</f>
        <v/>
      </c>
      <c r="W121" s="24"/>
      <c r="X121" s="35" t="str">
        <f aca="false">IF($Y121="","",IF(ROUND($H121+$I121-$N121+$Z121-$T121,2)&lt;&gt;0,"★期初＋本年－已收≠余额",IF(ROUND($R121+$S121-MAX(0,$T121),2)&lt;&gt;0,"★已开票＋未开票≠欠款",IF(ROUND($J121+$K121-$I121,2)&lt;&gt;0,"★合同款＋合同外款≠本年应收",IF(ROUND($O121+$P121+$Q121-$N121,2)&lt;&gt;0,"★发票＋收据＋现金≠本年已收","OK")))))</f>
        <v/>
      </c>
      <c r="Y121" s="35" t="str">
        <f aca="false">IF(维保合同!$C121="","",维保合同!$E121)</f>
        <v/>
      </c>
      <c r="Z121" s="40" t="str">
        <f aca="false">IF($Y121="","",ROUND(SUMIFS(应收金额,应收键,$Y121,应收年度,"&gt;"&amp;管理年度)-SUMIFS(收款金额,收款键,$Y121,收款年度,"&gt;"&amp;管理年度),2))</f>
        <v/>
      </c>
      <c r="AA121" s="47" t="str">
        <f aca="false">IF($Y121="","",IF(SUMPRODUCT(MIN(IF((应收键=$Y121)*(应收未收&gt;0.01),应收日期,999999)))&gt;=999999,"",SUMPRODUCT(MIN(IF((应收键=$Y121)*(应收未收&gt;0.01),应收日期,999999)))))</f>
        <v/>
      </c>
    </row>
    <row r="122" customFormat="false" ht="15" hidden="false" customHeight="false" outlineLevel="0" collapsed="false">
      <c r="A122" s="29" t="str">
        <f aca="false">IF($Y122="","",ROW()-4)</f>
        <v/>
      </c>
      <c r="B122" s="16" t="str">
        <f aca="false">IF($Y122="","",维保合同!$C122)</f>
        <v/>
      </c>
      <c r="C122" s="16" t="str">
        <f aca="false">IF($Y122="","",维保合同!$D122)</f>
        <v/>
      </c>
      <c r="D122" s="35" t="str">
        <f aca="false">IF($Y122="","",维保合同!$F122)</f>
        <v/>
      </c>
      <c r="E122" s="35" t="str">
        <f aca="false">IF($Y122="","",维保合同!$G122)</f>
        <v/>
      </c>
      <c r="F122" s="47" t="str">
        <f aca="false">IF($Y122="","",维保合同!$I122)</f>
        <v/>
      </c>
      <c r="G122" s="38" t="str">
        <f aca="false">IF($Y122="","",维保合同!$K122)</f>
        <v/>
      </c>
      <c r="H122" s="41" t="str">
        <f aca="false">IF($Y122="","",ROUND(SUMIFS(应收金额,应收键,$Y122,应收年度,"&lt;"&amp;管理年度)-SUMIFS(收款金额,收款键,$Y122,收款年度,"&lt;"&amp;管理年度),2))</f>
        <v/>
      </c>
      <c r="I122" s="40" t="str">
        <f aca="false">IF($Y122="","",ROUND(SUMIFS(应收金额,应收键,$Y122,应收年度,管理年度),2))</f>
        <v/>
      </c>
      <c r="J122" s="40" t="str">
        <f aca="false">IF($Y122="","",ROUND(SUMIFS(应收金额,应收键,$Y122,应收年度,管理年度,应收款别,"合同款"),2))</f>
        <v/>
      </c>
      <c r="K122" s="40" t="str">
        <f aca="false">IF($Y122="","",ROUND($I122-$J122,2))</f>
        <v/>
      </c>
      <c r="L122" s="40" t="str">
        <f aca="false">IF($Y122="","",ROUND(SUMIFS(应收开票额,应收键,$Y122,应收开票年度,管理年度),2))</f>
        <v/>
      </c>
      <c r="M122" s="40" t="str">
        <f aca="false">IF($Y122="","",ROUND($I122-$L122,2))</f>
        <v/>
      </c>
      <c r="N122" s="40" t="str">
        <f aca="false">IF($Y122="","",ROUND(SUMIFS(收款金额,收款键,$Y122,收款年度,管理年度),2))</f>
        <v/>
      </c>
      <c r="O122" s="40" t="str">
        <f aca="false">IF($Y122="","",ROUND(SUMIFS(收款金额,收款键,$Y122,收款年度,管理年度,收款归类,"发票"),2))</f>
        <v/>
      </c>
      <c r="P122" s="40" t="str">
        <f aca="false">IF($Y122="","",ROUND(SUMIFS(收款金额,收款键,$Y122,收款年度,管理年度,收款归类,"收据"),2))</f>
        <v/>
      </c>
      <c r="Q122" s="40" t="str">
        <f aca="false">IF($Y122="","",ROUND(SUMIFS(收款金额,收款键,$Y122,收款年度,管理年度,收款归类,"现金无票"),2))</f>
        <v/>
      </c>
      <c r="R122" s="40" t="str">
        <f aca="false">IF($Y122="","",ROUND(MAX(0,MIN($T122,SUMIF(应收键,$Y122,应收开票额)-SUMIF(收款键,$Y122,收款金额))),2))</f>
        <v/>
      </c>
      <c r="S122" s="40" t="str">
        <f aca="false">IF($Y122="","",ROUND(MAX(0,$T122)-$R122,2))</f>
        <v/>
      </c>
      <c r="T122" s="48" t="str">
        <f aca="false">IF($Y122="","",ROUND(SUMIF(应收键,$Y122,应收金额)-SUMIF(收款键,$Y122,收款金额),2))</f>
        <v/>
      </c>
      <c r="U122" s="49" t="str">
        <f aca="true">IF($AA122="","",IF($T122&lt;=0.01,"",MAX(0,TODAY()-$AA122)))</f>
        <v/>
      </c>
      <c r="V122" s="50" t="str">
        <f aca="true">IF($Y122="","",IF($T122&gt;0.01,IF(AND(ISNUMBER($U122),$U122&gt;=账龄预警天),"▲欠款拖了 "&amp;TEXT($U122,"0")&amp;" 天","欠款未清"),IF($T122&lt;-0.01,"预收/多收","已结清"))&amp;IF(OR($E122="已签未回",$E122="未签",$E122="续签中")," ▲合同未回","")&amp;IF(AND(ISNUMBER($F122),$F122&lt;TODAY())," ▲合同已到期",""))</f>
        <v/>
      </c>
      <c r="W122" s="24"/>
      <c r="X122" s="35" t="str">
        <f aca="false">IF($Y122="","",IF(ROUND($H122+$I122-$N122+$Z122-$T122,2)&lt;&gt;0,"★期初＋本年－已收≠余额",IF(ROUND($R122+$S122-MAX(0,$T122),2)&lt;&gt;0,"★已开票＋未开票≠欠款",IF(ROUND($J122+$K122-$I122,2)&lt;&gt;0,"★合同款＋合同外款≠本年应收",IF(ROUND($O122+$P122+$Q122-$N122,2)&lt;&gt;0,"★发票＋收据＋现金≠本年已收","OK")))))</f>
        <v/>
      </c>
      <c r="Y122" s="35" t="str">
        <f aca="false">IF(维保合同!$C122="","",维保合同!$E122)</f>
        <v/>
      </c>
      <c r="Z122" s="40" t="str">
        <f aca="false">IF($Y122="","",ROUND(SUMIFS(应收金额,应收键,$Y122,应收年度,"&gt;"&amp;管理年度)-SUMIFS(收款金额,收款键,$Y122,收款年度,"&gt;"&amp;管理年度),2))</f>
        <v/>
      </c>
      <c r="AA122" s="47" t="str">
        <f aca="false">IF($Y122="","",IF(SUMPRODUCT(MIN(IF((应收键=$Y122)*(应收未收&gt;0.01),应收日期,999999)))&gt;=999999,"",SUMPRODUCT(MIN(IF((应收键=$Y122)*(应收未收&gt;0.01),应收日期,999999)))))</f>
        <v/>
      </c>
    </row>
    <row r="123" customFormat="false" ht="15" hidden="false" customHeight="false" outlineLevel="0" collapsed="false">
      <c r="A123" s="29" t="str">
        <f aca="false">IF($Y123="","",ROW()-4)</f>
        <v/>
      </c>
      <c r="B123" s="16" t="str">
        <f aca="false">IF($Y123="","",维保合同!$C123)</f>
        <v/>
      </c>
      <c r="C123" s="16" t="str">
        <f aca="false">IF($Y123="","",维保合同!$D123)</f>
        <v/>
      </c>
      <c r="D123" s="35" t="str">
        <f aca="false">IF($Y123="","",维保合同!$F123)</f>
        <v/>
      </c>
      <c r="E123" s="35" t="str">
        <f aca="false">IF($Y123="","",维保合同!$G123)</f>
        <v/>
      </c>
      <c r="F123" s="47" t="str">
        <f aca="false">IF($Y123="","",维保合同!$I123)</f>
        <v/>
      </c>
      <c r="G123" s="38" t="str">
        <f aca="false">IF($Y123="","",维保合同!$K123)</f>
        <v/>
      </c>
      <c r="H123" s="41" t="str">
        <f aca="false">IF($Y123="","",ROUND(SUMIFS(应收金额,应收键,$Y123,应收年度,"&lt;"&amp;管理年度)-SUMIFS(收款金额,收款键,$Y123,收款年度,"&lt;"&amp;管理年度),2))</f>
        <v/>
      </c>
      <c r="I123" s="40" t="str">
        <f aca="false">IF($Y123="","",ROUND(SUMIFS(应收金额,应收键,$Y123,应收年度,管理年度),2))</f>
        <v/>
      </c>
      <c r="J123" s="40" t="str">
        <f aca="false">IF($Y123="","",ROUND(SUMIFS(应收金额,应收键,$Y123,应收年度,管理年度,应收款别,"合同款"),2))</f>
        <v/>
      </c>
      <c r="K123" s="40" t="str">
        <f aca="false">IF($Y123="","",ROUND($I123-$J123,2))</f>
        <v/>
      </c>
      <c r="L123" s="40" t="str">
        <f aca="false">IF($Y123="","",ROUND(SUMIFS(应收开票额,应收键,$Y123,应收开票年度,管理年度),2))</f>
        <v/>
      </c>
      <c r="M123" s="40" t="str">
        <f aca="false">IF($Y123="","",ROUND($I123-$L123,2))</f>
        <v/>
      </c>
      <c r="N123" s="40" t="str">
        <f aca="false">IF($Y123="","",ROUND(SUMIFS(收款金额,收款键,$Y123,收款年度,管理年度),2))</f>
        <v/>
      </c>
      <c r="O123" s="40" t="str">
        <f aca="false">IF($Y123="","",ROUND(SUMIFS(收款金额,收款键,$Y123,收款年度,管理年度,收款归类,"发票"),2))</f>
        <v/>
      </c>
      <c r="P123" s="40" t="str">
        <f aca="false">IF($Y123="","",ROUND(SUMIFS(收款金额,收款键,$Y123,收款年度,管理年度,收款归类,"收据"),2))</f>
        <v/>
      </c>
      <c r="Q123" s="40" t="str">
        <f aca="false">IF($Y123="","",ROUND(SUMIFS(收款金额,收款键,$Y123,收款年度,管理年度,收款归类,"现金无票"),2))</f>
        <v/>
      </c>
      <c r="R123" s="40" t="str">
        <f aca="false">IF($Y123="","",ROUND(MAX(0,MIN($T123,SUMIF(应收键,$Y123,应收开票额)-SUMIF(收款键,$Y123,收款金额))),2))</f>
        <v/>
      </c>
      <c r="S123" s="40" t="str">
        <f aca="false">IF($Y123="","",ROUND(MAX(0,$T123)-$R123,2))</f>
        <v/>
      </c>
      <c r="T123" s="48" t="str">
        <f aca="false">IF($Y123="","",ROUND(SUMIF(应收键,$Y123,应收金额)-SUMIF(收款键,$Y123,收款金额),2))</f>
        <v/>
      </c>
      <c r="U123" s="49" t="str">
        <f aca="true">IF($AA123="","",IF($T123&lt;=0.01,"",MAX(0,TODAY()-$AA123)))</f>
        <v/>
      </c>
      <c r="V123" s="50" t="str">
        <f aca="true">IF($Y123="","",IF($T123&gt;0.01,IF(AND(ISNUMBER($U123),$U123&gt;=账龄预警天),"▲欠款拖了 "&amp;TEXT($U123,"0")&amp;" 天","欠款未清"),IF($T123&lt;-0.01,"预收/多收","已结清"))&amp;IF(OR($E123="已签未回",$E123="未签",$E123="续签中")," ▲合同未回","")&amp;IF(AND(ISNUMBER($F123),$F123&lt;TODAY())," ▲合同已到期",""))</f>
        <v/>
      </c>
      <c r="W123" s="24"/>
      <c r="X123" s="35" t="str">
        <f aca="false">IF($Y123="","",IF(ROUND($H123+$I123-$N123+$Z123-$T123,2)&lt;&gt;0,"★期初＋本年－已收≠余额",IF(ROUND($R123+$S123-MAX(0,$T123),2)&lt;&gt;0,"★已开票＋未开票≠欠款",IF(ROUND($J123+$K123-$I123,2)&lt;&gt;0,"★合同款＋合同外款≠本年应收",IF(ROUND($O123+$P123+$Q123-$N123,2)&lt;&gt;0,"★发票＋收据＋现金≠本年已收","OK")))))</f>
        <v/>
      </c>
      <c r="Y123" s="35" t="str">
        <f aca="false">IF(维保合同!$C123="","",维保合同!$E123)</f>
        <v/>
      </c>
      <c r="Z123" s="40" t="str">
        <f aca="false">IF($Y123="","",ROUND(SUMIFS(应收金额,应收键,$Y123,应收年度,"&gt;"&amp;管理年度)-SUMIFS(收款金额,收款键,$Y123,收款年度,"&gt;"&amp;管理年度),2))</f>
        <v/>
      </c>
      <c r="AA123" s="47" t="str">
        <f aca="false">IF($Y123="","",IF(SUMPRODUCT(MIN(IF((应收键=$Y123)*(应收未收&gt;0.01),应收日期,999999)))&gt;=999999,"",SUMPRODUCT(MIN(IF((应收键=$Y123)*(应收未收&gt;0.01),应收日期,999999)))))</f>
        <v/>
      </c>
    </row>
    <row r="124" customFormat="false" ht="15" hidden="false" customHeight="false" outlineLevel="0" collapsed="false">
      <c r="A124" s="29" t="str">
        <f aca="false">IF($Y124="","",ROW()-4)</f>
        <v/>
      </c>
      <c r="B124" s="16" t="str">
        <f aca="false">IF($Y124="","",维保合同!$C124)</f>
        <v/>
      </c>
      <c r="C124" s="16" t="str">
        <f aca="false">IF($Y124="","",维保合同!$D124)</f>
        <v/>
      </c>
      <c r="D124" s="35" t="str">
        <f aca="false">IF($Y124="","",维保合同!$F124)</f>
        <v/>
      </c>
      <c r="E124" s="35" t="str">
        <f aca="false">IF($Y124="","",维保合同!$G124)</f>
        <v/>
      </c>
      <c r="F124" s="47" t="str">
        <f aca="false">IF($Y124="","",维保合同!$I124)</f>
        <v/>
      </c>
      <c r="G124" s="38" t="str">
        <f aca="false">IF($Y124="","",维保合同!$K124)</f>
        <v/>
      </c>
      <c r="H124" s="41" t="str">
        <f aca="false">IF($Y124="","",ROUND(SUMIFS(应收金额,应收键,$Y124,应收年度,"&lt;"&amp;管理年度)-SUMIFS(收款金额,收款键,$Y124,收款年度,"&lt;"&amp;管理年度),2))</f>
        <v/>
      </c>
      <c r="I124" s="40" t="str">
        <f aca="false">IF($Y124="","",ROUND(SUMIFS(应收金额,应收键,$Y124,应收年度,管理年度),2))</f>
        <v/>
      </c>
      <c r="J124" s="40" t="str">
        <f aca="false">IF($Y124="","",ROUND(SUMIFS(应收金额,应收键,$Y124,应收年度,管理年度,应收款别,"合同款"),2))</f>
        <v/>
      </c>
      <c r="K124" s="40" t="str">
        <f aca="false">IF($Y124="","",ROUND($I124-$J124,2))</f>
        <v/>
      </c>
      <c r="L124" s="40" t="str">
        <f aca="false">IF($Y124="","",ROUND(SUMIFS(应收开票额,应收键,$Y124,应收开票年度,管理年度),2))</f>
        <v/>
      </c>
      <c r="M124" s="40" t="str">
        <f aca="false">IF($Y124="","",ROUND($I124-$L124,2))</f>
        <v/>
      </c>
      <c r="N124" s="40" t="str">
        <f aca="false">IF($Y124="","",ROUND(SUMIFS(收款金额,收款键,$Y124,收款年度,管理年度),2))</f>
        <v/>
      </c>
      <c r="O124" s="40" t="str">
        <f aca="false">IF($Y124="","",ROUND(SUMIFS(收款金额,收款键,$Y124,收款年度,管理年度,收款归类,"发票"),2))</f>
        <v/>
      </c>
      <c r="P124" s="40" t="str">
        <f aca="false">IF($Y124="","",ROUND(SUMIFS(收款金额,收款键,$Y124,收款年度,管理年度,收款归类,"收据"),2))</f>
        <v/>
      </c>
      <c r="Q124" s="40" t="str">
        <f aca="false">IF($Y124="","",ROUND(SUMIFS(收款金额,收款键,$Y124,收款年度,管理年度,收款归类,"现金无票"),2))</f>
        <v/>
      </c>
      <c r="R124" s="40" t="str">
        <f aca="false">IF($Y124="","",ROUND(MAX(0,MIN($T124,SUMIF(应收键,$Y124,应收开票额)-SUMIF(收款键,$Y124,收款金额))),2))</f>
        <v/>
      </c>
      <c r="S124" s="40" t="str">
        <f aca="false">IF($Y124="","",ROUND(MAX(0,$T124)-$R124,2))</f>
        <v/>
      </c>
      <c r="T124" s="48" t="str">
        <f aca="false">IF($Y124="","",ROUND(SUMIF(应收键,$Y124,应收金额)-SUMIF(收款键,$Y124,收款金额),2))</f>
        <v/>
      </c>
      <c r="U124" s="49" t="str">
        <f aca="true">IF($AA124="","",IF($T124&lt;=0.01,"",MAX(0,TODAY()-$AA124)))</f>
        <v/>
      </c>
      <c r="V124" s="50" t="str">
        <f aca="true">IF($Y124="","",IF($T124&gt;0.01,IF(AND(ISNUMBER($U124),$U124&gt;=账龄预警天),"▲欠款拖了 "&amp;TEXT($U124,"0")&amp;" 天","欠款未清"),IF($T124&lt;-0.01,"预收/多收","已结清"))&amp;IF(OR($E124="已签未回",$E124="未签",$E124="续签中")," ▲合同未回","")&amp;IF(AND(ISNUMBER($F124),$F124&lt;TODAY())," ▲合同已到期",""))</f>
        <v/>
      </c>
      <c r="W124" s="24"/>
      <c r="X124" s="35" t="str">
        <f aca="false">IF($Y124="","",IF(ROUND($H124+$I124-$N124+$Z124-$T124,2)&lt;&gt;0,"★期初＋本年－已收≠余额",IF(ROUND($R124+$S124-MAX(0,$T124),2)&lt;&gt;0,"★已开票＋未开票≠欠款",IF(ROUND($J124+$K124-$I124,2)&lt;&gt;0,"★合同款＋合同外款≠本年应收",IF(ROUND($O124+$P124+$Q124-$N124,2)&lt;&gt;0,"★发票＋收据＋现金≠本年已收","OK")))))</f>
        <v/>
      </c>
      <c r="Y124" s="35" t="str">
        <f aca="false">IF(维保合同!$C124="","",维保合同!$E124)</f>
        <v/>
      </c>
      <c r="Z124" s="40" t="str">
        <f aca="false">IF($Y124="","",ROUND(SUMIFS(应收金额,应收键,$Y124,应收年度,"&gt;"&amp;管理年度)-SUMIFS(收款金额,收款键,$Y124,收款年度,"&gt;"&amp;管理年度),2))</f>
        <v/>
      </c>
      <c r="AA124" s="47" t="str">
        <f aca="false">IF($Y124="","",IF(SUMPRODUCT(MIN(IF((应收键=$Y124)*(应收未收&gt;0.01),应收日期,999999)))&gt;=999999,"",SUMPRODUCT(MIN(IF((应收键=$Y124)*(应收未收&gt;0.01),应收日期,999999)))))</f>
        <v/>
      </c>
    </row>
    <row r="125" customFormat="false" ht="15" hidden="false" customHeight="false" outlineLevel="0" collapsed="false">
      <c r="A125" s="29" t="str">
        <f aca="false">IF($Y125="","",ROW()-4)</f>
        <v/>
      </c>
      <c r="B125" s="16" t="str">
        <f aca="false">IF($Y125="","",维保合同!$C125)</f>
        <v/>
      </c>
      <c r="C125" s="16" t="str">
        <f aca="false">IF($Y125="","",维保合同!$D125)</f>
        <v/>
      </c>
      <c r="D125" s="35" t="str">
        <f aca="false">IF($Y125="","",维保合同!$F125)</f>
        <v/>
      </c>
      <c r="E125" s="35" t="str">
        <f aca="false">IF($Y125="","",维保合同!$G125)</f>
        <v/>
      </c>
      <c r="F125" s="47" t="str">
        <f aca="false">IF($Y125="","",维保合同!$I125)</f>
        <v/>
      </c>
      <c r="G125" s="38" t="str">
        <f aca="false">IF($Y125="","",维保合同!$K125)</f>
        <v/>
      </c>
      <c r="H125" s="41" t="str">
        <f aca="false">IF($Y125="","",ROUND(SUMIFS(应收金额,应收键,$Y125,应收年度,"&lt;"&amp;管理年度)-SUMIFS(收款金额,收款键,$Y125,收款年度,"&lt;"&amp;管理年度),2))</f>
        <v/>
      </c>
      <c r="I125" s="40" t="str">
        <f aca="false">IF($Y125="","",ROUND(SUMIFS(应收金额,应收键,$Y125,应收年度,管理年度),2))</f>
        <v/>
      </c>
      <c r="J125" s="40" t="str">
        <f aca="false">IF($Y125="","",ROUND(SUMIFS(应收金额,应收键,$Y125,应收年度,管理年度,应收款别,"合同款"),2))</f>
        <v/>
      </c>
      <c r="K125" s="40" t="str">
        <f aca="false">IF($Y125="","",ROUND($I125-$J125,2))</f>
        <v/>
      </c>
      <c r="L125" s="40" t="str">
        <f aca="false">IF($Y125="","",ROUND(SUMIFS(应收开票额,应收键,$Y125,应收开票年度,管理年度),2))</f>
        <v/>
      </c>
      <c r="M125" s="40" t="str">
        <f aca="false">IF($Y125="","",ROUND($I125-$L125,2))</f>
        <v/>
      </c>
      <c r="N125" s="40" t="str">
        <f aca="false">IF($Y125="","",ROUND(SUMIFS(收款金额,收款键,$Y125,收款年度,管理年度),2))</f>
        <v/>
      </c>
      <c r="O125" s="40" t="str">
        <f aca="false">IF($Y125="","",ROUND(SUMIFS(收款金额,收款键,$Y125,收款年度,管理年度,收款归类,"发票"),2))</f>
        <v/>
      </c>
      <c r="P125" s="40" t="str">
        <f aca="false">IF($Y125="","",ROUND(SUMIFS(收款金额,收款键,$Y125,收款年度,管理年度,收款归类,"收据"),2))</f>
        <v/>
      </c>
      <c r="Q125" s="40" t="str">
        <f aca="false">IF($Y125="","",ROUND(SUMIFS(收款金额,收款键,$Y125,收款年度,管理年度,收款归类,"现金无票"),2))</f>
        <v/>
      </c>
      <c r="R125" s="40" t="str">
        <f aca="false">IF($Y125="","",ROUND(MAX(0,MIN($T125,SUMIF(应收键,$Y125,应收开票额)-SUMIF(收款键,$Y125,收款金额))),2))</f>
        <v/>
      </c>
      <c r="S125" s="40" t="str">
        <f aca="false">IF($Y125="","",ROUND(MAX(0,$T125)-$R125,2))</f>
        <v/>
      </c>
      <c r="T125" s="48" t="str">
        <f aca="false">IF($Y125="","",ROUND(SUMIF(应收键,$Y125,应收金额)-SUMIF(收款键,$Y125,收款金额),2))</f>
        <v/>
      </c>
      <c r="U125" s="49" t="str">
        <f aca="true">IF($AA125="","",IF($T125&lt;=0.01,"",MAX(0,TODAY()-$AA125)))</f>
        <v/>
      </c>
      <c r="V125" s="50" t="str">
        <f aca="true">IF($Y125="","",IF($T125&gt;0.01,IF(AND(ISNUMBER($U125),$U125&gt;=账龄预警天),"▲欠款拖了 "&amp;TEXT($U125,"0")&amp;" 天","欠款未清"),IF($T125&lt;-0.01,"预收/多收","已结清"))&amp;IF(OR($E125="已签未回",$E125="未签",$E125="续签中")," ▲合同未回","")&amp;IF(AND(ISNUMBER($F125),$F125&lt;TODAY())," ▲合同已到期",""))</f>
        <v/>
      </c>
      <c r="W125" s="24"/>
      <c r="X125" s="35" t="str">
        <f aca="false">IF($Y125="","",IF(ROUND($H125+$I125-$N125+$Z125-$T125,2)&lt;&gt;0,"★期初＋本年－已收≠余额",IF(ROUND($R125+$S125-MAX(0,$T125),2)&lt;&gt;0,"★已开票＋未开票≠欠款",IF(ROUND($J125+$K125-$I125,2)&lt;&gt;0,"★合同款＋合同外款≠本年应收",IF(ROUND($O125+$P125+$Q125-$N125,2)&lt;&gt;0,"★发票＋收据＋现金≠本年已收","OK")))))</f>
        <v/>
      </c>
      <c r="Y125" s="35" t="str">
        <f aca="false">IF(维保合同!$C125="","",维保合同!$E125)</f>
        <v/>
      </c>
      <c r="Z125" s="40" t="str">
        <f aca="false">IF($Y125="","",ROUND(SUMIFS(应收金额,应收键,$Y125,应收年度,"&gt;"&amp;管理年度)-SUMIFS(收款金额,收款键,$Y125,收款年度,"&gt;"&amp;管理年度),2))</f>
        <v/>
      </c>
      <c r="AA125" s="47" t="str">
        <f aca="false">IF($Y125="","",IF(SUMPRODUCT(MIN(IF((应收键=$Y125)*(应收未收&gt;0.01),应收日期,999999)))&gt;=999999,"",SUMPRODUCT(MIN(IF((应收键=$Y125)*(应收未收&gt;0.01),应收日期,999999)))))</f>
        <v/>
      </c>
    </row>
    <row r="126" customFormat="false" ht="15" hidden="false" customHeight="false" outlineLevel="0" collapsed="false">
      <c r="A126" s="29" t="str">
        <f aca="false">IF($Y126="","",ROW()-4)</f>
        <v/>
      </c>
      <c r="B126" s="16" t="str">
        <f aca="false">IF($Y126="","",维保合同!$C126)</f>
        <v/>
      </c>
      <c r="C126" s="16" t="str">
        <f aca="false">IF($Y126="","",维保合同!$D126)</f>
        <v/>
      </c>
      <c r="D126" s="35" t="str">
        <f aca="false">IF($Y126="","",维保合同!$F126)</f>
        <v/>
      </c>
      <c r="E126" s="35" t="str">
        <f aca="false">IF($Y126="","",维保合同!$G126)</f>
        <v/>
      </c>
      <c r="F126" s="47" t="str">
        <f aca="false">IF($Y126="","",维保合同!$I126)</f>
        <v/>
      </c>
      <c r="G126" s="38" t="str">
        <f aca="false">IF($Y126="","",维保合同!$K126)</f>
        <v/>
      </c>
      <c r="H126" s="41" t="str">
        <f aca="false">IF($Y126="","",ROUND(SUMIFS(应收金额,应收键,$Y126,应收年度,"&lt;"&amp;管理年度)-SUMIFS(收款金额,收款键,$Y126,收款年度,"&lt;"&amp;管理年度),2))</f>
        <v/>
      </c>
      <c r="I126" s="40" t="str">
        <f aca="false">IF($Y126="","",ROUND(SUMIFS(应收金额,应收键,$Y126,应收年度,管理年度),2))</f>
        <v/>
      </c>
      <c r="J126" s="40" t="str">
        <f aca="false">IF($Y126="","",ROUND(SUMIFS(应收金额,应收键,$Y126,应收年度,管理年度,应收款别,"合同款"),2))</f>
        <v/>
      </c>
      <c r="K126" s="40" t="str">
        <f aca="false">IF($Y126="","",ROUND($I126-$J126,2))</f>
        <v/>
      </c>
      <c r="L126" s="40" t="str">
        <f aca="false">IF($Y126="","",ROUND(SUMIFS(应收开票额,应收键,$Y126,应收开票年度,管理年度),2))</f>
        <v/>
      </c>
      <c r="M126" s="40" t="str">
        <f aca="false">IF($Y126="","",ROUND($I126-$L126,2))</f>
        <v/>
      </c>
      <c r="N126" s="40" t="str">
        <f aca="false">IF($Y126="","",ROUND(SUMIFS(收款金额,收款键,$Y126,收款年度,管理年度),2))</f>
        <v/>
      </c>
      <c r="O126" s="40" t="str">
        <f aca="false">IF($Y126="","",ROUND(SUMIFS(收款金额,收款键,$Y126,收款年度,管理年度,收款归类,"发票"),2))</f>
        <v/>
      </c>
      <c r="P126" s="40" t="str">
        <f aca="false">IF($Y126="","",ROUND(SUMIFS(收款金额,收款键,$Y126,收款年度,管理年度,收款归类,"收据"),2))</f>
        <v/>
      </c>
      <c r="Q126" s="40" t="str">
        <f aca="false">IF($Y126="","",ROUND(SUMIFS(收款金额,收款键,$Y126,收款年度,管理年度,收款归类,"现金无票"),2))</f>
        <v/>
      </c>
      <c r="R126" s="40" t="str">
        <f aca="false">IF($Y126="","",ROUND(MAX(0,MIN($T126,SUMIF(应收键,$Y126,应收开票额)-SUMIF(收款键,$Y126,收款金额))),2))</f>
        <v/>
      </c>
      <c r="S126" s="40" t="str">
        <f aca="false">IF($Y126="","",ROUND(MAX(0,$T126)-$R126,2))</f>
        <v/>
      </c>
      <c r="T126" s="48" t="str">
        <f aca="false">IF($Y126="","",ROUND(SUMIF(应收键,$Y126,应收金额)-SUMIF(收款键,$Y126,收款金额),2))</f>
        <v/>
      </c>
      <c r="U126" s="49" t="str">
        <f aca="true">IF($AA126="","",IF($T126&lt;=0.01,"",MAX(0,TODAY()-$AA126)))</f>
        <v/>
      </c>
      <c r="V126" s="50" t="str">
        <f aca="true">IF($Y126="","",IF($T126&gt;0.01,IF(AND(ISNUMBER($U126),$U126&gt;=账龄预警天),"▲欠款拖了 "&amp;TEXT($U126,"0")&amp;" 天","欠款未清"),IF($T126&lt;-0.01,"预收/多收","已结清"))&amp;IF(OR($E126="已签未回",$E126="未签",$E126="续签中")," ▲合同未回","")&amp;IF(AND(ISNUMBER($F126),$F126&lt;TODAY())," ▲合同已到期",""))</f>
        <v/>
      </c>
      <c r="W126" s="24"/>
      <c r="X126" s="35" t="str">
        <f aca="false">IF($Y126="","",IF(ROUND($H126+$I126-$N126+$Z126-$T126,2)&lt;&gt;0,"★期初＋本年－已收≠余额",IF(ROUND($R126+$S126-MAX(0,$T126),2)&lt;&gt;0,"★已开票＋未开票≠欠款",IF(ROUND($J126+$K126-$I126,2)&lt;&gt;0,"★合同款＋合同外款≠本年应收",IF(ROUND($O126+$P126+$Q126-$N126,2)&lt;&gt;0,"★发票＋收据＋现金≠本年已收","OK")))))</f>
        <v/>
      </c>
      <c r="Y126" s="35" t="str">
        <f aca="false">IF(维保合同!$C126="","",维保合同!$E126)</f>
        <v/>
      </c>
      <c r="Z126" s="40" t="str">
        <f aca="false">IF($Y126="","",ROUND(SUMIFS(应收金额,应收键,$Y126,应收年度,"&gt;"&amp;管理年度)-SUMIFS(收款金额,收款键,$Y126,收款年度,"&gt;"&amp;管理年度),2))</f>
        <v/>
      </c>
      <c r="AA126" s="47" t="str">
        <f aca="false">IF($Y126="","",IF(SUMPRODUCT(MIN(IF((应收键=$Y126)*(应收未收&gt;0.01),应收日期,999999)))&gt;=999999,"",SUMPRODUCT(MIN(IF((应收键=$Y126)*(应收未收&gt;0.01),应收日期,999999)))))</f>
        <v/>
      </c>
    </row>
    <row r="127" customFormat="false" ht="15" hidden="false" customHeight="false" outlineLevel="0" collapsed="false">
      <c r="A127" s="29" t="str">
        <f aca="false">IF($Y127="","",ROW()-4)</f>
        <v/>
      </c>
      <c r="B127" s="16" t="str">
        <f aca="false">IF($Y127="","",维保合同!$C127)</f>
        <v/>
      </c>
      <c r="C127" s="16" t="str">
        <f aca="false">IF($Y127="","",维保合同!$D127)</f>
        <v/>
      </c>
      <c r="D127" s="35" t="str">
        <f aca="false">IF($Y127="","",维保合同!$F127)</f>
        <v/>
      </c>
      <c r="E127" s="35" t="str">
        <f aca="false">IF($Y127="","",维保合同!$G127)</f>
        <v/>
      </c>
      <c r="F127" s="47" t="str">
        <f aca="false">IF($Y127="","",维保合同!$I127)</f>
        <v/>
      </c>
      <c r="G127" s="38" t="str">
        <f aca="false">IF($Y127="","",维保合同!$K127)</f>
        <v/>
      </c>
      <c r="H127" s="41" t="str">
        <f aca="false">IF($Y127="","",ROUND(SUMIFS(应收金额,应收键,$Y127,应收年度,"&lt;"&amp;管理年度)-SUMIFS(收款金额,收款键,$Y127,收款年度,"&lt;"&amp;管理年度),2))</f>
        <v/>
      </c>
      <c r="I127" s="40" t="str">
        <f aca="false">IF($Y127="","",ROUND(SUMIFS(应收金额,应收键,$Y127,应收年度,管理年度),2))</f>
        <v/>
      </c>
      <c r="J127" s="40" t="str">
        <f aca="false">IF($Y127="","",ROUND(SUMIFS(应收金额,应收键,$Y127,应收年度,管理年度,应收款别,"合同款"),2))</f>
        <v/>
      </c>
      <c r="K127" s="40" t="str">
        <f aca="false">IF($Y127="","",ROUND($I127-$J127,2))</f>
        <v/>
      </c>
      <c r="L127" s="40" t="str">
        <f aca="false">IF($Y127="","",ROUND(SUMIFS(应收开票额,应收键,$Y127,应收开票年度,管理年度),2))</f>
        <v/>
      </c>
      <c r="M127" s="40" t="str">
        <f aca="false">IF($Y127="","",ROUND($I127-$L127,2))</f>
        <v/>
      </c>
      <c r="N127" s="40" t="str">
        <f aca="false">IF($Y127="","",ROUND(SUMIFS(收款金额,收款键,$Y127,收款年度,管理年度),2))</f>
        <v/>
      </c>
      <c r="O127" s="40" t="str">
        <f aca="false">IF($Y127="","",ROUND(SUMIFS(收款金额,收款键,$Y127,收款年度,管理年度,收款归类,"发票"),2))</f>
        <v/>
      </c>
      <c r="P127" s="40" t="str">
        <f aca="false">IF($Y127="","",ROUND(SUMIFS(收款金额,收款键,$Y127,收款年度,管理年度,收款归类,"收据"),2))</f>
        <v/>
      </c>
      <c r="Q127" s="40" t="str">
        <f aca="false">IF($Y127="","",ROUND(SUMIFS(收款金额,收款键,$Y127,收款年度,管理年度,收款归类,"现金无票"),2))</f>
        <v/>
      </c>
      <c r="R127" s="40" t="str">
        <f aca="false">IF($Y127="","",ROUND(MAX(0,MIN($T127,SUMIF(应收键,$Y127,应收开票额)-SUMIF(收款键,$Y127,收款金额))),2))</f>
        <v/>
      </c>
      <c r="S127" s="40" t="str">
        <f aca="false">IF($Y127="","",ROUND(MAX(0,$T127)-$R127,2))</f>
        <v/>
      </c>
      <c r="T127" s="48" t="str">
        <f aca="false">IF($Y127="","",ROUND(SUMIF(应收键,$Y127,应收金额)-SUMIF(收款键,$Y127,收款金额),2))</f>
        <v/>
      </c>
      <c r="U127" s="49" t="str">
        <f aca="true">IF($AA127="","",IF($T127&lt;=0.01,"",MAX(0,TODAY()-$AA127)))</f>
        <v/>
      </c>
      <c r="V127" s="50" t="str">
        <f aca="true">IF($Y127="","",IF($T127&gt;0.01,IF(AND(ISNUMBER($U127),$U127&gt;=账龄预警天),"▲欠款拖了 "&amp;TEXT($U127,"0")&amp;" 天","欠款未清"),IF($T127&lt;-0.01,"预收/多收","已结清"))&amp;IF(OR($E127="已签未回",$E127="未签",$E127="续签中")," ▲合同未回","")&amp;IF(AND(ISNUMBER($F127),$F127&lt;TODAY())," ▲合同已到期",""))</f>
        <v/>
      </c>
      <c r="W127" s="24"/>
      <c r="X127" s="35" t="str">
        <f aca="false">IF($Y127="","",IF(ROUND($H127+$I127-$N127+$Z127-$T127,2)&lt;&gt;0,"★期初＋本年－已收≠余额",IF(ROUND($R127+$S127-MAX(0,$T127),2)&lt;&gt;0,"★已开票＋未开票≠欠款",IF(ROUND($J127+$K127-$I127,2)&lt;&gt;0,"★合同款＋合同外款≠本年应收",IF(ROUND($O127+$P127+$Q127-$N127,2)&lt;&gt;0,"★发票＋收据＋现金≠本年已收","OK")))))</f>
        <v/>
      </c>
      <c r="Y127" s="35" t="str">
        <f aca="false">IF(维保合同!$C127="","",维保合同!$E127)</f>
        <v/>
      </c>
      <c r="Z127" s="40" t="str">
        <f aca="false">IF($Y127="","",ROUND(SUMIFS(应收金额,应收键,$Y127,应收年度,"&gt;"&amp;管理年度)-SUMIFS(收款金额,收款键,$Y127,收款年度,"&gt;"&amp;管理年度),2))</f>
        <v/>
      </c>
      <c r="AA127" s="47" t="str">
        <f aca="false">IF($Y127="","",IF(SUMPRODUCT(MIN(IF((应收键=$Y127)*(应收未收&gt;0.01),应收日期,999999)))&gt;=999999,"",SUMPRODUCT(MIN(IF((应收键=$Y127)*(应收未收&gt;0.01),应收日期,999999)))))</f>
        <v/>
      </c>
    </row>
    <row r="128" customFormat="false" ht="15" hidden="false" customHeight="false" outlineLevel="0" collapsed="false">
      <c r="A128" s="29" t="str">
        <f aca="false">IF($Y128="","",ROW()-4)</f>
        <v/>
      </c>
      <c r="B128" s="16" t="str">
        <f aca="false">IF($Y128="","",维保合同!$C128)</f>
        <v/>
      </c>
      <c r="C128" s="16" t="str">
        <f aca="false">IF($Y128="","",维保合同!$D128)</f>
        <v/>
      </c>
      <c r="D128" s="35" t="str">
        <f aca="false">IF($Y128="","",维保合同!$F128)</f>
        <v/>
      </c>
      <c r="E128" s="35" t="str">
        <f aca="false">IF($Y128="","",维保合同!$G128)</f>
        <v/>
      </c>
      <c r="F128" s="47" t="str">
        <f aca="false">IF($Y128="","",维保合同!$I128)</f>
        <v/>
      </c>
      <c r="G128" s="38" t="str">
        <f aca="false">IF($Y128="","",维保合同!$K128)</f>
        <v/>
      </c>
      <c r="H128" s="41" t="str">
        <f aca="false">IF($Y128="","",ROUND(SUMIFS(应收金额,应收键,$Y128,应收年度,"&lt;"&amp;管理年度)-SUMIFS(收款金额,收款键,$Y128,收款年度,"&lt;"&amp;管理年度),2))</f>
        <v/>
      </c>
      <c r="I128" s="40" t="str">
        <f aca="false">IF($Y128="","",ROUND(SUMIFS(应收金额,应收键,$Y128,应收年度,管理年度),2))</f>
        <v/>
      </c>
      <c r="J128" s="40" t="str">
        <f aca="false">IF($Y128="","",ROUND(SUMIFS(应收金额,应收键,$Y128,应收年度,管理年度,应收款别,"合同款"),2))</f>
        <v/>
      </c>
      <c r="K128" s="40" t="str">
        <f aca="false">IF($Y128="","",ROUND($I128-$J128,2))</f>
        <v/>
      </c>
      <c r="L128" s="40" t="str">
        <f aca="false">IF($Y128="","",ROUND(SUMIFS(应收开票额,应收键,$Y128,应收开票年度,管理年度),2))</f>
        <v/>
      </c>
      <c r="M128" s="40" t="str">
        <f aca="false">IF($Y128="","",ROUND($I128-$L128,2))</f>
        <v/>
      </c>
      <c r="N128" s="40" t="str">
        <f aca="false">IF($Y128="","",ROUND(SUMIFS(收款金额,收款键,$Y128,收款年度,管理年度),2))</f>
        <v/>
      </c>
      <c r="O128" s="40" t="str">
        <f aca="false">IF($Y128="","",ROUND(SUMIFS(收款金额,收款键,$Y128,收款年度,管理年度,收款归类,"发票"),2))</f>
        <v/>
      </c>
      <c r="P128" s="40" t="str">
        <f aca="false">IF($Y128="","",ROUND(SUMIFS(收款金额,收款键,$Y128,收款年度,管理年度,收款归类,"收据"),2))</f>
        <v/>
      </c>
      <c r="Q128" s="40" t="str">
        <f aca="false">IF($Y128="","",ROUND(SUMIFS(收款金额,收款键,$Y128,收款年度,管理年度,收款归类,"现金无票"),2))</f>
        <v/>
      </c>
      <c r="R128" s="40" t="str">
        <f aca="false">IF($Y128="","",ROUND(MAX(0,MIN($T128,SUMIF(应收键,$Y128,应收开票额)-SUMIF(收款键,$Y128,收款金额))),2))</f>
        <v/>
      </c>
      <c r="S128" s="40" t="str">
        <f aca="false">IF($Y128="","",ROUND(MAX(0,$T128)-$R128,2))</f>
        <v/>
      </c>
      <c r="T128" s="48" t="str">
        <f aca="false">IF($Y128="","",ROUND(SUMIF(应收键,$Y128,应收金额)-SUMIF(收款键,$Y128,收款金额),2))</f>
        <v/>
      </c>
      <c r="U128" s="49" t="str">
        <f aca="true">IF($AA128="","",IF($T128&lt;=0.01,"",MAX(0,TODAY()-$AA128)))</f>
        <v/>
      </c>
      <c r="V128" s="50" t="str">
        <f aca="true">IF($Y128="","",IF($T128&gt;0.01,IF(AND(ISNUMBER($U128),$U128&gt;=账龄预警天),"▲欠款拖了 "&amp;TEXT($U128,"0")&amp;" 天","欠款未清"),IF($T128&lt;-0.01,"预收/多收","已结清"))&amp;IF(OR($E128="已签未回",$E128="未签",$E128="续签中")," ▲合同未回","")&amp;IF(AND(ISNUMBER($F128),$F128&lt;TODAY())," ▲合同已到期",""))</f>
        <v/>
      </c>
      <c r="W128" s="24"/>
      <c r="X128" s="35" t="str">
        <f aca="false">IF($Y128="","",IF(ROUND($H128+$I128-$N128+$Z128-$T128,2)&lt;&gt;0,"★期初＋本年－已收≠余额",IF(ROUND($R128+$S128-MAX(0,$T128),2)&lt;&gt;0,"★已开票＋未开票≠欠款",IF(ROUND($J128+$K128-$I128,2)&lt;&gt;0,"★合同款＋合同外款≠本年应收",IF(ROUND($O128+$P128+$Q128-$N128,2)&lt;&gt;0,"★发票＋收据＋现金≠本年已收","OK")))))</f>
        <v/>
      </c>
      <c r="Y128" s="35" t="str">
        <f aca="false">IF(维保合同!$C128="","",维保合同!$E128)</f>
        <v/>
      </c>
      <c r="Z128" s="40" t="str">
        <f aca="false">IF($Y128="","",ROUND(SUMIFS(应收金额,应收键,$Y128,应收年度,"&gt;"&amp;管理年度)-SUMIFS(收款金额,收款键,$Y128,收款年度,"&gt;"&amp;管理年度),2))</f>
        <v/>
      </c>
      <c r="AA128" s="47" t="str">
        <f aca="false">IF($Y128="","",IF(SUMPRODUCT(MIN(IF((应收键=$Y128)*(应收未收&gt;0.01),应收日期,999999)))&gt;=999999,"",SUMPRODUCT(MIN(IF((应收键=$Y128)*(应收未收&gt;0.01),应收日期,999999)))))</f>
        <v/>
      </c>
    </row>
    <row r="129" customFormat="false" ht="15" hidden="false" customHeight="false" outlineLevel="0" collapsed="false">
      <c r="A129" s="29" t="str">
        <f aca="false">IF($Y129="","",ROW()-4)</f>
        <v/>
      </c>
      <c r="B129" s="16" t="str">
        <f aca="false">IF($Y129="","",维保合同!$C129)</f>
        <v/>
      </c>
      <c r="C129" s="16" t="str">
        <f aca="false">IF($Y129="","",维保合同!$D129)</f>
        <v/>
      </c>
      <c r="D129" s="35" t="str">
        <f aca="false">IF($Y129="","",维保合同!$F129)</f>
        <v/>
      </c>
      <c r="E129" s="35" t="str">
        <f aca="false">IF($Y129="","",维保合同!$G129)</f>
        <v/>
      </c>
      <c r="F129" s="47" t="str">
        <f aca="false">IF($Y129="","",维保合同!$I129)</f>
        <v/>
      </c>
      <c r="G129" s="38" t="str">
        <f aca="false">IF($Y129="","",维保合同!$K129)</f>
        <v/>
      </c>
      <c r="H129" s="41" t="str">
        <f aca="false">IF($Y129="","",ROUND(SUMIFS(应收金额,应收键,$Y129,应收年度,"&lt;"&amp;管理年度)-SUMIFS(收款金额,收款键,$Y129,收款年度,"&lt;"&amp;管理年度),2))</f>
        <v/>
      </c>
      <c r="I129" s="40" t="str">
        <f aca="false">IF($Y129="","",ROUND(SUMIFS(应收金额,应收键,$Y129,应收年度,管理年度),2))</f>
        <v/>
      </c>
      <c r="J129" s="40" t="str">
        <f aca="false">IF($Y129="","",ROUND(SUMIFS(应收金额,应收键,$Y129,应收年度,管理年度,应收款别,"合同款"),2))</f>
        <v/>
      </c>
      <c r="K129" s="40" t="str">
        <f aca="false">IF($Y129="","",ROUND($I129-$J129,2))</f>
        <v/>
      </c>
      <c r="L129" s="40" t="str">
        <f aca="false">IF($Y129="","",ROUND(SUMIFS(应收开票额,应收键,$Y129,应收开票年度,管理年度),2))</f>
        <v/>
      </c>
      <c r="M129" s="40" t="str">
        <f aca="false">IF($Y129="","",ROUND($I129-$L129,2))</f>
        <v/>
      </c>
      <c r="N129" s="40" t="str">
        <f aca="false">IF($Y129="","",ROUND(SUMIFS(收款金额,收款键,$Y129,收款年度,管理年度),2))</f>
        <v/>
      </c>
      <c r="O129" s="40" t="str">
        <f aca="false">IF($Y129="","",ROUND(SUMIFS(收款金额,收款键,$Y129,收款年度,管理年度,收款归类,"发票"),2))</f>
        <v/>
      </c>
      <c r="P129" s="40" t="str">
        <f aca="false">IF($Y129="","",ROUND(SUMIFS(收款金额,收款键,$Y129,收款年度,管理年度,收款归类,"收据"),2))</f>
        <v/>
      </c>
      <c r="Q129" s="40" t="str">
        <f aca="false">IF($Y129="","",ROUND(SUMIFS(收款金额,收款键,$Y129,收款年度,管理年度,收款归类,"现金无票"),2))</f>
        <v/>
      </c>
      <c r="R129" s="40" t="str">
        <f aca="false">IF($Y129="","",ROUND(MAX(0,MIN($T129,SUMIF(应收键,$Y129,应收开票额)-SUMIF(收款键,$Y129,收款金额))),2))</f>
        <v/>
      </c>
      <c r="S129" s="40" t="str">
        <f aca="false">IF($Y129="","",ROUND(MAX(0,$T129)-$R129,2))</f>
        <v/>
      </c>
      <c r="T129" s="48" t="str">
        <f aca="false">IF($Y129="","",ROUND(SUMIF(应收键,$Y129,应收金额)-SUMIF(收款键,$Y129,收款金额),2))</f>
        <v/>
      </c>
      <c r="U129" s="49" t="str">
        <f aca="true">IF($AA129="","",IF($T129&lt;=0.01,"",MAX(0,TODAY()-$AA129)))</f>
        <v/>
      </c>
      <c r="V129" s="50" t="str">
        <f aca="true">IF($Y129="","",IF($T129&gt;0.01,IF(AND(ISNUMBER($U129),$U129&gt;=账龄预警天),"▲欠款拖了 "&amp;TEXT($U129,"0")&amp;" 天","欠款未清"),IF($T129&lt;-0.01,"预收/多收","已结清"))&amp;IF(OR($E129="已签未回",$E129="未签",$E129="续签中")," ▲合同未回","")&amp;IF(AND(ISNUMBER($F129),$F129&lt;TODAY())," ▲合同已到期",""))</f>
        <v/>
      </c>
      <c r="W129" s="24"/>
      <c r="X129" s="35" t="str">
        <f aca="false">IF($Y129="","",IF(ROUND($H129+$I129-$N129+$Z129-$T129,2)&lt;&gt;0,"★期初＋本年－已收≠余额",IF(ROUND($R129+$S129-MAX(0,$T129),2)&lt;&gt;0,"★已开票＋未开票≠欠款",IF(ROUND($J129+$K129-$I129,2)&lt;&gt;0,"★合同款＋合同外款≠本年应收",IF(ROUND($O129+$P129+$Q129-$N129,2)&lt;&gt;0,"★发票＋收据＋现金≠本年已收","OK")))))</f>
        <v/>
      </c>
      <c r="Y129" s="35" t="str">
        <f aca="false">IF(维保合同!$C129="","",维保合同!$E129)</f>
        <v/>
      </c>
      <c r="Z129" s="40" t="str">
        <f aca="false">IF($Y129="","",ROUND(SUMIFS(应收金额,应收键,$Y129,应收年度,"&gt;"&amp;管理年度)-SUMIFS(收款金额,收款键,$Y129,收款年度,"&gt;"&amp;管理年度),2))</f>
        <v/>
      </c>
      <c r="AA129" s="47" t="str">
        <f aca="false">IF($Y129="","",IF(SUMPRODUCT(MIN(IF((应收键=$Y129)*(应收未收&gt;0.01),应收日期,999999)))&gt;=999999,"",SUMPRODUCT(MIN(IF((应收键=$Y129)*(应收未收&gt;0.01),应收日期,999999)))))</f>
        <v/>
      </c>
    </row>
    <row r="130" customFormat="false" ht="15" hidden="false" customHeight="false" outlineLevel="0" collapsed="false">
      <c r="A130" s="29" t="str">
        <f aca="false">IF($Y130="","",ROW()-4)</f>
        <v/>
      </c>
      <c r="B130" s="16" t="str">
        <f aca="false">IF($Y130="","",维保合同!$C130)</f>
        <v/>
      </c>
      <c r="C130" s="16" t="str">
        <f aca="false">IF($Y130="","",维保合同!$D130)</f>
        <v/>
      </c>
      <c r="D130" s="35" t="str">
        <f aca="false">IF($Y130="","",维保合同!$F130)</f>
        <v/>
      </c>
      <c r="E130" s="35" t="str">
        <f aca="false">IF($Y130="","",维保合同!$G130)</f>
        <v/>
      </c>
      <c r="F130" s="47" t="str">
        <f aca="false">IF($Y130="","",维保合同!$I130)</f>
        <v/>
      </c>
      <c r="G130" s="38" t="str">
        <f aca="false">IF($Y130="","",维保合同!$K130)</f>
        <v/>
      </c>
      <c r="H130" s="41" t="str">
        <f aca="false">IF($Y130="","",ROUND(SUMIFS(应收金额,应收键,$Y130,应收年度,"&lt;"&amp;管理年度)-SUMIFS(收款金额,收款键,$Y130,收款年度,"&lt;"&amp;管理年度),2))</f>
        <v/>
      </c>
      <c r="I130" s="40" t="str">
        <f aca="false">IF($Y130="","",ROUND(SUMIFS(应收金额,应收键,$Y130,应收年度,管理年度),2))</f>
        <v/>
      </c>
      <c r="J130" s="40" t="str">
        <f aca="false">IF($Y130="","",ROUND(SUMIFS(应收金额,应收键,$Y130,应收年度,管理年度,应收款别,"合同款"),2))</f>
        <v/>
      </c>
      <c r="K130" s="40" t="str">
        <f aca="false">IF($Y130="","",ROUND($I130-$J130,2))</f>
        <v/>
      </c>
      <c r="L130" s="40" t="str">
        <f aca="false">IF($Y130="","",ROUND(SUMIFS(应收开票额,应收键,$Y130,应收开票年度,管理年度),2))</f>
        <v/>
      </c>
      <c r="M130" s="40" t="str">
        <f aca="false">IF($Y130="","",ROUND($I130-$L130,2))</f>
        <v/>
      </c>
      <c r="N130" s="40" t="str">
        <f aca="false">IF($Y130="","",ROUND(SUMIFS(收款金额,收款键,$Y130,收款年度,管理年度),2))</f>
        <v/>
      </c>
      <c r="O130" s="40" t="str">
        <f aca="false">IF($Y130="","",ROUND(SUMIFS(收款金额,收款键,$Y130,收款年度,管理年度,收款归类,"发票"),2))</f>
        <v/>
      </c>
      <c r="P130" s="40" t="str">
        <f aca="false">IF($Y130="","",ROUND(SUMIFS(收款金额,收款键,$Y130,收款年度,管理年度,收款归类,"收据"),2))</f>
        <v/>
      </c>
      <c r="Q130" s="40" t="str">
        <f aca="false">IF($Y130="","",ROUND(SUMIFS(收款金额,收款键,$Y130,收款年度,管理年度,收款归类,"现金无票"),2))</f>
        <v/>
      </c>
      <c r="R130" s="40" t="str">
        <f aca="false">IF($Y130="","",ROUND(MAX(0,MIN($T130,SUMIF(应收键,$Y130,应收开票额)-SUMIF(收款键,$Y130,收款金额))),2))</f>
        <v/>
      </c>
      <c r="S130" s="40" t="str">
        <f aca="false">IF($Y130="","",ROUND(MAX(0,$T130)-$R130,2))</f>
        <v/>
      </c>
      <c r="T130" s="48" t="str">
        <f aca="false">IF($Y130="","",ROUND(SUMIF(应收键,$Y130,应收金额)-SUMIF(收款键,$Y130,收款金额),2))</f>
        <v/>
      </c>
      <c r="U130" s="49" t="str">
        <f aca="true">IF($AA130="","",IF($T130&lt;=0.01,"",MAX(0,TODAY()-$AA130)))</f>
        <v/>
      </c>
      <c r="V130" s="50" t="str">
        <f aca="true">IF($Y130="","",IF($T130&gt;0.01,IF(AND(ISNUMBER($U130),$U130&gt;=账龄预警天),"▲欠款拖了 "&amp;TEXT($U130,"0")&amp;" 天","欠款未清"),IF($T130&lt;-0.01,"预收/多收","已结清"))&amp;IF(OR($E130="已签未回",$E130="未签",$E130="续签中")," ▲合同未回","")&amp;IF(AND(ISNUMBER($F130),$F130&lt;TODAY())," ▲合同已到期",""))</f>
        <v/>
      </c>
      <c r="W130" s="24"/>
      <c r="X130" s="35" t="str">
        <f aca="false">IF($Y130="","",IF(ROUND($H130+$I130-$N130+$Z130-$T130,2)&lt;&gt;0,"★期初＋本年－已收≠余额",IF(ROUND($R130+$S130-MAX(0,$T130),2)&lt;&gt;0,"★已开票＋未开票≠欠款",IF(ROUND($J130+$K130-$I130,2)&lt;&gt;0,"★合同款＋合同外款≠本年应收",IF(ROUND($O130+$P130+$Q130-$N130,2)&lt;&gt;0,"★发票＋收据＋现金≠本年已收","OK")))))</f>
        <v/>
      </c>
      <c r="Y130" s="35" t="str">
        <f aca="false">IF(维保合同!$C130="","",维保合同!$E130)</f>
        <v/>
      </c>
      <c r="Z130" s="40" t="str">
        <f aca="false">IF($Y130="","",ROUND(SUMIFS(应收金额,应收键,$Y130,应收年度,"&gt;"&amp;管理年度)-SUMIFS(收款金额,收款键,$Y130,收款年度,"&gt;"&amp;管理年度),2))</f>
        <v/>
      </c>
      <c r="AA130" s="47" t="str">
        <f aca="false">IF($Y130="","",IF(SUMPRODUCT(MIN(IF((应收键=$Y130)*(应收未收&gt;0.01),应收日期,999999)))&gt;=999999,"",SUMPRODUCT(MIN(IF((应收键=$Y130)*(应收未收&gt;0.01),应收日期,999999)))))</f>
        <v/>
      </c>
    </row>
    <row r="131" customFormat="false" ht="15" hidden="false" customHeight="false" outlineLevel="0" collapsed="false">
      <c r="A131" s="29" t="str">
        <f aca="false">IF($Y131="","",ROW()-4)</f>
        <v/>
      </c>
      <c r="B131" s="16" t="str">
        <f aca="false">IF($Y131="","",维保合同!$C131)</f>
        <v/>
      </c>
      <c r="C131" s="16" t="str">
        <f aca="false">IF($Y131="","",维保合同!$D131)</f>
        <v/>
      </c>
      <c r="D131" s="35" t="str">
        <f aca="false">IF($Y131="","",维保合同!$F131)</f>
        <v/>
      </c>
      <c r="E131" s="35" t="str">
        <f aca="false">IF($Y131="","",维保合同!$G131)</f>
        <v/>
      </c>
      <c r="F131" s="47" t="str">
        <f aca="false">IF($Y131="","",维保合同!$I131)</f>
        <v/>
      </c>
      <c r="G131" s="38" t="str">
        <f aca="false">IF($Y131="","",维保合同!$K131)</f>
        <v/>
      </c>
      <c r="H131" s="41" t="str">
        <f aca="false">IF($Y131="","",ROUND(SUMIFS(应收金额,应收键,$Y131,应收年度,"&lt;"&amp;管理年度)-SUMIFS(收款金额,收款键,$Y131,收款年度,"&lt;"&amp;管理年度),2))</f>
        <v/>
      </c>
      <c r="I131" s="40" t="str">
        <f aca="false">IF($Y131="","",ROUND(SUMIFS(应收金额,应收键,$Y131,应收年度,管理年度),2))</f>
        <v/>
      </c>
      <c r="J131" s="40" t="str">
        <f aca="false">IF($Y131="","",ROUND(SUMIFS(应收金额,应收键,$Y131,应收年度,管理年度,应收款别,"合同款"),2))</f>
        <v/>
      </c>
      <c r="K131" s="40" t="str">
        <f aca="false">IF($Y131="","",ROUND($I131-$J131,2))</f>
        <v/>
      </c>
      <c r="L131" s="40" t="str">
        <f aca="false">IF($Y131="","",ROUND(SUMIFS(应收开票额,应收键,$Y131,应收开票年度,管理年度),2))</f>
        <v/>
      </c>
      <c r="M131" s="40" t="str">
        <f aca="false">IF($Y131="","",ROUND($I131-$L131,2))</f>
        <v/>
      </c>
      <c r="N131" s="40" t="str">
        <f aca="false">IF($Y131="","",ROUND(SUMIFS(收款金额,收款键,$Y131,收款年度,管理年度),2))</f>
        <v/>
      </c>
      <c r="O131" s="40" t="str">
        <f aca="false">IF($Y131="","",ROUND(SUMIFS(收款金额,收款键,$Y131,收款年度,管理年度,收款归类,"发票"),2))</f>
        <v/>
      </c>
      <c r="P131" s="40" t="str">
        <f aca="false">IF($Y131="","",ROUND(SUMIFS(收款金额,收款键,$Y131,收款年度,管理年度,收款归类,"收据"),2))</f>
        <v/>
      </c>
      <c r="Q131" s="40" t="str">
        <f aca="false">IF($Y131="","",ROUND(SUMIFS(收款金额,收款键,$Y131,收款年度,管理年度,收款归类,"现金无票"),2))</f>
        <v/>
      </c>
      <c r="R131" s="40" t="str">
        <f aca="false">IF($Y131="","",ROUND(MAX(0,MIN($T131,SUMIF(应收键,$Y131,应收开票额)-SUMIF(收款键,$Y131,收款金额))),2))</f>
        <v/>
      </c>
      <c r="S131" s="40" t="str">
        <f aca="false">IF($Y131="","",ROUND(MAX(0,$T131)-$R131,2))</f>
        <v/>
      </c>
      <c r="T131" s="48" t="str">
        <f aca="false">IF($Y131="","",ROUND(SUMIF(应收键,$Y131,应收金额)-SUMIF(收款键,$Y131,收款金额),2))</f>
        <v/>
      </c>
      <c r="U131" s="49" t="str">
        <f aca="true">IF($AA131="","",IF($T131&lt;=0.01,"",MAX(0,TODAY()-$AA131)))</f>
        <v/>
      </c>
      <c r="V131" s="50" t="str">
        <f aca="true">IF($Y131="","",IF($T131&gt;0.01,IF(AND(ISNUMBER($U131),$U131&gt;=账龄预警天),"▲欠款拖了 "&amp;TEXT($U131,"0")&amp;" 天","欠款未清"),IF($T131&lt;-0.01,"预收/多收","已结清"))&amp;IF(OR($E131="已签未回",$E131="未签",$E131="续签中")," ▲合同未回","")&amp;IF(AND(ISNUMBER($F131),$F131&lt;TODAY())," ▲合同已到期",""))</f>
        <v/>
      </c>
      <c r="W131" s="24"/>
      <c r="X131" s="35" t="str">
        <f aca="false">IF($Y131="","",IF(ROUND($H131+$I131-$N131+$Z131-$T131,2)&lt;&gt;0,"★期初＋本年－已收≠余额",IF(ROUND($R131+$S131-MAX(0,$T131),2)&lt;&gt;0,"★已开票＋未开票≠欠款",IF(ROUND($J131+$K131-$I131,2)&lt;&gt;0,"★合同款＋合同外款≠本年应收",IF(ROUND($O131+$P131+$Q131-$N131,2)&lt;&gt;0,"★发票＋收据＋现金≠本年已收","OK")))))</f>
        <v/>
      </c>
      <c r="Y131" s="35" t="str">
        <f aca="false">IF(维保合同!$C131="","",维保合同!$E131)</f>
        <v/>
      </c>
      <c r="Z131" s="40" t="str">
        <f aca="false">IF($Y131="","",ROUND(SUMIFS(应收金额,应收键,$Y131,应收年度,"&gt;"&amp;管理年度)-SUMIFS(收款金额,收款键,$Y131,收款年度,"&gt;"&amp;管理年度),2))</f>
        <v/>
      </c>
      <c r="AA131" s="47" t="str">
        <f aca="false">IF($Y131="","",IF(SUMPRODUCT(MIN(IF((应收键=$Y131)*(应收未收&gt;0.01),应收日期,999999)))&gt;=999999,"",SUMPRODUCT(MIN(IF((应收键=$Y131)*(应收未收&gt;0.01),应收日期,999999)))))</f>
        <v/>
      </c>
    </row>
    <row r="132" customFormat="false" ht="15" hidden="false" customHeight="false" outlineLevel="0" collapsed="false">
      <c r="A132" s="29" t="str">
        <f aca="false">IF($Y132="","",ROW()-4)</f>
        <v/>
      </c>
      <c r="B132" s="16" t="str">
        <f aca="false">IF($Y132="","",维保合同!$C132)</f>
        <v/>
      </c>
      <c r="C132" s="16" t="str">
        <f aca="false">IF($Y132="","",维保合同!$D132)</f>
        <v/>
      </c>
      <c r="D132" s="35" t="str">
        <f aca="false">IF($Y132="","",维保合同!$F132)</f>
        <v/>
      </c>
      <c r="E132" s="35" t="str">
        <f aca="false">IF($Y132="","",维保合同!$G132)</f>
        <v/>
      </c>
      <c r="F132" s="47" t="str">
        <f aca="false">IF($Y132="","",维保合同!$I132)</f>
        <v/>
      </c>
      <c r="G132" s="38" t="str">
        <f aca="false">IF($Y132="","",维保合同!$K132)</f>
        <v/>
      </c>
      <c r="H132" s="41" t="str">
        <f aca="false">IF($Y132="","",ROUND(SUMIFS(应收金额,应收键,$Y132,应收年度,"&lt;"&amp;管理年度)-SUMIFS(收款金额,收款键,$Y132,收款年度,"&lt;"&amp;管理年度),2))</f>
        <v/>
      </c>
      <c r="I132" s="40" t="str">
        <f aca="false">IF($Y132="","",ROUND(SUMIFS(应收金额,应收键,$Y132,应收年度,管理年度),2))</f>
        <v/>
      </c>
      <c r="J132" s="40" t="str">
        <f aca="false">IF($Y132="","",ROUND(SUMIFS(应收金额,应收键,$Y132,应收年度,管理年度,应收款别,"合同款"),2))</f>
        <v/>
      </c>
      <c r="K132" s="40" t="str">
        <f aca="false">IF($Y132="","",ROUND($I132-$J132,2))</f>
        <v/>
      </c>
      <c r="L132" s="40" t="str">
        <f aca="false">IF($Y132="","",ROUND(SUMIFS(应收开票额,应收键,$Y132,应收开票年度,管理年度),2))</f>
        <v/>
      </c>
      <c r="M132" s="40" t="str">
        <f aca="false">IF($Y132="","",ROUND($I132-$L132,2))</f>
        <v/>
      </c>
      <c r="N132" s="40" t="str">
        <f aca="false">IF($Y132="","",ROUND(SUMIFS(收款金额,收款键,$Y132,收款年度,管理年度),2))</f>
        <v/>
      </c>
      <c r="O132" s="40" t="str">
        <f aca="false">IF($Y132="","",ROUND(SUMIFS(收款金额,收款键,$Y132,收款年度,管理年度,收款归类,"发票"),2))</f>
        <v/>
      </c>
      <c r="P132" s="40" t="str">
        <f aca="false">IF($Y132="","",ROUND(SUMIFS(收款金额,收款键,$Y132,收款年度,管理年度,收款归类,"收据"),2))</f>
        <v/>
      </c>
      <c r="Q132" s="40" t="str">
        <f aca="false">IF($Y132="","",ROUND(SUMIFS(收款金额,收款键,$Y132,收款年度,管理年度,收款归类,"现金无票"),2))</f>
        <v/>
      </c>
      <c r="R132" s="40" t="str">
        <f aca="false">IF($Y132="","",ROUND(MAX(0,MIN($T132,SUMIF(应收键,$Y132,应收开票额)-SUMIF(收款键,$Y132,收款金额))),2))</f>
        <v/>
      </c>
      <c r="S132" s="40" t="str">
        <f aca="false">IF($Y132="","",ROUND(MAX(0,$T132)-$R132,2))</f>
        <v/>
      </c>
      <c r="T132" s="48" t="str">
        <f aca="false">IF($Y132="","",ROUND(SUMIF(应收键,$Y132,应收金额)-SUMIF(收款键,$Y132,收款金额),2))</f>
        <v/>
      </c>
      <c r="U132" s="49" t="str">
        <f aca="true">IF($AA132="","",IF($T132&lt;=0.01,"",MAX(0,TODAY()-$AA132)))</f>
        <v/>
      </c>
      <c r="V132" s="50" t="str">
        <f aca="true">IF($Y132="","",IF($T132&gt;0.01,IF(AND(ISNUMBER($U132),$U132&gt;=账龄预警天),"▲欠款拖了 "&amp;TEXT($U132,"0")&amp;" 天","欠款未清"),IF($T132&lt;-0.01,"预收/多收","已结清"))&amp;IF(OR($E132="已签未回",$E132="未签",$E132="续签中")," ▲合同未回","")&amp;IF(AND(ISNUMBER($F132),$F132&lt;TODAY())," ▲合同已到期",""))</f>
        <v/>
      </c>
      <c r="W132" s="24"/>
      <c r="X132" s="35" t="str">
        <f aca="false">IF($Y132="","",IF(ROUND($H132+$I132-$N132+$Z132-$T132,2)&lt;&gt;0,"★期初＋本年－已收≠余额",IF(ROUND($R132+$S132-MAX(0,$T132),2)&lt;&gt;0,"★已开票＋未开票≠欠款",IF(ROUND($J132+$K132-$I132,2)&lt;&gt;0,"★合同款＋合同外款≠本年应收",IF(ROUND($O132+$P132+$Q132-$N132,2)&lt;&gt;0,"★发票＋收据＋现金≠本年已收","OK")))))</f>
        <v/>
      </c>
      <c r="Y132" s="35" t="str">
        <f aca="false">IF(维保合同!$C132="","",维保合同!$E132)</f>
        <v/>
      </c>
      <c r="Z132" s="40" t="str">
        <f aca="false">IF($Y132="","",ROUND(SUMIFS(应收金额,应收键,$Y132,应收年度,"&gt;"&amp;管理年度)-SUMIFS(收款金额,收款键,$Y132,收款年度,"&gt;"&amp;管理年度),2))</f>
        <v/>
      </c>
      <c r="AA132" s="47" t="str">
        <f aca="false">IF($Y132="","",IF(SUMPRODUCT(MIN(IF((应收键=$Y132)*(应收未收&gt;0.01),应收日期,999999)))&gt;=999999,"",SUMPRODUCT(MIN(IF((应收键=$Y132)*(应收未收&gt;0.01),应收日期,999999)))))</f>
        <v/>
      </c>
    </row>
    <row r="133" customFormat="false" ht="15" hidden="false" customHeight="false" outlineLevel="0" collapsed="false">
      <c r="A133" s="29" t="str">
        <f aca="false">IF($Y133="","",ROW()-4)</f>
        <v/>
      </c>
      <c r="B133" s="16" t="str">
        <f aca="false">IF($Y133="","",维保合同!$C133)</f>
        <v/>
      </c>
      <c r="C133" s="16" t="str">
        <f aca="false">IF($Y133="","",维保合同!$D133)</f>
        <v/>
      </c>
      <c r="D133" s="35" t="str">
        <f aca="false">IF($Y133="","",维保合同!$F133)</f>
        <v/>
      </c>
      <c r="E133" s="35" t="str">
        <f aca="false">IF($Y133="","",维保合同!$G133)</f>
        <v/>
      </c>
      <c r="F133" s="47" t="str">
        <f aca="false">IF($Y133="","",维保合同!$I133)</f>
        <v/>
      </c>
      <c r="G133" s="38" t="str">
        <f aca="false">IF($Y133="","",维保合同!$K133)</f>
        <v/>
      </c>
      <c r="H133" s="41" t="str">
        <f aca="false">IF($Y133="","",ROUND(SUMIFS(应收金额,应收键,$Y133,应收年度,"&lt;"&amp;管理年度)-SUMIFS(收款金额,收款键,$Y133,收款年度,"&lt;"&amp;管理年度),2))</f>
        <v/>
      </c>
      <c r="I133" s="40" t="str">
        <f aca="false">IF($Y133="","",ROUND(SUMIFS(应收金额,应收键,$Y133,应收年度,管理年度),2))</f>
        <v/>
      </c>
      <c r="J133" s="40" t="str">
        <f aca="false">IF($Y133="","",ROUND(SUMIFS(应收金额,应收键,$Y133,应收年度,管理年度,应收款别,"合同款"),2))</f>
        <v/>
      </c>
      <c r="K133" s="40" t="str">
        <f aca="false">IF($Y133="","",ROUND($I133-$J133,2))</f>
        <v/>
      </c>
      <c r="L133" s="40" t="str">
        <f aca="false">IF($Y133="","",ROUND(SUMIFS(应收开票额,应收键,$Y133,应收开票年度,管理年度),2))</f>
        <v/>
      </c>
      <c r="M133" s="40" t="str">
        <f aca="false">IF($Y133="","",ROUND($I133-$L133,2))</f>
        <v/>
      </c>
      <c r="N133" s="40" t="str">
        <f aca="false">IF($Y133="","",ROUND(SUMIFS(收款金额,收款键,$Y133,收款年度,管理年度),2))</f>
        <v/>
      </c>
      <c r="O133" s="40" t="str">
        <f aca="false">IF($Y133="","",ROUND(SUMIFS(收款金额,收款键,$Y133,收款年度,管理年度,收款归类,"发票"),2))</f>
        <v/>
      </c>
      <c r="P133" s="40" t="str">
        <f aca="false">IF($Y133="","",ROUND(SUMIFS(收款金额,收款键,$Y133,收款年度,管理年度,收款归类,"收据"),2))</f>
        <v/>
      </c>
      <c r="Q133" s="40" t="str">
        <f aca="false">IF($Y133="","",ROUND(SUMIFS(收款金额,收款键,$Y133,收款年度,管理年度,收款归类,"现金无票"),2))</f>
        <v/>
      </c>
      <c r="R133" s="40" t="str">
        <f aca="false">IF($Y133="","",ROUND(MAX(0,MIN($T133,SUMIF(应收键,$Y133,应收开票额)-SUMIF(收款键,$Y133,收款金额))),2))</f>
        <v/>
      </c>
      <c r="S133" s="40" t="str">
        <f aca="false">IF($Y133="","",ROUND(MAX(0,$T133)-$R133,2))</f>
        <v/>
      </c>
      <c r="T133" s="48" t="str">
        <f aca="false">IF($Y133="","",ROUND(SUMIF(应收键,$Y133,应收金额)-SUMIF(收款键,$Y133,收款金额),2))</f>
        <v/>
      </c>
      <c r="U133" s="49" t="str">
        <f aca="true">IF($AA133="","",IF($T133&lt;=0.01,"",MAX(0,TODAY()-$AA133)))</f>
        <v/>
      </c>
      <c r="V133" s="50" t="str">
        <f aca="true">IF($Y133="","",IF($T133&gt;0.01,IF(AND(ISNUMBER($U133),$U133&gt;=账龄预警天),"▲欠款拖了 "&amp;TEXT($U133,"0")&amp;" 天","欠款未清"),IF($T133&lt;-0.01,"预收/多收","已结清"))&amp;IF(OR($E133="已签未回",$E133="未签",$E133="续签中")," ▲合同未回","")&amp;IF(AND(ISNUMBER($F133),$F133&lt;TODAY())," ▲合同已到期",""))</f>
        <v/>
      </c>
      <c r="W133" s="24"/>
      <c r="X133" s="35" t="str">
        <f aca="false">IF($Y133="","",IF(ROUND($H133+$I133-$N133+$Z133-$T133,2)&lt;&gt;0,"★期初＋本年－已收≠余额",IF(ROUND($R133+$S133-MAX(0,$T133),2)&lt;&gt;0,"★已开票＋未开票≠欠款",IF(ROUND($J133+$K133-$I133,2)&lt;&gt;0,"★合同款＋合同外款≠本年应收",IF(ROUND($O133+$P133+$Q133-$N133,2)&lt;&gt;0,"★发票＋收据＋现金≠本年已收","OK")))))</f>
        <v/>
      </c>
      <c r="Y133" s="35" t="str">
        <f aca="false">IF(维保合同!$C133="","",维保合同!$E133)</f>
        <v/>
      </c>
      <c r="Z133" s="40" t="str">
        <f aca="false">IF($Y133="","",ROUND(SUMIFS(应收金额,应收键,$Y133,应收年度,"&gt;"&amp;管理年度)-SUMIFS(收款金额,收款键,$Y133,收款年度,"&gt;"&amp;管理年度),2))</f>
        <v/>
      </c>
      <c r="AA133" s="47" t="str">
        <f aca="false">IF($Y133="","",IF(SUMPRODUCT(MIN(IF((应收键=$Y133)*(应收未收&gt;0.01),应收日期,999999)))&gt;=999999,"",SUMPRODUCT(MIN(IF((应收键=$Y133)*(应收未收&gt;0.01),应收日期,999999)))))</f>
        <v/>
      </c>
    </row>
    <row r="134" customFormat="false" ht="15" hidden="false" customHeight="false" outlineLevel="0" collapsed="false">
      <c r="A134" s="29" t="str">
        <f aca="false">IF($Y134="","",ROW()-4)</f>
        <v/>
      </c>
      <c r="B134" s="16" t="str">
        <f aca="false">IF($Y134="","",维保合同!$C134)</f>
        <v/>
      </c>
      <c r="C134" s="16" t="str">
        <f aca="false">IF($Y134="","",维保合同!$D134)</f>
        <v/>
      </c>
      <c r="D134" s="35" t="str">
        <f aca="false">IF($Y134="","",维保合同!$F134)</f>
        <v/>
      </c>
      <c r="E134" s="35" t="str">
        <f aca="false">IF($Y134="","",维保合同!$G134)</f>
        <v/>
      </c>
      <c r="F134" s="47" t="str">
        <f aca="false">IF($Y134="","",维保合同!$I134)</f>
        <v/>
      </c>
      <c r="G134" s="38" t="str">
        <f aca="false">IF($Y134="","",维保合同!$K134)</f>
        <v/>
      </c>
      <c r="H134" s="41" t="str">
        <f aca="false">IF($Y134="","",ROUND(SUMIFS(应收金额,应收键,$Y134,应收年度,"&lt;"&amp;管理年度)-SUMIFS(收款金额,收款键,$Y134,收款年度,"&lt;"&amp;管理年度),2))</f>
        <v/>
      </c>
      <c r="I134" s="40" t="str">
        <f aca="false">IF($Y134="","",ROUND(SUMIFS(应收金额,应收键,$Y134,应收年度,管理年度),2))</f>
        <v/>
      </c>
      <c r="J134" s="40" t="str">
        <f aca="false">IF($Y134="","",ROUND(SUMIFS(应收金额,应收键,$Y134,应收年度,管理年度,应收款别,"合同款"),2))</f>
        <v/>
      </c>
      <c r="K134" s="40" t="str">
        <f aca="false">IF($Y134="","",ROUND($I134-$J134,2))</f>
        <v/>
      </c>
      <c r="L134" s="40" t="str">
        <f aca="false">IF($Y134="","",ROUND(SUMIFS(应收开票额,应收键,$Y134,应收开票年度,管理年度),2))</f>
        <v/>
      </c>
      <c r="M134" s="40" t="str">
        <f aca="false">IF($Y134="","",ROUND($I134-$L134,2))</f>
        <v/>
      </c>
      <c r="N134" s="40" t="str">
        <f aca="false">IF($Y134="","",ROUND(SUMIFS(收款金额,收款键,$Y134,收款年度,管理年度),2))</f>
        <v/>
      </c>
      <c r="O134" s="40" t="str">
        <f aca="false">IF($Y134="","",ROUND(SUMIFS(收款金额,收款键,$Y134,收款年度,管理年度,收款归类,"发票"),2))</f>
        <v/>
      </c>
      <c r="P134" s="40" t="str">
        <f aca="false">IF($Y134="","",ROUND(SUMIFS(收款金额,收款键,$Y134,收款年度,管理年度,收款归类,"收据"),2))</f>
        <v/>
      </c>
      <c r="Q134" s="40" t="str">
        <f aca="false">IF($Y134="","",ROUND(SUMIFS(收款金额,收款键,$Y134,收款年度,管理年度,收款归类,"现金无票"),2))</f>
        <v/>
      </c>
      <c r="R134" s="40" t="str">
        <f aca="false">IF($Y134="","",ROUND(MAX(0,MIN($T134,SUMIF(应收键,$Y134,应收开票额)-SUMIF(收款键,$Y134,收款金额))),2))</f>
        <v/>
      </c>
      <c r="S134" s="40" t="str">
        <f aca="false">IF($Y134="","",ROUND(MAX(0,$T134)-$R134,2))</f>
        <v/>
      </c>
      <c r="T134" s="48" t="str">
        <f aca="false">IF($Y134="","",ROUND(SUMIF(应收键,$Y134,应收金额)-SUMIF(收款键,$Y134,收款金额),2))</f>
        <v/>
      </c>
      <c r="U134" s="49" t="str">
        <f aca="true">IF($AA134="","",IF($T134&lt;=0.01,"",MAX(0,TODAY()-$AA134)))</f>
        <v/>
      </c>
      <c r="V134" s="50" t="str">
        <f aca="true">IF($Y134="","",IF($T134&gt;0.01,IF(AND(ISNUMBER($U134),$U134&gt;=账龄预警天),"▲欠款拖了 "&amp;TEXT($U134,"0")&amp;" 天","欠款未清"),IF($T134&lt;-0.01,"预收/多收","已结清"))&amp;IF(OR($E134="已签未回",$E134="未签",$E134="续签中")," ▲合同未回","")&amp;IF(AND(ISNUMBER($F134),$F134&lt;TODAY())," ▲合同已到期",""))</f>
        <v/>
      </c>
      <c r="W134" s="24"/>
      <c r="X134" s="35" t="str">
        <f aca="false">IF($Y134="","",IF(ROUND($H134+$I134-$N134+$Z134-$T134,2)&lt;&gt;0,"★期初＋本年－已收≠余额",IF(ROUND($R134+$S134-MAX(0,$T134),2)&lt;&gt;0,"★已开票＋未开票≠欠款",IF(ROUND($J134+$K134-$I134,2)&lt;&gt;0,"★合同款＋合同外款≠本年应收",IF(ROUND($O134+$P134+$Q134-$N134,2)&lt;&gt;0,"★发票＋收据＋现金≠本年已收","OK")))))</f>
        <v/>
      </c>
      <c r="Y134" s="35" t="str">
        <f aca="false">IF(维保合同!$C134="","",维保合同!$E134)</f>
        <v/>
      </c>
      <c r="Z134" s="40" t="str">
        <f aca="false">IF($Y134="","",ROUND(SUMIFS(应收金额,应收键,$Y134,应收年度,"&gt;"&amp;管理年度)-SUMIFS(收款金额,收款键,$Y134,收款年度,"&gt;"&amp;管理年度),2))</f>
        <v/>
      </c>
      <c r="AA134" s="47" t="str">
        <f aca="false">IF($Y134="","",IF(SUMPRODUCT(MIN(IF((应收键=$Y134)*(应收未收&gt;0.01),应收日期,999999)))&gt;=999999,"",SUMPRODUCT(MIN(IF((应收键=$Y134)*(应收未收&gt;0.01),应收日期,999999)))))</f>
        <v/>
      </c>
    </row>
    <row r="135" customFormat="false" ht="15" hidden="false" customHeight="false" outlineLevel="0" collapsed="false">
      <c r="A135" s="29" t="str">
        <f aca="false">IF($Y135="","",ROW()-4)</f>
        <v/>
      </c>
      <c r="B135" s="16" t="str">
        <f aca="false">IF($Y135="","",维保合同!$C135)</f>
        <v/>
      </c>
      <c r="C135" s="16" t="str">
        <f aca="false">IF($Y135="","",维保合同!$D135)</f>
        <v/>
      </c>
      <c r="D135" s="35" t="str">
        <f aca="false">IF($Y135="","",维保合同!$F135)</f>
        <v/>
      </c>
      <c r="E135" s="35" t="str">
        <f aca="false">IF($Y135="","",维保合同!$G135)</f>
        <v/>
      </c>
      <c r="F135" s="47" t="str">
        <f aca="false">IF($Y135="","",维保合同!$I135)</f>
        <v/>
      </c>
      <c r="G135" s="38" t="str">
        <f aca="false">IF($Y135="","",维保合同!$K135)</f>
        <v/>
      </c>
      <c r="H135" s="41" t="str">
        <f aca="false">IF($Y135="","",ROUND(SUMIFS(应收金额,应收键,$Y135,应收年度,"&lt;"&amp;管理年度)-SUMIFS(收款金额,收款键,$Y135,收款年度,"&lt;"&amp;管理年度),2))</f>
        <v/>
      </c>
      <c r="I135" s="40" t="str">
        <f aca="false">IF($Y135="","",ROUND(SUMIFS(应收金额,应收键,$Y135,应收年度,管理年度),2))</f>
        <v/>
      </c>
      <c r="J135" s="40" t="str">
        <f aca="false">IF($Y135="","",ROUND(SUMIFS(应收金额,应收键,$Y135,应收年度,管理年度,应收款别,"合同款"),2))</f>
        <v/>
      </c>
      <c r="K135" s="40" t="str">
        <f aca="false">IF($Y135="","",ROUND($I135-$J135,2))</f>
        <v/>
      </c>
      <c r="L135" s="40" t="str">
        <f aca="false">IF($Y135="","",ROUND(SUMIFS(应收开票额,应收键,$Y135,应收开票年度,管理年度),2))</f>
        <v/>
      </c>
      <c r="M135" s="40" t="str">
        <f aca="false">IF($Y135="","",ROUND($I135-$L135,2))</f>
        <v/>
      </c>
      <c r="N135" s="40" t="str">
        <f aca="false">IF($Y135="","",ROUND(SUMIFS(收款金额,收款键,$Y135,收款年度,管理年度),2))</f>
        <v/>
      </c>
      <c r="O135" s="40" t="str">
        <f aca="false">IF($Y135="","",ROUND(SUMIFS(收款金额,收款键,$Y135,收款年度,管理年度,收款归类,"发票"),2))</f>
        <v/>
      </c>
      <c r="P135" s="40" t="str">
        <f aca="false">IF($Y135="","",ROUND(SUMIFS(收款金额,收款键,$Y135,收款年度,管理年度,收款归类,"收据"),2))</f>
        <v/>
      </c>
      <c r="Q135" s="40" t="str">
        <f aca="false">IF($Y135="","",ROUND(SUMIFS(收款金额,收款键,$Y135,收款年度,管理年度,收款归类,"现金无票"),2))</f>
        <v/>
      </c>
      <c r="R135" s="40" t="str">
        <f aca="false">IF($Y135="","",ROUND(MAX(0,MIN($T135,SUMIF(应收键,$Y135,应收开票额)-SUMIF(收款键,$Y135,收款金额))),2))</f>
        <v/>
      </c>
      <c r="S135" s="40" t="str">
        <f aca="false">IF($Y135="","",ROUND(MAX(0,$T135)-$R135,2))</f>
        <v/>
      </c>
      <c r="T135" s="48" t="str">
        <f aca="false">IF($Y135="","",ROUND(SUMIF(应收键,$Y135,应收金额)-SUMIF(收款键,$Y135,收款金额),2))</f>
        <v/>
      </c>
      <c r="U135" s="49" t="str">
        <f aca="true">IF($AA135="","",IF($T135&lt;=0.01,"",MAX(0,TODAY()-$AA135)))</f>
        <v/>
      </c>
      <c r="V135" s="50" t="str">
        <f aca="true">IF($Y135="","",IF($T135&gt;0.01,IF(AND(ISNUMBER($U135),$U135&gt;=账龄预警天),"▲欠款拖了 "&amp;TEXT($U135,"0")&amp;" 天","欠款未清"),IF($T135&lt;-0.01,"预收/多收","已结清"))&amp;IF(OR($E135="已签未回",$E135="未签",$E135="续签中")," ▲合同未回","")&amp;IF(AND(ISNUMBER($F135),$F135&lt;TODAY())," ▲合同已到期",""))</f>
        <v/>
      </c>
      <c r="W135" s="24"/>
      <c r="X135" s="35" t="str">
        <f aca="false">IF($Y135="","",IF(ROUND($H135+$I135-$N135+$Z135-$T135,2)&lt;&gt;0,"★期初＋本年－已收≠余额",IF(ROUND($R135+$S135-MAX(0,$T135),2)&lt;&gt;0,"★已开票＋未开票≠欠款",IF(ROUND($J135+$K135-$I135,2)&lt;&gt;0,"★合同款＋合同外款≠本年应收",IF(ROUND($O135+$P135+$Q135-$N135,2)&lt;&gt;0,"★发票＋收据＋现金≠本年已收","OK")))))</f>
        <v/>
      </c>
      <c r="Y135" s="35" t="str">
        <f aca="false">IF(维保合同!$C135="","",维保合同!$E135)</f>
        <v/>
      </c>
      <c r="Z135" s="40" t="str">
        <f aca="false">IF($Y135="","",ROUND(SUMIFS(应收金额,应收键,$Y135,应收年度,"&gt;"&amp;管理年度)-SUMIFS(收款金额,收款键,$Y135,收款年度,"&gt;"&amp;管理年度),2))</f>
        <v/>
      </c>
      <c r="AA135" s="47" t="str">
        <f aca="false">IF($Y135="","",IF(SUMPRODUCT(MIN(IF((应收键=$Y135)*(应收未收&gt;0.01),应收日期,999999)))&gt;=999999,"",SUMPRODUCT(MIN(IF((应收键=$Y135)*(应收未收&gt;0.01),应收日期,999999)))))</f>
        <v/>
      </c>
    </row>
    <row r="136" customFormat="false" ht="15" hidden="false" customHeight="false" outlineLevel="0" collapsed="false">
      <c r="A136" s="29" t="str">
        <f aca="false">IF($Y136="","",ROW()-4)</f>
        <v/>
      </c>
      <c r="B136" s="16" t="str">
        <f aca="false">IF($Y136="","",维保合同!$C136)</f>
        <v/>
      </c>
      <c r="C136" s="16" t="str">
        <f aca="false">IF($Y136="","",维保合同!$D136)</f>
        <v/>
      </c>
      <c r="D136" s="35" t="str">
        <f aca="false">IF($Y136="","",维保合同!$F136)</f>
        <v/>
      </c>
      <c r="E136" s="35" t="str">
        <f aca="false">IF($Y136="","",维保合同!$G136)</f>
        <v/>
      </c>
      <c r="F136" s="47" t="str">
        <f aca="false">IF($Y136="","",维保合同!$I136)</f>
        <v/>
      </c>
      <c r="G136" s="38" t="str">
        <f aca="false">IF($Y136="","",维保合同!$K136)</f>
        <v/>
      </c>
      <c r="H136" s="41" t="str">
        <f aca="false">IF($Y136="","",ROUND(SUMIFS(应收金额,应收键,$Y136,应收年度,"&lt;"&amp;管理年度)-SUMIFS(收款金额,收款键,$Y136,收款年度,"&lt;"&amp;管理年度),2))</f>
        <v/>
      </c>
      <c r="I136" s="40" t="str">
        <f aca="false">IF($Y136="","",ROUND(SUMIFS(应收金额,应收键,$Y136,应收年度,管理年度),2))</f>
        <v/>
      </c>
      <c r="J136" s="40" t="str">
        <f aca="false">IF($Y136="","",ROUND(SUMIFS(应收金额,应收键,$Y136,应收年度,管理年度,应收款别,"合同款"),2))</f>
        <v/>
      </c>
      <c r="K136" s="40" t="str">
        <f aca="false">IF($Y136="","",ROUND($I136-$J136,2))</f>
        <v/>
      </c>
      <c r="L136" s="40" t="str">
        <f aca="false">IF($Y136="","",ROUND(SUMIFS(应收开票额,应收键,$Y136,应收开票年度,管理年度),2))</f>
        <v/>
      </c>
      <c r="M136" s="40" t="str">
        <f aca="false">IF($Y136="","",ROUND($I136-$L136,2))</f>
        <v/>
      </c>
      <c r="N136" s="40" t="str">
        <f aca="false">IF($Y136="","",ROUND(SUMIFS(收款金额,收款键,$Y136,收款年度,管理年度),2))</f>
        <v/>
      </c>
      <c r="O136" s="40" t="str">
        <f aca="false">IF($Y136="","",ROUND(SUMIFS(收款金额,收款键,$Y136,收款年度,管理年度,收款归类,"发票"),2))</f>
        <v/>
      </c>
      <c r="P136" s="40" t="str">
        <f aca="false">IF($Y136="","",ROUND(SUMIFS(收款金额,收款键,$Y136,收款年度,管理年度,收款归类,"收据"),2))</f>
        <v/>
      </c>
      <c r="Q136" s="40" t="str">
        <f aca="false">IF($Y136="","",ROUND(SUMIFS(收款金额,收款键,$Y136,收款年度,管理年度,收款归类,"现金无票"),2))</f>
        <v/>
      </c>
      <c r="R136" s="40" t="str">
        <f aca="false">IF($Y136="","",ROUND(MAX(0,MIN($T136,SUMIF(应收键,$Y136,应收开票额)-SUMIF(收款键,$Y136,收款金额))),2))</f>
        <v/>
      </c>
      <c r="S136" s="40" t="str">
        <f aca="false">IF($Y136="","",ROUND(MAX(0,$T136)-$R136,2))</f>
        <v/>
      </c>
      <c r="T136" s="48" t="str">
        <f aca="false">IF($Y136="","",ROUND(SUMIF(应收键,$Y136,应收金额)-SUMIF(收款键,$Y136,收款金额),2))</f>
        <v/>
      </c>
      <c r="U136" s="49" t="str">
        <f aca="true">IF($AA136="","",IF($T136&lt;=0.01,"",MAX(0,TODAY()-$AA136)))</f>
        <v/>
      </c>
      <c r="V136" s="50" t="str">
        <f aca="true">IF($Y136="","",IF($T136&gt;0.01,IF(AND(ISNUMBER($U136),$U136&gt;=账龄预警天),"▲欠款拖了 "&amp;TEXT($U136,"0")&amp;" 天","欠款未清"),IF($T136&lt;-0.01,"预收/多收","已结清"))&amp;IF(OR($E136="已签未回",$E136="未签",$E136="续签中")," ▲合同未回","")&amp;IF(AND(ISNUMBER($F136),$F136&lt;TODAY())," ▲合同已到期",""))</f>
        <v/>
      </c>
      <c r="W136" s="24"/>
      <c r="X136" s="35" t="str">
        <f aca="false">IF($Y136="","",IF(ROUND($H136+$I136-$N136+$Z136-$T136,2)&lt;&gt;0,"★期初＋本年－已收≠余额",IF(ROUND($R136+$S136-MAX(0,$T136),2)&lt;&gt;0,"★已开票＋未开票≠欠款",IF(ROUND($J136+$K136-$I136,2)&lt;&gt;0,"★合同款＋合同外款≠本年应收",IF(ROUND($O136+$P136+$Q136-$N136,2)&lt;&gt;0,"★发票＋收据＋现金≠本年已收","OK")))))</f>
        <v/>
      </c>
      <c r="Y136" s="35" t="str">
        <f aca="false">IF(维保合同!$C136="","",维保合同!$E136)</f>
        <v/>
      </c>
      <c r="Z136" s="40" t="str">
        <f aca="false">IF($Y136="","",ROUND(SUMIFS(应收金额,应收键,$Y136,应收年度,"&gt;"&amp;管理年度)-SUMIFS(收款金额,收款键,$Y136,收款年度,"&gt;"&amp;管理年度),2))</f>
        <v/>
      </c>
      <c r="AA136" s="47" t="str">
        <f aca="false">IF($Y136="","",IF(SUMPRODUCT(MIN(IF((应收键=$Y136)*(应收未收&gt;0.01),应收日期,999999)))&gt;=999999,"",SUMPRODUCT(MIN(IF((应收键=$Y136)*(应收未收&gt;0.01),应收日期,999999)))))</f>
        <v/>
      </c>
    </row>
    <row r="137" customFormat="false" ht="15" hidden="false" customHeight="false" outlineLevel="0" collapsed="false">
      <c r="A137" s="29" t="str">
        <f aca="false">IF($Y137="","",ROW()-4)</f>
        <v/>
      </c>
      <c r="B137" s="16" t="str">
        <f aca="false">IF($Y137="","",维保合同!$C137)</f>
        <v/>
      </c>
      <c r="C137" s="16" t="str">
        <f aca="false">IF($Y137="","",维保合同!$D137)</f>
        <v/>
      </c>
      <c r="D137" s="35" t="str">
        <f aca="false">IF($Y137="","",维保合同!$F137)</f>
        <v/>
      </c>
      <c r="E137" s="35" t="str">
        <f aca="false">IF($Y137="","",维保合同!$G137)</f>
        <v/>
      </c>
      <c r="F137" s="47" t="str">
        <f aca="false">IF($Y137="","",维保合同!$I137)</f>
        <v/>
      </c>
      <c r="G137" s="38" t="str">
        <f aca="false">IF($Y137="","",维保合同!$K137)</f>
        <v/>
      </c>
      <c r="H137" s="41" t="str">
        <f aca="false">IF($Y137="","",ROUND(SUMIFS(应收金额,应收键,$Y137,应收年度,"&lt;"&amp;管理年度)-SUMIFS(收款金额,收款键,$Y137,收款年度,"&lt;"&amp;管理年度),2))</f>
        <v/>
      </c>
      <c r="I137" s="40" t="str">
        <f aca="false">IF($Y137="","",ROUND(SUMIFS(应收金额,应收键,$Y137,应收年度,管理年度),2))</f>
        <v/>
      </c>
      <c r="J137" s="40" t="str">
        <f aca="false">IF($Y137="","",ROUND(SUMIFS(应收金额,应收键,$Y137,应收年度,管理年度,应收款别,"合同款"),2))</f>
        <v/>
      </c>
      <c r="K137" s="40" t="str">
        <f aca="false">IF($Y137="","",ROUND($I137-$J137,2))</f>
        <v/>
      </c>
      <c r="L137" s="40" t="str">
        <f aca="false">IF($Y137="","",ROUND(SUMIFS(应收开票额,应收键,$Y137,应收开票年度,管理年度),2))</f>
        <v/>
      </c>
      <c r="M137" s="40" t="str">
        <f aca="false">IF($Y137="","",ROUND($I137-$L137,2))</f>
        <v/>
      </c>
      <c r="N137" s="40" t="str">
        <f aca="false">IF($Y137="","",ROUND(SUMIFS(收款金额,收款键,$Y137,收款年度,管理年度),2))</f>
        <v/>
      </c>
      <c r="O137" s="40" t="str">
        <f aca="false">IF($Y137="","",ROUND(SUMIFS(收款金额,收款键,$Y137,收款年度,管理年度,收款归类,"发票"),2))</f>
        <v/>
      </c>
      <c r="P137" s="40" t="str">
        <f aca="false">IF($Y137="","",ROUND(SUMIFS(收款金额,收款键,$Y137,收款年度,管理年度,收款归类,"收据"),2))</f>
        <v/>
      </c>
      <c r="Q137" s="40" t="str">
        <f aca="false">IF($Y137="","",ROUND(SUMIFS(收款金额,收款键,$Y137,收款年度,管理年度,收款归类,"现金无票"),2))</f>
        <v/>
      </c>
      <c r="R137" s="40" t="str">
        <f aca="false">IF($Y137="","",ROUND(MAX(0,MIN($T137,SUMIF(应收键,$Y137,应收开票额)-SUMIF(收款键,$Y137,收款金额))),2))</f>
        <v/>
      </c>
      <c r="S137" s="40" t="str">
        <f aca="false">IF($Y137="","",ROUND(MAX(0,$T137)-$R137,2))</f>
        <v/>
      </c>
      <c r="T137" s="48" t="str">
        <f aca="false">IF($Y137="","",ROUND(SUMIF(应收键,$Y137,应收金额)-SUMIF(收款键,$Y137,收款金额),2))</f>
        <v/>
      </c>
      <c r="U137" s="49" t="str">
        <f aca="true">IF($AA137="","",IF($T137&lt;=0.01,"",MAX(0,TODAY()-$AA137)))</f>
        <v/>
      </c>
      <c r="V137" s="50" t="str">
        <f aca="true">IF($Y137="","",IF($T137&gt;0.01,IF(AND(ISNUMBER($U137),$U137&gt;=账龄预警天),"▲欠款拖了 "&amp;TEXT($U137,"0")&amp;" 天","欠款未清"),IF($T137&lt;-0.01,"预收/多收","已结清"))&amp;IF(OR($E137="已签未回",$E137="未签",$E137="续签中")," ▲合同未回","")&amp;IF(AND(ISNUMBER($F137),$F137&lt;TODAY())," ▲合同已到期",""))</f>
        <v/>
      </c>
      <c r="W137" s="24"/>
      <c r="X137" s="35" t="str">
        <f aca="false">IF($Y137="","",IF(ROUND($H137+$I137-$N137+$Z137-$T137,2)&lt;&gt;0,"★期初＋本年－已收≠余额",IF(ROUND($R137+$S137-MAX(0,$T137),2)&lt;&gt;0,"★已开票＋未开票≠欠款",IF(ROUND($J137+$K137-$I137,2)&lt;&gt;0,"★合同款＋合同外款≠本年应收",IF(ROUND($O137+$P137+$Q137-$N137,2)&lt;&gt;0,"★发票＋收据＋现金≠本年已收","OK")))))</f>
        <v/>
      </c>
      <c r="Y137" s="35" t="str">
        <f aca="false">IF(维保合同!$C137="","",维保合同!$E137)</f>
        <v/>
      </c>
      <c r="Z137" s="40" t="str">
        <f aca="false">IF($Y137="","",ROUND(SUMIFS(应收金额,应收键,$Y137,应收年度,"&gt;"&amp;管理年度)-SUMIFS(收款金额,收款键,$Y137,收款年度,"&gt;"&amp;管理年度),2))</f>
        <v/>
      </c>
      <c r="AA137" s="47" t="str">
        <f aca="false">IF($Y137="","",IF(SUMPRODUCT(MIN(IF((应收键=$Y137)*(应收未收&gt;0.01),应收日期,999999)))&gt;=999999,"",SUMPRODUCT(MIN(IF((应收键=$Y137)*(应收未收&gt;0.01),应收日期,999999)))))</f>
        <v/>
      </c>
    </row>
    <row r="138" customFormat="false" ht="15" hidden="false" customHeight="false" outlineLevel="0" collapsed="false">
      <c r="A138" s="29" t="str">
        <f aca="false">IF($Y138="","",ROW()-4)</f>
        <v/>
      </c>
      <c r="B138" s="16" t="str">
        <f aca="false">IF($Y138="","",维保合同!$C138)</f>
        <v/>
      </c>
      <c r="C138" s="16" t="str">
        <f aca="false">IF($Y138="","",维保合同!$D138)</f>
        <v/>
      </c>
      <c r="D138" s="35" t="str">
        <f aca="false">IF($Y138="","",维保合同!$F138)</f>
        <v/>
      </c>
      <c r="E138" s="35" t="str">
        <f aca="false">IF($Y138="","",维保合同!$G138)</f>
        <v/>
      </c>
      <c r="F138" s="47" t="str">
        <f aca="false">IF($Y138="","",维保合同!$I138)</f>
        <v/>
      </c>
      <c r="G138" s="38" t="str">
        <f aca="false">IF($Y138="","",维保合同!$K138)</f>
        <v/>
      </c>
      <c r="H138" s="41" t="str">
        <f aca="false">IF($Y138="","",ROUND(SUMIFS(应收金额,应收键,$Y138,应收年度,"&lt;"&amp;管理年度)-SUMIFS(收款金额,收款键,$Y138,收款年度,"&lt;"&amp;管理年度),2))</f>
        <v/>
      </c>
      <c r="I138" s="40" t="str">
        <f aca="false">IF($Y138="","",ROUND(SUMIFS(应收金额,应收键,$Y138,应收年度,管理年度),2))</f>
        <v/>
      </c>
      <c r="J138" s="40" t="str">
        <f aca="false">IF($Y138="","",ROUND(SUMIFS(应收金额,应收键,$Y138,应收年度,管理年度,应收款别,"合同款"),2))</f>
        <v/>
      </c>
      <c r="K138" s="40" t="str">
        <f aca="false">IF($Y138="","",ROUND($I138-$J138,2))</f>
        <v/>
      </c>
      <c r="L138" s="40" t="str">
        <f aca="false">IF($Y138="","",ROUND(SUMIFS(应收开票额,应收键,$Y138,应收开票年度,管理年度),2))</f>
        <v/>
      </c>
      <c r="M138" s="40" t="str">
        <f aca="false">IF($Y138="","",ROUND($I138-$L138,2))</f>
        <v/>
      </c>
      <c r="N138" s="40" t="str">
        <f aca="false">IF($Y138="","",ROUND(SUMIFS(收款金额,收款键,$Y138,收款年度,管理年度),2))</f>
        <v/>
      </c>
      <c r="O138" s="40" t="str">
        <f aca="false">IF($Y138="","",ROUND(SUMIFS(收款金额,收款键,$Y138,收款年度,管理年度,收款归类,"发票"),2))</f>
        <v/>
      </c>
      <c r="P138" s="40" t="str">
        <f aca="false">IF($Y138="","",ROUND(SUMIFS(收款金额,收款键,$Y138,收款年度,管理年度,收款归类,"收据"),2))</f>
        <v/>
      </c>
      <c r="Q138" s="40" t="str">
        <f aca="false">IF($Y138="","",ROUND(SUMIFS(收款金额,收款键,$Y138,收款年度,管理年度,收款归类,"现金无票"),2))</f>
        <v/>
      </c>
      <c r="R138" s="40" t="str">
        <f aca="false">IF($Y138="","",ROUND(MAX(0,MIN($T138,SUMIF(应收键,$Y138,应收开票额)-SUMIF(收款键,$Y138,收款金额))),2))</f>
        <v/>
      </c>
      <c r="S138" s="40" t="str">
        <f aca="false">IF($Y138="","",ROUND(MAX(0,$T138)-$R138,2))</f>
        <v/>
      </c>
      <c r="T138" s="48" t="str">
        <f aca="false">IF($Y138="","",ROUND(SUMIF(应收键,$Y138,应收金额)-SUMIF(收款键,$Y138,收款金额),2))</f>
        <v/>
      </c>
      <c r="U138" s="49" t="str">
        <f aca="true">IF($AA138="","",IF($T138&lt;=0.01,"",MAX(0,TODAY()-$AA138)))</f>
        <v/>
      </c>
      <c r="V138" s="50" t="str">
        <f aca="true">IF($Y138="","",IF($T138&gt;0.01,IF(AND(ISNUMBER($U138),$U138&gt;=账龄预警天),"▲欠款拖了 "&amp;TEXT($U138,"0")&amp;" 天","欠款未清"),IF($T138&lt;-0.01,"预收/多收","已结清"))&amp;IF(OR($E138="已签未回",$E138="未签",$E138="续签中")," ▲合同未回","")&amp;IF(AND(ISNUMBER($F138),$F138&lt;TODAY())," ▲合同已到期",""))</f>
        <v/>
      </c>
      <c r="W138" s="24"/>
      <c r="X138" s="35" t="str">
        <f aca="false">IF($Y138="","",IF(ROUND($H138+$I138-$N138+$Z138-$T138,2)&lt;&gt;0,"★期初＋本年－已收≠余额",IF(ROUND($R138+$S138-MAX(0,$T138),2)&lt;&gt;0,"★已开票＋未开票≠欠款",IF(ROUND($J138+$K138-$I138,2)&lt;&gt;0,"★合同款＋合同外款≠本年应收",IF(ROUND($O138+$P138+$Q138-$N138,2)&lt;&gt;0,"★发票＋收据＋现金≠本年已收","OK")))))</f>
        <v/>
      </c>
      <c r="Y138" s="35" t="str">
        <f aca="false">IF(维保合同!$C138="","",维保合同!$E138)</f>
        <v/>
      </c>
      <c r="Z138" s="40" t="str">
        <f aca="false">IF($Y138="","",ROUND(SUMIFS(应收金额,应收键,$Y138,应收年度,"&gt;"&amp;管理年度)-SUMIFS(收款金额,收款键,$Y138,收款年度,"&gt;"&amp;管理年度),2))</f>
        <v/>
      </c>
      <c r="AA138" s="47" t="str">
        <f aca="false">IF($Y138="","",IF(SUMPRODUCT(MIN(IF((应收键=$Y138)*(应收未收&gt;0.01),应收日期,999999)))&gt;=999999,"",SUMPRODUCT(MIN(IF((应收键=$Y138)*(应收未收&gt;0.01),应收日期,999999)))))</f>
        <v/>
      </c>
    </row>
    <row r="139" customFormat="false" ht="15" hidden="false" customHeight="false" outlineLevel="0" collapsed="false">
      <c r="A139" s="29" t="str">
        <f aca="false">IF($Y139="","",ROW()-4)</f>
        <v/>
      </c>
      <c r="B139" s="16" t="str">
        <f aca="false">IF($Y139="","",维保合同!$C139)</f>
        <v/>
      </c>
      <c r="C139" s="16" t="str">
        <f aca="false">IF($Y139="","",维保合同!$D139)</f>
        <v/>
      </c>
      <c r="D139" s="35" t="str">
        <f aca="false">IF($Y139="","",维保合同!$F139)</f>
        <v/>
      </c>
      <c r="E139" s="35" t="str">
        <f aca="false">IF($Y139="","",维保合同!$G139)</f>
        <v/>
      </c>
      <c r="F139" s="47" t="str">
        <f aca="false">IF($Y139="","",维保合同!$I139)</f>
        <v/>
      </c>
      <c r="G139" s="38" t="str">
        <f aca="false">IF($Y139="","",维保合同!$K139)</f>
        <v/>
      </c>
      <c r="H139" s="41" t="str">
        <f aca="false">IF($Y139="","",ROUND(SUMIFS(应收金额,应收键,$Y139,应收年度,"&lt;"&amp;管理年度)-SUMIFS(收款金额,收款键,$Y139,收款年度,"&lt;"&amp;管理年度),2))</f>
        <v/>
      </c>
      <c r="I139" s="40" t="str">
        <f aca="false">IF($Y139="","",ROUND(SUMIFS(应收金额,应收键,$Y139,应收年度,管理年度),2))</f>
        <v/>
      </c>
      <c r="J139" s="40" t="str">
        <f aca="false">IF($Y139="","",ROUND(SUMIFS(应收金额,应收键,$Y139,应收年度,管理年度,应收款别,"合同款"),2))</f>
        <v/>
      </c>
      <c r="K139" s="40" t="str">
        <f aca="false">IF($Y139="","",ROUND($I139-$J139,2))</f>
        <v/>
      </c>
      <c r="L139" s="40" t="str">
        <f aca="false">IF($Y139="","",ROUND(SUMIFS(应收开票额,应收键,$Y139,应收开票年度,管理年度),2))</f>
        <v/>
      </c>
      <c r="M139" s="40" t="str">
        <f aca="false">IF($Y139="","",ROUND($I139-$L139,2))</f>
        <v/>
      </c>
      <c r="N139" s="40" t="str">
        <f aca="false">IF($Y139="","",ROUND(SUMIFS(收款金额,收款键,$Y139,收款年度,管理年度),2))</f>
        <v/>
      </c>
      <c r="O139" s="40" t="str">
        <f aca="false">IF($Y139="","",ROUND(SUMIFS(收款金额,收款键,$Y139,收款年度,管理年度,收款归类,"发票"),2))</f>
        <v/>
      </c>
      <c r="P139" s="40" t="str">
        <f aca="false">IF($Y139="","",ROUND(SUMIFS(收款金额,收款键,$Y139,收款年度,管理年度,收款归类,"收据"),2))</f>
        <v/>
      </c>
      <c r="Q139" s="40" t="str">
        <f aca="false">IF($Y139="","",ROUND(SUMIFS(收款金额,收款键,$Y139,收款年度,管理年度,收款归类,"现金无票"),2))</f>
        <v/>
      </c>
      <c r="R139" s="40" t="str">
        <f aca="false">IF($Y139="","",ROUND(MAX(0,MIN($T139,SUMIF(应收键,$Y139,应收开票额)-SUMIF(收款键,$Y139,收款金额))),2))</f>
        <v/>
      </c>
      <c r="S139" s="40" t="str">
        <f aca="false">IF($Y139="","",ROUND(MAX(0,$T139)-$R139,2))</f>
        <v/>
      </c>
      <c r="T139" s="48" t="str">
        <f aca="false">IF($Y139="","",ROUND(SUMIF(应收键,$Y139,应收金额)-SUMIF(收款键,$Y139,收款金额),2))</f>
        <v/>
      </c>
      <c r="U139" s="49" t="str">
        <f aca="true">IF($AA139="","",IF($T139&lt;=0.01,"",MAX(0,TODAY()-$AA139)))</f>
        <v/>
      </c>
      <c r="V139" s="50" t="str">
        <f aca="true">IF($Y139="","",IF($T139&gt;0.01,IF(AND(ISNUMBER($U139),$U139&gt;=账龄预警天),"▲欠款拖了 "&amp;TEXT($U139,"0")&amp;" 天","欠款未清"),IF($T139&lt;-0.01,"预收/多收","已结清"))&amp;IF(OR($E139="已签未回",$E139="未签",$E139="续签中")," ▲合同未回","")&amp;IF(AND(ISNUMBER($F139),$F139&lt;TODAY())," ▲合同已到期",""))</f>
        <v/>
      </c>
      <c r="W139" s="24"/>
      <c r="X139" s="35" t="str">
        <f aca="false">IF($Y139="","",IF(ROUND($H139+$I139-$N139+$Z139-$T139,2)&lt;&gt;0,"★期初＋本年－已收≠余额",IF(ROUND($R139+$S139-MAX(0,$T139),2)&lt;&gt;0,"★已开票＋未开票≠欠款",IF(ROUND($J139+$K139-$I139,2)&lt;&gt;0,"★合同款＋合同外款≠本年应收",IF(ROUND($O139+$P139+$Q139-$N139,2)&lt;&gt;0,"★发票＋收据＋现金≠本年已收","OK")))))</f>
        <v/>
      </c>
      <c r="Y139" s="35" t="str">
        <f aca="false">IF(维保合同!$C139="","",维保合同!$E139)</f>
        <v/>
      </c>
      <c r="Z139" s="40" t="str">
        <f aca="false">IF($Y139="","",ROUND(SUMIFS(应收金额,应收键,$Y139,应收年度,"&gt;"&amp;管理年度)-SUMIFS(收款金额,收款键,$Y139,收款年度,"&gt;"&amp;管理年度),2))</f>
        <v/>
      </c>
      <c r="AA139" s="47" t="str">
        <f aca="false">IF($Y139="","",IF(SUMPRODUCT(MIN(IF((应收键=$Y139)*(应收未收&gt;0.01),应收日期,999999)))&gt;=999999,"",SUMPRODUCT(MIN(IF((应收键=$Y139)*(应收未收&gt;0.01),应收日期,999999)))))</f>
        <v/>
      </c>
    </row>
    <row r="140" customFormat="false" ht="15" hidden="false" customHeight="false" outlineLevel="0" collapsed="false">
      <c r="A140" s="29" t="str">
        <f aca="false">IF($Y140="","",ROW()-4)</f>
        <v/>
      </c>
      <c r="B140" s="16" t="str">
        <f aca="false">IF($Y140="","",维保合同!$C140)</f>
        <v/>
      </c>
      <c r="C140" s="16" t="str">
        <f aca="false">IF($Y140="","",维保合同!$D140)</f>
        <v/>
      </c>
      <c r="D140" s="35" t="str">
        <f aca="false">IF($Y140="","",维保合同!$F140)</f>
        <v/>
      </c>
      <c r="E140" s="35" t="str">
        <f aca="false">IF($Y140="","",维保合同!$G140)</f>
        <v/>
      </c>
      <c r="F140" s="47" t="str">
        <f aca="false">IF($Y140="","",维保合同!$I140)</f>
        <v/>
      </c>
      <c r="G140" s="38" t="str">
        <f aca="false">IF($Y140="","",维保合同!$K140)</f>
        <v/>
      </c>
      <c r="H140" s="41" t="str">
        <f aca="false">IF($Y140="","",ROUND(SUMIFS(应收金额,应收键,$Y140,应收年度,"&lt;"&amp;管理年度)-SUMIFS(收款金额,收款键,$Y140,收款年度,"&lt;"&amp;管理年度),2))</f>
        <v/>
      </c>
      <c r="I140" s="40" t="str">
        <f aca="false">IF($Y140="","",ROUND(SUMIFS(应收金额,应收键,$Y140,应收年度,管理年度),2))</f>
        <v/>
      </c>
      <c r="J140" s="40" t="str">
        <f aca="false">IF($Y140="","",ROUND(SUMIFS(应收金额,应收键,$Y140,应收年度,管理年度,应收款别,"合同款"),2))</f>
        <v/>
      </c>
      <c r="K140" s="40" t="str">
        <f aca="false">IF($Y140="","",ROUND($I140-$J140,2))</f>
        <v/>
      </c>
      <c r="L140" s="40" t="str">
        <f aca="false">IF($Y140="","",ROUND(SUMIFS(应收开票额,应收键,$Y140,应收开票年度,管理年度),2))</f>
        <v/>
      </c>
      <c r="M140" s="40" t="str">
        <f aca="false">IF($Y140="","",ROUND($I140-$L140,2))</f>
        <v/>
      </c>
      <c r="N140" s="40" t="str">
        <f aca="false">IF($Y140="","",ROUND(SUMIFS(收款金额,收款键,$Y140,收款年度,管理年度),2))</f>
        <v/>
      </c>
      <c r="O140" s="40" t="str">
        <f aca="false">IF($Y140="","",ROUND(SUMIFS(收款金额,收款键,$Y140,收款年度,管理年度,收款归类,"发票"),2))</f>
        <v/>
      </c>
      <c r="P140" s="40" t="str">
        <f aca="false">IF($Y140="","",ROUND(SUMIFS(收款金额,收款键,$Y140,收款年度,管理年度,收款归类,"收据"),2))</f>
        <v/>
      </c>
      <c r="Q140" s="40" t="str">
        <f aca="false">IF($Y140="","",ROUND(SUMIFS(收款金额,收款键,$Y140,收款年度,管理年度,收款归类,"现金无票"),2))</f>
        <v/>
      </c>
      <c r="R140" s="40" t="str">
        <f aca="false">IF($Y140="","",ROUND(MAX(0,MIN($T140,SUMIF(应收键,$Y140,应收开票额)-SUMIF(收款键,$Y140,收款金额))),2))</f>
        <v/>
      </c>
      <c r="S140" s="40" t="str">
        <f aca="false">IF($Y140="","",ROUND(MAX(0,$T140)-$R140,2))</f>
        <v/>
      </c>
      <c r="T140" s="48" t="str">
        <f aca="false">IF($Y140="","",ROUND(SUMIF(应收键,$Y140,应收金额)-SUMIF(收款键,$Y140,收款金额),2))</f>
        <v/>
      </c>
      <c r="U140" s="49" t="str">
        <f aca="true">IF($AA140="","",IF($T140&lt;=0.01,"",MAX(0,TODAY()-$AA140)))</f>
        <v/>
      </c>
      <c r="V140" s="50" t="str">
        <f aca="true">IF($Y140="","",IF($T140&gt;0.01,IF(AND(ISNUMBER($U140),$U140&gt;=账龄预警天),"▲欠款拖了 "&amp;TEXT($U140,"0")&amp;" 天","欠款未清"),IF($T140&lt;-0.01,"预收/多收","已结清"))&amp;IF(OR($E140="已签未回",$E140="未签",$E140="续签中")," ▲合同未回","")&amp;IF(AND(ISNUMBER($F140),$F140&lt;TODAY())," ▲合同已到期",""))</f>
        <v/>
      </c>
      <c r="W140" s="24"/>
      <c r="X140" s="35" t="str">
        <f aca="false">IF($Y140="","",IF(ROUND($H140+$I140-$N140+$Z140-$T140,2)&lt;&gt;0,"★期初＋本年－已收≠余额",IF(ROUND($R140+$S140-MAX(0,$T140),2)&lt;&gt;0,"★已开票＋未开票≠欠款",IF(ROUND($J140+$K140-$I140,2)&lt;&gt;0,"★合同款＋合同外款≠本年应收",IF(ROUND($O140+$P140+$Q140-$N140,2)&lt;&gt;0,"★发票＋收据＋现金≠本年已收","OK")))))</f>
        <v/>
      </c>
      <c r="Y140" s="35" t="str">
        <f aca="false">IF(维保合同!$C140="","",维保合同!$E140)</f>
        <v/>
      </c>
      <c r="Z140" s="40" t="str">
        <f aca="false">IF($Y140="","",ROUND(SUMIFS(应收金额,应收键,$Y140,应收年度,"&gt;"&amp;管理年度)-SUMIFS(收款金额,收款键,$Y140,收款年度,"&gt;"&amp;管理年度),2))</f>
        <v/>
      </c>
      <c r="AA140" s="47" t="str">
        <f aca="false">IF($Y140="","",IF(SUMPRODUCT(MIN(IF((应收键=$Y140)*(应收未收&gt;0.01),应收日期,999999)))&gt;=999999,"",SUMPRODUCT(MIN(IF((应收键=$Y140)*(应收未收&gt;0.01),应收日期,999999)))))</f>
        <v/>
      </c>
    </row>
    <row r="141" customFormat="false" ht="15" hidden="false" customHeight="false" outlineLevel="0" collapsed="false">
      <c r="A141" s="29" t="str">
        <f aca="false">IF($Y141="","",ROW()-4)</f>
        <v/>
      </c>
      <c r="B141" s="16" t="str">
        <f aca="false">IF($Y141="","",维保合同!$C141)</f>
        <v/>
      </c>
      <c r="C141" s="16" t="str">
        <f aca="false">IF($Y141="","",维保合同!$D141)</f>
        <v/>
      </c>
      <c r="D141" s="35" t="str">
        <f aca="false">IF($Y141="","",维保合同!$F141)</f>
        <v/>
      </c>
      <c r="E141" s="35" t="str">
        <f aca="false">IF($Y141="","",维保合同!$G141)</f>
        <v/>
      </c>
      <c r="F141" s="47" t="str">
        <f aca="false">IF($Y141="","",维保合同!$I141)</f>
        <v/>
      </c>
      <c r="G141" s="38" t="str">
        <f aca="false">IF($Y141="","",维保合同!$K141)</f>
        <v/>
      </c>
      <c r="H141" s="41" t="str">
        <f aca="false">IF($Y141="","",ROUND(SUMIFS(应收金额,应收键,$Y141,应收年度,"&lt;"&amp;管理年度)-SUMIFS(收款金额,收款键,$Y141,收款年度,"&lt;"&amp;管理年度),2))</f>
        <v/>
      </c>
      <c r="I141" s="40" t="str">
        <f aca="false">IF($Y141="","",ROUND(SUMIFS(应收金额,应收键,$Y141,应收年度,管理年度),2))</f>
        <v/>
      </c>
      <c r="J141" s="40" t="str">
        <f aca="false">IF($Y141="","",ROUND(SUMIFS(应收金额,应收键,$Y141,应收年度,管理年度,应收款别,"合同款"),2))</f>
        <v/>
      </c>
      <c r="K141" s="40" t="str">
        <f aca="false">IF($Y141="","",ROUND($I141-$J141,2))</f>
        <v/>
      </c>
      <c r="L141" s="40" t="str">
        <f aca="false">IF($Y141="","",ROUND(SUMIFS(应收开票额,应收键,$Y141,应收开票年度,管理年度),2))</f>
        <v/>
      </c>
      <c r="M141" s="40" t="str">
        <f aca="false">IF($Y141="","",ROUND($I141-$L141,2))</f>
        <v/>
      </c>
      <c r="N141" s="40" t="str">
        <f aca="false">IF($Y141="","",ROUND(SUMIFS(收款金额,收款键,$Y141,收款年度,管理年度),2))</f>
        <v/>
      </c>
      <c r="O141" s="40" t="str">
        <f aca="false">IF($Y141="","",ROUND(SUMIFS(收款金额,收款键,$Y141,收款年度,管理年度,收款归类,"发票"),2))</f>
        <v/>
      </c>
      <c r="P141" s="40" t="str">
        <f aca="false">IF($Y141="","",ROUND(SUMIFS(收款金额,收款键,$Y141,收款年度,管理年度,收款归类,"收据"),2))</f>
        <v/>
      </c>
      <c r="Q141" s="40" t="str">
        <f aca="false">IF($Y141="","",ROUND(SUMIFS(收款金额,收款键,$Y141,收款年度,管理年度,收款归类,"现金无票"),2))</f>
        <v/>
      </c>
      <c r="R141" s="40" t="str">
        <f aca="false">IF($Y141="","",ROUND(MAX(0,MIN($T141,SUMIF(应收键,$Y141,应收开票额)-SUMIF(收款键,$Y141,收款金额))),2))</f>
        <v/>
      </c>
      <c r="S141" s="40" t="str">
        <f aca="false">IF($Y141="","",ROUND(MAX(0,$T141)-$R141,2))</f>
        <v/>
      </c>
      <c r="T141" s="48" t="str">
        <f aca="false">IF($Y141="","",ROUND(SUMIF(应收键,$Y141,应收金额)-SUMIF(收款键,$Y141,收款金额),2))</f>
        <v/>
      </c>
      <c r="U141" s="49" t="str">
        <f aca="true">IF($AA141="","",IF($T141&lt;=0.01,"",MAX(0,TODAY()-$AA141)))</f>
        <v/>
      </c>
      <c r="V141" s="50" t="str">
        <f aca="true">IF($Y141="","",IF($T141&gt;0.01,IF(AND(ISNUMBER($U141),$U141&gt;=账龄预警天),"▲欠款拖了 "&amp;TEXT($U141,"0")&amp;" 天","欠款未清"),IF($T141&lt;-0.01,"预收/多收","已结清"))&amp;IF(OR($E141="已签未回",$E141="未签",$E141="续签中")," ▲合同未回","")&amp;IF(AND(ISNUMBER($F141),$F141&lt;TODAY())," ▲合同已到期",""))</f>
        <v/>
      </c>
      <c r="W141" s="24"/>
      <c r="X141" s="35" t="str">
        <f aca="false">IF($Y141="","",IF(ROUND($H141+$I141-$N141+$Z141-$T141,2)&lt;&gt;0,"★期初＋本年－已收≠余额",IF(ROUND($R141+$S141-MAX(0,$T141),2)&lt;&gt;0,"★已开票＋未开票≠欠款",IF(ROUND($J141+$K141-$I141,2)&lt;&gt;0,"★合同款＋合同外款≠本年应收",IF(ROUND($O141+$P141+$Q141-$N141,2)&lt;&gt;0,"★发票＋收据＋现金≠本年已收","OK")))))</f>
        <v/>
      </c>
      <c r="Y141" s="35" t="str">
        <f aca="false">IF(维保合同!$C141="","",维保合同!$E141)</f>
        <v/>
      </c>
      <c r="Z141" s="40" t="str">
        <f aca="false">IF($Y141="","",ROUND(SUMIFS(应收金额,应收键,$Y141,应收年度,"&gt;"&amp;管理年度)-SUMIFS(收款金额,收款键,$Y141,收款年度,"&gt;"&amp;管理年度),2))</f>
        <v/>
      </c>
      <c r="AA141" s="47" t="str">
        <f aca="false">IF($Y141="","",IF(SUMPRODUCT(MIN(IF((应收键=$Y141)*(应收未收&gt;0.01),应收日期,999999)))&gt;=999999,"",SUMPRODUCT(MIN(IF((应收键=$Y141)*(应收未收&gt;0.01),应收日期,999999)))))</f>
        <v/>
      </c>
    </row>
    <row r="142" customFormat="false" ht="15" hidden="false" customHeight="false" outlineLevel="0" collapsed="false">
      <c r="A142" s="29" t="str">
        <f aca="false">IF($Y142="","",ROW()-4)</f>
        <v/>
      </c>
      <c r="B142" s="16" t="str">
        <f aca="false">IF($Y142="","",维保合同!$C142)</f>
        <v/>
      </c>
      <c r="C142" s="16" t="str">
        <f aca="false">IF($Y142="","",维保合同!$D142)</f>
        <v/>
      </c>
      <c r="D142" s="35" t="str">
        <f aca="false">IF($Y142="","",维保合同!$F142)</f>
        <v/>
      </c>
      <c r="E142" s="35" t="str">
        <f aca="false">IF($Y142="","",维保合同!$G142)</f>
        <v/>
      </c>
      <c r="F142" s="47" t="str">
        <f aca="false">IF($Y142="","",维保合同!$I142)</f>
        <v/>
      </c>
      <c r="G142" s="38" t="str">
        <f aca="false">IF($Y142="","",维保合同!$K142)</f>
        <v/>
      </c>
      <c r="H142" s="41" t="str">
        <f aca="false">IF($Y142="","",ROUND(SUMIFS(应收金额,应收键,$Y142,应收年度,"&lt;"&amp;管理年度)-SUMIFS(收款金额,收款键,$Y142,收款年度,"&lt;"&amp;管理年度),2))</f>
        <v/>
      </c>
      <c r="I142" s="40" t="str">
        <f aca="false">IF($Y142="","",ROUND(SUMIFS(应收金额,应收键,$Y142,应收年度,管理年度),2))</f>
        <v/>
      </c>
      <c r="J142" s="40" t="str">
        <f aca="false">IF($Y142="","",ROUND(SUMIFS(应收金额,应收键,$Y142,应收年度,管理年度,应收款别,"合同款"),2))</f>
        <v/>
      </c>
      <c r="K142" s="40" t="str">
        <f aca="false">IF($Y142="","",ROUND($I142-$J142,2))</f>
        <v/>
      </c>
      <c r="L142" s="40" t="str">
        <f aca="false">IF($Y142="","",ROUND(SUMIFS(应收开票额,应收键,$Y142,应收开票年度,管理年度),2))</f>
        <v/>
      </c>
      <c r="M142" s="40" t="str">
        <f aca="false">IF($Y142="","",ROUND($I142-$L142,2))</f>
        <v/>
      </c>
      <c r="N142" s="40" t="str">
        <f aca="false">IF($Y142="","",ROUND(SUMIFS(收款金额,收款键,$Y142,收款年度,管理年度),2))</f>
        <v/>
      </c>
      <c r="O142" s="40" t="str">
        <f aca="false">IF($Y142="","",ROUND(SUMIFS(收款金额,收款键,$Y142,收款年度,管理年度,收款归类,"发票"),2))</f>
        <v/>
      </c>
      <c r="P142" s="40" t="str">
        <f aca="false">IF($Y142="","",ROUND(SUMIFS(收款金额,收款键,$Y142,收款年度,管理年度,收款归类,"收据"),2))</f>
        <v/>
      </c>
      <c r="Q142" s="40" t="str">
        <f aca="false">IF($Y142="","",ROUND(SUMIFS(收款金额,收款键,$Y142,收款年度,管理年度,收款归类,"现金无票"),2))</f>
        <v/>
      </c>
      <c r="R142" s="40" t="str">
        <f aca="false">IF($Y142="","",ROUND(MAX(0,MIN($T142,SUMIF(应收键,$Y142,应收开票额)-SUMIF(收款键,$Y142,收款金额))),2))</f>
        <v/>
      </c>
      <c r="S142" s="40" t="str">
        <f aca="false">IF($Y142="","",ROUND(MAX(0,$T142)-$R142,2))</f>
        <v/>
      </c>
      <c r="T142" s="48" t="str">
        <f aca="false">IF($Y142="","",ROUND(SUMIF(应收键,$Y142,应收金额)-SUMIF(收款键,$Y142,收款金额),2))</f>
        <v/>
      </c>
      <c r="U142" s="49" t="str">
        <f aca="true">IF($AA142="","",IF($T142&lt;=0.01,"",MAX(0,TODAY()-$AA142)))</f>
        <v/>
      </c>
      <c r="V142" s="50" t="str">
        <f aca="true">IF($Y142="","",IF($T142&gt;0.01,IF(AND(ISNUMBER($U142),$U142&gt;=账龄预警天),"▲欠款拖了 "&amp;TEXT($U142,"0")&amp;" 天","欠款未清"),IF($T142&lt;-0.01,"预收/多收","已结清"))&amp;IF(OR($E142="已签未回",$E142="未签",$E142="续签中")," ▲合同未回","")&amp;IF(AND(ISNUMBER($F142),$F142&lt;TODAY())," ▲合同已到期",""))</f>
        <v/>
      </c>
      <c r="W142" s="24"/>
      <c r="X142" s="35" t="str">
        <f aca="false">IF($Y142="","",IF(ROUND($H142+$I142-$N142+$Z142-$T142,2)&lt;&gt;0,"★期初＋本年－已收≠余额",IF(ROUND($R142+$S142-MAX(0,$T142),2)&lt;&gt;0,"★已开票＋未开票≠欠款",IF(ROUND($J142+$K142-$I142,2)&lt;&gt;0,"★合同款＋合同外款≠本年应收",IF(ROUND($O142+$P142+$Q142-$N142,2)&lt;&gt;0,"★发票＋收据＋现金≠本年已收","OK")))))</f>
        <v/>
      </c>
      <c r="Y142" s="35" t="str">
        <f aca="false">IF(维保合同!$C142="","",维保合同!$E142)</f>
        <v/>
      </c>
      <c r="Z142" s="40" t="str">
        <f aca="false">IF($Y142="","",ROUND(SUMIFS(应收金额,应收键,$Y142,应收年度,"&gt;"&amp;管理年度)-SUMIFS(收款金额,收款键,$Y142,收款年度,"&gt;"&amp;管理年度),2))</f>
        <v/>
      </c>
      <c r="AA142" s="47" t="str">
        <f aca="false">IF($Y142="","",IF(SUMPRODUCT(MIN(IF((应收键=$Y142)*(应收未收&gt;0.01),应收日期,999999)))&gt;=999999,"",SUMPRODUCT(MIN(IF((应收键=$Y142)*(应收未收&gt;0.01),应收日期,999999)))))</f>
        <v/>
      </c>
    </row>
    <row r="143" customFormat="false" ht="15" hidden="false" customHeight="false" outlineLevel="0" collapsed="false">
      <c r="A143" s="29" t="str">
        <f aca="false">IF($Y143="","",ROW()-4)</f>
        <v/>
      </c>
      <c r="B143" s="16" t="str">
        <f aca="false">IF($Y143="","",维保合同!$C143)</f>
        <v/>
      </c>
      <c r="C143" s="16" t="str">
        <f aca="false">IF($Y143="","",维保合同!$D143)</f>
        <v/>
      </c>
      <c r="D143" s="35" t="str">
        <f aca="false">IF($Y143="","",维保合同!$F143)</f>
        <v/>
      </c>
      <c r="E143" s="35" t="str">
        <f aca="false">IF($Y143="","",维保合同!$G143)</f>
        <v/>
      </c>
      <c r="F143" s="47" t="str">
        <f aca="false">IF($Y143="","",维保合同!$I143)</f>
        <v/>
      </c>
      <c r="G143" s="38" t="str">
        <f aca="false">IF($Y143="","",维保合同!$K143)</f>
        <v/>
      </c>
      <c r="H143" s="41" t="str">
        <f aca="false">IF($Y143="","",ROUND(SUMIFS(应收金额,应收键,$Y143,应收年度,"&lt;"&amp;管理年度)-SUMIFS(收款金额,收款键,$Y143,收款年度,"&lt;"&amp;管理年度),2))</f>
        <v/>
      </c>
      <c r="I143" s="40" t="str">
        <f aca="false">IF($Y143="","",ROUND(SUMIFS(应收金额,应收键,$Y143,应收年度,管理年度),2))</f>
        <v/>
      </c>
      <c r="J143" s="40" t="str">
        <f aca="false">IF($Y143="","",ROUND(SUMIFS(应收金额,应收键,$Y143,应收年度,管理年度,应收款别,"合同款"),2))</f>
        <v/>
      </c>
      <c r="K143" s="40" t="str">
        <f aca="false">IF($Y143="","",ROUND($I143-$J143,2))</f>
        <v/>
      </c>
      <c r="L143" s="40" t="str">
        <f aca="false">IF($Y143="","",ROUND(SUMIFS(应收开票额,应收键,$Y143,应收开票年度,管理年度),2))</f>
        <v/>
      </c>
      <c r="M143" s="40" t="str">
        <f aca="false">IF($Y143="","",ROUND($I143-$L143,2))</f>
        <v/>
      </c>
      <c r="N143" s="40" t="str">
        <f aca="false">IF($Y143="","",ROUND(SUMIFS(收款金额,收款键,$Y143,收款年度,管理年度),2))</f>
        <v/>
      </c>
      <c r="O143" s="40" t="str">
        <f aca="false">IF($Y143="","",ROUND(SUMIFS(收款金额,收款键,$Y143,收款年度,管理年度,收款归类,"发票"),2))</f>
        <v/>
      </c>
      <c r="P143" s="40" t="str">
        <f aca="false">IF($Y143="","",ROUND(SUMIFS(收款金额,收款键,$Y143,收款年度,管理年度,收款归类,"收据"),2))</f>
        <v/>
      </c>
      <c r="Q143" s="40" t="str">
        <f aca="false">IF($Y143="","",ROUND(SUMIFS(收款金额,收款键,$Y143,收款年度,管理年度,收款归类,"现金无票"),2))</f>
        <v/>
      </c>
      <c r="R143" s="40" t="str">
        <f aca="false">IF($Y143="","",ROUND(MAX(0,MIN($T143,SUMIF(应收键,$Y143,应收开票额)-SUMIF(收款键,$Y143,收款金额))),2))</f>
        <v/>
      </c>
      <c r="S143" s="40" t="str">
        <f aca="false">IF($Y143="","",ROUND(MAX(0,$T143)-$R143,2))</f>
        <v/>
      </c>
      <c r="T143" s="48" t="str">
        <f aca="false">IF($Y143="","",ROUND(SUMIF(应收键,$Y143,应收金额)-SUMIF(收款键,$Y143,收款金额),2))</f>
        <v/>
      </c>
      <c r="U143" s="49" t="str">
        <f aca="true">IF($AA143="","",IF($T143&lt;=0.01,"",MAX(0,TODAY()-$AA143)))</f>
        <v/>
      </c>
      <c r="V143" s="50" t="str">
        <f aca="true">IF($Y143="","",IF($T143&gt;0.01,IF(AND(ISNUMBER($U143),$U143&gt;=账龄预警天),"▲欠款拖了 "&amp;TEXT($U143,"0")&amp;" 天","欠款未清"),IF($T143&lt;-0.01,"预收/多收","已结清"))&amp;IF(OR($E143="已签未回",$E143="未签",$E143="续签中")," ▲合同未回","")&amp;IF(AND(ISNUMBER($F143),$F143&lt;TODAY())," ▲合同已到期",""))</f>
        <v/>
      </c>
      <c r="W143" s="24"/>
      <c r="X143" s="35" t="str">
        <f aca="false">IF($Y143="","",IF(ROUND($H143+$I143-$N143+$Z143-$T143,2)&lt;&gt;0,"★期初＋本年－已收≠余额",IF(ROUND($R143+$S143-MAX(0,$T143),2)&lt;&gt;0,"★已开票＋未开票≠欠款",IF(ROUND($J143+$K143-$I143,2)&lt;&gt;0,"★合同款＋合同外款≠本年应收",IF(ROUND($O143+$P143+$Q143-$N143,2)&lt;&gt;0,"★发票＋收据＋现金≠本年已收","OK")))))</f>
        <v/>
      </c>
      <c r="Y143" s="35" t="str">
        <f aca="false">IF(维保合同!$C143="","",维保合同!$E143)</f>
        <v/>
      </c>
      <c r="Z143" s="40" t="str">
        <f aca="false">IF($Y143="","",ROUND(SUMIFS(应收金额,应收键,$Y143,应收年度,"&gt;"&amp;管理年度)-SUMIFS(收款金额,收款键,$Y143,收款年度,"&gt;"&amp;管理年度),2))</f>
        <v/>
      </c>
      <c r="AA143" s="47" t="str">
        <f aca="false">IF($Y143="","",IF(SUMPRODUCT(MIN(IF((应收键=$Y143)*(应收未收&gt;0.01),应收日期,999999)))&gt;=999999,"",SUMPRODUCT(MIN(IF((应收键=$Y143)*(应收未收&gt;0.01),应收日期,999999)))))</f>
        <v/>
      </c>
    </row>
    <row r="144" customFormat="false" ht="15" hidden="false" customHeight="false" outlineLevel="0" collapsed="false">
      <c r="A144" s="29" t="str">
        <f aca="false">IF($Y144="","",ROW()-4)</f>
        <v/>
      </c>
      <c r="B144" s="16" t="str">
        <f aca="false">IF($Y144="","",维保合同!$C144)</f>
        <v/>
      </c>
      <c r="C144" s="16" t="str">
        <f aca="false">IF($Y144="","",维保合同!$D144)</f>
        <v/>
      </c>
      <c r="D144" s="35" t="str">
        <f aca="false">IF($Y144="","",维保合同!$F144)</f>
        <v/>
      </c>
      <c r="E144" s="35" t="str">
        <f aca="false">IF($Y144="","",维保合同!$G144)</f>
        <v/>
      </c>
      <c r="F144" s="47" t="str">
        <f aca="false">IF($Y144="","",维保合同!$I144)</f>
        <v/>
      </c>
      <c r="G144" s="38" t="str">
        <f aca="false">IF($Y144="","",维保合同!$K144)</f>
        <v/>
      </c>
      <c r="H144" s="41" t="str">
        <f aca="false">IF($Y144="","",ROUND(SUMIFS(应收金额,应收键,$Y144,应收年度,"&lt;"&amp;管理年度)-SUMIFS(收款金额,收款键,$Y144,收款年度,"&lt;"&amp;管理年度),2))</f>
        <v/>
      </c>
      <c r="I144" s="40" t="str">
        <f aca="false">IF($Y144="","",ROUND(SUMIFS(应收金额,应收键,$Y144,应收年度,管理年度),2))</f>
        <v/>
      </c>
      <c r="J144" s="40" t="str">
        <f aca="false">IF($Y144="","",ROUND(SUMIFS(应收金额,应收键,$Y144,应收年度,管理年度,应收款别,"合同款"),2))</f>
        <v/>
      </c>
      <c r="K144" s="40" t="str">
        <f aca="false">IF($Y144="","",ROUND($I144-$J144,2))</f>
        <v/>
      </c>
      <c r="L144" s="40" t="str">
        <f aca="false">IF($Y144="","",ROUND(SUMIFS(应收开票额,应收键,$Y144,应收开票年度,管理年度),2))</f>
        <v/>
      </c>
      <c r="M144" s="40" t="str">
        <f aca="false">IF($Y144="","",ROUND($I144-$L144,2))</f>
        <v/>
      </c>
      <c r="N144" s="40" t="str">
        <f aca="false">IF($Y144="","",ROUND(SUMIFS(收款金额,收款键,$Y144,收款年度,管理年度),2))</f>
        <v/>
      </c>
      <c r="O144" s="40" t="str">
        <f aca="false">IF($Y144="","",ROUND(SUMIFS(收款金额,收款键,$Y144,收款年度,管理年度,收款归类,"发票"),2))</f>
        <v/>
      </c>
      <c r="P144" s="40" t="str">
        <f aca="false">IF($Y144="","",ROUND(SUMIFS(收款金额,收款键,$Y144,收款年度,管理年度,收款归类,"收据"),2))</f>
        <v/>
      </c>
      <c r="Q144" s="40" t="str">
        <f aca="false">IF($Y144="","",ROUND(SUMIFS(收款金额,收款键,$Y144,收款年度,管理年度,收款归类,"现金无票"),2))</f>
        <v/>
      </c>
      <c r="R144" s="40" t="str">
        <f aca="false">IF($Y144="","",ROUND(MAX(0,MIN($T144,SUMIF(应收键,$Y144,应收开票额)-SUMIF(收款键,$Y144,收款金额))),2))</f>
        <v/>
      </c>
      <c r="S144" s="40" t="str">
        <f aca="false">IF($Y144="","",ROUND(MAX(0,$T144)-$R144,2))</f>
        <v/>
      </c>
      <c r="T144" s="48" t="str">
        <f aca="false">IF($Y144="","",ROUND(SUMIF(应收键,$Y144,应收金额)-SUMIF(收款键,$Y144,收款金额),2))</f>
        <v/>
      </c>
      <c r="U144" s="49" t="str">
        <f aca="true">IF($AA144="","",IF($T144&lt;=0.01,"",MAX(0,TODAY()-$AA144)))</f>
        <v/>
      </c>
      <c r="V144" s="50" t="str">
        <f aca="true">IF($Y144="","",IF($T144&gt;0.01,IF(AND(ISNUMBER($U144),$U144&gt;=账龄预警天),"▲欠款拖了 "&amp;TEXT($U144,"0")&amp;" 天","欠款未清"),IF($T144&lt;-0.01,"预收/多收","已结清"))&amp;IF(OR($E144="已签未回",$E144="未签",$E144="续签中")," ▲合同未回","")&amp;IF(AND(ISNUMBER($F144),$F144&lt;TODAY())," ▲合同已到期",""))</f>
        <v/>
      </c>
      <c r="W144" s="24"/>
      <c r="X144" s="35" t="str">
        <f aca="false">IF($Y144="","",IF(ROUND($H144+$I144-$N144+$Z144-$T144,2)&lt;&gt;0,"★期初＋本年－已收≠余额",IF(ROUND($R144+$S144-MAX(0,$T144),2)&lt;&gt;0,"★已开票＋未开票≠欠款",IF(ROUND($J144+$K144-$I144,2)&lt;&gt;0,"★合同款＋合同外款≠本年应收",IF(ROUND($O144+$P144+$Q144-$N144,2)&lt;&gt;0,"★发票＋收据＋现金≠本年已收","OK")))))</f>
        <v/>
      </c>
      <c r="Y144" s="35" t="str">
        <f aca="false">IF(维保合同!$C144="","",维保合同!$E144)</f>
        <v/>
      </c>
      <c r="Z144" s="40" t="str">
        <f aca="false">IF($Y144="","",ROUND(SUMIFS(应收金额,应收键,$Y144,应收年度,"&gt;"&amp;管理年度)-SUMIFS(收款金额,收款键,$Y144,收款年度,"&gt;"&amp;管理年度),2))</f>
        <v/>
      </c>
      <c r="AA144" s="47" t="str">
        <f aca="false">IF($Y144="","",IF(SUMPRODUCT(MIN(IF((应收键=$Y144)*(应收未收&gt;0.01),应收日期,999999)))&gt;=999999,"",SUMPRODUCT(MIN(IF((应收键=$Y144)*(应收未收&gt;0.01),应收日期,999999)))))</f>
        <v/>
      </c>
    </row>
    <row r="145" customFormat="false" ht="15" hidden="false" customHeight="false" outlineLevel="0" collapsed="false">
      <c r="A145" s="29" t="str">
        <f aca="false">IF($Y145="","",ROW()-4)</f>
        <v/>
      </c>
      <c r="B145" s="16" t="str">
        <f aca="false">IF($Y145="","",维保合同!$C145)</f>
        <v/>
      </c>
      <c r="C145" s="16" t="str">
        <f aca="false">IF($Y145="","",维保合同!$D145)</f>
        <v/>
      </c>
      <c r="D145" s="35" t="str">
        <f aca="false">IF($Y145="","",维保合同!$F145)</f>
        <v/>
      </c>
      <c r="E145" s="35" t="str">
        <f aca="false">IF($Y145="","",维保合同!$G145)</f>
        <v/>
      </c>
      <c r="F145" s="47" t="str">
        <f aca="false">IF($Y145="","",维保合同!$I145)</f>
        <v/>
      </c>
      <c r="G145" s="38" t="str">
        <f aca="false">IF($Y145="","",维保合同!$K145)</f>
        <v/>
      </c>
      <c r="H145" s="41" t="str">
        <f aca="false">IF($Y145="","",ROUND(SUMIFS(应收金额,应收键,$Y145,应收年度,"&lt;"&amp;管理年度)-SUMIFS(收款金额,收款键,$Y145,收款年度,"&lt;"&amp;管理年度),2))</f>
        <v/>
      </c>
      <c r="I145" s="40" t="str">
        <f aca="false">IF($Y145="","",ROUND(SUMIFS(应收金额,应收键,$Y145,应收年度,管理年度),2))</f>
        <v/>
      </c>
      <c r="J145" s="40" t="str">
        <f aca="false">IF($Y145="","",ROUND(SUMIFS(应收金额,应收键,$Y145,应收年度,管理年度,应收款别,"合同款"),2))</f>
        <v/>
      </c>
      <c r="K145" s="40" t="str">
        <f aca="false">IF($Y145="","",ROUND($I145-$J145,2))</f>
        <v/>
      </c>
      <c r="L145" s="40" t="str">
        <f aca="false">IF($Y145="","",ROUND(SUMIFS(应收开票额,应收键,$Y145,应收开票年度,管理年度),2))</f>
        <v/>
      </c>
      <c r="M145" s="40" t="str">
        <f aca="false">IF($Y145="","",ROUND($I145-$L145,2))</f>
        <v/>
      </c>
      <c r="N145" s="40" t="str">
        <f aca="false">IF($Y145="","",ROUND(SUMIFS(收款金额,收款键,$Y145,收款年度,管理年度),2))</f>
        <v/>
      </c>
      <c r="O145" s="40" t="str">
        <f aca="false">IF($Y145="","",ROUND(SUMIFS(收款金额,收款键,$Y145,收款年度,管理年度,收款归类,"发票"),2))</f>
        <v/>
      </c>
      <c r="P145" s="40" t="str">
        <f aca="false">IF($Y145="","",ROUND(SUMIFS(收款金额,收款键,$Y145,收款年度,管理年度,收款归类,"收据"),2))</f>
        <v/>
      </c>
      <c r="Q145" s="40" t="str">
        <f aca="false">IF($Y145="","",ROUND(SUMIFS(收款金额,收款键,$Y145,收款年度,管理年度,收款归类,"现金无票"),2))</f>
        <v/>
      </c>
      <c r="R145" s="40" t="str">
        <f aca="false">IF($Y145="","",ROUND(MAX(0,MIN($T145,SUMIF(应收键,$Y145,应收开票额)-SUMIF(收款键,$Y145,收款金额))),2))</f>
        <v/>
      </c>
      <c r="S145" s="40" t="str">
        <f aca="false">IF($Y145="","",ROUND(MAX(0,$T145)-$R145,2))</f>
        <v/>
      </c>
      <c r="T145" s="48" t="str">
        <f aca="false">IF($Y145="","",ROUND(SUMIF(应收键,$Y145,应收金额)-SUMIF(收款键,$Y145,收款金额),2))</f>
        <v/>
      </c>
      <c r="U145" s="49" t="str">
        <f aca="true">IF($AA145="","",IF($T145&lt;=0.01,"",MAX(0,TODAY()-$AA145)))</f>
        <v/>
      </c>
      <c r="V145" s="50" t="str">
        <f aca="true">IF($Y145="","",IF($T145&gt;0.01,IF(AND(ISNUMBER($U145),$U145&gt;=账龄预警天),"▲欠款拖了 "&amp;TEXT($U145,"0")&amp;" 天","欠款未清"),IF($T145&lt;-0.01,"预收/多收","已结清"))&amp;IF(OR($E145="已签未回",$E145="未签",$E145="续签中")," ▲合同未回","")&amp;IF(AND(ISNUMBER($F145),$F145&lt;TODAY())," ▲合同已到期",""))</f>
        <v/>
      </c>
      <c r="W145" s="24"/>
      <c r="X145" s="35" t="str">
        <f aca="false">IF($Y145="","",IF(ROUND($H145+$I145-$N145+$Z145-$T145,2)&lt;&gt;0,"★期初＋本年－已收≠余额",IF(ROUND($R145+$S145-MAX(0,$T145),2)&lt;&gt;0,"★已开票＋未开票≠欠款",IF(ROUND($J145+$K145-$I145,2)&lt;&gt;0,"★合同款＋合同外款≠本年应收",IF(ROUND($O145+$P145+$Q145-$N145,2)&lt;&gt;0,"★发票＋收据＋现金≠本年已收","OK")))))</f>
        <v/>
      </c>
      <c r="Y145" s="35" t="str">
        <f aca="false">IF(维保合同!$C145="","",维保合同!$E145)</f>
        <v/>
      </c>
      <c r="Z145" s="40" t="str">
        <f aca="false">IF($Y145="","",ROUND(SUMIFS(应收金额,应收键,$Y145,应收年度,"&gt;"&amp;管理年度)-SUMIFS(收款金额,收款键,$Y145,收款年度,"&gt;"&amp;管理年度),2))</f>
        <v/>
      </c>
      <c r="AA145" s="47" t="str">
        <f aca="false">IF($Y145="","",IF(SUMPRODUCT(MIN(IF((应收键=$Y145)*(应收未收&gt;0.01),应收日期,999999)))&gt;=999999,"",SUMPRODUCT(MIN(IF((应收键=$Y145)*(应收未收&gt;0.01),应收日期,999999)))))</f>
        <v/>
      </c>
    </row>
    <row r="146" customFormat="false" ht="15" hidden="false" customHeight="false" outlineLevel="0" collapsed="false">
      <c r="A146" s="29" t="str">
        <f aca="false">IF($Y146="","",ROW()-4)</f>
        <v/>
      </c>
      <c r="B146" s="16" t="str">
        <f aca="false">IF($Y146="","",维保合同!$C146)</f>
        <v/>
      </c>
      <c r="C146" s="16" t="str">
        <f aca="false">IF($Y146="","",维保合同!$D146)</f>
        <v/>
      </c>
      <c r="D146" s="35" t="str">
        <f aca="false">IF($Y146="","",维保合同!$F146)</f>
        <v/>
      </c>
      <c r="E146" s="35" t="str">
        <f aca="false">IF($Y146="","",维保合同!$G146)</f>
        <v/>
      </c>
      <c r="F146" s="47" t="str">
        <f aca="false">IF($Y146="","",维保合同!$I146)</f>
        <v/>
      </c>
      <c r="G146" s="38" t="str">
        <f aca="false">IF($Y146="","",维保合同!$K146)</f>
        <v/>
      </c>
      <c r="H146" s="41" t="str">
        <f aca="false">IF($Y146="","",ROUND(SUMIFS(应收金额,应收键,$Y146,应收年度,"&lt;"&amp;管理年度)-SUMIFS(收款金额,收款键,$Y146,收款年度,"&lt;"&amp;管理年度),2))</f>
        <v/>
      </c>
      <c r="I146" s="40" t="str">
        <f aca="false">IF($Y146="","",ROUND(SUMIFS(应收金额,应收键,$Y146,应收年度,管理年度),2))</f>
        <v/>
      </c>
      <c r="J146" s="40" t="str">
        <f aca="false">IF($Y146="","",ROUND(SUMIFS(应收金额,应收键,$Y146,应收年度,管理年度,应收款别,"合同款"),2))</f>
        <v/>
      </c>
      <c r="K146" s="40" t="str">
        <f aca="false">IF($Y146="","",ROUND($I146-$J146,2))</f>
        <v/>
      </c>
      <c r="L146" s="40" t="str">
        <f aca="false">IF($Y146="","",ROUND(SUMIFS(应收开票额,应收键,$Y146,应收开票年度,管理年度),2))</f>
        <v/>
      </c>
      <c r="M146" s="40" t="str">
        <f aca="false">IF($Y146="","",ROUND($I146-$L146,2))</f>
        <v/>
      </c>
      <c r="N146" s="40" t="str">
        <f aca="false">IF($Y146="","",ROUND(SUMIFS(收款金额,收款键,$Y146,收款年度,管理年度),2))</f>
        <v/>
      </c>
      <c r="O146" s="40" t="str">
        <f aca="false">IF($Y146="","",ROUND(SUMIFS(收款金额,收款键,$Y146,收款年度,管理年度,收款归类,"发票"),2))</f>
        <v/>
      </c>
      <c r="P146" s="40" t="str">
        <f aca="false">IF($Y146="","",ROUND(SUMIFS(收款金额,收款键,$Y146,收款年度,管理年度,收款归类,"收据"),2))</f>
        <v/>
      </c>
      <c r="Q146" s="40" t="str">
        <f aca="false">IF($Y146="","",ROUND(SUMIFS(收款金额,收款键,$Y146,收款年度,管理年度,收款归类,"现金无票"),2))</f>
        <v/>
      </c>
      <c r="R146" s="40" t="str">
        <f aca="false">IF($Y146="","",ROUND(MAX(0,MIN($T146,SUMIF(应收键,$Y146,应收开票额)-SUMIF(收款键,$Y146,收款金额))),2))</f>
        <v/>
      </c>
      <c r="S146" s="40" t="str">
        <f aca="false">IF($Y146="","",ROUND(MAX(0,$T146)-$R146,2))</f>
        <v/>
      </c>
      <c r="T146" s="48" t="str">
        <f aca="false">IF($Y146="","",ROUND(SUMIF(应收键,$Y146,应收金额)-SUMIF(收款键,$Y146,收款金额),2))</f>
        <v/>
      </c>
      <c r="U146" s="49" t="str">
        <f aca="true">IF($AA146="","",IF($T146&lt;=0.01,"",MAX(0,TODAY()-$AA146)))</f>
        <v/>
      </c>
      <c r="V146" s="50" t="str">
        <f aca="true">IF($Y146="","",IF($T146&gt;0.01,IF(AND(ISNUMBER($U146),$U146&gt;=账龄预警天),"▲欠款拖了 "&amp;TEXT($U146,"0")&amp;" 天","欠款未清"),IF($T146&lt;-0.01,"预收/多收","已结清"))&amp;IF(OR($E146="已签未回",$E146="未签",$E146="续签中")," ▲合同未回","")&amp;IF(AND(ISNUMBER($F146),$F146&lt;TODAY())," ▲合同已到期",""))</f>
        <v/>
      </c>
      <c r="W146" s="24"/>
      <c r="X146" s="35" t="str">
        <f aca="false">IF($Y146="","",IF(ROUND($H146+$I146-$N146+$Z146-$T146,2)&lt;&gt;0,"★期初＋本年－已收≠余额",IF(ROUND($R146+$S146-MAX(0,$T146),2)&lt;&gt;0,"★已开票＋未开票≠欠款",IF(ROUND($J146+$K146-$I146,2)&lt;&gt;0,"★合同款＋合同外款≠本年应收",IF(ROUND($O146+$P146+$Q146-$N146,2)&lt;&gt;0,"★发票＋收据＋现金≠本年已收","OK")))))</f>
        <v/>
      </c>
      <c r="Y146" s="35" t="str">
        <f aca="false">IF(维保合同!$C146="","",维保合同!$E146)</f>
        <v/>
      </c>
      <c r="Z146" s="40" t="str">
        <f aca="false">IF($Y146="","",ROUND(SUMIFS(应收金额,应收键,$Y146,应收年度,"&gt;"&amp;管理年度)-SUMIFS(收款金额,收款键,$Y146,收款年度,"&gt;"&amp;管理年度),2))</f>
        <v/>
      </c>
      <c r="AA146" s="47" t="str">
        <f aca="false">IF($Y146="","",IF(SUMPRODUCT(MIN(IF((应收键=$Y146)*(应收未收&gt;0.01),应收日期,999999)))&gt;=999999,"",SUMPRODUCT(MIN(IF((应收键=$Y146)*(应收未收&gt;0.01),应收日期,999999)))))</f>
        <v/>
      </c>
    </row>
    <row r="147" customFormat="false" ht="15" hidden="false" customHeight="false" outlineLevel="0" collapsed="false">
      <c r="A147" s="29" t="str">
        <f aca="false">IF($Y147="","",ROW()-4)</f>
        <v/>
      </c>
      <c r="B147" s="16" t="str">
        <f aca="false">IF($Y147="","",维保合同!$C147)</f>
        <v/>
      </c>
      <c r="C147" s="16" t="str">
        <f aca="false">IF($Y147="","",维保合同!$D147)</f>
        <v/>
      </c>
      <c r="D147" s="35" t="str">
        <f aca="false">IF($Y147="","",维保合同!$F147)</f>
        <v/>
      </c>
      <c r="E147" s="35" t="str">
        <f aca="false">IF($Y147="","",维保合同!$G147)</f>
        <v/>
      </c>
      <c r="F147" s="47" t="str">
        <f aca="false">IF($Y147="","",维保合同!$I147)</f>
        <v/>
      </c>
      <c r="G147" s="38" t="str">
        <f aca="false">IF($Y147="","",维保合同!$K147)</f>
        <v/>
      </c>
      <c r="H147" s="41" t="str">
        <f aca="false">IF($Y147="","",ROUND(SUMIFS(应收金额,应收键,$Y147,应收年度,"&lt;"&amp;管理年度)-SUMIFS(收款金额,收款键,$Y147,收款年度,"&lt;"&amp;管理年度),2))</f>
        <v/>
      </c>
      <c r="I147" s="40" t="str">
        <f aca="false">IF($Y147="","",ROUND(SUMIFS(应收金额,应收键,$Y147,应收年度,管理年度),2))</f>
        <v/>
      </c>
      <c r="J147" s="40" t="str">
        <f aca="false">IF($Y147="","",ROUND(SUMIFS(应收金额,应收键,$Y147,应收年度,管理年度,应收款别,"合同款"),2))</f>
        <v/>
      </c>
      <c r="K147" s="40" t="str">
        <f aca="false">IF($Y147="","",ROUND($I147-$J147,2))</f>
        <v/>
      </c>
      <c r="L147" s="40" t="str">
        <f aca="false">IF($Y147="","",ROUND(SUMIFS(应收开票额,应收键,$Y147,应收开票年度,管理年度),2))</f>
        <v/>
      </c>
      <c r="M147" s="40" t="str">
        <f aca="false">IF($Y147="","",ROUND($I147-$L147,2))</f>
        <v/>
      </c>
      <c r="N147" s="40" t="str">
        <f aca="false">IF($Y147="","",ROUND(SUMIFS(收款金额,收款键,$Y147,收款年度,管理年度),2))</f>
        <v/>
      </c>
      <c r="O147" s="40" t="str">
        <f aca="false">IF($Y147="","",ROUND(SUMIFS(收款金额,收款键,$Y147,收款年度,管理年度,收款归类,"发票"),2))</f>
        <v/>
      </c>
      <c r="P147" s="40" t="str">
        <f aca="false">IF($Y147="","",ROUND(SUMIFS(收款金额,收款键,$Y147,收款年度,管理年度,收款归类,"收据"),2))</f>
        <v/>
      </c>
      <c r="Q147" s="40" t="str">
        <f aca="false">IF($Y147="","",ROUND(SUMIFS(收款金额,收款键,$Y147,收款年度,管理年度,收款归类,"现金无票"),2))</f>
        <v/>
      </c>
      <c r="R147" s="40" t="str">
        <f aca="false">IF($Y147="","",ROUND(MAX(0,MIN($T147,SUMIF(应收键,$Y147,应收开票额)-SUMIF(收款键,$Y147,收款金额))),2))</f>
        <v/>
      </c>
      <c r="S147" s="40" t="str">
        <f aca="false">IF($Y147="","",ROUND(MAX(0,$T147)-$R147,2))</f>
        <v/>
      </c>
      <c r="T147" s="48" t="str">
        <f aca="false">IF($Y147="","",ROUND(SUMIF(应收键,$Y147,应收金额)-SUMIF(收款键,$Y147,收款金额),2))</f>
        <v/>
      </c>
      <c r="U147" s="49" t="str">
        <f aca="true">IF($AA147="","",IF($T147&lt;=0.01,"",MAX(0,TODAY()-$AA147)))</f>
        <v/>
      </c>
      <c r="V147" s="50" t="str">
        <f aca="true">IF($Y147="","",IF($T147&gt;0.01,IF(AND(ISNUMBER($U147),$U147&gt;=账龄预警天),"▲欠款拖了 "&amp;TEXT($U147,"0")&amp;" 天","欠款未清"),IF($T147&lt;-0.01,"预收/多收","已结清"))&amp;IF(OR($E147="已签未回",$E147="未签",$E147="续签中")," ▲合同未回","")&amp;IF(AND(ISNUMBER($F147),$F147&lt;TODAY())," ▲合同已到期",""))</f>
        <v/>
      </c>
      <c r="W147" s="24"/>
      <c r="X147" s="35" t="str">
        <f aca="false">IF($Y147="","",IF(ROUND($H147+$I147-$N147+$Z147-$T147,2)&lt;&gt;0,"★期初＋本年－已收≠余额",IF(ROUND($R147+$S147-MAX(0,$T147),2)&lt;&gt;0,"★已开票＋未开票≠欠款",IF(ROUND($J147+$K147-$I147,2)&lt;&gt;0,"★合同款＋合同外款≠本年应收",IF(ROUND($O147+$P147+$Q147-$N147,2)&lt;&gt;0,"★发票＋收据＋现金≠本年已收","OK")))))</f>
        <v/>
      </c>
      <c r="Y147" s="35" t="str">
        <f aca="false">IF(维保合同!$C147="","",维保合同!$E147)</f>
        <v/>
      </c>
      <c r="Z147" s="40" t="str">
        <f aca="false">IF($Y147="","",ROUND(SUMIFS(应收金额,应收键,$Y147,应收年度,"&gt;"&amp;管理年度)-SUMIFS(收款金额,收款键,$Y147,收款年度,"&gt;"&amp;管理年度),2))</f>
        <v/>
      </c>
      <c r="AA147" s="47" t="str">
        <f aca="false">IF($Y147="","",IF(SUMPRODUCT(MIN(IF((应收键=$Y147)*(应收未收&gt;0.01),应收日期,999999)))&gt;=999999,"",SUMPRODUCT(MIN(IF((应收键=$Y147)*(应收未收&gt;0.01),应收日期,999999)))))</f>
        <v/>
      </c>
    </row>
    <row r="148" customFormat="false" ht="15" hidden="false" customHeight="false" outlineLevel="0" collapsed="false">
      <c r="A148" s="29" t="str">
        <f aca="false">IF($Y148="","",ROW()-4)</f>
        <v/>
      </c>
      <c r="B148" s="16" t="str">
        <f aca="false">IF($Y148="","",维保合同!$C148)</f>
        <v/>
      </c>
      <c r="C148" s="16" t="str">
        <f aca="false">IF($Y148="","",维保合同!$D148)</f>
        <v/>
      </c>
      <c r="D148" s="35" t="str">
        <f aca="false">IF($Y148="","",维保合同!$F148)</f>
        <v/>
      </c>
      <c r="E148" s="35" t="str">
        <f aca="false">IF($Y148="","",维保合同!$G148)</f>
        <v/>
      </c>
      <c r="F148" s="47" t="str">
        <f aca="false">IF($Y148="","",维保合同!$I148)</f>
        <v/>
      </c>
      <c r="G148" s="38" t="str">
        <f aca="false">IF($Y148="","",维保合同!$K148)</f>
        <v/>
      </c>
      <c r="H148" s="41" t="str">
        <f aca="false">IF($Y148="","",ROUND(SUMIFS(应收金额,应收键,$Y148,应收年度,"&lt;"&amp;管理年度)-SUMIFS(收款金额,收款键,$Y148,收款年度,"&lt;"&amp;管理年度),2))</f>
        <v/>
      </c>
      <c r="I148" s="40" t="str">
        <f aca="false">IF($Y148="","",ROUND(SUMIFS(应收金额,应收键,$Y148,应收年度,管理年度),2))</f>
        <v/>
      </c>
      <c r="J148" s="40" t="str">
        <f aca="false">IF($Y148="","",ROUND(SUMIFS(应收金额,应收键,$Y148,应收年度,管理年度,应收款别,"合同款"),2))</f>
        <v/>
      </c>
      <c r="K148" s="40" t="str">
        <f aca="false">IF($Y148="","",ROUND($I148-$J148,2))</f>
        <v/>
      </c>
      <c r="L148" s="40" t="str">
        <f aca="false">IF($Y148="","",ROUND(SUMIFS(应收开票额,应收键,$Y148,应收开票年度,管理年度),2))</f>
        <v/>
      </c>
      <c r="M148" s="40" t="str">
        <f aca="false">IF($Y148="","",ROUND($I148-$L148,2))</f>
        <v/>
      </c>
      <c r="N148" s="40" t="str">
        <f aca="false">IF($Y148="","",ROUND(SUMIFS(收款金额,收款键,$Y148,收款年度,管理年度),2))</f>
        <v/>
      </c>
      <c r="O148" s="40" t="str">
        <f aca="false">IF($Y148="","",ROUND(SUMIFS(收款金额,收款键,$Y148,收款年度,管理年度,收款归类,"发票"),2))</f>
        <v/>
      </c>
      <c r="P148" s="40" t="str">
        <f aca="false">IF($Y148="","",ROUND(SUMIFS(收款金额,收款键,$Y148,收款年度,管理年度,收款归类,"收据"),2))</f>
        <v/>
      </c>
      <c r="Q148" s="40" t="str">
        <f aca="false">IF($Y148="","",ROUND(SUMIFS(收款金额,收款键,$Y148,收款年度,管理年度,收款归类,"现金无票"),2))</f>
        <v/>
      </c>
      <c r="R148" s="40" t="str">
        <f aca="false">IF($Y148="","",ROUND(MAX(0,MIN($T148,SUMIF(应收键,$Y148,应收开票额)-SUMIF(收款键,$Y148,收款金额))),2))</f>
        <v/>
      </c>
      <c r="S148" s="40" t="str">
        <f aca="false">IF($Y148="","",ROUND(MAX(0,$T148)-$R148,2))</f>
        <v/>
      </c>
      <c r="T148" s="48" t="str">
        <f aca="false">IF($Y148="","",ROUND(SUMIF(应收键,$Y148,应收金额)-SUMIF(收款键,$Y148,收款金额),2))</f>
        <v/>
      </c>
      <c r="U148" s="49" t="str">
        <f aca="true">IF($AA148="","",IF($T148&lt;=0.01,"",MAX(0,TODAY()-$AA148)))</f>
        <v/>
      </c>
      <c r="V148" s="50" t="str">
        <f aca="true">IF($Y148="","",IF($T148&gt;0.01,IF(AND(ISNUMBER($U148),$U148&gt;=账龄预警天),"▲欠款拖了 "&amp;TEXT($U148,"0")&amp;" 天","欠款未清"),IF($T148&lt;-0.01,"预收/多收","已结清"))&amp;IF(OR($E148="已签未回",$E148="未签",$E148="续签中")," ▲合同未回","")&amp;IF(AND(ISNUMBER($F148),$F148&lt;TODAY())," ▲合同已到期",""))</f>
        <v/>
      </c>
      <c r="W148" s="24"/>
      <c r="X148" s="35" t="str">
        <f aca="false">IF($Y148="","",IF(ROUND($H148+$I148-$N148+$Z148-$T148,2)&lt;&gt;0,"★期初＋本年－已收≠余额",IF(ROUND($R148+$S148-MAX(0,$T148),2)&lt;&gt;0,"★已开票＋未开票≠欠款",IF(ROUND($J148+$K148-$I148,2)&lt;&gt;0,"★合同款＋合同外款≠本年应收",IF(ROUND($O148+$P148+$Q148-$N148,2)&lt;&gt;0,"★发票＋收据＋现金≠本年已收","OK")))))</f>
        <v/>
      </c>
      <c r="Y148" s="35" t="str">
        <f aca="false">IF(维保合同!$C148="","",维保合同!$E148)</f>
        <v/>
      </c>
      <c r="Z148" s="40" t="str">
        <f aca="false">IF($Y148="","",ROUND(SUMIFS(应收金额,应收键,$Y148,应收年度,"&gt;"&amp;管理年度)-SUMIFS(收款金额,收款键,$Y148,收款年度,"&gt;"&amp;管理年度),2))</f>
        <v/>
      </c>
      <c r="AA148" s="47" t="str">
        <f aca="false">IF($Y148="","",IF(SUMPRODUCT(MIN(IF((应收键=$Y148)*(应收未收&gt;0.01),应收日期,999999)))&gt;=999999,"",SUMPRODUCT(MIN(IF((应收键=$Y148)*(应收未收&gt;0.01),应收日期,999999)))))</f>
        <v/>
      </c>
    </row>
    <row r="149" customFormat="false" ht="15" hidden="false" customHeight="false" outlineLevel="0" collapsed="false">
      <c r="A149" s="29" t="str">
        <f aca="false">IF($Y149="","",ROW()-4)</f>
        <v/>
      </c>
      <c r="B149" s="16" t="str">
        <f aca="false">IF($Y149="","",维保合同!$C149)</f>
        <v/>
      </c>
      <c r="C149" s="16" t="str">
        <f aca="false">IF($Y149="","",维保合同!$D149)</f>
        <v/>
      </c>
      <c r="D149" s="35" t="str">
        <f aca="false">IF($Y149="","",维保合同!$F149)</f>
        <v/>
      </c>
      <c r="E149" s="35" t="str">
        <f aca="false">IF($Y149="","",维保合同!$G149)</f>
        <v/>
      </c>
      <c r="F149" s="47" t="str">
        <f aca="false">IF($Y149="","",维保合同!$I149)</f>
        <v/>
      </c>
      <c r="G149" s="38" t="str">
        <f aca="false">IF($Y149="","",维保合同!$K149)</f>
        <v/>
      </c>
      <c r="H149" s="41" t="str">
        <f aca="false">IF($Y149="","",ROUND(SUMIFS(应收金额,应收键,$Y149,应收年度,"&lt;"&amp;管理年度)-SUMIFS(收款金额,收款键,$Y149,收款年度,"&lt;"&amp;管理年度),2))</f>
        <v/>
      </c>
      <c r="I149" s="40" t="str">
        <f aca="false">IF($Y149="","",ROUND(SUMIFS(应收金额,应收键,$Y149,应收年度,管理年度),2))</f>
        <v/>
      </c>
      <c r="J149" s="40" t="str">
        <f aca="false">IF($Y149="","",ROUND(SUMIFS(应收金额,应收键,$Y149,应收年度,管理年度,应收款别,"合同款"),2))</f>
        <v/>
      </c>
      <c r="K149" s="40" t="str">
        <f aca="false">IF($Y149="","",ROUND($I149-$J149,2))</f>
        <v/>
      </c>
      <c r="L149" s="40" t="str">
        <f aca="false">IF($Y149="","",ROUND(SUMIFS(应收开票额,应收键,$Y149,应收开票年度,管理年度),2))</f>
        <v/>
      </c>
      <c r="M149" s="40" t="str">
        <f aca="false">IF($Y149="","",ROUND($I149-$L149,2))</f>
        <v/>
      </c>
      <c r="N149" s="40" t="str">
        <f aca="false">IF($Y149="","",ROUND(SUMIFS(收款金额,收款键,$Y149,收款年度,管理年度),2))</f>
        <v/>
      </c>
      <c r="O149" s="40" t="str">
        <f aca="false">IF($Y149="","",ROUND(SUMIFS(收款金额,收款键,$Y149,收款年度,管理年度,收款归类,"发票"),2))</f>
        <v/>
      </c>
      <c r="P149" s="40" t="str">
        <f aca="false">IF($Y149="","",ROUND(SUMIFS(收款金额,收款键,$Y149,收款年度,管理年度,收款归类,"收据"),2))</f>
        <v/>
      </c>
      <c r="Q149" s="40" t="str">
        <f aca="false">IF($Y149="","",ROUND(SUMIFS(收款金额,收款键,$Y149,收款年度,管理年度,收款归类,"现金无票"),2))</f>
        <v/>
      </c>
      <c r="R149" s="40" t="str">
        <f aca="false">IF($Y149="","",ROUND(MAX(0,MIN($T149,SUMIF(应收键,$Y149,应收开票额)-SUMIF(收款键,$Y149,收款金额))),2))</f>
        <v/>
      </c>
      <c r="S149" s="40" t="str">
        <f aca="false">IF($Y149="","",ROUND(MAX(0,$T149)-$R149,2))</f>
        <v/>
      </c>
      <c r="T149" s="48" t="str">
        <f aca="false">IF($Y149="","",ROUND(SUMIF(应收键,$Y149,应收金额)-SUMIF(收款键,$Y149,收款金额),2))</f>
        <v/>
      </c>
      <c r="U149" s="49" t="str">
        <f aca="true">IF($AA149="","",IF($T149&lt;=0.01,"",MAX(0,TODAY()-$AA149)))</f>
        <v/>
      </c>
      <c r="V149" s="50" t="str">
        <f aca="true">IF($Y149="","",IF($T149&gt;0.01,IF(AND(ISNUMBER($U149),$U149&gt;=账龄预警天),"▲欠款拖了 "&amp;TEXT($U149,"0")&amp;" 天","欠款未清"),IF($T149&lt;-0.01,"预收/多收","已结清"))&amp;IF(OR($E149="已签未回",$E149="未签",$E149="续签中")," ▲合同未回","")&amp;IF(AND(ISNUMBER($F149),$F149&lt;TODAY())," ▲合同已到期",""))</f>
        <v/>
      </c>
      <c r="W149" s="24"/>
      <c r="X149" s="35" t="str">
        <f aca="false">IF($Y149="","",IF(ROUND($H149+$I149-$N149+$Z149-$T149,2)&lt;&gt;0,"★期初＋本年－已收≠余额",IF(ROUND($R149+$S149-MAX(0,$T149),2)&lt;&gt;0,"★已开票＋未开票≠欠款",IF(ROUND($J149+$K149-$I149,2)&lt;&gt;0,"★合同款＋合同外款≠本年应收",IF(ROUND($O149+$P149+$Q149-$N149,2)&lt;&gt;0,"★发票＋收据＋现金≠本年已收","OK")))))</f>
        <v/>
      </c>
      <c r="Y149" s="35" t="str">
        <f aca="false">IF(维保合同!$C149="","",维保合同!$E149)</f>
        <v/>
      </c>
      <c r="Z149" s="40" t="str">
        <f aca="false">IF($Y149="","",ROUND(SUMIFS(应收金额,应收键,$Y149,应收年度,"&gt;"&amp;管理年度)-SUMIFS(收款金额,收款键,$Y149,收款年度,"&gt;"&amp;管理年度),2))</f>
        <v/>
      </c>
      <c r="AA149" s="47" t="str">
        <f aca="false">IF($Y149="","",IF(SUMPRODUCT(MIN(IF((应收键=$Y149)*(应收未收&gt;0.01),应收日期,999999)))&gt;=999999,"",SUMPRODUCT(MIN(IF((应收键=$Y149)*(应收未收&gt;0.01),应收日期,999999)))))</f>
        <v/>
      </c>
    </row>
    <row r="150" customFormat="false" ht="15" hidden="false" customHeight="false" outlineLevel="0" collapsed="false">
      <c r="A150" s="29" t="str">
        <f aca="false">IF($Y150="","",ROW()-4)</f>
        <v/>
      </c>
      <c r="B150" s="16" t="str">
        <f aca="false">IF($Y150="","",维保合同!$C150)</f>
        <v/>
      </c>
      <c r="C150" s="16" t="str">
        <f aca="false">IF($Y150="","",维保合同!$D150)</f>
        <v/>
      </c>
      <c r="D150" s="35" t="str">
        <f aca="false">IF($Y150="","",维保合同!$F150)</f>
        <v/>
      </c>
      <c r="E150" s="35" t="str">
        <f aca="false">IF($Y150="","",维保合同!$G150)</f>
        <v/>
      </c>
      <c r="F150" s="47" t="str">
        <f aca="false">IF($Y150="","",维保合同!$I150)</f>
        <v/>
      </c>
      <c r="G150" s="38" t="str">
        <f aca="false">IF($Y150="","",维保合同!$K150)</f>
        <v/>
      </c>
      <c r="H150" s="41" t="str">
        <f aca="false">IF($Y150="","",ROUND(SUMIFS(应收金额,应收键,$Y150,应收年度,"&lt;"&amp;管理年度)-SUMIFS(收款金额,收款键,$Y150,收款年度,"&lt;"&amp;管理年度),2))</f>
        <v/>
      </c>
      <c r="I150" s="40" t="str">
        <f aca="false">IF($Y150="","",ROUND(SUMIFS(应收金额,应收键,$Y150,应收年度,管理年度),2))</f>
        <v/>
      </c>
      <c r="J150" s="40" t="str">
        <f aca="false">IF($Y150="","",ROUND(SUMIFS(应收金额,应收键,$Y150,应收年度,管理年度,应收款别,"合同款"),2))</f>
        <v/>
      </c>
      <c r="K150" s="40" t="str">
        <f aca="false">IF($Y150="","",ROUND($I150-$J150,2))</f>
        <v/>
      </c>
      <c r="L150" s="40" t="str">
        <f aca="false">IF($Y150="","",ROUND(SUMIFS(应收开票额,应收键,$Y150,应收开票年度,管理年度),2))</f>
        <v/>
      </c>
      <c r="M150" s="40" t="str">
        <f aca="false">IF($Y150="","",ROUND($I150-$L150,2))</f>
        <v/>
      </c>
      <c r="N150" s="40" t="str">
        <f aca="false">IF($Y150="","",ROUND(SUMIFS(收款金额,收款键,$Y150,收款年度,管理年度),2))</f>
        <v/>
      </c>
      <c r="O150" s="40" t="str">
        <f aca="false">IF($Y150="","",ROUND(SUMIFS(收款金额,收款键,$Y150,收款年度,管理年度,收款归类,"发票"),2))</f>
        <v/>
      </c>
      <c r="P150" s="40" t="str">
        <f aca="false">IF($Y150="","",ROUND(SUMIFS(收款金额,收款键,$Y150,收款年度,管理年度,收款归类,"收据"),2))</f>
        <v/>
      </c>
      <c r="Q150" s="40" t="str">
        <f aca="false">IF($Y150="","",ROUND(SUMIFS(收款金额,收款键,$Y150,收款年度,管理年度,收款归类,"现金无票"),2))</f>
        <v/>
      </c>
      <c r="R150" s="40" t="str">
        <f aca="false">IF($Y150="","",ROUND(MAX(0,MIN($T150,SUMIF(应收键,$Y150,应收开票额)-SUMIF(收款键,$Y150,收款金额))),2))</f>
        <v/>
      </c>
      <c r="S150" s="40" t="str">
        <f aca="false">IF($Y150="","",ROUND(MAX(0,$T150)-$R150,2))</f>
        <v/>
      </c>
      <c r="T150" s="48" t="str">
        <f aca="false">IF($Y150="","",ROUND(SUMIF(应收键,$Y150,应收金额)-SUMIF(收款键,$Y150,收款金额),2))</f>
        <v/>
      </c>
      <c r="U150" s="49" t="str">
        <f aca="true">IF($AA150="","",IF($T150&lt;=0.01,"",MAX(0,TODAY()-$AA150)))</f>
        <v/>
      </c>
      <c r="V150" s="50" t="str">
        <f aca="true">IF($Y150="","",IF($T150&gt;0.01,IF(AND(ISNUMBER($U150),$U150&gt;=账龄预警天),"▲欠款拖了 "&amp;TEXT($U150,"0")&amp;" 天","欠款未清"),IF($T150&lt;-0.01,"预收/多收","已结清"))&amp;IF(OR($E150="已签未回",$E150="未签",$E150="续签中")," ▲合同未回","")&amp;IF(AND(ISNUMBER($F150),$F150&lt;TODAY())," ▲合同已到期",""))</f>
        <v/>
      </c>
      <c r="W150" s="24"/>
      <c r="X150" s="35" t="str">
        <f aca="false">IF($Y150="","",IF(ROUND($H150+$I150-$N150+$Z150-$T150,2)&lt;&gt;0,"★期初＋本年－已收≠余额",IF(ROUND($R150+$S150-MAX(0,$T150),2)&lt;&gt;0,"★已开票＋未开票≠欠款",IF(ROUND($J150+$K150-$I150,2)&lt;&gt;0,"★合同款＋合同外款≠本年应收",IF(ROUND($O150+$P150+$Q150-$N150,2)&lt;&gt;0,"★发票＋收据＋现金≠本年已收","OK")))))</f>
        <v/>
      </c>
      <c r="Y150" s="35" t="str">
        <f aca="false">IF(维保合同!$C150="","",维保合同!$E150)</f>
        <v/>
      </c>
      <c r="Z150" s="40" t="str">
        <f aca="false">IF($Y150="","",ROUND(SUMIFS(应收金额,应收键,$Y150,应收年度,"&gt;"&amp;管理年度)-SUMIFS(收款金额,收款键,$Y150,收款年度,"&gt;"&amp;管理年度),2))</f>
        <v/>
      </c>
      <c r="AA150" s="47" t="str">
        <f aca="false">IF($Y150="","",IF(SUMPRODUCT(MIN(IF((应收键=$Y150)*(应收未收&gt;0.01),应收日期,999999)))&gt;=999999,"",SUMPRODUCT(MIN(IF((应收键=$Y150)*(应收未收&gt;0.01),应收日期,999999)))))</f>
        <v/>
      </c>
    </row>
    <row r="151" customFormat="false" ht="15" hidden="false" customHeight="false" outlineLevel="0" collapsed="false">
      <c r="A151" s="29" t="str">
        <f aca="false">IF($Y151="","",ROW()-4)</f>
        <v/>
      </c>
      <c r="B151" s="16" t="str">
        <f aca="false">IF($Y151="","",维保合同!$C151)</f>
        <v/>
      </c>
      <c r="C151" s="16" t="str">
        <f aca="false">IF($Y151="","",维保合同!$D151)</f>
        <v/>
      </c>
      <c r="D151" s="35" t="str">
        <f aca="false">IF($Y151="","",维保合同!$F151)</f>
        <v/>
      </c>
      <c r="E151" s="35" t="str">
        <f aca="false">IF($Y151="","",维保合同!$G151)</f>
        <v/>
      </c>
      <c r="F151" s="47" t="str">
        <f aca="false">IF($Y151="","",维保合同!$I151)</f>
        <v/>
      </c>
      <c r="G151" s="38" t="str">
        <f aca="false">IF($Y151="","",维保合同!$K151)</f>
        <v/>
      </c>
      <c r="H151" s="41" t="str">
        <f aca="false">IF($Y151="","",ROUND(SUMIFS(应收金额,应收键,$Y151,应收年度,"&lt;"&amp;管理年度)-SUMIFS(收款金额,收款键,$Y151,收款年度,"&lt;"&amp;管理年度),2))</f>
        <v/>
      </c>
      <c r="I151" s="40" t="str">
        <f aca="false">IF($Y151="","",ROUND(SUMIFS(应收金额,应收键,$Y151,应收年度,管理年度),2))</f>
        <v/>
      </c>
      <c r="J151" s="40" t="str">
        <f aca="false">IF($Y151="","",ROUND(SUMIFS(应收金额,应收键,$Y151,应收年度,管理年度,应收款别,"合同款"),2))</f>
        <v/>
      </c>
      <c r="K151" s="40" t="str">
        <f aca="false">IF($Y151="","",ROUND($I151-$J151,2))</f>
        <v/>
      </c>
      <c r="L151" s="40" t="str">
        <f aca="false">IF($Y151="","",ROUND(SUMIFS(应收开票额,应收键,$Y151,应收开票年度,管理年度),2))</f>
        <v/>
      </c>
      <c r="M151" s="40" t="str">
        <f aca="false">IF($Y151="","",ROUND($I151-$L151,2))</f>
        <v/>
      </c>
      <c r="N151" s="40" t="str">
        <f aca="false">IF($Y151="","",ROUND(SUMIFS(收款金额,收款键,$Y151,收款年度,管理年度),2))</f>
        <v/>
      </c>
      <c r="O151" s="40" t="str">
        <f aca="false">IF($Y151="","",ROUND(SUMIFS(收款金额,收款键,$Y151,收款年度,管理年度,收款归类,"发票"),2))</f>
        <v/>
      </c>
      <c r="P151" s="40" t="str">
        <f aca="false">IF($Y151="","",ROUND(SUMIFS(收款金额,收款键,$Y151,收款年度,管理年度,收款归类,"收据"),2))</f>
        <v/>
      </c>
      <c r="Q151" s="40" t="str">
        <f aca="false">IF($Y151="","",ROUND(SUMIFS(收款金额,收款键,$Y151,收款年度,管理年度,收款归类,"现金无票"),2))</f>
        <v/>
      </c>
      <c r="R151" s="40" t="str">
        <f aca="false">IF($Y151="","",ROUND(MAX(0,MIN($T151,SUMIF(应收键,$Y151,应收开票额)-SUMIF(收款键,$Y151,收款金额))),2))</f>
        <v/>
      </c>
      <c r="S151" s="40" t="str">
        <f aca="false">IF($Y151="","",ROUND(MAX(0,$T151)-$R151,2))</f>
        <v/>
      </c>
      <c r="T151" s="48" t="str">
        <f aca="false">IF($Y151="","",ROUND(SUMIF(应收键,$Y151,应收金额)-SUMIF(收款键,$Y151,收款金额),2))</f>
        <v/>
      </c>
      <c r="U151" s="49" t="str">
        <f aca="true">IF($AA151="","",IF($T151&lt;=0.01,"",MAX(0,TODAY()-$AA151)))</f>
        <v/>
      </c>
      <c r="V151" s="50" t="str">
        <f aca="true">IF($Y151="","",IF($T151&gt;0.01,IF(AND(ISNUMBER($U151),$U151&gt;=账龄预警天),"▲欠款拖了 "&amp;TEXT($U151,"0")&amp;" 天","欠款未清"),IF($T151&lt;-0.01,"预收/多收","已结清"))&amp;IF(OR($E151="已签未回",$E151="未签",$E151="续签中")," ▲合同未回","")&amp;IF(AND(ISNUMBER($F151),$F151&lt;TODAY())," ▲合同已到期",""))</f>
        <v/>
      </c>
      <c r="W151" s="24"/>
      <c r="X151" s="35" t="str">
        <f aca="false">IF($Y151="","",IF(ROUND($H151+$I151-$N151+$Z151-$T151,2)&lt;&gt;0,"★期初＋本年－已收≠余额",IF(ROUND($R151+$S151-MAX(0,$T151),2)&lt;&gt;0,"★已开票＋未开票≠欠款",IF(ROUND($J151+$K151-$I151,2)&lt;&gt;0,"★合同款＋合同外款≠本年应收",IF(ROUND($O151+$P151+$Q151-$N151,2)&lt;&gt;0,"★发票＋收据＋现金≠本年已收","OK")))))</f>
        <v/>
      </c>
      <c r="Y151" s="35" t="str">
        <f aca="false">IF(维保合同!$C151="","",维保合同!$E151)</f>
        <v/>
      </c>
      <c r="Z151" s="40" t="str">
        <f aca="false">IF($Y151="","",ROUND(SUMIFS(应收金额,应收键,$Y151,应收年度,"&gt;"&amp;管理年度)-SUMIFS(收款金额,收款键,$Y151,收款年度,"&gt;"&amp;管理年度),2))</f>
        <v/>
      </c>
      <c r="AA151" s="47" t="str">
        <f aca="false">IF($Y151="","",IF(SUMPRODUCT(MIN(IF((应收键=$Y151)*(应收未收&gt;0.01),应收日期,999999)))&gt;=999999,"",SUMPRODUCT(MIN(IF((应收键=$Y151)*(应收未收&gt;0.01),应收日期,999999)))))</f>
        <v/>
      </c>
    </row>
    <row r="152" customFormat="false" ht="15" hidden="false" customHeight="false" outlineLevel="0" collapsed="false">
      <c r="A152" s="29" t="str">
        <f aca="false">IF($Y152="","",ROW()-4)</f>
        <v/>
      </c>
      <c r="B152" s="16" t="str">
        <f aca="false">IF($Y152="","",维保合同!$C152)</f>
        <v/>
      </c>
      <c r="C152" s="16" t="str">
        <f aca="false">IF($Y152="","",维保合同!$D152)</f>
        <v/>
      </c>
      <c r="D152" s="35" t="str">
        <f aca="false">IF($Y152="","",维保合同!$F152)</f>
        <v/>
      </c>
      <c r="E152" s="35" t="str">
        <f aca="false">IF($Y152="","",维保合同!$G152)</f>
        <v/>
      </c>
      <c r="F152" s="47" t="str">
        <f aca="false">IF($Y152="","",维保合同!$I152)</f>
        <v/>
      </c>
      <c r="G152" s="38" t="str">
        <f aca="false">IF($Y152="","",维保合同!$K152)</f>
        <v/>
      </c>
      <c r="H152" s="41" t="str">
        <f aca="false">IF($Y152="","",ROUND(SUMIFS(应收金额,应收键,$Y152,应收年度,"&lt;"&amp;管理年度)-SUMIFS(收款金额,收款键,$Y152,收款年度,"&lt;"&amp;管理年度),2))</f>
        <v/>
      </c>
      <c r="I152" s="40" t="str">
        <f aca="false">IF($Y152="","",ROUND(SUMIFS(应收金额,应收键,$Y152,应收年度,管理年度),2))</f>
        <v/>
      </c>
      <c r="J152" s="40" t="str">
        <f aca="false">IF($Y152="","",ROUND(SUMIFS(应收金额,应收键,$Y152,应收年度,管理年度,应收款别,"合同款"),2))</f>
        <v/>
      </c>
      <c r="K152" s="40" t="str">
        <f aca="false">IF($Y152="","",ROUND($I152-$J152,2))</f>
        <v/>
      </c>
      <c r="L152" s="40" t="str">
        <f aca="false">IF($Y152="","",ROUND(SUMIFS(应收开票额,应收键,$Y152,应收开票年度,管理年度),2))</f>
        <v/>
      </c>
      <c r="M152" s="40" t="str">
        <f aca="false">IF($Y152="","",ROUND($I152-$L152,2))</f>
        <v/>
      </c>
      <c r="N152" s="40" t="str">
        <f aca="false">IF($Y152="","",ROUND(SUMIFS(收款金额,收款键,$Y152,收款年度,管理年度),2))</f>
        <v/>
      </c>
      <c r="O152" s="40" t="str">
        <f aca="false">IF($Y152="","",ROUND(SUMIFS(收款金额,收款键,$Y152,收款年度,管理年度,收款归类,"发票"),2))</f>
        <v/>
      </c>
      <c r="P152" s="40" t="str">
        <f aca="false">IF($Y152="","",ROUND(SUMIFS(收款金额,收款键,$Y152,收款年度,管理年度,收款归类,"收据"),2))</f>
        <v/>
      </c>
      <c r="Q152" s="40" t="str">
        <f aca="false">IF($Y152="","",ROUND(SUMIFS(收款金额,收款键,$Y152,收款年度,管理年度,收款归类,"现金无票"),2))</f>
        <v/>
      </c>
      <c r="R152" s="40" t="str">
        <f aca="false">IF($Y152="","",ROUND(MAX(0,MIN($T152,SUMIF(应收键,$Y152,应收开票额)-SUMIF(收款键,$Y152,收款金额))),2))</f>
        <v/>
      </c>
      <c r="S152" s="40" t="str">
        <f aca="false">IF($Y152="","",ROUND(MAX(0,$T152)-$R152,2))</f>
        <v/>
      </c>
      <c r="T152" s="48" t="str">
        <f aca="false">IF($Y152="","",ROUND(SUMIF(应收键,$Y152,应收金额)-SUMIF(收款键,$Y152,收款金额),2))</f>
        <v/>
      </c>
      <c r="U152" s="49" t="str">
        <f aca="true">IF($AA152="","",IF($T152&lt;=0.01,"",MAX(0,TODAY()-$AA152)))</f>
        <v/>
      </c>
      <c r="V152" s="50" t="str">
        <f aca="true">IF($Y152="","",IF($T152&gt;0.01,IF(AND(ISNUMBER($U152),$U152&gt;=账龄预警天),"▲欠款拖了 "&amp;TEXT($U152,"0")&amp;" 天","欠款未清"),IF($T152&lt;-0.01,"预收/多收","已结清"))&amp;IF(OR($E152="已签未回",$E152="未签",$E152="续签中")," ▲合同未回","")&amp;IF(AND(ISNUMBER($F152),$F152&lt;TODAY())," ▲合同已到期",""))</f>
        <v/>
      </c>
      <c r="W152" s="24"/>
      <c r="X152" s="35" t="str">
        <f aca="false">IF($Y152="","",IF(ROUND($H152+$I152-$N152+$Z152-$T152,2)&lt;&gt;0,"★期初＋本年－已收≠余额",IF(ROUND($R152+$S152-MAX(0,$T152),2)&lt;&gt;0,"★已开票＋未开票≠欠款",IF(ROUND($J152+$K152-$I152,2)&lt;&gt;0,"★合同款＋合同外款≠本年应收",IF(ROUND($O152+$P152+$Q152-$N152,2)&lt;&gt;0,"★发票＋收据＋现金≠本年已收","OK")))))</f>
        <v/>
      </c>
      <c r="Y152" s="35" t="str">
        <f aca="false">IF(维保合同!$C152="","",维保合同!$E152)</f>
        <v/>
      </c>
      <c r="Z152" s="40" t="str">
        <f aca="false">IF($Y152="","",ROUND(SUMIFS(应收金额,应收键,$Y152,应收年度,"&gt;"&amp;管理年度)-SUMIFS(收款金额,收款键,$Y152,收款年度,"&gt;"&amp;管理年度),2))</f>
        <v/>
      </c>
      <c r="AA152" s="47" t="str">
        <f aca="false">IF($Y152="","",IF(SUMPRODUCT(MIN(IF((应收键=$Y152)*(应收未收&gt;0.01),应收日期,999999)))&gt;=999999,"",SUMPRODUCT(MIN(IF((应收键=$Y152)*(应收未收&gt;0.01),应收日期,999999)))))</f>
        <v/>
      </c>
    </row>
    <row r="153" customFormat="false" ht="15" hidden="false" customHeight="false" outlineLevel="0" collapsed="false">
      <c r="A153" s="29" t="str">
        <f aca="false">IF($Y153="","",ROW()-4)</f>
        <v/>
      </c>
      <c r="B153" s="16" t="str">
        <f aca="false">IF($Y153="","",维保合同!$C153)</f>
        <v/>
      </c>
      <c r="C153" s="16" t="str">
        <f aca="false">IF($Y153="","",维保合同!$D153)</f>
        <v/>
      </c>
      <c r="D153" s="35" t="str">
        <f aca="false">IF($Y153="","",维保合同!$F153)</f>
        <v/>
      </c>
      <c r="E153" s="35" t="str">
        <f aca="false">IF($Y153="","",维保合同!$G153)</f>
        <v/>
      </c>
      <c r="F153" s="47" t="str">
        <f aca="false">IF($Y153="","",维保合同!$I153)</f>
        <v/>
      </c>
      <c r="G153" s="38" t="str">
        <f aca="false">IF($Y153="","",维保合同!$K153)</f>
        <v/>
      </c>
      <c r="H153" s="41" t="str">
        <f aca="false">IF($Y153="","",ROUND(SUMIFS(应收金额,应收键,$Y153,应收年度,"&lt;"&amp;管理年度)-SUMIFS(收款金额,收款键,$Y153,收款年度,"&lt;"&amp;管理年度),2))</f>
        <v/>
      </c>
      <c r="I153" s="40" t="str">
        <f aca="false">IF($Y153="","",ROUND(SUMIFS(应收金额,应收键,$Y153,应收年度,管理年度),2))</f>
        <v/>
      </c>
      <c r="J153" s="40" t="str">
        <f aca="false">IF($Y153="","",ROUND(SUMIFS(应收金额,应收键,$Y153,应收年度,管理年度,应收款别,"合同款"),2))</f>
        <v/>
      </c>
      <c r="K153" s="40" t="str">
        <f aca="false">IF($Y153="","",ROUND($I153-$J153,2))</f>
        <v/>
      </c>
      <c r="L153" s="40" t="str">
        <f aca="false">IF($Y153="","",ROUND(SUMIFS(应收开票额,应收键,$Y153,应收开票年度,管理年度),2))</f>
        <v/>
      </c>
      <c r="M153" s="40" t="str">
        <f aca="false">IF($Y153="","",ROUND($I153-$L153,2))</f>
        <v/>
      </c>
      <c r="N153" s="40" t="str">
        <f aca="false">IF($Y153="","",ROUND(SUMIFS(收款金额,收款键,$Y153,收款年度,管理年度),2))</f>
        <v/>
      </c>
      <c r="O153" s="40" t="str">
        <f aca="false">IF($Y153="","",ROUND(SUMIFS(收款金额,收款键,$Y153,收款年度,管理年度,收款归类,"发票"),2))</f>
        <v/>
      </c>
      <c r="P153" s="40" t="str">
        <f aca="false">IF($Y153="","",ROUND(SUMIFS(收款金额,收款键,$Y153,收款年度,管理年度,收款归类,"收据"),2))</f>
        <v/>
      </c>
      <c r="Q153" s="40" t="str">
        <f aca="false">IF($Y153="","",ROUND(SUMIFS(收款金额,收款键,$Y153,收款年度,管理年度,收款归类,"现金无票"),2))</f>
        <v/>
      </c>
      <c r="R153" s="40" t="str">
        <f aca="false">IF($Y153="","",ROUND(MAX(0,MIN($T153,SUMIF(应收键,$Y153,应收开票额)-SUMIF(收款键,$Y153,收款金额))),2))</f>
        <v/>
      </c>
      <c r="S153" s="40" t="str">
        <f aca="false">IF($Y153="","",ROUND(MAX(0,$T153)-$R153,2))</f>
        <v/>
      </c>
      <c r="T153" s="48" t="str">
        <f aca="false">IF($Y153="","",ROUND(SUMIF(应收键,$Y153,应收金额)-SUMIF(收款键,$Y153,收款金额),2))</f>
        <v/>
      </c>
      <c r="U153" s="49" t="str">
        <f aca="true">IF($AA153="","",IF($T153&lt;=0.01,"",MAX(0,TODAY()-$AA153)))</f>
        <v/>
      </c>
      <c r="V153" s="50" t="str">
        <f aca="true">IF($Y153="","",IF($T153&gt;0.01,IF(AND(ISNUMBER($U153),$U153&gt;=账龄预警天),"▲欠款拖了 "&amp;TEXT($U153,"0")&amp;" 天","欠款未清"),IF($T153&lt;-0.01,"预收/多收","已结清"))&amp;IF(OR($E153="已签未回",$E153="未签",$E153="续签中")," ▲合同未回","")&amp;IF(AND(ISNUMBER($F153),$F153&lt;TODAY())," ▲合同已到期",""))</f>
        <v/>
      </c>
      <c r="W153" s="24"/>
      <c r="X153" s="35" t="str">
        <f aca="false">IF($Y153="","",IF(ROUND($H153+$I153-$N153+$Z153-$T153,2)&lt;&gt;0,"★期初＋本年－已收≠余额",IF(ROUND($R153+$S153-MAX(0,$T153),2)&lt;&gt;0,"★已开票＋未开票≠欠款",IF(ROUND($J153+$K153-$I153,2)&lt;&gt;0,"★合同款＋合同外款≠本年应收",IF(ROUND($O153+$P153+$Q153-$N153,2)&lt;&gt;0,"★发票＋收据＋现金≠本年已收","OK")))))</f>
        <v/>
      </c>
      <c r="Y153" s="35" t="str">
        <f aca="false">IF(维保合同!$C153="","",维保合同!$E153)</f>
        <v/>
      </c>
      <c r="Z153" s="40" t="str">
        <f aca="false">IF($Y153="","",ROUND(SUMIFS(应收金额,应收键,$Y153,应收年度,"&gt;"&amp;管理年度)-SUMIFS(收款金额,收款键,$Y153,收款年度,"&gt;"&amp;管理年度),2))</f>
        <v/>
      </c>
      <c r="AA153" s="47" t="str">
        <f aca="false">IF($Y153="","",IF(SUMPRODUCT(MIN(IF((应收键=$Y153)*(应收未收&gt;0.01),应收日期,999999)))&gt;=999999,"",SUMPRODUCT(MIN(IF((应收键=$Y153)*(应收未收&gt;0.01),应收日期,999999)))))</f>
        <v/>
      </c>
    </row>
    <row r="154" customFormat="false" ht="15" hidden="false" customHeight="false" outlineLevel="0" collapsed="false">
      <c r="A154" s="29" t="str">
        <f aca="false">IF($Y154="","",ROW()-4)</f>
        <v/>
      </c>
      <c r="B154" s="16" t="str">
        <f aca="false">IF($Y154="","",维保合同!$C154)</f>
        <v/>
      </c>
      <c r="C154" s="16" t="str">
        <f aca="false">IF($Y154="","",维保合同!$D154)</f>
        <v/>
      </c>
      <c r="D154" s="35" t="str">
        <f aca="false">IF($Y154="","",维保合同!$F154)</f>
        <v/>
      </c>
      <c r="E154" s="35" t="str">
        <f aca="false">IF($Y154="","",维保合同!$G154)</f>
        <v/>
      </c>
      <c r="F154" s="47" t="str">
        <f aca="false">IF($Y154="","",维保合同!$I154)</f>
        <v/>
      </c>
      <c r="G154" s="38" t="str">
        <f aca="false">IF($Y154="","",维保合同!$K154)</f>
        <v/>
      </c>
      <c r="H154" s="41" t="str">
        <f aca="false">IF($Y154="","",ROUND(SUMIFS(应收金额,应收键,$Y154,应收年度,"&lt;"&amp;管理年度)-SUMIFS(收款金额,收款键,$Y154,收款年度,"&lt;"&amp;管理年度),2))</f>
        <v/>
      </c>
      <c r="I154" s="40" t="str">
        <f aca="false">IF($Y154="","",ROUND(SUMIFS(应收金额,应收键,$Y154,应收年度,管理年度),2))</f>
        <v/>
      </c>
      <c r="J154" s="40" t="str">
        <f aca="false">IF($Y154="","",ROUND(SUMIFS(应收金额,应收键,$Y154,应收年度,管理年度,应收款别,"合同款"),2))</f>
        <v/>
      </c>
      <c r="K154" s="40" t="str">
        <f aca="false">IF($Y154="","",ROUND($I154-$J154,2))</f>
        <v/>
      </c>
      <c r="L154" s="40" t="str">
        <f aca="false">IF($Y154="","",ROUND(SUMIFS(应收开票额,应收键,$Y154,应收开票年度,管理年度),2))</f>
        <v/>
      </c>
      <c r="M154" s="40" t="str">
        <f aca="false">IF($Y154="","",ROUND($I154-$L154,2))</f>
        <v/>
      </c>
      <c r="N154" s="40" t="str">
        <f aca="false">IF($Y154="","",ROUND(SUMIFS(收款金额,收款键,$Y154,收款年度,管理年度),2))</f>
        <v/>
      </c>
      <c r="O154" s="40" t="str">
        <f aca="false">IF($Y154="","",ROUND(SUMIFS(收款金额,收款键,$Y154,收款年度,管理年度,收款归类,"发票"),2))</f>
        <v/>
      </c>
      <c r="P154" s="40" t="str">
        <f aca="false">IF($Y154="","",ROUND(SUMIFS(收款金额,收款键,$Y154,收款年度,管理年度,收款归类,"收据"),2))</f>
        <v/>
      </c>
      <c r="Q154" s="40" t="str">
        <f aca="false">IF($Y154="","",ROUND(SUMIFS(收款金额,收款键,$Y154,收款年度,管理年度,收款归类,"现金无票"),2))</f>
        <v/>
      </c>
      <c r="R154" s="40" t="str">
        <f aca="false">IF($Y154="","",ROUND(MAX(0,MIN($T154,SUMIF(应收键,$Y154,应收开票额)-SUMIF(收款键,$Y154,收款金额))),2))</f>
        <v/>
      </c>
      <c r="S154" s="40" t="str">
        <f aca="false">IF($Y154="","",ROUND(MAX(0,$T154)-$R154,2))</f>
        <v/>
      </c>
      <c r="T154" s="48" t="str">
        <f aca="false">IF($Y154="","",ROUND(SUMIF(应收键,$Y154,应收金额)-SUMIF(收款键,$Y154,收款金额),2))</f>
        <v/>
      </c>
      <c r="U154" s="49" t="str">
        <f aca="true">IF($AA154="","",IF($T154&lt;=0.01,"",MAX(0,TODAY()-$AA154)))</f>
        <v/>
      </c>
      <c r="V154" s="50" t="str">
        <f aca="true">IF($Y154="","",IF($T154&gt;0.01,IF(AND(ISNUMBER($U154),$U154&gt;=账龄预警天),"▲欠款拖了 "&amp;TEXT($U154,"0")&amp;" 天","欠款未清"),IF($T154&lt;-0.01,"预收/多收","已结清"))&amp;IF(OR($E154="已签未回",$E154="未签",$E154="续签中")," ▲合同未回","")&amp;IF(AND(ISNUMBER($F154),$F154&lt;TODAY())," ▲合同已到期",""))</f>
        <v/>
      </c>
      <c r="W154" s="24"/>
      <c r="X154" s="35" t="str">
        <f aca="false">IF($Y154="","",IF(ROUND($H154+$I154-$N154+$Z154-$T154,2)&lt;&gt;0,"★期初＋本年－已收≠余额",IF(ROUND($R154+$S154-MAX(0,$T154),2)&lt;&gt;0,"★已开票＋未开票≠欠款",IF(ROUND($J154+$K154-$I154,2)&lt;&gt;0,"★合同款＋合同外款≠本年应收",IF(ROUND($O154+$P154+$Q154-$N154,2)&lt;&gt;0,"★发票＋收据＋现金≠本年已收","OK")))))</f>
        <v/>
      </c>
      <c r="Y154" s="35" t="str">
        <f aca="false">IF(维保合同!$C154="","",维保合同!$E154)</f>
        <v/>
      </c>
      <c r="Z154" s="40" t="str">
        <f aca="false">IF($Y154="","",ROUND(SUMIFS(应收金额,应收键,$Y154,应收年度,"&gt;"&amp;管理年度)-SUMIFS(收款金额,收款键,$Y154,收款年度,"&gt;"&amp;管理年度),2))</f>
        <v/>
      </c>
      <c r="AA154" s="47" t="str">
        <f aca="false">IF($Y154="","",IF(SUMPRODUCT(MIN(IF((应收键=$Y154)*(应收未收&gt;0.01),应收日期,999999)))&gt;=999999,"",SUMPRODUCT(MIN(IF((应收键=$Y154)*(应收未收&gt;0.01),应收日期,999999)))))</f>
        <v/>
      </c>
    </row>
    <row r="155" customFormat="false" ht="15" hidden="false" customHeight="false" outlineLevel="0" collapsed="false">
      <c r="A155" s="29" t="str">
        <f aca="false">IF($Y155="","",ROW()-4)</f>
        <v/>
      </c>
      <c r="B155" s="16" t="str">
        <f aca="false">IF($Y155="","",维保合同!$C155)</f>
        <v/>
      </c>
      <c r="C155" s="16" t="str">
        <f aca="false">IF($Y155="","",维保合同!$D155)</f>
        <v/>
      </c>
      <c r="D155" s="35" t="str">
        <f aca="false">IF($Y155="","",维保合同!$F155)</f>
        <v/>
      </c>
      <c r="E155" s="35" t="str">
        <f aca="false">IF($Y155="","",维保合同!$G155)</f>
        <v/>
      </c>
      <c r="F155" s="47" t="str">
        <f aca="false">IF($Y155="","",维保合同!$I155)</f>
        <v/>
      </c>
      <c r="G155" s="38" t="str">
        <f aca="false">IF($Y155="","",维保合同!$K155)</f>
        <v/>
      </c>
      <c r="H155" s="41" t="str">
        <f aca="false">IF($Y155="","",ROUND(SUMIFS(应收金额,应收键,$Y155,应收年度,"&lt;"&amp;管理年度)-SUMIFS(收款金额,收款键,$Y155,收款年度,"&lt;"&amp;管理年度),2))</f>
        <v/>
      </c>
      <c r="I155" s="40" t="str">
        <f aca="false">IF($Y155="","",ROUND(SUMIFS(应收金额,应收键,$Y155,应收年度,管理年度),2))</f>
        <v/>
      </c>
      <c r="J155" s="40" t="str">
        <f aca="false">IF($Y155="","",ROUND(SUMIFS(应收金额,应收键,$Y155,应收年度,管理年度,应收款别,"合同款"),2))</f>
        <v/>
      </c>
      <c r="K155" s="40" t="str">
        <f aca="false">IF($Y155="","",ROUND($I155-$J155,2))</f>
        <v/>
      </c>
      <c r="L155" s="40" t="str">
        <f aca="false">IF($Y155="","",ROUND(SUMIFS(应收开票额,应收键,$Y155,应收开票年度,管理年度),2))</f>
        <v/>
      </c>
      <c r="M155" s="40" t="str">
        <f aca="false">IF($Y155="","",ROUND($I155-$L155,2))</f>
        <v/>
      </c>
      <c r="N155" s="40" t="str">
        <f aca="false">IF($Y155="","",ROUND(SUMIFS(收款金额,收款键,$Y155,收款年度,管理年度),2))</f>
        <v/>
      </c>
      <c r="O155" s="40" t="str">
        <f aca="false">IF($Y155="","",ROUND(SUMIFS(收款金额,收款键,$Y155,收款年度,管理年度,收款归类,"发票"),2))</f>
        <v/>
      </c>
      <c r="P155" s="40" t="str">
        <f aca="false">IF($Y155="","",ROUND(SUMIFS(收款金额,收款键,$Y155,收款年度,管理年度,收款归类,"收据"),2))</f>
        <v/>
      </c>
      <c r="Q155" s="40" t="str">
        <f aca="false">IF($Y155="","",ROUND(SUMIFS(收款金额,收款键,$Y155,收款年度,管理年度,收款归类,"现金无票"),2))</f>
        <v/>
      </c>
      <c r="R155" s="40" t="str">
        <f aca="false">IF($Y155="","",ROUND(MAX(0,MIN($T155,SUMIF(应收键,$Y155,应收开票额)-SUMIF(收款键,$Y155,收款金额))),2))</f>
        <v/>
      </c>
      <c r="S155" s="40" t="str">
        <f aca="false">IF($Y155="","",ROUND(MAX(0,$T155)-$R155,2))</f>
        <v/>
      </c>
      <c r="T155" s="48" t="str">
        <f aca="false">IF($Y155="","",ROUND(SUMIF(应收键,$Y155,应收金额)-SUMIF(收款键,$Y155,收款金额),2))</f>
        <v/>
      </c>
      <c r="U155" s="49" t="str">
        <f aca="true">IF($AA155="","",IF($T155&lt;=0.01,"",MAX(0,TODAY()-$AA155)))</f>
        <v/>
      </c>
      <c r="V155" s="50" t="str">
        <f aca="true">IF($Y155="","",IF($T155&gt;0.01,IF(AND(ISNUMBER($U155),$U155&gt;=账龄预警天),"▲欠款拖了 "&amp;TEXT($U155,"0")&amp;" 天","欠款未清"),IF($T155&lt;-0.01,"预收/多收","已结清"))&amp;IF(OR($E155="已签未回",$E155="未签",$E155="续签中")," ▲合同未回","")&amp;IF(AND(ISNUMBER($F155),$F155&lt;TODAY())," ▲合同已到期",""))</f>
        <v/>
      </c>
      <c r="W155" s="24"/>
      <c r="X155" s="35" t="str">
        <f aca="false">IF($Y155="","",IF(ROUND($H155+$I155-$N155+$Z155-$T155,2)&lt;&gt;0,"★期初＋本年－已收≠余额",IF(ROUND($R155+$S155-MAX(0,$T155),2)&lt;&gt;0,"★已开票＋未开票≠欠款",IF(ROUND($J155+$K155-$I155,2)&lt;&gt;0,"★合同款＋合同外款≠本年应收",IF(ROUND($O155+$P155+$Q155-$N155,2)&lt;&gt;0,"★发票＋收据＋现金≠本年已收","OK")))))</f>
        <v/>
      </c>
      <c r="Y155" s="35" t="str">
        <f aca="false">IF(维保合同!$C155="","",维保合同!$E155)</f>
        <v/>
      </c>
      <c r="Z155" s="40" t="str">
        <f aca="false">IF($Y155="","",ROUND(SUMIFS(应收金额,应收键,$Y155,应收年度,"&gt;"&amp;管理年度)-SUMIFS(收款金额,收款键,$Y155,收款年度,"&gt;"&amp;管理年度),2))</f>
        <v/>
      </c>
      <c r="AA155" s="47" t="str">
        <f aca="false">IF($Y155="","",IF(SUMPRODUCT(MIN(IF((应收键=$Y155)*(应收未收&gt;0.01),应收日期,999999)))&gt;=999999,"",SUMPRODUCT(MIN(IF((应收键=$Y155)*(应收未收&gt;0.01),应收日期,999999)))))</f>
        <v/>
      </c>
    </row>
    <row r="156" customFormat="false" ht="15" hidden="false" customHeight="false" outlineLevel="0" collapsed="false">
      <c r="A156" s="29" t="str">
        <f aca="false">IF($Y156="","",ROW()-4)</f>
        <v/>
      </c>
      <c r="B156" s="16" t="str">
        <f aca="false">IF($Y156="","",维保合同!$C156)</f>
        <v/>
      </c>
      <c r="C156" s="16" t="str">
        <f aca="false">IF($Y156="","",维保合同!$D156)</f>
        <v/>
      </c>
      <c r="D156" s="35" t="str">
        <f aca="false">IF($Y156="","",维保合同!$F156)</f>
        <v/>
      </c>
      <c r="E156" s="35" t="str">
        <f aca="false">IF($Y156="","",维保合同!$G156)</f>
        <v/>
      </c>
      <c r="F156" s="47" t="str">
        <f aca="false">IF($Y156="","",维保合同!$I156)</f>
        <v/>
      </c>
      <c r="G156" s="38" t="str">
        <f aca="false">IF($Y156="","",维保合同!$K156)</f>
        <v/>
      </c>
      <c r="H156" s="41" t="str">
        <f aca="false">IF($Y156="","",ROUND(SUMIFS(应收金额,应收键,$Y156,应收年度,"&lt;"&amp;管理年度)-SUMIFS(收款金额,收款键,$Y156,收款年度,"&lt;"&amp;管理年度),2))</f>
        <v/>
      </c>
      <c r="I156" s="40" t="str">
        <f aca="false">IF($Y156="","",ROUND(SUMIFS(应收金额,应收键,$Y156,应收年度,管理年度),2))</f>
        <v/>
      </c>
      <c r="J156" s="40" t="str">
        <f aca="false">IF($Y156="","",ROUND(SUMIFS(应收金额,应收键,$Y156,应收年度,管理年度,应收款别,"合同款"),2))</f>
        <v/>
      </c>
      <c r="K156" s="40" t="str">
        <f aca="false">IF($Y156="","",ROUND($I156-$J156,2))</f>
        <v/>
      </c>
      <c r="L156" s="40" t="str">
        <f aca="false">IF($Y156="","",ROUND(SUMIFS(应收开票额,应收键,$Y156,应收开票年度,管理年度),2))</f>
        <v/>
      </c>
      <c r="M156" s="40" t="str">
        <f aca="false">IF($Y156="","",ROUND($I156-$L156,2))</f>
        <v/>
      </c>
      <c r="N156" s="40" t="str">
        <f aca="false">IF($Y156="","",ROUND(SUMIFS(收款金额,收款键,$Y156,收款年度,管理年度),2))</f>
        <v/>
      </c>
      <c r="O156" s="40" t="str">
        <f aca="false">IF($Y156="","",ROUND(SUMIFS(收款金额,收款键,$Y156,收款年度,管理年度,收款归类,"发票"),2))</f>
        <v/>
      </c>
      <c r="P156" s="40" t="str">
        <f aca="false">IF($Y156="","",ROUND(SUMIFS(收款金额,收款键,$Y156,收款年度,管理年度,收款归类,"收据"),2))</f>
        <v/>
      </c>
      <c r="Q156" s="40" t="str">
        <f aca="false">IF($Y156="","",ROUND(SUMIFS(收款金额,收款键,$Y156,收款年度,管理年度,收款归类,"现金无票"),2))</f>
        <v/>
      </c>
      <c r="R156" s="40" t="str">
        <f aca="false">IF($Y156="","",ROUND(MAX(0,MIN($T156,SUMIF(应收键,$Y156,应收开票额)-SUMIF(收款键,$Y156,收款金额))),2))</f>
        <v/>
      </c>
      <c r="S156" s="40" t="str">
        <f aca="false">IF($Y156="","",ROUND(MAX(0,$T156)-$R156,2))</f>
        <v/>
      </c>
      <c r="T156" s="48" t="str">
        <f aca="false">IF($Y156="","",ROUND(SUMIF(应收键,$Y156,应收金额)-SUMIF(收款键,$Y156,收款金额),2))</f>
        <v/>
      </c>
      <c r="U156" s="49" t="str">
        <f aca="true">IF($AA156="","",IF($T156&lt;=0.01,"",MAX(0,TODAY()-$AA156)))</f>
        <v/>
      </c>
      <c r="V156" s="50" t="str">
        <f aca="true">IF($Y156="","",IF($T156&gt;0.01,IF(AND(ISNUMBER($U156),$U156&gt;=账龄预警天),"▲欠款拖了 "&amp;TEXT($U156,"0")&amp;" 天","欠款未清"),IF($T156&lt;-0.01,"预收/多收","已结清"))&amp;IF(OR($E156="已签未回",$E156="未签",$E156="续签中")," ▲合同未回","")&amp;IF(AND(ISNUMBER($F156),$F156&lt;TODAY())," ▲合同已到期",""))</f>
        <v/>
      </c>
      <c r="W156" s="24"/>
      <c r="X156" s="35" t="str">
        <f aca="false">IF($Y156="","",IF(ROUND($H156+$I156-$N156+$Z156-$T156,2)&lt;&gt;0,"★期初＋本年－已收≠余额",IF(ROUND($R156+$S156-MAX(0,$T156),2)&lt;&gt;0,"★已开票＋未开票≠欠款",IF(ROUND($J156+$K156-$I156,2)&lt;&gt;0,"★合同款＋合同外款≠本年应收",IF(ROUND($O156+$P156+$Q156-$N156,2)&lt;&gt;0,"★发票＋收据＋现金≠本年已收","OK")))))</f>
        <v/>
      </c>
      <c r="Y156" s="35" t="str">
        <f aca="false">IF(维保合同!$C156="","",维保合同!$E156)</f>
        <v/>
      </c>
      <c r="Z156" s="40" t="str">
        <f aca="false">IF($Y156="","",ROUND(SUMIFS(应收金额,应收键,$Y156,应收年度,"&gt;"&amp;管理年度)-SUMIFS(收款金额,收款键,$Y156,收款年度,"&gt;"&amp;管理年度),2))</f>
        <v/>
      </c>
      <c r="AA156" s="47" t="str">
        <f aca="false">IF($Y156="","",IF(SUMPRODUCT(MIN(IF((应收键=$Y156)*(应收未收&gt;0.01),应收日期,999999)))&gt;=999999,"",SUMPRODUCT(MIN(IF((应收键=$Y156)*(应收未收&gt;0.01),应收日期,999999)))))</f>
        <v/>
      </c>
    </row>
    <row r="157" customFormat="false" ht="15" hidden="false" customHeight="false" outlineLevel="0" collapsed="false">
      <c r="A157" s="29" t="str">
        <f aca="false">IF($Y157="","",ROW()-4)</f>
        <v/>
      </c>
      <c r="B157" s="16" t="str">
        <f aca="false">IF($Y157="","",维保合同!$C157)</f>
        <v/>
      </c>
      <c r="C157" s="16" t="str">
        <f aca="false">IF($Y157="","",维保合同!$D157)</f>
        <v/>
      </c>
      <c r="D157" s="35" t="str">
        <f aca="false">IF($Y157="","",维保合同!$F157)</f>
        <v/>
      </c>
      <c r="E157" s="35" t="str">
        <f aca="false">IF($Y157="","",维保合同!$G157)</f>
        <v/>
      </c>
      <c r="F157" s="47" t="str">
        <f aca="false">IF($Y157="","",维保合同!$I157)</f>
        <v/>
      </c>
      <c r="G157" s="38" t="str">
        <f aca="false">IF($Y157="","",维保合同!$K157)</f>
        <v/>
      </c>
      <c r="H157" s="41" t="str">
        <f aca="false">IF($Y157="","",ROUND(SUMIFS(应收金额,应收键,$Y157,应收年度,"&lt;"&amp;管理年度)-SUMIFS(收款金额,收款键,$Y157,收款年度,"&lt;"&amp;管理年度),2))</f>
        <v/>
      </c>
      <c r="I157" s="40" t="str">
        <f aca="false">IF($Y157="","",ROUND(SUMIFS(应收金额,应收键,$Y157,应收年度,管理年度),2))</f>
        <v/>
      </c>
      <c r="J157" s="40" t="str">
        <f aca="false">IF($Y157="","",ROUND(SUMIFS(应收金额,应收键,$Y157,应收年度,管理年度,应收款别,"合同款"),2))</f>
        <v/>
      </c>
      <c r="K157" s="40" t="str">
        <f aca="false">IF($Y157="","",ROUND($I157-$J157,2))</f>
        <v/>
      </c>
      <c r="L157" s="40" t="str">
        <f aca="false">IF($Y157="","",ROUND(SUMIFS(应收开票额,应收键,$Y157,应收开票年度,管理年度),2))</f>
        <v/>
      </c>
      <c r="M157" s="40" t="str">
        <f aca="false">IF($Y157="","",ROUND($I157-$L157,2))</f>
        <v/>
      </c>
      <c r="N157" s="40" t="str">
        <f aca="false">IF($Y157="","",ROUND(SUMIFS(收款金额,收款键,$Y157,收款年度,管理年度),2))</f>
        <v/>
      </c>
      <c r="O157" s="40" t="str">
        <f aca="false">IF($Y157="","",ROUND(SUMIFS(收款金额,收款键,$Y157,收款年度,管理年度,收款归类,"发票"),2))</f>
        <v/>
      </c>
      <c r="P157" s="40" t="str">
        <f aca="false">IF($Y157="","",ROUND(SUMIFS(收款金额,收款键,$Y157,收款年度,管理年度,收款归类,"收据"),2))</f>
        <v/>
      </c>
      <c r="Q157" s="40" t="str">
        <f aca="false">IF($Y157="","",ROUND(SUMIFS(收款金额,收款键,$Y157,收款年度,管理年度,收款归类,"现金无票"),2))</f>
        <v/>
      </c>
      <c r="R157" s="40" t="str">
        <f aca="false">IF($Y157="","",ROUND(MAX(0,MIN($T157,SUMIF(应收键,$Y157,应收开票额)-SUMIF(收款键,$Y157,收款金额))),2))</f>
        <v/>
      </c>
      <c r="S157" s="40" t="str">
        <f aca="false">IF($Y157="","",ROUND(MAX(0,$T157)-$R157,2))</f>
        <v/>
      </c>
      <c r="T157" s="48" t="str">
        <f aca="false">IF($Y157="","",ROUND(SUMIF(应收键,$Y157,应收金额)-SUMIF(收款键,$Y157,收款金额),2))</f>
        <v/>
      </c>
      <c r="U157" s="49" t="str">
        <f aca="true">IF($AA157="","",IF($T157&lt;=0.01,"",MAX(0,TODAY()-$AA157)))</f>
        <v/>
      </c>
      <c r="V157" s="50" t="str">
        <f aca="true">IF($Y157="","",IF($T157&gt;0.01,IF(AND(ISNUMBER($U157),$U157&gt;=账龄预警天),"▲欠款拖了 "&amp;TEXT($U157,"0")&amp;" 天","欠款未清"),IF($T157&lt;-0.01,"预收/多收","已结清"))&amp;IF(OR($E157="已签未回",$E157="未签",$E157="续签中")," ▲合同未回","")&amp;IF(AND(ISNUMBER($F157),$F157&lt;TODAY())," ▲合同已到期",""))</f>
        <v/>
      </c>
      <c r="W157" s="24"/>
      <c r="X157" s="35" t="str">
        <f aca="false">IF($Y157="","",IF(ROUND($H157+$I157-$N157+$Z157-$T157,2)&lt;&gt;0,"★期初＋本年－已收≠余额",IF(ROUND($R157+$S157-MAX(0,$T157),2)&lt;&gt;0,"★已开票＋未开票≠欠款",IF(ROUND($J157+$K157-$I157,2)&lt;&gt;0,"★合同款＋合同外款≠本年应收",IF(ROUND($O157+$P157+$Q157-$N157,2)&lt;&gt;0,"★发票＋收据＋现金≠本年已收","OK")))))</f>
        <v/>
      </c>
      <c r="Y157" s="35" t="str">
        <f aca="false">IF(维保合同!$C157="","",维保合同!$E157)</f>
        <v/>
      </c>
      <c r="Z157" s="40" t="str">
        <f aca="false">IF($Y157="","",ROUND(SUMIFS(应收金额,应收键,$Y157,应收年度,"&gt;"&amp;管理年度)-SUMIFS(收款金额,收款键,$Y157,收款年度,"&gt;"&amp;管理年度),2))</f>
        <v/>
      </c>
      <c r="AA157" s="47" t="str">
        <f aca="false">IF($Y157="","",IF(SUMPRODUCT(MIN(IF((应收键=$Y157)*(应收未收&gt;0.01),应收日期,999999)))&gt;=999999,"",SUMPRODUCT(MIN(IF((应收键=$Y157)*(应收未收&gt;0.01),应收日期,999999)))))</f>
        <v/>
      </c>
    </row>
    <row r="158" customFormat="false" ht="15" hidden="false" customHeight="false" outlineLevel="0" collapsed="false">
      <c r="A158" s="29" t="str">
        <f aca="false">IF($Y158="","",ROW()-4)</f>
        <v/>
      </c>
      <c r="B158" s="16" t="str">
        <f aca="false">IF($Y158="","",维保合同!$C158)</f>
        <v/>
      </c>
      <c r="C158" s="16" t="str">
        <f aca="false">IF($Y158="","",维保合同!$D158)</f>
        <v/>
      </c>
      <c r="D158" s="35" t="str">
        <f aca="false">IF($Y158="","",维保合同!$F158)</f>
        <v/>
      </c>
      <c r="E158" s="35" t="str">
        <f aca="false">IF($Y158="","",维保合同!$G158)</f>
        <v/>
      </c>
      <c r="F158" s="47" t="str">
        <f aca="false">IF($Y158="","",维保合同!$I158)</f>
        <v/>
      </c>
      <c r="G158" s="38" t="str">
        <f aca="false">IF($Y158="","",维保合同!$K158)</f>
        <v/>
      </c>
      <c r="H158" s="41" t="str">
        <f aca="false">IF($Y158="","",ROUND(SUMIFS(应收金额,应收键,$Y158,应收年度,"&lt;"&amp;管理年度)-SUMIFS(收款金额,收款键,$Y158,收款年度,"&lt;"&amp;管理年度),2))</f>
        <v/>
      </c>
      <c r="I158" s="40" t="str">
        <f aca="false">IF($Y158="","",ROUND(SUMIFS(应收金额,应收键,$Y158,应收年度,管理年度),2))</f>
        <v/>
      </c>
      <c r="J158" s="40" t="str">
        <f aca="false">IF($Y158="","",ROUND(SUMIFS(应收金额,应收键,$Y158,应收年度,管理年度,应收款别,"合同款"),2))</f>
        <v/>
      </c>
      <c r="K158" s="40" t="str">
        <f aca="false">IF($Y158="","",ROUND($I158-$J158,2))</f>
        <v/>
      </c>
      <c r="L158" s="40" t="str">
        <f aca="false">IF($Y158="","",ROUND(SUMIFS(应收开票额,应收键,$Y158,应收开票年度,管理年度),2))</f>
        <v/>
      </c>
      <c r="M158" s="40" t="str">
        <f aca="false">IF($Y158="","",ROUND($I158-$L158,2))</f>
        <v/>
      </c>
      <c r="N158" s="40" t="str">
        <f aca="false">IF($Y158="","",ROUND(SUMIFS(收款金额,收款键,$Y158,收款年度,管理年度),2))</f>
        <v/>
      </c>
      <c r="O158" s="40" t="str">
        <f aca="false">IF($Y158="","",ROUND(SUMIFS(收款金额,收款键,$Y158,收款年度,管理年度,收款归类,"发票"),2))</f>
        <v/>
      </c>
      <c r="P158" s="40" t="str">
        <f aca="false">IF($Y158="","",ROUND(SUMIFS(收款金额,收款键,$Y158,收款年度,管理年度,收款归类,"收据"),2))</f>
        <v/>
      </c>
      <c r="Q158" s="40" t="str">
        <f aca="false">IF($Y158="","",ROUND(SUMIFS(收款金额,收款键,$Y158,收款年度,管理年度,收款归类,"现金无票"),2))</f>
        <v/>
      </c>
      <c r="R158" s="40" t="str">
        <f aca="false">IF($Y158="","",ROUND(MAX(0,MIN($T158,SUMIF(应收键,$Y158,应收开票额)-SUMIF(收款键,$Y158,收款金额))),2))</f>
        <v/>
      </c>
      <c r="S158" s="40" t="str">
        <f aca="false">IF($Y158="","",ROUND(MAX(0,$T158)-$R158,2))</f>
        <v/>
      </c>
      <c r="T158" s="48" t="str">
        <f aca="false">IF($Y158="","",ROUND(SUMIF(应收键,$Y158,应收金额)-SUMIF(收款键,$Y158,收款金额),2))</f>
        <v/>
      </c>
      <c r="U158" s="49" t="str">
        <f aca="true">IF($AA158="","",IF($T158&lt;=0.01,"",MAX(0,TODAY()-$AA158)))</f>
        <v/>
      </c>
      <c r="V158" s="50" t="str">
        <f aca="true">IF($Y158="","",IF($T158&gt;0.01,IF(AND(ISNUMBER($U158),$U158&gt;=账龄预警天),"▲欠款拖了 "&amp;TEXT($U158,"0")&amp;" 天","欠款未清"),IF($T158&lt;-0.01,"预收/多收","已结清"))&amp;IF(OR($E158="已签未回",$E158="未签",$E158="续签中")," ▲合同未回","")&amp;IF(AND(ISNUMBER($F158),$F158&lt;TODAY())," ▲合同已到期",""))</f>
        <v/>
      </c>
      <c r="W158" s="24"/>
      <c r="X158" s="35" t="str">
        <f aca="false">IF($Y158="","",IF(ROUND($H158+$I158-$N158+$Z158-$T158,2)&lt;&gt;0,"★期初＋本年－已收≠余额",IF(ROUND($R158+$S158-MAX(0,$T158),2)&lt;&gt;0,"★已开票＋未开票≠欠款",IF(ROUND($J158+$K158-$I158,2)&lt;&gt;0,"★合同款＋合同外款≠本年应收",IF(ROUND($O158+$P158+$Q158-$N158,2)&lt;&gt;0,"★发票＋收据＋现金≠本年已收","OK")))))</f>
        <v/>
      </c>
      <c r="Y158" s="35" t="str">
        <f aca="false">IF(维保合同!$C158="","",维保合同!$E158)</f>
        <v/>
      </c>
      <c r="Z158" s="40" t="str">
        <f aca="false">IF($Y158="","",ROUND(SUMIFS(应收金额,应收键,$Y158,应收年度,"&gt;"&amp;管理年度)-SUMIFS(收款金额,收款键,$Y158,收款年度,"&gt;"&amp;管理年度),2))</f>
        <v/>
      </c>
      <c r="AA158" s="47" t="str">
        <f aca="false">IF($Y158="","",IF(SUMPRODUCT(MIN(IF((应收键=$Y158)*(应收未收&gt;0.01),应收日期,999999)))&gt;=999999,"",SUMPRODUCT(MIN(IF((应收键=$Y158)*(应收未收&gt;0.01),应收日期,999999)))))</f>
        <v/>
      </c>
    </row>
    <row r="159" customFormat="false" ht="15" hidden="false" customHeight="false" outlineLevel="0" collapsed="false">
      <c r="A159" s="29" t="str">
        <f aca="false">IF($Y159="","",ROW()-4)</f>
        <v/>
      </c>
      <c r="B159" s="16" t="str">
        <f aca="false">IF($Y159="","",维保合同!$C159)</f>
        <v/>
      </c>
      <c r="C159" s="16" t="str">
        <f aca="false">IF($Y159="","",维保合同!$D159)</f>
        <v/>
      </c>
      <c r="D159" s="35" t="str">
        <f aca="false">IF($Y159="","",维保合同!$F159)</f>
        <v/>
      </c>
      <c r="E159" s="35" t="str">
        <f aca="false">IF($Y159="","",维保合同!$G159)</f>
        <v/>
      </c>
      <c r="F159" s="47" t="str">
        <f aca="false">IF($Y159="","",维保合同!$I159)</f>
        <v/>
      </c>
      <c r="G159" s="38" t="str">
        <f aca="false">IF($Y159="","",维保合同!$K159)</f>
        <v/>
      </c>
      <c r="H159" s="41" t="str">
        <f aca="false">IF($Y159="","",ROUND(SUMIFS(应收金额,应收键,$Y159,应收年度,"&lt;"&amp;管理年度)-SUMIFS(收款金额,收款键,$Y159,收款年度,"&lt;"&amp;管理年度),2))</f>
        <v/>
      </c>
      <c r="I159" s="40" t="str">
        <f aca="false">IF($Y159="","",ROUND(SUMIFS(应收金额,应收键,$Y159,应收年度,管理年度),2))</f>
        <v/>
      </c>
      <c r="J159" s="40" t="str">
        <f aca="false">IF($Y159="","",ROUND(SUMIFS(应收金额,应收键,$Y159,应收年度,管理年度,应收款别,"合同款"),2))</f>
        <v/>
      </c>
      <c r="K159" s="40" t="str">
        <f aca="false">IF($Y159="","",ROUND($I159-$J159,2))</f>
        <v/>
      </c>
      <c r="L159" s="40" t="str">
        <f aca="false">IF($Y159="","",ROUND(SUMIFS(应收开票额,应收键,$Y159,应收开票年度,管理年度),2))</f>
        <v/>
      </c>
      <c r="M159" s="40" t="str">
        <f aca="false">IF($Y159="","",ROUND($I159-$L159,2))</f>
        <v/>
      </c>
      <c r="N159" s="40" t="str">
        <f aca="false">IF($Y159="","",ROUND(SUMIFS(收款金额,收款键,$Y159,收款年度,管理年度),2))</f>
        <v/>
      </c>
      <c r="O159" s="40" t="str">
        <f aca="false">IF($Y159="","",ROUND(SUMIFS(收款金额,收款键,$Y159,收款年度,管理年度,收款归类,"发票"),2))</f>
        <v/>
      </c>
      <c r="P159" s="40" t="str">
        <f aca="false">IF($Y159="","",ROUND(SUMIFS(收款金额,收款键,$Y159,收款年度,管理年度,收款归类,"收据"),2))</f>
        <v/>
      </c>
      <c r="Q159" s="40" t="str">
        <f aca="false">IF($Y159="","",ROUND(SUMIFS(收款金额,收款键,$Y159,收款年度,管理年度,收款归类,"现金无票"),2))</f>
        <v/>
      </c>
      <c r="R159" s="40" t="str">
        <f aca="false">IF($Y159="","",ROUND(MAX(0,MIN($T159,SUMIF(应收键,$Y159,应收开票额)-SUMIF(收款键,$Y159,收款金额))),2))</f>
        <v/>
      </c>
      <c r="S159" s="40" t="str">
        <f aca="false">IF($Y159="","",ROUND(MAX(0,$T159)-$R159,2))</f>
        <v/>
      </c>
      <c r="T159" s="48" t="str">
        <f aca="false">IF($Y159="","",ROUND(SUMIF(应收键,$Y159,应收金额)-SUMIF(收款键,$Y159,收款金额),2))</f>
        <v/>
      </c>
      <c r="U159" s="49" t="str">
        <f aca="true">IF($AA159="","",IF($T159&lt;=0.01,"",MAX(0,TODAY()-$AA159)))</f>
        <v/>
      </c>
      <c r="V159" s="50" t="str">
        <f aca="true">IF($Y159="","",IF($T159&gt;0.01,IF(AND(ISNUMBER($U159),$U159&gt;=账龄预警天),"▲欠款拖了 "&amp;TEXT($U159,"0")&amp;" 天","欠款未清"),IF($T159&lt;-0.01,"预收/多收","已结清"))&amp;IF(OR($E159="已签未回",$E159="未签",$E159="续签中")," ▲合同未回","")&amp;IF(AND(ISNUMBER($F159),$F159&lt;TODAY())," ▲合同已到期",""))</f>
        <v/>
      </c>
      <c r="W159" s="24"/>
      <c r="X159" s="35" t="str">
        <f aca="false">IF($Y159="","",IF(ROUND($H159+$I159-$N159+$Z159-$T159,2)&lt;&gt;0,"★期初＋本年－已收≠余额",IF(ROUND($R159+$S159-MAX(0,$T159),2)&lt;&gt;0,"★已开票＋未开票≠欠款",IF(ROUND($J159+$K159-$I159,2)&lt;&gt;0,"★合同款＋合同外款≠本年应收",IF(ROUND($O159+$P159+$Q159-$N159,2)&lt;&gt;0,"★发票＋收据＋现金≠本年已收","OK")))))</f>
        <v/>
      </c>
      <c r="Y159" s="35" t="str">
        <f aca="false">IF(维保合同!$C159="","",维保合同!$E159)</f>
        <v/>
      </c>
      <c r="Z159" s="40" t="str">
        <f aca="false">IF($Y159="","",ROUND(SUMIFS(应收金额,应收键,$Y159,应收年度,"&gt;"&amp;管理年度)-SUMIFS(收款金额,收款键,$Y159,收款年度,"&gt;"&amp;管理年度),2))</f>
        <v/>
      </c>
      <c r="AA159" s="47" t="str">
        <f aca="false">IF($Y159="","",IF(SUMPRODUCT(MIN(IF((应收键=$Y159)*(应收未收&gt;0.01),应收日期,999999)))&gt;=999999,"",SUMPRODUCT(MIN(IF((应收键=$Y159)*(应收未收&gt;0.01),应收日期,999999)))))</f>
        <v/>
      </c>
    </row>
    <row r="160" customFormat="false" ht="15" hidden="false" customHeight="false" outlineLevel="0" collapsed="false">
      <c r="A160" s="29" t="str">
        <f aca="false">IF($Y160="","",ROW()-4)</f>
        <v/>
      </c>
      <c r="B160" s="16" t="str">
        <f aca="false">IF($Y160="","",维保合同!$C160)</f>
        <v/>
      </c>
      <c r="C160" s="16" t="str">
        <f aca="false">IF($Y160="","",维保合同!$D160)</f>
        <v/>
      </c>
      <c r="D160" s="35" t="str">
        <f aca="false">IF($Y160="","",维保合同!$F160)</f>
        <v/>
      </c>
      <c r="E160" s="35" t="str">
        <f aca="false">IF($Y160="","",维保合同!$G160)</f>
        <v/>
      </c>
      <c r="F160" s="47" t="str">
        <f aca="false">IF($Y160="","",维保合同!$I160)</f>
        <v/>
      </c>
      <c r="G160" s="38" t="str">
        <f aca="false">IF($Y160="","",维保合同!$K160)</f>
        <v/>
      </c>
      <c r="H160" s="41" t="str">
        <f aca="false">IF($Y160="","",ROUND(SUMIFS(应收金额,应收键,$Y160,应收年度,"&lt;"&amp;管理年度)-SUMIFS(收款金额,收款键,$Y160,收款年度,"&lt;"&amp;管理年度),2))</f>
        <v/>
      </c>
      <c r="I160" s="40" t="str">
        <f aca="false">IF($Y160="","",ROUND(SUMIFS(应收金额,应收键,$Y160,应收年度,管理年度),2))</f>
        <v/>
      </c>
      <c r="J160" s="40" t="str">
        <f aca="false">IF($Y160="","",ROUND(SUMIFS(应收金额,应收键,$Y160,应收年度,管理年度,应收款别,"合同款"),2))</f>
        <v/>
      </c>
      <c r="K160" s="40" t="str">
        <f aca="false">IF($Y160="","",ROUND($I160-$J160,2))</f>
        <v/>
      </c>
      <c r="L160" s="40" t="str">
        <f aca="false">IF($Y160="","",ROUND(SUMIFS(应收开票额,应收键,$Y160,应收开票年度,管理年度),2))</f>
        <v/>
      </c>
      <c r="M160" s="40" t="str">
        <f aca="false">IF($Y160="","",ROUND($I160-$L160,2))</f>
        <v/>
      </c>
      <c r="N160" s="40" t="str">
        <f aca="false">IF($Y160="","",ROUND(SUMIFS(收款金额,收款键,$Y160,收款年度,管理年度),2))</f>
        <v/>
      </c>
      <c r="O160" s="40" t="str">
        <f aca="false">IF($Y160="","",ROUND(SUMIFS(收款金额,收款键,$Y160,收款年度,管理年度,收款归类,"发票"),2))</f>
        <v/>
      </c>
      <c r="P160" s="40" t="str">
        <f aca="false">IF($Y160="","",ROUND(SUMIFS(收款金额,收款键,$Y160,收款年度,管理年度,收款归类,"收据"),2))</f>
        <v/>
      </c>
      <c r="Q160" s="40" t="str">
        <f aca="false">IF($Y160="","",ROUND(SUMIFS(收款金额,收款键,$Y160,收款年度,管理年度,收款归类,"现金无票"),2))</f>
        <v/>
      </c>
      <c r="R160" s="40" t="str">
        <f aca="false">IF($Y160="","",ROUND(MAX(0,MIN($T160,SUMIF(应收键,$Y160,应收开票额)-SUMIF(收款键,$Y160,收款金额))),2))</f>
        <v/>
      </c>
      <c r="S160" s="40" t="str">
        <f aca="false">IF($Y160="","",ROUND(MAX(0,$T160)-$R160,2))</f>
        <v/>
      </c>
      <c r="T160" s="48" t="str">
        <f aca="false">IF($Y160="","",ROUND(SUMIF(应收键,$Y160,应收金额)-SUMIF(收款键,$Y160,收款金额),2))</f>
        <v/>
      </c>
      <c r="U160" s="49" t="str">
        <f aca="true">IF($AA160="","",IF($T160&lt;=0.01,"",MAX(0,TODAY()-$AA160)))</f>
        <v/>
      </c>
      <c r="V160" s="50" t="str">
        <f aca="true">IF($Y160="","",IF($T160&gt;0.01,IF(AND(ISNUMBER($U160),$U160&gt;=账龄预警天),"▲欠款拖了 "&amp;TEXT($U160,"0")&amp;" 天","欠款未清"),IF($T160&lt;-0.01,"预收/多收","已结清"))&amp;IF(OR($E160="已签未回",$E160="未签",$E160="续签中")," ▲合同未回","")&amp;IF(AND(ISNUMBER($F160),$F160&lt;TODAY())," ▲合同已到期",""))</f>
        <v/>
      </c>
      <c r="W160" s="24"/>
      <c r="X160" s="35" t="str">
        <f aca="false">IF($Y160="","",IF(ROUND($H160+$I160-$N160+$Z160-$T160,2)&lt;&gt;0,"★期初＋本年－已收≠余额",IF(ROUND($R160+$S160-MAX(0,$T160),2)&lt;&gt;0,"★已开票＋未开票≠欠款",IF(ROUND($J160+$K160-$I160,2)&lt;&gt;0,"★合同款＋合同外款≠本年应收",IF(ROUND($O160+$P160+$Q160-$N160,2)&lt;&gt;0,"★发票＋收据＋现金≠本年已收","OK")))))</f>
        <v/>
      </c>
      <c r="Y160" s="35" t="str">
        <f aca="false">IF(维保合同!$C160="","",维保合同!$E160)</f>
        <v/>
      </c>
      <c r="Z160" s="40" t="str">
        <f aca="false">IF($Y160="","",ROUND(SUMIFS(应收金额,应收键,$Y160,应收年度,"&gt;"&amp;管理年度)-SUMIFS(收款金额,收款键,$Y160,收款年度,"&gt;"&amp;管理年度),2))</f>
        <v/>
      </c>
      <c r="AA160" s="47" t="str">
        <f aca="false">IF($Y160="","",IF(SUMPRODUCT(MIN(IF((应收键=$Y160)*(应收未收&gt;0.01),应收日期,999999)))&gt;=999999,"",SUMPRODUCT(MIN(IF((应收键=$Y160)*(应收未收&gt;0.01),应收日期,999999)))))</f>
        <v/>
      </c>
    </row>
    <row r="161" customFormat="false" ht="15" hidden="false" customHeight="false" outlineLevel="0" collapsed="false">
      <c r="A161" s="29" t="str">
        <f aca="false">IF($Y161="","",ROW()-4)</f>
        <v/>
      </c>
      <c r="B161" s="16" t="str">
        <f aca="false">IF($Y161="","",维保合同!$C161)</f>
        <v/>
      </c>
      <c r="C161" s="16" t="str">
        <f aca="false">IF($Y161="","",维保合同!$D161)</f>
        <v/>
      </c>
      <c r="D161" s="35" t="str">
        <f aca="false">IF($Y161="","",维保合同!$F161)</f>
        <v/>
      </c>
      <c r="E161" s="35" t="str">
        <f aca="false">IF($Y161="","",维保合同!$G161)</f>
        <v/>
      </c>
      <c r="F161" s="47" t="str">
        <f aca="false">IF($Y161="","",维保合同!$I161)</f>
        <v/>
      </c>
      <c r="G161" s="38" t="str">
        <f aca="false">IF($Y161="","",维保合同!$K161)</f>
        <v/>
      </c>
      <c r="H161" s="41" t="str">
        <f aca="false">IF($Y161="","",ROUND(SUMIFS(应收金额,应收键,$Y161,应收年度,"&lt;"&amp;管理年度)-SUMIFS(收款金额,收款键,$Y161,收款年度,"&lt;"&amp;管理年度),2))</f>
        <v/>
      </c>
      <c r="I161" s="40" t="str">
        <f aca="false">IF($Y161="","",ROUND(SUMIFS(应收金额,应收键,$Y161,应收年度,管理年度),2))</f>
        <v/>
      </c>
      <c r="J161" s="40" t="str">
        <f aca="false">IF($Y161="","",ROUND(SUMIFS(应收金额,应收键,$Y161,应收年度,管理年度,应收款别,"合同款"),2))</f>
        <v/>
      </c>
      <c r="K161" s="40" t="str">
        <f aca="false">IF($Y161="","",ROUND($I161-$J161,2))</f>
        <v/>
      </c>
      <c r="L161" s="40" t="str">
        <f aca="false">IF($Y161="","",ROUND(SUMIFS(应收开票额,应收键,$Y161,应收开票年度,管理年度),2))</f>
        <v/>
      </c>
      <c r="M161" s="40" t="str">
        <f aca="false">IF($Y161="","",ROUND($I161-$L161,2))</f>
        <v/>
      </c>
      <c r="N161" s="40" t="str">
        <f aca="false">IF($Y161="","",ROUND(SUMIFS(收款金额,收款键,$Y161,收款年度,管理年度),2))</f>
        <v/>
      </c>
      <c r="O161" s="40" t="str">
        <f aca="false">IF($Y161="","",ROUND(SUMIFS(收款金额,收款键,$Y161,收款年度,管理年度,收款归类,"发票"),2))</f>
        <v/>
      </c>
      <c r="P161" s="40" t="str">
        <f aca="false">IF($Y161="","",ROUND(SUMIFS(收款金额,收款键,$Y161,收款年度,管理年度,收款归类,"收据"),2))</f>
        <v/>
      </c>
      <c r="Q161" s="40" t="str">
        <f aca="false">IF($Y161="","",ROUND(SUMIFS(收款金额,收款键,$Y161,收款年度,管理年度,收款归类,"现金无票"),2))</f>
        <v/>
      </c>
      <c r="R161" s="40" t="str">
        <f aca="false">IF($Y161="","",ROUND(MAX(0,MIN($T161,SUMIF(应收键,$Y161,应收开票额)-SUMIF(收款键,$Y161,收款金额))),2))</f>
        <v/>
      </c>
      <c r="S161" s="40" t="str">
        <f aca="false">IF($Y161="","",ROUND(MAX(0,$T161)-$R161,2))</f>
        <v/>
      </c>
      <c r="T161" s="48" t="str">
        <f aca="false">IF($Y161="","",ROUND(SUMIF(应收键,$Y161,应收金额)-SUMIF(收款键,$Y161,收款金额),2))</f>
        <v/>
      </c>
      <c r="U161" s="49" t="str">
        <f aca="true">IF($AA161="","",IF($T161&lt;=0.01,"",MAX(0,TODAY()-$AA161)))</f>
        <v/>
      </c>
      <c r="V161" s="50" t="str">
        <f aca="true">IF($Y161="","",IF($T161&gt;0.01,IF(AND(ISNUMBER($U161),$U161&gt;=账龄预警天),"▲欠款拖了 "&amp;TEXT($U161,"0")&amp;" 天","欠款未清"),IF($T161&lt;-0.01,"预收/多收","已结清"))&amp;IF(OR($E161="已签未回",$E161="未签",$E161="续签中")," ▲合同未回","")&amp;IF(AND(ISNUMBER($F161),$F161&lt;TODAY())," ▲合同已到期",""))</f>
        <v/>
      </c>
      <c r="W161" s="24"/>
      <c r="X161" s="35" t="str">
        <f aca="false">IF($Y161="","",IF(ROUND($H161+$I161-$N161+$Z161-$T161,2)&lt;&gt;0,"★期初＋本年－已收≠余额",IF(ROUND($R161+$S161-MAX(0,$T161),2)&lt;&gt;0,"★已开票＋未开票≠欠款",IF(ROUND($J161+$K161-$I161,2)&lt;&gt;0,"★合同款＋合同外款≠本年应收",IF(ROUND($O161+$P161+$Q161-$N161,2)&lt;&gt;0,"★发票＋收据＋现金≠本年已收","OK")))))</f>
        <v/>
      </c>
      <c r="Y161" s="35" t="str">
        <f aca="false">IF(维保合同!$C161="","",维保合同!$E161)</f>
        <v/>
      </c>
      <c r="Z161" s="40" t="str">
        <f aca="false">IF($Y161="","",ROUND(SUMIFS(应收金额,应收键,$Y161,应收年度,"&gt;"&amp;管理年度)-SUMIFS(收款金额,收款键,$Y161,收款年度,"&gt;"&amp;管理年度),2))</f>
        <v/>
      </c>
      <c r="AA161" s="47" t="str">
        <f aca="false">IF($Y161="","",IF(SUMPRODUCT(MIN(IF((应收键=$Y161)*(应收未收&gt;0.01),应收日期,999999)))&gt;=999999,"",SUMPRODUCT(MIN(IF((应收键=$Y161)*(应收未收&gt;0.01),应收日期,999999)))))</f>
        <v/>
      </c>
    </row>
    <row r="162" customFormat="false" ht="15" hidden="false" customHeight="false" outlineLevel="0" collapsed="false">
      <c r="A162" s="29" t="str">
        <f aca="false">IF($Y162="","",ROW()-4)</f>
        <v/>
      </c>
      <c r="B162" s="16" t="str">
        <f aca="false">IF($Y162="","",维保合同!$C162)</f>
        <v/>
      </c>
      <c r="C162" s="16" t="str">
        <f aca="false">IF($Y162="","",维保合同!$D162)</f>
        <v/>
      </c>
      <c r="D162" s="35" t="str">
        <f aca="false">IF($Y162="","",维保合同!$F162)</f>
        <v/>
      </c>
      <c r="E162" s="35" t="str">
        <f aca="false">IF($Y162="","",维保合同!$G162)</f>
        <v/>
      </c>
      <c r="F162" s="47" t="str">
        <f aca="false">IF($Y162="","",维保合同!$I162)</f>
        <v/>
      </c>
      <c r="G162" s="38" t="str">
        <f aca="false">IF($Y162="","",维保合同!$K162)</f>
        <v/>
      </c>
      <c r="H162" s="41" t="str">
        <f aca="false">IF($Y162="","",ROUND(SUMIFS(应收金额,应收键,$Y162,应收年度,"&lt;"&amp;管理年度)-SUMIFS(收款金额,收款键,$Y162,收款年度,"&lt;"&amp;管理年度),2))</f>
        <v/>
      </c>
      <c r="I162" s="40" t="str">
        <f aca="false">IF($Y162="","",ROUND(SUMIFS(应收金额,应收键,$Y162,应收年度,管理年度),2))</f>
        <v/>
      </c>
      <c r="J162" s="40" t="str">
        <f aca="false">IF($Y162="","",ROUND(SUMIFS(应收金额,应收键,$Y162,应收年度,管理年度,应收款别,"合同款"),2))</f>
        <v/>
      </c>
      <c r="K162" s="40" t="str">
        <f aca="false">IF($Y162="","",ROUND($I162-$J162,2))</f>
        <v/>
      </c>
      <c r="L162" s="40" t="str">
        <f aca="false">IF($Y162="","",ROUND(SUMIFS(应收开票额,应收键,$Y162,应收开票年度,管理年度),2))</f>
        <v/>
      </c>
      <c r="M162" s="40" t="str">
        <f aca="false">IF($Y162="","",ROUND($I162-$L162,2))</f>
        <v/>
      </c>
      <c r="N162" s="40" t="str">
        <f aca="false">IF($Y162="","",ROUND(SUMIFS(收款金额,收款键,$Y162,收款年度,管理年度),2))</f>
        <v/>
      </c>
      <c r="O162" s="40" t="str">
        <f aca="false">IF($Y162="","",ROUND(SUMIFS(收款金额,收款键,$Y162,收款年度,管理年度,收款归类,"发票"),2))</f>
        <v/>
      </c>
      <c r="P162" s="40" t="str">
        <f aca="false">IF($Y162="","",ROUND(SUMIFS(收款金额,收款键,$Y162,收款年度,管理年度,收款归类,"收据"),2))</f>
        <v/>
      </c>
      <c r="Q162" s="40" t="str">
        <f aca="false">IF($Y162="","",ROUND(SUMIFS(收款金额,收款键,$Y162,收款年度,管理年度,收款归类,"现金无票"),2))</f>
        <v/>
      </c>
      <c r="R162" s="40" t="str">
        <f aca="false">IF($Y162="","",ROUND(MAX(0,MIN($T162,SUMIF(应收键,$Y162,应收开票额)-SUMIF(收款键,$Y162,收款金额))),2))</f>
        <v/>
      </c>
      <c r="S162" s="40" t="str">
        <f aca="false">IF($Y162="","",ROUND(MAX(0,$T162)-$R162,2))</f>
        <v/>
      </c>
      <c r="T162" s="48" t="str">
        <f aca="false">IF($Y162="","",ROUND(SUMIF(应收键,$Y162,应收金额)-SUMIF(收款键,$Y162,收款金额),2))</f>
        <v/>
      </c>
      <c r="U162" s="49" t="str">
        <f aca="true">IF($AA162="","",IF($T162&lt;=0.01,"",MAX(0,TODAY()-$AA162)))</f>
        <v/>
      </c>
      <c r="V162" s="50" t="str">
        <f aca="true">IF($Y162="","",IF($T162&gt;0.01,IF(AND(ISNUMBER($U162),$U162&gt;=账龄预警天),"▲欠款拖了 "&amp;TEXT($U162,"0")&amp;" 天","欠款未清"),IF($T162&lt;-0.01,"预收/多收","已结清"))&amp;IF(OR($E162="已签未回",$E162="未签",$E162="续签中")," ▲合同未回","")&amp;IF(AND(ISNUMBER($F162),$F162&lt;TODAY())," ▲合同已到期",""))</f>
        <v/>
      </c>
      <c r="W162" s="24"/>
      <c r="X162" s="35" t="str">
        <f aca="false">IF($Y162="","",IF(ROUND($H162+$I162-$N162+$Z162-$T162,2)&lt;&gt;0,"★期初＋本年－已收≠余额",IF(ROUND($R162+$S162-MAX(0,$T162),2)&lt;&gt;0,"★已开票＋未开票≠欠款",IF(ROUND($J162+$K162-$I162,2)&lt;&gt;0,"★合同款＋合同外款≠本年应收",IF(ROUND($O162+$P162+$Q162-$N162,2)&lt;&gt;0,"★发票＋收据＋现金≠本年已收","OK")))))</f>
        <v/>
      </c>
      <c r="Y162" s="35" t="str">
        <f aca="false">IF(维保合同!$C162="","",维保合同!$E162)</f>
        <v/>
      </c>
      <c r="Z162" s="40" t="str">
        <f aca="false">IF($Y162="","",ROUND(SUMIFS(应收金额,应收键,$Y162,应收年度,"&gt;"&amp;管理年度)-SUMIFS(收款金额,收款键,$Y162,收款年度,"&gt;"&amp;管理年度),2))</f>
        <v/>
      </c>
      <c r="AA162" s="47" t="str">
        <f aca="false">IF($Y162="","",IF(SUMPRODUCT(MIN(IF((应收键=$Y162)*(应收未收&gt;0.01),应收日期,999999)))&gt;=999999,"",SUMPRODUCT(MIN(IF((应收键=$Y162)*(应收未收&gt;0.01),应收日期,999999)))))</f>
        <v/>
      </c>
    </row>
    <row r="163" customFormat="false" ht="15" hidden="false" customHeight="false" outlineLevel="0" collapsed="false">
      <c r="A163" s="29" t="str">
        <f aca="false">IF($Y163="","",ROW()-4)</f>
        <v/>
      </c>
      <c r="B163" s="16" t="str">
        <f aca="false">IF($Y163="","",维保合同!$C163)</f>
        <v/>
      </c>
      <c r="C163" s="16" t="str">
        <f aca="false">IF($Y163="","",维保合同!$D163)</f>
        <v/>
      </c>
      <c r="D163" s="35" t="str">
        <f aca="false">IF($Y163="","",维保合同!$F163)</f>
        <v/>
      </c>
      <c r="E163" s="35" t="str">
        <f aca="false">IF($Y163="","",维保合同!$G163)</f>
        <v/>
      </c>
      <c r="F163" s="47" t="str">
        <f aca="false">IF($Y163="","",维保合同!$I163)</f>
        <v/>
      </c>
      <c r="G163" s="38" t="str">
        <f aca="false">IF($Y163="","",维保合同!$K163)</f>
        <v/>
      </c>
      <c r="H163" s="41" t="str">
        <f aca="false">IF($Y163="","",ROUND(SUMIFS(应收金额,应收键,$Y163,应收年度,"&lt;"&amp;管理年度)-SUMIFS(收款金额,收款键,$Y163,收款年度,"&lt;"&amp;管理年度),2))</f>
        <v/>
      </c>
      <c r="I163" s="40" t="str">
        <f aca="false">IF($Y163="","",ROUND(SUMIFS(应收金额,应收键,$Y163,应收年度,管理年度),2))</f>
        <v/>
      </c>
      <c r="J163" s="40" t="str">
        <f aca="false">IF($Y163="","",ROUND(SUMIFS(应收金额,应收键,$Y163,应收年度,管理年度,应收款别,"合同款"),2))</f>
        <v/>
      </c>
      <c r="K163" s="40" t="str">
        <f aca="false">IF($Y163="","",ROUND($I163-$J163,2))</f>
        <v/>
      </c>
      <c r="L163" s="40" t="str">
        <f aca="false">IF($Y163="","",ROUND(SUMIFS(应收开票额,应收键,$Y163,应收开票年度,管理年度),2))</f>
        <v/>
      </c>
      <c r="M163" s="40" t="str">
        <f aca="false">IF($Y163="","",ROUND($I163-$L163,2))</f>
        <v/>
      </c>
      <c r="N163" s="40" t="str">
        <f aca="false">IF($Y163="","",ROUND(SUMIFS(收款金额,收款键,$Y163,收款年度,管理年度),2))</f>
        <v/>
      </c>
      <c r="O163" s="40" t="str">
        <f aca="false">IF($Y163="","",ROUND(SUMIFS(收款金额,收款键,$Y163,收款年度,管理年度,收款归类,"发票"),2))</f>
        <v/>
      </c>
      <c r="P163" s="40" t="str">
        <f aca="false">IF($Y163="","",ROUND(SUMIFS(收款金额,收款键,$Y163,收款年度,管理年度,收款归类,"收据"),2))</f>
        <v/>
      </c>
      <c r="Q163" s="40" t="str">
        <f aca="false">IF($Y163="","",ROUND(SUMIFS(收款金额,收款键,$Y163,收款年度,管理年度,收款归类,"现金无票"),2))</f>
        <v/>
      </c>
      <c r="R163" s="40" t="str">
        <f aca="false">IF($Y163="","",ROUND(MAX(0,MIN($T163,SUMIF(应收键,$Y163,应收开票额)-SUMIF(收款键,$Y163,收款金额))),2))</f>
        <v/>
      </c>
      <c r="S163" s="40" t="str">
        <f aca="false">IF($Y163="","",ROUND(MAX(0,$T163)-$R163,2))</f>
        <v/>
      </c>
      <c r="T163" s="48" t="str">
        <f aca="false">IF($Y163="","",ROUND(SUMIF(应收键,$Y163,应收金额)-SUMIF(收款键,$Y163,收款金额),2))</f>
        <v/>
      </c>
      <c r="U163" s="49" t="str">
        <f aca="true">IF($AA163="","",IF($T163&lt;=0.01,"",MAX(0,TODAY()-$AA163)))</f>
        <v/>
      </c>
      <c r="V163" s="50" t="str">
        <f aca="true">IF($Y163="","",IF($T163&gt;0.01,IF(AND(ISNUMBER($U163),$U163&gt;=账龄预警天),"▲欠款拖了 "&amp;TEXT($U163,"0")&amp;" 天","欠款未清"),IF($T163&lt;-0.01,"预收/多收","已结清"))&amp;IF(OR($E163="已签未回",$E163="未签",$E163="续签中")," ▲合同未回","")&amp;IF(AND(ISNUMBER($F163),$F163&lt;TODAY())," ▲合同已到期",""))</f>
        <v/>
      </c>
      <c r="W163" s="24"/>
      <c r="X163" s="35" t="str">
        <f aca="false">IF($Y163="","",IF(ROUND($H163+$I163-$N163+$Z163-$T163,2)&lt;&gt;0,"★期初＋本年－已收≠余额",IF(ROUND($R163+$S163-MAX(0,$T163),2)&lt;&gt;0,"★已开票＋未开票≠欠款",IF(ROUND($J163+$K163-$I163,2)&lt;&gt;0,"★合同款＋合同外款≠本年应收",IF(ROUND($O163+$P163+$Q163-$N163,2)&lt;&gt;0,"★发票＋收据＋现金≠本年已收","OK")))))</f>
        <v/>
      </c>
      <c r="Y163" s="35" t="str">
        <f aca="false">IF(维保合同!$C163="","",维保合同!$E163)</f>
        <v/>
      </c>
      <c r="Z163" s="40" t="str">
        <f aca="false">IF($Y163="","",ROUND(SUMIFS(应收金额,应收键,$Y163,应收年度,"&gt;"&amp;管理年度)-SUMIFS(收款金额,收款键,$Y163,收款年度,"&gt;"&amp;管理年度),2))</f>
        <v/>
      </c>
      <c r="AA163" s="47" t="str">
        <f aca="false">IF($Y163="","",IF(SUMPRODUCT(MIN(IF((应收键=$Y163)*(应收未收&gt;0.01),应收日期,999999)))&gt;=999999,"",SUMPRODUCT(MIN(IF((应收键=$Y163)*(应收未收&gt;0.01),应收日期,999999)))))</f>
        <v/>
      </c>
    </row>
    <row r="164" customFormat="false" ht="15" hidden="false" customHeight="false" outlineLevel="0" collapsed="false">
      <c r="A164" s="29" t="str">
        <f aca="false">IF($Y164="","",ROW()-4)</f>
        <v/>
      </c>
      <c r="B164" s="16" t="str">
        <f aca="false">IF($Y164="","",维保合同!$C164)</f>
        <v/>
      </c>
      <c r="C164" s="16" t="str">
        <f aca="false">IF($Y164="","",维保合同!$D164)</f>
        <v/>
      </c>
      <c r="D164" s="35" t="str">
        <f aca="false">IF($Y164="","",维保合同!$F164)</f>
        <v/>
      </c>
      <c r="E164" s="35" t="str">
        <f aca="false">IF($Y164="","",维保合同!$G164)</f>
        <v/>
      </c>
      <c r="F164" s="47" t="str">
        <f aca="false">IF($Y164="","",维保合同!$I164)</f>
        <v/>
      </c>
      <c r="G164" s="38" t="str">
        <f aca="false">IF($Y164="","",维保合同!$K164)</f>
        <v/>
      </c>
      <c r="H164" s="41" t="str">
        <f aca="false">IF($Y164="","",ROUND(SUMIFS(应收金额,应收键,$Y164,应收年度,"&lt;"&amp;管理年度)-SUMIFS(收款金额,收款键,$Y164,收款年度,"&lt;"&amp;管理年度),2))</f>
        <v/>
      </c>
      <c r="I164" s="40" t="str">
        <f aca="false">IF($Y164="","",ROUND(SUMIFS(应收金额,应收键,$Y164,应收年度,管理年度),2))</f>
        <v/>
      </c>
      <c r="J164" s="40" t="str">
        <f aca="false">IF($Y164="","",ROUND(SUMIFS(应收金额,应收键,$Y164,应收年度,管理年度,应收款别,"合同款"),2))</f>
        <v/>
      </c>
      <c r="K164" s="40" t="str">
        <f aca="false">IF($Y164="","",ROUND($I164-$J164,2))</f>
        <v/>
      </c>
      <c r="L164" s="40" t="str">
        <f aca="false">IF($Y164="","",ROUND(SUMIFS(应收开票额,应收键,$Y164,应收开票年度,管理年度),2))</f>
        <v/>
      </c>
      <c r="M164" s="40" t="str">
        <f aca="false">IF($Y164="","",ROUND($I164-$L164,2))</f>
        <v/>
      </c>
      <c r="N164" s="40" t="str">
        <f aca="false">IF($Y164="","",ROUND(SUMIFS(收款金额,收款键,$Y164,收款年度,管理年度),2))</f>
        <v/>
      </c>
      <c r="O164" s="40" t="str">
        <f aca="false">IF($Y164="","",ROUND(SUMIFS(收款金额,收款键,$Y164,收款年度,管理年度,收款归类,"发票"),2))</f>
        <v/>
      </c>
      <c r="P164" s="40" t="str">
        <f aca="false">IF($Y164="","",ROUND(SUMIFS(收款金额,收款键,$Y164,收款年度,管理年度,收款归类,"收据"),2))</f>
        <v/>
      </c>
      <c r="Q164" s="40" t="str">
        <f aca="false">IF($Y164="","",ROUND(SUMIFS(收款金额,收款键,$Y164,收款年度,管理年度,收款归类,"现金无票"),2))</f>
        <v/>
      </c>
      <c r="R164" s="40" t="str">
        <f aca="false">IF($Y164="","",ROUND(MAX(0,MIN($T164,SUMIF(应收键,$Y164,应收开票额)-SUMIF(收款键,$Y164,收款金额))),2))</f>
        <v/>
      </c>
      <c r="S164" s="40" t="str">
        <f aca="false">IF($Y164="","",ROUND(MAX(0,$T164)-$R164,2))</f>
        <v/>
      </c>
      <c r="T164" s="48" t="str">
        <f aca="false">IF($Y164="","",ROUND(SUMIF(应收键,$Y164,应收金额)-SUMIF(收款键,$Y164,收款金额),2))</f>
        <v/>
      </c>
      <c r="U164" s="49" t="str">
        <f aca="true">IF($AA164="","",IF($T164&lt;=0.01,"",MAX(0,TODAY()-$AA164)))</f>
        <v/>
      </c>
      <c r="V164" s="50" t="str">
        <f aca="true">IF($Y164="","",IF($T164&gt;0.01,IF(AND(ISNUMBER($U164),$U164&gt;=账龄预警天),"▲欠款拖了 "&amp;TEXT($U164,"0")&amp;" 天","欠款未清"),IF($T164&lt;-0.01,"预收/多收","已结清"))&amp;IF(OR($E164="已签未回",$E164="未签",$E164="续签中")," ▲合同未回","")&amp;IF(AND(ISNUMBER($F164),$F164&lt;TODAY())," ▲合同已到期",""))</f>
        <v/>
      </c>
      <c r="W164" s="24"/>
      <c r="X164" s="35" t="str">
        <f aca="false">IF($Y164="","",IF(ROUND($H164+$I164-$N164+$Z164-$T164,2)&lt;&gt;0,"★期初＋本年－已收≠余额",IF(ROUND($R164+$S164-MAX(0,$T164),2)&lt;&gt;0,"★已开票＋未开票≠欠款",IF(ROUND($J164+$K164-$I164,2)&lt;&gt;0,"★合同款＋合同外款≠本年应收",IF(ROUND($O164+$P164+$Q164-$N164,2)&lt;&gt;0,"★发票＋收据＋现金≠本年已收","OK")))))</f>
        <v/>
      </c>
      <c r="Y164" s="35" t="str">
        <f aca="false">IF(维保合同!$C164="","",维保合同!$E164)</f>
        <v/>
      </c>
      <c r="Z164" s="40" t="str">
        <f aca="false">IF($Y164="","",ROUND(SUMIFS(应收金额,应收键,$Y164,应收年度,"&gt;"&amp;管理年度)-SUMIFS(收款金额,收款键,$Y164,收款年度,"&gt;"&amp;管理年度),2))</f>
        <v/>
      </c>
      <c r="AA164" s="47" t="str">
        <f aca="false">IF($Y164="","",IF(SUMPRODUCT(MIN(IF((应收键=$Y164)*(应收未收&gt;0.01),应收日期,999999)))&gt;=999999,"",SUMPRODUCT(MIN(IF((应收键=$Y164)*(应收未收&gt;0.01),应收日期,999999)))))</f>
        <v/>
      </c>
    </row>
    <row r="165" customFormat="false" ht="15" hidden="false" customHeight="false" outlineLevel="0" collapsed="false">
      <c r="A165" s="29" t="str">
        <f aca="false">IF($Y165="","",ROW()-4)</f>
        <v/>
      </c>
      <c r="B165" s="16" t="str">
        <f aca="false">IF($Y165="","",维保合同!$C165)</f>
        <v/>
      </c>
      <c r="C165" s="16" t="str">
        <f aca="false">IF($Y165="","",维保合同!$D165)</f>
        <v/>
      </c>
      <c r="D165" s="35" t="str">
        <f aca="false">IF($Y165="","",维保合同!$F165)</f>
        <v/>
      </c>
      <c r="E165" s="35" t="str">
        <f aca="false">IF($Y165="","",维保合同!$G165)</f>
        <v/>
      </c>
      <c r="F165" s="47" t="str">
        <f aca="false">IF($Y165="","",维保合同!$I165)</f>
        <v/>
      </c>
      <c r="G165" s="38" t="str">
        <f aca="false">IF($Y165="","",维保合同!$K165)</f>
        <v/>
      </c>
      <c r="H165" s="41" t="str">
        <f aca="false">IF($Y165="","",ROUND(SUMIFS(应收金额,应收键,$Y165,应收年度,"&lt;"&amp;管理年度)-SUMIFS(收款金额,收款键,$Y165,收款年度,"&lt;"&amp;管理年度),2))</f>
        <v/>
      </c>
      <c r="I165" s="40" t="str">
        <f aca="false">IF($Y165="","",ROUND(SUMIFS(应收金额,应收键,$Y165,应收年度,管理年度),2))</f>
        <v/>
      </c>
      <c r="J165" s="40" t="str">
        <f aca="false">IF($Y165="","",ROUND(SUMIFS(应收金额,应收键,$Y165,应收年度,管理年度,应收款别,"合同款"),2))</f>
        <v/>
      </c>
      <c r="K165" s="40" t="str">
        <f aca="false">IF($Y165="","",ROUND($I165-$J165,2))</f>
        <v/>
      </c>
      <c r="L165" s="40" t="str">
        <f aca="false">IF($Y165="","",ROUND(SUMIFS(应收开票额,应收键,$Y165,应收开票年度,管理年度),2))</f>
        <v/>
      </c>
      <c r="M165" s="40" t="str">
        <f aca="false">IF($Y165="","",ROUND($I165-$L165,2))</f>
        <v/>
      </c>
      <c r="N165" s="40" t="str">
        <f aca="false">IF($Y165="","",ROUND(SUMIFS(收款金额,收款键,$Y165,收款年度,管理年度),2))</f>
        <v/>
      </c>
      <c r="O165" s="40" t="str">
        <f aca="false">IF($Y165="","",ROUND(SUMIFS(收款金额,收款键,$Y165,收款年度,管理年度,收款归类,"发票"),2))</f>
        <v/>
      </c>
      <c r="P165" s="40" t="str">
        <f aca="false">IF($Y165="","",ROUND(SUMIFS(收款金额,收款键,$Y165,收款年度,管理年度,收款归类,"收据"),2))</f>
        <v/>
      </c>
      <c r="Q165" s="40" t="str">
        <f aca="false">IF($Y165="","",ROUND(SUMIFS(收款金额,收款键,$Y165,收款年度,管理年度,收款归类,"现金无票"),2))</f>
        <v/>
      </c>
      <c r="R165" s="40" t="str">
        <f aca="false">IF($Y165="","",ROUND(MAX(0,MIN($T165,SUMIF(应收键,$Y165,应收开票额)-SUMIF(收款键,$Y165,收款金额))),2))</f>
        <v/>
      </c>
      <c r="S165" s="40" t="str">
        <f aca="false">IF($Y165="","",ROUND(MAX(0,$T165)-$R165,2))</f>
        <v/>
      </c>
      <c r="T165" s="48" t="str">
        <f aca="false">IF($Y165="","",ROUND(SUMIF(应收键,$Y165,应收金额)-SUMIF(收款键,$Y165,收款金额),2))</f>
        <v/>
      </c>
      <c r="U165" s="49" t="str">
        <f aca="true">IF($AA165="","",IF($T165&lt;=0.01,"",MAX(0,TODAY()-$AA165)))</f>
        <v/>
      </c>
      <c r="V165" s="50" t="str">
        <f aca="true">IF($Y165="","",IF($T165&gt;0.01,IF(AND(ISNUMBER($U165),$U165&gt;=账龄预警天),"▲欠款拖了 "&amp;TEXT($U165,"0")&amp;" 天","欠款未清"),IF($T165&lt;-0.01,"预收/多收","已结清"))&amp;IF(OR($E165="已签未回",$E165="未签",$E165="续签中")," ▲合同未回","")&amp;IF(AND(ISNUMBER($F165),$F165&lt;TODAY())," ▲合同已到期",""))</f>
        <v/>
      </c>
      <c r="W165" s="24"/>
      <c r="X165" s="35" t="str">
        <f aca="false">IF($Y165="","",IF(ROUND($H165+$I165-$N165+$Z165-$T165,2)&lt;&gt;0,"★期初＋本年－已收≠余额",IF(ROUND($R165+$S165-MAX(0,$T165),2)&lt;&gt;0,"★已开票＋未开票≠欠款",IF(ROUND($J165+$K165-$I165,2)&lt;&gt;0,"★合同款＋合同外款≠本年应收",IF(ROUND($O165+$P165+$Q165-$N165,2)&lt;&gt;0,"★发票＋收据＋现金≠本年已收","OK")))))</f>
        <v/>
      </c>
      <c r="Y165" s="35" t="str">
        <f aca="false">IF(维保合同!$C165="","",维保合同!$E165)</f>
        <v/>
      </c>
      <c r="Z165" s="40" t="str">
        <f aca="false">IF($Y165="","",ROUND(SUMIFS(应收金额,应收键,$Y165,应收年度,"&gt;"&amp;管理年度)-SUMIFS(收款金额,收款键,$Y165,收款年度,"&gt;"&amp;管理年度),2))</f>
        <v/>
      </c>
      <c r="AA165" s="47" t="str">
        <f aca="false">IF($Y165="","",IF(SUMPRODUCT(MIN(IF((应收键=$Y165)*(应收未收&gt;0.01),应收日期,999999)))&gt;=999999,"",SUMPRODUCT(MIN(IF((应收键=$Y165)*(应收未收&gt;0.01),应收日期,999999)))))</f>
        <v/>
      </c>
    </row>
    <row r="166" customFormat="false" ht="15" hidden="false" customHeight="false" outlineLevel="0" collapsed="false">
      <c r="A166" s="29" t="str">
        <f aca="false">IF($Y166="","",ROW()-4)</f>
        <v/>
      </c>
      <c r="B166" s="16" t="str">
        <f aca="false">IF($Y166="","",维保合同!$C166)</f>
        <v/>
      </c>
      <c r="C166" s="16" t="str">
        <f aca="false">IF($Y166="","",维保合同!$D166)</f>
        <v/>
      </c>
      <c r="D166" s="35" t="str">
        <f aca="false">IF($Y166="","",维保合同!$F166)</f>
        <v/>
      </c>
      <c r="E166" s="35" t="str">
        <f aca="false">IF($Y166="","",维保合同!$G166)</f>
        <v/>
      </c>
      <c r="F166" s="47" t="str">
        <f aca="false">IF($Y166="","",维保合同!$I166)</f>
        <v/>
      </c>
      <c r="G166" s="38" t="str">
        <f aca="false">IF($Y166="","",维保合同!$K166)</f>
        <v/>
      </c>
      <c r="H166" s="41" t="str">
        <f aca="false">IF($Y166="","",ROUND(SUMIFS(应收金额,应收键,$Y166,应收年度,"&lt;"&amp;管理年度)-SUMIFS(收款金额,收款键,$Y166,收款年度,"&lt;"&amp;管理年度),2))</f>
        <v/>
      </c>
      <c r="I166" s="40" t="str">
        <f aca="false">IF($Y166="","",ROUND(SUMIFS(应收金额,应收键,$Y166,应收年度,管理年度),2))</f>
        <v/>
      </c>
      <c r="J166" s="40" t="str">
        <f aca="false">IF($Y166="","",ROUND(SUMIFS(应收金额,应收键,$Y166,应收年度,管理年度,应收款别,"合同款"),2))</f>
        <v/>
      </c>
      <c r="K166" s="40" t="str">
        <f aca="false">IF($Y166="","",ROUND($I166-$J166,2))</f>
        <v/>
      </c>
      <c r="L166" s="40" t="str">
        <f aca="false">IF($Y166="","",ROUND(SUMIFS(应收开票额,应收键,$Y166,应收开票年度,管理年度),2))</f>
        <v/>
      </c>
      <c r="M166" s="40" t="str">
        <f aca="false">IF($Y166="","",ROUND($I166-$L166,2))</f>
        <v/>
      </c>
      <c r="N166" s="40" t="str">
        <f aca="false">IF($Y166="","",ROUND(SUMIFS(收款金额,收款键,$Y166,收款年度,管理年度),2))</f>
        <v/>
      </c>
      <c r="O166" s="40" t="str">
        <f aca="false">IF($Y166="","",ROUND(SUMIFS(收款金额,收款键,$Y166,收款年度,管理年度,收款归类,"发票"),2))</f>
        <v/>
      </c>
      <c r="P166" s="40" t="str">
        <f aca="false">IF($Y166="","",ROUND(SUMIFS(收款金额,收款键,$Y166,收款年度,管理年度,收款归类,"收据"),2))</f>
        <v/>
      </c>
      <c r="Q166" s="40" t="str">
        <f aca="false">IF($Y166="","",ROUND(SUMIFS(收款金额,收款键,$Y166,收款年度,管理年度,收款归类,"现金无票"),2))</f>
        <v/>
      </c>
      <c r="R166" s="40" t="str">
        <f aca="false">IF($Y166="","",ROUND(MAX(0,MIN($T166,SUMIF(应收键,$Y166,应收开票额)-SUMIF(收款键,$Y166,收款金额))),2))</f>
        <v/>
      </c>
      <c r="S166" s="40" t="str">
        <f aca="false">IF($Y166="","",ROUND(MAX(0,$T166)-$R166,2))</f>
        <v/>
      </c>
      <c r="T166" s="48" t="str">
        <f aca="false">IF($Y166="","",ROUND(SUMIF(应收键,$Y166,应收金额)-SUMIF(收款键,$Y166,收款金额),2))</f>
        <v/>
      </c>
      <c r="U166" s="49" t="str">
        <f aca="true">IF($AA166="","",IF($T166&lt;=0.01,"",MAX(0,TODAY()-$AA166)))</f>
        <v/>
      </c>
      <c r="V166" s="50" t="str">
        <f aca="true">IF($Y166="","",IF($T166&gt;0.01,IF(AND(ISNUMBER($U166),$U166&gt;=账龄预警天),"▲欠款拖了 "&amp;TEXT($U166,"0")&amp;" 天","欠款未清"),IF($T166&lt;-0.01,"预收/多收","已结清"))&amp;IF(OR($E166="已签未回",$E166="未签",$E166="续签中")," ▲合同未回","")&amp;IF(AND(ISNUMBER($F166),$F166&lt;TODAY())," ▲合同已到期",""))</f>
        <v/>
      </c>
      <c r="W166" s="24"/>
      <c r="X166" s="35" t="str">
        <f aca="false">IF($Y166="","",IF(ROUND($H166+$I166-$N166+$Z166-$T166,2)&lt;&gt;0,"★期初＋本年－已收≠余额",IF(ROUND($R166+$S166-MAX(0,$T166),2)&lt;&gt;0,"★已开票＋未开票≠欠款",IF(ROUND($J166+$K166-$I166,2)&lt;&gt;0,"★合同款＋合同外款≠本年应收",IF(ROUND($O166+$P166+$Q166-$N166,2)&lt;&gt;0,"★发票＋收据＋现金≠本年已收","OK")))))</f>
        <v/>
      </c>
      <c r="Y166" s="35" t="str">
        <f aca="false">IF(维保合同!$C166="","",维保合同!$E166)</f>
        <v/>
      </c>
      <c r="Z166" s="40" t="str">
        <f aca="false">IF($Y166="","",ROUND(SUMIFS(应收金额,应收键,$Y166,应收年度,"&gt;"&amp;管理年度)-SUMIFS(收款金额,收款键,$Y166,收款年度,"&gt;"&amp;管理年度),2))</f>
        <v/>
      </c>
      <c r="AA166" s="47" t="str">
        <f aca="false">IF($Y166="","",IF(SUMPRODUCT(MIN(IF((应收键=$Y166)*(应收未收&gt;0.01),应收日期,999999)))&gt;=999999,"",SUMPRODUCT(MIN(IF((应收键=$Y166)*(应收未收&gt;0.01),应收日期,999999)))))</f>
        <v/>
      </c>
    </row>
    <row r="167" customFormat="false" ht="15" hidden="false" customHeight="false" outlineLevel="0" collapsed="false">
      <c r="A167" s="29" t="str">
        <f aca="false">IF($Y167="","",ROW()-4)</f>
        <v/>
      </c>
      <c r="B167" s="16" t="str">
        <f aca="false">IF($Y167="","",维保合同!$C167)</f>
        <v/>
      </c>
      <c r="C167" s="16" t="str">
        <f aca="false">IF($Y167="","",维保合同!$D167)</f>
        <v/>
      </c>
      <c r="D167" s="35" t="str">
        <f aca="false">IF($Y167="","",维保合同!$F167)</f>
        <v/>
      </c>
      <c r="E167" s="35" t="str">
        <f aca="false">IF($Y167="","",维保合同!$G167)</f>
        <v/>
      </c>
      <c r="F167" s="47" t="str">
        <f aca="false">IF($Y167="","",维保合同!$I167)</f>
        <v/>
      </c>
      <c r="G167" s="38" t="str">
        <f aca="false">IF($Y167="","",维保合同!$K167)</f>
        <v/>
      </c>
      <c r="H167" s="41" t="str">
        <f aca="false">IF($Y167="","",ROUND(SUMIFS(应收金额,应收键,$Y167,应收年度,"&lt;"&amp;管理年度)-SUMIFS(收款金额,收款键,$Y167,收款年度,"&lt;"&amp;管理年度),2))</f>
        <v/>
      </c>
      <c r="I167" s="40" t="str">
        <f aca="false">IF($Y167="","",ROUND(SUMIFS(应收金额,应收键,$Y167,应收年度,管理年度),2))</f>
        <v/>
      </c>
      <c r="J167" s="40" t="str">
        <f aca="false">IF($Y167="","",ROUND(SUMIFS(应收金额,应收键,$Y167,应收年度,管理年度,应收款别,"合同款"),2))</f>
        <v/>
      </c>
      <c r="K167" s="40" t="str">
        <f aca="false">IF($Y167="","",ROUND($I167-$J167,2))</f>
        <v/>
      </c>
      <c r="L167" s="40" t="str">
        <f aca="false">IF($Y167="","",ROUND(SUMIFS(应收开票额,应收键,$Y167,应收开票年度,管理年度),2))</f>
        <v/>
      </c>
      <c r="M167" s="40" t="str">
        <f aca="false">IF($Y167="","",ROUND($I167-$L167,2))</f>
        <v/>
      </c>
      <c r="N167" s="40" t="str">
        <f aca="false">IF($Y167="","",ROUND(SUMIFS(收款金额,收款键,$Y167,收款年度,管理年度),2))</f>
        <v/>
      </c>
      <c r="O167" s="40" t="str">
        <f aca="false">IF($Y167="","",ROUND(SUMIFS(收款金额,收款键,$Y167,收款年度,管理年度,收款归类,"发票"),2))</f>
        <v/>
      </c>
      <c r="P167" s="40" t="str">
        <f aca="false">IF($Y167="","",ROUND(SUMIFS(收款金额,收款键,$Y167,收款年度,管理年度,收款归类,"收据"),2))</f>
        <v/>
      </c>
      <c r="Q167" s="40" t="str">
        <f aca="false">IF($Y167="","",ROUND(SUMIFS(收款金额,收款键,$Y167,收款年度,管理年度,收款归类,"现金无票"),2))</f>
        <v/>
      </c>
      <c r="R167" s="40" t="str">
        <f aca="false">IF($Y167="","",ROUND(MAX(0,MIN($T167,SUMIF(应收键,$Y167,应收开票额)-SUMIF(收款键,$Y167,收款金额))),2))</f>
        <v/>
      </c>
      <c r="S167" s="40" t="str">
        <f aca="false">IF($Y167="","",ROUND(MAX(0,$T167)-$R167,2))</f>
        <v/>
      </c>
      <c r="T167" s="48" t="str">
        <f aca="false">IF($Y167="","",ROUND(SUMIF(应收键,$Y167,应收金额)-SUMIF(收款键,$Y167,收款金额),2))</f>
        <v/>
      </c>
      <c r="U167" s="49" t="str">
        <f aca="true">IF($AA167="","",IF($T167&lt;=0.01,"",MAX(0,TODAY()-$AA167)))</f>
        <v/>
      </c>
      <c r="V167" s="50" t="str">
        <f aca="true">IF($Y167="","",IF($T167&gt;0.01,IF(AND(ISNUMBER($U167),$U167&gt;=账龄预警天),"▲欠款拖了 "&amp;TEXT($U167,"0")&amp;" 天","欠款未清"),IF($T167&lt;-0.01,"预收/多收","已结清"))&amp;IF(OR($E167="已签未回",$E167="未签",$E167="续签中")," ▲合同未回","")&amp;IF(AND(ISNUMBER($F167),$F167&lt;TODAY())," ▲合同已到期",""))</f>
        <v/>
      </c>
      <c r="W167" s="24"/>
      <c r="X167" s="35" t="str">
        <f aca="false">IF($Y167="","",IF(ROUND($H167+$I167-$N167+$Z167-$T167,2)&lt;&gt;0,"★期初＋本年－已收≠余额",IF(ROUND($R167+$S167-MAX(0,$T167),2)&lt;&gt;0,"★已开票＋未开票≠欠款",IF(ROUND($J167+$K167-$I167,2)&lt;&gt;0,"★合同款＋合同外款≠本年应收",IF(ROUND($O167+$P167+$Q167-$N167,2)&lt;&gt;0,"★发票＋收据＋现金≠本年已收","OK")))))</f>
        <v/>
      </c>
      <c r="Y167" s="35" t="str">
        <f aca="false">IF(维保合同!$C167="","",维保合同!$E167)</f>
        <v/>
      </c>
      <c r="Z167" s="40" t="str">
        <f aca="false">IF($Y167="","",ROUND(SUMIFS(应收金额,应收键,$Y167,应收年度,"&gt;"&amp;管理年度)-SUMIFS(收款金额,收款键,$Y167,收款年度,"&gt;"&amp;管理年度),2))</f>
        <v/>
      </c>
      <c r="AA167" s="47" t="str">
        <f aca="false">IF($Y167="","",IF(SUMPRODUCT(MIN(IF((应收键=$Y167)*(应收未收&gt;0.01),应收日期,999999)))&gt;=999999,"",SUMPRODUCT(MIN(IF((应收键=$Y167)*(应收未收&gt;0.01),应收日期,999999)))))</f>
        <v/>
      </c>
    </row>
    <row r="168" customFormat="false" ht="15" hidden="false" customHeight="false" outlineLevel="0" collapsed="false">
      <c r="A168" s="29" t="str">
        <f aca="false">IF($Y168="","",ROW()-4)</f>
        <v/>
      </c>
      <c r="B168" s="16" t="str">
        <f aca="false">IF($Y168="","",维保合同!$C168)</f>
        <v/>
      </c>
      <c r="C168" s="16" t="str">
        <f aca="false">IF($Y168="","",维保合同!$D168)</f>
        <v/>
      </c>
      <c r="D168" s="35" t="str">
        <f aca="false">IF($Y168="","",维保合同!$F168)</f>
        <v/>
      </c>
      <c r="E168" s="35" t="str">
        <f aca="false">IF($Y168="","",维保合同!$G168)</f>
        <v/>
      </c>
      <c r="F168" s="47" t="str">
        <f aca="false">IF($Y168="","",维保合同!$I168)</f>
        <v/>
      </c>
      <c r="G168" s="38" t="str">
        <f aca="false">IF($Y168="","",维保合同!$K168)</f>
        <v/>
      </c>
      <c r="H168" s="41" t="str">
        <f aca="false">IF($Y168="","",ROUND(SUMIFS(应收金额,应收键,$Y168,应收年度,"&lt;"&amp;管理年度)-SUMIFS(收款金额,收款键,$Y168,收款年度,"&lt;"&amp;管理年度),2))</f>
        <v/>
      </c>
      <c r="I168" s="40" t="str">
        <f aca="false">IF($Y168="","",ROUND(SUMIFS(应收金额,应收键,$Y168,应收年度,管理年度),2))</f>
        <v/>
      </c>
      <c r="J168" s="40" t="str">
        <f aca="false">IF($Y168="","",ROUND(SUMIFS(应收金额,应收键,$Y168,应收年度,管理年度,应收款别,"合同款"),2))</f>
        <v/>
      </c>
      <c r="K168" s="40" t="str">
        <f aca="false">IF($Y168="","",ROUND($I168-$J168,2))</f>
        <v/>
      </c>
      <c r="L168" s="40" t="str">
        <f aca="false">IF($Y168="","",ROUND(SUMIFS(应收开票额,应收键,$Y168,应收开票年度,管理年度),2))</f>
        <v/>
      </c>
      <c r="M168" s="40" t="str">
        <f aca="false">IF($Y168="","",ROUND($I168-$L168,2))</f>
        <v/>
      </c>
      <c r="N168" s="40" t="str">
        <f aca="false">IF($Y168="","",ROUND(SUMIFS(收款金额,收款键,$Y168,收款年度,管理年度),2))</f>
        <v/>
      </c>
      <c r="O168" s="40" t="str">
        <f aca="false">IF($Y168="","",ROUND(SUMIFS(收款金额,收款键,$Y168,收款年度,管理年度,收款归类,"发票"),2))</f>
        <v/>
      </c>
      <c r="P168" s="40" t="str">
        <f aca="false">IF($Y168="","",ROUND(SUMIFS(收款金额,收款键,$Y168,收款年度,管理年度,收款归类,"收据"),2))</f>
        <v/>
      </c>
      <c r="Q168" s="40" t="str">
        <f aca="false">IF($Y168="","",ROUND(SUMIFS(收款金额,收款键,$Y168,收款年度,管理年度,收款归类,"现金无票"),2))</f>
        <v/>
      </c>
      <c r="R168" s="40" t="str">
        <f aca="false">IF($Y168="","",ROUND(MAX(0,MIN($T168,SUMIF(应收键,$Y168,应收开票额)-SUMIF(收款键,$Y168,收款金额))),2))</f>
        <v/>
      </c>
      <c r="S168" s="40" t="str">
        <f aca="false">IF($Y168="","",ROUND(MAX(0,$T168)-$R168,2))</f>
        <v/>
      </c>
      <c r="T168" s="48" t="str">
        <f aca="false">IF($Y168="","",ROUND(SUMIF(应收键,$Y168,应收金额)-SUMIF(收款键,$Y168,收款金额),2))</f>
        <v/>
      </c>
      <c r="U168" s="49" t="str">
        <f aca="true">IF($AA168="","",IF($T168&lt;=0.01,"",MAX(0,TODAY()-$AA168)))</f>
        <v/>
      </c>
      <c r="V168" s="50" t="str">
        <f aca="true">IF($Y168="","",IF($T168&gt;0.01,IF(AND(ISNUMBER($U168),$U168&gt;=账龄预警天),"▲欠款拖了 "&amp;TEXT($U168,"0")&amp;" 天","欠款未清"),IF($T168&lt;-0.01,"预收/多收","已结清"))&amp;IF(OR($E168="已签未回",$E168="未签",$E168="续签中")," ▲合同未回","")&amp;IF(AND(ISNUMBER($F168),$F168&lt;TODAY())," ▲合同已到期",""))</f>
        <v/>
      </c>
      <c r="W168" s="24"/>
      <c r="X168" s="35" t="str">
        <f aca="false">IF($Y168="","",IF(ROUND($H168+$I168-$N168+$Z168-$T168,2)&lt;&gt;0,"★期初＋本年－已收≠余额",IF(ROUND($R168+$S168-MAX(0,$T168),2)&lt;&gt;0,"★已开票＋未开票≠欠款",IF(ROUND($J168+$K168-$I168,2)&lt;&gt;0,"★合同款＋合同外款≠本年应收",IF(ROUND($O168+$P168+$Q168-$N168,2)&lt;&gt;0,"★发票＋收据＋现金≠本年已收","OK")))))</f>
        <v/>
      </c>
      <c r="Y168" s="35" t="str">
        <f aca="false">IF(维保合同!$C168="","",维保合同!$E168)</f>
        <v/>
      </c>
      <c r="Z168" s="40" t="str">
        <f aca="false">IF($Y168="","",ROUND(SUMIFS(应收金额,应收键,$Y168,应收年度,"&gt;"&amp;管理年度)-SUMIFS(收款金额,收款键,$Y168,收款年度,"&gt;"&amp;管理年度),2))</f>
        <v/>
      </c>
      <c r="AA168" s="47" t="str">
        <f aca="false">IF($Y168="","",IF(SUMPRODUCT(MIN(IF((应收键=$Y168)*(应收未收&gt;0.01),应收日期,999999)))&gt;=999999,"",SUMPRODUCT(MIN(IF((应收键=$Y168)*(应收未收&gt;0.01),应收日期,999999)))))</f>
        <v/>
      </c>
    </row>
    <row r="169" customFormat="false" ht="15" hidden="false" customHeight="false" outlineLevel="0" collapsed="false">
      <c r="A169" s="29" t="str">
        <f aca="false">IF($Y169="","",ROW()-4)</f>
        <v/>
      </c>
      <c r="B169" s="16" t="str">
        <f aca="false">IF($Y169="","",维保合同!$C169)</f>
        <v/>
      </c>
      <c r="C169" s="16" t="str">
        <f aca="false">IF($Y169="","",维保合同!$D169)</f>
        <v/>
      </c>
      <c r="D169" s="35" t="str">
        <f aca="false">IF($Y169="","",维保合同!$F169)</f>
        <v/>
      </c>
      <c r="E169" s="35" t="str">
        <f aca="false">IF($Y169="","",维保合同!$G169)</f>
        <v/>
      </c>
      <c r="F169" s="47" t="str">
        <f aca="false">IF($Y169="","",维保合同!$I169)</f>
        <v/>
      </c>
      <c r="G169" s="38" t="str">
        <f aca="false">IF($Y169="","",维保合同!$K169)</f>
        <v/>
      </c>
      <c r="H169" s="41" t="str">
        <f aca="false">IF($Y169="","",ROUND(SUMIFS(应收金额,应收键,$Y169,应收年度,"&lt;"&amp;管理年度)-SUMIFS(收款金额,收款键,$Y169,收款年度,"&lt;"&amp;管理年度),2))</f>
        <v/>
      </c>
      <c r="I169" s="40" t="str">
        <f aca="false">IF($Y169="","",ROUND(SUMIFS(应收金额,应收键,$Y169,应收年度,管理年度),2))</f>
        <v/>
      </c>
      <c r="J169" s="40" t="str">
        <f aca="false">IF($Y169="","",ROUND(SUMIFS(应收金额,应收键,$Y169,应收年度,管理年度,应收款别,"合同款"),2))</f>
        <v/>
      </c>
      <c r="K169" s="40" t="str">
        <f aca="false">IF($Y169="","",ROUND($I169-$J169,2))</f>
        <v/>
      </c>
      <c r="L169" s="40" t="str">
        <f aca="false">IF($Y169="","",ROUND(SUMIFS(应收开票额,应收键,$Y169,应收开票年度,管理年度),2))</f>
        <v/>
      </c>
      <c r="M169" s="40" t="str">
        <f aca="false">IF($Y169="","",ROUND($I169-$L169,2))</f>
        <v/>
      </c>
      <c r="N169" s="40" t="str">
        <f aca="false">IF($Y169="","",ROUND(SUMIFS(收款金额,收款键,$Y169,收款年度,管理年度),2))</f>
        <v/>
      </c>
      <c r="O169" s="40" t="str">
        <f aca="false">IF($Y169="","",ROUND(SUMIFS(收款金额,收款键,$Y169,收款年度,管理年度,收款归类,"发票"),2))</f>
        <v/>
      </c>
      <c r="P169" s="40" t="str">
        <f aca="false">IF($Y169="","",ROUND(SUMIFS(收款金额,收款键,$Y169,收款年度,管理年度,收款归类,"收据"),2))</f>
        <v/>
      </c>
      <c r="Q169" s="40" t="str">
        <f aca="false">IF($Y169="","",ROUND(SUMIFS(收款金额,收款键,$Y169,收款年度,管理年度,收款归类,"现金无票"),2))</f>
        <v/>
      </c>
      <c r="R169" s="40" t="str">
        <f aca="false">IF($Y169="","",ROUND(MAX(0,MIN($T169,SUMIF(应收键,$Y169,应收开票额)-SUMIF(收款键,$Y169,收款金额))),2))</f>
        <v/>
      </c>
      <c r="S169" s="40" t="str">
        <f aca="false">IF($Y169="","",ROUND(MAX(0,$T169)-$R169,2))</f>
        <v/>
      </c>
      <c r="T169" s="48" t="str">
        <f aca="false">IF($Y169="","",ROUND(SUMIF(应收键,$Y169,应收金额)-SUMIF(收款键,$Y169,收款金额),2))</f>
        <v/>
      </c>
      <c r="U169" s="49" t="str">
        <f aca="true">IF($AA169="","",IF($T169&lt;=0.01,"",MAX(0,TODAY()-$AA169)))</f>
        <v/>
      </c>
      <c r="V169" s="50" t="str">
        <f aca="true">IF($Y169="","",IF($T169&gt;0.01,IF(AND(ISNUMBER($U169),$U169&gt;=账龄预警天),"▲欠款拖了 "&amp;TEXT($U169,"0")&amp;" 天","欠款未清"),IF($T169&lt;-0.01,"预收/多收","已结清"))&amp;IF(OR($E169="已签未回",$E169="未签",$E169="续签中")," ▲合同未回","")&amp;IF(AND(ISNUMBER($F169),$F169&lt;TODAY())," ▲合同已到期",""))</f>
        <v/>
      </c>
      <c r="W169" s="24"/>
      <c r="X169" s="35" t="str">
        <f aca="false">IF($Y169="","",IF(ROUND($H169+$I169-$N169+$Z169-$T169,2)&lt;&gt;0,"★期初＋本年－已收≠余额",IF(ROUND($R169+$S169-MAX(0,$T169),2)&lt;&gt;0,"★已开票＋未开票≠欠款",IF(ROUND($J169+$K169-$I169,2)&lt;&gt;0,"★合同款＋合同外款≠本年应收",IF(ROUND($O169+$P169+$Q169-$N169,2)&lt;&gt;0,"★发票＋收据＋现金≠本年已收","OK")))))</f>
        <v/>
      </c>
      <c r="Y169" s="35" t="str">
        <f aca="false">IF(维保合同!$C169="","",维保合同!$E169)</f>
        <v/>
      </c>
      <c r="Z169" s="40" t="str">
        <f aca="false">IF($Y169="","",ROUND(SUMIFS(应收金额,应收键,$Y169,应收年度,"&gt;"&amp;管理年度)-SUMIFS(收款金额,收款键,$Y169,收款年度,"&gt;"&amp;管理年度),2))</f>
        <v/>
      </c>
      <c r="AA169" s="47" t="str">
        <f aca="false">IF($Y169="","",IF(SUMPRODUCT(MIN(IF((应收键=$Y169)*(应收未收&gt;0.01),应收日期,999999)))&gt;=999999,"",SUMPRODUCT(MIN(IF((应收键=$Y169)*(应收未收&gt;0.01),应收日期,999999)))))</f>
        <v/>
      </c>
    </row>
    <row r="170" customFormat="false" ht="15" hidden="false" customHeight="false" outlineLevel="0" collapsed="false">
      <c r="A170" s="29" t="str">
        <f aca="false">IF($Y170="","",ROW()-4)</f>
        <v/>
      </c>
      <c r="B170" s="16" t="str">
        <f aca="false">IF($Y170="","",维保合同!$C170)</f>
        <v/>
      </c>
      <c r="C170" s="16" t="str">
        <f aca="false">IF($Y170="","",维保合同!$D170)</f>
        <v/>
      </c>
      <c r="D170" s="35" t="str">
        <f aca="false">IF($Y170="","",维保合同!$F170)</f>
        <v/>
      </c>
      <c r="E170" s="35" t="str">
        <f aca="false">IF($Y170="","",维保合同!$G170)</f>
        <v/>
      </c>
      <c r="F170" s="47" t="str">
        <f aca="false">IF($Y170="","",维保合同!$I170)</f>
        <v/>
      </c>
      <c r="G170" s="38" t="str">
        <f aca="false">IF($Y170="","",维保合同!$K170)</f>
        <v/>
      </c>
      <c r="H170" s="41" t="str">
        <f aca="false">IF($Y170="","",ROUND(SUMIFS(应收金额,应收键,$Y170,应收年度,"&lt;"&amp;管理年度)-SUMIFS(收款金额,收款键,$Y170,收款年度,"&lt;"&amp;管理年度),2))</f>
        <v/>
      </c>
      <c r="I170" s="40" t="str">
        <f aca="false">IF($Y170="","",ROUND(SUMIFS(应收金额,应收键,$Y170,应收年度,管理年度),2))</f>
        <v/>
      </c>
      <c r="J170" s="40" t="str">
        <f aca="false">IF($Y170="","",ROUND(SUMIFS(应收金额,应收键,$Y170,应收年度,管理年度,应收款别,"合同款"),2))</f>
        <v/>
      </c>
      <c r="K170" s="40" t="str">
        <f aca="false">IF($Y170="","",ROUND($I170-$J170,2))</f>
        <v/>
      </c>
      <c r="L170" s="40" t="str">
        <f aca="false">IF($Y170="","",ROUND(SUMIFS(应收开票额,应收键,$Y170,应收开票年度,管理年度),2))</f>
        <v/>
      </c>
      <c r="M170" s="40" t="str">
        <f aca="false">IF($Y170="","",ROUND($I170-$L170,2))</f>
        <v/>
      </c>
      <c r="N170" s="40" t="str">
        <f aca="false">IF($Y170="","",ROUND(SUMIFS(收款金额,收款键,$Y170,收款年度,管理年度),2))</f>
        <v/>
      </c>
      <c r="O170" s="40" t="str">
        <f aca="false">IF($Y170="","",ROUND(SUMIFS(收款金额,收款键,$Y170,收款年度,管理年度,收款归类,"发票"),2))</f>
        <v/>
      </c>
      <c r="P170" s="40" t="str">
        <f aca="false">IF($Y170="","",ROUND(SUMIFS(收款金额,收款键,$Y170,收款年度,管理年度,收款归类,"收据"),2))</f>
        <v/>
      </c>
      <c r="Q170" s="40" t="str">
        <f aca="false">IF($Y170="","",ROUND(SUMIFS(收款金额,收款键,$Y170,收款年度,管理年度,收款归类,"现金无票"),2))</f>
        <v/>
      </c>
      <c r="R170" s="40" t="str">
        <f aca="false">IF($Y170="","",ROUND(MAX(0,MIN($T170,SUMIF(应收键,$Y170,应收开票额)-SUMIF(收款键,$Y170,收款金额))),2))</f>
        <v/>
      </c>
      <c r="S170" s="40" t="str">
        <f aca="false">IF($Y170="","",ROUND(MAX(0,$T170)-$R170,2))</f>
        <v/>
      </c>
      <c r="T170" s="48" t="str">
        <f aca="false">IF($Y170="","",ROUND(SUMIF(应收键,$Y170,应收金额)-SUMIF(收款键,$Y170,收款金额),2))</f>
        <v/>
      </c>
      <c r="U170" s="49" t="str">
        <f aca="true">IF($AA170="","",IF($T170&lt;=0.01,"",MAX(0,TODAY()-$AA170)))</f>
        <v/>
      </c>
      <c r="V170" s="50" t="str">
        <f aca="true">IF($Y170="","",IF($T170&gt;0.01,IF(AND(ISNUMBER($U170),$U170&gt;=账龄预警天),"▲欠款拖了 "&amp;TEXT($U170,"0")&amp;" 天","欠款未清"),IF($T170&lt;-0.01,"预收/多收","已结清"))&amp;IF(OR($E170="已签未回",$E170="未签",$E170="续签中")," ▲合同未回","")&amp;IF(AND(ISNUMBER($F170),$F170&lt;TODAY())," ▲合同已到期",""))</f>
        <v/>
      </c>
      <c r="W170" s="24"/>
      <c r="X170" s="35" t="str">
        <f aca="false">IF($Y170="","",IF(ROUND($H170+$I170-$N170+$Z170-$T170,2)&lt;&gt;0,"★期初＋本年－已收≠余额",IF(ROUND($R170+$S170-MAX(0,$T170),2)&lt;&gt;0,"★已开票＋未开票≠欠款",IF(ROUND($J170+$K170-$I170,2)&lt;&gt;0,"★合同款＋合同外款≠本年应收",IF(ROUND($O170+$P170+$Q170-$N170,2)&lt;&gt;0,"★发票＋收据＋现金≠本年已收","OK")))))</f>
        <v/>
      </c>
      <c r="Y170" s="35" t="str">
        <f aca="false">IF(维保合同!$C170="","",维保合同!$E170)</f>
        <v/>
      </c>
      <c r="Z170" s="40" t="str">
        <f aca="false">IF($Y170="","",ROUND(SUMIFS(应收金额,应收键,$Y170,应收年度,"&gt;"&amp;管理年度)-SUMIFS(收款金额,收款键,$Y170,收款年度,"&gt;"&amp;管理年度),2))</f>
        <v/>
      </c>
      <c r="AA170" s="47" t="str">
        <f aca="false">IF($Y170="","",IF(SUMPRODUCT(MIN(IF((应收键=$Y170)*(应收未收&gt;0.01),应收日期,999999)))&gt;=999999,"",SUMPRODUCT(MIN(IF((应收键=$Y170)*(应收未收&gt;0.01),应收日期,999999)))))</f>
        <v/>
      </c>
    </row>
    <row r="171" customFormat="false" ht="15" hidden="false" customHeight="false" outlineLevel="0" collapsed="false">
      <c r="A171" s="29" t="str">
        <f aca="false">IF($Y171="","",ROW()-4)</f>
        <v/>
      </c>
      <c r="B171" s="16" t="str">
        <f aca="false">IF($Y171="","",维保合同!$C171)</f>
        <v/>
      </c>
      <c r="C171" s="16" t="str">
        <f aca="false">IF($Y171="","",维保合同!$D171)</f>
        <v/>
      </c>
      <c r="D171" s="35" t="str">
        <f aca="false">IF($Y171="","",维保合同!$F171)</f>
        <v/>
      </c>
      <c r="E171" s="35" t="str">
        <f aca="false">IF($Y171="","",维保合同!$G171)</f>
        <v/>
      </c>
      <c r="F171" s="47" t="str">
        <f aca="false">IF($Y171="","",维保合同!$I171)</f>
        <v/>
      </c>
      <c r="G171" s="38" t="str">
        <f aca="false">IF($Y171="","",维保合同!$K171)</f>
        <v/>
      </c>
      <c r="H171" s="41" t="str">
        <f aca="false">IF($Y171="","",ROUND(SUMIFS(应收金额,应收键,$Y171,应收年度,"&lt;"&amp;管理年度)-SUMIFS(收款金额,收款键,$Y171,收款年度,"&lt;"&amp;管理年度),2))</f>
        <v/>
      </c>
      <c r="I171" s="40" t="str">
        <f aca="false">IF($Y171="","",ROUND(SUMIFS(应收金额,应收键,$Y171,应收年度,管理年度),2))</f>
        <v/>
      </c>
      <c r="J171" s="40" t="str">
        <f aca="false">IF($Y171="","",ROUND(SUMIFS(应收金额,应收键,$Y171,应收年度,管理年度,应收款别,"合同款"),2))</f>
        <v/>
      </c>
      <c r="K171" s="40" t="str">
        <f aca="false">IF($Y171="","",ROUND($I171-$J171,2))</f>
        <v/>
      </c>
      <c r="L171" s="40" t="str">
        <f aca="false">IF($Y171="","",ROUND(SUMIFS(应收开票额,应收键,$Y171,应收开票年度,管理年度),2))</f>
        <v/>
      </c>
      <c r="M171" s="40" t="str">
        <f aca="false">IF($Y171="","",ROUND($I171-$L171,2))</f>
        <v/>
      </c>
      <c r="N171" s="40" t="str">
        <f aca="false">IF($Y171="","",ROUND(SUMIFS(收款金额,收款键,$Y171,收款年度,管理年度),2))</f>
        <v/>
      </c>
      <c r="O171" s="40" t="str">
        <f aca="false">IF($Y171="","",ROUND(SUMIFS(收款金额,收款键,$Y171,收款年度,管理年度,收款归类,"发票"),2))</f>
        <v/>
      </c>
      <c r="P171" s="40" t="str">
        <f aca="false">IF($Y171="","",ROUND(SUMIFS(收款金额,收款键,$Y171,收款年度,管理年度,收款归类,"收据"),2))</f>
        <v/>
      </c>
      <c r="Q171" s="40" t="str">
        <f aca="false">IF($Y171="","",ROUND(SUMIFS(收款金额,收款键,$Y171,收款年度,管理年度,收款归类,"现金无票"),2))</f>
        <v/>
      </c>
      <c r="R171" s="40" t="str">
        <f aca="false">IF($Y171="","",ROUND(MAX(0,MIN($T171,SUMIF(应收键,$Y171,应收开票额)-SUMIF(收款键,$Y171,收款金额))),2))</f>
        <v/>
      </c>
      <c r="S171" s="40" t="str">
        <f aca="false">IF($Y171="","",ROUND(MAX(0,$T171)-$R171,2))</f>
        <v/>
      </c>
      <c r="T171" s="48" t="str">
        <f aca="false">IF($Y171="","",ROUND(SUMIF(应收键,$Y171,应收金额)-SUMIF(收款键,$Y171,收款金额),2))</f>
        <v/>
      </c>
      <c r="U171" s="49" t="str">
        <f aca="true">IF($AA171="","",IF($T171&lt;=0.01,"",MAX(0,TODAY()-$AA171)))</f>
        <v/>
      </c>
      <c r="V171" s="50" t="str">
        <f aca="true">IF($Y171="","",IF($T171&gt;0.01,IF(AND(ISNUMBER($U171),$U171&gt;=账龄预警天),"▲欠款拖了 "&amp;TEXT($U171,"0")&amp;" 天","欠款未清"),IF($T171&lt;-0.01,"预收/多收","已结清"))&amp;IF(OR($E171="已签未回",$E171="未签",$E171="续签中")," ▲合同未回","")&amp;IF(AND(ISNUMBER($F171),$F171&lt;TODAY())," ▲合同已到期",""))</f>
        <v/>
      </c>
      <c r="W171" s="24"/>
      <c r="X171" s="35" t="str">
        <f aca="false">IF($Y171="","",IF(ROUND($H171+$I171-$N171+$Z171-$T171,2)&lt;&gt;0,"★期初＋本年－已收≠余额",IF(ROUND($R171+$S171-MAX(0,$T171),2)&lt;&gt;0,"★已开票＋未开票≠欠款",IF(ROUND($J171+$K171-$I171,2)&lt;&gt;0,"★合同款＋合同外款≠本年应收",IF(ROUND($O171+$P171+$Q171-$N171,2)&lt;&gt;0,"★发票＋收据＋现金≠本年已收","OK")))))</f>
        <v/>
      </c>
      <c r="Y171" s="35" t="str">
        <f aca="false">IF(维保合同!$C171="","",维保合同!$E171)</f>
        <v/>
      </c>
      <c r="Z171" s="40" t="str">
        <f aca="false">IF($Y171="","",ROUND(SUMIFS(应收金额,应收键,$Y171,应收年度,"&gt;"&amp;管理年度)-SUMIFS(收款金额,收款键,$Y171,收款年度,"&gt;"&amp;管理年度),2))</f>
        <v/>
      </c>
      <c r="AA171" s="47" t="str">
        <f aca="false">IF($Y171="","",IF(SUMPRODUCT(MIN(IF((应收键=$Y171)*(应收未收&gt;0.01),应收日期,999999)))&gt;=999999,"",SUMPRODUCT(MIN(IF((应收键=$Y171)*(应收未收&gt;0.01),应收日期,999999)))))</f>
        <v/>
      </c>
    </row>
    <row r="172" customFormat="false" ht="15" hidden="false" customHeight="false" outlineLevel="0" collapsed="false">
      <c r="A172" s="29" t="str">
        <f aca="false">IF($Y172="","",ROW()-4)</f>
        <v/>
      </c>
      <c r="B172" s="16" t="str">
        <f aca="false">IF($Y172="","",维保合同!$C172)</f>
        <v/>
      </c>
      <c r="C172" s="16" t="str">
        <f aca="false">IF($Y172="","",维保合同!$D172)</f>
        <v/>
      </c>
      <c r="D172" s="35" t="str">
        <f aca="false">IF($Y172="","",维保合同!$F172)</f>
        <v/>
      </c>
      <c r="E172" s="35" t="str">
        <f aca="false">IF($Y172="","",维保合同!$G172)</f>
        <v/>
      </c>
      <c r="F172" s="47" t="str">
        <f aca="false">IF($Y172="","",维保合同!$I172)</f>
        <v/>
      </c>
      <c r="G172" s="38" t="str">
        <f aca="false">IF($Y172="","",维保合同!$K172)</f>
        <v/>
      </c>
      <c r="H172" s="41" t="str">
        <f aca="false">IF($Y172="","",ROUND(SUMIFS(应收金额,应收键,$Y172,应收年度,"&lt;"&amp;管理年度)-SUMIFS(收款金额,收款键,$Y172,收款年度,"&lt;"&amp;管理年度),2))</f>
        <v/>
      </c>
      <c r="I172" s="40" t="str">
        <f aca="false">IF($Y172="","",ROUND(SUMIFS(应收金额,应收键,$Y172,应收年度,管理年度),2))</f>
        <v/>
      </c>
      <c r="J172" s="40" t="str">
        <f aca="false">IF($Y172="","",ROUND(SUMIFS(应收金额,应收键,$Y172,应收年度,管理年度,应收款别,"合同款"),2))</f>
        <v/>
      </c>
      <c r="K172" s="40" t="str">
        <f aca="false">IF($Y172="","",ROUND($I172-$J172,2))</f>
        <v/>
      </c>
      <c r="L172" s="40" t="str">
        <f aca="false">IF($Y172="","",ROUND(SUMIFS(应收开票额,应收键,$Y172,应收开票年度,管理年度),2))</f>
        <v/>
      </c>
      <c r="M172" s="40" t="str">
        <f aca="false">IF($Y172="","",ROUND($I172-$L172,2))</f>
        <v/>
      </c>
      <c r="N172" s="40" t="str">
        <f aca="false">IF($Y172="","",ROUND(SUMIFS(收款金额,收款键,$Y172,收款年度,管理年度),2))</f>
        <v/>
      </c>
      <c r="O172" s="40" t="str">
        <f aca="false">IF($Y172="","",ROUND(SUMIFS(收款金额,收款键,$Y172,收款年度,管理年度,收款归类,"发票"),2))</f>
        <v/>
      </c>
      <c r="P172" s="40" t="str">
        <f aca="false">IF($Y172="","",ROUND(SUMIFS(收款金额,收款键,$Y172,收款年度,管理年度,收款归类,"收据"),2))</f>
        <v/>
      </c>
      <c r="Q172" s="40" t="str">
        <f aca="false">IF($Y172="","",ROUND(SUMIFS(收款金额,收款键,$Y172,收款年度,管理年度,收款归类,"现金无票"),2))</f>
        <v/>
      </c>
      <c r="R172" s="40" t="str">
        <f aca="false">IF($Y172="","",ROUND(MAX(0,MIN($T172,SUMIF(应收键,$Y172,应收开票额)-SUMIF(收款键,$Y172,收款金额))),2))</f>
        <v/>
      </c>
      <c r="S172" s="40" t="str">
        <f aca="false">IF($Y172="","",ROUND(MAX(0,$T172)-$R172,2))</f>
        <v/>
      </c>
      <c r="T172" s="48" t="str">
        <f aca="false">IF($Y172="","",ROUND(SUMIF(应收键,$Y172,应收金额)-SUMIF(收款键,$Y172,收款金额),2))</f>
        <v/>
      </c>
      <c r="U172" s="49" t="str">
        <f aca="true">IF($AA172="","",IF($T172&lt;=0.01,"",MAX(0,TODAY()-$AA172)))</f>
        <v/>
      </c>
      <c r="V172" s="50" t="str">
        <f aca="true">IF($Y172="","",IF($T172&gt;0.01,IF(AND(ISNUMBER($U172),$U172&gt;=账龄预警天),"▲欠款拖了 "&amp;TEXT($U172,"0")&amp;" 天","欠款未清"),IF($T172&lt;-0.01,"预收/多收","已结清"))&amp;IF(OR($E172="已签未回",$E172="未签",$E172="续签中")," ▲合同未回","")&amp;IF(AND(ISNUMBER($F172),$F172&lt;TODAY())," ▲合同已到期",""))</f>
        <v/>
      </c>
      <c r="W172" s="24"/>
      <c r="X172" s="35" t="str">
        <f aca="false">IF($Y172="","",IF(ROUND($H172+$I172-$N172+$Z172-$T172,2)&lt;&gt;0,"★期初＋本年－已收≠余额",IF(ROUND($R172+$S172-MAX(0,$T172),2)&lt;&gt;0,"★已开票＋未开票≠欠款",IF(ROUND($J172+$K172-$I172,2)&lt;&gt;0,"★合同款＋合同外款≠本年应收",IF(ROUND($O172+$P172+$Q172-$N172,2)&lt;&gt;0,"★发票＋收据＋现金≠本年已收","OK")))))</f>
        <v/>
      </c>
      <c r="Y172" s="35" t="str">
        <f aca="false">IF(维保合同!$C172="","",维保合同!$E172)</f>
        <v/>
      </c>
      <c r="Z172" s="40" t="str">
        <f aca="false">IF($Y172="","",ROUND(SUMIFS(应收金额,应收键,$Y172,应收年度,"&gt;"&amp;管理年度)-SUMIFS(收款金额,收款键,$Y172,收款年度,"&gt;"&amp;管理年度),2))</f>
        <v/>
      </c>
      <c r="AA172" s="47" t="str">
        <f aca="false">IF($Y172="","",IF(SUMPRODUCT(MIN(IF((应收键=$Y172)*(应收未收&gt;0.01),应收日期,999999)))&gt;=999999,"",SUMPRODUCT(MIN(IF((应收键=$Y172)*(应收未收&gt;0.01),应收日期,999999)))))</f>
        <v/>
      </c>
    </row>
    <row r="173" customFormat="false" ht="15" hidden="false" customHeight="false" outlineLevel="0" collapsed="false">
      <c r="A173" s="29" t="str">
        <f aca="false">IF($Y173="","",ROW()-4)</f>
        <v/>
      </c>
      <c r="B173" s="16" t="str">
        <f aca="false">IF($Y173="","",维保合同!$C173)</f>
        <v/>
      </c>
      <c r="C173" s="16" t="str">
        <f aca="false">IF($Y173="","",维保合同!$D173)</f>
        <v/>
      </c>
      <c r="D173" s="35" t="str">
        <f aca="false">IF($Y173="","",维保合同!$F173)</f>
        <v/>
      </c>
      <c r="E173" s="35" t="str">
        <f aca="false">IF($Y173="","",维保合同!$G173)</f>
        <v/>
      </c>
      <c r="F173" s="47" t="str">
        <f aca="false">IF($Y173="","",维保合同!$I173)</f>
        <v/>
      </c>
      <c r="G173" s="38" t="str">
        <f aca="false">IF($Y173="","",维保合同!$K173)</f>
        <v/>
      </c>
      <c r="H173" s="41" t="str">
        <f aca="false">IF($Y173="","",ROUND(SUMIFS(应收金额,应收键,$Y173,应收年度,"&lt;"&amp;管理年度)-SUMIFS(收款金额,收款键,$Y173,收款年度,"&lt;"&amp;管理年度),2))</f>
        <v/>
      </c>
      <c r="I173" s="40" t="str">
        <f aca="false">IF($Y173="","",ROUND(SUMIFS(应收金额,应收键,$Y173,应收年度,管理年度),2))</f>
        <v/>
      </c>
      <c r="J173" s="40" t="str">
        <f aca="false">IF($Y173="","",ROUND(SUMIFS(应收金额,应收键,$Y173,应收年度,管理年度,应收款别,"合同款"),2))</f>
        <v/>
      </c>
      <c r="K173" s="40" t="str">
        <f aca="false">IF($Y173="","",ROUND($I173-$J173,2))</f>
        <v/>
      </c>
      <c r="L173" s="40" t="str">
        <f aca="false">IF($Y173="","",ROUND(SUMIFS(应收开票额,应收键,$Y173,应收开票年度,管理年度),2))</f>
        <v/>
      </c>
      <c r="M173" s="40" t="str">
        <f aca="false">IF($Y173="","",ROUND($I173-$L173,2))</f>
        <v/>
      </c>
      <c r="N173" s="40" t="str">
        <f aca="false">IF($Y173="","",ROUND(SUMIFS(收款金额,收款键,$Y173,收款年度,管理年度),2))</f>
        <v/>
      </c>
      <c r="O173" s="40" t="str">
        <f aca="false">IF($Y173="","",ROUND(SUMIFS(收款金额,收款键,$Y173,收款年度,管理年度,收款归类,"发票"),2))</f>
        <v/>
      </c>
      <c r="P173" s="40" t="str">
        <f aca="false">IF($Y173="","",ROUND(SUMIFS(收款金额,收款键,$Y173,收款年度,管理年度,收款归类,"收据"),2))</f>
        <v/>
      </c>
      <c r="Q173" s="40" t="str">
        <f aca="false">IF($Y173="","",ROUND(SUMIFS(收款金额,收款键,$Y173,收款年度,管理年度,收款归类,"现金无票"),2))</f>
        <v/>
      </c>
      <c r="R173" s="40" t="str">
        <f aca="false">IF($Y173="","",ROUND(MAX(0,MIN($T173,SUMIF(应收键,$Y173,应收开票额)-SUMIF(收款键,$Y173,收款金额))),2))</f>
        <v/>
      </c>
      <c r="S173" s="40" t="str">
        <f aca="false">IF($Y173="","",ROUND(MAX(0,$T173)-$R173,2))</f>
        <v/>
      </c>
      <c r="T173" s="48" t="str">
        <f aca="false">IF($Y173="","",ROUND(SUMIF(应收键,$Y173,应收金额)-SUMIF(收款键,$Y173,收款金额),2))</f>
        <v/>
      </c>
      <c r="U173" s="49" t="str">
        <f aca="true">IF($AA173="","",IF($T173&lt;=0.01,"",MAX(0,TODAY()-$AA173)))</f>
        <v/>
      </c>
      <c r="V173" s="50" t="str">
        <f aca="true">IF($Y173="","",IF($T173&gt;0.01,IF(AND(ISNUMBER($U173),$U173&gt;=账龄预警天),"▲欠款拖了 "&amp;TEXT($U173,"0")&amp;" 天","欠款未清"),IF($T173&lt;-0.01,"预收/多收","已结清"))&amp;IF(OR($E173="已签未回",$E173="未签",$E173="续签中")," ▲合同未回","")&amp;IF(AND(ISNUMBER($F173),$F173&lt;TODAY())," ▲合同已到期",""))</f>
        <v/>
      </c>
      <c r="W173" s="24"/>
      <c r="X173" s="35" t="str">
        <f aca="false">IF($Y173="","",IF(ROUND($H173+$I173-$N173+$Z173-$T173,2)&lt;&gt;0,"★期初＋本年－已收≠余额",IF(ROUND($R173+$S173-MAX(0,$T173),2)&lt;&gt;0,"★已开票＋未开票≠欠款",IF(ROUND($J173+$K173-$I173,2)&lt;&gt;0,"★合同款＋合同外款≠本年应收",IF(ROUND($O173+$P173+$Q173-$N173,2)&lt;&gt;0,"★发票＋收据＋现金≠本年已收","OK")))))</f>
        <v/>
      </c>
      <c r="Y173" s="35" t="str">
        <f aca="false">IF(维保合同!$C173="","",维保合同!$E173)</f>
        <v/>
      </c>
      <c r="Z173" s="40" t="str">
        <f aca="false">IF($Y173="","",ROUND(SUMIFS(应收金额,应收键,$Y173,应收年度,"&gt;"&amp;管理年度)-SUMIFS(收款金额,收款键,$Y173,收款年度,"&gt;"&amp;管理年度),2))</f>
        <v/>
      </c>
      <c r="AA173" s="47" t="str">
        <f aca="false">IF($Y173="","",IF(SUMPRODUCT(MIN(IF((应收键=$Y173)*(应收未收&gt;0.01),应收日期,999999)))&gt;=999999,"",SUMPRODUCT(MIN(IF((应收键=$Y173)*(应收未收&gt;0.01),应收日期,999999)))))</f>
        <v/>
      </c>
    </row>
    <row r="174" customFormat="false" ht="15" hidden="false" customHeight="false" outlineLevel="0" collapsed="false">
      <c r="A174" s="29" t="str">
        <f aca="false">IF($Y174="","",ROW()-4)</f>
        <v/>
      </c>
      <c r="B174" s="16" t="str">
        <f aca="false">IF($Y174="","",维保合同!$C174)</f>
        <v/>
      </c>
      <c r="C174" s="16" t="str">
        <f aca="false">IF($Y174="","",维保合同!$D174)</f>
        <v/>
      </c>
      <c r="D174" s="35" t="str">
        <f aca="false">IF($Y174="","",维保合同!$F174)</f>
        <v/>
      </c>
      <c r="E174" s="35" t="str">
        <f aca="false">IF($Y174="","",维保合同!$G174)</f>
        <v/>
      </c>
      <c r="F174" s="47" t="str">
        <f aca="false">IF($Y174="","",维保合同!$I174)</f>
        <v/>
      </c>
      <c r="G174" s="38" t="str">
        <f aca="false">IF($Y174="","",维保合同!$K174)</f>
        <v/>
      </c>
      <c r="H174" s="41" t="str">
        <f aca="false">IF($Y174="","",ROUND(SUMIFS(应收金额,应收键,$Y174,应收年度,"&lt;"&amp;管理年度)-SUMIFS(收款金额,收款键,$Y174,收款年度,"&lt;"&amp;管理年度),2))</f>
        <v/>
      </c>
      <c r="I174" s="40" t="str">
        <f aca="false">IF($Y174="","",ROUND(SUMIFS(应收金额,应收键,$Y174,应收年度,管理年度),2))</f>
        <v/>
      </c>
      <c r="J174" s="40" t="str">
        <f aca="false">IF($Y174="","",ROUND(SUMIFS(应收金额,应收键,$Y174,应收年度,管理年度,应收款别,"合同款"),2))</f>
        <v/>
      </c>
      <c r="K174" s="40" t="str">
        <f aca="false">IF($Y174="","",ROUND($I174-$J174,2))</f>
        <v/>
      </c>
      <c r="L174" s="40" t="str">
        <f aca="false">IF($Y174="","",ROUND(SUMIFS(应收开票额,应收键,$Y174,应收开票年度,管理年度),2))</f>
        <v/>
      </c>
      <c r="M174" s="40" t="str">
        <f aca="false">IF($Y174="","",ROUND($I174-$L174,2))</f>
        <v/>
      </c>
      <c r="N174" s="40" t="str">
        <f aca="false">IF($Y174="","",ROUND(SUMIFS(收款金额,收款键,$Y174,收款年度,管理年度),2))</f>
        <v/>
      </c>
      <c r="O174" s="40" t="str">
        <f aca="false">IF($Y174="","",ROUND(SUMIFS(收款金额,收款键,$Y174,收款年度,管理年度,收款归类,"发票"),2))</f>
        <v/>
      </c>
      <c r="P174" s="40" t="str">
        <f aca="false">IF($Y174="","",ROUND(SUMIFS(收款金额,收款键,$Y174,收款年度,管理年度,收款归类,"收据"),2))</f>
        <v/>
      </c>
      <c r="Q174" s="40" t="str">
        <f aca="false">IF($Y174="","",ROUND(SUMIFS(收款金额,收款键,$Y174,收款年度,管理年度,收款归类,"现金无票"),2))</f>
        <v/>
      </c>
      <c r="R174" s="40" t="str">
        <f aca="false">IF($Y174="","",ROUND(MAX(0,MIN($T174,SUMIF(应收键,$Y174,应收开票额)-SUMIF(收款键,$Y174,收款金额))),2))</f>
        <v/>
      </c>
      <c r="S174" s="40" t="str">
        <f aca="false">IF($Y174="","",ROUND(MAX(0,$T174)-$R174,2))</f>
        <v/>
      </c>
      <c r="T174" s="48" t="str">
        <f aca="false">IF($Y174="","",ROUND(SUMIF(应收键,$Y174,应收金额)-SUMIF(收款键,$Y174,收款金额),2))</f>
        <v/>
      </c>
      <c r="U174" s="49" t="str">
        <f aca="true">IF($AA174="","",IF($T174&lt;=0.01,"",MAX(0,TODAY()-$AA174)))</f>
        <v/>
      </c>
      <c r="V174" s="50" t="str">
        <f aca="true">IF($Y174="","",IF($T174&gt;0.01,IF(AND(ISNUMBER($U174),$U174&gt;=账龄预警天),"▲欠款拖了 "&amp;TEXT($U174,"0")&amp;" 天","欠款未清"),IF($T174&lt;-0.01,"预收/多收","已结清"))&amp;IF(OR($E174="已签未回",$E174="未签",$E174="续签中")," ▲合同未回","")&amp;IF(AND(ISNUMBER($F174),$F174&lt;TODAY())," ▲合同已到期",""))</f>
        <v/>
      </c>
      <c r="W174" s="24"/>
      <c r="X174" s="35" t="str">
        <f aca="false">IF($Y174="","",IF(ROUND($H174+$I174-$N174+$Z174-$T174,2)&lt;&gt;0,"★期初＋本年－已收≠余额",IF(ROUND($R174+$S174-MAX(0,$T174),2)&lt;&gt;0,"★已开票＋未开票≠欠款",IF(ROUND($J174+$K174-$I174,2)&lt;&gt;0,"★合同款＋合同外款≠本年应收",IF(ROUND($O174+$P174+$Q174-$N174,2)&lt;&gt;0,"★发票＋收据＋现金≠本年已收","OK")))))</f>
        <v/>
      </c>
      <c r="Y174" s="35" t="str">
        <f aca="false">IF(维保合同!$C174="","",维保合同!$E174)</f>
        <v/>
      </c>
      <c r="Z174" s="40" t="str">
        <f aca="false">IF($Y174="","",ROUND(SUMIFS(应收金额,应收键,$Y174,应收年度,"&gt;"&amp;管理年度)-SUMIFS(收款金额,收款键,$Y174,收款年度,"&gt;"&amp;管理年度),2))</f>
        <v/>
      </c>
      <c r="AA174" s="47" t="str">
        <f aca="false">IF($Y174="","",IF(SUMPRODUCT(MIN(IF((应收键=$Y174)*(应收未收&gt;0.01),应收日期,999999)))&gt;=999999,"",SUMPRODUCT(MIN(IF((应收键=$Y174)*(应收未收&gt;0.01),应收日期,999999)))))</f>
        <v/>
      </c>
    </row>
    <row r="175" customFormat="false" ht="15" hidden="false" customHeight="false" outlineLevel="0" collapsed="false">
      <c r="A175" s="29" t="str">
        <f aca="false">IF($Y175="","",ROW()-4)</f>
        <v/>
      </c>
      <c r="B175" s="16" t="str">
        <f aca="false">IF($Y175="","",维保合同!$C175)</f>
        <v/>
      </c>
      <c r="C175" s="16" t="str">
        <f aca="false">IF($Y175="","",维保合同!$D175)</f>
        <v/>
      </c>
      <c r="D175" s="35" t="str">
        <f aca="false">IF($Y175="","",维保合同!$F175)</f>
        <v/>
      </c>
      <c r="E175" s="35" t="str">
        <f aca="false">IF($Y175="","",维保合同!$G175)</f>
        <v/>
      </c>
      <c r="F175" s="47" t="str">
        <f aca="false">IF($Y175="","",维保合同!$I175)</f>
        <v/>
      </c>
      <c r="G175" s="38" t="str">
        <f aca="false">IF($Y175="","",维保合同!$K175)</f>
        <v/>
      </c>
      <c r="H175" s="41" t="str">
        <f aca="false">IF($Y175="","",ROUND(SUMIFS(应收金额,应收键,$Y175,应收年度,"&lt;"&amp;管理年度)-SUMIFS(收款金额,收款键,$Y175,收款年度,"&lt;"&amp;管理年度),2))</f>
        <v/>
      </c>
      <c r="I175" s="40" t="str">
        <f aca="false">IF($Y175="","",ROUND(SUMIFS(应收金额,应收键,$Y175,应收年度,管理年度),2))</f>
        <v/>
      </c>
      <c r="J175" s="40" t="str">
        <f aca="false">IF($Y175="","",ROUND(SUMIFS(应收金额,应收键,$Y175,应收年度,管理年度,应收款别,"合同款"),2))</f>
        <v/>
      </c>
      <c r="K175" s="40" t="str">
        <f aca="false">IF($Y175="","",ROUND($I175-$J175,2))</f>
        <v/>
      </c>
      <c r="L175" s="40" t="str">
        <f aca="false">IF($Y175="","",ROUND(SUMIFS(应收开票额,应收键,$Y175,应收开票年度,管理年度),2))</f>
        <v/>
      </c>
      <c r="M175" s="40" t="str">
        <f aca="false">IF($Y175="","",ROUND($I175-$L175,2))</f>
        <v/>
      </c>
      <c r="N175" s="40" t="str">
        <f aca="false">IF($Y175="","",ROUND(SUMIFS(收款金额,收款键,$Y175,收款年度,管理年度),2))</f>
        <v/>
      </c>
      <c r="O175" s="40" t="str">
        <f aca="false">IF($Y175="","",ROUND(SUMIFS(收款金额,收款键,$Y175,收款年度,管理年度,收款归类,"发票"),2))</f>
        <v/>
      </c>
      <c r="P175" s="40" t="str">
        <f aca="false">IF($Y175="","",ROUND(SUMIFS(收款金额,收款键,$Y175,收款年度,管理年度,收款归类,"收据"),2))</f>
        <v/>
      </c>
      <c r="Q175" s="40" t="str">
        <f aca="false">IF($Y175="","",ROUND(SUMIFS(收款金额,收款键,$Y175,收款年度,管理年度,收款归类,"现金无票"),2))</f>
        <v/>
      </c>
      <c r="R175" s="40" t="str">
        <f aca="false">IF($Y175="","",ROUND(MAX(0,MIN($T175,SUMIF(应收键,$Y175,应收开票额)-SUMIF(收款键,$Y175,收款金额))),2))</f>
        <v/>
      </c>
      <c r="S175" s="40" t="str">
        <f aca="false">IF($Y175="","",ROUND(MAX(0,$T175)-$R175,2))</f>
        <v/>
      </c>
      <c r="T175" s="48" t="str">
        <f aca="false">IF($Y175="","",ROUND(SUMIF(应收键,$Y175,应收金额)-SUMIF(收款键,$Y175,收款金额),2))</f>
        <v/>
      </c>
      <c r="U175" s="49" t="str">
        <f aca="true">IF($AA175="","",IF($T175&lt;=0.01,"",MAX(0,TODAY()-$AA175)))</f>
        <v/>
      </c>
      <c r="V175" s="50" t="str">
        <f aca="true">IF($Y175="","",IF($T175&gt;0.01,IF(AND(ISNUMBER($U175),$U175&gt;=账龄预警天),"▲欠款拖了 "&amp;TEXT($U175,"0")&amp;" 天","欠款未清"),IF($T175&lt;-0.01,"预收/多收","已结清"))&amp;IF(OR($E175="已签未回",$E175="未签",$E175="续签中")," ▲合同未回","")&amp;IF(AND(ISNUMBER($F175),$F175&lt;TODAY())," ▲合同已到期",""))</f>
        <v/>
      </c>
      <c r="W175" s="24"/>
      <c r="X175" s="35" t="str">
        <f aca="false">IF($Y175="","",IF(ROUND($H175+$I175-$N175+$Z175-$T175,2)&lt;&gt;0,"★期初＋本年－已收≠余额",IF(ROUND($R175+$S175-MAX(0,$T175),2)&lt;&gt;0,"★已开票＋未开票≠欠款",IF(ROUND($J175+$K175-$I175,2)&lt;&gt;0,"★合同款＋合同外款≠本年应收",IF(ROUND($O175+$P175+$Q175-$N175,2)&lt;&gt;0,"★发票＋收据＋现金≠本年已收","OK")))))</f>
        <v/>
      </c>
      <c r="Y175" s="35" t="str">
        <f aca="false">IF(维保合同!$C175="","",维保合同!$E175)</f>
        <v/>
      </c>
      <c r="Z175" s="40" t="str">
        <f aca="false">IF($Y175="","",ROUND(SUMIFS(应收金额,应收键,$Y175,应收年度,"&gt;"&amp;管理年度)-SUMIFS(收款金额,收款键,$Y175,收款年度,"&gt;"&amp;管理年度),2))</f>
        <v/>
      </c>
      <c r="AA175" s="47" t="str">
        <f aca="false">IF($Y175="","",IF(SUMPRODUCT(MIN(IF((应收键=$Y175)*(应收未收&gt;0.01),应收日期,999999)))&gt;=999999,"",SUMPRODUCT(MIN(IF((应收键=$Y175)*(应收未收&gt;0.01),应收日期,999999)))))</f>
        <v/>
      </c>
    </row>
    <row r="176" customFormat="false" ht="15" hidden="false" customHeight="false" outlineLevel="0" collapsed="false">
      <c r="A176" s="29" t="str">
        <f aca="false">IF($Y176="","",ROW()-4)</f>
        <v/>
      </c>
      <c r="B176" s="16" t="str">
        <f aca="false">IF($Y176="","",维保合同!$C176)</f>
        <v/>
      </c>
      <c r="C176" s="16" t="str">
        <f aca="false">IF($Y176="","",维保合同!$D176)</f>
        <v/>
      </c>
      <c r="D176" s="35" t="str">
        <f aca="false">IF($Y176="","",维保合同!$F176)</f>
        <v/>
      </c>
      <c r="E176" s="35" t="str">
        <f aca="false">IF($Y176="","",维保合同!$G176)</f>
        <v/>
      </c>
      <c r="F176" s="47" t="str">
        <f aca="false">IF($Y176="","",维保合同!$I176)</f>
        <v/>
      </c>
      <c r="G176" s="38" t="str">
        <f aca="false">IF($Y176="","",维保合同!$K176)</f>
        <v/>
      </c>
      <c r="H176" s="41" t="str">
        <f aca="false">IF($Y176="","",ROUND(SUMIFS(应收金额,应收键,$Y176,应收年度,"&lt;"&amp;管理年度)-SUMIFS(收款金额,收款键,$Y176,收款年度,"&lt;"&amp;管理年度),2))</f>
        <v/>
      </c>
      <c r="I176" s="40" t="str">
        <f aca="false">IF($Y176="","",ROUND(SUMIFS(应收金额,应收键,$Y176,应收年度,管理年度),2))</f>
        <v/>
      </c>
      <c r="J176" s="40" t="str">
        <f aca="false">IF($Y176="","",ROUND(SUMIFS(应收金额,应收键,$Y176,应收年度,管理年度,应收款别,"合同款"),2))</f>
        <v/>
      </c>
      <c r="K176" s="40" t="str">
        <f aca="false">IF($Y176="","",ROUND($I176-$J176,2))</f>
        <v/>
      </c>
      <c r="L176" s="40" t="str">
        <f aca="false">IF($Y176="","",ROUND(SUMIFS(应收开票额,应收键,$Y176,应收开票年度,管理年度),2))</f>
        <v/>
      </c>
      <c r="M176" s="40" t="str">
        <f aca="false">IF($Y176="","",ROUND($I176-$L176,2))</f>
        <v/>
      </c>
      <c r="N176" s="40" t="str">
        <f aca="false">IF($Y176="","",ROUND(SUMIFS(收款金额,收款键,$Y176,收款年度,管理年度),2))</f>
        <v/>
      </c>
      <c r="O176" s="40" t="str">
        <f aca="false">IF($Y176="","",ROUND(SUMIFS(收款金额,收款键,$Y176,收款年度,管理年度,收款归类,"发票"),2))</f>
        <v/>
      </c>
      <c r="P176" s="40" t="str">
        <f aca="false">IF($Y176="","",ROUND(SUMIFS(收款金额,收款键,$Y176,收款年度,管理年度,收款归类,"收据"),2))</f>
        <v/>
      </c>
      <c r="Q176" s="40" t="str">
        <f aca="false">IF($Y176="","",ROUND(SUMIFS(收款金额,收款键,$Y176,收款年度,管理年度,收款归类,"现金无票"),2))</f>
        <v/>
      </c>
      <c r="R176" s="40" t="str">
        <f aca="false">IF($Y176="","",ROUND(MAX(0,MIN($T176,SUMIF(应收键,$Y176,应收开票额)-SUMIF(收款键,$Y176,收款金额))),2))</f>
        <v/>
      </c>
      <c r="S176" s="40" t="str">
        <f aca="false">IF($Y176="","",ROUND(MAX(0,$T176)-$R176,2))</f>
        <v/>
      </c>
      <c r="T176" s="48" t="str">
        <f aca="false">IF($Y176="","",ROUND(SUMIF(应收键,$Y176,应收金额)-SUMIF(收款键,$Y176,收款金额),2))</f>
        <v/>
      </c>
      <c r="U176" s="49" t="str">
        <f aca="true">IF($AA176="","",IF($T176&lt;=0.01,"",MAX(0,TODAY()-$AA176)))</f>
        <v/>
      </c>
      <c r="V176" s="50" t="str">
        <f aca="true">IF($Y176="","",IF($T176&gt;0.01,IF(AND(ISNUMBER($U176),$U176&gt;=账龄预警天),"▲欠款拖了 "&amp;TEXT($U176,"0")&amp;" 天","欠款未清"),IF($T176&lt;-0.01,"预收/多收","已结清"))&amp;IF(OR($E176="已签未回",$E176="未签",$E176="续签中")," ▲合同未回","")&amp;IF(AND(ISNUMBER($F176),$F176&lt;TODAY())," ▲合同已到期",""))</f>
        <v/>
      </c>
      <c r="W176" s="24"/>
      <c r="X176" s="35" t="str">
        <f aca="false">IF($Y176="","",IF(ROUND($H176+$I176-$N176+$Z176-$T176,2)&lt;&gt;0,"★期初＋本年－已收≠余额",IF(ROUND($R176+$S176-MAX(0,$T176),2)&lt;&gt;0,"★已开票＋未开票≠欠款",IF(ROUND($J176+$K176-$I176,2)&lt;&gt;0,"★合同款＋合同外款≠本年应收",IF(ROUND($O176+$P176+$Q176-$N176,2)&lt;&gt;0,"★发票＋收据＋现金≠本年已收","OK")))))</f>
        <v/>
      </c>
      <c r="Y176" s="35" t="str">
        <f aca="false">IF(维保合同!$C176="","",维保合同!$E176)</f>
        <v/>
      </c>
      <c r="Z176" s="40" t="str">
        <f aca="false">IF($Y176="","",ROUND(SUMIFS(应收金额,应收键,$Y176,应收年度,"&gt;"&amp;管理年度)-SUMIFS(收款金额,收款键,$Y176,收款年度,"&gt;"&amp;管理年度),2))</f>
        <v/>
      </c>
      <c r="AA176" s="47" t="str">
        <f aca="false">IF($Y176="","",IF(SUMPRODUCT(MIN(IF((应收键=$Y176)*(应收未收&gt;0.01),应收日期,999999)))&gt;=999999,"",SUMPRODUCT(MIN(IF((应收键=$Y176)*(应收未收&gt;0.01),应收日期,999999)))))</f>
        <v/>
      </c>
    </row>
    <row r="177" customFormat="false" ht="15" hidden="false" customHeight="false" outlineLevel="0" collapsed="false">
      <c r="A177" s="29" t="str">
        <f aca="false">IF($Y177="","",ROW()-4)</f>
        <v/>
      </c>
      <c r="B177" s="16" t="str">
        <f aca="false">IF($Y177="","",维保合同!$C177)</f>
        <v/>
      </c>
      <c r="C177" s="16" t="str">
        <f aca="false">IF($Y177="","",维保合同!$D177)</f>
        <v/>
      </c>
      <c r="D177" s="35" t="str">
        <f aca="false">IF($Y177="","",维保合同!$F177)</f>
        <v/>
      </c>
      <c r="E177" s="35" t="str">
        <f aca="false">IF($Y177="","",维保合同!$G177)</f>
        <v/>
      </c>
      <c r="F177" s="47" t="str">
        <f aca="false">IF($Y177="","",维保合同!$I177)</f>
        <v/>
      </c>
      <c r="G177" s="38" t="str">
        <f aca="false">IF($Y177="","",维保合同!$K177)</f>
        <v/>
      </c>
      <c r="H177" s="41" t="str">
        <f aca="false">IF($Y177="","",ROUND(SUMIFS(应收金额,应收键,$Y177,应收年度,"&lt;"&amp;管理年度)-SUMIFS(收款金额,收款键,$Y177,收款年度,"&lt;"&amp;管理年度),2))</f>
        <v/>
      </c>
      <c r="I177" s="40" t="str">
        <f aca="false">IF($Y177="","",ROUND(SUMIFS(应收金额,应收键,$Y177,应收年度,管理年度),2))</f>
        <v/>
      </c>
      <c r="J177" s="40" t="str">
        <f aca="false">IF($Y177="","",ROUND(SUMIFS(应收金额,应收键,$Y177,应收年度,管理年度,应收款别,"合同款"),2))</f>
        <v/>
      </c>
      <c r="K177" s="40" t="str">
        <f aca="false">IF($Y177="","",ROUND($I177-$J177,2))</f>
        <v/>
      </c>
      <c r="L177" s="40" t="str">
        <f aca="false">IF($Y177="","",ROUND(SUMIFS(应收开票额,应收键,$Y177,应收开票年度,管理年度),2))</f>
        <v/>
      </c>
      <c r="M177" s="40" t="str">
        <f aca="false">IF($Y177="","",ROUND($I177-$L177,2))</f>
        <v/>
      </c>
      <c r="N177" s="40" t="str">
        <f aca="false">IF($Y177="","",ROUND(SUMIFS(收款金额,收款键,$Y177,收款年度,管理年度),2))</f>
        <v/>
      </c>
      <c r="O177" s="40" t="str">
        <f aca="false">IF($Y177="","",ROUND(SUMIFS(收款金额,收款键,$Y177,收款年度,管理年度,收款归类,"发票"),2))</f>
        <v/>
      </c>
      <c r="P177" s="40" t="str">
        <f aca="false">IF($Y177="","",ROUND(SUMIFS(收款金额,收款键,$Y177,收款年度,管理年度,收款归类,"收据"),2))</f>
        <v/>
      </c>
      <c r="Q177" s="40" t="str">
        <f aca="false">IF($Y177="","",ROUND(SUMIFS(收款金额,收款键,$Y177,收款年度,管理年度,收款归类,"现金无票"),2))</f>
        <v/>
      </c>
      <c r="R177" s="40" t="str">
        <f aca="false">IF($Y177="","",ROUND(MAX(0,MIN($T177,SUMIF(应收键,$Y177,应收开票额)-SUMIF(收款键,$Y177,收款金额))),2))</f>
        <v/>
      </c>
      <c r="S177" s="40" t="str">
        <f aca="false">IF($Y177="","",ROUND(MAX(0,$T177)-$R177,2))</f>
        <v/>
      </c>
      <c r="T177" s="48" t="str">
        <f aca="false">IF($Y177="","",ROUND(SUMIF(应收键,$Y177,应收金额)-SUMIF(收款键,$Y177,收款金额),2))</f>
        <v/>
      </c>
      <c r="U177" s="49" t="str">
        <f aca="true">IF($AA177="","",IF($T177&lt;=0.01,"",MAX(0,TODAY()-$AA177)))</f>
        <v/>
      </c>
      <c r="V177" s="50" t="str">
        <f aca="true">IF($Y177="","",IF($T177&gt;0.01,IF(AND(ISNUMBER($U177),$U177&gt;=账龄预警天),"▲欠款拖了 "&amp;TEXT($U177,"0")&amp;" 天","欠款未清"),IF($T177&lt;-0.01,"预收/多收","已结清"))&amp;IF(OR($E177="已签未回",$E177="未签",$E177="续签中")," ▲合同未回","")&amp;IF(AND(ISNUMBER($F177),$F177&lt;TODAY())," ▲合同已到期",""))</f>
        <v/>
      </c>
      <c r="W177" s="24"/>
      <c r="X177" s="35" t="str">
        <f aca="false">IF($Y177="","",IF(ROUND($H177+$I177-$N177+$Z177-$T177,2)&lt;&gt;0,"★期初＋本年－已收≠余额",IF(ROUND($R177+$S177-MAX(0,$T177),2)&lt;&gt;0,"★已开票＋未开票≠欠款",IF(ROUND($J177+$K177-$I177,2)&lt;&gt;0,"★合同款＋合同外款≠本年应收",IF(ROUND($O177+$P177+$Q177-$N177,2)&lt;&gt;0,"★发票＋收据＋现金≠本年已收","OK")))))</f>
        <v/>
      </c>
      <c r="Y177" s="35" t="str">
        <f aca="false">IF(维保合同!$C177="","",维保合同!$E177)</f>
        <v/>
      </c>
      <c r="Z177" s="40" t="str">
        <f aca="false">IF($Y177="","",ROUND(SUMIFS(应收金额,应收键,$Y177,应收年度,"&gt;"&amp;管理年度)-SUMIFS(收款金额,收款键,$Y177,收款年度,"&gt;"&amp;管理年度),2))</f>
        <v/>
      </c>
      <c r="AA177" s="47" t="str">
        <f aca="false">IF($Y177="","",IF(SUMPRODUCT(MIN(IF((应收键=$Y177)*(应收未收&gt;0.01),应收日期,999999)))&gt;=999999,"",SUMPRODUCT(MIN(IF((应收键=$Y177)*(应收未收&gt;0.01),应收日期,999999)))))</f>
        <v/>
      </c>
    </row>
    <row r="178" customFormat="false" ht="15" hidden="false" customHeight="false" outlineLevel="0" collapsed="false">
      <c r="A178" s="29" t="str">
        <f aca="false">IF($Y178="","",ROW()-4)</f>
        <v/>
      </c>
      <c r="B178" s="16" t="str">
        <f aca="false">IF($Y178="","",维保合同!$C178)</f>
        <v/>
      </c>
      <c r="C178" s="16" t="str">
        <f aca="false">IF($Y178="","",维保合同!$D178)</f>
        <v/>
      </c>
      <c r="D178" s="35" t="str">
        <f aca="false">IF($Y178="","",维保合同!$F178)</f>
        <v/>
      </c>
      <c r="E178" s="35" t="str">
        <f aca="false">IF($Y178="","",维保合同!$G178)</f>
        <v/>
      </c>
      <c r="F178" s="47" t="str">
        <f aca="false">IF($Y178="","",维保合同!$I178)</f>
        <v/>
      </c>
      <c r="G178" s="38" t="str">
        <f aca="false">IF($Y178="","",维保合同!$K178)</f>
        <v/>
      </c>
      <c r="H178" s="41" t="str">
        <f aca="false">IF($Y178="","",ROUND(SUMIFS(应收金额,应收键,$Y178,应收年度,"&lt;"&amp;管理年度)-SUMIFS(收款金额,收款键,$Y178,收款年度,"&lt;"&amp;管理年度),2))</f>
        <v/>
      </c>
      <c r="I178" s="40" t="str">
        <f aca="false">IF($Y178="","",ROUND(SUMIFS(应收金额,应收键,$Y178,应收年度,管理年度),2))</f>
        <v/>
      </c>
      <c r="J178" s="40" t="str">
        <f aca="false">IF($Y178="","",ROUND(SUMIFS(应收金额,应收键,$Y178,应收年度,管理年度,应收款别,"合同款"),2))</f>
        <v/>
      </c>
      <c r="K178" s="40" t="str">
        <f aca="false">IF($Y178="","",ROUND($I178-$J178,2))</f>
        <v/>
      </c>
      <c r="L178" s="40" t="str">
        <f aca="false">IF($Y178="","",ROUND(SUMIFS(应收开票额,应收键,$Y178,应收开票年度,管理年度),2))</f>
        <v/>
      </c>
      <c r="M178" s="40" t="str">
        <f aca="false">IF($Y178="","",ROUND($I178-$L178,2))</f>
        <v/>
      </c>
      <c r="N178" s="40" t="str">
        <f aca="false">IF($Y178="","",ROUND(SUMIFS(收款金额,收款键,$Y178,收款年度,管理年度),2))</f>
        <v/>
      </c>
      <c r="O178" s="40" t="str">
        <f aca="false">IF($Y178="","",ROUND(SUMIFS(收款金额,收款键,$Y178,收款年度,管理年度,收款归类,"发票"),2))</f>
        <v/>
      </c>
      <c r="P178" s="40" t="str">
        <f aca="false">IF($Y178="","",ROUND(SUMIFS(收款金额,收款键,$Y178,收款年度,管理年度,收款归类,"收据"),2))</f>
        <v/>
      </c>
      <c r="Q178" s="40" t="str">
        <f aca="false">IF($Y178="","",ROUND(SUMIFS(收款金额,收款键,$Y178,收款年度,管理年度,收款归类,"现金无票"),2))</f>
        <v/>
      </c>
      <c r="R178" s="40" t="str">
        <f aca="false">IF($Y178="","",ROUND(MAX(0,MIN($T178,SUMIF(应收键,$Y178,应收开票额)-SUMIF(收款键,$Y178,收款金额))),2))</f>
        <v/>
      </c>
      <c r="S178" s="40" t="str">
        <f aca="false">IF($Y178="","",ROUND(MAX(0,$T178)-$R178,2))</f>
        <v/>
      </c>
      <c r="T178" s="48" t="str">
        <f aca="false">IF($Y178="","",ROUND(SUMIF(应收键,$Y178,应收金额)-SUMIF(收款键,$Y178,收款金额),2))</f>
        <v/>
      </c>
      <c r="U178" s="49" t="str">
        <f aca="true">IF($AA178="","",IF($T178&lt;=0.01,"",MAX(0,TODAY()-$AA178)))</f>
        <v/>
      </c>
      <c r="V178" s="50" t="str">
        <f aca="true">IF($Y178="","",IF($T178&gt;0.01,IF(AND(ISNUMBER($U178),$U178&gt;=账龄预警天),"▲欠款拖了 "&amp;TEXT($U178,"0")&amp;" 天","欠款未清"),IF($T178&lt;-0.01,"预收/多收","已结清"))&amp;IF(OR($E178="已签未回",$E178="未签",$E178="续签中")," ▲合同未回","")&amp;IF(AND(ISNUMBER($F178),$F178&lt;TODAY())," ▲合同已到期",""))</f>
        <v/>
      </c>
      <c r="W178" s="24"/>
      <c r="X178" s="35" t="str">
        <f aca="false">IF($Y178="","",IF(ROUND($H178+$I178-$N178+$Z178-$T178,2)&lt;&gt;0,"★期初＋本年－已收≠余额",IF(ROUND($R178+$S178-MAX(0,$T178),2)&lt;&gt;0,"★已开票＋未开票≠欠款",IF(ROUND($J178+$K178-$I178,2)&lt;&gt;0,"★合同款＋合同外款≠本年应收",IF(ROUND($O178+$P178+$Q178-$N178,2)&lt;&gt;0,"★发票＋收据＋现金≠本年已收","OK")))))</f>
        <v/>
      </c>
      <c r="Y178" s="35" t="str">
        <f aca="false">IF(维保合同!$C178="","",维保合同!$E178)</f>
        <v/>
      </c>
      <c r="Z178" s="40" t="str">
        <f aca="false">IF($Y178="","",ROUND(SUMIFS(应收金额,应收键,$Y178,应收年度,"&gt;"&amp;管理年度)-SUMIFS(收款金额,收款键,$Y178,收款年度,"&gt;"&amp;管理年度),2))</f>
        <v/>
      </c>
      <c r="AA178" s="47" t="str">
        <f aca="false">IF($Y178="","",IF(SUMPRODUCT(MIN(IF((应收键=$Y178)*(应收未收&gt;0.01),应收日期,999999)))&gt;=999999,"",SUMPRODUCT(MIN(IF((应收键=$Y178)*(应收未收&gt;0.01),应收日期,999999)))))</f>
        <v/>
      </c>
    </row>
    <row r="179" customFormat="false" ht="15" hidden="false" customHeight="false" outlineLevel="0" collapsed="false">
      <c r="A179" s="29" t="str">
        <f aca="false">IF($Y179="","",ROW()-4)</f>
        <v/>
      </c>
      <c r="B179" s="16" t="str">
        <f aca="false">IF($Y179="","",维保合同!$C179)</f>
        <v/>
      </c>
      <c r="C179" s="16" t="str">
        <f aca="false">IF($Y179="","",维保合同!$D179)</f>
        <v/>
      </c>
      <c r="D179" s="35" t="str">
        <f aca="false">IF($Y179="","",维保合同!$F179)</f>
        <v/>
      </c>
      <c r="E179" s="35" t="str">
        <f aca="false">IF($Y179="","",维保合同!$G179)</f>
        <v/>
      </c>
      <c r="F179" s="47" t="str">
        <f aca="false">IF($Y179="","",维保合同!$I179)</f>
        <v/>
      </c>
      <c r="G179" s="38" t="str">
        <f aca="false">IF($Y179="","",维保合同!$K179)</f>
        <v/>
      </c>
      <c r="H179" s="41" t="str">
        <f aca="false">IF($Y179="","",ROUND(SUMIFS(应收金额,应收键,$Y179,应收年度,"&lt;"&amp;管理年度)-SUMIFS(收款金额,收款键,$Y179,收款年度,"&lt;"&amp;管理年度),2))</f>
        <v/>
      </c>
      <c r="I179" s="40" t="str">
        <f aca="false">IF($Y179="","",ROUND(SUMIFS(应收金额,应收键,$Y179,应收年度,管理年度),2))</f>
        <v/>
      </c>
      <c r="J179" s="40" t="str">
        <f aca="false">IF($Y179="","",ROUND(SUMIFS(应收金额,应收键,$Y179,应收年度,管理年度,应收款别,"合同款"),2))</f>
        <v/>
      </c>
      <c r="K179" s="40" t="str">
        <f aca="false">IF($Y179="","",ROUND($I179-$J179,2))</f>
        <v/>
      </c>
      <c r="L179" s="40" t="str">
        <f aca="false">IF($Y179="","",ROUND(SUMIFS(应收开票额,应收键,$Y179,应收开票年度,管理年度),2))</f>
        <v/>
      </c>
      <c r="M179" s="40" t="str">
        <f aca="false">IF($Y179="","",ROUND($I179-$L179,2))</f>
        <v/>
      </c>
      <c r="N179" s="40" t="str">
        <f aca="false">IF($Y179="","",ROUND(SUMIFS(收款金额,收款键,$Y179,收款年度,管理年度),2))</f>
        <v/>
      </c>
      <c r="O179" s="40" t="str">
        <f aca="false">IF($Y179="","",ROUND(SUMIFS(收款金额,收款键,$Y179,收款年度,管理年度,收款归类,"发票"),2))</f>
        <v/>
      </c>
      <c r="P179" s="40" t="str">
        <f aca="false">IF($Y179="","",ROUND(SUMIFS(收款金额,收款键,$Y179,收款年度,管理年度,收款归类,"收据"),2))</f>
        <v/>
      </c>
      <c r="Q179" s="40" t="str">
        <f aca="false">IF($Y179="","",ROUND(SUMIFS(收款金额,收款键,$Y179,收款年度,管理年度,收款归类,"现金无票"),2))</f>
        <v/>
      </c>
      <c r="R179" s="40" t="str">
        <f aca="false">IF($Y179="","",ROUND(MAX(0,MIN($T179,SUMIF(应收键,$Y179,应收开票额)-SUMIF(收款键,$Y179,收款金额))),2))</f>
        <v/>
      </c>
      <c r="S179" s="40" t="str">
        <f aca="false">IF($Y179="","",ROUND(MAX(0,$T179)-$R179,2))</f>
        <v/>
      </c>
      <c r="T179" s="48" t="str">
        <f aca="false">IF($Y179="","",ROUND(SUMIF(应收键,$Y179,应收金额)-SUMIF(收款键,$Y179,收款金额),2))</f>
        <v/>
      </c>
      <c r="U179" s="49" t="str">
        <f aca="true">IF($AA179="","",IF($T179&lt;=0.01,"",MAX(0,TODAY()-$AA179)))</f>
        <v/>
      </c>
      <c r="V179" s="50" t="str">
        <f aca="true">IF($Y179="","",IF($T179&gt;0.01,IF(AND(ISNUMBER($U179),$U179&gt;=账龄预警天),"▲欠款拖了 "&amp;TEXT($U179,"0")&amp;" 天","欠款未清"),IF($T179&lt;-0.01,"预收/多收","已结清"))&amp;IF(OR($E179="已签未回",$E179="未签",$E179="续签中")," ▲合同未回","")&amp;IF(AND(ISNUMBER($F179),$F179&lt;TODAY())," ▲合同已到期",""))</f>
        <v/>
      </c>
      <c r="W179" s="24"/>
      <c r="X179" s="35" t="str">
        <f aca="false">IF($Y179="","",IF(ROUND($H179+$I179-$N179+$Z179-$T179,2)&lt;&gt;0,"★期初＋本年－已收≠余额",IF(ROUND($R179+$S179-MAX(0,$T179),2)&lt;&gt;0,"★已开票＋未开票≠欠款",IF(ROUND($J179+$K179-$I179,2)&lt;&gt;0,"★合同款＋合同外款≠本年应收",IF(ROUND($O179+$P179+$Q179-$N179,2)&lt;&gt;0,"★发票＋收据＋现金≠本年已收","OK")))))</f>
        <v/>
      </c>
      <c r="Y179" s="35" t="str">
        <f aca="false">IF(维保合同!$C179="","",维保合同!$E179)</f>
        <v/>
      </c>
      <c r="Z179" s="40" t="str">
        <f aca="false">IF($Y179="","",ROUND(SUMIFS(应收金额,应收键,$Y179,应收年度,"&gt;"&amp;管理年度)-SUMIFS(收款金额,收款键,$Y179,收款年度,"&gt;"&amp;管理年度),2))</f>
        <v/>
      </c>
      <c r="AA179" s="47" t="str">
        <f aca="false">IF($Y179="","",IF(SUMPRODUCT(MIN(IF((应收键=$Y179)*(应收未收&gt;0.01),应收日期,999999)))&gt;=999999,"",SUMPRODUCT(MIN(IF((应收键=$Y179)*(应收未收&gt;0.01),应收日期,999999)))))</f>
        <v/>
      </c>
    </row>
    <row r="180" customFormat="false" ht="15" hidden="false" customHeight="false" outlineLevel="0" collapsed="false">
      <c r="A180" s="29" t="str">
        <f aca="false">IF($Y180="","",ROW()-4)</f>
        <v/>
      </c>
      <c r="B180" s="16" t="str">
        <f aca="false">IF($Y180="","",维保合同!$C180)</f>
        <v/>
      </c>
      <c r="C180" s="16" t="str">
        <f aca="false">IF($Y180="","",维保合同!$D180)</f>
        <v/>
      </c>
      <c r="D180" s="35" t="str">
        <f aca="false">IF($Y180="","",维保合同!$F180)</f>
        <v/>
      </c>
      <c r="E180" s="35" t="str">
        <f aca="false">IF($Y180="","",维保合同!$G180)</f>
        <v/>
      </c>
      <c r="F180" s="47" t="str">
        <f aca="false">IF($Y180="","",维保合同!$I180)</f>
        <v/>
      </c>
      <c r="G180" s="38" t="str">
        <f aca="false">IF($Y180="","",维保合同!$K180)</f>
        <v/>
      </c>
      <c r="H180" s="41" t="str">
        <f aca="false">IF($Y180="","",ROUND(SUMIFS(应收金额,应收键,$Y180,应收年度,"&lt;"&amp;管理年度)-SUMIFS(收款金额,收款键,$Y180,收款年度,"&lt;"&amp;管理年度),2))</f>
        <v/>
      </c>
      <c r="I180" s="40" t="str">
        <f aca="false">IF($Y180="","",ROUND(SUMIFS(应收金额,应收键,$Y180,应收年度,管理年度),2))</f>
        <v/>
      </c>
      <c r="J180" s="40" t="str">
        <f aca="false">IF($Y180="","",ROUND(SUMIFS(应收金额,应收键,$Y180,应收年度,管理年度,应收款别,"合同款"),2))</f>
        <v/>
      </c>
      <c r="K180" s="40" t="str">
        <f aca="false">IF($Y180="","",ROUND($I180-$J180,2))</f>
        <v/>
      </c>
      <c r="L180" s="40" t="str">
        <f aca="false">IF($Y180="","",ROUND(SUMIFS(应收开票额,应收键,$Y180,应收开票年度,管理年度),2))</f>
        <v/>
      </c>
      <c r="M180" s="40" t="str">
        <f aca="false">IF($Y180="","",ROUND($I180-$L180,2))</f>
        <v/>
      </c>
      <c r="N180" s="40" t="str">
        <f aca="false">IF($Y180="","",ROUND(SUMIFS(收款金额,收款键,$Y180,收款年度,管理年度),2))</f>
        <v/>
      </c>
      <c r="O180" s="40" t="str">
        <f aca="false">IF($Y180="","",ROUND(SUMIFS(收款金额,收款键,$Y180,收款年度,管理年度,收款归类,"发票"),2))</f>
        <v/>
      </c>
      <c r="P180" s="40" t="str">
        <f aca="false">IF($Y180="","",ROUND(SUMIFS(收款金额,收款键,$Y180,收款年度,管理年度,收款归类,"收据"),2))</f>
        <v/>
      </c>
      <c r="Q180" s="40" t="str">
        <f aca="false">IF($Y180="","",ROUND(SUMIFS(收款金额,收款键,$Y180,收款年度,管理年度,收款归类,"现金无票"),2))</f>
        <v/>
      </c>
      <c r="R180" s="40" t="str">
        <f aca="false">IF($Y180="","",ROUND(MAX(0,MIN($T180,SUMIF(应收键,$Y180,应收开票额)-SUMIF(收款键,$Y180,收款金额))),2))</f>
        <v/>
      </c>
      <c r="S180" s="40" t="str">
        <f aca="false">IF($Y180="","",ROUND(MAX(0,$T180)-$R180,2))</f>
        <v/>
      </c>
      <c r="T180" s="48" t="str">
        <f aca="false">IF($Y180="","",ROUND(SUMIF(应收键,$Y180,应收金额)-SUMIF(收款键,$Y180,收款金额),2))</f>
        <v/>
      </c>
      <c r="U180" s="49" t="str">
        <f aca="true">IF($AA180="","",IF($T180&lt;=0.01,"",MAX(0,TODAY()-$AA180)))</f>
        <v/>
      </c>
      <c r="V180" s="50" t="str">
        <f aca="true">IF($Y180="","",IF($T180&gt;0.01,IF(AND(ISNUMBER($U180),$U180&gt;=账龄预警天),"▲欠款拖了 "&amp;TEXT($U180,"0")&amp;" 天","欠款未清"),IF($T180&lt;-0.01,"预收/多收","已结清"))&amp;IF(OR($E180="已签未回",$E180="未签",$E180="续签中")," ▲合同未回","")&amp;IF(AND(ISNUMBER($F180),$F180&lt;TODAY())," ▲合同已到期",""))</f>
        <v/>
      </c>
      <c r="W180" s="24"/>
      <c r="X180" s="35" t="str">
        <f aca="false">IF($Y180="","",IF(ROUND($H180+$I180-$N180+$Z180-$T180,2)&lt;&gt;0,"★期初＋本年－已收≠余额",IF(ROUND($R180+$S180-MAX(0,$T180),2)&lt;&gt;0,"★已开票＋未开票≠欠款",IF(ROUND($J180+$K180-$I180,2)&lt;&gt;0,"★合同款＋合同外款≠本年应收",IF(ROUND($O180+$P180+$Q180-$N180,2)&lt;&gt;0,"★发票＋收据＋现金≠本年已收","OK")))))</f>
        <v/>
      </c>
      <c r="Y180" s="35" t="str">
        <f aca="false">IF(维保合同!$C180="","",维保合同!$E180)</f>
        <v/>
      </c>
      <c r="Z180" s="40" t="str">
        <f aca="false">IF($Y180="","",ROUND(SUMIFS(应收金额,应收键,$Y180,应收年度,"&gt;"&amp;管理年度)-SUMIFS(收款金额,收款键,$Y180,收款年度,"&gt;"&amp;管理年度),2))</f>
        <v/>
      </c>
      <c r="AA180" s="47" t="str">
        <f aca="false">IF($Y180="","",IF(SUMPRODUCT(MIN(IF((应收键=$Y180)*(应收未收&gt;0.01),应收日期,999999)))&gt;=999999,"",SUMPRODUCT(MIN(IF((应收键=$Y180)*(应收未收&gt;0.01),应收日期,999999)))))</f>
        <v/>
      </c>
    </row>
    <row r="181" customFormat="false" ht="15" hidden="false" customHeight="false" outlineLevel="0" collapsed="false">
      <c r="A181" s="29" t="str">
        <f aca="false">IF($Y181="","",ROW()-4)</f>
        <v/>
      </c>
      <c r="B181" s="16" t="str">
        <f aca="false">IF($Y181="","",维保合同!$C181)</f>
        <v/>
      </c>
      <c r="C181" s="16" t="str">
        <f aca="false">IF($Y181="","",维保合同!$D181)</f>
        <v/>
      </c>
      <c r="D181" s="35" t="str">
        <f aca="false">IF($Y181="","",维保合同!$F181)</f>
        <v/>
      </c>
      <c r="E181" s="35" t="str">
        <f aca="false">IF($Y181="","",维保合同!$G181)</f>
        <v/>
      </c>
      <c r="F181" s="47" t="str">
        <f aca="false">IF($Y181="","",维保合同!$I181)</f>
        <v/>
      </c>
      <c r="G181" s="38" t="str">
        <f aca="false">IF($Y181="","",维保合同!$K181)</f>
        <v/>
      </c>
      <c r="H181" s="41" t="str">
        <f aca="false">IF($Y181="","",ROUND(SUMIFS(应收金额,应收键,$Y181,应收年度,"&lt;"&amp;管理年度)-SUMIFS(收款金额,收款键,$Y181,收款年度,"&lt;"&amp;管理年度),2))</f>
        <v/>
      </c>
      <c r="I181" s="40" t="str">
        <f aca="false">IF($Y181="","",ROUND(SUMIFS(应收金额,应收键,$Y181,应收年度,管理年度),2))</f>
        <v/>
      </c>
      <c r="J181" s="40" t="str">
        <f aca="false">IF($Y181="","",ROUND(SUMIFS(应收金额,应收键,$Y181,应收年度,管理年度,应收款别,"合同款"),2))</f>
        <v/>
      </c>
      <c r="K181" s="40" t="str">
        <f aca="false">IF($Y181="","",ROUND($I181-$J181,2))</f>
        <v/>
      </c>
      <c r="L181" s="40" t="str">
        <f aca="false">IF($Y181="","",ROUND(SUMIFS(应收开票额,应收键,$Y181,应收开票年度,管理年度),2))</f>
        <v/>
      </c>
      <c r="M181" s="40" t="str">
        <f aca="false">IF($Y181="","",ROUND($I181-$L181,2))</f>
        <v/>
      </c>
      <c r="N181" s="40" t="str">
        <f aca="false">IF($Y181="","",ROUND(SUMIFS(收款金额,收款键,$Y181,收款年度,管理年度),2))</f>
        <v/>
      </c>
      <c r="O181" s="40" t="str">
        <f aca="false">IF($Y181="","",ROUND(SUMIFS(收款金额,收款键,$Y181,收款年度,管理年度,收款归类,"发票"),2))</f>
        <v/>
      </c>
      <c r="P181" s="40" t="str">
        <f aca="false">IF($Y181="","",ROUND(SUMIFS(收款金额,收款键,$Y181,收款年度,管理年度,收款归类,"收据"),2))</f>
        <v/>
      </c>
      <c r="Q181" s="40" t="str">
        <f aca="false">IF($Y181="","",ROUND(SUMIFS(收款金额,收款键,$Y181,收款年度,管理年度,收款归类,"现金无票"),2))</f>
        <v/>
      </c>
      <c r="R181" s="40" t="str">
        <f aca="false">IF($Y181="","",ROUND(MAX(0,MIN($T181,SUMIF(应收键,$Y181,应收开票额)-SUMIF(收款键,$Y181,收款金额))),2))</f>
        <v/>
      </c>
      <c r="S181" s="40" t="str">
        <f aca="false">IF($Y181="","",ROUND(MAX(0,$T181)-$R181,2))</f>
        <v/>
      </c>
      <c r="T181" s="48" t="str">
        <f aca="false">IF($Y181="","",ROUND(SUMIF(应收键,$Y181,应收金额)-SUMIF(收款键,$Y181,收款金额),2))</f>
        <v/>
      </c>
      <c r="U181" s="49" t="str">
        <f aca="true">IF($AA181="","",IF($T181&lt;=0.01,"",MAX(0,TODAY()-$AA181)))</f>
        <v/>
      </c>
      <c r="V181" s="50" t="str">
        <f aca="true">IF($Y181="","",IF($T181&gt;0.01,IF(AND(ISNUMBER($U181),$U181&gt;=账龄预警天),"▲欠款拖了 "&amp;TEXT($U181,"0")&amp;" 天","欠款未清"),IF($T181&lt;-0.01,"预收/多收","已结清"))&amp;IF(OR($E181="已签未回",$E181="未签",$E181="续签中")," ▲合同未回","")&amp;IF(AND(ISNUMBER($F181),$F181&lt;TODAY())," ▲合同已到期",""))</f>
        <v/>
      </c>
      <c r="W181" s="24"/>
      <c r="X181" s="35" t="str">
        <f aca="false">IF($Y181="","",IF(ROUND($H181+$I181-$N181+$Z181-$T181,2)&lt;&gt;0,"★期初＋本年－已收≠余额",IF(ROUND($R181+$S181-MAX(0,$T181),2)&lt;&gt;0,"★已开票＋未开票≠欠款",IF(ROUND($J181+$K181-$I181,2)&lt;&gt;0,"★合同款＋合同外款≠本年应收",IF(ROUND($O181+$P181+$Q181-$N181,2)&lt;&gt;0,"★发票＋收据＋现金≠本年已收","OK")))))</f>
        <v/>
      </c>
      <c r="Y181" s="35" t="str">
        <f aca="false">IF(维保合同!$C181="","",维保合同!$E181)</f>
        <v/>
      </c>
      <c r="Z181" s="40" t="str">
        <f aca="false">IF($Y181="","",ROUND(SUMIFS(应收金额,应收键,$Y181,应收年度,"&gt;"&amp;管理年度)-SUMIFS(收款金额,收款键,$Y181,收款年度,"&gt;"&amp;管理年度),2))</f>
        <v/>
      </c>
      <c r="AA181" s="47" t="str">
        <f aca="false">IF($Y181="","",IF(SUMPRODUCT(MIN(IF((应收键=$Y181)*(应收未收&gt;0.01),应收日期,999999)))&gt;=999999,"",SUMPRODUCT(MIN(IF((应收键=$Y181)*(应收未收&gt;0.01),应收日期,999999)))))</f>
        <v/>
      </c>
    </row>
    <row r="182" customFormat="false" ht="15" hidden="false" customHeight="false" outlineLevel="0" collapsed="false">
      <c r="A182" s="29" t="str">
        <f aca="false">IF($Y182="","",ROW()-4)</f>
        <v/>
      </c>
      <c r="B182" s="16" t="str">
        <f aca="false">IF($Y182="","",维保合同!$C182)</f>
        <v/>
      </c>
      <c r="C182" s="16" t="str">
        <f aca="false">IF($Y182="","",维保合同!$D182)</f>
        <v/>
      </c>
      <c r="D182" s="35" t="str">
        <f aca="false">IF($Y182="","",维保合同!$F182)</f>
        <v/>
      </c>
      <c r="E182" s="35" t="str">
        <f aca="false">IF($Y182="","",维保合同!$G182)</f>
        <v/>
      </c>
      <c r="F182" s="47" t="str">
        <f aca="false">IF($Y182="","",维保合同!$I182)</f>
        <v/>
      </c>
      <c r="G182" s="38" t="str">
        <f aca="false">IF($Y182="","",维保合同!$K182)</f>
        <v/>
      </c>
      <c r="H182" s="41" t="str">
        <f aca="false">IF($Y182="","",ROUND(SUMIFS(应收金额,应收键,$Y182,应收年度,"&lt;"&amp;管理年度)-SUMIFS(收款金额,收款键,$Y182,收款年度,"&lt;"&amp;管理年度),2))</f>
        <v/>
      </c>
      <c r="I182" s="40" t="str">
        <f aca="false">IF($Y182="","",ROUND(SUMIFS(应收金额,应收键,$Y182,应收年度,管理年度),2))</f>
        <v/>
      </c>
      <c r="J182" s="40" t="str">
        <f aca="false">IF($Y182="","",ROUND(SUMIFS(应收金额,应收键,$Y182,应收年度,管理年度,应收款别,"合同款"),2))</f>
        <v/>
      </c>
      <c r="K182" s="40" t="str">
        <f aca="false">IF($Y182="","",ROUND($I182-$J182,2))</f>
        <v/>
      </c>
      <c r="L182" s="40" t="str">
        <f aca="false">IF($Y182="","",ROUND(SUMIFS(应收开票额,应收键,$Y182,应收开票年度,管理年度),2))</f>
        <v/>
      </c>
      <c r="M182" s="40" t="str">
        <f aca="false">IF($Y182="","",ROUND($I182-$L182,2))</f>
        <v/>
      </c>
      <c r="N182" s="40" t="str">
        <f aca="false">IF($Y182="","",ROUND(SUMIFS(收款金额,收款键,$Y182,收款年度,管理年度),2))</f>
        <v/>
      </c>
      <c r="O182" s="40" t="str">
        <f aca="false">IF($Y182="","",ROUND(SUMIFS(收款金额,收款键,$Y182,收款年度,管理年度,收款归类,"发票"),2))</f>
        <v/>
      </c>
      <c r="P182" s="40" t="str">
        <f aca="false">IF($Y182="","",ROUND(SUMIFS(收款金额,收款键,$Y182,收款年度,管理年度,收款归类,"收据"),2))</f>
        <v/>
      </c>
      <c r="Q182" s="40" t="str">
        <f aca="false">IF($Y182="","",ROUND(SUMIFS(收款金额,收款键,$Y182,收款年度,管理年度,收款归类,"现金无票"),2))</f>
        <v/>
      </c>
      <c r="R182" s="40" t="str">
        <f aca="false">IF($Y182="","",ROUND(MAX(0,MIN($T182,SUMIF(应收键,$Y182,应收开票额)-SUMIF(收款键,$Y182,收款金额))),2))</f>
        <v/>
      </c>
      <c r="S182" s="40" t="str">
        <f aca="false">IF($Y182="","",ROUND(MAX(0,$T182)-$R182,2))</f>
        <v/>
      </c>
      <c r="T182" s="48" t="str">
        <f aca="false">IF($Y182="","",ROUND(SUMIF(应收键,$Y182,应收金额)-SUMIF(收款键,$Y182,收款金额),2))</f>
        <v/>
      </c>
      <c r="U182" s="49" t="str">
        <f aca="true">IF($AA182="","",IF($T182&lt;=0.01,"",MAX(0,TODAY()-$AA182)))</f>
        <v/>
      </c>
      <c r="V182" s="50" t="str">
        <f aca="true">IF($Y182="","",IF($T182&gt;0.01,IF(AND(ISNUMBER($U182),$U182&gt;=账龄预警天),"▲欠款拖了 "&amp;TEXT($U182,"0")&amp;" 天","欠款未清"),IF($T182&lt;-0.01,"预收/多收","已结清"))&amp;IF(OR($E182="已签未回",$E182="未签",$E182="续签中")," ▲合同未回","")&amp;IF(AND(ISNUMBER($F182),$F182&lt;TODAY())," ▲合同已到期",""))</f>
        <v/>
      </c>
      <c r="W182" s="24"/>
      <c r="X182" s="35" t="str">
        <f aca="false">IF($Y182="","",IF(ROUND($H182+$I182-$N182+$Z182-$T182,2)&lt;&gt;0,"★期初＋本年－已收≠余额",IF(ROUND($R182+$S182-MAX(0,$T182),2)&lt;&gt;0,"★已开票＋未开票≠欠款",IF(ROUND($J182+$K182-$I182,2)&lt;&gt;0,"★合同款＋合同外款≠本年应收",IF(ROUND($O182+$P182+$Q182-$N182,2)&lt;&gt;0,"★发票＋收据＋现金≠本年已收","OK")))))</f>
        <v/>
      </c>
      <c r="Y182" s="35" t="str">
        <f aca="false">IF(维保合同!$C182="","",维保合同!$E182)</f>
        <v/>
      </c>
      <c r="Z182" s="40" t="str">
        <f aca="false">IF($Y182="","",ROUND(SUMIFS(应收金额,应收键,$Y182,应收年度,"&gt;"&amp;管理年度)-SUMIFS(收款金额,收款键,$Y182,收款年度,"&gt;"&amp;管理年度),2))</f>
        <v/>
      </c>
      <c r="AA182" s="47" t="str">
        <f aca="false">IF($Y182="","",IF(SUMPRODUCT(MIN(IF((应收键=$Y182)*(应收未收&gt;0.01),应收日期,999999)))&gt;=999999,"",SUMPRODUCT(MIN(IF((应收键=$Y182)*(应收未收&gt;0.01),应收日期,999999)))))</f>
        <v/>
      </c>
    </row>
    <row r="183" customFormat="false" ht="15" hidden="false" customHeight="false" outlineLevel="0" collapsed="false">
      <c r="A183" s="29" t="str">
        <f aca="false">IF($Y183="","",ROW()-4)</f>
        <v/>
      </c>
      <c r="B183" s="16" t="str">
        <f aca="false">IF($Y183="","",维保合同!$C183)</f>
        <v/>
      </c>
      <c r="C183" s="16" t="str">
        <f aca="false">IF($Y183="","",维保合同!$D183)</f>
        <v/>
      </c>
      <c r="D183" s="35" t="str">
        <f aca="false">IF($Y183="","",维保合同!$F183)</f>
        <v/>
      </c>
      <c r="E183" s="35" t="str">
        <f aca="false">IF($Y183="","",维保合同!$G183)</f>
        <v/>
      </c>
      <c r="F183" s="47" t="str">
        <f aca="false">IF($Y183="","",维保合同!$I183)</f>
        <v/>
      </c>
      <c r="G183" s="38" t="str">
        <f aca="false">IF($Y183="","",维保合同!$K183)</f>
        <v/>
      </c>
      <c r="H183" s="41" t="str">
        <f aca="false">IF($Y183="","",ROUND(SUMIFS(应收金额,应收键,$Y183,应收年度,"&lt;"&amp;管理年度)-SUMIFS(收款金额,收款键,$Y183,收款年度,"&lt;"&amp;管理年度),2))</f>
        <v/>
      </c>
      <c r="I183" s="40" t="str">
        <f aca="false">IF($Y183="","",ROUND(SUMIFS(应收金额,应收键,$Y183,应收年度,管理年度),2))</f>
        <v/>
      </c>
      <c r="J183" s="40" t="str">
        <f aca="false">IF($Y183="","",ROUND(SUMIFS(应收金额,应收键,$Y183,应收年度,管理年度,应收款别,"合同款"),2))</f>
        <v/>
      </c>
      <c r="K183" s="40" t="str">
        <f aca="false">IF($Y183="","",ROUND($I183-$J183,2))</f>
        <v/>
      </c>
      <c r="L183" s="40" t="str">
        <f aca="false">IF($Y183="","",ROUND(SUMIFS(应收开票额,应收键,$Y183,应收开票年度,管理年度),2))</f>
        <v/>
      </c>
      <c r="M183" s="40" t="str">
        <f aca="false">IF($Y183="","",ROUND($I183-$L183,2))</f>
        <v/>
      </c>
      <c r="N183" s="40" t="str">
        <f aca="false">IF($Y183="","",ROUND(SUMIFS(收款金额,收款键,$Y183,收款年度,管理年度),2))</f>
        <v/>
      </c>
      <c r="O183" s="40" t="str">
        <f aca="false">IF($Y183="","",ROUND(SUMIFS(收款金额,收款键,$Y183,收款年度,管理年度,收款归类,"发票"),2))</f>
        <v/>
      </c>
      <c r="P183" s="40" t="str">
        <f aca="false">IF($Y183="","",ROUND(SUMIFS(收款金额,收款键,$Y183,收款年度,管理年度,收款归类,"收据"),2))</f>
        <v/>
      </c>
      <c r="Q183" s="40" t="str">
        <f aca="false">IF($Y183="","",ROUND(SUMIFS(收款金额,收款键,$Y183,收款年度,管理年度,收款归类,"现金无票"),2))</f>
        <v/>
      </c>
      <c r="R183" s="40" t="str">
        <f aca="false">IF($Y183="","",ROUND(MAX(0,MIN($T183,SUMIF(应收键,$Y183,应收开票额)-SUMIF(收款键,$Y183,收款金额))),2))</f>
        <v/>
      </c>
      <c r="S183" s="40" t="str">
        <f aca="false">IF($Y183="","",ROUND(MAX(0,$T183)-$R183,2))</f>
        <v/>
      </c>
      <c r="T183" s="48" t="str">
        <f aca="false">IF($Y183="","",ROUND(SUMIF(应收键,$Y183,应收金额)-SUMIF(收款键,$Y183,收款金额),2))</f>
        <v/>
      </c>
      <c r="U183" s="49" t="str">
        <f aca="true">IF($AA183="","",IF($T183&lt;=0.01,"",MAX(0,TODAY()-$AA183)))</f>
        <v/>
      </c>
      <c r="V183" s="50" t="str">
        <f aca="true">IF($Y183="","",IF($T183&gt;0.01,IF(AND(ISNUMBER($U183),$U183&gt;=账龄预警天),"▲欠款拖了 "&amp;TEXT($U183,"0")&amp;" 天","欠款未清"),IF($T183&lt;-0.01,"预收/多收","已结清"))&amp;IF(OR($E183="已签未回",$E183="未签",$E183="续签中")," ▲合同未回","")&amp;IF(AND(ISNUMBER($F183),$F183&lt;TODAY())," ▲合同已到期",""))</f>
        <v/>
      </c>
      <c r="W183" s="24"/>
      <c r="X183" s="35" t="str">
        <f aca="false">IF($Y183="","",IF(ROUND($H183+$I183-$N183+$Z183-$T183,2)&lt;&gt;0,"★期初＋本年－已收≠余额",IF(ROUND($R183+$S183-MAX(0,$T183),2)&lt;&gt;0,"★已开票＋未开票≠欠款",IF(ROUND($J183+$K183-$I183,2)&lt;&gt;0,"★合同款＋合同外款≠本年应收",IF(ROUND($O183+$P183+$Q183-$N183,2)&lt;&gt;0,"★发票＋收据＋现金≠本年已收","OK")))))</f>
        <v/>
      </c>
      <c r="Y183" s="35" t="str">
        <f aca="false">IF(维保合同!$C183="","",维保合同!$E183)</f>
        <v/>
      </c>
      <c r="Z183" s="40" t="str">
        <f aca="false">IF($Y183="","",ROUND(SUMIFS(应收金额,应收键,$Y183,应收年度,"&gt;"&amp;管理年度)-SUMIFS(收款金额,收款键,$Y183,收款年度,"&gt;"&amp;管理年度),2))</f>
        <v/>
      </c>
      <c r="AA183" s="47" t="str">
        <f aca="false">IF($Y183="","",IF(SUMPRODUCT(MIN(IF((应收键=$Y183)*(应收未收&gt;0.01),应收日期,999999)))&gt;=999999,"",SUMPRODUCT(MIN(IF((应收键=$Y183)*(应收未收&gt;0.01),应收日期,999999)))))</f>
        <v/>
      </c>
    </row>
    <row r="184" customFormat="false" ht="15" hidden="false" customHeight="false" outlineLevel="0" collapsed="false">
      <c r="A184" s="29" t="str">
        <f aca="false">IF($Y184="","",ROW()-4)</f>
        <v/>
      </c>
      <c r="B184" s="16" t="str">
        <f aca="false">IF($Y184="","",维保合同!$C184)</f>
        <v/>
      </c>
      <c r="C184" s="16" t="str">
        <f aca="false">IF($Y184="","",维保合同!$D184)</f>
        <v/>
      </c>
      <c r="D184" s="35" t="str">
        <f aca="false">IF($Y184="","",维保合同!$F184)</f>
        <v/>
      </c>
      <c r="E184" s="35" t="str">
        <f aca="false">IF($Y184="","",维保合同!$G184)</f>
        <v/>
      </c>
      <c r="F184" s="47" t="str">
        <f aca="false">IF($Y184="","",维保合同!$I184)</f>
        <v/>
      </c>
      <c r="G184" s="38" t="str">
        <f aca="false">IF($Y184="","",维保合同!$K184)</f>
        <v/>
      </c>
      <c r="H184" s="41" t="str">
        <f aca="false">IF($Y184="","",ROUND(SUMIFS(应收金额,应收键,$Y184,应收年度,"&lt;"&amp;管理年度)-SUMIFS(收款金额,收款键,$Y184,收款年度,"&lt;"&amp;管理年度),2))</f>
        <v/>
      </c>
      <c r="I184" s="40" t="str">
        <f aca="false">IF($Y184="","",ROUND(SUMIFS(应收金额,应收键,$Y184,应收年度,管理年度),2))</f>
        <v/>
      </c>
      <c r="J184" s="40" t="str">
        <f aca="false">IF($Y184="","",ROUND(SUMIFS(应收金额,应收键,$Y184,应收年度,管理年度,应收款别,"合同款"),2))</f>
        <v/>
      </c>
      <c r="K184" s="40" t="str">
        <f aca="false">IF($Y184="","",ROUND($I184-$J184,2))</f>
        <v/>
      </c>
      <c r="L184" s="40" t="str">
        <f aca="false">IF($Y184="","",ROUND(SUMIFS(应收开票额,应收键,$Y184,应收开票年度,管理年度),2))</f>
        <v/>
      </c>
      <c r="M184" s="40" t="str">
        <f aca="false">IF($Y184="","",ROUND($I184-$L184,2))</f>
        <v/>
      </c>
      <c r="N184" s="40" t="str">
        <f aca="false">IF($Y184="","",ROUND(SUMIFS(收款金额,收款键,$Y184,收款年度,管理年度),2))</f>
        <v/>
      </c>
      <c r="O184" s="40" t="str">
        <f aca="false">IF($Y184="","",ROUND(SUMIFS(收款金额,收款键,$Y184,收款年度,管理年度,收款归类,"发票"),2))</f>
        <v/>
      </c>
      <c r="P184" s="40" t="str">
        <f aca="false">IF($Y184="","",ROUND(SUMIFS(收款金额,收款键,$Y184,收款年度,管理年度,收款归类,"收据"),2))</f>
        <v/>
      </c>
      <c r="Q184" s="40" t="str">
        <f aca="false">IF($Y184="","",ROUND(SUMIFS(收款金额,收款键,$Y184,收款年度,管理年度,收款归类,"现金无票"),2))</f>
        <v/>
      </c>
      <c r="R184" s="40" t="str">
        <f aca="false">IF($Y184="","",ROUND(MAX(0,MIN($T184,SUMIF(应收键,$Y184,应收开票额)-SUMIF(收款键,$Y184,收款金额))),2))</f>
        <v/>
      </c>
      <c r="S184" s="40" t="str">
        <f aca="false">IF($Y184="","",ROUND(MAX(0,$T184)-$R184,2))</f>
        <v/>
      </c>
      <c r="T184" s="48" t="str">
        <f aca="false">IF($Y184="","",ROUND(SUMIF(应收键,$Y184,应收金额)-SUMIF(收款键,$Y184,收款金额),2))</f>
        <v/>
      </c>
      <c r="U184" s="49" t="str">
        <f aca="true">IF($AA184="","",IF($T184&lt;=0.01,"",MAX(0,TODAY()-$AA184)))</f>
        <v/>
      </c>
      <c r="V184" s="50" t="str">
        <f aca="true">IF($Y184="","",IF($T184&gt;0.01,IF(AND(ISNUMBER($U184),$U184&gt;=账龄预警天),"▲欠款拖了 "&amp;TEXT($U184,"0")&amp;" 天","欠款未清"),IF($T184&lt;-0.01,"预收/多收","已结清"))&amp;IF(OR($E184="已签未回",$E184="未签",$E184="续签中")," ▲合同未回","")&amp;IF(AND(ISNUMBER($F184),$F184&lt;TODAY())," ▲合同已到期",""))</f>
        <v/>
      </c>
      <c r="W184" s="24"/>
      <c r="X184" s="35" t="str">
        <f aca="false">IF($Y184="","",IF(ROUND($H184+$I184-$N184+$Z184-$T184,2)&lt;&gt;0,"★期初＋本年－已收≠余额",IF(ROUND($R184+$S184-MAX(0,$T184),2)&lt;&gt;0,"★已开票＋未开票≠欠款",IF(ROUND($J184+$K184-$I184,2)&lt;&gt;0,"★合同款＋合同外款≠本年应收",IF(ROUND($O184+$P184+$Q184-$N184,2)&lt;&gt;0,"★发票＋收据＋现金≠本年已收","OK")))))</f>
        <v/>
      </c>
      <c r="Y184" s="35" t="str">
        <f aca="false">IF(维保合同!$C184="","",维保合同!$E184)</f>
        <v/>
      </c>
      <c r="Z184" s="40" t="str">
        <f aca="false">IF($Y184="","",ROUND(SUMIFS(应收金额,应收键,$Y184,应收年度,"&gt;"&amp;管理年度)-SUMIFS(收款金额,收款键,$Y184,收款年度,"&gt;"&amp;管理年度),2))</f>
        <v/>
      </c>
      <c r="AA184" s="47" t="str">
        <f aca="false">IF($Y184="","",IF(SUMPRODUCT(MIN(IF((应收键=$Y184)*(应收未收&gt;0.01),应收日期,999999)))&gt;=999999,"",SUMPRODUCT(MIN(IF((应收键=$Y184)*(应收未收&gt;0.01),应收日期,999999)))))</f>
        <v/>
      </c>
    </row>
    <row r="185" customFormat="false" ht="15" hidden="false" customHeight="false" outlineLevel="0" collapsed="false">
      <c r="A185" s="29" t="str">
        <f aca="false">IF($Y185="","",ROW()-4)</f>
        <v/>
      </c>
      <c r="B185" s="16" t="str">
        <f aca="false">IF($Y185="","",维保合同!$C185)</f>
        <v/>
      </c>
      <c r="C185" s="16" t="str">
        <f aca="false">IF($Y185="","",维保合同!$D185)</f>
        <v/>
      </c>
      <c r="D185" s="35" t="str">
        <f aca="false">IF($Y185="","",维保合同!$F185)</f>
        <v/>
      </c>
      <c r="E185" s="35" t="str">
        <f aca="false">IF($Y185="","",维保合同!$G185)</f>
        <v/>
      </c>
      <c r="F185" s="47" t="str">
        <f aca="false">IF($Y185="","",维保合同!$I185)</f>
        <v/>
      </c>
      <c r="G185" s="38" t="str">
        <f aca="false">IF($Y185="","",维保合同!$K185)</f>
        <v/>
      </c>
      <c r="H185" s="41" t="str">
        <f aca="false">IF($Y185="","",ROUND(SUMIFS(应收金额,应收键,$Y185,应收年度,"&lt;"&amp;管理年度)-SUMIFS(收款金额,收款键,$Y185,收款年度,"&lt;"&amp;管理年度),2))</f>
        <v/>
      </c>
      <c r="I185" s="40" t="str">
        <f aca="false">IF($Y185="","",ROUND(SUMIFS(应收金额,应收键,$Y185,应收年度,管理年度),2))</f>
        <v/>
      </c>
      <c r="J185" s="40" t="str">
        <f aca="false">IF($Y185="","",ROUND(SUMIFS(应收金额,应收键,$Y185,应收年度,管理年度,应收款别,"合同款"),2))</f>
        <v/>
      </c>
      <c r="K185" s="40" t="str">
        <f aca="false">IF($Y185="","",ROUND($I185-$J185,2))</f>
        <v/>
      </c>
      <c r="L185" s="40" t="str">
        <f aca="false">IF($Y185="","",ROUND(SUMIFS(应收开票额,应收键,$Y185,应收开票年度,管理年度),2))</f>
        <v/>
      </c>
      <c r="M185" s="40" t="str">
        <f aca="false">IF($Y185="","",ROUND($I185-$L185,2))</f>
        <v/>
      </c>
      <c r="N185" s="40" t="str">
        <f aca="false">IF($Y185="","",ROUND(SUMIFS(收款金额,收款键,$Y185,收款年度,管理年度),2))</f>
        <v/>
      </c>
      <c r="O185" s="40" t="str">
        <f aca="false">IF($Y185="","",ROUND(SUMIFS(收款金额,收款键,$Y185,收款年度,管理年度,收款归类,"发票"),2))</f>
        <v/>
      </c>
      <c r="P185" s="40" t="str">
        <f aca="false">IF($Y185="","",ROUND(SUMIFS(收款金额,收款键,$Y185,收款年度,管理年度,收款归类,"收据"),2))</f>
        <v/>
      </c>
      <c r="Q185" s="40" t="str">
        <f aca="false">IF($Y185="","",ROUND(SUMIFS(收款金额,收款键,$Y185,收款年度,管理年度,收款归类,"现金无票"),2))</f>
        <v/>
      </c>
      <c r="R185" s="40" t="str">
        <f aca="false">IF($Y185="","",ROUND(MAX(0,MIN($T185,SUMIF(应收键,$Y185,应收开票额)-SUMIF(收款键,$Y185,收款金额))),2))</f>
        <v/>
      </c>
      <c r="S185" s="40" t="str">
        <f aca="false">IF($Y185="","",ROUND(MAX(0,$T185)-$R185,2))</f>
        <v/>
      </c>
      <c r="T185" s="48" t="str">
        <f aca="false">IF($Y185="","",ROUND(SUMIF(应收键,$Y185,应收金额)-SUMIF(收款键,$Y185,收款金额),2))</f>
        <v/>
      </c>
      <c r="U185" s="49" t="str">
        <f aca="true">IF($AA185="","",IF($T185&lt;=0.01,"",MAX(0,TODAY()-$AA185)))</f>
        <v/>
      </c>
      <c r="V185" s="50" t="str">
        <f aca="true">IF($Y185="","",IF($T185&gt;0.01,IF(AND(ISNUMBER($U185),$U185&gt;=账龄预警天),"▲欠款拖了 "&amp;TEXT($U185,"0")&amp;" 天","欠款未清"),IF($T185&lt;-0.01,"预收/多收","已结清"))&amp;IF(OR($E185="已签未回",$E185="未签",$E185="续签中")," ▲合同未回","")&amp;IF(AND(ISNUMBER($F185),$F185&lt;TODAY())," ▲合同已到期",""))</f>
        <v/>
      </c>
      <c r="W185" s="24"/>
      <c r="X185" s="35" t="str">
        <f aca="false">IF($Y185="","",IF(ROUND($H185+$I185-$N185+$Z185-$T185,2)&lt;&gt;0,"★期初＋本年－已收≠余额",IF(ROUND($R185+$S185-MAX(0,$T185),2)&lt;&gt;0,"★已开票＋未开票≠欠款",IF(ROUND($J185+$K185-$I185,2)&lt;&gt;0,"★合同款＋合同外款≠本年应收",IF(ROUND($O185+$P185+$Q185-$N185,2)&lt;&gt;0,"★发票＋收据＋现金≠本年已收","OK")))))</f>
        <v/>
      </c>
      <c r="Y185" s="35" t="str">
        <f aca="false">IF(维保合同!$C185="","",维保合同!$E185)</f>
        <v/>
      </c>
      <c r="Z185" s="40" t="str">
        <f aca="false">IF($Y185="","",ROUND(SUMIFS(应收金额,应收键,$Y185,应收年度,"&gt;"&amp;管理年度)-SUMIFS(收款金额,收款键,$Y185,收款年度,"&gt;"&amp;管理年度),2))</f>
        <v/>
      </c>
      <c r="AA185" s="47" t="str">
        <f aca="false">IF($Y185="","",IF(SUMPRODUCT(MIN(IF((应收键=$Y185)*(应收未收&gt;0.01),应收日期,999999)))&gt;=999999,"",SUMPRODUCT(MIN(IF((应收键=$Y185)*(应收未收&gt;0.01),应收日期,999999)))))</f>
        <v/>
      </c>
    </row>
    <row r="186" customFormat="false" ht="15" hidden="false" customHeight="false" outlineLevel="0" collapsed="false">
      <c r="A186" s="29" t="str">
        <f aca="false">IF($Y186="","",ROW()-4)</f>
        <v/>
      </c>
      <c r="B186" s="16" t="str">
        <f aca="false">IF($Y186="","",维保合同!$C186)</f>
        <v/>
      </c>
      <c r="C186" s="16" t="str">
        <f aca="false">IF($Y186="","",维保合同!$D186)</f>
        <v/>
      </c>
      <c r="D186" s="35" t="str">
        <f aca="false">IF($Y186="","",维保合同!$F186)</f>
        <v/>
      </c>
      <c r="E186" s="35" t="str">
        <f aca="false">IF($Y186="","",维保合同!$G186)</f>
        <v/>
      </c>
      <c r="F186" s="47" t="str">
        <f aca="false">IF($Y186="","",维保合同!$I186)</f>
        <v/>
      </c>
      <c r="G186" s="38" t="str">
        <f aca="false">IF($Y186="","",维保合同!$K186)</f>
        <v/>
      </c>
      <c r="H186" s="41" t="str">
        <f aca="false">IF($Y186="","",ROUND(SUMIFS(应收金额,应收键,$Y186,应收年度,"&lt;"&amp;管理年度)-SUMIFS(收款金额,收款键,$Y186,收款年度,"&lt;"&amp;管理年度),2))</f>
        <v/>
      </c>
      <c r="I186" s="40" t="str">
        <f aca="false">IF($Y186="","",ROUND(SUMIFS(应收金额,应收键,$Y186,应收年度,管理年度),2))</f>
        <v/>
      </c>
      <c r="J186" s="40" t="str">
        <f aca="false">IF($Y186="","",ROUND(SUMIFS(应收金额,应收键,$Y186,应收年度,管理年度,应收款别,"合同款"),2))</f>
        <v/>
      </c>
      <c r="K186" s="40" t="str">
        <f aca="false">IF($Y186="","",ROUND($I186-$J186,2))</f>
        <v/>
      </c>
      <c r="L186" s="40" t="str">
        <f aca="false">IF($Y186="","",ROUND(SUMIFS(应收开票额,应收键,$Y186,应收开票年度,管理年度),2))</f>
        <v/>
      </c>
      <c r="M186" s="40" t="str">
        <f aca="false">IF($Y186="","",ROUND($I186-$L186,2))</f>
        <v/>
      </c>
      <c r="N186" s="40" t="str">
        <f aca="false">IF($Y186="","",ROUND(SUMIFS(收款金额,收款键,$Y186,收款年度,管理年度),2))</f>
        <v/>
      </c>
      <c r="O186" s="40" t="str">
        <f aca="false">IF($Y186="","",ROUND(SUMIFS(收款金额,收款键,$Y186,收款年度,管理年度,收款归类,"发票"),2))</f>
        <v/>
      </c>
      <c r="P186" s="40" t="str">
        <f aca="false">IF($Y186="","",ROUND(SUMIFS(收款金额,收款键,$Y186,收款年度,管理年度,收款归类,"收据"),2))</f>
        <v/>
      </c>
      <c r="Q186" s="40" t="str">
        <f aca="false">IF($Y186="","",ROUND(SUMIFS(收款金额,收款键,$Y186,收款年度,管理年度,收款归类,"现金无票"),2))</f>
        <v/>
      </c>
      <c r="R186" s="40" t="str">
        <f aca="false">IF($Y186="","",ROUND(MAX(0,MIN($T186,SUMIF(应收键,$Y186,应收开票额)-SUMIF(收款键,$Y186,收款金额))),2))</f>
        <v/>
      </c>
      <c r="S186" s="40" t="str">
        <f aca="false">IF($Y186="","",ROUND(MAX(0,$T186)-$R186,2))</f>
        <v/>
      </c>
      <c r="T186" s="48" t="str">
        <f aca="false">IF($Y186="","",ROUND(SUMIF(应收键,$Y186,应收金额)-SUMIF(收款键,$Y186,收款金额),2))</f>
        <v/>
      </c>
      <c r="U186" s="49" t="str">
        <f aca="true">IF($AA186="","",IF($T186&lt;=0.01,"",MAX(0,TODAY()-$AA186)))</f>
        <v/>
      </c>
      <c r="V186" s="50" t="str">
        <f aca="true">IF($Y186="","",IF($T186&gt;0.01,IF(AND(ISNUMBER($U186),$U186&gt;=账龄预警天),"▲欠款拖了 "&amp;TEXT($U186,"0")&amp;" 天","欠款未清"),IF($T186&lt;-0.01,"预收/多收","已结清"))&amp;IF(OR($E186="已签未回",$E186="未签",$E186="续签中")," ▲合同未回","")&amp;IF(AND(ISNUMBER($F186),$F186&lt;TODAY())," ▲合同已到期",""))</f>
        <v/>
      </c>
      <c r="W186" s="24"/>
      <c r="X186" s="35" t="str">
        <f aca="false">IF($Y186="","",IF(ROUND($H186+$I186-$N186+$Z186-$T186,2)&lt;&gt;0,"★期初＋本年－已收≠余额",IF(ROUND($R186+$S186-MAX(0,$T186),2)&lt;&gt;0,"★已开票＋未开票≠欠款",IF(ROUND($J186+$K186-$I186,2)&lt;&gt;0,"★合同款＋合同外款≠本年应收",IF(ROUND($O186+$P186+$Q186-$N186,2)&lt;&gt;0,"★发票＋收据＋现金≠本年已收","OK")))))</f>
        <v/>
      </c>
      <c r="Y186" s="35" t="str">
        <f aca="false">IF(维保合同!$C186="","",维保合同!$E186)</f>
        <v/>
      </c>
      <c r="Z186" s="40" t="str">
        <f aca="false">IF($Y186="","",ROUND(SUMIFS(应收金额,应收键,$Y186,应收年度,"&gt;"&amp;管理年度)-SUMIFS(收款金额,收款键,$Y186,收款年度,"&gt;"&amp;管理年度),2))</f>
        <v/>
      </c>
      <c r="AA186" s="47" t="str">
        <f aca="false">IF($Y186="","",IF(SUMPRODUCT(MIN(IF((应收键=$Y186)*(应收未收&gt;0.01),应收日期,999999)))&gt;=999999,"",SUMPRODUCT(MIN(IF((应收键=$Y186)*(应收未收&gt;0.01),应收日期,999999)))))</f>
        <v/>
      </c>
    </row>
    <row r="187" customFormat="false" ht="15" hidden="false" customHeight="false" outlineLevel="0" collapsed="false">
      <c r="A187" s="29" t="str">
        <f aca="false">IF($Y187="","",ROW()-4)</f>
        <v/>
      </c>
      <c r="B187" s="16" t="str">
        <f aca="false">IF($Y187="","",维保合同!$C187)</f>
        <v/>
      </c>
      <c r="C187" s="16" t="str">
        <f aca="false">IF($Y187="","",维保合同!$D187)</f>
        <v/>
      </c>
      <c r="D187" s="35" t="str">
        <f aca="false">IF($Y187="","",维保合同!$F187)</f>
        <v/>
      </c>
      <c r="E187" s="35" t="str">
        <f aca="false">IF($Y187="","",维保合同!$G187)</f>
        <v/>
      </c>
      <c r="F187" s="47" t="str">
        <f aca="false">IF($Y187="","",维保合同!$I187)</f>
        <v/>
      </c>
      <c r="G187" s="38" t="str">
        <f aca="false">IF($Y187="","",维保合同!$K187)</f>
        <v/>
      </c>
      <c r="H187" s="41" t="str">
        <f aca="false">IF($Y187="","",ROUND(SUMIFS(应收金额,应收键,$Y187,应收年度,"&lt;"&amp;管理年度)-SUMIFS(收款金额,收款键,$Y187,收款年度,"&lt;"&amp;管理年度),2))</f>
        <v/>
      </c>
      <c r="I187" s="40" t="str">
        <f aca="false">IF($Y187="","",ROUND(SUMIFS(应收金额,应收键,$Y187,应收年度,管理年度),2))</f>
        <v/>
      </c>
      <c r="J187" s="40" t="str">
        <f aca="false">IF($Y187="","",ROUND(SUMIFS(应收金额,应收键,$Y187,应收年度,管理年度,应收款别,"合同款"),2))</f>
        <v/>
      </c>
      <c r="K187" s="40" t="str">
        <f aca="false">IF($Y187="","",ROUND($I187-$J187,2))</f>
        <v/>
      </c>
      <c r="L187" s="40" t="str">
        <f aca="false">IF($Y187="","",ROUND(SUMIFS(应收开票额,应收键,$Y187,应收开票年度,管理年度),2))</f>
        <v/>
      </c>
      <c r="M187" s="40" t="str">
        <f aca="false">IF($Y187="","",ROUND($I187-$L187,2))</f>
        <v/>
      </c>
      <c r="N187" s="40" t="str">
        <f aca="false">IF($Y187="","",ROUND(SUMIFS(收款金额,收款键,$Y187,收款年度,管理年度),2))</f>
        <v/>
      </c>
      <c r="O187" s="40" t="str">
        <f aca="false">IF($Y187="","",ROUND(SUMIFS(收款金额,收款键,$Y187,收款年度,管理年度,收款归类,"发票"),2))</f>
        <v/>
      </c>
      <c r="P187" s="40" t="str">
        <f aca="false">IF($Y187="","",ROUND(SUMIFS(收款金额,收款键,$Y187,收款年度,管理年度,收款归类,"收据"),2))</f>
        <v/>
      </c>
      <c r="Q187" s="40" t="str">
        <f aca="false">IF($Y187="","",ROUND(SUMIFS(收款金额,收款键,$Y187,收款年度,管理年度,收款归类,"现金无票"),2))</f>
        <v/>
      </c>
      <c r="R187" s="40" t="str">
        <f aca="false">IF($Y187="","",ROUND(MAX(0,MIN($T187,SUMIF(应收键,$Y187,应收开票额)-SUMIF(收款键,$Y187,收款金额))),2))</f>
        <v/>
      </c>
      <c r="S187" s="40" t="str">
        <f aca="false">IF($Y187="","",ROUND(MAX(0,$T187)-$R187,2))</f>
        <v/>
      </c>
      <c r="T187" s="48" t="str">
        <f aca="false">IF($Y187="","",ROUND(SUMIF(应收键,$Y187,应收金额)-SUMIF(收款键,$Y187,收款金额),2))</f>
        <v/>
      </c>
      <c r="U187" s="49" t="str">
        <f aca="true">IF($AA187="","",IF($T187&lt;=0.01,"",MAX(0,TODAY()-$AA187)))</f>
        <v/>
      </c>
      <c r="V187" s="50" t="str">
        <f aca="true">IF($Y187="","",IF($T187&gt;0.01,IF(AND(ISNUMBER($U187),$U187&gt;=账龄预警天),"▲欠款拖了 "&amp;TEXT($U187,"0")&amp;" 天","欠款未清"),IF($T187&lt;-0.01,"预收/多收","已结清"))&amp;IF(OR($E187="已签未回",$E187="未签",$E187="续签中")," ▲合同未回","")&amp;IF(AND(ISNUMBER($F187),$F187&lt;TODAY())," ▲合同已到期",""))</f>
        <v/>
      </c>
      <c r="W187" s="24"/>
      <c r="X187" s="35" t="str">
        <f aca="false">IF($Y187="","",IF(ROUND($H187+$I187-$N187+$Z187-$T187,2)&lt;&gt;0,"★期初＋本年－已收≠余额",IF(ROUND($R187+$S187-MAX(0,$T187),2)&lt;&gt;0,"★已开票＋未开票≠欠款",IF(ROUND($J187+$K187-$I187,2)&lt;&gt;0,"★合同款＋合同外款≠本年应收",IF(ROUND($O187+$P187+$Q187-$N187,2)&lt;&gt;0,"★发票＋收据＋现金≠本年已收","OK")))))</f>
        <v/>
      </c>
      <c r="Y187" s="35" t="str">
        <f aca="false">IF(维保合同!$C187="","",维保合同!$E187)</f>
        <v/>
      </c>
      <c r="Z187" s="40" t="str">
        <f aca="false">IF($Y187="","",ROUND(SUMIFS(应收金额,应收键,$Y187,应收年度,"&gt;"&amp;管理年度)-SUMIFS(收款金额,收款键,$Y187,收款年度,"&gt;"&amp;管理年度),2))</f>
        <v/>
      </c>
      <c r="AA187" s="47" t="str">
        <f aca="false">IF($Y187="","",IF(SUMPRODUCT(MIN(IF((应收键=$Y187)*(应收未收&gt;0.01),应收日期,999999)))&gt;=999999,"",SUMPRODUCT(MIN(IF((应收键=$Y187)*(应收未收&gt;0.01),应收日期,999999)))))</f>
        <v/>
      </c>
    </row>
    <row r="188" customFormat="false" ht="15" hidden="false" customHeight="false" outlineLevel="0" collapsed="false">
      <c r="A188" s="29" t="str">
        <f aca="false">IF($Y188="","",ROW()-4)</f>
        <v/>
      </c>
      <c r="B188" s="16" t="str">
        <f aca="false">IF($Y188="","",维保合同!$C188)</f>
        <v/>
      </c>
      <c r="C188" s="16" t="str">
        <f aca="false">IF($Y188="","",维保合同!$D188)</f>
        <v/>
      </c>
      <c r="D188" s="35" t="str">
        <f aca="false">IF($Y188="","",维保合同!$F188)</f>
        <v/>
      </c>
      <c r="E188" s="35" t="str">
        <f aca="false">IF($Y188="","",维保合同!$G188)</f>
        <v/>
      </c>
      <c r="F188" s="47" t="str">
        <f aca="false">IF($Y188="","",维保合同!$I188)</f>
        <v/>
      </c>
      <c r="G188" s="38" t="str">
        <f aca="false">IF($Y188="","",维保合同!$K188)</f>
        <v/>
      </c>
      <c r="H188" s="41" t="str">
        <f aca="false">IF($Y188="","",ROUND(SUMIFS(应收金额,应收键,$Y188,应收年度,"&lt;"&amp;管理年度)-SUMIFS(收款金额,收款键,$Y188,收款年度,"&lt;"&amp;管理年度),2))</f>
        <v/>
      </c>
      <c r="I188" s="40" t="str">
        <f aca="false">IF($Y188="","",ROUND(SUMIFS(应收金额,应收键,$Y188,应收年度,管理年度),2))</f>
        <v/>
      </c>
      <c r="J188" s="40" t="str">
        <f aca="false">IF($Y188="","",ROUND(SUMIFS(应收金额,应收键,$Y188,应收年度,管理年度,应收款别,"合同款"),2))</f>
        <v/>
      </c>
      <c r="K188" s="40" t="str">
        <f aca="false">IF($Y188="","",ROUND($I188-$J188,2))</f>
        <v/>
      </c>
      <c r="L188" s="40" t="str">
        <f aca="false">IF($Y188="","",ROUND(SUMIFS(应收开票额,应收键,$Y188,应收开票年度,管理年度),2))</f>
        <v/>
      </c>
      <c r="M188" s="40" t="str">
        <f aca="false">IF($Y188="","",ROUND($I188-$L188,2))</f>
        <v/>
      </c>
      <c r="N188" s="40" t="str">
        <f aca="false">IF($Y188="","",ROUND(SUMIFS(收款金额,收款键,$Y188,收款年度,管理年度),2))</f>
        <v/>
      </c>
      <c r="O188" s="40" t="str">
        <f aca="false">IF($Y188="","",ROUND(SUMIFS(收款金额,收款键,$Y188,收款年度,管理年度,收款归类,"发票"),2))</f>
        <v/>
      </c>
      <c r="P188" s="40" t="str">
        <f aca="false">IF($Y188="","",ROUND(SUMIFS(收款金额,收款键,$Y188,收款年度,管理年度,收款归类,"收据"),2))</f>
        <v/>
      </c>
      <c r="Q188" s="40" t="str">
        <f aca="false">IF($Y188="","",ROUND(SUMIFS(收款金额,收款键,$Y188,收款年度,管理年度,收款归类,"现金无票"),2))</f>
        <v/>
      </c>
      <c r="R188" s="40" t="str">
        <f aca="false">IF($Y188="","",ROUND(MAX(0,MIN($T188,SUMIF(应收键,$Y188,应收开票额)-SUMIF(收款键,$Y188,收款金额))),2))</f>
        <v/>
      </c>
      <c r="S188" s="40" t="str">
        <f aca="false">IF($Y188="","",ROUND(MAX(0,$T188)-$R188,2))</f>
        <v/>
      </c>
      <c r="T188" s="48" t="str">
        <f aca="false">IF($Y188="","",ROUND(SUMIF(应收键,$Y188,应收金额)-SUMIF(收款键,$Y188,收款金额),2))</f>
        <v/>
      </c>
      <c r="U188" s="49" t="str">
        <f aca="true">IF($AA188="","",IF($T188&lt;=0.01,"",MAX(0,TODAY()-$AA188)))</f>
        <v/>
      </c>
      <c r="V188" s="50" t="str">
        <f aca="true">IF($Y188="","",IF($T188&gt;0.01,IF(AND(ISNUMBER($U188),$U188&gt;=账龄预警天),"▲欠款拖了 "&amp;TEXT($U188,"0")&amp;" 天","欠款未清"),IF($T188&lt;-0.01,"预收/多收","已结清"))&amp;IF(OR($E188="已签未回",$E188="未签",$E188="续签中")," ▲合同未回","")&amp;IF(AND(ISNUMBER($F188),$F188&lt;TODAY())," ▲合同已到期",""))</f>
        <v/>
      </c>
      <c r="W188" s="24"/>
      <c r="X188" s="35" t="str">
        <f aca="false">IF($Y188="","",IF(ROUND($H188+$I188-$N188+$Z188-$T188,2)&lt;&gt;0,"★期初＋本年－已收≠余额",IF(ROUND($R188+$S188-MAX(0,$T188),2)&lt;&gt;0,"★已开票＋未开票≠欠款",IF(ROUND($J188+$K188-$I188,2)&lt;&gt;0,"★合同款＋合同外款≠本年应收",IF(ROUND($O188+$P188+$Q188-$N188,2)&lt;&gt;0,"★发票＋收据＋现金≠本年已收","OK")))))</f>
        <v/>
      </c>
      <c r="Y188" s="35" t="str">
        <f aca="false">IF(维保合同!$C188="","",维保合同!$E188)</f>
        <v/>
      </c>
      <c r="Z188" s="40" t="str">
        <f aca="false">IF($Y188="","",ROUND(SUMIFS(应收金额,应收键,$Y188,应收年度,"&gt;"&amp;管理年度)-SUMIFS(收款金额,收款键,$Y188,收款年度,"&gt;"&amp;管理年度),2))</f>
        <v/>
      </c>
      <c r="AA188" s="47" t="str">
        <f aca="false">IF($Y188="","",IF(SUMPRODUCT(MIN(IF((应收键=$Y188)*(应收未收&gt;0.01),应收日期,999999)))&gt;=999999,"",SUMPRODUCT(MIN(IF((应收键=$Y188)*(应收未收&gt;0.01),应收日期,999999)))))</f>
        <v/>
      </c>
    </row>
    <row r="189" customFormat="false" ht="15" hidden="false" customHeight="false" outlineLevel="0" collapsed="false">
      <c r="A189" s="29" t="str">
        <f aca="false">IF($Y189="","",ROW()-4)</f>
        <v/>
      </c>
      <c r="B189" s="16" t="str">
        <f aca="false">IF($Y189="","",维保合同!$C189)</f>
        <v/>
      </c>
      <c r="C189" s="16" t="str">
        <f aca="false">IF($Y189="","",维保合同!$D189)</f>
        <v/>
      </c>
      <c r="D189" s="35" t="str">
        <f aca="false">IF($Y189="","",维保合同!$F189)</f>
        <v/>
      </c>
      <c r="E189" s="35" t="str">
        <f aca="false">IF($Y189="","",维保合同!$G189)</f>
        <v/>
      </c>
      <c r="F189" s="47" t="str">
        <f aca="false">IF($Y189="","",维保合同!$I189)</f>
        <v/>
      </c>
      <c r="G189" s="38" t="str">
        <f aca="false">IF($Y189="","",维保合同!$K189)</f>
        <v/>
      </c>
      <c r="H189" s="41" t="str">
        <f aca="false">IF($Y189="","",ROUND(SUMIFS(应收金额,应收键,$Y189,应收年度,"&lt;"&amp;管理年度)-SUMIFS(收款金额,收款键,$Y189,收款年度,"&lt;"&amp;管理年度),2))</f>
        <v/>
      </c>
      <c r="I189" s="40" t="str">
        <f aca="false">IF($Y189="","",ROUND(SUMIFS(应收金额,应收键,$Y189,应收年度,管理年度),2))</f>
        <v/>
      </c>
      <c r="J189" s="40" t="str">
        <f aca="false">IF($Y189="","",ROUND(SUMIFS(应收金额,应收键,$Y189,应收年度,管理年度,应收款别,"合同款"),2))</f>
        <v/>
      </c>
      <c r="K189" s="40" t="str">
        <f aca="false">IF($Y189="","",ROUND($I189-$J189,2))</f>
        <v/>
      </c>
      <c r="L189" s="40" t="str">
        <f aca="false">IF($Y189="","",ROUND(SUMIFS(应收开票额,应收键,$Y189,应收开票年度,管理年度),2))</f>
        <v/>
      </c>
      <c r="M189" s="40" t="str">
        <f aca="false">IF($Y189="","",ROUND($I189-$L189,2))</f>
        <v/>
      </c>
      <c r="N189" s="40" t="str">
        <f aca="false">IF($Y189="","",ROUND(SUMIFS(收款金额,收款键,$Y189,收款年度,管理年度),2))</f>
        <v/>
      </c>
      <c r="O189" s="40" t="str">
        <f aca="false">IF($Y189="","",ROUND(SUMIFS(收款金额,收款键,$Y189,收款年度,管理年度,收款归类,"发票"),2))</f>
        <v/>
      </c>
      <c r="P189" s="40" t="str">
        <f aca="false">IF($Y189="","",ROUND(SUMIFS(收款金额,收款键,$Y189,收款年度,管理年度,收款归类,"收据"),2))</f>
        <v/>
      </c>
      <c r="Q189" s="40" t="str">
        <f aca="false">IF($Y189="","",ROUND(SUMIFS(收款金额,收款键,$Y189,收款年度,管理年度,收款归类,"现金无票"),2))</f>
        <v/>
      </c>
      <c r="R189" s="40" t="str">
        <f aca="false">IF($Y189="","",ROUND(MAX(0,MIN($T189,SUMIF(应收键,$Y189,应收开票额)-SUMIF(收款键,$Y189,收款金额))),2))</f>
        <v/>
      </c>
      <c r="S189" s="40" t="str">
        <f aca="false">IF($Y189="","",ROUND(MAX(0,$T189)-$R189,2))</f>
        <v/>
      </c>
      <c r="T189" s="48" t="str">
        <f aca="false">IF($Y189="","",ROUND(SUMIF(应收键,$Y189,应收金额)-SUMIF(收款键,$Y189,收款金额),2))</f>
        <v/>
      </c>
      <c r="U189" s="49" t="str">
        <f aca="true">IF($AA189="","",IF($T189&lt;=0.01,"",MAX(0,TODAY()-$AA189)))</f>
        <v/>
      </c>
      <c r="V189" s="50" t="str">
        <f aca="true">IF($Y189="","",IF($T189&gt;0.01,IF(AND(ISNUMBER($U189),$U189&gt;=账龄预警天),"▲欠款拖了 "&amp;TEXT($U189,"0")&amp;" 天","欠款未清"),IF($T189&lt;-0.01,"预收/多收","已结清"))&amp;IF(OR($E189="已签未回",$E189="未签",$E189="续签中")," ▲合同未回","")&amp;IF(AND(ISNUMBER($F189),$F189&lt;TODAY())," ▲合同已到期",""))</f>
        <v/>
      </c>
      <c r="W189" s="24"/>
      <c r="X189" s="35" t="str">
        <f aca="false">IF($Y189="","",IF(ROUND($H189+$I189-$N189+$Z189-$T189,2)&lt;&gt;0,"★期初＋本年－已收≠余额",IF(ROUND($R189+$S189-MAX(0,$T189),2)&lt;&gt;0,"★已开票＋未开票≠欠款",IF(ROUND($J189+$K189-$I189,2)&lt;&gt;0,"★合同款＋合同外款≠本年应收",IF(ROUND($O189+$P189+$Q189-$N189,2)&lt;&gt;0,"★发票＋收据＋现金≠本年已收","OK")))))</f>
        <v/>
      </c>
      <c r="Y189" s="35" t="str">
        <f aca="false">IF(维保合同!$C189="","",维保合同!$E189)</f>
        <v/>
      </c>
      <c r="Z189" s="40" t="str">
        <f aca="false">IF($Y189="","",ROUND(SUMIFS(应收金额,应收键,$Y189,应收年度,"&gt;"&amp;管理年度)-SUMIFS(收款金额,收款键,$Y189,收款年度,"&gt;"&amp;管理年度),2))</f>
        <v/>
      </c>
      <c r="AA189" s="47" t="str">
        <f aca="false">IF($Y189="","",IF(SUMPRODUCT(MIN(IF((应收键=$Y189)*(应收未收&gt;0.01),应收日期,999999)))&gt;=999999,"",SUMPRODUCT(MIN(IF((应收键=$Y189)*(应收未收&gt;0.01),应收日期,999999)))))</f>
        <v/>
      </c>
    </row>
    <row r="190" customFormat="false" ht="15" hidden="false" customHeight="false" outlineLevel="0" collapsed="false">
      <c r="A190" s="29" t="str">
        <f aca="false">IF($Y190="","",ROW()-4)</f>
        <v/>
      </c>
      <c r="B190" s="16" t="str">
        <f aca="false">IF($Y190="","",维保合同!$C190)</f>
        <v/>
      </c>
      <c r="C190" s="16" t="str">
        <f aca="false">IF($Y190="","",维保合同!$D190)</f>
        <v/>
      </c>
      <c r="D190" s="35" t="str">
        <f aca="false">IF($Y190="","",维保合同!$F190)</f>
        <v/>
      </c>
      <c r="E190" s="35" t="str">
        <f aca="false">IF($Y190="","",维保合同!$G190)</f>
        <v/>
      </c>
      <c r="F190" s="47" t="str">
        <f aca="false">IF($Y190="","",维保合同!$I190)</f>
        <v/>
      </c>
      <c r="G190" s="38" t="str">
        <f aca="false">IF($Y190="","",维保合同!$K190)</f>
        <v/>
      </c>
      <c r="H190" s="41" t="str">
        <f aca="false">IF($Y190="","",ROUND(SUMIFS(应收金额,应收键,$Y190,应收年度,"&lt;"&amp;管理年度)-SUMIFS(收款金额,收款键,$Y190,收款年度,"&lt;"&amp;管理年度),2))</f>
        <v/>
      </c>
      <c r="I190" s="40" t="str">
        <f aca="false">IF($Y190="","",ROUND(SUMIFS(应收金额,应收键,$Y190,应收年度,管理年度),2))</f>
        <v/>
      </c>
      <c r="J190" s="40" t="str">
        <f aca="false">IF($Y190="","",ROUND(SUMIFS(应收金额,应收键,$Y190,应收年度,管理年度,应收款别,"合同款"),2))</f>
        <v/>
      </c>
      <c r="K190" s="40" t="str">
        <f aca="false">IF($Y190="","",ROUND($I190-$J190,2))</f>
        <v/>
      </c>
      <c r="L190" s="40" t="str">
        <f aca="false">IF($Y190="","",ROUND(SUMIFS(应收开票额,应收键,$Y190,应收开票年度,管理年度),2))</f>
        <v/>
      </c>
      <c r="M190" s="40" t="str">
        <f aca="false">IF($Y190="","",ROUND($I190-$L190,2))</f>
        <v/>
      </c>
      <c r="N190" s="40" t="str">
        <f aca="false">IF($Y190="","",ROUND(SUMIFS(收款金额,收款键,$Y190,收款年度,管理年度),2))</f>
        <v/>
      </c>
      <c r="O190" s="40" t="str">
        <f aca="false">IF($Y190="","",ROUND(SUMIFS(收款金额,收款键,$Y190,收款年度,管理年度,收款归类,"发票"),2))</f>
        <v/>
      </c>
      <c r="P190" s="40" t="str">
        <f aca="false">IF($Y190="","",ROUND(SUMIFS(收款金额,收款键,$Y190,收款年度,管理年度,收款归类,"收据"),2))</f>
        <v/>
      </c>
      <c r="Q190" s="40" t="str">
        <f aca="false">IF($Y190="","",ROUND(SUMIFS(收款金额,收款键,$Y190,收款年度,管理年度,收款归类,"现金无票"),2))</f>
        <v/>
      </c>
      <c r="R190" s="40" t="str">
        <f aca="false">IF($Y190="","",ROUND(MAX(0,MIN($T190,SUMIF(应收键,$Y190,应收开票额)-SUMIF(收款键,$Y190,收款金额))),2))</f>
        <v/>
      </c>
      <c r="S190" s="40" t="str">
        <f aca="false">IF($Y190="","",ROUND(MAX(0,$T190)-$R190,2))</f>
        <v/>
      </c>
      <c r="T190" s="48" t="str">
        <f aca="false">IF($Y190="","",ROUND(SUMIF(应收键,$Y190,应收金额)-SUMIF(收款键,$Y190,收款金额),2))</f>
        <v/>
      </c>
      <c r="U190" s="49" t="str">
        <f aca="true">IF($AA190="","",IF($T190&lt;=0.01,"",MAX(0,TODAY()-$AA190)))</f>
        <v/>
      </c>
      <c r="V190" s="50" t="str">
        <f aca="true">IF($Y190="","",IF($T190&gt;0.01,IF(AND(ISNUMBER($U190),$U190&gt;=账龄预警天),"▲欠款拖了 "&amp;TEXT($U190,"0")&amp;" 天","欠款未清"),IF($T190&lt;-0.01,"预收/多收","已结清"))&amp;IF(OR($E190="已签未回",$E190="未签",$E190="续签中")," ▲合同未回","")&amp;IF(AND(ISNUMBER($F190),$F190&lt;TODAY())," ▲合同已到期",""))</f>
        <v/>
      </c>
      <c r="W190" s="24"/>
      <c r="X190" s="35" t="str">
        <f aca="false">IF($Y190="","",IF(ROUND($H190+$I190-$N190+$Z190-$T190,2)&lt;&gt;0,"★期初＋本年－已收≠余额",IF(ROUND($R190+$S190-MAX(0,$T190),2)&lt;&gt;0,"★已开票＋未开票≠欠款",IF(ROUND($J190+$K190-$I190,2)&lt;&gt;0,"★合同款＋合同外款≠本年应收",IF(ROUND($O190+$P190+$Q190-$N190,2)&lt;&gt;0,"★发票＋收据＋现金≠本年已收","OK")))))</f>
        <v/>
      </c>
      <c r="Y190" s="35" t="str">
        <f aca="false">IF(维保合同!$C190="","",维保合同!$E190)</f>
        <v/>
      </c>
      <c r="Z190" s="40" t="str">
        <f aca="false">IF($Y190="","",ROUND(SUMIFS(应收金额,应收键,$Y190,应收年度,"&gt;"&amp;管理年度)-SUMIFS(收款金额,收款键,$Y190,收款年度,"&gt;"&amp;管理年度),2))</f>
        <v/>
      </c>
      <c r="AA190" s="47" t="str">
        <f aca="false">IF($Y190="","",IF(SUMPRODUCT(MIN(IF((应收键=$Y190)*(应收未收&gt;0.01),应收日期,999999)))&gt;=999999,"",SUMPRODUCT(MIN(IF((应收键=$Y190)*(应收未收&gt;0.01),应收日期,999999)))))</f>
        <v/>
      </c>
    </row>
    <row r="191" customFormat="false" ht="15" hidden="false" customHeight="false" outlineLevel="0" collapsed="false">
      <c r="A191" s="29" t="str">
        <f aca="false">IF($Y191="","",ROW()-4)</f>
        <v/>
      </c>
      <c r="B191" s="16" t="str">
        <f aca="false">IF($Y191="","",维保合同!$C191)</f>
        <v/>
      </c>
      <c r="C191" s="16" t="str">
        <f aca="false">IF($Y191="","",维保合同!$D191)</f>
        <v/>
      </c>
      <c r="D191" s="35" t="str">
        <f aca="false">IF($Y191="","",维保合同!$F191)</f>
        <v/>
      </c>
      <c r="E191" s="35" t="str">
        <f aca="false">IF($Y191="","",维保合同!$G191)</f>
        <v/>
      </c>
      <c r="F191" s="47" t="str">
        <f aca="false">IF($Y191="","",维保合同!$I191)</f>
        <v/>
      </c>
      <c r="G191" s="38" t="str">
        <f aca="false">IF($Y191="","",维保合同!$K191)</f>
        <v/>
      </c>
      <c r="H191" s="41" t="str">
        <f aca="false">IF($Y191="","",ROUND(SUMIFS(应收金额,应收键,$Y191,应收年度,"&lt;"&amp;管理年度)-SUMIFS(收款金额,收款键,$Y191,收款年度,"&lt;"&amp;管理年度),2))</f>
        <v/>
      </c>
      <c r="I191" s="40" t="str">
        <f aca="false">IF($Y191="","",ROUND(SUMIFS(应收金额,应收键,$Y191,应收年度,管理年度),2))</f>
        <v/>
      </c>
      <c r="J191" s="40" t="str">
        <f aca="false">IF($Y191="","",ROUND(SUMIFS(应收金额,应收键,$Y191,应收年度,管理年度,应收款别,"合同款"),2))</f>
        <v/>
      </c>
      <c r="K191" s="40" t="str">
        <f aca="false">IF($Y191="","",ROUND($I191-$J191,2))</f>
        <v/>
      </c>
      <c r="L191" s="40" t="str">
        <f aca="false">IF($Y191="","",ROUND(SUMIFS(应收开票额,应收键,$Y191,应收开票年度,管理年度),2))</f>
        <v/>
      </c>
      <c r="M191" s="40" t="str">
        <f aca="false">IF($Y191="","",ROUND($I191-$L191,2))</f>
        <v/>
      </c>
      <c r="N191" s="40" t="str">
        <f aca="false">IF($Y191="","",ROUND(SUMIFS(收款金额,收款键,$Y191,收款年度,管理年度),2))</f>
        <v/>
      </c>
      <c r="O191" s="40" t="str">
        <f aca="false">IF($Y191="","",ROUND(SUMIFS(收款金额,收款键,$Y191,收款年度,管理年度,收款归类,"发票"),2))</f>
        <v/>
      </c>
      <c r="P191" s="40" t="str">
        <f aca="false">IF($Y191="","",ROUND(SUMIFS(收款金额,收款键,$Y191,收款年度,管理年度,收款归类,"收据"),2))</f>
        <v/>
      </c>
      <c r="Q191" s="40" t="str">
        <f aca="false">IF($Y191="","",ROUND(SUMIFS(收款金额,收款键,$Y191,收款年度,管理年度,收款归类,"现金无票"),2))</f>
        <v/>
      </c>
      <c r="R191" s="40" t="str">
        <f aca="false">IF($Y191="","",ROUND(MAX(0,MIN($T191,SUMIF(应收键,$Y191,应收开票额)-SUMIF(收款键,$Y191,收款金额))),2))</f>
        <v/>
      </c>
      <c r="S191" s="40" t="str">
        <f aca="false">IF($Y191="","",ROUND(MAX(0,$T191)-$R191,2))</f>
        <v/>
      </c>
      <c r="T191" s="48" t="str">
        <f aca="false">IF($Y191="","",ROUND(SUMIF(应收键,$Y191,应收金额)-SUMIF(收款键,$Y191,收款金额),2))</f>
        <v/>
      </c>
      <c r="U191" s="49" t="str">
        <f aca="true">IF($AA191="","",IF($T191&lt;=0.01,"",MAX(0,TODAY()-$AA191)))</f>
        <v/>
      </c>
      <c r="V191" s="50" t="str">
        <f aca="true">IF($Y191="","",IF($T191&gt;0.01,IF(AND(ISNUMBER($U191),$U191&gt;=账龄预警天),"▲欠款拖了 "&amp;TEXT($U191,"0")&amp;" 天","欠款未清"),IF($T191&lt;-0.01,"预收/多收","已结清"))&amp;IF(OR($E191="已签未回",$E191="未签",$E191="续签中")," ▲合同未回","")&amp;IF(AND(ISNUMBER($F191),$F191&lt;TODAY())," ▲合同已到期",""))</f>
        <v/>
      </c>
      <c r="W191" s="24"/>
      <c r="X191" s="35" t="str">
        <f aca="false">IF($Y191="","",IF(ROUND($H191+$I191-$N191+$Z191-$T191,2)&lt;&gt;0,"★期初＋本年－已收≠余额",IF(ROUND($R191+$S191-MAX(0,$T191),2)&lt;&gt;0,"★已开票＋未开票≠欠款",IF(ROUND($J191+$K191-$I191,2)&lt;&gt;0,"★合同款＋合同外款≠本年应收",IF(ROUND($O191+$P191+$Q191-$N191,2)&lt;&gt;0,"★发票＋收据＋现金≠本年已收","OK")))))</f>
        <v/>
      </c>
      <c r="Y191" s="35" t="str">
        <f aca="false">IF(维保合同!$C191="","",维保合同!$E191)</f>
        <v/>
      </c>
      <c r="Z191" s="40" t="str">
        <f aca="false">IF($Y191="","",ROUND(SUMIFS(应收金额,应收键,$Y191,应收年度,"&gt;"&amp;管理年度)-SUMIFS(收款金额,收款键,$Y191,收款年度,"&gt;"&amp;管理年度),2))</f>
        <v/>
      </c>
      <c r="AA191" s="47" t="str">
        <f aca="false">IF($Y191="","",IF(SUMPRODUCT(MIN(IF((应收键=$Y191)*(应收未收&gt;0.01),应收日期,999999)))&gt;=999999,"",SUMPRODUCT(MIN(IF((应收键=$Y191)*(应收未收&gt;0.01),应收日期,999999)))))</f>
        <v/>
      </c>
    </row>
    <row r="192" customFormat="false" ht="15" hidden="false" customHeight="false" outlineLevel="0" collapsed="false">
      <c r="A192" s="29" t="str">
        <f aca="false">IF($Y192="","",ROW()-4)</f>
        <v/>
      </c>
      <c r="B192" s="16" t="str">
        <f aca="false">IF($Y192="","",维保合同!$C192)</f>
        <v/>
      </c>
      <c r="C192" s="16" t="str">
        <f aca="false">IF($Y192="","",维保合同!$D192)</f>
        <v/>
      </c>
      <c r="D192" s="35" t="str">
        <f aca="false">IF($Y192="","",维保合同!$F192)</f>
        <v/>
      </c>
      <c r="E192" s="35" t="str">
        <f aca="false">IF($Y192="","",维保合同!$G192)</f>
        <v/>
      </c>
      <c r="F192" s="47" t="str">
        <f aca="false">IF($Y192="","",维保合同!$I192)</f>
        <v/>
      </c>
      <c r="G192" s="38" t="str">
        <f aca="false">IF($Y192="","",维保合同!$K192)</f>
        <v/>
      </c>
      <c r="H192" s="41" t="str">
        <f aca="false">IF($Y192="","",ROUND(SUMIFS(应收金额,应收键,$Y192,应收年度,"&lt;"&amp;管理年度)-SUMIFS(收款金额,收款键,$Y192,收款年度,"&lt;"&amp;管理年度),2))</f>
        <v/>
      </c>
      <c r="I192" s="40" t="str">
        <f aca="false">IF($Y192="","",ROUND(SUMIFS(应收金额,应收键,$Y192,应收年度,管理年度),2))</f>
        <v/>
      </c>
      <c r="J192" s="40" t="str">
        <f aca="false">IF($Y192="","",ROUND(SUMIFS(应收金额,应收键,$Y192,应收年度,管理年度,应收款别,"合同款"),2))</f>
        <v/>
      </c>
      <c r="K192" s="40" t="str">
        <f aca="false">IF($Y192="","",ROUND($I192-$J192,2))</f>
        <v/>
      </c>
      <c r="L192" s="40" t="str">
        <f aca="false">IF($Y192="","",ROUND(SUMIFS(应收开票额,应收键,$Y192,应收开票年度,管理年度),2))</f>
        <v/>
      </c>
      <c r="M192" s="40" t="str">
        <f aca="false">IF($Y192="","",ROUND($I192-$L192,2))</f>
        <v/>
      </c>
      <c r="N192" s="40" t="str">
        <f aca="false">IF($Y192="","",ROUND(SUMIFS(收款金额,收款键,$Y192,收款年度,管理年度),2))</f>
        <v/>
      </c>
      <c r="O192" s="40" t="str">
        <f aca="false">IF($Y192="","",ROUND(SUMIFS(收款金额,收款键,$Y192,收款年度,管理年度,收款归类,"发票"),2))</f>
        <v/>
      </c>
      <c r="P192" s="40" t="str">
        <f aca="false">IF($Y192="","",ROUND(SUMIFS(收款金额,收款键,$Y192,收款年度,管理年度,收款归类,"收据"),2))</f>
        <v/>
      </c>
      <c r="Q192" s="40" t="str">
        <f aca="false">IF($Y192="","",ROUND(SUMIFS(收款金额,收款键,$Y192,收款年度,管理年度,收款归类,"现金无票"),2))</f>
        <v/>
      </c>
      <c r="R192" s="40" t="str">
        <f aca="false">IF($Y192="","",ROUND(MAX(0,MIN($T192,SUMIF(应收键,$Y192,应收开票额)-SUMIF(收款键,$Y192,收款金额))),2))</f>
        <v/>
      </c>
      <c r="S192" s="40" t="str">
        <f aca="false">IF($Y192="","",ROUND(MAX(0,$T192)-$R192,2))</f>
        <v/>
      </c>
      <c r="T192" s="48" t="str">
        <f aca="false">IF($Y192="","",ROUND(SUMIF(应收键,$Y192,应收金额)-SUMIF(收款键,$Y192,收款金额),2))</f>
        <v/>
      </c>
      <c r="U192" s="49" t="str">
        <f aca="true">IF($AA192="","",IF($T192&lt;=0.01,"",MAX(0,TODAY()-$AA192)))</f>
        <v/>
      </c>
      <c r="V192" s="50" t="str">
        <f aca="true">IF($Y192="","",IF($T192&gt;0.01,IF(AND(ISNUMBER($U192),$U192&gt;=账龄预警天),"▲欠款拖了 "&amp;TEXT($U192,"0")&amp;" 天","欠款未清"),IF($T192&lt;-0.01,"预收/多收","已结清"))&amp;IF(OR($E192="已签未回",$E192="未签",$E192="续签中")," ▲合同未回","")&amp;IF(AND(ISNUMBER($F192),$F192&lt;TODAY())," ▲合同已到期",""))</f>
        <v/>
      </c>
      <c r="W192" s="24"/>
      <c r="X192" s="35" t="str">
        <f aca="false">IF($Y192="","",IF(ROUND($H192+$I192-$N192+$Z192-$T192,2)&lt;&gt;0,"★期初＋本年－已收≠余额",IF(ROUND($R192+$S192-MAX(0,$T192),2)&lt;&gt;0,"★已开票＋未开票≠欠款",IF(ROUND($J192+$K192-$I192,2)&lt;&gt;0,"★合同款＋合同外款≠本年应收",IF(ROUND($O192+$P192+$Q192-$N192,2)&lt;&gt;0,"★发票＋收据＋现金≠本年已收","OK")))))</f>
        <v/>
      </c>
      <c r="Y192" s="35" t="str">
        <f aca="false">IF(维保合同!$C192="","",维保合同!$E192)</f>
        <v/>
      </c>
      <c r="Z192" s="40" t="str">
        <f aca="false">IF($Y192="","",ROUND(SUMIFS(应收金额,应收键,$Y192,应收年度,"&gt;"&amp;管理年度)-SUMIFS(收款金额,收款键,$Y192,收款年度,"&gt;"&amp;管理年度),2))</f>
        <v/>
      </c>
      <c r="AA192" s="47" t="str">
        <f aca="false">IF($Y192="","",IF(SUMPRODUCT(MIN(IF((应收键=$Y192)*(应收未收&gt;0.01),应收日期,999999)))&gt;=999999,"",SUMPRODUCT(MIN(IF((应收键=$Y192)*(应收未收&gt;0.01),应收日期,999999)))))</f>
        <v/>
      </c>
    </row>
    <row r="193" customFormat="false" ht="15" hidden="false" customHeight="false" outlineLevel="0" collapsed="false">
      <c r="A193" s="29" t="str">
        <f aca="false">IF($Y193="","",ROW()-4)</f>
        <v/>
      </c>
      <c r="B193" s="16" t="str">
        <f aca="false">IF($Y193="","",维保合同!$C193)</f>
        <v/>
      </c>
      <c r="C193" s="16" t="str">
        <f aca="false">IF($Y193="","",维保合同!$D193)</f>
        <v/>
      </c>
      <c r="D193" s="35" t="str">
        <f aca="false">IF($Y193="","",维保合同!$F193)</f>
        <v/>
      </c>
      <c r="E193" s="35" t="str">
        <f aca="false">IF($Y193="","",维保合同!$G193)</f>
        <v/>
      </c>
      <c r="F193" s="47" t="str">
        <f aca="false">IF($Y193="","",维保合同!$I193)</f>
        <v/>
      </c>
      <c r="G193" s="38" t="str">
        <f aca="false">IF($Y193="","",维保合同!$K193)</f>
        <v/>
      </c>
      <c r="H193" s="41" t="str">
        <f aca="false">IF($Y193="","",ROUND(SUMIFS(应收金额,应收键,$Y193,应收年度,"&lt;"&amp;管理年度)-SUMIFS(收款金额,收款键,$Y193,收款年度,"&lt;"&amp;管理年度),2))</f>
        <v/>
      </c>
      <c r="I193" s="40" t="str">
        <f aca="false">IF($Y193="","",ROUND(SUMIFS(应收金额,应收键,$Y193,应收年度,管理年度),2))</f>
        <v/>
      </c>
      <c r="J193" s="40" t="str">
        <f aca="false">IF($Y193="","",ROUND(SUMIFS(应收金额,应收键,$Y193,应收年度,管理年度,应收款别,"合同款"),2))</f>
        <v/>
      </c>
      <c r="K193" s="40" t="str">
        <f aca="false">IF($Y193="","",ROUND($I193-$J193,2))</f>
        <v/>
      </c>
      <c r="L193" s="40" t="str">
        <f aca="false">IF($Y193="","",ROUND(SUMIFS(应收开票额,应收键,$Y193,应收开票年度,管理年度),2))</f>
        <v/>
      </c>
      <c r="M193" s="40" t="str">
        <f aca="false">IF($Y193="","",ROUND($I193-$L193,2))</f>
        <v/>
      </c>
      <c r="N193" s="40" t="str">
        <f aca="false">IF($Y193="","",ROUND(SUMIFS(收款金额,收款键,$Y193,收款年度,管理年度),2))</f>
        <v/>
      </c>
      <c r="O193" s="40" t="str">
        <f aca="false">IF($Y193="","",ROUND(SUMIFS(收款金额,收款键,$Y193,收款年度,管理年度,收款归类,"发票"),2))</f>
        <v/>
      </c>
      <c r="P193" s="40" t="str">
        <f aca="false">IF($Y193="","",ROUND(SUMIFS(收款金额,收款键,$Y193,收款年度,管理年度,收款归类,"收据"),2))</f>
        <v/>
      </c>
      <c r="Q193" s="40" t="str">
        <f aca="false">IF($Y193="","",ROUND(SUMIFS(收款金额,收款键,$Y193,收款年度,管理年度,收款归类,"现金无票"),2))</f>
        <v/>
      </c>
      <c r="R193" s="40" t="str">
        <f aca="false">IF($Y193="","",ROUND(MAX(0,MIN($T193,SUMIF(应收键,$Y193,应收开票额)-SUMIF(收款键,$Y193,收款金额))),2))</f>
        <v/>
      </c>
      <c r="S193" s="40" t="str">
        <f aca="false">IF($Y193="","",ROUND(MAX(0,$T193)-$R193,2))</f>
        <v/>
      </c>
      <c r="T193" s="48" t="str">
        <f aca="false">IF($Y193="","",ROUND(SUMIF(应收键,$Y193,应收金额)-SUMIF(收款键,$Y193,收款金额),2))</f>
        <v/>
      </c>
      <c r="U193" s="49" t="str">
        <f aca="true">IF($AA193="","",IF($T193&lt;=0.01,"",MAX(0,TODAY()-$AA193)))</f>
        <v/>
      </c>
      <c r="V193" s="50" t="str">
        <f aca="true">IF($Y193="","",IF($T193&gt;0.01,IF(AND(ISNUMBER($U193),$U193&gt;=账龄预警天),"▲欠款拖了 "&amp;TEXT($U193,"0")&amp;" 天","欠款未清"),IF($T193&lt;-0.01,"预收/多收","已结清"))&amp;IF(OR($E193="已签未回",$E193="未签",$E193="续签中")," ▲合同未回","")&amp;IF(AND(ISNUMBER($F193),$F193&lt;TODAY())," ▲合同已到期",""))</f>
        <v/>
      </c>
      <c r="W193" s="24"/>
      <c r="X193" s="35" t="str">
        <f aca="false">IF($Y193="","",IF(ROUND($H193+$I193-$N193+$Z193-$T193,2)&lt;&gt;0,"★期初＋本年－已收≠余额",IF(ROUND($R193+$S193-MAX(0,$T193),2)&lt;&gt;0,"★已开票＋未开票≠欠款",IF(ROUND($J193+$K193-$I193,2)&lt;&gt;0,"★合同款＋合同外款≠本年应收",IF(ROUND($O193+$P193+$Q193-$N193,2)&lt;&gt;0,"★发票＋收据＋现金≠本年已收","OK")))))</f>
        <v/>
      </c>
      <c r="Y193" s="35" t="str">
        <f aca="false">IF(维保合同!$C193="","",维保合同!$E193)</f>
        <v/>
      </c>
      <c r="Z193" s="40" t="str">
        <f aca="false">IF($Y193="","",ROUND(SUMIFS(应收金额,应收键,$Y193,应收年度,"&gt;"&amp;管理年度)-SUMIFS(收款金额,收款键,$Y193,收款年度,"&gt;"&amp;管理年度),2))</f>
        <v/>
      </c>
      <c r="AA193" s="47" t="str">
        <f aca="false">IF($Y193="","",IF(SUMPRODUCT(MIN(IF((应收键=$Y193)*(应收未收&gt;0.01),应收日期,999999)))&gt;=999999,"",SUMPRODUCT(MIN(IF((应收键=$Y193)*(应收未收&gt;0.01),应收日期,999999)))))</f>
        <v/>
      </c>
    </row>
    <row r="194" customFormat="false" ht="15" hidden="false" customHeight="false" outlineLevel="0" collapsed="false">
      <c r="A194" s="29" t="str">
        <f aca="false">IF($Y194="","",ROW()-4)</f>
        <v/>
      </c>
      <c r="B194" s="16" t="str">
        <f aca="false">IF($Y194="","",维保合同!$C194)</f>
        <v/>
      </c>
      <c r="C194" s="16" t="str">
        <f aca="false">IF($Y194="","",维保合同!$D194)</f>
        <v/>
      </c>
      <c r="D194" s="35" t="str">
        <f aca="false">IF($Y194="","",维保合同!$F194)</f>
        <v/>
      </c>
      <c r="E194" s="35" t="str">
        <f aca="false">IF($Y194="","",维保合同!$G194)</f>
        <v/>
      </c>
      <c r="F194" s="47" t="str">
        <f aca="false">IF($Y194="","",维保合同!$I194)</f>
        <v/>
      </c>
      <c r="G194" s="38" t="str">
        <f aca="false">IF($Y194="","",维保合同!$K194)</f>
        <v/>
      </c>
      <c r="H194" s="41" t="str">
        <f aca="false">IF($Y194="","",ROUND(SUMIFS(应收金额,应收键,$Y194,应收年度,"&lt;"&amp;管理年度)-SUMIFS(收款金额,收款键,$Y194,收款年度,"&lt;"&amp;管理年度),2))</f>
        <v/>
      </c>
      <c r="I194" s="40" t="str">
        <f aca="false">IF($Y194="","",ROUND(SUMIFS(应收金额,应收键,$Y194,应收年度,管理年度),2))</f>
        <v/>
      </c>
      <c r="J194" s="40" t="str">
        <f aca="false">IF($Y194="","",ROUND(SUMIFS(应收金额,应收键,$Y194,应收年度,管理年度,应收款别,"合同款"),2))</f>
        <v/>
      </c>
      <c r="K194" s="40" t="str">
        <f aca="false">IF($Y194="","",ROUND($I194-$J194,2))</f>
        <v/>
      </c>
      <c r="L194" s="40" t="str">
        <f aca="false">IF($Y194="","",ROUND(SUMIFS(应收开票额,应收键,$Y194,应收开票年度,管理年度),2))</f>
        <v/>
      </c>
      <c r="M194" s="40" t="str">
        <f aca="false">IF($Y194="","",ROUND($I194-$L194,2))</f>
        <v/>
      </c>
      <c r="N194" s="40" t="str">
        <f aca="false">IF($Y194="","",ROUND(SUMIFS(收款金额,收款键,$Y194,收款年度,管理年度),2))</f>
        <v/>
      </c>
      <c r="O194" s="40" t="str">
        <f aca="false">IF($Y194="","",ROUND(SUMIFS(收款金额,收款键,$Y194,收款年度,管理年度,收款归类,"发票"),2))</f>
        <v/>
      </c>
      <c r="P194" s="40" t="str">
        <f aca="false">IF($Y194="","",ROUND(SUMIFS(收款金额,收款键,$Y194,收款年度,管理年度,收款归类,"收据"),2))</f>
        <v/>
      </c>
      <c r="Q194" s="40" t="str">
        <f aca="false">IF($Y194="","",ROUND(SUMIFS(收款金额,收款键,$Y194,收款年度,管理年度,收款归类,"现金无票"),2))</f>
        <v/>
      </c>
      <c r="R194" s="40" t="str">
        <f aca="false">IF($Y194="","",ROUND(MAX(0,MIN($T194,SUMIF(应收键,$Y194,应收开票额)-SUMIF(收款键,$Y194,收款金额))),2))</f>
        <v/>
      </c>
      <c r="S194" s="40" t="str">
        <f aca="false">IF($Y194="","",ROUND(MAX(0,$T194)-$R194,2))</f>
        <v/>
      </c>
      <c r="T194" s="48" t="str">
        <f aca="false">IF($Y194="","",ROUND(SUMIF(应收键,$Y194,应收金额)-SUMIF(收款键,$Y194,收款金额),2))</f>
        <v/>
      </c>
      <c r="U194" s="49" t="str">
        <f aca="true">IF($AA194="","",IF($T194&lt;=0.01,"",MAX(0,TODAY()-$AA194)))</f>
        <v/>
      </c>
      <c r="V194" s="50" t="str">
        <f aca="true">IF($Y194="","",IF($T194&gt;0.01,IF(AND(ISNUMBER($U194),$U194&gt;=账龄预警天),"▲欠款拖了 "&amp;TEXT($U194,"0")&amp;" 天","欠款未清"),IF($T194&lt;-0.01,"预收/多收","已结清"))&amp;IF(OR($E194="已签未回",$E194="未签",$E194="续签中")," ▲合同未回","")&amp;IF(AND(ISNUMBER($F194),$F194&lt;TODAY())," ▲合同已到期",""))</f>
        <v/>
      </c>
      <c r="W194" s="24"/>
      <c r="X194" s="35" t="str">
        <f aca="false">IF($Y194="","",IF(ROUND($H194+$I194-$N194+$Z194-$T194,2)&lt;&gt;0,"★期初＋本年－已收≠余额",IF(ROUND($R194+$S194-MAX(0,$T194),2)&lt;&gt;0,"★已开票＋未开票≠欠款",IF(ROUND($J194+$K194-$I194,2)&lt;&gt;0,"★合同款＋合同外款≠本年应收",IF(ROUND($O194+$P194+$Q194-$N194,2)&lt;&gt;0,"★发票＋收据＋现金≠本年已收","OK")))))</f>
        <v/>
      </c>
      <c r="Y194" s="35" t="str">
        <f aca="false">IF(维保合同!$C194="","",维保合同!$E194)</f>
        <v/>
      </c>
      <c r="Z194" s="40" t="str">
        <f aca="false">IF($Y194="","",ROUND(SUMIFS(应收金额,应收键,$Y194,应收年度,"&gt;"&amp;管理年度)-SUMIFS(收款金额,收款键,$Y194,收款年度,"&gt;"&amp;管理年度),2))</f>
        <v/>
      </c>
      <c r="AA194" s="47" t="str">
        <f aca="false">IF($Y194="","",IF(SUMPRODUCT(MIN(IF((应收键=$Y194)*(应收未收&gt;0.01),应收日期,999999)))&gt;=999999,"",SUMPRODUCT(MIN(IF((应收键=$Y194)*(应收未收&gt;0.01),应收日期,999999)))))</f>
        <v/>
      </c>
    </row>
    <row r="195" customFormat="false" ht="15" hidden="false" customHeight="false" outlineLevel="0" collapsed="false">
      <c r="A195" s="29" t="str">
        <f aca="false">IF($Y195="","",ROW()-4)</f>
        <v/>
      </c>
      <c r="B195" s="16" t="str">
        <f aca="false">IF($Y195="","",维保合同!$C195)</f>
        <v/>
      </c>
      <c r="C195" s="16" t="str">
        <f aca="false">IF($Y195="","",维保合同!$D195)</f>
        <v/>
      </c>
      <c r="D195" s="35" t="str">
        <f aca="false">IF($Y195="","",维保合同!$F195)</f>
        <v/>
      </c>
      <c r="E195" s="35" t="str">
        <f aca="false">IF($Y195="","",维保合同!$G195)</f>
        <v/>
      </c>
      <c r="F195" s="47" t="str">
        <f aca="false">IF($Y195="","",维保合同!$I195)</f>
        <v/>
      </c>
      <c r="G195" s="38" t="str">
        <f aca="false">IF($Y195="","",维保合同!$K195)</f>
        <v/>
      </c>
      <c r="H195" s="41" t="str">
        <f aca="false">IF($Y195="","",ROUND(SUMIFS(应收金额,应收键,$Y195,应收年度,"&lt;"&amp;管理年度)-SUMIFS(收款金额,收款键,$Y195,收款年度,"&lt;"&amp;管理年度),2))</f>
        <v/>
      </c>
      <c r="I195" s="40" t="str">
        <f aca="false">IF($Y195="","",ROUND(SUMIFS(应收金额,应收键,$Y195,应收年度,管理年度),2))</f>
        <v/>
      </c>
      <c r="J195" s="40" t="str">
        <f aca="false">IF($Y195="","",ROUND(SUMIFS(应收金额,应收键,$Y195,应收年度,管理年度,应收款别,"合同款"),2))</f>
        <v/>
      </c>
      <c r="K195" s="40" t="str">
        <f aca="false">IF($Y195="","",ROUND($I195-$J195,2))</f>
        <v/>
      </c>
      <c r="L195" s="40" t="str">
        <f aca="false">IF($Y195="","",ROUND(SUMIFS(应收开票额,应收键,$Y195,应收开票年度,管理年度),2))</f>
        <v/>
      </c>
      <c r="M195" s="40" t="str">
        <f aca="false">IF($Y195="","",ROUND($I195-$L195,2))</f>
        <v/>
      </c>
      <c r="N195" s="40" t="str">
        <f aca="false">IF($Y195="","",ROUND(SUMIFS(收款金额,收款键,$Y195,收款年度,管理年度),2))</f>
        <v/>
      </c>
      <c r="O195" s="40" t="str">
        <f aca="false">IF($Y195="","",ROUND(SUMIFS(收款金额,收款键,$Y195,收款年度,管理年度,收款归类,"发票"),2))</f>
        <v/>
      </c>
      <c r="P195" s="40" t="str">
        <f aca="false">IF($Y195="","",ROUND(SUMIFS(收款金额,收款键,$Y195,收款年度,管理年度,收款归类,"收据"),2))</f>
        <v/>
      </c>
      <c r="Q195" s="40" t="str">
        <f aca="false">IF($Y195="","",ROUND(SUMIFS(收款金额,收款键,$Y195,收款年度,管理年度,收款归类,"现金无票"),2))</f>
        <v/>
      </c>
      <c r="R195" s="40" t="str">
        <f aca="false">IF($Y195="","",ROUND(MAX(0,MIN($T195,SUMIF(应收键,$Y195,应收开票额)-SUMIF(收款键,$Y195,收款金额))),2))</f>
        <v/>
      </c>
      <c r="S195" s="40" t="str">
        <f aca="false">IF($Y195="","",ROUND(MAX(0,$T195)-$R195,2))</f>
        <v/>
      </c>
      <c r="T195" s="48" t="str">
        <f aca="false">IF($Y195="","",ROUND(SUMIF(应收键,$Y195,应收金额)-SUMIF(收款键,$Y195,收款金额),2))</f>
        <v/>
      </c>
      <c r="U195" s="49" t="str">
        <f aca="true">IF($AA195="","",IF($T195&lt;=0.01,"",MAX(0,TODAY()-$AA195)))</f>
        <v/>
      </c>
      <c r="V195" s="50" t="str">
        <f aca="true">IF($Y195="","",IF($T195&gt;0.01,IF(AND(ISNUMBER($U195),$U195&gt;=账龄预警天),"▲欠款拖了 "&amp;TEXT($U195,"0")&amp;" 天","欠款未清"),IF($T195&lt;-0.01,"预收/多收","已结清"))&amp;IF(OR($E195="已签未回",$E195="未签",$E195="续签中")," ▲合同未回","")&amp;IF(AND(ISNUMBER($F195),$F195&lt;TODAY())," ▲合同已到期",""))</f>
        <v/>
      </c>
      <c r="W195" s="24"/>
      <c r="X195" s="35" t="str">
        <f aca="false">IF($Y195="","",IF(ROUND($H195+$I195-$N195+$Z195-$T195,2)&lt;&gt;0,"★期初＋本年－已收≠余额",IF(ROUND($R195+$S195-MAX(0,$T195),2)&lt;&gt;0,"★已开票＋未开票≠欠款",IF(ROUND($J195+$K195-$I195,2)&lt;&gt;0,"★合同款＋合同外款≠本年应收",IF(ROUND($O195+$P195+$Q195-$N195,2)&lt;&gt;0,"★发票＋收据＋现金≠本年已收","OK")))))</f>
        <v/>
      </c>
      <c r="Y195" s="35" t="str">
        <f aca="false">IF(维保合同!$C195="","",维保合同!$E195)</f>
        <v/>
      </c>
      <c r="Z195" s="40" t="str">
        <f aca="false">IF($Y195="","",ROUND(SUMIFS(应收金额,应收键,$Y195,应收年度,"&gt;"&amp;管理年度)-SUMIFS(收款金额,收款键,$Y195,收款年度,"&gt;"&amp;管理年度),2))</f>
        <v/>
      </c>
      <c r="AA195" s="47" t="str">
        <f aca="false">IF($Y195="","",IF(SUMPRODUCT(MIN(IF((应收键=$Y195)*(应收未收&gt;0.01),应收日期,999999)))&gt;=999999,"",SUMPRODUCT(MIN(IF((应收键=$Y195)*(应收未收&gt;0.01),应收日期,999999)))))</f>
        <v/>
      </c>
    </row>
    <row r="196" customFormat="false" ht="15" hidden="false" customHeight="false" outlineLevel="0" collapsed="false">
      <c r="A196" s="29" t="str">
        <f aca="false">IF($Y196="","",ROW()-4)</f>
        <v/>
      </c>
      <c r="B196" s="16" t="str">
        <f aca="false">IF($Y196="","",维保合同!$C196)</f>
        <v/>
      </c>
      <c r="C196" s="16" t="str">
        <f aca="false">IF($Y196="","",维保合同!$D196)</f>
        <v/>
      </c>
      <c r="D196" s="35" t="str">
        <f aca="false">IF($Y196="","",维保合同!$F196)</f>
        <v/>
      </c>
      <c r="E196" s="35" t="str">
        <f aca="false">IF($Y196="","",维保合同!$G196)</f>
        <v/>
      </c>
      <c r="F196" s="47" t="str">
        <f aca="false">IF($Y196="","",维保合同!$I196)</f>
        <v/>
      </c>
      <c r="G196" s="38" t="str">
        <f aca="false">IF($Y196="","",维保合同!$K196)</f>
        <v/>
      </c>
      <c r="H196" s="41" t="str">
        <f aca="false">IF($Y196="","",ROUND(SUMIFS(应收金额,应收键,$Y196,应收年度,"&lt;"&amp;管理年度)-SUMIFS(收款金额,收款键,$Y196,收款年度,"&lt;"&amp;管理年度),2))</f>
        <v/>
      </c>
      <c r="I196" s="40" t="str">
        <f aca="false">IF($Y196="","",ROUND(SUMIFS(应收金额,应收键,$Y196,应收年度,管理年度),2))</f>
        <v/>
      </c>
      <c r="J196" s="40" t="str">
        <f aca="false">IF($Y196="","",ROUND(SUMIFS(应收金额,应收键,$Y196,应收年度,管理年度,应收款别,"合同款"),2))</f>
        <v/>
      </c>
      <c r="K196" s="40" t="str">
        <f aca="false">IF($Y196="","",ROUND($I196-$J196,2))</f>
        <v/>
      </c>
      <c r="L196" s="40" t="str">
        <f aca="false">IF($Y196="","",ROUND(SUMIFS(应收开票额,应收键,$Y196,应收开票年度,管理年度),2))</f>
        <v/>
      </c>
      <c r="M196" s="40" t="str">
        <f aca="false">IF($Y196="","",ROUND($I196-$L196,2))</f>
        <v/>
      </c>
      <c r="N196" s="40" t="str">
        <f aca="false">IF($Y196="","",ROUND(SUMIFS(收款金额,收款键,$Y196,收款年度,管理年度),2))</f>
        <v/>
      </c>
      <c r="O196" s="40" t="str">
        <f aca="false">IF($Y196="","",ROUND(SUMIFS(收款金额,收款键,$Y196,收款年度,管理年度,收款归类,"发票"),2))</f>
        <v/>
      </c>
      <c r="P196" s="40" t="str">
        <f aca="false">IF($Y196="","",ROUND(SUMIFS(收款金额,收款键,$Y196,收款年度,管理年度,收款归类,"收据"),2))</f>
        <v/>
      </c>
      <c r="Q196" s="40" t="str">
        <f aca="false">IF($Y196="","",ROUND(SUMIFS(收款金额,收款键,$Y196,收款年度,管理年度,收款归类,"现金无票"),2))</f>
        <v/>
      </c>
      <c r="R196" s="40" t="str">
        <f aca="false">IF($Y196="","",ROUND(MAX(0,MIN($T196,SUMIF(应收键,$Y196,应收开票额)-SUMIF(收款键,$Y196,收款金额))),2))</f>
        <v/>
      </c>
      <c r="S196" s="40" t="str">
        <f aca="false">IF($Y196="","",ROUND(MAX(0,$T196)-$R196,2))</f>
        <v/>
      </c>
      <c r="T196" s="48" t="str">
        <f aca="false">IF($Y196="","",ROUND(SUMIF(应收键,$Y196,应收金额)-SUMIF(收款键,$Y196,收款金额),2))</f>
        <v/>
      </c>
      <c r="U196" s="49" t="str">
        <f aca="true">IF($AA196="","",IF($T196&lt;=0.01,"",MAX(0,TODAY()-$AA196)))</f>
        <v/>
      </c>
      <c r="V196" s="50" t="str">
        <f aca="true">IF($Y196="","",IF($T196&gt;0.01,IF(AND(ISNUMBER($U196),$U196&gt;=账龄预警天),"▲欠款拖了 "&amp;TEXT($U196,"0")&amp;" 天","欠款未清"),IF($T196&lt;-0.01,"预收/多收","已结清"))&amp;IF(OR($E196="已签未回",$E196="未签",$E196="续签中")," ▲合同未回","")&amp;IF(AND(ISNUMBER($F196),$F196&lt;TODAY())," ▲合同已到期",""))</f>
        <v/>
      </c>
      <c r="W196" s="24"/>
      <c r="X196" s="35" t="str">
        <f aca="false">IF($Y196="","",IF(ROUND($H196+$I196-$N196+$Z196-$T196,2)&lt;&gt;0,"★期初＋本年－已收≠余额",IF(ROUND($R196+$S196-MAX(0,$T196),2)&lt;&gt;0,"★已开票＋未开票≠欠款",IF(ROUND($J196+$K196-$I196,2)&lt;&gt;0,"★合同款＋合同外款≠本年应收",IF(ROUND($O196+$P196+$Q196-$N196,2)&lt;&gt;0,"★发票＋收据＋现金≠本年已收","OK")))))</f>
        <v/>
      </c>
      <c r="Y196" s="35" t="str">
        <f aca="false">IF(维保合同!$C196="","",维保合同!$E196)</f>
        <v/>
      </c>
      <c r="Z196" s="40" t="str">
        <f aca="false">IF($Y196="","",ROUND(SUMIFS(应收金额,应收键,$Y196,应收年度,"&gt;"&amp;管理年度)-SUMIFS(收款金额,收款键,$Y196,收款年度,"&gt;"&amp;管理年度),2))</f>
        <v/>
      </c>
      <c r="AA196" s="47" t="str">
        <f aca="false">IF($Y196="","",IF(SUMPRODUCT(MIN(IF((应收键=$Y196)*(应收未收&gt;0.01),应收日期,999999)))&gt;=999999,"",SUMPRODUCT(MIN(IF((应收键=$Y196)*(应收未收&gt;0.01),应收日期,999999)))))</f>
        <v/>
      </c>
    </row>
    <row r="197" customFormat="false" ht="15" hidden="false" customHeight="false" outlineLevel="0" collapsed="false">
      <c r="A197" s="29" t="str">
        <f aca="false">IF($Y197="","",ROW()-4)</f>
        <v/>
      </c>
      <c r="B197" s="16" t="str">
        <f aca="false">IF($Y197="","",维保合同!$C197)</f>
        <v/>
      </c>
      <c r="C197" s="16" t="str">
        <f aca="false">IF($Y197="","",维保合同!$D197)</f>
        <v/>
      </c>
      <c r="D197" s="35" t="str">
        <f aca="false">IF($Y197="","",维保合同!$F197)</f>
        <v/>
      </c>
      <c r="E197" s="35" t="str">
        <f aca="false">IF($Y197="","",维保合同!$G197)</f>
        <v/>
      </c>
      <c r="F197" s="47" t="str">
        <f aca="false">IF($Y197="","",维保合同!$I197)</f>
        <v/>
      </c>
      <c r="G197" s="38" t="str">
        <f aca="false">IF($Y197="","",维保合同!$K197)</f>
        <v/>
      </c>
      <c r="H197" s="41" t="str">
        <f aca="false">IF($Y197="","",ROUND(SUMIFS(应收金额,应收键,$Y197,应收年度,"&lt;"&amp;管理年度)-SUMIFS(收款金额,收款键,$Y197,收款年度,"&lt;"&amp;管理年度),2))</f>
        <v/>
      </c>
      <c r="I197" s="40" t="str">
        <f aca="false">IF($Y197="","",ROUND(SUMIFS(应收金额,应收键,$Y197,应收年度,管理年度),2))</f>
        <v/>
      </c>
      <c r="J197" s="40" t="str">
        <f aca="false">IF($Y197="","",ROUND(SUMIFS(应收金额,应收键,$Y197,应收年度,管理年度,应收款别,"合同款"),2))</f>
        <v/>
      </c>
      <c r="K197" s="40" t="str">
        <f aca="false">IF($Y197="","",ROUND($I197-$J197,2))</f>
        <v/>
      </c>
      <c r="L197" s="40" t="str">
        <f aca="false">IF($Y197="","",ROUND(SUMIFS(应收开票额,应收键,$Y197,应收开票年度,管理年度),2))</f>
        <v/>
      </c>
      <c r="M197" s="40" t="str">
        <f aca="false">IF($Y197="","",ROUND($I197-$L197,2))</f>
        <v/>
      </c>
      <c r="N197" s="40" t="str">
        <f aca="false">IF($Y197="","",ROUND(SUMIFS(收款金额,收款键,$Y197,收款年度,管理年度),2))</f>
        <v/>
      </c>
      <c r="O197" s="40" t="str">
        <f aca="false">IF($Y197="","",ROUND(SUMIFS(收款金额,收款键,$Y197,收款年度,管理年度,收款归类,"发票"),2))</f>
        <v/>
      </c>
      <c r="P197" s="40" t="str">
        <f aca="false">IF($Y197="","",ROUND(SUMIFS(收款金额,收款键,$Y197,收款年度,管理年度,收款归类,"收据"),2))</f>
        <v/>
      </c>
      <c r="Q197" s="40" t="str">
        <f aca="false">IF($Y197="","",ROUND(SUMIFS(收款金额,收款键,$Y197,收款年度,管理年度,收款归类,"现金无票"),2))</f>
        <v/>
      </c>
      <c r="R197" s="40" t="str">
        <f aca="false">IF($Y197="","",ROUND(MAX(0,MIN($T197,SUMIF(应收键,$Y197,应收开票额)-SUMIF(收款键,$Y197,收款金额))),2))</f>
        <v/>
      </c>
      <c r="S197" s="40" t="str">
        <f aca="false">IF($Y197="","",ROUND(MAX(0,$T197)-$R197,2))</f>
        <v/>
      </c>
      <c r="T197" s="48" t="str">
        <f aca="false">IF($Y197="","",ROUND(SUMIF(应收键,$Y197,应收金额)-SUMIF(收款键,$Y197,收款金额),2))</f>
        <v/>
      </c>
      <c r="U197" s="49" t="str">
        <f aca="true">IF($AA197="","",IF($T197&lt;=0.01,"",MAX(0,TODAY()-$AA197)))</f>
        <v/>
      </c>
      <c r="V197" s="50" t="str">
        <f aca="true">IF($Y197="","",IF($T197&gt;0.01,IF(AND(ISNUMBER($U197),$U197&gt;=账龄预警天),"▲欠款拖了 "&amp;TEXT($U197,"0")&amp;" 天","欠款未清"),IF($T197&lt;-0.01,"预收/多收","已结清"))&amp;IF(OR($E197="已签未回",$E197="未签",$E197="续签中")," ▲合同未回","")&amp;IF(AND(ISNUMBER($F197),$F197&lt;TODAY())," ▲合同已到期",""))</f>
        <v/>
      </c>
      <c r="W197" s="24"/>
      <c r="X197" s="35" t="str">
        <f aca="false">IF($Y197="","",IF(ROUND($H197+$I197-$N197+$Z197-$T197,2)&lt;&gt;0,"★期初＋本年－已收≠余额",IF(ROUND($R197+$S197-MAX(0,$T197),2)&lt;&gt;0,"★已开票＋未开票≠欠款",IF(ROUND($J197+$K197-$I197,2)&lt;&gt;0,"★合同款＋合同外款≠本年应收",IF(ROUND($O197+$P197+$Q197-$N197,2)&lt;&gt;0,"★发票＋收据＋现金≠本年已收","OK")))))</f>
        <v/>
      </c>
      <c r="Y197" s="35" t="str">
        <f aca="false">IF(维保合同!$C197="","",维保合同!$E197)</f>
        <v/>
      </c>
      <c r="Z197" s="40" t="str">
        <f aca="false">IF($Y197="","",ROUND(SUMIFS(应收金额,应收键,$Y197,应收年度,"&gt;"&amp;管理年度)-SUMIFS(收款金额,收款键,$Y197,收款年度,"&gt;"&amp;管理年度),2))</f>
        <v/>
      </c>
      <c r="AA197" s="47" t="str">
        <f aca="false">IF($Y197="","",IF(SUMPRODUCT(MIN(IF((应收键=$Y197)*(应收未收&gt;0.01),应收日期,999999)))&gt;=999999,"",SUMPRODUCT(MIN(IF((应收键=$Y197)*(应收未收&gt;0.01),应收日期,999999)))))</f>
        <v/>
      </c>
    </row>
    <row r="198" customFormat="false" ht="15" hidden="false" customHeight="false" outlineLevel="0" collapsed="false">
      <c r="A198" s="29" t="str">
        <f aca="false">IF($Y198="","",ROW()-4)</f>
        <v/>
      </c>
      <c r="B198" s="16" t="str">
        <f aca="false">IF($Y198="","",维保合同!$C198)</f>
        <v/>
      </c>
      <c r="C198" s="16" t="str">
        <f aca="false">IF($Y198="","",维保合同!$D198)</f>
        <v/>
      </c>
      <c r="D198" s="35" t="str">
        <f aca="false">IF($Y198="","",维保合同!$F198)</f>
        <v/>
      </c>
      <c r="E198" s="35" t="str">
        <f aca="false">IF($Y198="","",维保合同!$G198)</f>
        <v/>
      </c>
      <c r="F198" s="47" t="str">
        <f aca="false">IF($Y198="","",维保合同!$I198)</f>
        <v/>
      </c>
      <c r="G198" s="38" t="str">
        <f aca="false">IF($Y198="","",维保合同!$K198)</f>
        <v/>
      </c>
      <c r="H198" s="41" t="str">
        <f aca="false">IF($Y198="","",ROUND(SUMIFS(应收金额,应收键,$Y198,应收年度,"&lt;"&amp;管理年度)-SUMIFS(收款金额,收款键,$Y198,收款年度,"&lt;"&amp;管理年度),2))</f>
        <v/>
      </c>
      <c r="I198" s="40" t="str">
        <f aca="false">IF($Y198="","",ROUND(SUMIFS(应收金额,应收键,$Y198,应收年度,管理年度),2))</f>
        <v/>
      </c>
      <c r="J198" s="40" t="str">
        <f aca="false">IF($Y198="","",ROUND(SUMIFS(应收金额,应收键,$Y198,应收年度,管理年度,应收款别,"合同款"),2))</f>
        <v/>
      </c>
      <c r="K198" s="40" t="str">
        <f aca="false">IF($Y198="","",ROUND($I198-$J198,2))</f>
        <v/>
      </c>
      <c r="L198" s="40" t="str">
        <f aca="false">IF($Y198="","",ROUND(SUMIFS(应收开票额,应收键,$Y198,应收开票年度,管理年度),2))</f>
        <v/>
      </c>
      <c r="M198" s="40" t="str">
        <f aca="false">IF($Y198="","",ROUND($I198-$L198,2))</f>
        <v/>
      </c>
      <c r="N198" s="40" t="str">
        <f aca="false">IF($Y198="","",ROUND(SUMIFS(收款金额,收款键,$Y198,收款年度,管理年度),2))</f>
        <v/>
      </c>
      <c r="O198" s="40" t="str">
        <f aca="false">IF($Y198="","",ROUND(SUMIFS(收款金额,收款键,$Y198,收款年度,管理年度,收款归类,"发票"),2))</f>
        <v/>
      </c>
      <c r="P198" s="40" t="str">
        <f aca="false">IF($Y198="","",ROUND(SUMIFS(收款金额,收款键,$Y198,收款年度,管理年度,收款归类,"收据"),2))</f>
        <v/>
      </c>
      <c r="Q198" s="40" t="str">
        <f aca="false">IF($Y198="","",ROUND(SUMIFS(收款金额,收款键,$Y198,收款年度,管理年度,收款归类,"现金无票"),2))</f>
        <v/>
      </c>
      <c r="R198" s="40" t="str">
        <f aca="false">IF($Y198="","",ROUND(MAX(0,MIN($T198,SUMIF(应收键,$Y198,应收开票额)-SUMIF(收款键,$Y198,收款金额))),2))</f>
        <v/>
      </c>
      <c r="S198" s="40" t="str">
        <f aca="false">IF($Y198="","",ROUND(MAX(0,$T198)-$R198,2))</f>
        <v/>
      </c>
      <c r="T198" s="48" t="str">
        <f aca="false">IF($Y198="","",ROUND(SUMIF(应收键,$Y198,应收金额)-SUMIF(收款键,$Y198,收款金额),2))</f>
        <v/>
      </c>
      <c r="U198" s="49" t="str">
        <f aca="true">IF($AA198="","",IF($T198&lt;=0.01,"",MAX(0,TODAY()-$AA198)))</f>
        <v/>
      </c>
      <c r="V198" s="50" t="str">
        <f aca="true">IF($Y198="","",IF($T198&gt;0.01,IF(AND(ISNUMBER($U198),$U198&gt;=账龄预警天),"▲欠款拖了 "&amp;TEXT($U198,"0")&amp;" 天","欠款未清"),IF($T198&lt;-0.01,"预收/多收","已结清"))&amp;IF(OR($E198="已签未回",$E198="未签",$E198="续签中")," ▲合同未回","")&amp;IF(AND(ISNUMBER($F198),$F198&lt;TODAY())," ▲合同已到期",""))</f>
        <v/>
      </c>
      <c r="W198" s="24"/>
      <c r="X198" s="35" t="str">
        <f aca="false">IF($Y198="","",IF(ROUND($H198+$I198-$N198+$Z198-$T198,2)&lt;&gt;0,"★期初＋本年－已收≠余额",IF(ROUND($R198+$S198-MAX(0,$T198),2)&lt;&gt;0,"★已开票＋未开票≠欠款",IF(ROUND($J198+$K198-$I198,2)&lt;&gt;0,"★合同款＋合同外款≠本年应收",IF(ROUND($O198+$P198+$Q198-$N198,2)&lt;&gt;0,"★发票＋收据＋现金≠本年已收","OK")))))</f>
        <v/>
      </c>
      <c r="Y198" s="35" t="str">
        <f aca="false">IF(维保合同!$C198="","",维保合同!$E198)</f>
        <v/>
      </c>
      <c r="Z198" s="40" t="str">
        <f aca="false">IF($Y198="","",ROUND(SUMIFS(应收金额,应收键,$Y198,应收年度,"&gt;"&amp;管理年度)-SUMIFS(收款金额,收款键,$Y198,收款年度,"&gt;"&amp;管理年度),2))</f>
        <v/>
      </c>
      <c r="AA198" s="47" t="str">
        <f aca="false">IF($Y198="","",IF(SUMPRODUCT(MIN(IF((应收键=$Y198)*(应收未收&gt;0.01),应收日期,999999)))&gt;=999999,"",SUMPRODUCT(MIN(IF((应收键=$Y198)*(应收未收&gt;0.01),应收日期,999999)))))</f>
        <v/>
      </c>
    </row>
    <row r="199" customFormat="false" ht="15" hidden="false" customHeight="false" outlineLevel="0" collapsed="false">
      <c r="A199" s="29" t="str">
        <f aca="false">IF($Y199="","",ROW()-4)</f>
        <v/>
      </c>
      <c r="B199" s="16" t="str">
        <f aca="false">IF($Y199="","",维保合同!$C199)</f>
        <v/>
      </c>
      <c r="C199" s="16" t="str">
        <f aca="false">IF($Y199="","",维保合同!$D199)</f>
        <v/>
      </c>
      <c r="D199" s="35" t="str">
        <f aca="false">IF($Y199="","",维保合同!$F199)</f>
        <v/>
      </c>
      <c r="E199" s="35" t="str">
        <f aca="false">IF($Y199="","",维保合同!$G199)</f>
        <v/>
      </c>
      <c r="F199" s="47" t="str">
        <f aca="false">IF($Y199="","",维保合同!$I199)</f>
        <v/>
      </c>
      <c r="G199" s="38" t="str">
        <f aca="false">IF($Y199="","",维保合同!$K199)</f>
        <v/>
      </c>
      <c r="H199" s="41" t="str">
        <f aca="false">IF($Y199="","",ROUND(SUMIFS(应收金额,应收键,$Y199,应收年度,"&lt;"&amp;管理年度)-SUMIFS(收款金额,收款键,$Y199,收款年度,"&lt;"&amp;管理年度),2))</f>
        <v/>
      </c>
      <c r="I199" s="40" t="str">
        <f aca="false">IF($Y199="","",ROUND(SUMIFS(应收金额,应收键,$Y199,应收年度,管理年度),2))</f>
        <v/>
      </c>
      <c r="J199" s="40" t="str">
        <f aca="false">IF($Y199="","",ROUND(SUMIFS(应收金额,应收键,$Y199,应收年度,管理年度,应收款别,"合同款"),2))</f>
        <v/>
      </c>
      <c r="K199" s="40" t="str">
        <f aca="false">IF($Y199="","",ROUND($I199-$J199,2))</f>
        <v/>
      </c>
      <c r="L199" s="40" t="str">
        <f aca="false">IF($Y199="","",ROUND(SUMIFS(应收开票额,应收键,$Y199,应收开票年度,管理年度),2))</f>
        <v/>
      </c>
      <c r="M199" s="40" t="str">
        <f aca="false">IF($Y199="","",ROUND($I199-$L199,2))</f>
        <v/>
      </c>
      <c r="N199" s="40" t="str">
        <f aca="false">IF($Y199="","",ROUND(SUMIFS(收款金额,收款键,$Y199,收款年度,管理年度),2))</f>
        <v/>
      </c>
      <c r="O199" s="40" t="str">
        <f aca="false">IF($Y199="","",ROUND(SUMIFS(收款金额,收款键,$Y199,收款年度,管理年度,收款归类,"发票"),2))</f>
        <v/>
      </c>
      <c r="P199" s="40" t="str">
        <f aca="false">IF($Y199="","",ROUND(SUMIFS(收款金额,收款键,$Y199,收款年度,管理年度,收款归类,"收据"),2))</f>
        <v/>
      </c>
      <c r="Q199" s="40" t="str">
        <f aca="false">IF($Y199="","",ROUND(SUMIFS(收款金额,收款键,$Y199,收款年度,管理年度,收款归类,"现金无票"),2))</f>
        <v/>
      </c>
      <c r="R199" s="40" t="str">
        <f aca="false">IF($Y199="","",ROUND(MAX(0,MIN($T199,SUMIF(应收键,$Y199,应收开票额)-SUMIF(收款键,$Y199,收款金额))),2))</f>
        <v/>
      </c>
      <c r="S199" s="40" t="str">
        <f aca="false">IF($Y199="","",ROUND(MAX(0,$T199)-$R199,2))</f>
        <v/>
      </c>
      <c r="T199" s="48" t="str">
        <f aca="false">IF($Y199="","",ROUND(SUMIF(应收键,$Y199,应收金额)-SUMIF(收款键,$Y199,收款金额),2))</f>
        <v/>
      </c>
      <c r="U199" s="49" t="str">
        <f aca="true">IF($AA199="","",IF($T199&lt;=0.01,"",MAX(0,TODAY()-$AA199)))</f>
        <v/>
      </c>
      <c r="V199" s="50" t="str">
        <f aca="true">IF($Y199="","",IF($T199&gt;0.01,IF(AND(ISNUMBER($U199),$U199&gt;=账龄预警天),"▲欠款拖了 "&amp;TEXT($U199,"0")&amp;" 天","欠款未清"),IF($T199&lt;-0.01,"预收/多收","已结清"))&amp;IF(OR($E199="已签未回",$E199="未签",$E199="续签中")," ▲合同未回","")&amp;IF(AND(ISNUMBER($F199),$F199&lt;TODAY())," ▲合同已到期",""))</f>
        <v/>
      </c>
      <c r="W199" s="24"/>
      <c r="X199" s="35" t="str">
        <f aca="false">IF($Y199="","",IF(ROUND($H199+$I199-$N199+$Z199-$T199,2)&lt;&gt;0,"★期初＋本年－已收≠余额",IF(ROUND($R199+$S199-MAX(0,$T199),2)&lt;&gt;0,"★已开票＋未开票≠欠款",IF(ROUND($J199+$K199-$I199,2)&lt;&gt;0,"★合同款＋合同外款≠本年应收",IF(ROUND($O199+$P199+$Q199-$N199,2)&lt;&gt;0,"★发票＋收据＋现金≠本年已收","OK")))))</f>
        <v/>
      </c>
      <c r="Y199" s="35" t="str">
        <f aca="false">IF(维保合同!$C199="","",维保合同!$E199)</f>
        <v/>
      </c>
      <c r="Z199" s="40" t="str">
        <f aca="false">IF($Y199="","",ROUND(SUMIFS(应收金额,应收键,$Y199,应收年度,"&gt;"&amp;管理年度)-SUMIFS(收款金额,收款键,$Y199,收款年度,"&gt;"&amp;管理年度),2))</f>
        <v/>
      </c>
      <c r="AA199" s="47" t="str">
        <f aca="false">IF($Y199="","",IF(SUMPRODUCT(MIN(IF((应收键=$Y199)*(应收未收&gt;0.01),应收日期,999999)))&gt;=999999,"",SUMPRODUCT(MIN(IF((应收键=$Y199)*(应收未收&gt;0.01),应收日期,999999)))))</f>
        <v/>
      </c>
    </row>
    <row r="200" customFormat="false" ht="15" hidden="false" customHeight="false" outlineLevel="0" collapsed="false">
      <c r="A200" s="29" t="str">
        <f aca="false">IF($Y200="","",ROW()-4)</f>
        <v/>
      </c>
      <c r="B200" s="16" t="str">
        <f aca="false">IF($Y200="","",维保合同!$C200)</f>
        <v/>
      </c>
      <c r="C200" s="16" t="str">
        <f aca="false">IF($Y200="","",维保合同!$D200)</f>
        <v/>
      </c>
      <c r="D200" s="35" t="str">
        <f aca="false">IF($Y200="","",维保合同!$F200)</f>
        <v/>
      </c>
      <c r="E200" s="35" t="str">
        <f aca="false">IF($Y200="","",维保合同!$G200)</f>
        <v/>
      </c>
      <c r="F200" s="47" t="str">
        <f aca="false">IF($Y200="","",维保合同!$I200)</f>
        <v/>
      </c>
      <c r="G200" s="38" t="str">
        <f aca="false">IF($Y200="","",维保合同!$K200)</f>
        <v/>
      </c>
      <c r="H200" s="41" t="str">
        <f aca="false">IF($Y200="","",ROUND(SUMIFS(应收金额,应收键,$Y200,应收年度,"&lt;"&amp;管理年度)-SUMIFS(收款金额,收款键,$Y200,收款年度,"&lt;"&amp;管理年度),2))</f>
        <v/>
      </c>
      <c r="I200" s="40" t="str">
        <f aca="false">IF($Y200="","",ROUND(SUMIFS(应收金额,应收键,$Y200,应收年度,管理年度),2))</f>
        <v/>
      </c>
      <c r="J200" s="40" t="str">
        <f aca="false">IF($Y200="","",ROUND(SUMIFS(应收金额,应收键,$Y200,应收年度,管理年度,应收款别,"合同款"),2))</f>
        <v/>
      </c>
      <c r="K200" s="40" t="str">
        <f aca="false">IF($Y200="","",ROUND($I200-$J200,2))</f>
        <v/>
      </c>
      <c r="L200" s="40" t="str">
        <f aca="false">IF($Y200="","",ROUND(SUMIFS(应收开票额,应收键,$Y200,应收开票年度,管理年度),2))</f>
        <v/>
      </c>
      <c r="M200" s="40" t="str">
        <f aca="false">IF($Y200="","",ROUND($I200-$L200,2))</f>
        <v/>
      </c>
      <c r="N200" s="40" t="str">
        <f aca="false">IF($Y200="","",ROUND(SUMIFS(收款金额,收款键,$Y200,收款年度,管理年度),2))</f>
        <v/>
      </c>
      <c r="O200" s="40" t="str">
        <f aca="false">IF($Y200="","",ROUND(SUMIFS(收款金额,收款键,$Y200,收款年度,管理年度,收款归类,"发票"),2))</f>
        <v/>
      </c>
      <c r="P200" s="40" t="str">
        <f aca="false">IF($Y200="","",ROUND(SUMIFS(收款金额,收款键,$Y200,收款年度,管理年度,收款归类,"收据"),2))</f>
        <v/>
      </c>
      <c r="Q200" s="40" t="str">
        <f aca="false">IF($Y200="","",ROUND(SUMIFS(收款金额,收款键,$Y200,收款年度,管理年度,收款归类,"现金无票"),2))</f>
        <v/>
      </c>
      <c r="R200" s="40" t="str">
        <f aca="false">IF($Y200="","",ROUND(MAX(0,MIN($T200,SUMIF(应收键,$Y200,应收开票额)-SUMIF(收款键,$Y200,收款金额))),2))</f>
        <v/>
      </c>
      <c r="S200" s="40" t="str">
        <f aca="false">IF($Y200="","",ROUND(MAX(0,$T200)-$R200,2))</f>
        <v/>
      </c>
      <c r="T200" s="48" t="str">
        <f aca="false">IF($Y200="","",ROUND(SUMIF(应收键,$Y200,应收金额)-SUMIF(收款键,$Y200,收款金额),2))</f>
        <v/>
      </c>
      <c r="U200" s="49" t="str">
        <f aca="true">IF($AA200="","",IF($T200&lt;=0.01,"",MAX(0,TODAY()-$AA200)))</f>
        <v/>
      </c>
      <c r="V200" s="50" t="str">
        <f aca="true">IF($Y200="","",IF($T200&gt;0.01,IF(AND(ISNUMBER($U200),$U200&gt;=账龄预警天),"▲欠款拖了 "&amp;TEXT($U200,"0")&amp;" 天","欠款未清"),IF($T200&lt;-0.01,"预收/多收","已结清"))&amp;IF(OR($E200="已签未回",$E200="未签",$E200="续签中")," ▲合同未回","")&amp;IF(AND(ISNUMBER($F200),$F200&lt;TODAY())," ▲合同已到期",""))</f>
        <v/>
      </c>
      <c r="W200" s="24"/>
      <c r="X200" s="35" t="str">
        <f aca="false">IF($Y200="","",IF(ROUND($H200+$I200-$N200+$Z200-$T200,2)&lt;&gt;0,"★期初＋本年－已收≠余额",IF(ROUND($R200+$S200-MAX(0,$T200),2)&lt;&gt;0,"★已开票＋未开票≠欠款",IF(ROUND($J200+$K200-$I200,2)&lt;&gt;0,"★合同款＋合同外款≠本年应收",IF(ROUND($O200+$P200+$Q200-$N200,2)&lt;&gt;0,"★发票＋收据＋现金≠本年已收","OK")))))</f>
        <v/>
      </c>
      <c r="Y200" s="35" t="str">
        <f aca="false">IF(维保合同!$C200="","",维保合同!$E200)</f>
        <v/>
      </c>
      <c r="Z200" s="40" t="str">
        <f aca="false">IF($Y200="","",ROUND(SUMIFS(应收金额,应收键,$Y200,应收年度,"&gt;"&amp;管理年度)-SUMIFS(收款金额,收款键,$Y200,收款年度,"&gt;"&amp;管理年度),2))</f>
        <v/>
      </c>
      <c r="AA200" s="47" t="str">
        <f aca="false">IF($Y200="","",IF(SUMPRODUCT(MIN(IF((应收键=$Y200)*(应收未收&gt;0.01),应收日期,999999)))&gt;=999999,"",SUMPRODUCT(MIN(IF((应收键=$Y200)*(应收未收&gt;0.01),应收日期,999999)))))</f>
        <v/>
      </c>
    </row>
    <row r="201" customFormat="false" ht="15" hidden="false" customHeight="false" outlineLevel="0" collapsed="false">
      <c r="A201" s="29" t="str">
        <f aca="false">IF($Y201="","",ROW()-4)</f>
        <v/>
      </c>
      <c r="B201" s="16" t="str">
        <f aca="false">IF($Y201="","",维保合同!$C201)</f>
        <v/>
      </c>
      <c r="C201" s="16" t="str">
        <f aca="false">IF($Y201="","",维保合同!$D201)</f>
        <v/>
      </c>
      <c r="D201" s="35" t="str">
        <f aca="false">IF($Y201="","",维保合同!$F201)</f>
        <v/>
      </c>
      <c r="E201" s="35" t="str">
        <f aca="false">IF($Y201="","",维保合同!$G201)</f>
        <v/>
      </c>
      <c r="F201" s="47" t="str">
        <f aca="false">IF($Y201="","",维保合同!$I201)</f>
        <v/>
      </c>
      <c r="G201" s="38" t="str">
        <f aca="false">IF($Y201="","",维保合同!$K201)</f>
        <v/>
      </c>
      <c r="H201" s="41" t="str">
        <f aca="false">IF($Y201="","",ROUND(SUMIFS(应收金额,应收键,$Y201,应收年度,"&lt;"&amp;管理年度)-SUMIFS(收款金额,收款键,$Y201,收款年度,"&lt;"&amp;管理年度),2))</f>
        <v/>
      </c>
      <c r="I201" s="40" t="str">
        <f aca="false">IF($Y201="","",ROUND(SUMIFS(应收金额,应收键,$Y201,应收年度,管理年度),2))</f>
        <v/>
      </c>
      <c r="J201" s="40" t="str">
        <f aca="false">IF($Y201="","",ROUND(SUMIFS(应收金额,应收键,$Y201,应收年度,管理年度,应收款别,"合同款"),2))</f>
        <v/>
      </c>
      <c r="K201" s="40" t="str">
        <f aca="false">IF($Y201="","",ROUND($I201-$J201,2))</f>
        <v/>
      </c>
      <c r="L201" s="40" t="str">
        <f aca="false">IF($Y201="","",ROUND(SUMIFS(应收开票额,应收键,$Y201,应收开票年度,管理年度),2))</f>
        <v/>
      </c>
      <c r="M201" s="40" t="str">
        <f aca="false">IF($Y201="","",ROUND($I201-$L201,2))</f>
        <v/>
      </c>
      <c r="N201" s="40" t="str">
        <f aca="false">IF($Y201="","",ROUND(SUMIFS(收款金额,收款键,$Y201,收款年度,管理年度),2))</f>
        <v/>
      </c>
      <c r="O201" s="40" t="str">
        <f aca="false">IF($Y201="","",ROUND(SUMIFS(收款金额,收款键,$Y201,收款年度,管理年度,收款归类,"发票"),2))</f>
        <v/>
      </c>
      <c r="P201" s="40" t="str">
        <f aca="false">IF($Y201="","",ROUND(SUMIFS(收款金额,收款键,$Y201,收款年度,管理年度,收款归类,"收据"),2))</f>
        <v/>
      </c>
      <c r="Q201" s="40" t="str">
        <f aca="false">IF($Y201="","",ROUND(SUMIFS(收款金额,收款键,$Y201,收款年度,管理年度,收款归类,"现金无票"),2))</f>
        <v/>
      </c>
      <c r="R201" s="40" t="str">
        <f aca="false">IF($Y201="","",ROUND(MAX(0,MIN($T201,SUMIF(应收键,$Y201,应收开票额)-SUMIF(收款键,$Y201,收款金额))),2))</f>
        <v/>
      </c>
      <c r="S201" s="40" t="str">
        <f aca="false">IF($Y201="","",ROUND(MAX(0,$T201)-$R201,2))</f>
        <v/>
      </c>
      <c r="T201" s="48" t="str">
        <f aca="false">IF($Y201="","",ROUND(SUMIF(应收键,$Y201,应收金额)-SUMIF(收款键,$Y201,收款金额),2))</f>
        <v/>
      </c>
      <c r="U201" s="49" t="str">
        <f aca="true">IF($AA201="","",IF($T201&lt;=0.01,"",MAX(0,TODAY()-$AA201)))</f>
        <v/>
      </c>
      <c r="V201" s="50" t="str">
        <f aca="true">IF($Y201="","",IF($T201&gt;0.01,IF(AND(ISNUMBER($U201),$U201&gt;=账龄预警天),"▲欠款拖了 "&amp;TEXT($U201,"0")&amp;" 天","欠款未清"),IF($T201&lt;-0.01,"预收/多收","已结清"))&amp;IF(OR($E201="已签未回",$E201="未签",$E201="续签中")," ▲合同未回","")&amp;IF(AND(ISNUMBER($F201),$F201&lt;TODAY())," ▲合同已到期",""))</f>
        <v/>
      </c>
      <c r="W201" s="24"/>
      <c r="X201" s="35" t="str">
        <f aca="false">IF($Y201="","",IF(ROUND($H201+$I201-$N201+$Z201-$T201,2)&lt;&gt;0,"★期初＋本年－已收≠余额",IF(ROUND($R201+$S201-MAX(0,$T201),2)&lt;&gt;0,"★已开票＋未开票≠欠款",IF(ROUND($J201+$K201-$I201,2)&lt;&gt;0,"★合同款＋合同外款≠本年应收",IF(ROUND($O201+$P201+$Q201-$N201,2)&lt;&gt;0,"★发票＋收据＋现金≠本年已收","OK")))))</f>
        <v/>
      </c>
      <c r="Y201" s="35" t="str">
        <f aca="false">IF(维保合同!$C201="","",维保合同!$E201)</f>
        <v/>
      </c>
      <c r="Z201" s="40" t="str">
        <f aca="false">IF($Y201="","",ROUND(SUMIFS(应收金额,应收键,$Y201,应收年度,"&gt;"&amp;管理年度)-SUMIFS(收款金额,收款键,$Y201,收款年度,"&gt;"&amp;管理年度),2))</f>
        <v/>
      </c>
      <c r="AA201" s="47" t="str">
        <f aca="false">IF($Y201="","",IF(SUMPRODUCT(MIN(IF((应收键=$Y201)*(应收未收&gt;0.01),应收日期,999999)))&gt;=999999,"",SUMPRODUCT(MIN(IF((应收键=$Y201)*(应收未收&gt;0.01),应收日期,999999)))))</f>
        <v/>
      </c>
    </row>
    <row r="202" customFormat="false" ht="15" hidden="false" customHeight="false" outlineLevel="0" collapsed="false">
      <c r="A202" s="29" t="str">
        <f aca="false">IF($Y202="","",ROW()-4)</f>
        <v/>
      </c>
      <c r="B202" s="16" t="str">
        <f aca="false">IF($Y202="","",维保合同!$C202)</f>
        <v/>
      </c>
      <c r="C202" s="16" t="str">
        <f aca="false">IF($Y202="","",维保合同!$D202)</f>
        <v/>
      </c>
      <c r="D202" s="35" t="str">
        <f aca="false">IF($Y202="","",维保合同!$F202)</f>
        <v/>
      </c>
      <c r="E202" s="35" t="str">
        <f aca="false">IF($Y202="","",维保合同!$G202)</f>
        <v/>
      </c>
      <c r="F202" s="47" t="str">
        <f aca="false">IF($Y202="","",维保合同!$I202)</f>
        <v/>
      </c>
      <c r="G202" s="38" t="str">
        <f aca="false">IF($Y202="","",维保合同!$K202)</f>
        <v/>
      </c>
      <c r="H202" s="41" t="str">
        <f aca="false">IF($Y202="","",ROUND(SUMIFS(应收金额,应收键,$Y202,应收年度,"&lt;"&amp;管理年度)-SUMIFS(收款金额,收款键,$Y202,收款年度,"&lt;"&amp;管理年度),2))</f>
        <v/>
      </c>
      <c r="I202" s="40" t="str">
        <f aca="false">IF($Y202="","",ROUND(SUMIFS(应收金额,应收键,$Y202,应收年度,管理年度),2))</f>
        <v/>
      </c>
      <c r="J202" s="40" t="str">
        <f aca="false">IF($Y202="","",ROUND(SUMIFS(应收金额,应收键,$Y202,应收年度,管理年度,应收款别,"合同款"),2))</f>
        <v/>
      </c>
      <c r="K202" s="40" t="str">
        <f aca="false">IF($Y202="","",ROUND($I202-$J202,2))</f>
        <v/>
      </c>
      <c r="L202" s="40" t="str">
        <f aca="false">IF($Y202="","",ROUND(SUMIFS(应收开票额,应收键,$Y202,应收开票年度,管理年度),2))</f>
        <v/>
      </c>
      <c r="M202" s="40" t="str">
        <f aca="false">IF($Y202="","",ROUND($I202-$L202,2))</f>
        <v/>
      </c>
      <c r="N202" s="40" t="str">
        <f aca="false">IF($Y202="","",ROUND(SUMIFS(收款金额,收款键,$Y202,收款年度,管理年度),2))</f>
        <v/>
      </c>
      <c r="O202" s="40" t="str">
        <f aca="false">IF($Y202="","",ROUND(SUMIFS(收款金额,收款键,$Y202,收款年度,管理年度,收款归类,"发票"),2))</f>
        <v/>
      </c>
      <c r="P202" s="40" t="str">
        <f aca="false">IF($Y202="","",ROUND(SUMIFS(收款金额,收款键,$Y202,收款年度,管理年度,收款归类,"收据"),2))</f>
        <v/>
      </c>
      <c r="Q202" s="40" t="str">
        <f aca="false">IF($Y202="","",ROUND(SUMIFS(收款金额,收款键,$Y202,收款年度,管理年度,收款归类,"现金无票"),2))</f>
        <v/>
      </c>
      <c r="R202" s="40" t="str">
        <f aca="false">IF($Y202="","",ROUND(MAX(0,MIN($T202,SUMIF(应收键,$Y202,应收开票额)-SUMIF(收款键,$Y202,收款金额))),2))</f>
        <v/>
      </c>
      <c r="S202" s="40" t="str">
        <f aca="false">IF($Y202="","",ROUND(MAX(0,$T202)-$R202,2))</f>
        <v/>
      </c>
      <c r="T202" s="48" t="str">
        <f aca="false">IF($Y202="","",ROUND(SUMIF(应收键,$Y202,应收金额)-SUMIF(收款键,$Y202,收款金额),2))</f>
        <v/>
      </c>
      <c r="U202" s="49" t="str">
        <f aca="true">IF($AA202="","",IF($T202&lt;=0.01,"",MAX(0,TODAY()-$AA202)))</f>
        <v/>
      </c>
      <c r="V202" s="50" t="str">
        <f aca="true">IF($Y202="","",IF($T202&gt;0.01,IF(AND(ISNUMBER($U202),$U202&gt;=账龄预警天),"▲欠款拖了 "&amp;TEXT($U202,"0")&amp;" 天","欠款未清"),IF($T202&lt;-0.01,"预收/多收","已结清"))&amp;IF(OR($E202="已签未回",$E202="未签",$E202="续签中")," ▲合同未回","")&amp;IF(AND(ISNUMBER($F202),$F202&lt;TODAY())," ▲合同已到期",""))</f>
        <v/>
      </c>
      <c r="W202" s="24"/>
      <c r="X202" s="35" t="str">
        <f aca="false">IF($Y202="","",IF(ROUND($H202+$I202-$N202+$Z202-$T202,2)&lt;&gt;0,"★期初＋本年－已收≠余额",IF(ROUND($R202+$S202-MAX(0,$T202),2)&lt;&gt;0,"★已开票＋未开票≠欠款",IF(ROUND($J202+$K202-$I202,2)&lt;&gt;0,"★合同款＋合同外款≠本年应收",IF(ROUND($O202+$P202+$Q202-$N202,2)&lt;&gt;0,"★发票＋收据＋现金≠本年已收","OK")))))</f>
        <v/>
      </c>
      <c r="Y202" s="35" t="str">
        <f aca="false">IF(维保合同!$C202="","",维保合同!$E202)</f>
        <v/>
      </c>
      <c r="Z202" s="40" t="str">
        <f aca="false">IF($Y202="","",ROUND(SUMIFS(应收金额,应收键,$Y202,应收年度,"&gt;"&amp;管理年度)-SUMIFS(收款金额,收款键,$Y202,收款年度,"&gt;"&amp;管理年度),2))</f>
        <v/>
      </c>
      <c r="AA202" s="47" t="str">
        <f aca="false">IF($Y202="","",IF(SUMPRODUCT(MIN(IF((应收键=$Y202)*(应收未收&gt;0.01),应收日期,999999)))&gt;=999999,"",SUMPRODUCT(MIN(IF((应收键=$Y202)*(应收未收&gt;0.01),应收日期,999999)))))</f>
        <v/>
      </c>
    </row>
    <row r="203" customFormat="false" ht="15" hidden="false" customHeight="false" outlineLevel="0" collapsed="false">
      <c r="A203" s="29" t="str">
        <f aca="false">IF($Y203="","",ROW()-4)</f>
        <v/>
      </c>
      <c r="B203" s="16" t="str">
        <f aca="false">IF($Y203="","",维保合同!$C203)</f>
        <v/>
      </c>
      <c r="C203" s="16" t="str">
        <f aca="false">IF($Y203="","",维保合同!$D203)</f>
        <v/>
      </c>
      <c r="D203" s="35" t="str">
        <f aca="false">IF($Y203="","",维保合同!$F203)</f>
        <v/>
      </c>
      <c r="E203" s="35" t="str">
        <f aca="false">IF($Y203="","",维保合同!$G203)</f>
        <v/>
      </c>
      <c r="F203" s="47" t="str">
        <f aca="false">IF($Y203="","",维保合同!$I203)</f>
        <v/>
      </c>
      <c r="G203" s="38" t="str">
        <f aca="false">IF($Y203="","",维保合同!$K203)</f>
        <v/>
      </c>
      <c r="H203" s="41" t="str">
        <f aca="false">IF($Y203="","",ROUND(SUMIFS(应收金额,应收键,$Y203,应收年度,"&lt;"&amp;管理年度)-SUMIFS(收款金额,收款键,$Y203,收款年度,"&lt;"&amp;管理年度),2))</f>
        <v/>
      </c>
      <c r="I203" s="40" t="str">
        <f aca="false">IF($Y203="","",ROUND(SUMIFS(应收金额,应收键,$Y203,应收年度,管理年度),2))</f>
        <v/>
      </c>
      <c r="J203" s="40" t="str">
        <f aca="false">IF($Y203="","",ROUND(SUMIFS(应收金额,应收键,$Y203,应收年度,管理年度,应收款别,"合同款"),2))</f>
        <v/>
      </c>
      <c r="K203" s="40" t="str">
        <f aca="false">IF($Y203="","",ROUND($I203-$J203,2))</f>
        <v/>
      </c>
      <c r="L203" s="40" t="str">
        <f aca="false">IF($Y203="","",ROUND(SUMIFS(应收开票额,应收键,$Y203,应收开票年度,管理年度),2))</f>
        <v/>
      </c>
      <c r="M203" s="40" t="str">
        <f aca="false">IF($Y203="","",ROUND($I203-$L203,2))</f>
        <v/>
      </c>
      <c r="N203" s="40" t="str">
        <f aca="false">IF($Y203="","",ROUND(SUMIFS(收款金额,收款键,$Y203,收款年度,管理年度),2))</f>
        <v/>
      </c>
      <c r="O203" s="40" t="str">
        <f aca="false">IF($Y203="","",ROUND(SUMIFS(收款金额,收款键,$Y203,收款年度,管理年度,收款归类,"发票"),2))</f>
        <v/>
      </c>
      <c r="P203" s="40" t="str">
        <f aca="false">IF($Y203="","",ROUND(SUMIFS(收款金额,收款键,$Y203,收款年度,管理年度,收款归类,"收据"),2))</f>
        <v/>
      </c>
      <c r="Q203" s="40" t="str">
        <f aca="false">IF($Y203="","",ROUND(SUMIFS(收款金额,收款键,$Y203,收款年度,管理年度,收款归类,"现金无票"),2))</f>
        <v/>
      </c>
      <c r="R203" s="40" t="str">
        <f aca="false">IF($Y203="","",ROUND(MAX(0,MIN($T203,SUMIF(应收键,$Y203,应收开票额)-SUMIF(收款键,$Y203,收款金额))),2))</f>
        <v/>
      </c>
      <c r="S203" s="40" t="str">
        <f aca="false">IF($Y203="","",ROUND(MAX(0,$T203)-$R203,2))</f>
        <v/>
      </c>
      <c r="T203" s="48" t="str">
        <f aca="false">IF($Y203="","",ROUND(SUMIF(应收键,$Y203,应收金额)-SUMIF(收款键,$Y203,收款金额),2))</f>
        <v/>
      </c>
      <c r="U203" s="49" t="str">
        <f aca="true">IF($AA203="","",IF($T203&lt;=0.01,"",MAX(0,TODAY()-$AA203)))</f>
        <v/>
      </c>
      <c r="V203" s="50" t="str">
        <f aca="true">IF($Y203="","",IF($T203&gt;0.01,IF(AND(ISNUMBER($U203),$U203&gt;=账龄预警天),"▲欠款拖了 "&amp;TEXT($U203,"0")&amp;" 天","欠款未清"),IF($T203&lt;-0.01,"预收/多收","已结清"))&amp;IF(OR($E203="已签未回",$E203="未签",$E203="续签中")," ▲合同未回","")&amp;IF(AND(ISNUMBER($F203),$F203&lt;TODAY())," ▲合同已到期",""))</f>
        <v/>
      </c>
      <c r="W203" s="24"/>
      <c r="X203" s="35" t="str">
        <f aca="false">IF($Y203="","",IF(ROUND($H203+$I203-$N203+$Z203-$T203,2)&lt;&gt;0,"★期初＋本年－已收≠余额",IF(ROUND($R203+$S203-MAX(0,$T203),2)&lt;&gt;0,"★已开票＋未开票≠欠款",IF(ROUND($J203+$K203-$I203,2)&lt;&gt;0,"★合同款＋合同外款≠本年应收",IF(ROUND($O203+$P203+$Q203-$N203,2)&lt;&gt;0,"★发票＋收据＋现金≠本年已收","OK")))))</f>
        <v/>
      </c>
      <c r="Y203" s="35" t="str">
        <f aca="false">IF(维保合同!$C203="","",维保合同!$E203)</f>
        <v/>
      </c>
      <c r="Z203" s="40" t="str">
        <f aca="false">IF($Y203="","",ROUND(SUMIFS(应收金额,应收键,$Y203,应收年度,"&gt;"&amp;管理年度)-SUMIFS(收款金额,收款键,$Y203,收款年度,"&gt;"&amp;管理年度),2))</f>
        <v/>
      </c>
      <c r="AA203" s="47" t="str">
        <f aca="false">IF($Y203="","",IF(SUMPRODUCT(MIN(IF((应收键=$Y203)*(应收未收&gt;0.01),应收日期,999999)))&gt;=999999,"",SUMPRODUCT(MIN(IF((应收键=$Y203)*(应收未收&gt;0.01),应收日期,999999)))))</f>
        <v/>
      </c>
    </row>
    <row r="204" customFormat="false" ht="15" hidden="false" customHeight="false" outlineLevel="0" collapsed="false">
      <c r="A204" s="29" t="str">
        <f aca="false">IF($Y204="","",ROW()-4)</f>
        <v/>
      </c>
      <c r="B204" s="16" t="str">
        <f aca="false">IF($Y204="","",维保合同!$C204)</f>
        <v/>
      </c>
      <c r="C204" s="16" t="str">
        <f aca="false">IF($Y204="","",维保合同!$D204)</f>
        <v/>
      </c>
      <c r="D204" s="35" t="str">
        <f aca="false">IF($Y204="","",维保合同!$F204)</f>
        <v/>
      </c>
      <c r="E204" s="35" t="str">
        <f aca="false">IF($Y204="","",维保合同!$G204)</f>
        <v/>
      </c>
      <c r="F204" s="47" t="str">
        <f aca="false">IF($Y204="","",维保合同!$I204)</f>
        <v/>
      </c>
      <c r="G204" s="38" t="str">
        <f aca="false">IF($Y204="","",维保合同!$K204)</f>
        <v/>
      </c>
      <c r="H204" s="41" t="str">
        <f aca="false">IF($Y204="","",ROUND(SUMIFS(应收金额,应收键,$Y204,应收年度,"&lt;"&amp;管理年度)-SUMIFS(收款金额,收款键,$Y204,收款年度,"&lt;"&amp;管理年度),2))</f>
        <v/>
      </c>
      <c r="I204" s="40" t="str">
        <f aca="false">IF($Y204="","",ROUND(SUMIFS(应收金额,应收键,$Y204,应收年度,管理年度),2))</f>
        <v/>
      </c>
      <c r="J204" s="40" t="str">
        <f aca="false">IF($Y204="","",ROUND(SUMIFS(应收金额,应收键,$Y204,应收年度,管理年度,应收款别,"合同款"),2))</f>
        <v/>
      </c>
      <c r="K204" s="40" t="str">
        <f aca="false">IF($Y204="","",ROUND($I204-$J204,2))</f>
        <v/>
      </c>
      <c r="L204" s="40" t="str">
        <f aca="false">IF($Y204="","",ROUND(SUMIFS(应收开票额,应收键,$Y204,应收开票年度,管理年度),2))</f>
        <v/>
      </c>
      <c r="M204" s="40" t="str">
        <f aca="false">IF($Y204="","",ROUND($I204-$L204,2))</f>
        <v/>
      </c>
      <c r="N204" s="40" t="str">
        <f aca="false">IF($Y204="","",ROUND(SUMIFS(收款金额,收款键,$Y204,收款年度,管理年度),2))</f>
        <v/>
      </c>
      <c r="O204" s="40" t="str">
        <f aca="false">IF($Y204="","",ROUND(SUMIFS(收款金额,收款键,$Y204,收款年度,管理年度,收款归类,"发票"),2))</f>
        <v/>
      </c>
      <c r="P204" s="40" t="str">
        <f aca="false">IF($Y204="","",ROUND(SUMIFS(收款金额,收款键,$Y204,收款年度,管理年度,收款归类,"收据"),2))</f>
        <v/>
      </c>
      <c r="Q204" s="40" t="str">
        <f aca="false">IF($Y204="","",ROUND(SUMIFS(收款金额,收款键,$Y204,收款年度,管理年度,收款归类,"现金无票"),2))</f>
        <v/>
      </c>
      <c r="R204" s="40" t="str">
        <f aca="false">IF($Y204="","",ROUND(MAX(0,MIN($T204,SUMIF(应收键,$Y204,应收开票额)-SUMIF(收款键,$Y204,收款金额))),2))</f>
        <v/>
      </c>
      <c r="S204" s="40" t="str">
        <f aca="false">IF($Y204="","",ROUND(MAX(0,$T204)-$R204,2))</f>
        <v/>
      </c>
      <c r="T204" s="48" t="str">
        <f aca="false">IF($Y204="","",ROUND(SUMIF(应收键,$Y204,应收金额)-SUMIF(收款键,$Y204,收款金额),2))</f>
        <v/>
      </c>
      <c r="U204" s="49" t="str">
        <f aca="true">IF($AA204="","",IF($T204&lt;=0.01,"",MAX(0,TODAY()-$AA204)))</f>
        <v/>
      </c>
      <c r="V204" s="50" t="str">
        <f aca="true">IF($Y204="","",IF($T204&gt;0.01,IF(AND(ISNUMBER($U204),$U204&gt;=账龄预警天),"▲欠款拖了 "&amp;TEXT($U204,"0")&amp;" 天","欠款未清"),IF($T204&lt;-0.01,"预收/多收","已结清"))&amp;IF(OR($E204="已签未回",$E204="未签",$E204="续签中")," ▲合同未回","")&amp;IF(AND(ISNUMBER($F204),$F204&lt;TODAY())," ▲合同已到期",""))</f>
        <v/>
      </c>
      <c r="W204" s="24"/>
      <c r="X204" s="35" t="str">
        <f aca="false">IF($Y204="","",IF(ROUND($H204+$I204-$N204+$Z204-$T204,2)&lt;&gt;0,"★期初＋本年－已收≠余额",IF(ROUND($R204+$S204-MAX(0,$T204),2)&lt;&gt;0,"★已开票＋未开票≠欠款",IF(ROUND($J204+$K204-$I204,2)&lt;&gt;0,"★合同款＋合同外款≠本年应收",IF(ROUND($O204+$P204+$Q204-$N204,2)&lt;&gt;0,"★发票＋收据＋现金≠本年已收","OK")))))</f>
        <v/>
      </c>
      <c r="Y204" s="35" t="str">
        <f aca="false">IF(维保合同!$C204="","",维保合同!$E204)</f>
        <v/>
      </c>
      <c r="Z204" s="40" t="str">
        <f aca="false">IF($Y204="","",ROUND(SUMIFS(应收金额,应收键,$Y204,应收年度,"&gt;"&amp;管理年度)-SUMIFS(收款金额,收款键,$Y204,收款年度,"&gt;"&amp;管理年度),2))</f>
        <v/>
      </c>
      <c r="AA204" s="47" t="str">
        <f aca="false">IF($Y204="","",IF(SUMPRODUCT(MIN(IF((应收键=$Y204)*(应收未收&gt;0.01),应收日期,999999)))&gt;=999999,"",SUMPRODUCT(MIN(IF((应收键=$Y204)*(应收未收&gt;0.01),应收日期,999999)))))</f>
        <v/>
      </c>
    </row>
    <row r="205" customFormat="false" ht="15" hidden="false" customHeight="false" outlineLevel="0" collapsed="false">
      <c r="A205" s="29" t="str">
        <f aca="false">IF($Y205="","",ROW()-4)</f>
        <v/>
      </c>
      <c r="B205" s="16" t="str">
        <f aca="false">IF($Y205="","",维保合同!$C205)</f>
        <v/>
      </c>
      <c r="C205" s="16" t="str">
        <f aca="false">IF($Y205="","",维保合同!$D205)</f>
        <v/>
      </c>
      <c r="D205" s="35" t="str">
        <f aca="false">IF($Y205="","",维保合同!$F205)</f>
        <v/>
      </c>
      <c r="E205" s="35" t="str">
        <f aca="false">IF($Y205="","",维保合同!$G205)</f>
        <v/>
      </c>
      <c r="F205" s="47" t="str">
        <f aca="false">IF($Y205="","",维保合同!$I205)</f>
        <v/>
      </c>
      <c r="G205" s="38" t="str">
        <f aca="false">IF($Y205="","",维保合同!$K205)</f>
        <v/>
      </c>
      <c r="H205" s="41" t="str">
        <f aca="false">IF($Y205="","",ROUND(SUMIFS(应收金额,应收键,$Y205,应收年度,"&lt;"&amp;管理年度)-SUMIFS(收款金额,收款键,$Y205,收款年度,"&lt;"&amp;管理年度),2))</f>
        <v/>
      </c>
      <c r="I205" s="40" t="str">
        <f aca="false">IF($Y205="","",ROUND(SUMIFS(应收金额,应收键,$Y205,应收年度,管理年度),2))</f>
        <v/>
      </c>
      <c r="J205" s="40" t="str">
        <f aca="false">IF($Y205="","",ROUND(SUMIFS(应收金额,应收键,$Y205,应收年度,管理年度,应收款别,"合同款"),2))</f>
        <v/>
      </c>
      <c r="K205" s="40" t="str">
        <f aca="false">IF($Y205="","",ROUND($I205-$J205,2))</f>
        <v/>
      </c>
      <c r="L205" s="40" t="str">
        <f aca="false">IF($Y205="","",ROUND(SUMIFS(应收开票额,应收键,$Y205,应收开票年度,管理年度),2))</f>
        <v/>
      </c>
      <c r="M205" s="40" t="str">
        <f aca="false">IF($Y205="","",ROUND($I205-$L205,2))</f>
        <v/>
      </c>
      <c r="N205" s="40" t="str">
        <f aca="false">IF($Y205="","",ROUND(SUMIFS(收款金额,收款键,$Y205,收款年度,管理年度),2))</f>
        <v/>
      </c>
      <c r="O205" s="40" t="str">
        <f aca="false">IF($Y205="","",ROUND(SUMIFS(收款金额,收款键,$Y205,收款年度,管理年度,收款归类,"发票"),2))</f>
        <v/>
      </c>
      <c r="P205" s="40" t="str">
        <f aca="false">IF($Y205="","",ROUND(SUMIFS(收款金额,收款键,$Y205,收款年度,管理年度,收款归类,"收据"),2))</f>
        <v/>
      </c>
      <c r="Q205" s="40" t="str">
        <f aca="false">IF($Y205="","",ROUND(SUMIFS(收款金额,收款键,$Y205,收款年度,管理年度,收款归类,"现金无票"),2))</f>
        <v/>
      </c>
      <c r="R205" s="40" t="str">
        <f aca="false">IF($Y205="","",ROUND(MAX(0,MIN($T205,SUMIF(应收键,$Y205,应收开票额)-SUMIF(收款键,$Y205,收款金额))),2))</f>
        <v/>
      </c>
      <c r="S205" s="40" t="str">
        <f aca="false">IF($Y205="","",ROUND(MAX(0,$T205)-$R205,2))</f>
        <v/>
      </c>
      <c r="T205" s="48" t="str">
        <f aca="false">IF($Y205="","",ROUND(SUMIF(应收键,$Y205,应收金额)-SUMIF(收款键,$Y205,收款金额),2))</f>
        <v/>
      </c>
      <c r="U205" s="49" t="str">
        <f aca="true">IF($AA205="","",IF($T205&lt;=0.01,"",MAX(0,TODAY()-$AA205)))</f>
        <v/>
      </c>
      <c r="V205" s="50" t="str">
        <f aca="true">IF($Y205="","",IF($T205&gt;0.01,IF(AND(ISNUMBER($U205),$U205&gt;=账龄预警天),"▲欠款拖了 "&amp;TEXT($U205,"0")&amp;" 天","欠款未清"),IF($T205&lt;-0.01,"预收/多收","已结清"))&amp;IF(OR($E205="已签未回",$E205="未签",$E205="续签中")," ▲合同未回","")&amp;IF(AND(ISNUMBER($F205),$F205&lt;TODAY())," ▲合同已到期",""))</f>
        <v/>
      </c>
      <c r="W205" s="24"/>
      <c r="X205" s="35" t="str">
        <f aca="false">IF($Y205="","",IF(ROUND($H205+$I205-$N205+$Z205-$T205,2)&lt;&gt;0,"★期初＋本年－已收≠余额",IF(ROUND($R205+$S205-MAX(0,$T205),2)&lt;&gt;0,"★已开票＋未开票≠欠款",IF(ROUND($J205+$K205-$I205,2)&lt;&gt;0,"★合同款＋合同外款≠本年应收",IF(ROUND($O205+$P205+$Q205-$N205,2)&lt;&gt;0,"★发票＋收据＋现金≠本年已收","OK")))))</f>
        <v/>
      </c>
      <c r="Y205" s="35" t="str">
        <f aca="false">IF(维保合同!$C205="","",维保合同!$E205)</f>
        <v/>
      </c>
      <c r="Z205" s="40" t="str">
        <f aca="false">IF($Y205="","",ROUND(SUMIFS(应收金额,应收键,$Y205,应收年度,"&gt;"&amp;管理年度)-SUMIFS(收款金额,收款键,$Y205,收款年度,"&gt;"&amp;管理年度),2))</f>
        <v/>
      </c>
      <c r="AA205" s="47" t="str">
        <f aca="false">IF($Y205="","",IF(SUMPRODUCT(MIN(IF((应收键=$Y205)*(应收未收&gt;0.01),应收日期,999999)))&gt;=999999,"",SUMPRODUCT(MIN(IF((应收键=$Y205)*(应收未收&gt;0.01),应收日期,999999)))))</f>
        <v/>
      </c>
    </row>
    <row r="206" customFormat="false" ht="15" hidden="false" customHeight="false" outlineLevel="0" collapsed="false">
      <c r="A206" s="29" t="str">
        <f aca="false">IF($Y206="","",ROW()-4)</f>
        <v/>
      </c>
      <c r="B206" s="16" t="str">
        <f aca="false">IF($Y206="","",维保合同!$C206)</f>
        <v/>
      </c>
      <c r="C206" s="16" t="str">
        <f aca="false">IF($Y206="","",维保合同!$D206)</f>
        <v/>
      </c>
      <c r="D206" s="35" t="str">
        <f aca="false">IF($Y206="","",维保合同!$F206)</f>
        <v/>
      </c>
      <c r="E206" s="35" t="str">
        <f aca="false">IF($Y206="","",维保合同!$G206)</f>
        <v/>
      </c>
      <c r="F206" s="47" t="str">
        <f aca="false">IF($Y206="","",维保合同!$I206)</f>
        <v/>
      </c>
      <c r="G206" s="38" t="str">
        <f aca="false">IF($Y206="","",维保合同!$K206)</f>
        <v/>
      </c>
      <c r="H206" s="41" t="str">
        <f aca="false">IF($Y206="","",ROUND(SUMIFS(应收金额,应收键,$Y206,应收年度,"&lt;"&amp;管理年度)-SUMIFS(收款金额,收款键,$Y206,收款年度,"&lt;"&amp;管理年度),2))</f>
        <v/>
      </c>
      <c r="I206" s="40" t="str">
        <f aca="false">IF($Y206="","",ROUND(SUMIFS(应收金额,应收键,$Y206,应收年度,管理年度),2))</f>
        <v/>
      </c>
      <c r="J206" s="40" t="str">
        <f aca="false">IF($Y206="","",ROUND(SUMIFS(应收金额,应收键,$Y206,应收年度,管理年度,应收款别,"合同款"),2))</f>
        <v/>
      </c>
      <c r="K206" s="40" t="str">
        <f aca="false">IF($Y206="","",ROUND($I206-$J206,2))</f>
        <v/>
      </c>
      <c r="L206" s="40" t="str">
        <f aca="false">IF($Y206="","",ROUND(SUMIFS(应收开票额,应收键,$Y206,应收开票年度,管理年度),2))</f>
        <v/>
      </c>
      <c r="M206" s="40" t="str">
        <f aca="false">IF($Y206="","",ROUND($I206-$L206,2))</f>
        <v/>
      </c>
      <c r="N206" s="40" t="str">
        <f aca="false">IF($Y206="","",ROUND(SUMIFS(收款金额,收款键,$Y206,收款年度,管理年度),2))</f>
        <v/>
      </c>
      <c r="O206" s="40" t="str">
        <f aca="false">IF($Y206="","",ROUND(SUMIFS(收款金额,收款键,$Y206,收款年度,管理年度,收款归类,"发票"),2))</f>
        <v/>
      </c>
      <c r="P206" s="40" t="str">
        <f aca="false">IF($Y206="","",ROUND(SUMIFS(收款金额,收款键,$Y206,收款年度,管理年度,收款归类,"收据"),2))</f>
        <v/>
      </c>
      <c r="Q206" s="40" t="str">
        <f aca="false">IF($Y206="","",ROUND(SUMIFS(收款金额,收款键,$Y206,收款年度,管理年度,收款归类,"现金无票"),2))</f>
        <v/>
      </c>
      <c r="R206" s="40" t="str">
        <f aca="false">IF($Y206="","",ROUND(MAX(0,MIN($T206,SUMIF(应收键,$Y206,应收开票额)-SUMIF(收款键,$Y206,收款金额))),2))</f>
        <v/>
      </c>
      <c r="S206" s="40" t="str">
        <f aca="false">IF($Y206="","",ROUND(MAX(0,$T206)-$R206,2))</f>
        <v/>
      </c>
      <c r="T206" s="48" t="str">
        <f aca="false">IF($Y206="","",ROUND(SUMIF(应收键,$Y206,应收金额)-SUMIF(收款键,$Y206,收款金额),2))</f>
        <v/>
      </c>
      <c r="U206" s="49" t="str">
        <f aca="true">IF($AA206="","",IF($T206&lt;=0.01,"",MAX(0,TODAY()-$AA206)))</f>
        <v/>
      </c>
      <c r="V206" s="50" t="str">
        <f aca="true">IF($Y206="","",IF($T206&gt;0.01,IF(AND(ISNUMBER($U206),$U206&gt;=账龄预警天),"▲欠款拖了 "&amp;TEXT($U206,"0")&amp;" 天","欠款未清"),IF($T206&lt;-0.01,"预收/多收","已结清"))&amp;IF(OR($E206="已签未回",$E206="未签",$E206="续签中")," ▲合同未回","")&amp;IF(AND(ISNUMBER($F206),$F206&lt;TODAY())," ▲合同已到期",""))</f>
        <v/>
      </c>
      <c r="W206" s="24"/>
      <c r="X206" s="35" t="str">
        <f aca="false">IF($Y206="","",IF(ROUND($H206+$I206-$N206+$Z206-$T206,2)&lt;&gt;0,"★期初＋本年－已收≠余额",IF(ROUND($R206+$S206-MAX(0,$T206),2)&lt;&gt;0,"★已开票＋未开票≠欠款",IF(ROUND($J206+$K206-$I206,2)&lt;&gt;0,"★合同款＋合同外款≠本年应收",IF(ROUND($O206+$P206+$Q206-$N206,2)&lt;&gt;0,"★发票＋收据＋现金≠本年已收","OK")))))</f>
        <v/>
      </c>
      <c r="Y206" s="35" t="str">
        <f aca="false">IF(维保合同!$C206="","",维保合同!$E206)</f>
        <v/>
      </c>
      <c r="Z206" s="40" t="str">
        <f aca="false">IF($Y206="","",ROUND(SUMIFS(应收金额,应收键,$Y206,应收年度,"&gt;"&amp;管理年度)-SUMIFS(收款金额,收款键,$Y206,收款年度,"&gt;"&amp;管理年度),2))</f>
        <v/>
      </c>
      <c r="AA206" s="47" t="str">
        <f aca="false">IF($Y206="","",IF(SUMPRODUCT(MIN(IF((应收键=$Y206)*(应收未收&gt;0.01),应收日期,999999)))&gt;=999999,"",SUMPRODUCT(MIN(IF((应收键=$Y206)*(应收未收&gt;0.01),应收日期,999999)))))</f>
        <v/>
      </c>
    </row>
    <row r="207" customFormat="false" ht="15" hidden="false" customHeight="false" outlineLevel="0" collapsed="false">
      <c r="A207" s="29" t="str">
        <f aca="false">IF($Y207="","",ROW()-4)</f>
        <v/>
      </c>
      <c r="B207" s="16" t="str">
        <f aca="false">IF($Y207="","",维保合同!$C207)</f>
        <v/>
      </c>
      <c r="C207" s="16" t="str">
        <f aca="false">IF($Y207="","",维保合同!$D207)</f>
        <v/>
      </c>
      <c r="D207" s="35" t="str">
        <f aca="false">IF($Y207="","",维保合同!$F207)</f>
        <v/>
      </c>
      <c r="E207" s="35" t="str">
        <f aca="false">IF($Y207="","",维保合同!$G207)</f>
        <v/>
      </c>
      <c r="F207" s="47" t="str">
        <f aca="false">IF($Y207="","",维保合同!$I207)</f>
        <v/>
      </c>
      <c r="G207" s="38" t="str">
        <f aca="false">IF($Y207="","",维保合同!$K207)</f>
        <v/>
      </c>
      <c r="H207" s="41" t="str">
        <f aca="false">IF($Y207="","",ROUND(SUMIFS(应收金额,应收键,$Y207,应收年度,"&lt;"&amp;管理年度)-SUMIFS(收款金额,收款键,$Y207,收款年度,"&lt;"&amp;管理年度),2))</f>
        <v/>
      </c>
      <c r="I207" s="40" t="str">
        <f aca="false">IF($Y207="","",ROUND(SUMIFS(应收金额,应收键,$Y207,应收年度,管理年度),2))</f>
        <v/>
      </c>
      <c r="J207" s="40" t="str">
        <f aca="false">IF($Y207="","",ROUND(SUMIFS(应收金额,应收键,$Y207,应收年度,管理年度,应收款别,"合同款"),2))</f>
        <v/>
      </c>
      <c r="K207" s="40" t="str">
        <f aca="false">IF($Y207="","",ROUND($I207-$J207,2))</f>
        <v/>
      </c>
      <c r="L207" s="40" t="str">
        <f aca="false">IF($Y207="","",ROUND(SUMIFS(应收开票额,应收键,$Y207,应收开票年度,管理年度),2))</f>
        <v/>
      </c>
      <c r="M207" s="40" t="str">
        <f aca="false">IF($Y207="","",ROUND($I207-$L207,2))</f>
        <v/>
      </c>
      <c r="N207" s="40" t="str">
        <f aca="false">IF($Y207="","",ROUND(SUMIFS(收款金额,收款键,$Y207,收款年度,管理年度),2))</f>
        <v/>
      </c>
      <c r="O207" s="40" t="str">
        <f aca="false">IF($Y207="","",ROUND(SUMIFS(收款金额,收款键,$Y207,收款年度,管理年度,收款归类,"发票"),2))</f>
        <v/>
      </c>
      <c r="P207" s="40" t="str">
        <f aca="false">IF($Y207="","",ROUND(SUMIFS(收款金额,收款键,$Y207,收款年度,管理年度,收款归类,"收据"),2))</f>
        <v/>
      </c>
      <c r="Q207" s="40" t="str">
        <f aca="false">IF($Y207="","",ROUND(SUMIFS(收款金额,收款键,$Y207,收款年度,管理年度,收款归类,"现金无票"),2))</f>
        <v/>
      </c>
      <c r="R207" s="40" t="str">
        <f aca="false">IF($Y207="","",ROUND(MAX(0,MIN($T207,SUMIF(应收键,$Y207,应收开票额)-SUMIF(收款键,$Y207,收款金额))),2))</f>
        <v/>
      </c>
      <c r="S207" s="40" t="str">
        <f aca="false">IF($Y207="","",ROUND(MAX(0,$T207)-$R207,2))</f>
        <v/>
      </c>
      <c r="T207" s="48" t="str">
        <f aca="false">IF($Y207="","",ROUND(SUMIF(应收键,$Y207,应收金额)-SUMIF(收款键,$Y207,收款金额),2))</f>
        <v/>
      </c>
      <c r="U207" s="49" t="str">
        <f aca="true">IF($AA207="","",IF($T207&lt;=0.01,"",MAX(0,TODAY()-$AA207)))</f>
        <v/>
      </c>
      <c r="V207" s="50" t="str">
        <f aca="true">IF($Y207="","",IF($T207&gt;0.01,IF(AND(ISNUMBER($U207),$U207&gt;=账龄预警天),"▲欠款拖了 "&amp;TEXT($U207,"0")&amp;" 天","欠款未清"),IF($T207&lt;-0.01,"预收/多收","已结清"))&amp;IF(OR($E207="已签未回",$E207="未签",$E207="续签中")," ▲合同未回","")&amp;IF(AND(ISNUMBER($F207),$F207&lt;TODAY())," ▲合同已到期",""))</f>
        <v/>
      </c>
      <c r="W207" s="24"/>
      <c r="X207" s="35" t="str">
        <f aca="false">IF($Y207="","",IF(ROUND($H207+$I207-$N207+$Z207-$T207,2)&lt;&gt;0,"★期初＋本年－已收≠余额",IF(ROUND($R207+$S207-MAX(0,$T207),2)&lt;&gt;0,"★已开票＋未开票≠欠款",IF(ROUND($J207+$K207-$I207,2)&lt;&gt;0,"★合同款＋合同外款≠本年应收",IF(ROUND($O207+$P207+$Q207-$N207,2)&lt;&gt;0,"★发票＋收据＋现金≠本年已收","OK")))))</f>
        <v/>
      </c>
      <c r="Y207" s="35" t="str">
        <f aca="false">IF(维保合同!$C207="","",维保合同!$E207)</f>
        <v/>
      </c>
      <c r="Z207" s="40" t="str">
        <f aca="false">IF($Y207="","",ROUND(SUMIFS(应收金额,应收键,$Y207,应收年度,"&gt;"&amp;管理年度)-SUMIFS(收款金额,收款键,$Y207,收款年度,"&gt;"&amp;管理年度),2))</f>
        <v/>
      </c>
      <c r="AA207" s="47" t="str">
        <f aca="false">IF($Y207="","",IF(SUMPRODUCT(MIN(IF((应收键=$Y207)*(应收未收&gt;0.01),应收日期,999999)))&gt;=999999,"",SUMPRODUCT(MIN(IF((应收键=$Y207)*(应收未收&gt;0.01),应收日期,999999)))))</f>
        <v/>
      </c>
    </row>
    <row r="208" customFormat="false" ht="15" hidden="false" customHeight="false" outlineLevel="0" collapsed="false">
      <c r="A208" s="29" t="str">
        <f aca="false">IF($Y208="","",ROW()-4)</f>
        <v/>
      </c>
      <c r="B208" s="16" t="str">
        <f aca="false">IF($Y208="","",维保合同!$C208)</f>
        <v/>
      </c>
      <c r="C208" s="16" t="str">
        <f aca="false">IF($Y208="","",维保合同!$D208)</f>
        <v/>
      </c>
      <c r="D208" s="35" t="str">
        <f aca="false">IF($Y208="","",维保合同!$F208)</f>
        <v/>
      </c>
      <c r="E208" s="35" t="str">
        <f aca="false">IF($Y208="","",维保合同!$G208)</f>
        <v/>
      </c>
      <c r="F208" s="47" t="str">
        <f aca="false">IF($Y208="","",维保合同!$I208)</f>
        <v/>
      </c>
      <c r="G208" s="38" t="str">
        <f aca="false">IF($Y208="","",维保合同!$K208)</f>
        <v/>
      </c>
      <c r="H208" s="41" t="str">
        <f aca="false">IF($Y208="","",ROUND(SUMIFS(应收金额,应收键,$Y208,应收年度,"&lt;"&amp;管理年度)-SUMIFS(收款金额,收款键,$Y208,收款年度,"&lt;"&amp;管理年度),2))</f>
        <v/>
      </c>
      <c r="I208" s="40" t="str">
        <f aca="false">IF($Y208="","",ROUND(SUMIFS(应收金额,应收键,$Y208,应收年度,管理年度),2))</f>
        <v/>
      </c>
      <c r="J208" s="40" t="str">
        <f aca="false">IF($Y208="","",ROUND(SUMIFS(应收金额,应收键,$Y208,应收年度,管理年度,应收款别,"合同款"),2))</f>
        <v/>
      </c>
      <c r="K208" s="40" t="str">
        <f aca="false">IF($Y208="","",ROUND($I208-$J208,2))</f>
        <v/>
      </c>
      <c r="L208" s="40" t="str">
        <f aca="false">IF($Y208="","",ROUND(SUMIFS(应收开票额,应收键,$Y208,应收开票年度,管理年度),2))</f>
        <v/>
      </c>
      <c r="M208" s="40" t="str">
        <f aca="false">IF($Y208="","",ROUND($I208-$L208,2))</f>
        <v/>
      </c>
      <c r="N208" s="40" t="str">
        <f aca="false">IF($Y208="","",ROUND(SUMIFS(收款金额,收款键,$Y208,收款年度,管理年度),2))</f>
        <v/>
      </c>
      <c r="O208" s="40" t="str">
        <f aca="false">IF($Y208="","",ROUND(SUMIFS(收款金额,收款键,$Y208,收款年度,管理年度,收款归类,"发票"),2))</f>
        <v/>
      </c>
      <c r="P208" s="40" t="str">
        <f aca="false">IF($Y208="","",ROUND(SUMIFS(收款金额,收款键,$Y208,收款年度,管理年度,收款归类,"收据"),2))</f>
        <v/>
      </c>
      <c r="Q208" s="40" t="str">
        <f aca="false">IF($Y208="","",ROUND(SUMIFS(收款金额,收款键,$Y208,收款年度,管理年度,收款归类,"现金无票"),2))</f>
        <v/>
      </c>
      <c r="R208" s="40" t="str">
        <f aca="false">IF($Y208="","",ROUND(MAX(0,MIN($T208,SUMIF(应收键,$Y208,应收开票额)-SUMIF(收款键,$Y208,收款金额))),2))</f>
        <v/>
      </c>
      <c r="S208" s="40" t="str">
        <f aca="false">IF($Y208="","",ROUND(MAX(0,$T208)-$R208,2))</f>
        <v/>
      </c>
      <c r="T208" s="48" t="str">
        <f aca="false">IF($Y208="","",ROUND(SUMIF(应收键,$Y208,应收金额)-SUMIF(收款键,$Y208,收款金额),2))</f>
        <v/>
      </c>
      <c r="U208" s="49" t="str">
        <f aca="true">IF($AA208="","",IF($T208&lt;=0.01,"",MAX(0,TODAY()-$AA208)))</f>
        <v/>
      </c>
      <c r="V208" s="50" t="str">
        <f aca="true">IF($Y208="","",IF($T208&gt;0.01,IF(AND(ISNUMBER($U208),$U208&gt;=账龄预警天),"▲欠款拖了 "&amp;TEXT($U208,"0")&amp;" 天","欠款未清"),IF($T208&lt;-0.01,"预收/多收","已结清"))&amp;IF(OR($E208="已签未回",$E208="未签",$E208="续签中")," ▲合同未回","")&amp;IF(AND(ISNUMBER($F208),$F208&lt;TODAY())," ▲合同已到期",""))</f>
        <v/>
      </c>
      <c r="W208" s="24"/>
      <c r="X208" s="35" t="str">
        <f aca="false">IF($Y208="","",IF(ROUND($H208+$I208-$N208+$Z208-$T208,2)&lt;&gt;0,"★期初＋本年－已收≠余额",IF(ROUND($R208+$S208-MAX(0,$T208),2)&lt;&gt;0,"★已开票＋未开票≠欠款",IF(ROUND($J208+$K208-$I208,2)&lt;&gt;0,"★合同款＋合同外款≠本年应收",IF(ROUND($O208+$P208+$Q208-$N208,2)&lt;&gt;0,"★发票＋收据＋现金≠本年已收","OK")))))</f>
        <v/>
      </c>
      <c r="Y208" s="35" t="str">
        <f aca="false">IF(维保合同!$C208="","",维保合同!$E208)</f>
        <v/>
      </c>
      <c r="Z208" s="40" t="str">
        <f aca="false">IF($Y208="","",ROUND(SUMIFS(应收金额,应收键,$Y208,应收年度,"&gt;"&amp;管理年度)-SUMIFS(收款金额,收款键,$Y208,收款年度,"&gt;"&amp;管理年度),2))</f>
        <v/>
      </c>
      <c r="AA208" s="47" t="str">
        <f aca="false">IF($Y208="","",IF(SUMPRODUCT(MIN(IF((应收键=$Y208)*(应收未收&gt;0.01),应收日期,999999)))&gt;=999999,"",SUMPRODUCT(MIN(IF((应收键=$Y208)*(应收未收&gt;0.01),应收日期,999999)))))</f>
        <v/>
      </c>
    </row>
    <row r="209" customFormat="false" ht="15" hidden="false" customHeight="false" outlineLevel="0" collapsed="false">
      <c r="A209" s="29" t="str">
        <f aca="false">IF($Y209="","",ROW()-4)</f>
        <v/>
      </c>
      <c r="B209" s="16" t="str">
        <f aca="false">IF($Y209="","",维保合同!$C209)</f>
        <v/>
      </c>
      <c r="C209" s="16" t="str">
        <f aca="false">IF($Y209="","",维保合同!$D209)</f>
        <v/>
      </c>
      <c r="D209" s="35" t="str">
        <f aca="false">IF($Y209="","",维保合同!$F209)</f>
        <v/>
      </c>
      <c r="E209" s="35" t="str">
        <f aca="false">IF($Y209="","",维保合同!$G209)</f>
        <v/>
      </c>
      <c r="F209" s="47" t="str">
        <f aca="false">IF($Y209="","",维保合同!$I209)</f>
        <v/>
      </c>
      <c r="G209" s="38" t="str">
        <f aca="false">IF($Y209="","",维保合同!$K209)</f>
        <v/>
      </c>
      <c r="H209" s="41" t="str">
        <f aca="false">IF($Y209="","",ROUND(SUMIFS(应收金额,应收键,$Y209,应收年度,"&lt;"&amp;管理年度)-SUMIFS(收款金额,收款键,$Y209,收款年度,"&lt;"&amp;管理年度),2))</f>
        <v/>
      </c>
      <c r="I209" s="40" t="str">
        <f aca="false">IF($Y209="","",ROUND(SUMIFS(应收金额,应收键,$Y209,应收年度,管理年度),2))</f>
        <v/>
      </c>
      <c r="J209" s="40" t="str">
        <f aca="false">IF($Y209="","",ROUND(SUMIFS(应收金额,应收键,$Y209,应收年度,管理年度,应收款别,"合同款"),2))</f>
        <v/>
      </c>
      <c r="K209" s="40" t="str">
        <f aca="false">IF($Y209="","",ROUND($I209-$J209,2))</f>
        <v/>
      </c>
      <c r="L209" s="40" t="str">
        <f aca="false">IF($Y209="","",ROUND(SUMIFS(应收开票额,应收键,$Y209,应收开票年度,管理年度),2))</f>
        <v/>
      </c>
      <c r="M209" s="40" t="str">
        <f aca="false">IF($Y209="","",ROUND($I209-$L209,2))</f>
        <v/>
      </c>
      <c r="N209" s="40" t="str">
        <f aca="false">IF($Y209="","",ROUND(SUMIFS(收款金额,收款键,$Y209,收款年度,管理年度),2))</f>
        <v/>
      </c>
      <c r="O209" s="40" t="str">
        <f aca="false">IF($Y209="","",ROUND(SUMIFS(收款金额,收款键,$Y209,收款年度,管理年度,收款归类,"发票"),2))</f>
        <v/>
      </c>
      <c r="P209" s="40" t="str">
        <f aca="false">IF($Y209="","",ROUND(SUMIFS(收款金额,收款键,$Y209,收款年度,管理年度,收款归类,"收据"),2))</f>
        <v/>
      </c>
      <c r="Q209" s="40" t="str">
        <f aca="false">IF($Y209="","",ROUND(SUMIFS(收款金额,收款键,$Y209,收款年度,管理年度,收款归类,"现金无票"),2))</f>
        <v/>
      </c>
      <c r="R209" s="40" t="str">
        <f aca="false">IF($Y209="","",ROUND(MAX(0,MIN($T209,SUMIF(应收键,$Y209,应收开票额)-SUMIF(收款键,$Y209,收款金额))),2))</f>
        <v/>
      </c>
      <c r="S209" s="40" t="str">
        <f aca="false">IF($Y209="","",ROUND(MAX(0,$T209)-$R209,2))</f>
        <v/>
      </c>
      <c r="T209" s="48" t="str">
        <f aca="false">IF($Y209="","",ROUND(SUMIF(应收键,$Y209,应收金额)-SUMIF(收款键,$Y209,收款金额),2))</f>
        <v/>
      </c>
      <c r="U209" s="49" t="str">
        <f aca="true">IF($AA209="","",IF($T209&lt;=0.01,"",MAX(0,TODAY()-$AA209)))</f>
        <v/>
      </c>
      <c r="V209" s="50" t="str">
        <f aca="true">IF($Y209="","",IF($T209&gt;0.01,IF(AND(ISNUMBER($U209),$U209&gt;=账龄预警天),"▲欠款拖了 "&amp;TEXT($U209,"0")&amp;" 天","欠款未清"),IF($T209&lt;-0.01,"预收/多收","已结清"))&amp;IF(OR($E209="已签未回",$E209="未签",$E209="续签中")," ▲合同未回","")&amp;IF(AND(ISNUMBER($F209),$F209&lt;TODAY())," ▲合同已到期",""))</f>
        <v/>
      </c>
      <c r="W209" s="24"/>
      <c r="X209" s="35" t="str">
        <f aca="false">IF($Y209="","",IF(ROUND($H209+$I209-$N209+$Z209-$T209,2)&lt;&gt;0,"★期初＋本年－已收≠余额",IF(ROUND($R209+$S209-MAX(0,$T209),2)&lt;&gt;0,"★已开票＋未开票≠欠款",IF(ROUND($J209+$K209-$I209,2)&lt;&gt;0,"★合同款＋合同外款≠本年应收",IF(ROUND($O209+$P209+$Q209-$N209,2)&lt;&gt;0,"★发票＋收据＋现金≠本年已收","OK")))))</f>
        <v/>
      </c>
      <c r="Y209" s="35" t="str">
        <f aca="false">IF(维保合同!$C209="","",维保合同!$E209)</f>
        <v/>
      </c>
      <c r="Z209" s="40" t="str">
        <f aca="false">IF($Y209="","",ROUND(SUMIFS(应收金额,应收键,$Y209,应收年度,"&gt;"&amp;管理年度)-SUMIFS(收款金额,收款键,$Y209,收款年度,"&gt;"&amp;管理年度),2))</f>
        <v/>
      </c>
      <c r="AA209" s="47" t="str">
        <f aca="false">IF($Y209="","",IF(SUMPRODUCT(MIN(IF((应收键=$Y209)*(应收未收&gt;0.01),应收日期,999999)))&gt;=999999,"",SUMPRODUCT(MIN(IF((应收键=$Y209)*(应收未收&gt;0.01),应收日期,999999)))))</f>
        <v/>
      </c>
    </row>
    <row r="210" customFormat="false" ht="15" hidden="false" customHeight="false" outlineLevel="0" collapsed="false">
      <c r="A210" s="29" t="str">
        <f aca="false">IF($Y210="","",ROW()-4)</f>
        <v/>
      </c>
      <c r="B210" s="16" t="str">
        <f aca="false">IF($Y210="","",维保合同!$C210)</f>
        <v/>
      </c>
      <c r="C210" s="16" t="str">
        <f aca="false">IF($Y210="","",维保合同!$D210)</f>
        <v/>
      </c>
      <c r="D210" s="35" t="str">
        <f aca="false">IF($Y210="","",维保合同!$F210)</f>
        <v/>
      </c>
      <c r="E210" s="35" t="str">
        <f aca="false">IF($Y210="","",维保合同!$G210)</f>
        <v/>
      </c>
      <c r="F210" s="47" t="str">
        <f aca="false">IF($Y210="","",维保合同!$I210)</f>
        <v/>
      </c>
      <c r="G210" s="38" t="str">
        <f aca="false">IF($Y210="","",维保合同!$K210)</f>
        <v/>
      </c>
      <c r="H210" s="41" t="str">
        <f aca="false">IF($Y210="","",ROUND(SUMIFS(应收金额,应收键,$Y210,应收年度,"&lt;"&amp;管理年度)-SUMIFS(收款金额,收款键,$Y210,收款年度,"&lt;"&amp;管理年度),2))</f>
        <v/>
      </c>
      <c r="I210" s="40" t="str">
        <f aca="false">IF($Y210="","",ROUND(SUMIFS(应收金额,应收键,$Y210,应收年度,管理年度),2))</f>
        <v/>
      </c>
      <c r="J210" s="40" t="str">
        <f aca="false">IF($Y210="","",ROUND(SUMIFS(应收金额,应收键,$Y210,应收年度,管理年度,应收款别,"合同款"),2))</f>
        <v/>
      </c>
      <c r="K210" s="40" t="str">
        <f aca="false">IF($Y210="","",ROUND($I210-$J210,2))</f>
        <v/>
      </c>
      <c r="L210" s="40" t="str">
        <f aca="false">IF($Y210="","",ROUND(SUMIFS(应收开票额,应收键,$Y210,应收开票年度,管理年度),2))</f>
        <v/>
      </c>
      <c r="M210" s="40" t="str">
        <f aca="false">IF($Y210="","",ROUND($I210-$L210,2))</f>
        <v/>
      </c>
      <c r="N210" s="40" t="str">
        <f aca="false">IF($Y210="","",ROUND(SUMIFS(收款金额,收款键,$Y210,收款年度,管理年度),2))</f>
        <v/>
      </c>
      <c r="O210" s="40" t="str">
        <f aca="false">IF($Y210="","",ROUND(SUMIFS(收款金额,收款键,$Y210,收款年度,管理年度,收款归类,"发票"),2))</f>
        <v/>
      </c>
      <c r="P210" s="40" t="str">
        <f aca="false">IF($Y210="","",ROUND(SUMIFS(收款金额,收款键,$Y210,收款年度,管理年度,收款归类,"收据"),2))</f>
        <v/>
      </c>
      <c r="Q210" s="40" t="str">
        <f aca="false">IF($Y210="","",ROUND(SUMIFS(收款金额,收款键,$Y210,收款年度,管理年度,收款归类,"现金无票"),2))</f>
        <v/>
      </c>
      <c r="R210" s="40" t="str">
        <f aca="false">IF($Y210="","",ROUND(MAX(0,MIN($T210,SUMIF(应收键,$Y210,应收开票额)-SUMIF(收款键,$Y210,收款金额))),2))</f>
        <v/>
      </c>
      <c r="S210" s="40" t="str">
        <f aca="false">IF($Y210="","",ROUND(MAX(0,$T210)-$R210,2))</f>
        <v/>
      </c>
      <c r="T210" s="48" t="str">
        <f aca="false">IF($Y210="","",ROUND(SUMIF(应收键,$Y210,应收金额)-SUMIF(收款键,$Y210,收款金额),2))</f>
        <v/>
      </c>
      <c r="U210" s="49" t="str">
        <f aca="true">IF($AA210="","",IF($T210&lt;=0.01,"",MAX(0,TODAY()-$AA210)))</f>
        <v/>
      </c>
      <c r="V210" s="50" t="str">
        <f aca="true">IF($Y210="","",IF($T210&gt;0.01,IF(AND(ISNUMBER($U210),$U210&gt;=账龄预警天),"▲欠款拖了 "&amp;TEXT($U210,"0")&amp;" 天","欠款未清"),IF($T210&lt;-0.01,"预收/多收","已结清"))&amp;IF(OR($E210="已签未回",$E210="未签",$E210="续签中")," ▲合同未回","")&amp;IF(AND(ISNUMBER($F210),$F210&lt;TODAY())," ▲合同已到期",""))</f>
        <v/>
      </c>
      <c r="W210" s="24"/>
      <c r="X210" s="35" t="str">
        <f aca="false">IF($Y210="","",IF(ROUND($H210+$I210-$N210+$Z210-$T210,2)&lt;&gt;0,"★期初＋本年－已收≠余额",IF(ROUND($R210+$S210-MAX(0,$T210),2)&lt;&gt;0,"★已开票＋未开票≠欠款",IF(ROUND($J210+$K210-$I210,2)&lt;&gt;0,"★合同款＋合同外款≠本年应收",IF(ROUND($O210+$P210+$Q210-$N210,2)&lt;&gt;0,"★发票＋收据＋现金≠本年已收","OK")))))</f>
        <v/>
      </c>
      <c r="Y210" s="35" t="str">
        <f aca="false">IF(维保合同!$C210="","",维保合同!$E210)</f>
        <v/>
      </c>
      <c r="Z210" s="40" t="str">
        <f aca="false">IF($Y210="","",ROUND(SUMIFS(应收金额,应收键,$Y210,应收年度,"&gt;"&amp;管理年度)-SUMIFS(收款金额,收款键,$Y210,收款年度,"&gt;"&amp;管理年度),2))</f>
        <v/>
      </c>
      <c r="AA210" s="47" t="str">
        <f aca="false">IF($Y210="","",IF(SUMPRODUCT(MIN(IF((应收键=$Y210)*(应收未收&gt;0.01),应收日期,999999)))&gt;=999999,"",SUMPRODUCT(MIN(IF((应收键=$Y210)*(应收未收&gt;0.01),应收日期,999999)))))</f>
        <v/>
      </c>
    </row>
    <row r="211" customFormat="false" ht="15" hidden="false" customHeight="false" outlineLevel="0" collapsed="false">
      <c r="A211" s="29" t="str">
        <f aca="false">IF($Y211="","",ROW()-4)</f>
        <v/>
      </c>
      <c r="B211" s="16" t="str">
        <f aca="false">IF($Y211="","",维保合同!$C211)</f>
        <v/>
      </c>
      <c r="C211" s="16" t="str">
        <f aca="false">IF($Y211="","",维保合同!$D211)</f>
        <v/>
      </c>
      <c r="D211" s="35" t="str">
        <f aca="false">IF($Y211="","",维保合同!$F211)</f>
        <v/>
      </c>
      <c r="E211" s="35" t="str">
        <f aca="false">IF($Y211="","",维保合同!$G211)</f>
        <v/>
      </c>
      <c r="F211" s="47" t="str">
        <f aca="false">IF($Y211="","",维保合同!$I211)</f>
        <v/>
      </c>
      <c r="G211" s="38" t="str">
        <f aca="false">IF($Y211="","",维保合同!$K211)</f>
        <v/>
      </c>
      <c r="H211" s="41" t="str">
        <f aca="false">IF($Y211="","",ROUND(SUMIFS(应收金额,应收键,$Y211,应收年度,"&lt;"&amp;管理年度)-SUMIFS(收款金额,收款键,$Y211,收款年度,"&lt;"&amp;管理年度),2))</f>
        <v/>
      </c>
      <c r="I211" s="40" t="str">
        <f aca="false">IF($Y211="","",ROUND(SUMIFS(应收金额,应收键,$Y211,应收年度,管理年度),2))</f>
        <v/>
      </c>
      <c r="J211" s="40" t="str">
        <f aca="false">IF($Y211="","",ROUND(SUMIFS(应收金额,应收键,$Y211,应收年度,管理年度,应收款别,"合同款"),2))</f>
        <v/>
      </c>
      <c r="K211" s="40" t="str">
        <f aca="false">IF($Y211="","",ROUND($I211-$J211,2))</f>
        <v/>
      </c>
      <c r="L211" s="40" t="str">
        <f aca="false">IF($Y211="","",ROUND(SUMIFS(应收开票额,应收键,$Y211,应收开票年度,管理年度),2))</f>
        <v/>
      </c>
      <c r="M211" s="40" t="str">
        <f aca="false">IF($Y211="","",ROUND($I211-$L211,2))</f>
        <v/>
      </c>
      <c r="N211" s="40" t="str">
        <f aca="false">IF($Y211="","",ROUND(SUMIFS(收款金额,收款键,$Y211,收款年度,管理年度),2))</f>
        <v/>
      </c>
      <c r="O211" s="40" t="str">
        <f aca="false">IF($Y211="","",ROUND(SUMIFS(收款金额,收款键,$Y211,收款年度,管理年度,收款归类,"发票"),2))</f>
        <v/>
      </c>
      <c r="P211" s="40" t="str">
        <f aca="false">IF($Y211="","",ROUND(SUMIFS(收款金额,收款键,$Y211,收款年度,管理年度,收款归类,"收据"),2))</f>
        <v/>
      </c>
      <c r="Q211" s="40" t="str">
        <f aca="false">IF($Y211="","",ROUND(SUMIFS(收款金额,收款键,$Y211,收款年度,管理年度,收款归类,"现金无票"),2))</f>
        <v/>
      </c>
      <c r="R211" s="40" t="str">
        <f aca="false">IF($Y211="","",ROUND(MAX(0,MIN($T211,SUMIF(应收键,$Y211,应收开票额)-SUMIF(收款键,$Y211,收款金额))),2))</f>
        <v/>
      </c>
      <c r="S211" s="40" t="str">
        <f aca="false">IF($Y211="","",ROUND(MAX(0,$T211)-$R211,2))</f>
        <v/>
      </c>
      <c r="T211" s="48" t="str">
        <f aca="false">IF($Y211="","",ROUND(SUMIF(应收键,$Y211,应收金额)-SUMIF(收款键,$Y211,收款金额),2))</f>
        <v/>
      </c>
      <c r="U211" s="49" t="str">
        <f aca="true">IF($AA211="","",IF($T211&lt;=0.01,"",MAX(0,TODAY()-$AA211)))</f>
        <v/>
      </c>
      <c r="V211" s="50" t="str">
        <f aca="true">IF($Y211="","",IF($T211&gt;0.01,IF(AND(ISNUMBER($U211),$U211&gt;=账龄预警天),"▲欠款拖了 "&amp;TEXT($U211,"0")&amp;" 天","欠款未清"),IF($T211&lt;-0.01,"预收/多收","已结清"))&amp;IF(OR($E211="已签未回",$E211="未签",$E211="续签中")," ▲合同未回","")&amp;IF(AND(ISNUMBER($F211),$F211&lt;TODAY())," ▲合同已到期",""))</f>
        <v/>
      </c>
      <c r="W211" s="24"/>
      <c r="X211" s="35" t="str">
        <f aca="false">IF($Y211="","",IF(ROUND($H211+$I211-$N211+$Z211-$T211,2)&lt;&gt;0,"★期初＋本年－已收≠余额",IF(ROUND($R211+$S211-MAX(0,$T211),2)&lt;&gt;0,"★已开票＋未开票≠欠款",IF(ROUND($J211+$K211-$I211,2)&lt;&gt;0,"★合同款＋合同外款≠本年应收",IF(ROUND($O211+$P211+$Q211-$N211,2)&lt;&gt;0,"★发票＋收据＋现金≠本年已收","OK")))))</f>
        <v/>
      </c>
      <c r="Y211" s="35" t="str">
        <f aca="false">IF(维保合同!$C211="","",维保合同!$E211)</f>
        <v/>
      </c>
      <c r="Z211" s="40" t="str">
        <f aca="false">IF($Y211="","",ROUND(SUMIFS(应收金额,应收键,$Y211,应收年度,"&gt;"&amp;管理年度)-SUMIFS(收款金额,收款键,$Y211,收款年度,"&gt;"&amp;管理年度),2))</f>
        <v/>
      </c>
      <c r="AA211" s="47" t="str">
        <f aca="false">IF($Y211="","",IF(SUMPRODUCT(MIN(IF((应收键=$Y211)*(应收未收&gt;0.01),应收日期,999999)))&gt;=999999,"",SUMPRODUCT(MIN(IF((应收键=$Y211)*(应收未收&gt;0.01),应收日期,999999)))))</f>
        <v/>
      </c>
    </row>
    <row r="212" customFormat="false" ht="15" hidden="false" customHeight="false" outlineLevel="0" collapsed="false">
      <c r="A212" s="29" t="str">
        <f aca="false">IF($Y212="","",ROW()-4)</f>
        <v/>
      </c>
      <c r="B212" s="16" t="str">
        <f aca="false">IF($Y212="","",维保合同!$C212)</f>
        <v/>
      </c>
      <c r="C212" s="16" t="str">
        <f aca="false">IF($Y212="","",维保合同!$D212)</f>
        <v/>
      </c>
      <c r="D212" s="35" t="str">
        <f aca="false">IF($Y212="","",维保合同!$F212)</f>
        <v/>
      </c>
      <c r="E212" s="35" t="str">
        <f aca="false">IF($Y212="","",维保合同!$G212)</f>
        <v/>
      </c>
      <c r="F212" s="47" t="str">
        <f aca="false">IF($Y212="","",维保合同!$I212)</f>
        <v/>
      </c>
      <c r="G212" s="38" t="str">
        <f aca="false">IF($Y212="","",维保合同!$K212)</f>
        <v/>
      </c>
      <c r="H212" s="41" t="str">
        <f aca="false">IF($Y212="","",ROUND(SUMIFS(应收金额,应收键,$Y212,应收年度,"&lt;"&amp;管理年度)-SUMIFS(收款金额,收款键,$Y212,收款年度,"&lt;"&amp;管理年度),2))</f>
        <v/>
      </c>
      <c r="I212" s="40" t="str">
        <f aca="false">IF($Y212="","",ROUND(SUMIFS(应收金额,应收键,$Y212,应收年度,管理年度),2))</f>
        <v/>
      </c>
      <c r="J212" s="40" t="str">
        <f aca="false">IF($Y212="","",ROUND(SUMIFS(应收金额,应收键,$Y212,应收年度,管理年度,应收款别,"合同款"),2))</f>
        <v/>
      </c>
      <c r="K212" s="40" t="str">
        <f aca="false">IF($Y212="","",ROUND($I212-$J212,2))</f>
        <v/>
      </c>
      <c r="L212" s="40" t="str">
        <f aca="false">IF($Y212="","",ROUND(SUMIFS(应收开票额,应收键,$Y212,应收开票年度,管理年度),2))</f>
        <v/>
      </c>
      <c r="M212" s="40" t="str">
        <f aca="false">IF($Y212="","",ROUND($I212-$L212,2))</f>
        <v/>
      </c>
      <c r="N212" s="40" t="str">
        <f aca="false">IF($Y212="","",ROUND(SUMIFS(收款金额,收款键,$Y212,收款年度,管理年度),2))</f>
        <v/>
      </c>
      <c r="O212" s="40" t="str">
        <f aca="false">IF($Y212="","",ROUND(SUMIFS(收款金额,收款键,$Y212,收款年度,管理年度,收款归类,"发票"),2))</f>
        <v/>
      </c>
      <c r="P212" s="40" t="str">
        <f aca="false">IF($Y212="","",ROUND(SUMIFS(收款金额,收款键,$Y212,收款年度,管理年度,收款归类,"收据"),2))</f>
        <v/>
      </c>
      <c r="Q212" s="40" t="str">
        <f aca="false">IF($Y212="","",ROUND(SUMIFS(收款金额,收款键,$Y212,收款年度,管理年度,收款归类,"现金无票"),2))</f>
        <v/>
      </c>
      <c r="R212" s="40" t="str">
        <f aca="false">IF($Y212="","",ROUND(MAX(0,MIN($T212,SUMIF(应收键,$Y212,应收开票额)-SUMIF(收款键,$Y212,收款金额))),2))</f>
        <v/>
      </c>
      <c r="S212" s="40" t="str">
        <f aca="false">IF($Y212="","",ROUND(MAX(0,$T212)-$R212,2))</f>
        <v/>
      </c>
      <c r="T212" s="48" t="str">
        <f aca="false">IF($Y212="","",ROUND(SUMIF(应收键,$Y212,应收金额)-SUMIF(收款键,$Y212,收款金额),2))</f>
        <v/>
      </c>
      <c r="U212" s="49" t="str">
        <f aca="true">IF($AA212="","",IF($T212&lt;=0.01,"",MAX(0,TODAY()-$AA212)))</f>
        <v/>
      </c>
      <c r="V212" s="50" t="str">
        <f aca="true">IF($Y212="","",IF($T212&gt;0.01,IF(AND(ISNUMBER($U212),$U212&gt;=账龄预警天),"▲欠款拖了 "&amp;TEXT($U212,"0")&amp;" 天","欠款未清"),IF($T212&lt;-0.01,"预收/多收","已结清"))&amp;IF(OR($E212="已签未回",$E212="未签",$E212="续签中")," ▲合同未回","")&amp;IF(AND(ISNUMBER($F212),$F212&lt;TODAY())," ▲合同已到期",""))</f>
        <v/>
      </c>
      <c r="W212" s="24"/>
      <c r="X212" s="35" t="str">
        <f aca="false">IF($Y212="","",IF(ROUND($H212+$I212-$N212+$Z212-$T212,2)&lt;&gt;0,"★期初＋本年－已收≠余额",IF(ROUND($R212+$S212-MAX(0,$T212),2)&lt;&gt;0,"★已开票＋未开票≠欠款",IF(ROUND($J212+$K212-$I212,2)&lt;&gt;0,"★合同款＋合同外款≠本年应收",IF(ROUND($O212+$P212+$Q212-$N212,2)&lt;&gt;0,"★发票＋收据＋现金≠本年已收","OK")))))</f>
        <v/>
      </c>
      <c r="Y212" s="35" t="str">
        <f aca="false">IF(维保合同!$C212="","",维保合同!$E212)</f>
        <v/>
      </c>
      <c r="Z212" s="40" t="str">
        <f aca="false">IF($Y212="","",ROUND(SUMIFS(应收金额,应收键,$Y212,应收年度,"&gt;"&amp;管理年度)-SUMIFS(收款金额,收款键,$Y212,收款年度,"&gt;"&amp;管理年度),2))</f>
        <v/>
      </c>
      <c r="AA212" s="47" t="str">
        <f aca="false">IF($Y212="","",IF(SUMPRODUCT(MIN(IF((应收键=$Y212)*(应收未收&gt;0.01),应收日期,999999)))&gt;=999999,"",SUMPRODUCT(MIN(IF((应收键=$Y212)*(应收未收&gt;0.01),应收日期,999999)))))</f>
        <v/>
      </c>
    </row>
    <row r="213" customFormat="false" ht="15" hidden="false" customHeight="false" outlineLevel="0" collapsed="false">
      <c r="A213" s="29" t="str">
        <f aca="false">IF($Y213="","",ROW()-4)</f>
        <v/>
      </c>
      <c r="B213" s="16" t="str">
        <f aca="false">IF($Y213="","",维保合同!$C213)</f>
        <v/>
      </c>
      <c r="C213" s="16" t="str">
        <f aca="false">IF($Y213="","",维保合同!$D213)</f>
        <v/>
      </c>
      <c r="D213" s="35" t="str">
        <f aca="false">IF($Y213="","",维保合同!$F213)</f>
        <v/>
      </c>
      <c r="E213" s="35" t="str">
        <f aca="false">IF($Y213="","",维保合同!$G213)</f>
        <v/>
      </c>
      <c r="F213" s="47" t="str">
        <f aca="false">IF($Y213="","",维保合同!$I213)</f>
        <v/>
      </c>
      <c r="G213" s="38" t="str">
        <f aca="false">IF($Y213="","",维保合同!$K213)</f>
        <v/>
      </c>
      <c r="H213" s="41" t="str">
        <f aca="false">IF($Y213="","",ROUND(SUMIFS(应收金额,应收键,$Y213,应收年度,"&lt;"&amp;管理年度)-SUMIFS(收款金额,收款键,$Y213,收款年度,"&lt;"&amp;管理年度),2))</f>
        <v/>
      </c>
      <c r="I213" s="40" t="str">
        <f aca="false">IF($Y213="","",ROUND(SUMIFS(应收金额,应收键,$Y213,应收年度,管理年度),2))</f>
        <v/>
      </c>
      <c r="J213" s="40" t="str">
        <f aca="false">IF($Y213="","",ROUND(SUMIFS(应收金额,应收键,$Y213,应收年度,管理年度,应收款别,"合同款"),2))</f>
        <v/>
      </c>
      <c r="K213" s="40" t="str">
        <f aca="false">IF($Y213="","",ROUND($I213-$J213,2))</f>
        <v/>
      </c>
      <c r="L213" s="40" t="str">
        <f aca="false">IF($Y213="","",ROUND(SUMIFS(应收开票额,应收键,$Y213,应收开票年度,管理年度),2))</f>
        <v/>
      </c>
      <c r="M213" s="40" t="str">
        <f aca="false">IF($Y213="","",ROUND($I213-$L213,2))</f>
        <v/>
      </c>
      <c r="N213" s="40" t="str">
        <f aca="false">IF($Y213="","",ROUND(SUMIFS(收款金额,收款键,$Y213,收款年度,管理年度),2))</f>
        <v/>
      </c>
      <c r="O213" s="40" t="str">
        <f aca="false">IF($Y213="","",ROUND(SUMIFS(收款金额,收款键,$Y213,收款年度,管理年度,收款归类,"发票"),2))</f>
        <v/>
      </c>
      <c r="P213" s="40" t="str">
        <f aca="false">IF($Y213="","",ROUND(SUMIFS(收款金额,收款键,$Y213,收款年度,管理年度,收款归类,"收据"),2))</f>
        <v/>
      </c>
      <c r="Q213" s="40" t="str">
        <f aca="false">IF($Y213="","",ROUND(SUMIFS(收款金额,收款键,$Y213,收款年度,管理年度,收款归类,"现金无票"),2))</f>
        <v/>
      </c>
      <c r="R213" s="40" t="str">
        <f aca="false">IF($Y213="","",ROUND(MAX(0,MIN($T213,SUMIF(应收键,$Y213,应收开票额)-SUMIF(收款键,$Y213,收款金额))),2))</f>
        <v/>
      </c>
      <c r="S213" s="40" t="str">
        <f aca="false">IF($Y213="","",ROUND(MAX(0,$T213)-$R213,2))</f>
        <v/>
      </c>
      <c r="T213" s="48" t="str">
        <f aca="false">IF($Y213="","",ROUND(SUMIF(应收键,$Y213,应收金额)-SUMIF(收款键,$Y213,收款金额),2))</f>
        <v/>
      </c>
      <c r="U213" s="49" t="str">
        <f aca="true">IF($AA213="","",IF($T213&lt;=0.01,"",MAX(0,TODAY()-$AA213)))</f>
        <v/>
      </c>
      <c r="V213" s="50" t="str">
        <f aca="true">IF($Y213="","",IF($T213&gt;0.01,IF(AND(ISNUMBER($U213),$U213&gt;=账龄预警天),"▲欠款拖了 "&amp;TEXT($U213,"0")&amp;" 天","欠款未清"),IF($T213&lt;-0.01,"预收/多收","已结清"))&amp;IF(OR($E213="已签未回",$E213="未签",$E213="续签中")," ▲合同未回","")&amp;IF(AND(ISNUMBER($F213),$F213&lt;TODAY())," ▲合同已到期",""))</f>
        <v/>
      </c>
      <c r="W213" s="24"/>
      <c r="X213" s="35" t="str">
        <f aca="false">IF($Y213="","",IF(ROUND($H213+$I213-$N213+$Z213-$T213,2)&lt;&gt;0,"★期初＋本年－已收≠余额",IF(ROUND($R213+$S213-MAX(0,$T213),2)&lt;&gt;0,"★已开票＋未开票≠欠款",IF(ROUND($J213+$K213-$I213,2)&lt;&gt;0,"★合同款＋合同外款≠本年应收",IF(ROUND($O213+$P213+$Q213-$N213,2)&lt;&gt;0,"★发票＋收据＋现金≠本年已收","OK")))))</f>
        <v/>
      </c>
      <c r="Y213" s="35" t="str">
        <f aca="false">IF(维保合同!$C213="","",维保合同!$E213)</f>
        <v/>
      </c>
      <c r="Z213" s="40" t="str">
        <f aca="false">IF($Y213="","",ROUND(SUMIFS(应收金额,应收键,$Y213,应收年度,"&gt;"&amp;管理年度)-SUMIFS(收款金额,收款键,$Y213,收款年度,"&gt;"&amp;管理年度),2))</f>
        <v/>
      </c>
      <c r="AA213" s="47" t="str">
        <f aca="false">IF($Y213="","",IF(SUMPRODUCT(MIN(IF((应收键=$Y213)*(应收未收&gt;0.01),应收日期,999999)))&gt;=999999,"",SUMPRODUCT(MIN(IF((应收键=$Y213)*(应收未收&gt;0.01),应收日期,999999)))))</f>
        <v/>
      </c>
    </row>
    <row r="214" customFormat="false" ht="15" hidden="false" customHeight="false" outlineLevel="0" collapsed="false">
      <c r="A214" s="29" t="str">
        <f aca="false">IF($Y214="","",ROW()-4)</f>
        <v/>
      </c>
      <c r="B214" s="16" t="str">
        <f aca="false">IF($Y214="","",维保合同!$C214)</f>
        <v/>
      </c>
      <c r="C214" s="16" t="str">
        <f aca="false">IF($Y214="","",维保合同!$D214)</f>
        <v/>
      </c>
      <c r="D214" s="35" t="str">
        <f aca="false">IF($Y214="","",维保合同!$F214)</f>
        <v/>
      </c>
      <c r="E214" s="35" t="str">
        <f aca="false">IF($Y214="","",维保合同!$G214)</f>
        <v/>
      </c>
      <c r="F214" s="47" t="str">
        <f aca="false">IF($Y214="","",维保合同!$I214)</f>
        <v/>
      </c>
      <c r="G214" s="38" t="str">
        <f aca="false">IF($Y214="","",维保合同!$K214)</f>
        <v/>
      </c>
      <c r="H214" s="41" t="str">
        <f aca="false">IF($Y214="","",ROUND(SUMIFS(应收金额,应收键,$Y214,应收年度,"&lt;"&amp;管理年度)-SUMIFS(收款金额,收款键,$Y214,收款年度,"&lt;"&amp;管理年度),2))</f>
        <v/>
      </c>
      <c r="I214" s="40" t="str">
        <f aca="false">IF($Y214="","",ROUND(SUMIFS(应收金额,应收键,$Y214,应收年度,管理年度),2))</f>
        <v/>
      </c>
      <c r="J214" s="40" t="str">
        <f aca="false">IF($Y214="","",ROUND(SUMIFS(应收金额,应收键,$Y214,应收年度,管理年度,应收款别,"合同款"),2))</f>
        <v/>
      </c>
      <c r="K214" s="40" t="str">
        <f aca="false">IF($Y214="","",ROUND($I214-$J214,2))</f>
        <v/>
      </c>
      <c r="L214" s="40" t="str">
        <f aca="false">IF($Y214="","",ROUND(SUMIFS(应收开票额,应收键,$Y214,应收开票年度,管理年度),2))</f>
        <v/>
      </c>
      <c r="M214" s="40" t="str">
        <f aca="false">IF($Y214="","",ROUND($I214-$L214,2))</f>
        <v/>
      </c>
      <c r="N214" s="40" t="str">
        <f aca="false">IF($Y214="","",ROUND(SUMIFS(收款金额,收款键,$Y214,收款年度,管理年度),2))</f>
        <v/>
      </c>
      <c r="O214" s="40" t="str">
        <f aca="false">IF($Y214="","",ROUND(SUMIFS(收款金额,收款键,$Y214,收款年度,管理年度,收款归类,"发票"),2))</f>
        <v/>
      </c>
      <c r="P214" s="40" t="str">
        <f aca="false">IF($Y214="","",ROUND(SUMIFS(收款金额,收款键,$Y214,收款年度,管理年度,收款归类,"收据"),2))</f>
        <v/>
      </c>
      <c r="Q214" s="40" t="str">
        <f aca="false">IF($Y214="","",ROUND(SUMIFS(收款金额,收款键,$Y214,收款年度,管理年度,收款归类,"现金无票"),2))</f>
        <v/>
      </c>
      <c r="R214" s="40" t="str">
        <f aca="false">IF($Y214="","",ROUND(MAX(0,MIN($T214,SUMIF(应收键,$Y214,应收开票额)-SUMIF(收款键,$Y214,收款金额))),2))</f>
        <v/>
      </c>
      <c r="S214" s="40" t="str">
        <f aca="false">IF($Y214="","",ROUND(MAX(0,$T214)-$R214,2))</f>
        <v/>
      </c>
      <c r="T214" s="48" t="str">
        <f aca="false">IF($Y214="","",ROUND(SUMIF(应收键,$Y214,应收金额)-SUMIF(收款键,$Y214,收款金额),2))</f>
        <v/>
      </c>
      <c r="U214" s="49" t="str">
        <f aca="true">IF($AA214="","",IF($T214&lt;=0.01,"",MAX(0,TODAY()-$AA214)))</f>
        <v/>
      </c>
      <c r="V214" s="50" t="str">
        <f aca="true">IF($Y214="","",IF($T214&gt;0.01,IF(AND(ISNUMBER($U214),$U214&gt;=账龄预警天),"▲欠款拖了 "&amp;TEXT($U214,"0")&amp;" 天","欠款未清"),IF($T214&lt;-0.01,"预收/多收","已结清"))&amp;IF(OR($E214="已签未回",$E214="未签",$E214="续签中")," ▲合同未回","")&amp;IF(AND(ISNUMBER($F214),$F214&lt;TODAY())," ▲合同已到期",""))</f>
        <v/>
      </c>
      <c r="W214" s="24"/>
      <c r="X214" s="35" t="str">
        <f aca="false">IF($Y214="","",IF(ROUND($H214+$I214-$N214+$Z214-$T214,2)&lt;&gt;0,"★期初＋本年－已收≠余额",IF(ROUND($R214+$S214-MAX(0,$T214),2)&lt;&gt;0,"★已开票＋未开票≠欠款",IF(ROUND($J214+$K214-$I214,2)&lt;&gt;0,"★合同款＋合同外款≠本年应收",IF(ROUND($O214+$P214+$Q214-$N214,2)&lt;&gt;0,"★发票＋收据＋现金≠本年已收","OK")))))</f>
        <v/>
      </c>
      <c r="Y214" s="35" t="str">
        <f aca="false">IF(维保合同!$C214="","",维保合同!$E214)</f>
        <v/>
      </c>
      <c r="Z214" s="40" t="str">
        <f aca="false">IF($Y214="","",ROUND(SUMIFS(应收金额,应收键,$Y214,应收年度,"&gt;"&amp;管理年度)-SUMIFS(收款金额,收款键,$Y214,收款年度,"&gt;"&amp;管理年度),2))</f>
        <v/>
      </c>
      <c r="AA214" s="47" t="str">
        <f aca="false">IF($Y214="","",IF(SUMPRODUCT(MIN(IF((应收键=$Y214)*(应收未收&gt;0.01),应收日期,999999)))&gt;=999999,"",SUMPRODUCT(MIN(IF((应收键=$Y214)*(应收未收&gt;0.01),应收日期,999999)))))</f>
        <v/>
      </c>
    </row>
    <row r="215" customFormat="false" ht="15" hidden="false" customHeight="false" outlineLevel="0" collapsed="false">
      <c r="A215" s="29" t="str">
        <f aca="false">IF($Y215="","",ROW()-4)</f>
        <v/>
      </c>
      <c r="B215" s="16" t="str">
        <f aca="false">IF($Y215="","",维保合同!$C215)</f>
        <v/>
      </c>
      <c r="C215" s="16" t="str">
        <f aca="false">IF($Y215="","",维保合同!$D215)</f>
        <v/>
      </c>
      <c r="D215" s="35" t="str">
        <f aca="false">IF($Y215="","",维保合同!$F215)</f>
        <v/>
      </c>
      <c r="E215" s="35" t="str">
        <f aca="false">IF($Y215="","",维保合同!$G215)</f>
        <v/>
      </c>
      <c r="F215" s="47" t="str">
        <f aca="false">IF($Y215="","",维保合同!$I215)</f>
        <v/>
      </c>
      <c r="G215" s="38" t="str">
        <f aca="false">IF($Y215="","",维保合同!$K215)</f>
        <v/>
      </c>
      <c r="H215" s="41" t="str">
        <f aca="false">IF($Y215="","",ROUND(SUMIFS(应收金额,应收键,$Y215,应收年度,"&lt;"&amp;管理年度)-SUMIFS(收款金额,收款键,$Y215,收款年度,"&lt;"&amp;管理年度),2))</f>
        <v/>
      </c>
      <c r="I215" s="40" t="str">
        <f aca="false">IF($Y215="","",ROUND(SUMIFS(应收金额,应收键,$Y215,应收年度,管理年度),2))</f>
        <v/>
      </c>
      <c r="J215" s="40" t="str">
        <f aca="false">IF($Y215="","",ROUND(SUMIFS(应收金额,应收键,$Y215,应收年度,管理年度,应收款别,"合同款"),2))</f>
        <v/>
      </c>
      <c r="K215" s="40" t="str">
        <f aca="false">IF($Y215="","",ROUND($I215-$J215,2))</f>
        <v/>
      </c>
      <c r="L215" s="40" t="str">
        <f aca="false">IF($Y215="","",ROUND(SUMIFS(应收开票额,应收键,$Y215,应收开票年度,管理年度),2))</f>
        <v/>
      </c>
      <c r="M215" s="40" t="str">
        <f aca="false">IF($Y215="","",ROUND($I215-$L215,2))</f>
        <v/>
      </c>
      <c r="N215" s="40" t="str">
        <f aca="false">IF($Y215="","",ROUND(SUMIFS(收款金额,收款键,$Y215,收款年度,管理年度),2))</f>
        <v/>
      </c>
      <c r="O215" s="40" t="str">
        <f aca="false">IF($Y215="","",ROUND(SUMIFS(收款金额,收款键,$Y215,收款年度,管理年度,收款归类,"发票"),2))</f>
        <v/>
      </c>
      <c r="P215" s="40" t="str">
        <f aca="false">IF($Y215="","",ROUND(SUMIFS(收款金额,收款键,$Y215,收款年度,管理年度,收款归类,"收据"),2))</f>
        <v/>
      </c>
      <c r="Q215" s="40" t="str">
        <f aca="false">IF($Y215="","",ROUND(SUMIFS(收款金额,收款键,$Y215,收款年度,管理年度,收款归类,"现金无票"),2))</f>
        <v/>
      </c>
      <c r="R215" s="40" t="str">
        <f aca="false">IF($Y215="","",ROUND(MAX(0,MIN($T215,SUMIF(应收键,$Y215,应收开票额)-SUMIF(收款键,$Y215,收款金额))),2))</f>
        <v/>
      </c>
      <c r="S215" s="40" t="str">
        <f aca="false">IF($Y215="","",ROUND(MAX(0,$T215)-$R215,2))</f>
        <v/>
      </c>
      <c r="T215" s="48" t="str">
        <f aca="false">IF($Y215="","",ROUND(SUMIF(应收键,$Y215,应收金额)-SUMIF(收款键,$Y215,收款金额),2))</f>
        <v/>
      </c>
      <c r="U215" s="49" t="str">
        <f aca="true">IF($AA215="","",IF($T215&lt;=0.01,"",MAX(0,TODAY()-$AA215)))</f>
        <v/>
      </c>
      <c r="V215" s="50" t="str">
        <f aca="true">IF($Y215="","",IF($T215&gt;0.01,IF(AND(ISNUMBER($U215),$U215&gt;=账龄预警天),"▲欠款拖了 "&amp;TEXT($U215,"0")&amp;" 天","欠款未清"),IF($T215&lt;-0.01,"预收/多收","已结清"))&amp;IF(OR($E215="已签未回",$E215="未签",$E215="续签中")," ▲合同未回","")&amp;IF(AND(ISNUMBER($F215),$F215&lt;TODAY())," ▲合同已到期",""))</f>
        <v/>
      </c>
      <c r="W215" s="24"/>
      <c r="X215" s="35" t="str">
        <f aca="false">IF($Y215="","",IF(ROUND($H215+$I215-$N215+$Z215-$T215,2)&lt;&gt;0,"★期初＋本年－已收≠余额",IF(ROUND($R215+$S215-MAX(0,$T215),2)&lt;&gt;0,"★已开票＋未开票≠欠款",IF(ROUND($J215+$K215-$I215,2)&lt;&gt;0,"★合同款＋合同外款≠本年应收",IF(ROUND($O215+$P215+$Q215-$N215,2)&lt;&gt;0,"★发票＋收据＋现金≠本年已收","OK")))))</f>
        <v/>
      </c>
      <c r="Y215" s="35" t="str">
        <f aca="false">IF(维保合同!$C215="","",维保合同!$E215)</f>
        <v/>
      </c>
      <c r="Z215" s="40" t="str">
        <f aca="false">IF($Y215="","",ROUND(SUMIFS(应收金额,应收键,$Y215,应收年度,"&gt;"&amp;管理年度)-SUMIFS(收款金额,收款键,$Y215,收款年度,"&gt;"&amp;管理年度),2))</f>
        <v/>
      </c>
      <c r="AA215" s="47" t="str">
        <f aca="false">IF($Y215="","",IF(SUMPRODUCT(MIN(IF((应收键=$Y215)*(应收未收&gt;0.01),应收日期,999999)))&gt;=999999,"",SUMPRODUCT(MIN(IF((应收键=$Y215)*(应收未收&gt;0.01),应收日期,999999)))))</f>
        <v/>
      </c>
    </row>
    <row r="216" customFormat="false" ht="15" hidden="false" customHeight="false" outlineLevel="0" collapsed="false">
      <c r="A216" s="29" t="str">
        <f aca="false">IF($Y216="","",ROW()-4)</f>
        <v/>
      </c>
      <c r="B216" s="16" t="str">
        <f aca="false">IF($Y216="","",维保合同!$C216)</f>
        <v/>
      </c>
      <c r="C216" s="16" t="str">
        <f aca="false">IF($Y216="","",维保合同!$D216)</f>
        <v/>
      </c>
      <c r="D216" s="35" t="str">
        <f aca="false">IF($Y216="","",维保合同!$F216)</f>
        <v/>
      </c>
      <c r="E216" s="35" t="str">
        <f aca="false">IF($Y216="","",维保合同!$G216)</f>
        <v/>
      </c>
      <c r="F216" s="47" t="str">
        <f aca="false">IF($Y216="","",维保合同!$I216)</f>
        <v/>
      </c>
      <c r="G216" s="38" t="str">
        <f aca="false">IF($Y216="","",维保合同!$K216)</f>
        <v/>
      </c>
      <c r="H216" s="41" t="str">
        <f aca="false">IF($Y216="","",ROUND(SUMIFS(应收金额,应收键,$Y216,应收年度,"&lt;"&amp;管理年度)-SUMIFS(收款金额,收款键,$Y216,收款年度,"&lt;"&amp;管理年度),2))</f>
        <v/>
      </c>
      <c r="I216" s="40" t="str">
        <f aca="false">IF($Y216="","",ROUND(SUMIFS(应收金额,应收键,$Y216,应收年度,管理年度),2))</f>
        <v/>
      </c>
      <c r="J216" s="40" t="str">
        <f aca="false">IF($Y216="","",ROUND(SUMIFS(应收金额,应收键,$Y216,应收年度,管理年度,应收款别,"合同款"),2))</f>
        <v/>
      </c>
      <c r="K216" s="40" t="str">
        <f aca="false">IF($Y216="","",ROUND($I216-$J216,2))</f>
        <v/>
      </c>
      <c r="L216" s="40" t="str">
        <f aca="false">IF($Y216="","",ROUND(SUMIFS(应收开票额,应收键,$Y216,应收开票年度,管理年度),2))</f>
        <v/>
      </c>
      <c r="M216" s="40" t="str">
        <f aca="false">IF($Y216="","",ROUND($I216-$L216,2))</f>
        <v/>
      </c>
      <c r="N216" s="40" t="str">
        <f aca="false">IF($Y216="","",ROUND(SUMIFS(收款金额,收款键,$Y216,收款年度,管理年度),2))</f>
        <v/>
      </c>
      <c r="O216" s="40" t="str">
        <f aca="false">IF($Y216="","",ROUND(SUMIFS(收款金额,收款键,$Y216,收款年度,管理年度,收款归类,"发票"),2))</f>
        <v/>
      </c>
      <c r="P216" s="40" t="str">
        <f aca="false">IF($Y216="","",ROUND(SUMIFS(收款金额,收款键,$Y216,收款年度,管理年度,收款归类,"收据"),2))</f>
        <v/>
      </c>
      <c r="Q216" s="40" t="str">
        <f aca="false">IF($Y216="","",ROUND(SUMIFS(收款金额,收款键,$Y216,收款年度,管理年度,收款归类,"现金无票"),2))</f>
        <v/>
      </c>
      <c r="R216" s="40" t="str">
        <f aca="false">IF($Y216="","",ROUND(MAX(0,MIN($T216,SUMIF(应收键,$Y216,应收开票额)-SUMIF(收款键,$Y216,收款金额))),2))</f>
        <v/>
      </c>
      <c r="S216" s="40" t="str">
        <f aca="false">IF($Y216="","",ROUND(MAX(0,$T216)-$R216,2))</f>
        <v/>
      </c>
      <c r="T216" s="48" t="str">
        <f aca="false">IF($Y216="","",ROUND(SUMIF(应收键,$Y216,应收金额)-SUMIF(收款键,$Y216,收款金额),2))</f>
        <v/>
      </c>
      <c r="U216" s="49" t="str">
        <f aca="true">IF($AA216="","",IF($T216&lt;=0.01,"",MAX(0,TODAY()-$AA216)))</f>
        <v/>
      </c>
      <c r="V216" s="50" t="str">
        <f aca="true">IF($Y216="","",IF($T216&gt;0.01,IF(AND(ISNUMBER($U216),$U216&gt;=账龄预警天),"▲欠款拖了 "&amp;TEXT($U216,"0")&amp;" 天","欠款未清"),IF($T216&lt;-0.01,"预收/多收","已结清"))&amp;IF(OR($E216="已签未回",$E216="未签",$E216="续签中")," ▲合同未回","")&amp;IF(AND(ISNUMBER($F216),$F216&lt;TODAY())," ▲合同已到期",""))</f>
        <v/>
      </c>
      <c r="W216" s="24"/>
      <c r="X216" s="35" t="str">
        <f aca="false">IF($Y216="","",IF(ROUND($H216+$I216-$N216+$Z216-$T216,2)&lt;&gt;0,"★期初＋本年－已收≠余额",IF(ROUND($R216+$S216-MAX(0,$T216),2)&lt;&gt;0,"★已开票＋未开票≠欠款",IF(ROUND($J216+$K216-$I216,2)&lt;&gt;0,"★合同款＋合同外款≠本年应收",IF(ROUND($O216+$P216+$Q216-$N216,2)&lt;&gt;0,"★发票＋收据＋现金≠本年已收","OK")))))</f>
        <v/>
      </c>
      <c r="Y216" s="35" t="str">
        <f aca="false">IF(维保合同!$C216="","",维保合同!$E216)</f>
        <v/>
      </c>
      <c r="Z216" s="40" t="str">
        <f aca="false">IF($Y216="","",ROUND(SUMIFS(应收金额,应收键,$Y216,应收年度,"&gt;"&amp;管理年度)-SUMIFS(收款金额,收款键,$Y216,收款年度,"&gt;"&amp;管理年度),2))</f>
        <v/>
      </c>
      <c r="AA216" s="47" t="str">
        <f aca="false">IF($Y216="","",IF(SUMPRODUCT(MIN(IF((应收键=$Y216)*(应收未收&gt;0.01),应收日期,999999)))&gt;=999999,"",SUMPRODUCT(MIN(IF((应收键=$Y216)*(应收未收&gt;0.01),应收日期,999999)))))</f>
        <v/>
      </c>
    </row>
    <row r="217" customFormat="false" ht="15" hidden="false" customHeight="false" outlineLevel="0" collapsed="false">
      <c r="A217" s="29" t="str">
        <f aca="false">IF($Y217="","",ROW()-4)</f>
        <v/>
      </c>
      <c r="B217" s="16" t="str">
        <f aca="false">IF($Y217="","",维保合同!$C217)</f>
        <v/>
      </c>
      <c r="C217" s="16" t="str">
        <f aca="false">IF($Y217="","",维保合同!$D217)</f>
        <v/>
      </c>
      <c r="D217" s="35" t="str">
        <f aca="false">IF($Y217="","",维保合同!$F217)</f>
        <v/>
      </c>
      <c r="E217" s="35" t="str">
        <f aca="false">IF($Y217="","",维保合同!$G217)</f>
        <v/>
      </c>
      <c r="F217" s="47" t="str">
        <f aca="false">IF($Y217="","",维保合同!$I217)</f>
        <v/>
      </c>
      <c r="G217" s="38" t="str">
        <f aca="false">IF($Y217="","",维保合同!$K217)</f>
        <v/>
      </c>
      <c r="H217" s="41" t="str">
        <f aca="false">IF($Y217="","",ROUND(SUMIFS(应收金额,应收键,$Y217,应收年度,"&lt;"&amp;管理年度)-SUMIFS(收款金额,收款键,$Y217,收款年度,"&lt;"&amp;管理年度),2))</f>
        <v/>
      </c>
      <c r="I217" s="40" t="str">
        <f aca="false">IF($Y217="","",ROUND(SUMIFS(应收金额,应收键,$Y217,应收年度,管理年度),2))</f>
        <v/>
      </c>
      <c r="J217" s="40" t="str">
        <f aca="false">IF($Y217="","",ROUND(SUMIFS(应收金额,应收键,$Y217,应收年度,管理年度,应收款别,"合同款"),2))</f>
        <v/>
      </c>
      <c r="K217" s="40" t="str">
        <f aca="false">IF($Y217="","",ROUND($I217-$J217,2))</f>
        <v/>
      </c>
      <c r="L217" s="40" t="str">
        <f aca="false">IF($Y217="","",ROUND(SUMIFS(应收开票额,应收键,$Y217,应收开票年度,管理年度),2))</f>
        <v/>
      </c>
      <c r="M217" s="40" t="str">
        <f aca="false">IF($Y217="","",ROUND($I217-$L217,2))</f>
        <v/>
      </c>
      <c r="N217" s="40" t="str">
        <f aca="false">IF($Y217="","",ROUND(SUMIFS(收款金额,收款键,$Y217,收款年度,管理年度),2))</f>
        <v/>
      </c>
      <c r="O217" s="40" t="str">
        <f aca="false">IF($Y217="","",ROUND(SUMIFS(收款金额,收款键,$Y217,收款年度,管理年度,收款归类,"发票"),2))</f>
        <v/>
      </c>
      <c r="P217" s="40" t="str">
        <f aca="false">IF($Y217="","",ROUND(SUMIFS(收款金额,收款键,$Y217,收款年度,管理年度,收款归类,"收据"),2))</f>
        <v/>
      </c>
      <c r="Q217" s="40" t="str">
        <f aca="false">IF($Y217="","",ROUND(SUMIFS(收款金额,收款键,$Y217,收款年度,管理年度,收款归类,"现金无票"),2))</f>
        <v/>
      </c>
      <c r="R217" s="40" t="str">
        <f aca="false">IF($Y217="","",ROUND(MAX(0,MIN($T217,SUMIF(应收键,$Y217,应收开票额)-SUMIF(收款键,$Y217,收款金额))),2))</f>
        <v/>
      </c>
      <c r="S217" s="40" t="str">
        <f aca="false">IF($Y217="","",ROUND(MAX(0,$T217)-$R217,2))</f>
        <v/>
      </c>
      <c r="T217" s="48" t="str">
        <f aca="false">IF($Y217="","",ROUND(SUMIF(应收键,$Y217,应收金额)-SUMIF(收款键,$Y217,收款金额),2))</f>
        <v/>
      </c>
      <c r="U217" s="49" t="str">
        <f aca="true">IF($AA217="","",IF($T217&lt;=0.01,"",MAX(0,TODAY()-$AA217)))</f>
        <v/>
      </c>
      <c r="V217" s="50" t="str">
        <f aca="true">IF($Y217="","",IF($T217&gt;0.01,IF(AND(ISNUMBER($U217),$U217&gt;=账龄预警天),"▲欠款拖了 "&amp;TEXT($U217,"0")&amp;" 天","欠款未清"),IF($T217&lt;-0.01,"预收/多收","已结清"))&amp;IF(OR($E217="已签未回",$E217="未签",$E217="续签中")," ▲合同未回","")&amp;IF(AND(ISNUMBER($F217),$F217&lt;TODAY())," ▲合同已到期",""))</f>
        <v/>
      </c>
      <c r="W217" s="24"/>
      <c r="X217" s="35" t="str">
        <f aca="false">IF($Y217="","",IF(ROUND($H217+$I217-$N217+$Z217-$T217,2)&lt;&gt;0,"★期初＋本年－已收≠余额",IF(ROUND($R217+$S217-MAX(0,$T217),2)&lt;&gt;0,"★已开票＋未开票≠欠款",IF(ROUND($J217+$K217-$I217,2)&lt;&gt;0,"★合同款＋合同外款≠本年应收",IF(ROUND($O217+$P217+$Q217-$N217,2)&lt;&gt;0,"★发票＋收据＋现金≠本年已收","OK")))))</f>
        <v/>
      </c>
      <c r="Y217" s="35" t="str">
        <f aca="false">IF(维保合同!$C217="","",维保合同!$E217)</f>
        <v/>
      </c>
      <c r="Z217" s="40" t="str">
        <f aca="false">IF($Y217="","",ROUND(SUMIFS(应收金额,应收键,$Y217,应收年度,"&gt;"&amp;管理年度)-SUMIFS(收款金额,收款键,$Y217,收款年度,"&gt;"&amp;管理年度),2))</f>
        <v/>
      </c>
      <c r="AA217" s="47" t="str">
        <f aca="false">IF($Y217="","",IF(SUMPRODUCT(MIN(IF((应收键=$Y217)*(应收未收&gt;0.01),应收日期,999999)))&gt;=999999,"",SUMPRODUCT(MIN(IF((应收键=$Y217)*(应收未收&gt;0.01),应收日期,999999)))))</f>
        <v/>
      </c>
    </row>
    <row r="218" customFormat="false" ht="15" hidden="false" customHeight="false" outlineLevel="0" collapsed="false">
      <c r="A218" s="29" t="str">
        <f aca="false">IF($Y218="","",ROW()-4)</f>
        <v/>
      </c>
      <c r="B218" s="16" t="str">
        <f aca="false">IF($Y218="","",维保合同!$C218)</f>
        <v/>
      </c>
      <c r="C218" s="16" t="str">
        <f aca="false">IF($Y218="","",维保合同!$D218)</f>
        <v/>
      </c>
      <c r="D218" s="35" t="str">
        <f aca="false">IF($Y218="","",维保合同!$F218)</f>
        <v/>
      </c>
      <c r="E218" s="35" t="str">
        <f aca="false">IF($Y218="","",维保合同!$G218)</f>
        <v/>
      </c>
      <c r="F218" s="47" t="str">
        <f aca="false">IF($Y218="","",维保合同!$I218)</f>
        <v/>
      </c>
      <c r="G218" s="38" t="str">
        <f aca="false">IF($Y218="","",维保合同!$K218)</f>
        <v/>
      </c>
      <c r="H218" s="41" t="str">
        <f aca="false">IF($Y218="","",ROUND(SUMIFS(应收金额,应收键,$Y218,应收年度,"&lt;"&amp;管理年度)-SUMIFS(收款金额,收款键,$Y218,收款年度,"&lt;"&amp;管理年度),2))</f>
        <v/>
      </c>
      <c r="I218" s="40" t="str">
        <f aca="false">IF($Y218="","",ROUND(SUMIFS(应收金额,应收键,$Y218,应收年度,管理年度),2))</f>
        <v/>
      </c>
      <c r="J218" s="40" t="str">
        <f aca="false">IF($Y218="","",ROUND(SUMIFS(应收金额,应收键,$Y218,应收年度,管理年度,应收款别,"合同款"),2))</f>
        <v/>
      </c>
      <c r="K218" s="40" t="str">
        <f aca="false">IF($Y218="","",ROUND($I218-$J218,2))</f>
        <v/>
      </c>
      <c r="L218" s="40" t="str">
        <f aca="false">IF($Y218="","",ROUND(SUMIFS(应收开票额,应收键,$Y218,应收开票年度,管理年度),2))</f>
        <v/>
      </c>
      <c r="M218" s="40" t="str">
        <f aca="false">IF($Y218="","",ROUND($I218-$L218,2))</f>
        <v/>
      </c>
      <c r="N218" s="40" t="str">
        <f aca="false">IF($Y218="","",ROUND(SUMIFS(收款金额,收款键,$Y218,收款年度,管理年度),2))</f>
        <v/>
      </c>
      <c r="O218" s="40" t="str">
        <f aca="false">IF($Y218="","",ROUND(SUMIFS(收款金额,收款键,$Y218,收款年度,管理年度,收款归类,"发票"),2))</f>
        <v/>
      </c>
      <c r="P218" s="40" t="str">
        <f aca="false">IF($Y218="","",ROUND(SUMIFS(收款金额,收款键,$Y218,收款年度,管理年度,收款归类,"收据"),2))</f>
        <v/>
      </c>
      <c r="Q218" s="40" t="str">
        <f aca="false">IF($Y218="","",ROUND(SUMIFS(收款金额,收款键,$Y218,收款年度,管理年度,收款归类,"现金无票"),2))</f>
        <v/>
      </c>
      <c r="R218" s="40" t="str">
        <f aca="false">IF($Y218="","",ROUND(MAX(0,MIN($T218,SUMIF(应收键,$Y218,应收开票额)-SUMIF(收款键,$Y218,收款金额))),2))</f>
        <v/>
      </c>
      <c r="S218" s="40" t="str">
        <f aca="false">IF($Y218="","",ROUND(MAX(0,$T218)-$R218,2))</f>
        <v/>
      </c>
      <c r="T218" s="48" t="str">
        <f aca="false">IF($Y218="","",ROUND(SUMIF(应收键,$Y218,应收金额)-SUMIF(收款键,$Y218,收款金额),2))</f>
        <v/>
      </c>
      <c r="U218" s="49" t="str">
        <f aca="true">IF($AA218="","",IF($T218&lt;=0.01,"",MAX(0,TODAY()-$AA218)))</f>
        <v/>
      </c>
      <c r="V218" s="50" t="str">
        <f aca="true">IF($Y218="","",IF($T218&gt;0.01,IF(AND(ISNUMBER($U218),$U218&gt;=账龄预警天),"▲欠款拖了 "&amp;TEXT($U218,"0")&amp;" 天","欠款未清"),IF($T218&lt;-0.01,"预收/多收","已结清"))&amp;IF(OR($E218="已签未回",$E218="未签",$E218="续签中")," ▲合同未回","")&amp;IF(AND(ISNUMBER($F218),$F218&lt;TODAY())," ▲合同已到期",""))</f>
        <v/>
      </c>
      <c r="W218" s="24"/>
      <c r="X218" s="35" t="str">
        <f aca="false">IF($Y218="","",IF(ROUND($H218+$I218-$N218+$Z218-$T218,2)&lt;&gt;0,"★期初＋本年－已收≠余额",IF(ROUND($R218+$S218-MAX(0,$T218),2)&lt;&gt;0,"★已开票＋未开票≠欠款",IF(ROUND($J218+$K218-$I218,2)&lt;&gt;0,"★合同款＋合同外款≠本年应收",IF(ROUND($O218+$P218+$Q218-$N218,2)&lt;&gt;0,"★发票＋收据＋现金≠本年已收","OK")))))</f>
        <v/>
      </c>
      <c r="Y218" s="35" t="str">
        <f aca="false">IF(维保合同!$C218="","",维保合同!$E218)</f>
        <v/>
      </c>
      <c r="Z218" s="40" t="str">
        <f aca="false">IF($Y218="","",ROUND(SUMIFS(应收金额,应收键,$Y218,应收年度,"&gt;"&amp;管理年度)-SUMIFS(收款金额,收款键,$Y218,收款年度,"&gt;"&amp;管理年度),2))</f>
        <v/>
      </c>
      <c r="AA218" s="47" t="str">
        <f aca="false">IF($Y218="","",IF(SUMPRODUCT(MIN(IF((应收键=$Y218)*(应收未收&gt;0.01),应收日期,999999)))&gt;=999999,"",SUMPRODUCT(MIN(IF((应收键=$Y218)*(应收未收&gt;0.01),应收日期,999999)))))</f>
        <v/>
      </c>
    </row>
    <row r="219" customFormat="false" ht="15" hidden="false" customHeight="false" outlineLevel="0" collapsed="false">
      <c r="A219" s="29" t="str">
        <f aca="false">IF($Y219="","",ROW()-4)</f>
        <v/>
      </c>
      <c r="B219" s="16" t="str">
        <f aca="false">IF($Y219="","",维保合同!$C219)</f>
        <v/>
      </c>
      <c r="C219" s="16" t="str">
        <f aca="false">IF($Y219="","",维保合同!$D219)</f>
        <v/>
      </c>
      <c r="D219" s="35" t="str">
        <f aca="false">IF($Y219="","",维保合同!$F219)</f>
        <v/>
      </c>
      <c r="E219" s="35" t="str">
        <f aca="false">IF($Y219="","",维保合同!$G219)</f>
        <v/>
      </c>
      <c r="F219" s="47" t="str">
        <f aca="false">IF($Y219="","",维保合同!$I219)</f>
        <v/>
      </c>
      <c r="G219" s="38" t="str">
        <f aca="false">IF($Y219="","",维保合同!$K219)</f>
        <v/>
      </c>
      <c r="H219" s="41" t="str">
        <f aca="false">IF($Y219="","",ROUND(SUMIFS(应收金额,应收键,$Y219,应收年度,"&lt;"&amp;管理年度)-SUMIFS(收款金额,收款键,$Y219,收款年度,"&lt;"&amp;管理年度),2))</f>
        <v/>
      </c>
      <c r="I219" s="40" t="str">
        <f aca="false">IF($Y219="","",ROUND(SUMIFS(应收金额,应收键,$Y219,应收年度,管理年度),2))</f>
        <v/>
      </c>
      <c r="J219" s="40" t="str">
        <f aca="false">IF($Y219="","",ROUND(SUMIFS(应收金额,应收键,$Y219,应收年度,管理年度,应收款别,"合同款"),2))</f>
        <v/>
      </c>
      <c r="K219" s="40" t="str">
        <f aca="false">IF($Y219="","",ROUND($I219-$J219,2))</f>
        <v/>
      </c>
      <c r="L219" s="40" t="str">
        <f aca="false">IF($Y219="","",ROUND(SUMIFS(应收开票额,应收键,$Y219,应收开票年度,管理年度),2))</f>
        <v/>
      </c>
      <c r="M219" s="40" t="str">
        <f aca="false">IF($Y219="","",ROUND($I219-$L219,2))</f>
        <v/>
      </c>
      <c r="N219" s="40" t="str">
        <f aca="false">IF($Y219="","",ROUND(SUMIFS(收款金额,收款键,$Y219,收款年度,管理年度),2))</f>
        <v/>
      </c>
      <c r="O219" s="40" t="str">
        <f aca="false">IF($Y219="","",ROUND(SUMIFS(收款金额,收款键,$Y219,收款年度,管理年度,收款归类,"发票"),2))</f>
        <v/>
      </c>
      <c r="P219" s="40" t="str">
        <f aca="false">IF($Y219="","",ROUND(SUMIFS(收款金额,收款键,$Y219,收款年度,管理年度,收款归类,"收据"),2))</f>
        <v/>
      </c>
      <c r="Q219" s="40" t="str">
        <f aca="false">IF($Y219="","",ROUND(SUMIFS(收款金额,收款键,$Y219,收款年度,管理年度,收款归类,"现金无票"),2))</f>
        <v/>
      </c>
      <c r="R219" s="40" t="str">
        <f aca="false">IF($Y219="","",ROUND(MAX(0,MIN($T219,SUMIF(应收键,$Y219,应收开票额)-SUMIF(收款键,$Y219,收款金额))),2))</f>
        <v/>
      </c>
      <c r="S219" s="40" t="str">
        <f aca="false">IF($Y219="","",ROUND(MAX(0,$T219)-$R219,2))</f>
        <v/>
      </c>
      <c r="T219" s="48" t="str">
        <f aca="false">IF($Y219="","",ROUND(SUMIF(应收键,$Y219,应收金额)-SUMIF(收款键,$Y219,收款金额),2))</f>
        <v/>
      </c>
      <c r="U219" s="49" t="str">
        <f aca="true">IF($AA219="","",IF($T219&lt;=0.01,"",MAX(0,TODAY()-$AA219)))</f>
        <v/>
      </c>
      <c r="V219" s="50" t="str">
        <f aca="true">IF($Y219="","",IF($T219&gt;0.01,IF(AND(ISNUMBER($U219),$U219&gt;=账龄预警天),"▲欠款拖了 "&amp;TEXT($U219,"0")&amp;" 天","欠款未清"),IF($T219&lt;-0.01,"预收/多收","已结清"))&amp;IF(OR($E219="已签未回",$E219="未签",$E219="续签中")," ▲合同未回","")&amp;IF(AND(ISNUMBER($F219),$F219&lt;TODAY())," ▲合同已到期",""))</f>
        <v/>
      </c>
      <c r="W219" s="24"/>
      <c r="X219" s="35" t="str">
        <f aca="false">IF($Y219="","",IF(ROUND($H219+$I219-$N219+$Z219-$T219,2)&lt;&gt;0,"★期初＋本年－已收≠余额",IF(ROUND($R219+$S219-MAX(0,$T219),2)&lt;&gt;0,"★已开票＋未开票≠欠款",IF(ROUND($J219+$K219-$I219,2)&lt;&gt;0,"★合同款＋合同外款≠本年应收",IF(ROUND($O219+$P219+$Q219-$N219,2)&lt;&gt;0,"★发票＋收据＋现金≠本年已收","OK")))))</f>
        <v/>
      </c>
      <c r="Y219" s="35" t="str">
        <f aca="false">IF(维保合同!$C219="","",维保合同!$E219)</f>
        <v/>
      </c>
      <c r="Z219" s="40" t="str">
        <f aca="false">IF($Y219="","",ROUND(SUMIFS(应收金额,应收键,$Y219,应收年度,"&gt;"&amp;管理年度)-SUMIFS(收款金额,收款键,$Y219,收款年度,"&gt;"&amp;管理年度),2))</f>
        <v/>
      </c>
      <c r="AA219" s="47" t="str">
        <f aca="false">IF($Y219="","",IF(SUMPRODUCT(MIN(IF((应收键=$Y219)*(应收未收&gt;0.01),应收日期,999999)))&gt;=999999,"",SUMPRODUCT(MIN(IF((应收键=$Y219)*(应收未收&gt;0.01),应收日期,999999)))))</f>
        <v/>
      </c>
    </row>
    <row r="220" customFormat="false" ht="15" hidden="false" customHeight="false" outlineLevel="0" collapsed="false">
      <c r="A220" s="29" t="str">
        <f aca="false">IF($Y220="","",ROW()-4)</f>
        <v/>
      </c>
      <c r="B220" s="16" t="str">
        <f aca="false">IF($Y220="","",维保合同!$C220)</f>
        <v/>
      </c>
      <c r="C220" s="16" t="str">
        <f aca="false">IF($Y220="","",维保合同!$D220)</f>
        <v/>
      </c>
      <c r="D220" s="35" t="str">
        <f aca="false">IF($Y220="","",维保合同!$F220)</f>
        <v/>
      </c>
      <c r="E220" s="35" t="str">
        <f aca="false">IF($Y220="","",维保合同!$G220)</f>
        <v/>
      </c>
      <c r="F220" s="47" t="str">
        <f aca="false">IF($Y220="","",维保合同!$I220)</f>
        <v/>
      </c>
      <c r="G220" s="38" t="str">
        <f aca="false">IF($Y220="","",维保合同!$K220)</f>
        <v/>
      </c>
      <c r="H220" s="41" t="str">
        <f aca="false">IF($Y220="","",ROUND(SUMIFS(应收金额,应收键,$Y220,应收年度,"&lt;"&amp;管理年度)-SUMIFS(收款金额,收款键,$Y220,收款年度,"&lt;"&amp;管理年度),2))</f>
        <v/>
      </c>
      <c r="I220" s="40" t="str">
        <f aca="false">IF($Y220="","",ROUND(SUMIFS(应收金额,应收键,$Y220,应收年度,管理年度),2))</f>
        <v/>
      </c>
      <c r="J220" s="40" t="str">
        <f aca="false">IF($Y220="","",ROUND(SUMIFS(应收金额,应收键,$Y220,应收年度,管理年度,应收款别,"合同款"),2))</f>
        <v/>
      </c>
      <c r="K220" s="40" t="str">
        <f aca="false">IF($Y220="","",ROUND($I220-$J220,2))</f>
        <v/>
      </c>
      <c r="L220" s="40" t="str">
        <f aca="false">IF($Y220="","",ROUND(SUMIFS(应收开票额,应收键,$Y220,应收开票年度,管理年度),2))</f>
        <v/>
      </c>
      <c r="M220" s="40" t="str">
        <f aca="false">IF($Y220="","",ROUND($I220-$L220,2))</f>
        <v/>
      </c>
      <c r="N220" s="40" t="str">
        <f aca="false">IF($Y220="","",ROUND(SUMIFS(收款金额,收款键,$Y220,收款年度,管理年度),2))</f>
        <v/>
      </c>
      <c r="O220" s="40" t="str">
        <f aca="false">IF($Y220="","",ROUND(SUMIFS(收款金额,收款键,$Y220,收款年度,管理年度,收款归类,"发票"),2))</f>
        <v/>
      </c>
      <c r="P220" s="40" t="str">
        <f aca="false">IF($Y220="","",ROUND(SUMIFS(收款金额,收款键,$Y220,收款年度,管理年度,收款归类,"收据"),2))</f>
        <v/>
      </c>
      <c r="Q220" s="40" t="str">
        <f aca="false">IF($Y220="","",ROUND(SUMIFS(收款金额,收款键,$Y220,收款年度,管理年度,收款归类,"现金无票"),2))</f>
        <v/>
      </c>
      <c r="R220" s="40" t="str">
        <f aca="false">IF($Y220="","",ROUND(MAX(0,MIN($T220,SUMIF(应收键,$Y220,应收开票额)-SUMIF(收款键,$Y220,收款金额))),2))</f>
        <v/>
      </c>
      <c r="S220" s="40" t="str">
        <f aca="false">IF($Y220="","",ROUND(MAX(0,$T220)-$R220,2))</f>
        <v/>
      </c>
      <c r="T220" s="48" t="str">
        <f aca="false">IF($Y220="","",ROUND(SUMIF(应收键,$Y220,应收金额)-SUMIF(收款键,$Y220,收款金额),2))</f>
        <v/>
      </c>
      <c r="U220" s="49" t="str">
        <f aca="true">IF($AA220="","",IF($T220&lt;=0.01,"",MAX(0,TODAY()-$AA220)))</f>
        <v/>
      </c>
      <c r="V220" s="50" t="str">
        <f aca="true">IF($Y220="","",IF($T220&gt;0.01,IF(AND(ISNUMBER($U220),$U220&gt;=账龄预警天),"▲欠款拖了 "&amp;TEXT($U220,"0")&amp;" 天","欠款未清"),IF($T220&lt;-0.01,"预收/多收","已结清"))&amp;IF(OR($E220="已签未回",$E220="未签",$E220="续签中")," ▲合同未回","")&amp;IF(AND(ISNUMBER($F220),$F220&lt;TODAY())," ▲合同已到期",""))</f>
        <v/>
      </c>
      <c r="W220" s="24"/>
      <c r="X220" s="35" t="str">
        <f aca="false">IF($Y220="","",IF(ROUND($H220+$I220-$N220+$Z220-$T220,2)&lt;&gt;0,"★期初＋本年－已收≠余额",IF(ROUND($R220+$S220-MAX(0,$T220),2)&lt;&gt;0,"★已开票＋未开票≠欠款",IF(ROUND($J220+$K220-$I220,2)&lt;&gt;0,"★合同款＋合同外款≠本年应收",IF(ROUND($O220+$P220+$Q220-$N220,2)&lt;&gt;0,"★发票＋收据＋现金≠本年已收","OK")))))</f>
        <v/>
      </c>
      <c r="Y220" s="35" t="str">
        <f aca="false">IF(维保合同!$C220="","",维保合同!$E220)</f>
        <v/>
      </c>
      <c r="Z220" s="40" t="str">
        <f aca="false">IF($Y220="","",ROUND(SUMIFS(应收金额,应收键,$Y220,应收年度,"&gt;"&amp;管理年度)-SUMIFS(收款金额,收款键,$Y220,收款年度,"&gt;"&amp;管理年度),2))</f>
        <v/>
      </c>
      <c r="AA220" s="47" t="str">
        <f aca="false">IF($Y220="","",IF(SUMPRODUCT(MIN(IF((应收键=$Y220)*(应收未收&gt;0.01),应收日期,999999)))&gt;=999999,"",SUMPRODUCT(MIN(IF((应收键=$Y220)*(应收未收&gt;0.01),应收日期,999999)))))</f>
        <v/>
      </c>
    </row>
    <row r="221" customFormat="false" ht="15" hidden="false" customHeight="false" outlineLevel="0" collapsed="false">
      <c r="A221" s="29" t="str">
        <f aca="false">IF($Y221="","",ROW()-4)</f>
        <v/>
      </c>
      <c r="B221" s="16" t="str">
        <f aca="false">IF($Y221="","",维保合同!$C221)</f>
        <v/>
      </c>
      <c r="C221" s="16" t="str">
        <f aca="false">IF($Y221="","",维保合同!$D221)</f>
        <v/>
      </c>
      <c r="D221" s="35" t="str">
        <f aca="false">IF($Y221="","",维保合同!$F221)</f>
        <v/>
      </c>
      <c r="E221" s="35" t="str">
        <f aca="false">IF($Y221="","",维保合同!$G221)</f>
        <v/>
      </c>
      <c r="F221" s="47" t="str">
        <f aca="false">IF($Y221="","",维保合同!$I221)</f>
        <v/>
      </c>
      <c r="G221" s="38" t="str">
        <f aca="false">IF($Y221="","",维保合同!$K221)</f>
        <v/>
      </c>
      <c r="H221" s="41" t="str">
        <f aca="false">IF($Y221="","",ROUND(SUMIFS(应收金额,应收键,$Y221,应收年度,"&lt;"&amp;管理年度)-SUMIFS(收款金额,收款键,$Y221,收款年度,"&lt;"&amp;管理年度),2))</f>
        <v/>
      </c>
      <c r="I221" s="40" t="str">
        <f aca="false">IF($Y221="","",ROUND(SUMIFS(应收金额,应收键,$Y221,应收年度,管理年度),2))</f>
        <v/>
      </c>
      <c r="J221" s="40" t="str">
        <f aca="false">IF($Y221="","",ROUND(SUMIFS(应收金额,应收键,$Y221,应收年度,管理年度,应收款别,"合同款"),2))</f>
        <v/>
      </c>
      <c r="K221" s="40" t="str">
        <f aca="false">IF($Y221="","",ROUND($I221-$J221,2))</f>
        <v/>
      </c>
      <c r="L221" s="40" t="str">
        <f aca="false">IF($Y221="","",ROUND(SUMIFS(应收开票额,应收键,$Y221,应收开票年度,管理年度),2))</f>
        <v/>
      </c>
      <c r="M221" s="40" t="str">
        <f aca="false">IF($Y221="","",ROUND($I221-$L221,2))</f>
        <v/>
      </c>
      <c r="N221" s="40" t="str">
        <f aca="false">IF($Y221="","",ROUND(SUMIFS(收款金额,收款键,$Y221,收款年度,管理年度),2))</f>
        <v/>
      </c>
      <c r="O221" s="40" t="str">
        <f aca="false">IF($Y221="","",ROUND(SUMIFS(收款金额,收款键,$Y221,收款年度,管理年度,收款归类,"发票"),2))</f>
        <v/>
      </c>
      <c r="P221" s="40" t="str">
        <f aca="false">IF($Y221="","",ROUND(SUMIFS(收款金额,收款键,$Y221,收款年度,管理年度,收款归类,"收据"),2))</f>
        <v/>
      </c>
      <c r="Q221" s="40" t="str">
        <f aca="false">IF($Y221="","",ROUND(SUMIFS(收款金额,收款键,$Y221,收款年度,管理年度,收款归类,"现金无票"),2))</f>
        <v/>
      </c>
      <c r="R221" s="40" t="str">
        <f aca="false">IF($Y221="","",ROUND(MAX(0,MIN($T221,SUMIF(应收键,$Y221,应收开票额)-SUMIF(收款键,$Y221,收款金额))),2))</f>
        <v/>
      </c>
      <c r="S221" s="40" t="str">
        <f aca="false">IF($Y221="","",ROUND(MAX(0,$T221)-$R221,2))</f>
        <v/>
      </c>
      <c r="T221" s="48" t="str">
        <f aca="false">IF($Y221="","",ROUND(SUMIF(应收键,$Y221,应收金额)-SUMIF(收款键,$Y221,收款金额),2))</f>
        <v/>
      </c>
      <c r="U221" s="49" t="str">
        <f aca="true">IF($AA221="","",IF($T221&lt;=0.01,"",MAX(0,TODAY()-$AA221)))</f>
        <v/>
      </c>
      <c r="V221" s="50" t="str">
        <f aca="true">IF($Y221="","",IF($T221&gt;0.01,IF(AND(ISNUMBER($U221),$U221&gt;=账龄预警天),"▲欠款拖了 "&amp;TEXT($U221,"0")&amp;" 天","欠款未清"),IF($T221&lt;-0.01,"预收/多收","已结清"))&amp;IF(OR($E221="已签未回",$E221="未签",$E221="续签中")," ▲合同未回","")&amp;IF(AND(ISNUMBER($F221),$F221&lt;TODAY())," ▲合同已到期",""))</f>
        <v/>
      </c>
      <c r="W221" s="24"/>
      <c r="X221" s="35" t="str">
        <f aca="false">IF($Y221="","",IF(ROUND($H221+$I221-$N221+$Z221-$T221,2)&lt;&gt;0,"★期初＋本年－已收≠余额",IF(ROUND($R221+$S221-MAX(0,$T221),2)&lt;&gt;0,"★已开票＋未开票≠欠款",IF(ROUND($J221+$K221-$I221,2)&lt;&gt;0,"★合同款＋合同外款≠本年应收",IF(ROUND($O221+$P221+$Q221-$N221,2)&lt;&gt;0,"★发票＋收据＋现金≠本年已收","OK")))))</f>
        <v/>
      </c>
      <c r="Y221" s="35" t="str">
        <f aca="false">IF(维保合同!$C221="","",维保合同!$E221)</f>
        <v/>
      </c>
      <c r="Z221" s="40" t="str">
        <f aca="false">IF($Y221="","",ROUND(SUMIFS(应收金额,应收键,$Y221,应收年度,"&gt;"&amp;管理年度)-SUMIFS(收款金额,收款键,$Y221,收款年度,"&gt;"&amp;管理年度),2))</f>
        <v/>
      </c>
      <c r="AA221" s="47" t="str">
        <f aca="false">IF($Y221="","",IF(SUMPRODUCT(MIN(IF((应收键=$Y221)*(应收未收&gt;0.01),应收日期,999999)))&gt;=999999,"",SUMPRODUCT(MIN(IF((应收键=$Y221)*(应收未收&gt;0.01),应收日期,999999)))))</f>
        <v/>
      </c>
    </row>
    <row r="222" customFormat="false" ht="15" hidden="false" customHeight="false" outlineLevel="0" collapsed="false">
      <c r="A222" s="29" t="str">
        <f aca="false">IF($Y222="","",ROW()-4)</f>
        <v/>
      </c>
      <c r="B222" s="16" t="str">
        <f aca="false">IF($Y222="","",维保合同!$C222)</f>
        <v/>
      </c>
      <c r="C222" s="16" t="str">
        <f aca="false">IF($Y222="","",维保合同!$D222)</f>
        <v/>
      </c>
      <c r="D222" s="35" t="str">
        <f aca="false">IF($Y222="","",维保合同!$F222)</f>
        <v/>
      </c>
      <c r="E222" s="35" t="str">
        <f aca="false">IF($Y222="","",维保合同!$G222)</f>
        <v/>
      </c>
      <c r="F222" s="47" t="str">
        <f aca="false">IF($Y222="","",维保合同!$I222)</f>
        <v/>
      </c>
      <c r="G222" s="38" t="str">
        <f aca="false">IF($Y222="","",维保合同!$K222)</f>
        <v/>
      </c>
      <c r="H222" s="41" t="str">
        <f aca="false">IF($Y222="","",ROUND(SUMIFS(应收金额,应收键,$Y222,应收年度,"&lt;"&amp;管理年度)-SUMIFS(收款金额,收款键,$Y222,收款年度,"&lt;"&amp;管理年度),2))</f>
        <v/>
      </c>
      <c r="I222" s="40" t="str">
        <f aca="false">IF($Y222="","",ROUND(SUMIFS(应收金额,应收键,$Y222,应收年度,管理年度),2))</f>
        <v/>
      </c>
      <c r="J222" s="40" t="str">
        <f aca="false">IF($Y222="","",ROUND(SUMIFS(应收金额,应收键,$Y222,应收年度,管理年度,应收款别,"合同款"),2))</f>
        <v/>
      </c>
      <c r="K222" s="40" t="str">
        <f aca="false">IF($Y222="","",ROUND($I222-$J222,2))</f>
        <v/>
      </c>
      <c r="L222" s="40" t="str">
        <f aca="false">IF($Y222="","",ROUND(SUMIFS(应收开票额,应收键,$Y222,应收开票年度,管理年度),2))</f>
        <v/>
      </c>
      <c r="M222" s="40" t="str">
        <f aca="false">IF($Y222="","",ROUND($I222-$L222,2))</f>
        <v/>
      </c>
      <c r="N222" s="40" t="str">
        <f aca="false">IF($Y222="","",ROUND(SUMIFS(收款金额,收款键,$Y222,收款年度,管理年度),2))</f>
        <v/>
      </c>
      <c r="O222" s="40" t="str">
        <f aca="false">IF($Y222="","",ROUND(SUMIFS(收款金额,收款键,$Y222,收款年度,管理年度,收款归类,"发票"),2))</f>
        <v/>
      </c>
      <c r="P222" s="40" t="str">
        <f aca="false">IF($Y222="","",ROUND(SUMIFS(收款金额,收款键,$Y222,收款年度,管理年度,收款归类,"收据"),2))</f>
        <v/>
      </c>
      <c r="Q222" s="40" t="str">
        <f aca="false">IF($Y222="","",ROUND(SUMIFS(收款金额,收款键,$Y222,收款年度,管理年度,收款归类,"现金无票"),2))</f>
        <v/>
      </c>
      <c r="R222" s="40" t="str">
        <f aca="false">IF($Y222="","",ROUND(MAX(0,MIN($T222,SUMIF(应收键,$Y222,应收开票额)-SUMIF(收款键,$Y222,收款金额))),2))</f>
        <v/>
      </c>
      <c r="S222" s="40" t="str">
        <f aca="false">IF($Y222="","",ROUND(MAX(0,$T222)-$R222,2))</f>
        <v/>
      </c>
      <c r="T222" s="48" t="str">
        <f aca="false">IF($Y222="","",ROUND(SUMIF(应收键,$Y222,应收金额)-SUMIF(收款键,$Y222,收款金额),2))</f>
        <v/>
      </c>
      <c r="U222" s="49" t="str">
        <f aca="true">IF($AA222="","",IF($T222&lt;=0.01,"",MAX(0,TODAY()-$AA222)))</f>
        <v/>
      </c>
      <c r="V222" s="50" t="str">
        <f aca="true">IF($Y222="","",IF($T222&gt;0.01,IF(AND(ISNUMBER($U222),$U222&gt;=账龄预警天),"▲欠款拖了 "&amp;TEXT($U222,"0")&amp;" 天","欠款未清"),IF($T222&lt;-0.01,"预收/多收","已结清"))&amp;IF(OR($E222="已签未回",$E222="未签",$E222="续签中")," ▲合同未回","")&amp;IF(AND(ISNUMBER($F222),$F222&lt;TODAY())," ▲合同已到期",""))</f>
        <v/>
      </c>
      <c r="W222" s="24"/>
      <c r="X222" s="35" t="str">
        <f aca="false">IF($Y222="","",IF(ROUND($H222+$I222-$N222+$Z222-$T222,2)&lt;&gt;0,"★期初＋本年－已收≠余额",IF(ROUND($R222+$S222-MAX(0,$T222),2)&lt;&gt;0,"★已开票＋未开票≠欠款",IF(ROUND($J222+$K222-$I222,2)&lt;&gt;0,"★合同款＋合同外款≠本年应收",IF(ROUND($O222+$P222+$Q222-$N222,2)&lt;&gt;0,"★发票＋收据＋现金≠本年已收","OK")))))</f>
        <v/>
      </c>
      <c r="Y222" s="35" t="str">
        <f aca="false">IF(维保合同!$C222="","",维保合同!$E222)</f>
        <v/>
      </c>
      <c r="Z222" s="40" t="str">
        <f aca="false">IF($Y222="","",ROUND(SUMIFS(应收金额,应收键,$Y222,应收年度,"&gt;"&amp;管理年度)-SUMIFS(收款金额,收款键,$Y222,收款年度,"&gt;"&amp;管理年度),2))</f>
        <v/>
      </c>
      <c r="AA222" s="47" t="str">
        <f aca="false">IF($Y222="","",IF(SUMPRODUCT(MIN(IF((应收键=$Y222)*(应收未收&gt;0.01),应收日期,999999)))&gt;=999999,"",SUMPRODUCT(MIN(IF((应收键=$Y222)*(应收未收&gt;0.01),应收日期,999999)))))</f>
        <v/>
      </c>
    </row>
    <row r="223" customFormat="false" ht="15" hidden="false" customHeight="false" outlineLevel="0" collapsed="false">
      <c r="A223" s="29" t="str">
        <f aca="false">IF($Y223="","",ROW()-4)</f>
        <v/>
      </c>
      <c r="B223" s="16" t="str">
        <f aca="false">IF($Y223="","",维保合同!$C223)</f>
        <v/>
      </c>
      <c r="C223" s="16" t="str">
        <f aca="false">IF($Y223="","",维保合同!$D223)</f>
        <v/>
      </c>
      <c r="D223" s="35" t="str">
        <f aca="false">IF($Y223="","",维保合同!$F223)</f>
        <v/>
      </c>
      <c r="E223" s="35" t="str">
        <f aca="false">IF($Y223="","",维保合同!$G223)</f>
        <v/>
      </c>
      <c r="F223" s="47" t="str">
        <f aca="false">IF($Y223="","",维保合同!$I223)</f>
        <v/>
      </c>
      <c r="G223" s="38" t="str">
        <f aca="false">IF($Y223="","",维保合同!$K223)</f>
        <v/>
      </c>
      <c r="H223" s="41" t="str">
        <f aca="false">IF($Y223="","",ROUND(SUMIFS(应收金额,应收键,$Y223,应收年度,"&lt;"&amp;管理年度)-SUMIFS(收款金额,收款键,$Y223,收款年度,"&lt;"&amp;管理年度),2))</f>
        <v/>
      </c>
      <c r="I223" s="40" t="str">
        <f aca="false">IF($Y223="","",ROUND(SUMIFS(应收金额,应收键,$Y223,应收年度,管理年度),2))</f>
        <v/>
      </c>
      <c r="J223" s="40" t="str">
        <f aca="false">IF($Y223="","",ROUND(SUMIFS(应收金额,应收键,$Y223,应收年度,管理年度,应收款别,"合同款"),2))</f>
        <v/>
      </c>
      <c r="K223" s="40" t="str">
        <f aca="false">IF($Y223="","",ROUND($I223-$J223,2))</f>
        <v/>
      </c>
      <c r="L223" s="40" t="str">
        <f aca="false">IF($Y223="","",ROUND(SUMIFS(应收开票额,应收键,$Y223,应收开票年度,管理年度),2))</f>
        <v/>
      </c>
      <c r="M223" s="40" t="str">
        <f aca="false">IF($Y223="","",ROUND($I223-$L223,2))</f>
        <v/>
      </c>
      <c r="N223" s="40" t="str">
        <f aca="false">IF($Y223="","",ROUND(SUMIFS(收款金额,收款键,$Y223,收款年度,管理年度),2))</f>
        <v/>
      </c>
      <c r="O223" s="40" t="str">
        <f aca="false">IF($Y223="","",ROUND(SUMIFS(收款金额,收款键,$Y223,收款年度,管理年度,收款归类,"发票"),2))</f>
        <v/>
      </c>
      <c r="P223" s="40" t="str">
        <f aca="false">IF($Y223="","",ROUND(SUMIFS(收款金额,收款键,$Y223,收款年度,管理年度,收款归类,"收据"),2))</f>
        <v/>
      </c>
      <c r="Q223" s="40" t="str">
        <f aca="false">IF($Y223="","",ROUND(SUMIFS(收款金额,收款键,$Y223,收款年度,管理年度,收款归类,"现金无票"),2))</f>
        <v/>
      </c>
      <c r="R223" s="40" t="str">
        <f aca="false">IF($Y223="","",ROUND(MAX(0,MIN($T223,SUMIF(应收键,$Y223,应收开票额)-SUMIF(收款键,$Y223,收款金额))),2))</f>
        <v/>
      </c>
      <c r="S223" s="40" t="str">
        <f aca="false">IF($Y223="","",ROUND(MAX(0,$T223)-$R223,2))</f>
        <v/>
      </c>
      <c r="T223" s="48" t="str">
        <f aca="false">IF($Y223="","",ROUND(SUMIF(应收键,$Y223,应收金额)-SUMIF(收款键,$Y223,收款金额),2))</f>
        <v/>
      </c>
      <c r="U223" s="49" t="str">
        <f aca="true">IF($AA223="","",IF($T223&lt;=0.01,"",MAX(0,TODAY()-$AA223)))</f>
        <v/>
      </c>
      <c r="V223" s="50" t="str">
        <f aca="true">IF($Y223="","",IF($T223&gt;0.01,IF(AND(ISNUMBER($U223),$U223&gt;=账龄预警天),"▲欠款拖了 "&amp;TEXT($U223,"0")&amp;" 天","欠款未清"),IF($T223&lt;-0.01,"预收/多收","已结清"))&amp;IF(OR($E223="已签未回",$E223="未签",$E223="续签中")," ▲合同未回","")&amp;IF(AND(ISNUMBER($F223),$F223&lt;TODAY())," ▲合同已到期",""))</f>
        <v/>
      </c>
      <c r="W223" s="24"/>
      <c r="X223" s="35" t="str">
        <f aca="false">IF($Y223="","",IF(ROUND($H223+$I223-$N223+$Z223-$T223,2)&lt;&gt;0,"★期初＋本年－已收≠余额",IF(ROUND($R223+$S223-MAX(0,$T223),2)&lt;&gt;0,"★已开票＋未开票≠欠款",IF(ROUND($J223+$K223-$I223,2)&lt;&gt;0,"★合同款＋合同外款≠本年应收",IF(ROUND($O223+$P223+$Q223-$N223,2)&lt;&gt;0,"★发票＋收据＋现金≠本年已收","OK")))))</f>
        <v/>
      </c>
      <c r="Y223" s="35" t="str">
        <f aca="false">IF(维保合同!$C223="","",维保合同!$E223)</f>
        <v/>
      </c>
      <c r="Z223" s="40" t="str">
        <f aca="false">IF($Y223="","",ROUND(SUMIFS(应收金额,应收键,$Y223,应收年度,"&gt;"&amp;管理年度)-SUMIFS(收款金额,收款键,$Y223,收款年度,"&gt;"&amp;管理年度),2))</f>
        <v/>
      </c>
      <c r="AA223" s="47" t="str">
        <f aca="false">IF($Y223="","",IF(SUMPRODUCT(MIN(IF((应收键=$Y223)*(应收未收&gt;0.01),应收日期,999999)))&gt;=999999,"",SUMPRODUCT(MIN(IF((应收键=$Y223)*(应收未收&gt;0.01),应收日期,999999)))))</f>
        <v/>
      </c>
    </row>
    <row r="224" customFormat="false" ht="15" hidden="false" customHeight="false" outlineLevel="0" collapsed="false">
      <c r="A224" s="29" t="str">
        <f aca="false">IF($Y224="","",ROW()-4)</f>
        <v/>
      </c>
      <c r="B224" s="16" t="str">
        <f aca="false">IF($Y224="","",维保合同!$C224)</f>
        <v/>
      </c>
      <c r="C224" s="16" t="str">
        <f aca="false">IF($Y224="","",维保合同!$D224)</f>
        <v/>
      </c>
      <c r="D224" s="35" t="str">
        <f aca="false">IF($Y224="","",维保合同!$F224)</f>
        <v/>
      </c>
      <c r="E224" s="35" t="str">
        <f aca="false">IF($Y224="","",维保合同!$G224)</f>
        <v/>
      </c>
      <c r="F224" s="47" t="str">
        <f aca="false">IF($Y224="","",维保合同!$I224)</f>
        <v/>
      </c>
      <c r="G224" s="38" t="str">
        <f aca="false">IF($Y224="","",维保合同!$K224)</f>
        <v/>
      </c>
      <c r="H224" s="41" t="str">
        <f aca="false">IF($Y224="","",ROUND(SUMIFS(应收金额,应收键,$Y224,应收年度,"&lt;"&amp;管理年度)-SUMIFS(收款金额,收款键,$Y224,收款年度,"&lt;"&amp;管理年度),2))</f>
        <v/>
      </c>
      <c r="I224" s="40" t="str">
        <f aca="false">IF($Y224="","",ROUND(SUMIFS(应收金额,应收键,$Y224,应收年度,管理年度),2))</f>
        <v/>
      </c>
      <c r="J224" s="40" t="str">
        <f aca="false">IF($Y224="","",ROUND(SUMIFS(应收金额,应收键,$Y224,应收年度,管理年度,应收款别,"合同款"),2))</f>
        <v/>
      </c>
      <c r="K224" s="40" t="str">
        <f aca="false">IF($Y224="","",ROUND($I224-$J224,2))</f>
        <v/>
      </c>
      <c r="L224" s="40" t="str">
        <f aca="false">IF($Y224="","",ROUND(SUMIFS(应收开票额,应收键,$Y224,应收开票年度,管理年度),2))</f>
        <v/>
      </c>
      <c r="M224" s="40" t="str">
        <f aca="false">IF($Y224="","",ROUND($I224-$L224,2))</f>
        <v/>
      </c>
      <c r="N224" s="40" t="str">
        <f aca="false">IF($Y224="","",ROUND(SUMIFS(收款金额,收款键,$Y224,收款年度,管理年度),2))</f>
        <v/>
      </c>
      <c r="O224" s="40" t="str">
        <f aca="false">IF($Y224="","",ROUND(SUMIFS(收款金额,收款键,$Y224,收款年度,管理年度,收款归类,"发票"),2))</f>
        <v/>
      </c>
      <c r="P224" s="40" t="str">
        <f aca="false">IF($Y224="","",ROUND(SUMIFS(收款金额,收款键,$Y224,收款年度,管理年度,收款归类,"收据"),2))</f>
        <v/>
      </c>
      <c r="Q224" s="40" t="str">
        <f aca="false">IF($Y224="","",ROUND(SUMIFS(收款金额,收款键,$Y224,收款年度,管理年度,收款归类,"现金无票"),2))</f>
        <v/>
      </c>
      <c r="R224" s="40" t="str">
        <f aca="false">IF($Y224="","",ROUND(MAX(0,MIN($T224,SUMIF(应收键,$Y224,应收开票额)-SUMIF(收款键,$Y224,收款金额))),2))</f>
        <v/>
      </c>
      <c r="S224" s="40" t="str">
        <f aca="false">IF($Y224="","",ROUND(MAX(0,$T224)-$R224,2))</f>
        <v/>
      </c>
      <c r="T224" s="48" t="str">
        <f aca="false">IF($Y224="","",ROUND(SUMIF(应收键,$Y224,应收金额)-SUMIF(收款键,$Y224,收款金额),2))</f>
        <v/>
      </c>
      <c r="U224" s="49" t="str">
        <f aca="true">IF($AA224="","",IF($T224&lt;=0.01,"",MAX(0,TODAY()-$AA224)))</f>
        <v/>
      </c>
      <c r="V224" s="50" t="str">
        <f aca="true">IF($Y224="","",IF($T224&gt;0.01,IF(AND(ISNUMBER($U224),$U224&gt;=账龄预警天),"▲欠款拖了 "&amp;TEXT($U224,"0")&amp;" 天","欠款未清"),IF($T224&lt;-0.01,"预收/多收","已结清"))&amp;IF(OR($E224="已签未回",$E224="未签",$E224="续签中")," ▲合同未回","")&amp;IF(AND(ISNUMBER($F224),$F224&lt;TODAY())," ▲合同已到期",""))</f>
        <v/>
      </c>
      <c r="W224" s="24"/>
      <c r="X224" s="35" t="str">
        <f aca="false">IF($Y224="","",IF(ROUND($H224+$I224-$N224+$Z224-$T224,2)&lt;&gt;0,"★期初＋本年－已收≠余额",IF(ROUND($R224+$S224-MAX(0,$T224),2)&lt;&gt;0,"★已开票＋未开票≠欠款",IF(ROUND($J224+$K224-$I224,2)&lt;&gt;0,"★合同款＋合同外款≠本年应收",IF(ROUND($O224+$P224+$Q224-$N224,2)&lt;&gt;0,"★发票＋收据＋现金≠本年已收","OK")))))</f>
        <v/>
      </c>
      <c r="Y224" s="35" t="str">
        <f aca="false">IF(维保合同!$C224="","",维保合同!$E224)</f>
        <v/>
      </c>
      <c r="Z224" s="40" t="str">
        <f aca="false">IF($Y224="","",ROUND(SUMIFS(应收金额,应收键,$Y224,应收年度,"&gt;"&amp;管理年度)-SUMIFS(收款金额,收款键,$Y224,收款年度,"&gt;"&amp;管理年度),2))</f>
        <v/>
      </c>
      <c r="AA224" s="47" t="str">
        <f aca="false">IF($Y224="","",IF(SUMPRODUCT(MIN(IF((应收键=$Y224)*(应收未收&gt;0.01),应收日期,999999)))&gt;=999999,"",SUMPRODUCT(MIN(IF((应收键=$Y224)*(应收未收&gt;0.01),应收日期,999999)))))</f>
        <v/>
      </c>
    </row>
    <row r="225" customFormat="false" ht="15" hidden="false" customHeight="false" outlineLevel="0" collapsed="false">
      <c r="A225" s="29" t="str">
        <f aca="false">IF($Y225="","",ROW()-4)</f>
        <v/>
      </c>
      <c r="B225" s="16" t="str">
        <f aca="false">IF($Y225="","",维保合同!$C225)</f>
        <v/>
      </c>
      <c r="C225" s="16" t="str">
        <f aca="false">IF($Y225="","",维保合同!$D225)</f>
        <v/>
      </c>
      <c r="D225" s="35" t="str">
        <f aca="false">IF($Y225="","",维保合同!$F225)</f>
        <v/>
      </c>
      <c r="E225" s="35" t="str">
        <f aca="false">IF($Y225="","",维保合同!$G225)</f>
        <v/>
      </c>
      <c r="F225" s="47" t="str">
        <f aca="false">IF($Y225="","",维保合同!$I225)</f>
        <v/>
      </c>
      <c r="G225" s="38" t="str">
        <f aca="false">IF($Y225="","",维保合同!$K225)</f>
        <v/>
      </c>
      <c r="H225" s="41" t="str">
        <f aca="false">IF($Y225="","",ROUND(SUMIFS(应收金额,应收键,$Y225,应收年度,"&lt;"&amp;管理年度)-SUMIFS(收款金额,收款键,$Y225,收款年度,"&lt;"&amp;管理年度),2))</f>
        <v/>
      </c>
      <c r="I225" s="40" t="str">
        <f aca="false">IF($Y225="","",ROUND(SUMIFS(应收金额,应收键,$Y225,应收年度,管理年度),2))</f>
        <v/>
      </c>
      <c r="J225" s="40" t="str">
        <f aca="false">IF($Y225="","",ROUND(SUMIFS(应收金额,应收键,$Y225,应收年度,管理年度,应收款别,"合同款"),2))</f>
        <v/>
      </c>
      <c r="K225" s="40" t="str">
        <f aca="false">IF($Y225="","",ROUND($I225-$J225,2))</f>
        <v/>
      </c>
      <c r="L225" s="40" t="str">
        <f aca="false">IF($Y225="","",ROUND(SUMIFS(应收开票额,应收键,$Y225,应收开票年度,管理年度),2))</f>
        <v/>
      </c>
      <c r="M225" s="40" t="str">
        <f aca="false">IF($Y225="","",ROUND($I225-$L225,2))</f>
        <v/>
      </c>
      <c r="N225" s="40" t="str">
        <f aca="false">IF($Y225="","",ROUND(SUMIFS(收款金额,收款键,$Y225,收款年度,管理年度),2))</f>
        <v/>
      </c>
      <c r="O225" s="40" t="str">
        <f aca="false">IF($Y225="","",ROUND(SUMIFS(收款金额,收款键,$Y225,收款年度,管理年度,收款归类,"发票"),2))</f>
        <v/>
      </c>
      <c r="P225" s="40" t="str">
        <f aca="false">IF($Y225="","",ROUND(SUMIFS(收款金额,收款键,$Y225,收款年度,管理年度,收款归类,"收据"),2))</f>
        <v/>
      </c>
      <c r="Q225" s="40" t="str">
        <f aca="false">IF($Y225="","",ROUND(SUMIFS(收款金额,收款键,$Y225,收款年度,管理年度,收款归类,"现金无票"),2))</f>
        <v/>
      </c>
      <c r="R225" s="40" t="str">
        <f aca="false">IF($Y225="","",ROUND(MAX(0,MIN($T225,SUMIF(应收键,$Y225,应收开票额)-SUMIF(收款键,$Y225,收款金额))),2))</f>
        <v/>
      </c>
      <c r="S225" s="40" t="str">
        <f aca="false">IF($Y225="","",ROUND(MAX(0,$T225)-$R225,2))</f>
        <v/>
      </c>
      <c r="T225" s="48" t="str">
        <f aca="false">IF($Y225="","",ROUND(SUMIF(应收键,$Y225,应收金额)-SUMIF(收款键,$Y225,收款金额),2))</f>
        <v/>
      </c>
      <c r="U225" s="49" t="str">
        <f aca="true">IF($AA225="","",IF($T225&lt;=0.01,"",MAX(0,TODAY()-$AA225)))</f>
        <v/>
      </c>
      <c r="V225" s="50" t="str">
        <f aca="true">IF($Y225="","",IF($T225&gt;0.01,IF(AND(ISNUMBER($U225),$U225&gt;=账龄预警天),"▲欠款拖了 "&amp;TEXT($U225,"0")&amp;" 天","欠款未清"),IF($T225&lt;-0.01,"预收/多收","已结清"))&amp;IF(OR($E225="已签未回",$E225="未签",$E225="续签中")," ▲合同未回","")&amp;IF(AND(ISNUMBER($F225),$F225&lt;TODAY())," ▲合同已到期",""))</f>
        <v/>
      </c>
      <c r="W225" s="24"/>
      <c r="X225" s="35" t="str">
        <f aca="false">IF($Y225="","",IF(ROUND($H225+$I225-$N225+$Z225-$T225,2)&lt;&gt;0,"★期初＋本年－已收≠余额",IF(ROUND($R225+$S225-MAX(0,$T225),2)&lt;&gt;0,"★已开票＋未开票≠欠款",IF(ROUND($J225+$K225-$I225,2)&lt;&gt;0,"★合同款＋合同外款≠本年应收",IF(ROUND($O225+$P225+$Q225-$N225,2)&lt;&gt;0,"★发票＋收据＋现金≠本年已收","OK")))))</f>
        <v/>
      </c>
      <c r="Y225" s="35" t="str">
        <f aca="false">IF(维保合同!$C225="","",维保合同!$E225)</f>
        <v/>
      </c>
      <c r="Z225" s="40" t="str">
        <f aca="false">IF($Y225="","",ROUND(SUMIFS(应收金额,应收键,$Y225,应收年度,"&gt;"&amp;管理年度)-SUMIFS(收款金额,收款键,$Y225,收款年度,"&gt;"&amp;管理年度),2))</f>
        <v/>
      </c>
      <c r="AA225" s="47" t="str">
        <f aca="false">IF($Y225="","",IF(SUMPRODUCT(MIN(IF((应收键=$Y225)*(应收未收&gt;0.01),应收日期,999999)))&gt;=999999,"",SUMPRODUCT(MIN(IF((应收键=$Y225)*(应收未收&gt;0.01),应收日期,999999)))))</f>
        <v/>
      </c>
    </row>
    <row r="226" customFormat="false" ht="15" hidden="false" customHeight="false" outlineLevel="0" collapsed="false">
      <c r="A226" s="29" t="str">
        <f aca="false">IF($Y226="","",ROW()-4)</f>
        <v/>
      </c>
      <c r="B226" s="16" t="str">
        <f aca="false">IF($Y226="","",维保合同!$C226)</f>
        <v/>
      </c>
      <c r="C226" s="16" t="str">
        <f aca="false">IF($Y226="","",维保合同!$D226)</f>
        <v/>
      </c>
      <c r="D226" s="35" t="str">
        <f aca="false">IF($Y226="","",维保合同!$F226)</f>
        <v/>
      </c>
      <c r="E226" s="35" t="str">
        <f aca="false">IF($Y226="","",维保合同!$G226)</f>
        <v/>
      </c>
      <c r="F226" s="47" t="str">
        <f aca="false">IF($Y226="","",维保合同!$I226)</f>
        <v/>
      </c>
      <c r="G226" s="38" t="str">
        <f aca="false">IF($Y226="","",维保合同!$K226)</f>
        <v/>
      </c>
      <c r="H226" s="41" t="str">
        <f aca="false">IF($Y226="","",ROUND(SUMIFS(应收金额,应收键,$Y226,应收年度,"&lt;"&amp;管理年度)-SUMIFS(收款金额,收款键,$Y226,收款年度,"&lt;"&amp;管理年度),2))</f>
        <v/>
      </c>
      <c r="I226" s="40" t="str">
        <f aca="false">IF($Y226="","",ROUND(SUMIFS(应收金额,应收键,$Y226,应收年度,管理年度),2))</f>
        <v/>
      </c>
      <c r="J226" s="40" t="str">
        <f aca="false">IF($Y226="","",ROUND(SUMIFS(应收金额,应收键,$Y226,应收年度,管理年度,应收款别,"合同款"),2))</f>
        <v/>
      </c>
      <c r="K226" s="40" t="str">
        <f aca="false">IF($Y226="","",ROUND($I226-$J226,2))</f>
        <v/>
      </c>
      <c r="L226" s="40" t="str">
        <f aca="false">IF($Y226="","",ROUND(SUMIFS(应收开票额,应收键,$Y226,应收开票年度,管理年度),2))</f>
        <v/>
      </c>
      <c r="M226" s="40" t="str">
        <f aca="false">IF($Y226="","",ROUND($I226-$L226,2))</f>
        <v/>
      </c>
      <c r="N226" s="40" t="str">
        <f aca="false">IF($Y226="","",ROUND(SUMIFS(收款金额,收款键,$Y226,收款年度,管理年度),2))</f>
        <v/>
      </c>
      <c r="O226" s="40" t="str">
        <f aca="false">IF($Y226="","",ROUND(SUMIFS(收款金额,收款键,$Y226,收款年度,管理年度,收款归类,"发票"),2))</f>
        <v/>
      </c>
      <c r="P226" s="40" t="str">
        <f aca="false">IF($Y226="","",ROUND(SUMIFS(收款金额,收款键,$Y226,收款年度,管理年度,收款归类,"收据"),2))</f>
        <v/>
      </c>
      <c r="Q226" s="40" t="str">
        <f aca="false">IF($Y226="","",ROUND(SUMIFS(收款金额,收款键,$Y226,收款年度,管理年度,收款归类,"现金无票"),2))</f>
        <v/>
      </c>
      <c r="R226" s="40" t="str">
        <f aca="false">IF($Y226="","",ROUND(MAX(0,MIN($T226,SUMIF(应收键,$Y226,应收开票额)-SUMIF(收款键,$Y226,收款金额))),2))</f>
        <v/>
      </c>
      <c r="S226" s="40" t="str">
        <f aca="false">IF($Y226="","",ROUND(MAX(0,$T226)-$R226,2))</f>
        <v/>
      </c>
      <c r="T226" s="48" t="str">
        <f aca="false">IF($Y226="","",ROUND(SUMIF(应收键,$Y226,应收金额)-SUMIF(收款键,$Y226,收款金额),2))</f>
        <v/>
      </c>
      <c r="U226" s="49" t="str">
        <f aca="true">IF($AA226="","",IF($T226&lt;=0.01,"",MAX(0,TODAY()-$AA226)))</f>
        <v/>
      </c>
      <c r="V226" s="50" t="str">
        <f aca="true">IF($Y226="","",IF($T226&gt;0.01,IF(AND(ISNUMBER($U226),$U226&gt;=账龄预警天),"▲欠款拖了 "&amp;TEXT($U226,"0")&amp;" 天","欠款未清"),IF($T226&lt;-0.01,"预收/多收","已结清"))&amp;IF(OR($E226="已签未回",$E226="未签",$E226="续签中")," ▲合同未回","")&amp;IF(AND(ISNUMBER($F226),$F226&lt;TODAY())," ▲合同已到期",""))</f>
        <v/>
      </c>
      <c r="W226" s="24"/>
      <c r="X226" s="35" t="str">
        <f aca="false">IF($Y226="","",IF(ROUND($H226+$I226-$N226+$Z226-$T226,2)&lt;&gt;0,"★期初＋本年－已收≠余额",IF(ROUND($R226+$S226-MAX(0,$T226),2)&lt;&gt;0,"★已开票＋未开票≠欠款",IF(ROUND($J226+$K226-$I226,2)&lt;&gt;0,"★合同款＋合同外款≠本年应收",IF(ROUND($O226+$P226+$Q226-$N226,2)&lt;&gt;0,"★发票＋收据＋现金≠本年已收","OK")))))</f>
        <v/>
      </c>
      <c r="Y226" s="35" t="str">
        <f aca="false">IF(维保合同!$C226="","",维保合同!$E226)</f>
        <v/>
      </c>
      <c r="Z226" s="40" t="str">
        <f aca="false">IF($Y226="","",ROUND(SUMIFS(应收金额,应收键,$Y226,应收年度,"&gt;"&amp;管理年度)-SUMIFS(收款金额,收款键,$Y226,收款年度,"&gt;"&amp;管理年度),2))</f>
        <v/>
      </c>
      <c r="AA226" s="47" t="str">
        <f aca="false">IF($Y226="","",IF(SUMPRODUCT(MIN(IF((应收键=$Y226)*(应收未收&gt;0.01),应收日期,999999)))&gt;=999999,"",SUMPRODUCT(MIN(IF((应收键=$Y226)*(应收未收&gt;0.01),应收日期,999999)))))</f>
        <v/>
      </c>
    </row>
    <row r="227" customFormat="false" ht="15" hidden="false" customHeight="false" outlineLevel="0" collapsed="false">
      <c r="A227" s="29" t="str">
        <f aca="false">IF($Y227="","",ROW()-4)</f>
        <v/>
      </c>
      <c r="B227" s="16" t="str">
        <f aca="false">IF($Y227="","",维保合同!$C227)</f>
        <v/>
      </c>
      <c r="C227" s="16" t="str">
        <f aca="false">IF($Y227="","",维保合同!$D227)</f>
        <v/>
      </c>
      <c r="D227" s="35" t="str">
        <f aca="false">IF($Y227="","",维保合同!$F227)</f>
        <v/>
      </c>
      <c r="E227" s="35" t="str">
        <f aca="false">IF($Y227="","",维保合同!$G227)</f>
        <v/>
      </c>
      <c r="F227" s="47" t="str">
        <f aca="false">IF($Y227="","",维保合同!$I227)</f>
        <v/>
      </c>
      <c r="G227" s="38" t="str">
        <f aca="false">IF($Y227="","",维保合同!$K227)</f>
        <v/>
      </c>
      <c r="H227" s="41" t="str">
        <f aca="false">IF($Y227="","",ROUND(SUMIFS(应收金额,应收键,$Y227,应收年度,"&lt;"&amp;管理年度)-SUMIFS(收款金额,收款键,$Y227,收款年度,"&lt;"&amp;管理年度),2))</f>
        <v/>
      </c>
      <c r="I227" s="40" t="str">
        <f aca="false">IF($Y227="","",ROUND(SUMIFS(应收金额,应收键,$Y227,应收年度,管理年度),2))</f>
        <v/>
      </c>
      <c r="J227" s="40" t="str">
        <f aca="false">IF($Y227="","",ROUND(SUMIFS(应收金额,应收键,$Y227,应收年度,管理年度,应收款别,"合同款"),2))</f>
        <v/>
      </c>
      <c r="K227" s="40" t="str">
        <f aca="false">IF($Y227="","",ROUND($I227-$J227,2))</f>
        <v/>
      </c>
      <c r="L227" s="40" t="str">
        <f aca="false">IF($Y227="","",ROUND(SUMIFS(应收开票额,应收键,$Y227,应收开票年度,管理年度),2))</f>
        <v/>
      </c>
      <c r="M227" s="40" t="str">
        <f aca="false">IF($Y227="","",ROUND($I227-$L227,2))</f>
        <v/>
      </c>
      <c r="N227" s="40" t="str">
        <f aca="false">IF($Y227="","",ROUND(SUMIFS(收款金额,收款键,$Y227,收款年度,管理年度),2))</f>
        <v/>
      </c>
      <c r="O227" s="40" t="str">
        <f aca="false">IF($Y227="","",ROUND(SUMIFS(收款金额,收款键,$Y227,收款年度,管理年度,收款归类,"发票"),2))</f>
        <v/>
      </c>
      <c r="P227" s="40" t="str">
        <f aca="false">IF($Y227="","",ROUND(SUMIFS(收款金额,收款键,$Y227,收款年度,管理年度,收款归类,"收据"),2))</f>
        <v/>
      </c>
      <c r="Q227" s="40" t="str">
        <f aca="false">IF($Y227="","",ROUND(SUMIFS(收款金额,收款键,$Y227,收款年度,管理年度,收款归类,"现金无票"),2))</f>
        <v/>
      </c>
      <c r="R227" s="40" t="str">
        <f aca="false">IF($Y227="","",ROUND(MAX(0,MIN($T227,SUMIF(应收键,$Y227,应收开票额)-SUMIF(收款键,$Y227,收款金额))),2))</f>
        <v/>
      </c>
      <c r="S227" s="40" t="str">
        <f aca="false">IF($Y227="","",ROUND(MAX(0,$T227)-$R227,2))</f>
        <v/>
      </c>
      <c r="T227" s="48" t="str">
        <f aca="false">IF($Y227="","",ROUND(SUMIF(应收键,$Y227,应收金额)-SUMIF(收款键,$Y227,收款金额),2))</f>
        <v/>
      </c>
      <c r="U227" s="49" t="str">
        <f aca="true">IF($AA227="","",IF($T227&lt;=0.01,"",MAX(0,TODAY()-$AA227)))</f>
        <v/>
      </c>
      <c r="V227" s="50" t="str">
        <f aca="true">IF($Y227="","",IF($T227&gt;0.01,IF(AND(ISNUMBER($U227),$U227&gt;=账龄预警天),"▲欠款拖了 "&amp;TEXT($U227,"0")&amp;" 天","欠款未清"),IF($T227&lt;-0.01,"预收/多收","已结清"))&amp;IF(OR($E227="已签未回",$E227="未签",$E227="续签中")," ▲合同未回","")&amp;IF(AND(ISNUMBER($F227),$F227&lt;TODAY())," ▲合同已到期",""))</f>
        <v/>
      </c>
      <c r="W227" s="24"/>
      <c r="X227" s="35" t="str">
        <f aca="false">IF($Y227="","",IF(ROUND($H227+$I227-$N227+$Z227-$T227,2)&lt;&gt;0,"★期初＋本年－已收≠余额",IF(ROUND($R227+$S227-MAX(0,$T227),2)&lt;&gt;0,"★已开票＋未开票≠欠款",IF(ROUND($J227+$K227-$I227,2)&lt;&gt;0,"★合同款＋合同外款≠本年应收",IF(ROUND($O227+$P227+$Q227-$N227,2)&lt;&gt;0,"★发票＋收据＋现金≠本年已收","OK")))))</f>
        <v/>
      </c>
      <c r="Y227" s="35" t="str">
        <f aca="false">IF(维保合同!$C227="","",维保合同!$E227)</f>
        <v/>
      </c>
      <c r="Z227" s="40" t="str">
        <f aca="false">IF($Y227="","",ROUND(SUMIFS(应收金额,应收键,$Y227,应收年度,"&gt;"&amp;管理年度)-SUMIFS(收款金额,收款键,$Y227,收款年度,"&gt;"&amp;管理年度),2))</f>
        <v/>
      </c>
      <c r="AA227" s="47" t="str">
        <f aca="false">IF($Y227="","",IF(SUMPRODUCT(MIN(IF((应收键=$Y227)*(应收未收&gt;0.01),应收日期,999999)))&gt;=999999,"",SUMPRODUCT(MIN(IF((应收键=$Y227)*(应收未收&gt;0.01),应收日期,999999)))))</f>
        <v/>
      </c>
    </row>
    <row r="228" customFormat="false" ht="15" hidden="false" customHeight="false" outlineLevel="0" collapsed="false">
      <c r="A228" s="29" t="str">
        <f aca="false">IF($Y228="","",ROW()-4)</f>
        <v/>
      </c>
      <c r="B228" s="16" t="str">
        <f aca="false">IF($Y228="","",维保合同!$C228)</f>
        <v/>
      </c>
      <c r="C228" s="16" t="str">
        <f aca="false">IF($Y228="","",维保合同!$D228)</f>
        <v/>
      </c>
      <c r="D228" s="35" t="str">
        <f aca="false">IF($Y228="","",维保合同!$F228)</f>
        <v/>
      </c>
      <c r="E228" s="35" t="str">
        <f aca="false">IF($Y228="","",维保合同!$G228)</f>
        <v/>
      </c>
      <c r="F228" s="47" t="str">
        <f aca="false">IF($Y228="","",维保合同!$I228)</f>
        <v/>
      </c>
      <c r="G228" s="38" t="str">
        <f aca="false">IF($Y228="","",维保合同!$K228)</f>
        <v/>
      </c>
      <c r="H228" s="41" t="str">
        <f aca="false">IF($Y228="","",ROUND(SUMIFS(应收金额,应收键,$Y228,应收年度,"&lt;"&amp;管理年度)-SUMIFS(收款金额,收款键,$Y228,收款年度,"&lt;"&amp;管理年度),2))</f>
        <v/>
      </c>
      <c r="I228" s="40" t="str">
        <f aca="false">IF($Y228="","",ROUND(SUMIFS(应收金额,应收键,$Y228,应收年度,管理年度),2))</f>
        <v/>
      </c>
      <c r="J228" s="40" t="str">
        <f aca="false">IF($Y228="","",ROUND(SUMIFS(应收金额,应收键,$Y228,应收年度,管理年度,应收款别,"合同款"),2))</f>
        <v/>
      </c>
      <c r="K228" s="40" t="str">
        <f aca="false">IF($Y228="","",ROUND($I228-$J228,2))</f>
        <v/>
      </c>
      <c r="L228" s="40" t="str">
        <f aca="false">IF($Y228="","",ROUND(SUMIFS(应收开票额,应收键,$Y228,应收开票年度,管理年度),2))</f>
        <v/>
      </c>
      <c r="M228" s="40" t="str">
        <f aca="false">IF($Y228="","",ROUND($I228-$L228,2))</f>
        <v/>
      </c>
      <c r="N228" s="40" t="str">
        <f aca="false">IF($Y228="","",ROUND(SUMIFS(收款金额,收款键,$Y228,收款年度,管理年度),2))</f>
        <v/>
      </c>
      <c r="O228" s="40" t="str">
        <f aca="false">IF($Y228="","",ROUND(SUMIFS(收款金额,收款键,$Y228,收款年度,管理年度,收款归类,"发票"),2))</f>
        <v/>
      </c>
      <c r="P228" s="40" t="str">
        <f aca="false">IF($Y228="","",ROUND(SUMIFS(收款金额,收款键,$Y228,收款年度,管理年度,收款归类,"收据"),2))</f>
        <v/>
      </c>
      <c r="Q228" s="40" t="str">
        <f aca="false">IF($Y228="","",ROUND(SUMIFS(收款金额,收款键,$Y228,收款年度,管理年度,收款归类,"现金无票"),2))</f>
        <v/>
      </c>
      <c r="R228" s="40" t="str">
        <f aca="false">IF($Y228="","",ROUND(MAX(0,MIN($T228,SUMIF(应收键,$Y228,应收开票额)-SUMIF(收款键,$Y228,收款金额))),2))</f>
        <v/>
      </c>
      <c r="S228" s="40" t="str">
        <f aca="false">IF($Y228="","",ROUND(MAX(0,$T228)-$R228,2))</f>
        <v/>
      </c>
      <c r="T228" s="48" t="str">
        <f aca="false">IF($Y228="","",ROUND(SUMIF(应收键,$Y228,应收金额)-SUMIF(收款键,$Y228,收款金额),2))</f>
        <v/>
      </c>
      <c r="U228" s="49" t="str">
        <f aca="true">IF($AA228="","",IF($T228&lt;=0.01,"",MAX(0,TODAY()-$AA228)))</f>
        <v/>
      </c>
      <c r="V228" s="50" t="str">
        <f aca="true">IF($Y228="","",IF($T228&gt;0.01,IF(AND(ISNUMBER($U228),$U228&gt;=账龄预警天),"▲欠款拖了 "&amp;TEXT($U228,"0")&amp;" 天","欠款未清"),IF($T228&lt;-0.01,"预收/多收","已结清"))&amp;IF(OR($E228="已签未回",$E228="未签",$E228="续签中")," ▲合同未回","")&amp;IF(AND(ISNUMBER($F228),$F228&lt;TODAY())," ▲合同已到期",""))</f>
        <v/>
      </c>
      <c r="W228" s="24"/>
      <c r="X228" s="35" t="str">
        <f aca="false">IF($Y228="","",IF(ROUND($H228+$I228-$N228+$Z228-$T228,2)&lt;&gt;0,"★期初＋本年－已收≠余额",IF(ROUND($R228+$S228-MAX(0,$T228),2)&lt;&gt;0,"★已开票＋未开票≠欠款",IF(ROUND($J228+$K228-$I228,2)&lt;&gt;0,"★合同款＋合同外款≠本年应收",IF(ROUND($O228+$P228+$Q228-$N228,2)&lt;&gt;0,"★发票＋收据＋现金≠本年已收","OK")))))</f>
        <v/>
      </c>
      <c r="Y228" s="35" t="str">
        <f aca="false">IF(维保合同!$C228="","",维保合同!$E228)</f>
        <v/>
      </c>
      <c r="Z228" s="40" t="str">
        <f aca="false">IF($Y228="","",ROUND(SUMIFS(应收金额,应收键,$Y228,应收年度,"&gt;"&amp;管理年度)-SUMIFS(收款金额,收款键,$Y228,收款年度,"&gt;"&amp;管理年度),2))</f>
        <v/>
      </c>
      <c r="AA228" s="47" t="str">
        <f aca="false">IF($Y228="","",IF(SUMPRODUCT(MIN(IF((应收键=$Y228)*(应收未收&gt;0.01),应收日期,999999)))&gt;=999999,"",SUMPRODUCT(MIN(IF((应收键=$Y228)*(应收未收&gt;0.01),应收日期,999999)))))</f>
        <v/>
      </c>
    </row>
    <row r="229" customFormat="false" ht="15" hidden="false" customHeight="false" outlineLevel="0" collapsed="false">
      <c r="A229" s="29" t="str">
        <f aca="false">IF($Y229="","",ROW()-4)</f>
        <v/>
      </c>
      <c r="B229" s="16" t="str">
        <f aca="false">IF($Y229="","",维保合同!$C229)</f>
        <v/>
      </c>
      <c r="C229" s="16" t="str">
        <f aca="false">IF($Y229="","",维保合同!$D229)</f>
        <v/>
      </c>
      <c r="D229" s="35" t="str">
        <f aca="false">IF($Y229="","",维保合同!$F229)</f>
        <v/>
      </c>
      <c r="E229" s="35" t="str">
        <f aca="false">IF($Y229="","",维保合同!$G229)</f>
        <v/>
      </c>
      <c r="F229" s="47" t="str">
        <f aca="false">IF($Y229="","",维保合同!$I229)</f>
        <v/>
      </c>
      <c r="G229" s="38" t="str">
        <f aca="false">IF($Y229="","",维保合同!$K229)</f>
        <v/>
      </c>
      <c r="H229" s="41" t="str">
        <f aca="false">IF($Y229="","",ROUND(SUMIFS(应收金额,应收键,$Y229,应收年度,"&lt;"&amp;管理年度)-SUMIFS(收款金额,收款键,$Y229,收款年度,"&lt;"&amp;管理年度),2))</f>
        <v/>
      </c>
      <c r="I229" s="40" t="str">
        <f aca="false">IF($Y229="","",ROUND(SUMIFS(应收金额,应收键,$Y229,应收年度,管理年度),2))</f>
        <v/>
      </c>
      <c r="J229" s="40" t="str">
        <f aca="false">IF($Y229="","",ROUND(SUMIFS(应收金额,应收键,$Y229,应收年度,管理年度,应收款别,"合同款"),2))</f>
        <v/>
      </c>
      <c r="K229" s="40" t="str">
        <f aca="false">IF($Y229="","",ROUND($I229-$J229,2))</f>
        <v/>
      </c>
      <c r="L229" s="40" t="str">
        <f aca="false">IF($Y229="","",ROUND(SUMIFS(应收开票额,应收键,$Y229,应收开票年度,管理年度),2))</f>
        <v/>
      </c>
      <c r="M229" s="40" t="str">
        <f aca="false">IF($Y229="","",ROUND($I229-$L229,2))</f>
        <v/>
      </c>
      <c r="N229" s="40" t="str">
        <f aca="false">IF($Y229="","",ROUND(SUMIFS(收款金额,收款键,$Y229,收款年度,管理年度),2))</f>
        <v/>
      </c>
      <c r="O229" s="40" t="str">
        <f aca="false">IF($Y229="","",ROUND(SUMIFS(收款金额,收款键,$Y229,收款年度,管理年度,收款归类,"发票"),2))</f>
        <v/>
      </c>
      <c r="P229" s="40" t="str">
        <f aca="false">IF($Y229="","",ROUND(SUMIFS(收款金额,收款键,$Y229,收款年度,管理年度,收款归类,"收据"),2))</f>
        <v/>
      </c>
      <c r="Q229" s="40" t="str">
        <f aca="false">IF($Y229="","",ROUND(SUMIFS(收款金额,收款键,$Y229,收款年度,管理年度,收款归类,"现金无票"),2))</f>
        <v/>
      </c>
      <c r="R229" s="40" t="str">
        <f aca="false">IF($Y229="","",ROUND(MAX(0,MIN($T229,SUMIF(应收键,$Y229,应收开票额)-SUMIF(收款键,$Y229,收款金额))),2))</f>
        <v/>
      </c>
      <c r="S229" s="40" t="str">
        <f aca="false">IF($Y229="","",ROUND(MAX(0,$T229)-$R229,2))</f>
        <v/>
      </c>
      <c r="T229" s="48" t="str">
        <f aca="false">IF($Y229="","",ROUND(SUMIF(应收键,$Y229,应收金额)-SUMIF(收款键,$Y229,收款金额),2))</f>
        <v/>
      </c>
      <c r="U229" s="49" t="str">
        <f aca="true">IF($AA229="","",IF($T229&lt;=0.01,"",MAX(0,TODAY()-$AA229)))</f>
        <v/>
      </c>
      <c r="V229" s="50" t="str">
        <f aca="true">IF($Y229="","",IF($T229&gt;0.01,IF(AND(ISNUMBER($U229),$U229&gt;=账龄预警天),"▲欠款拖了 "&amp;TEXT($U229,"0")&amp;" 天","欠款未清"),IF($T229&lt;-0.01,"预收/多收","已结清"))&amp;IF(OR($E229="已签未回",$E229="未签",$E229="续签中")," ▲合同未回","")&amp;IF(AND(ISNUMBER($F229),$F229&lt;TODAY())," ▲合同已到期",""))</f>
        <v/>
      </c>
      <c r="W229" s="24"/>
      <c r="X229" s="35" t="str">
        <f aca="false">IF($Y229="","",IF(ROUND($H229+$I229-$N229+$Z229-$T229,2)&lt;&gt;0,"★期初＋本年－已收≠余额",IF(ROUND($R229+$S229-MAX(0,$T229),2)&lt;&gt;0,"★已开票＋未开票≠欠款",IF(ROUND($J229+$K229-$I229,2)&lt;&gt;0,"★合同款＋合同外款≠本年应收",IF(ROUND($O229+$P229+$Q229-$N229,2)&lt;&gt;0,"★发票＋收据＋现金≠本年已收","OK")))))</f>
        <v/>
      </c>
      <c r="Y229" s="35" t="str">
        <f aca="false">IF(维保合同!$C229="","",维保合同!$E229)</f>
        <v/>
      </c>
      <c r="Z229" s="40" t="str">
        <f aca="false">IF($Y229="","",ROUND(SUMIFS(应收金额,应收键,$Y229,应收年度,"&gt;"&amp;管理年度)-SUMIFS(收款金额,收款键,$Y229,收款年度,"&gt;"&amp;管理年度),2))</f>
        <v/>
      </c>
      <c r="AA229" s="47" t="str">
        <f aca="false">IF($Y229="","",IF(SUMPRODUCT(MIN(IF((应收键=$Y229)*(应收未收&gt;0.01),应收日期,999999)))&gt;=999999,"",SUMPRODUCT(MIN(IF((应收键=$Y229)*(应收未收&gt;0.01),应收日期,999999)))))</f>
        <v/>
      </c>
    </row>
    <row r="230" customFormat="false" ht="15" hidden="false" customHeight="false" outlineLevel="0" collapsed="false">
      <c r="A230" s="29" t="str">
        <f aca="false">IF($Y230="","",ROW()-4)</f>
        <v/>
      </c>
      <c r="B230" s="16" t="str">
        <f aca="false">IF($Y230="","",维保合同!$C230)</f>
        <v/>
      </c>
      <c r="C230" s="16" t="str">
        <f aca="false">IF($Y230="","",维保合同!$D230)</f>
        <v/>
      </c>
      <c r="D230" s="35" t="str">
        <f aca="false">IF($Y230="","",维保合同!$F230)</f>
        <v/>
      </c>
      <c r="E230" s="35" t="str">
        <f aca="false">IF($Y230="","",维保合同!$G230)</f>
        <v/>
      </c>
      <c r="F230" s="47" t="str">
        <f aca="false">IF($Y230="","",维保合同!$I230)</f>
        <v/>
      </c>
      <c r="G230" s="38" t="str">
        <f aca="false">IF($Y230="","",维保合同!$K230)</f>
        <v/>
      </c>
      <c r="H230" s="41" t="str">
        <f aca="false">IF($Y230="","",ROUND(SUMIFS(应收金额,应收键,$Y230,应收年度,"&lt;"&amp;管理年度)-SUMIFS(收款金额,收款键,$Y230,收款年度,"&lt;"&amp;管理年度),2))</f>
        <v/>
      </c>
      <c r="I230" s="40" t="str">
        <f aca="false">IF($Y230="","",ROUND(SUMIFS(应收金额,应收键,$Y230,应收年度,管理年度),2))</f>
        <v/>
      </c>
      <c r="J230" s="40" t="str">
        <f aca="false">IF($Y230="","",ROUND(SUMIFS(应收金额,应收键,$Y230,应收年度,管理年度,应收款别,"合同款"),2))</f>
        <v/>
      </c>
      <c r="K230" s="40" t="str">
        <f aca="false">IF($Y230="","",ROUND($I230-$J230,2))</f>
        <v/>
      </c>
      <c r="L230" s="40" t="str">
        <f aca="false">IF($Y230="","",ROUND(SUMIFS(应收开票额,应收键,$Y230,应收开票年度,管理年度),2))</f>
        <v/>
      </c>
      <c r="M230" s="40" t="str">
        <f aca="false">IF($Y230="","",ROUND($I230-$L230,2))</f>
        <v/>
      </c>
      <c r="N230" s="40" t="str">
        <f aca="false">IF($Y230="","",ROUND(SUMIFS(收款金额,收款键,$Y230,收款年度,管理年度),2))</f>
        <v/>
      </c>
      <c r="O230" s="40" t="str">
        <f aca="false">IF($Y230="","",ROUND(SUMIFS(收款金额,收款键,$Y230,收款年度,管理年度,收款归类,"发票"),2))</f>
        <v/>
      </c>
      <c r="P230" s="40" t="str">
        <f aca="false">IF($Y230="","",ROUND(SUMIFS(收款金额,收款键,$Y230,收款年度,管理年度,收款归类,"收据"),2))</f>
        <v/>
      </c>
      <c r="Q230" s="40" t="str">
        <f aca="false">IF($Y230="","",ROUND(SUMIFS(收款金额,收款键,$Y230,收款年度,管理年度,收款归类,"现金无票"),2))</f>
        <v/>
      </c>
      <c r="R230" s="40" t="str">
        <f aca="false">IF($Y230="","",ROUND(MAX(0,MIN($T230,SUMIF(应收键,$Y230,应收开票额)-SUMIF(收款键,$Y230,收款金额))),2))</f>
        <v/>
      </c>
      <c r="S230" s="40" t="str">
        <f aca="false">IF($Y230="","",ROUND(MAX(0,$T230)-$R230,2))</f>
        <v/>
      </c>
      <c r="T230" s="48" t="str">
        <f aca="false">IF($Y230="","",ROUND(SUMIF(应收键,$Y230,应收金额)-SUMIF(收款键,$Y230,收款金额),2))</f>
        <v/>
      </c>
      <c r="U230" s="49" t="str">
        <f aca="true">IF($AA230="","",IF($T230&lt;=0.01,"",MAX(0,TODAY()-$AA230)))</f>
        <v/>
      </c>
      <c r="V230" s="50" t="str">
        <f aca="true">IF($Y230="","",IF($T230&gt;0.01,IF(AND(ISNUMBER($U230),$U230&gt;=账龄预警天),"▲欠款拖了 "&amp;TEXT($U230,"0")&amp;" 天","欠款未清"),IF($T230&lt;-0.01,"预收/多收","已结清"))&amp;IF(OR($E230="已签未回",$E230="未签",$E230="续签中")," ▲合同未回","")&amp;IF(AND(ISNUMBER($F230),$F230&lt;TODAY())," ▲合同已到期",""))</f>
        <v/>
      </c>
      <c r="W230" s="24"/>
      <c r="X230" s="35" t="str">
        <f aca="false">IF($Y230="","",IF(ROUND($H230+$I230-$N230+$Z230-$T230,2)&lt;&gt;0,"★期初＋本年－已收≠余额",IF(ROUND($R230+$S230-MAX(0,$T230),2)&lt;&gt;0,"★已开票＋未开票≠欠款",IF(ROUND($J230+$K230-$I230,2)&lt;&gt;0,"★合同款＋合同外款≠本年应收",IF(ROUND($O230+$P230+$Q230-$N230,2)&lt;&gt;0,"★发票＋收据＋现金≠本年已收","OK")))))</f>
        <v/>
      </c>
      <c r="Y230" s="35" t="str">
        <f aca="false">IF(维保合同!$C230="","",维保合同!$E230)</f>
        <v/>
      </c>
      <c r="Z230" s="40" t="str">
        <f aca="false">IF($Y230="","",ROUND(SUMIFS(应收金额,应收键,$Y230,应收年度,"&gt;"&amp;管理年度)-SUMIFS(收款金额,收款键,$Y230,收款年度,"&gt;"&amp;管理年度),2))</f>
        <v/>
      </c>
      <c r="AA230" s="47" t="str">
        <f aca="false">IF($Y230="","",IF(SUMPRODUCT(MIN(IF((应收键=$Y230)*(应收未收&gt;0.01),应收日期,999999)))&gt;=999999,"",SUMPRODUCT(MIN(IF((应收键=$Y230)*(应收未收&gt;0.01),应收日期,999999)))))</f>
        <v/>
      </c>
    </row>
    <row r="231" customFormat="false" ht="15" hidden="false" customHeight="false" outlineLevel="0" collapsed="false">
      <c r="A231" s="29" t="str">
        <f aca="false">IF($Y231="","",ROW()-4)</f>
        <v/>
      </c>
      <c r="B231" s="16" t="str">
        <f aca="false">IF($Y231="","",维保合同!$C231)</f>
        <v/>
      </c>
      <c r="C231" s="16" t="str">
        <f aca="false">IF($Y231="","",维保合同!$D231)</f>
        <v/>
      </c>
      <c r="D231" s="35" t="str">
        <f aca="false">IF($Y231="","",维保合同!$F231)</f>
        <v/>
      </c>
      <c r="E231" s="35" t="str">
        <f aca="false">IF($Y231="","",维保合同!$G231)</f>
        <v/>
      </c>
      <c r="F231" s="47" t="str">
        <f aca="false">IF($Y231="","",维保合同!$I231)</f>
        <v/>
      </c>
      <c r="G231" s="38" t="str">
        <f aca="false">IF($Y231="","",维保合同!$K231)</f>
        <v/>
      </c>
      <c r="H231" s="41" t="str">
        <f aca="false">IF($Y231="","",ROUND(SUMIFS(应收金额,应收键,$Y231,应收年度,"&lt;"&amp;管理年度)-SUMIFS(收款金额,收款键,$Y231,收款年度,"&lt;"&amp;管理年度),2))</f>
        <v/>
      </c>
      <c r="I231" s="40" t="str">
        <f aca="false">IF($Y231="","",ROUND(SUMIFS(应收金额,应收键,$Y231,应收年度,管理年度),2))</f>
        <v/>
      </c>
      <c r="J231" s="40" t="str">
        <f aca="false">IF($Y231="","",ROUND(SUMIFS(应收金额,应收键,$Y231,应收年度,管理年度,应收款别,"合同款"),2))</f>
        <v/>
      </c>
      <c r="K231" s="40" t="str">
        <f aca="false">IF($Y231="","",ROUND($I231-$J231,2))</f>
        <v/>
      </c>
      <c r="L231" s="40" t="str">
        <f aca="false">IF($Y231="","",ROUND(SUMIFS(应收开票额,应收键,$Y231,应收开票年度,管理年度),2))</f>
        <v/>
      </c>
      <c r="M231" s="40" t="str">
        <f aca="false">IF($Y231="","",ROUND($I231-$L231,2))</f>
        <v/>
      </c>
      <c r="N231" s="40" t="str">
        <f aca="false">IF($Y231="","",ROUND(SUMIFS(收款金额,收款键,$Y231,收款年度,管理年度),2))</f>
        <v/>
      </c>
      <c r="O231" s="40" t="str">
        <f aca="false">IF($Y231="","",ROUND(SUMIFS(收款金额,收款键,$Y231,收款年度,管理年度,收款归类,"发票"),2))</f>
        <v/>
      </c>
      <c r="P231" s="40" t="str">
        <f aca="false">IF($Y231="","",ROUND(SUMIFS(收款金额,收款键,$Y231,收款年度,管理年度,收款归类,"收据"),2))</f>
        <v/>
      </c>
      <c r="Q231" s="40" t="str">
        <f aca="false">IF($Y231="","",ROUND(SUMIFS(收款金额,收款键,$Y231,收款年度,管理年度,收款归类,"现金无票"),2))</f>
        <v/>
      </c>
      <c r="R231" s="40" t="str">
        <f aca="false">IF($Y231="","",ROUND(MAX(0,MIN($T231,SUMIF(应收键,$Y231,应收开票额)-SUMIF(收款键,$Y231,收款金额))),2))</f>
        <v/>
      </c>
      <c r="S231" s="40" t="str">
        <f aca="false">IF($Y231="","",ROUND(MAX(0,$T231)-$R231,2))</f>
        <v/>
      </c>
      <c r="T231" s="48" t="str">
        <f aca="false">IF($Y231="","",ROUND(SUMIF(应收键,$Y231,应收金额)-SUMIF(收款键,$Y231,收款金额),2))</f>
        <v/>
      </c>
      <c r="U231" s="49" t="str">
        <f aca="true">IF($AA231="","",IF($T231&lt;=0.01,"",MAX(0,TODAY()-$AA231)))</f>
        <v/>
      </c>
      <c r="V231" s="50" t="str">
        <f aca="true">IF($Y231="","",IF($T231&gt;0.01,IF(AND(ISNUMBER($U231),$U231&gt;=账龄预警天),"▲欠款拖了 "&amp;TEXT($U231,"0")&amp;" 天","欠款未清"),IF($T231&lt;-0.01,"预收/多收","已结清"))&amp;IF(OR($E231="已签未回",$E231="未签",$E231="续签中")," ▲合同未回","")&amp;IF(AND(ISNUMBER($F231),$F231&lt;TODAY())," ▲合同已到期",""))</f>
        <v/>
      </c>
      <c r="W231" s="24"/>
      <c r="X231" s="35" t="str">
        <f aca="false">IF($Y231="","",IF(ROUND($H231+$I231-$N231+$Z231-$T231,2)&lt;&gt;0,"★期初＋本年－已收≠余额",IF(ROUND($R231+$S231-MAX(0,$T231),2)&lt;&gt;0,"★已开票＋未开票≠欠款",IF(ROUND($J231+$K231-$I231,2)&lt;&gt;0,"★合同款＋合同外款≠本年应收",IF(ROUND($O231+$P231+$Q231-$N231,2)&lt;&gt;0,"★发票＋收据＋现金≠本年已收","OK")))))</f>
        <v/>
      </c>
      <c r="Y231" s="35" t="str">
        <f aca="false">IF(维保合同!$C231="","",维保合同!$E231)</f>
        <v/>
      </c>
      <c r="Z231" s="40" t="str">
        <f aca="false">IF($Y231="","",ROUND(SUMIFS(应收金额,应收键,$Y231,应收年度,"&gt;"&amp;管理年度)-SUMIFS(收款金额,收款键,$Y231,收款年度,"&gt;"&amp;管理年度),2))</f>
        <v/>
      </c>
      <c r="AA231" s="47" t="str">
        <f aca="false">IF($Y231="","",IF(SUMPRODUCT(MIN(IF((应收键=$Y231)*(应收未收&gt;0.01),应收日期,999999)))&gt;=999999,"",SUMPRODUCT(MIN(IF((应收键=$Y231)*(应收未收&gt;0.01),应收日期,999999)))))</f>
        <v/>
      </c>
    </row>
    <row r="232" customFormat="false" ht="15" hidden="false" customHeight="false" outlineLevel="0" collapsed="false">
      <c r="A232" s="29" t="str">
        <f aca="false">IF($Y232="","",ROW()-4)</f>
        <v/>
      </c>
      <c r="B232" s="16" t="str">
        <f aca="false">IF($Y232="","",维保合同!$C232)</f>
        <v/>
      </c>
      <c r="C232" s="16" t="str">
        <f aca="false">IF($Y232="","",维保合同!$D232)</f>
        <v/>
      </c>
      <c r="D232" s="35" t="str">
        <f aca="false">IF($Y232="","",维保合同!$F232)</f>
        <v/>
      </c>
      <c r="E232" s="35" t="str">
        <f aca="false">IF($Y232="","",维保合同!$G232)</f>
        <v/>
      </c>
      <c r="F232" s="47" t="str">
        <f aca="false">IF($Y232="","",维保合同!$I232)</f>
        <v/>
      </c>
      <c r="G232" s="38" t="str">
        <f aca="false">IF($Y232="","",维保合同!$K232)</f>
        <v/>
      </c>
      <c r="H232" s="41" t="str">
        <f aca="false">IF($Y232="","",ROUND(SUMIFS(应收金额,应收键,$Y232,应收年度,"&lt;"&amp;管理年度)-SUMIFS(收款金额,收款键,$Y232,收款年度,"&lt;"&amp;管理年度),2))</f>
        <v/>
      </c>
      <c r="I232" s="40" t="str">
        <f aca="false">IF($Y232="","",ROUND(SUMIFS(应收金额,应收键,$Y232,应收年度,管理年度),2))</f>
        <v/>
      </c>
      <c r="J232" s="40" t="str">
        <f aca="false">IF($Y232="","",ROUND(SUMIFS(应收金额,应收键,$Y232,应收年度,管理年度,应收款别,"合同款"),2))</f>
        <v/>
      </c>
      <c r="K232" s="40" t="str">
        <f aca="false">IF($Y232="","",ROUND($I232-$J232,2))</f>
        <v/>
      </c>
      <c r="L232" s="40" t="str">
        <f aca="false">IF($Y232="","",ROUND(SUMIFS(应收开票额,应收键,$Y232,应收开票年度,管理年度),2))</f>
        <v/>
      </c>
      <c r="M232" s="40" t="str">
        <f aca="false">IF($Y232="","",ROUND($I232-$L232,2))</f>
        <v/>
      </c>
      <c r="N232" s="40" t="str">
        <f aca="false">IF($Y232="","",ROUND(SUMIFS(收款金额,收款键,$Y232,收款年度,管理年度),2))</f>
        <v/>
      </c>
      <c r="O232" s="40" t="str">
        <f aca="false">IF($Y232="","",ROUND(SUMIFS(收款金额,收款键,$Y232,收款年度,管理年度,收款归类,"发票"),2))</f>
        <v/>
      </c>
      <c r="P232" s="40" t="str">
        <f aca="false">IF($Y232="","",ROUND(SUMIFS(收款金额,收款键,$Y232,收款年度,管理年度,收款归类,"收据"),2))</f>
        <v/>
      </c>
      <c r="Q232" s="40" t="str">
        <f aca="false">IF($Y232="","",ROUND(SUMIFS(收款金额,收款键,$Y232,收款年度,管理年度,收款归类,"现金无票"),2))</f>
        <v/>
      </c>
      <c r="R232" s="40" t="str">
        <f aca="false">IF($Y232="","",ROUND(MAX(0,MIN($T232,SUMIF(应收键,$Y232,应收开票额)-SUMIF(收款键,$Y232,收款金额))),2))</f>
        <v/>
      </c>
      <c r="S232" s="40" t="str">
        <f aca="false">IF($Y232="","",ROUND(MAX(0,$T232)-$R232,2))</f>
        <v/>
      </c>
      <c r="T232" s="48" t="str">
        <f aca="false">IF($Y232="","",ROUND(SUMIF(应收键,$Y232,应收金额)-SUMIF(收款键,$Y232,收款金额),2))</f>
        <v/>
      </c>
      <c r="U232" s="49" t="str">
        <f aca="true">IF($AA232="","",IF($T232&lt;=0.01,"",MAX(0,TODAY()-$AA232)))</f>
        <v/>
      </c>
      <c r="V232" s="50" t="str">
        <f aca="true">IF($Y232="","",IF($T232&gt;0.01,IF(AND(ISNUMBER($U232),$U232&gt;=账龄预警天),"▲欠款拖了 "&amp;TEXT($U232,"0")&amp;" 天","欠款未清"),IF($T232&lt;-0.01,"预收/多收","已结清"))&amp;IF(OR($E232="已签未回",$E232="未签",$E232="续签中")," ▲合同未回","")&amp;IF(AND(ISNUMBER($F232),$F232&lt;TODAY())," ▲合同已到期",""))</f>
        <v/>
      </c>
      <c r="W232" s="24"/>
      <c r="X232" s="35" t="str">
        <f aca="false">IF($Y232="","",IF(ROUND($H232+$I232-$N232+$Z232-$T232,2)&lt;&gt;0,"★期初＋本年－已收≠余额",IF(ROUND($R232+$S232-MAX(0,$T232),2)&lt;&gt;0,"★已开票＋未开票≠欠款",IF(ROUND($J232+$K232-$I232,2)&lt;&gt;0,"★合同款＋合同外款≠本年应收",IF(ROUND($O232+$P232+$Q232-$N232,2)&lt;&gt;0,"★发票＋收据＋现金≠本年已收","OK")))))</f>
        <v/>
      </c>
      <c r="Y232" s="35" t="str">
        <f aca="false">IF(维保合同!$C232="","",维保合同!$E232)</f>
        <v/>
      </c>
      <c r="Z232" s="40" t="str">
        <f aca="false">IF($Y232="","",ROUND(SUMIFS(应收金额,应收键,$Y232,应收年度,"&gt;"&amp;管理年度)-SUMIFS(收款金额,收款键,$Y232,收款年度,"&gt;"&amp;管理年度),2))</f>
        <v/>
      </c>
      <c r="AA232" s="47" t="str">
        <f aca="false">IF($Y232="","",IF(SUMPRODUCT(MIN(IF((应收键=$Y232)*(应收未收&gt;0.01),应收日期,999999)))&gt;=999999,"",SUMPRODUCT(MIN(IF((应收键=$Y232)*(应收未收&gt;0.01),应收日期,999999)))))</f>
        <v/>
      </c>
    </row>
    <row r="233" customFormat="false" ht="15" hidden="false" customHeight="false" outlineLevel="0" collapsed="false">
      <c r="A233" s="29" t="str">
        <f aca="false">IF($Y233="","",ROW()-4)</f>
        <v/>
      </c>
      <c r="B233" s="16" t="str">
        <f aca="false">IF($Y233="","",维保合同!$C233)</f>
        <v/>
      </c>
      <c r="C233" s="16" t="str">
        <f aca="false">IF($Y233="","",维保合同!$D233)</f>
        <v/>
      </c>
      <c r="D233" s="35" t="str">
        <f aca="false">IF($Y233="","",维保合同!$F233)</f>
        <v/>
      </c>
      <c r="E233" s="35" t="str">
        <f aca="false">IF($Y233="","",维保合同!$G233)</f>
        <v/>
      </c>
      <c r="F233" s="47" t="str">
        <f aca="false">IF($Y233="","",维保合同!$I233)</f>
        <v/>
      </c>
      <c r="G233" s="38" t="str">
        <f aca="false">IF($Y233="","",维保合同!$K233)</f>
        <v/>
      </c>
      <c r="H233" s="41" t="str">
        <f aca="false">IF($Y233="","",ROUND(SUMIFS(应收金额,应收键,$Y233,应收年度,"&lt;"&amp;管理年度)-SUMIFS(收款金额,收款键,$Y233,收款年度,"&lt;"&amp;管理年度),2))</f>
        <v/>
      </c>
      <c r="I233" s="40" t="str">
        <f aca="false">IF($Y233="","",ROUND(SUMIFS(应收金额,应收键,$Y233,应收年度,管理年度),2))</f>
        <v/>
      </c>
      <c r="J233" s="40" t="str">
        <f aca="false">IF($Y233="","",ROUND(SUMIFS(应收金额,应收键,$Y233,应收年度,管理年度,应收款别,"合同款"),2))</f>
        <v/>
      </c>
      <c r="K233" s="40" t="str">
        <f aca="false">IF($Y233="","",ROUND($I233-$J233,2))</f>
        <v/>
      </c>
      <c r="L233" s="40" t="str">
        <f aca="false">IF($Y233="","",ROUND(SUMIFS(应收开票额,应收键,$Y233,应收开票年度,管理年度),2))</f>
        <v/>
      </c>
      <c r="M233" s="40" t="str">
        <f aca="false">IF($Y233="","",ROUND($I233-$L233,2))</f>
        <v/>
      </c>
      <c r="N233" s="40" t="str">
        <f aca="false">IF($Y233="","",ROUND(SUMIFS(收款金额,收款键,$Y233,收款年度,管理年度),2))</f>
        <v/>
      </c>
      <c r="O233" s="40" t="str">
        <f aca="false">IF($Y233="","",ROUND(SUMIFS(收款金额,收款键,$Y233,收款年度,管理年度,收款归类,"发票"),2))</f>
        <v/>
      </c>
      <c r="P233" s="40" t="str">
        <f aca="false">IF($Y233="","",ROUND(SUMIFS(收款金额,收款键,$Y233,收款年度,管理年度,收款归类,"收据"),2))</f>
        <v/>
      </c>
      <c r="Q233" s="40" t="str">
        <f aca="false">IF($Y233="","",ROUND(SUMIFS(收款金额,收款键,$Y233,收款年度,管理年度,收款归类,"现金无票"),2))</f>
        <v/>
      </c>
      <c r="R233" s="40" t="str">
        <f aca="false">IF($Y233="","",ROUND(MAX(0,MIN($T233,SUMIF(应收键,$Y233,应收开票额)-SUMIF(收款键,$Y233,收款金额))),2))</f>
        <v/>
      </c>
      <c r="S233" s="40" t="str">
        <f aca="false">IF($Y233="","",ROUND(MAX(0,$T233)-$R233,2))</f>
        <v/>
      </c>
      <c r="T233" s="48" t="str">
        <f aca="false">IF($Y233="","",ROUND(SUMIF(应收键,$Y233,应收金额)-SUMIF(收款键,$Y233,收款金额),2))</f>
        <v/>
      </c>
      <c r="U233" s="49" t="str">
        <f aca="true">IF($AA233="","",IF($T233&lt;=0.01,"",MAX(0,TODAY()-$AA233)))</f>
        <v/>
      </c>
      <c r="V233" s="50" t="str">
        <f aca="true">IF($Y233="","",IF($T233&gt;0.01,IF(AND(ISNUMBER($U233),$U233&gt;=账龄预警天),"▲欠款拖了 "&amp;TEXT($U233,"0")&amp;" 天","欠款未清"),IF($T233&lt;-0.01,"预收/多收","已结清"))&amp;IF(OR($E233="已签未回",$E233="未签",$E233="续签中")," ▲合同未回","")&amp;IF(AND(ISNUMBER($F233),$F233&lt;TODAY())," ▲合同已到期",""))</f>
        <v/>
      </c>
      <c r="W233" s="24"/>
      <c r="X233" s="35" t="str">
        <f aca="false">IF($Y233="","",IF(ROUND($H233+$I233-$N233+$Z233-$T233,2)&lt;&gt;0,"★期初＋本年－已收≠余额",IF(ROUND($R233+$S233-MAX(0,$T233),2)&lt;&gt;0,"★已开票＋未开票≠欠款",IF(ROUND($J233+$K233-$I233,2)&lt;&gt;0,"★合同款＋合同外款≠本年应收",IF(ROUND($O233+$P233+$Q233-$N233,2)&lt;&gt;0,"★发票＋收据＋现金≠本年已收","OK")))))</f>
        <v/>
      </c>
      <c r="Y233" s="35" t="str">
        <f aca="false">IF(维保合同!$C233="","",维保合同!$E233)</f>
        <v/>
      </c>
      <c r="Z233" s="40" t="str">
        <f aca="false">IF($Y233="","",ROUND(SUMIFS(应收金额,应收键,$Y233,应收年度,"&gt;"&amp;管理年度)-SUMIFS(收款金额,收款键,$Y233,收款年度,"&gt;"&amp;管理年度),2))</f>
        <v/>
      </c>
      <c r="AA233" s="47" t="str">
        <f aca="false">IF($Y233="","",IF(SUMPRODUCT(MIN(IF((应收键=$Y233)*(应收未收&gt;0.01),应收日期,999999)))&gt;=999999,"",SUMPRODUCT(MIN(IF((应收键=$Y233)*(应收未收&gt;0.01),应收日期,999999)))))</f>
        <v/>
      </c>
    </row>
    <row r="234" customFormat="false" ht="15" hidden="false" customHeight="false" outlineLevel="0" collapsed="false">
      <c r="A234" s="29" t="str">
        <f aca="false">IF($Y234="","",ROW()-4)</f>
        <v/>
      </c>
      <c r="B234" s="16" t="str">
        <f aca="false">IF($Y234="","",维保合同!$C234)</f>
        <v/>
      </c>
      <c r="C234" s="16" t="str">
        <f aca="false">IF($Y234="","",维保合同!$D234)</f>
        <v/>
      </c>
      <c r="D234" s="35" t="str">
        <f aca="false">IF($Y234="","",维保合同!$F234)</f>
        <v/>
      </c>
      <c r="E234" s="35" t="str">
        <f aca="false">IF($Y234="","",维保合同!$G234)</f>
        <v/>
      </c>
      <c r="F234" s="47" t="str">
        <f aca="false">IF($Y234="","",维保合同!$I234)</f>
        <v/>
      </c>
      <c r="G234" s="38" t="str">
        <f aca="false">IF($Y234="","",维保合同!$K234)</f>
        <v/>
      </c>
      <c r="H234" s="41" t="str">
        <f aca="false">IF($Y234="","",ROUND(SUMIFS(应收金额,应收键,$Y234,应收年度,"&lt;"&amp;管理年度)-SUMIFS(收款金额,收款键,$Y234,收款年度,"&lt;"&amp;管理年度),2))</f>
        <v/>
      </c>
      <c r="I234" s="40" t="str">
        <f aca="false">IF($Y234="","",ROUND(SUMIFS(应收金额,应收键,$Y234,应收年度,管理年度),2))</f>
        <v/>
      </c>
      <c r="J234" s="40" t="str">
        <f aca="false">IF($Y234="","",ROUND(SUMIFS(应收金额,应收键,$Y234,应收年度,管理年度,应收款别,"合同款"),2))</f>
        <v/>
      </c>
      <c r="K234" s="40" t="str">
        <f aca="false">IF($Y234="","",ROUND($I234-$J234,2))</f>
        <v/>
      </c>
      <c r="L234" s="40" t="str">
        <f aca="false">IF($Y234="","",ROUND(SUMIFS(应收开票额,应收键,$Y234,应收开票年度,管理年度),2))</f>
        <v/>
      </c>
      <c r="M234" s="40" t="str">
        <f aca="false">IF($Y234="","",ROUND($I234-$L234,2))</f>
        <v/>
      </c>
      <c r="N234" s="40" t="str">
        <f aca="false">IF($Y234="","",ROUND(SUMIFS(收款金额,收款键,$Y234,收款年度,管理年度),2))</f>
        <v/>
      </c>
      <c r="O234" s="40" t="str">
        <f aca="false">IF($Y234="","",ROUND(SUMIFS(收款金额,收款键,$Y234,收款年度,管理年度,收款归类,"发票"),2))</f>
        <v/>
      </c>
      <c r="P234" s="40" t="str">
        <f aca="false">IF($Y234="","",ROUND(SUMIFS(收款金额,收款键,$Y234,收款年度,管理年度,收款归类,"收据"),2))</f>
        <v/>
      </c>
      <c r="Q234" s="40" t="str">
        <f aca="false">IF($Y234="","",ROUND(SUMIFS(收款金额,收款键,$Y234,收款年度,管理年度,收款归类,"现金无票"),2))</f>
        <v/>
      </c>
      <c r="R234" s="40" t="str">
        <f aca="false">IF($Y234="","",ROUND(MAX(0,MIN($T234,SUMIF(应收键,$Y234,应收开票额)-SUMIF(收款键,$Y234,收款金额))),2))</f>
        <v/>
      </c>
      <c r="S234" s="40" t="str">
        <f aca="false">IF($Y234="","",ROUND(MAX(0,$T234)-$R234,2))</f>
        <v/>
      </c>
      <c r="T234" s="48" t="str">
        <f aca="false">IF($Y234="","",ROUND(SUMIF(应收键,$Y234,应收金额)-SUMIF(收款键,$Y234,收款金额),2))</f>
        <v/>
      </c>
      <c r="U234" s="49" t="str">
        <f aca="true">IF($AA234="","",IF($T234&lt;=0.01,"",MAX(0,TODAY()-$AA234)))</f>
        <v/>
      </c>
      <c r="V234" s="50" t="str">
        <f aca="true">IF($Y234="","",IF($T234&gt;0.01,IF(AND(ISNUMBER($U234),$U234&gt;=账龄预警天),"▲欠款拖了 "&amp;TEXT($U234,"0")&amp;" 天","欠款未清"),IF($T234&lt;-0.01,"预收/多收","已结清"))&amp;IF(OR($E234="已签未回",$E234="未签",$E234="续签中")," ▲合同未回","")&amp;IF(AND(ISNUMBER($F234),$F234&lt;TODAY())," ▲合同已到期",""))</f>
        <v/>
      </c>
      <c r="W234" s="24"/>
      <c r="X234" s="35" t="str">
        <f aca="false">IF($Y234="","",IF(ROUND($H234+$I234-$N234+$Z234-$T234,2)&lt;&gt;0,"★期初＋本年－已收≠余额",IF(ROUND($R234+$S234-MAX(0,$T234),2)&lt;&gt;0,"★已开票＋未开票≠欠款",IF(ROUND($J234+$K234-$I234,2)&lt;&gt;0,"★合同款＋合同外款≠本年应收",IF(ROUND($O234+$P234+$Q234-$N234,2)&lt;&gt;0,"★发票＋收据＋现金≠本年已收","OK")))))</f>
        <v/>
      </c>
      <c r="Y234" s="35" t="str">
        <f aca="false">IF(维保合同!$C234="","",维保合同!$E234)</f>
        <v/>
      </c>
      <c r="Z234" s="40" t="str">
        <f aca="false">IF($Y234="","",ROUND(SUMIFS(应收金额,应收键,$Y234,应收年度,"&gt;"&amp;管理年度)-SUMIFS(收款金额,收款键,$Y234,收款年度,"&gt;"&amp;管理年度),2))</f>
        <v/>
      </c>
      <c r="AA234" s="47" t="str">
        <f aca="false">IF($Y234="","",IF(SUMPRODUCT(MIN(IF((应收键=$Y234)*(应收未收&gt;0.01),应收日期,999999)))&gt;=999999,"",SUMPRODUCT(MIN(IF((应收键=$Y234)*(应收未收&gt;0.01),应收日期,999999)))))</f>
        <v/>
      </c>
    </row>
    <row r="235" customFormat="false" ht="15" hidden="false" customHeight="false" outlineLevel="0" collapsed="false">
      <c r="A235" s="29" t="str">
        <f aca="false">IF($Y235="","",ROW()-4)</f>
        <v/>
      </c>
      <c r="B235" s="16" t="str">
        <f aca="false">IF($Y235="","",维保合同!$C235)</f>
        <v/>
      </c>
      <c r="C235" s="16" t="str">
        <f aca="false">IF($Y235="","",维保合同!$D235)</f>
        <v/>
      </c>
      <c r="D235" s="35" t="str">
        <f aca="false">IF($Y235="","",维保合同!$F235)</f>
        <v/>
      </c>
      <c r="E235" s="35" t="str">
        <f aca="false">IF($Y235="","",维保合同!$G235)</f>
        <v/>
      </c>
      <c r="F235" s="47" t="str">
        <f aca="false">IF($Y235="","",维保合同!$I235)</f>
        <v/>
      </c>
      <c r="G235" s="38" t="str">
        <f aca="false">IF($Y235="","",维保合同!$K235)</f>
        <v/>
      </c>
      <c r="H235" s="41" t="str">
        <f aca="false">IF($Y235="","",ROUND(SUMIFS(应收金额,应收键,$Y235,应收年度,"&lt;"&amp;管理年度)-SUMIFS(收款金额,收款键,$Y235,收款年度,"&lt;"&amp;管理年度),2))</f>
        <v/>
      </c>
      <c r="I235" s="40" t="str">
        <f aca="false">IF($Y235="","",ROUND(SUMIFS(应收金额,应收键,$Y235,应收年度,管理年度),2))</f>
        <v/>
      </c>
      <c r="J235" s="40" t="str">
        <f aca="false">IF($Y235="","",ROUND(SUMIFS(应收金额,应收键,$Y235,应收年度,管理年度,应收款别,"合同款"),2))</f>
        <v/>
      </c>
      <c r="K235" s="40" t="str">
        <f aca="false">IF($Y235="","",ROUND($I235-$J235,2))</f>
        <v/>
      </c>
      <c r="L235" s="40" t="str">
        <f aca="false">IF($Y235="","",ROUND(SUMIFS(应收开票额,应收键,$Y235,应收开票年度,管理年度),2))</f>
        <v/>
      </c>
      <c r="M235" s="40" t="str">
        <f aca="false">IF($Y235="","",ROUND($I235-$L235,2))</f>
        <v/>
      </c>
      <c r="N235" s="40" t="str">
        <f aca="false">IF($Y235="","",ROUND(SUMIFS(收款金额,收款键,$Y235,收款年度,管理年度),2))</f>
        <v/>
      </c>
      <c r="O235" s="40" t="str">
        <f aca="false">IF($Y235="","",ROUND(SUMIFS(收款金额,收款键,$Y235,收款年度,管理年度,收款归类,"发票"),2))</f>
        <v/>
      </c>
      <c r="P235" s="40" t="str">
        <f aca="false">IF($Y235="","",ROUND(SUMIFS(收款金额,收款键,$Y235,收款年度,管理年度,收款归类,"收据"),2))</f>
        <v/>
      </c>
      <c r="Q235" s="40" t="str">
        <f aca="false">IF($Y235="","",ROUND(SUMIFS(收款金额,收款键,$Y235,收款年度,管理年度,收款归类,"现金无票"),2))</f>
        <v/>
      </c>
      <c r="R235" s="40" t="str">
        <f aca="false">IF($Y235="","",ROUND(MAX(0,MIN($T235,SUMIF(应收键,$Y235,应收开票额)-SUMIF(收款键,$Y235,收款金额))),2))</f>
        <v/>
      </c>
      <c r="S235" s="40" t="str">
        <f aca="false">IF($Y235="","",ROUND(MAX(0,$T235)-$R235,2))</f>
        <v/>
      </c>
      <c r="T235" s="48" t="str">
        <f aca="false">IF($Y235="","",ROUND(SUMIF(应收键,$Y235,应收金额)-SUMIF(收款键,$Y235,收款金额),2))</f>
        <v/>
      </c>
      <c r="U235" s="49" t="str">
        <f aca="true">IF($AA235="","",IF($T235&lt;=0.01,"",MAX(0,TODAY()-$AA235)))</f>
        <v/>
      </c>
      <c r="V235" s="50" t="str">
        <f aca="true">IF($Y235="","",IF($T235&gt;0.01,IF(AND(ISNUMBER($U235),$U235&gt;=账龄预警天),"▲欠款拖了 "&amp;TEXT($U235,"0")&amp;" 天","欠款未清"),IF($T235&lt;-0.01,"预收/多收","已结清"))&amp;IF(OR($E235="已签未回",$E235="未签",$E235="续签中")," ▲合同未回","")&amp;IF(AND(ISNUMBER($F235),$F235&lt;TODAY())," ▲合同已到期",""))</f>
        <v/>
      </c>
      <c r="W235" s="24"/>
      <c r="X235" s="35" t="str">
        <f aca="false">IF($Y235="","",IF(ROUND($H235+$I235-$N235+$Z235-$T235,2)&lt;&gt;0,"★期初＋本年－已收≠余额",IF(ROUND($R235+$S235-MAX(0,$T235),2)&lt;&gt;0,"★已开票＋未开票≠欠款",IF(ROUND($J235+$K235-$I235,2)&lt;&gt;0,"★合同款＋合同外款≠本年应收",IF(ROUND($O235+$P235+$Q235-$N235,2)&lt;&gt;0,"★发票＋收据＋现金≠本年已收","OK")))))</f>
        <v/>
      </c>
      <c r="Y235" s="35" t="str">
        <f aca="false">IF(维保合同!$C235="","",维保合同!$E235)</f>
        <v/>
      </c>
      <c r="Z235" s="40" t="str">
        <f aca="false">IF($Y235="","",ROUND(SUMIFS(应收金额,应收键,$Y235,应收年度,"&gt;"&amp;管理年度)-SUMIFS(收款金额,收款键,$Y235,收款年度,"&gt;"&amp;管理年度),2))</f>
        <v/>
      </c>
      <c r="AA235" s="47" t="str">
        <f aca="false">IF($Y235="","",IF(SUMPRODUCT(MIN(IF((应收键=$Y235)*(应收未收&gt;0.01),应收日期,999999)))&gt;=999999,"",SUMPRODUCT(MIN(IF((应收键=$Y235)*(应收未收&gt;0.01),应收日期,999999)))))</f>
        <v/>
      </c>
    </row>
    <row r="236" customFormat="false" ht="15" hidden="false" customHeight="false" outlineLevel="0" collapsed="false">
      <c r="A236" s="29" t="str">
        <f aca="false">IF($Y236="","",ROW()-4)</f>
        <v/>
      </c>
      <c r="B236" s="16" t="str">
        <f aca="false">IF($Y236="","",维保合同!$C236)</f>
        <v/>
      </c>
      <c r="C236" s="16" t="str">
        <f aca="false">IF($Y236="","",维保合同!$D236)</f>
        <v/>
      </c>
      <c r="D236" s="35" t="str">
        <f aca="false">IF($Y236="","",维保合同!$F236)</f>
        <v/>
      </c>
      <c r="E236" s="35" t="str">
        <f aca="false">IF($Y236="","",维保合同!$G236)</f>
        <v/>
      </c>
      <c r="F236" s="47" t="str">
        <f aca="false">IF($Y236="","",维保合同!$I236)</f>
        <v/>
      </c>
      <c r="G236" s="38" t="str">
        <f aca="false">IF($Y236="","",维保合同!$K236)</f>
        <v/>
      </c>
      <c r="H236" s="41" t="str">
        <f aca="false">IF($Y236="","",ROUND(SUMIFS(应收金额,应收键,$Y236,应收年度,"&lt;"&amp;管理年度)-SUMIFS(收款金额,收款键,$Y236,收款年度,"&lt;"&amp;管理年度),2))</f>
        <v/>
      </c>
      <c r="I236" s="40" t="str">
        <f aca="false">IF($Y236="","",ROUND(SUMIFS(应收金额,应收键,$Y236,应收年度,管理年度),2))</f>
        <v/>
      </c>
      <c r="J236" s="40" t="str">
        <f aca="false">IF($Y236="","",ROUND(SUMIFS(应收金额,应收键,$Y236,应收年度,管理年度,应收款别,"合同款"),2))</f>
        <v/>
      </c>
      <c r="K236" s="40" t="str">
        <f aca="false">IF($Y236="","",ROUND($I236-$J236,2))</f>
        <v/>
      </c>
      <c r="L236" s="40" t="str">
        <f aca="false">IF($Y236="","",ROUND(SUMIFS(应收开票额,应收键,$Y236,应收开票年度,管理年度),2))</f>
        <v/>
      </c>
      <c r="M236" s="40" t="str">
        <f aca="false">IF($Y236="","",ROUND($I236-$L236,2))</f>
        <v/>
      </c>
      <c r="N236" s="40" t="str">
        <f aca="false">IF($Y236="","",ROUND(SUMIFS(收款金额,收款键,$Y236,收款年度,管理年度),2))</f>
        <v/>
      </c>
      <c r="O236" s="40" t="str">
        <f aca="false">IF($Y236="","",ROUND(SUMIFS(收款金额,收款键,$Y236,收款年度,管理年度,收款归类,"发票"),2))</f>
        <v/>
      </c>
      <c r="P236" s="40" t="str">
        <f aca="false">IF($Y236="","",ROUND(SUMIFS(收款金额,收款键,$Y236,收款年度,管理年度,收款归类,"收据"),2))</f>
        <v/>
      </c>
      <c r="Q236" s="40" t="str">
        <f aca="false">IF($Y236="","",ROUND(SUMIFS(收款金额,收款键,$Y236,收款年度,管理年度,收款归类,"现金无票"),2))</f>
        <v/>
      </c>
      <c r="R236" s="40" t="str">
        <f aca="false">IF($Y236="","",ROUND(MAX(0,MIN($T236,SUMIF(应收键,$Y236,应收开票额)-SUMIF(收款键,$Y236,收款金额))),2))</f>
        <v/>
      </c>
      <c r="S236" s="40" t="str">
        <f aca="false">IF($Y236="","",ROUND(MAX(0,$T236)-$R236,2))</f>
        <v/>
      </c>
      <c r="T236" s="48" t="str">
        <f aca="false">IF($Y236="","",ROUND(SUMIF(应收键,$Y236,应收金额)-SUMIF(收款键,$Y236,收款金额),2))</f>
        <v/>
      </c>
      <c r="U236" s="49" t="str">
        <f aca="true">IF($AA236="","",IF($T236&lt;=0.01,"",MAX(0,TODAY()-$AA236)))</f>
        <v/>
      </c>
      <c r="V236" s="50" t="str">
        <f aca="true">IF($Y236="","",IF($T236&gt;0.01,IF(AND(ISNUMBER($U236),$U236&gt;=账龄预警天),"▲欠款拖了 "&amp;TEXT($U236,"0")&amp;" 天","欠款未清"),IF($T236&lt;-0.01,"预收/多收","已结清"))&amp;IF(OR($E236="已签未回",$E236="未签",$E236="续签中")," ▲合同未回","")&amp;IF(AND(ISNUMBER($F236),$F236&lt;TODAY())," ▲合同已到期",""))</f>
        <v/>
      </c>
      <c r="W236" s="24"/>
      <c r="X236" s="35" t="str">
        <f aca="false">IF($Y236="","",IF(ROUND($H236+$I236-$N236+$Z236-$T236,2)&lt;&gt;0,"★期初＋本年－已收≠余额",IF(ROUND($R236+$S236-MAX(0,$T236),2)&lt;&gt;0,"★已开票＋未开票≠欠款",IF(ROUND($J236+$K236-$I236,2)&lt;&gt;0,"★合同款＋合同外款≠本年应收",IF(ROUND($O236+$P236+$Q236-$N236,2)&lt;&gt;0,"★发票＋收据＋现金≠本年已收","OK")))))</f>
        <v/>
      </c>
      <c r="Y236" s="35" t="str">
        <f aca="false">IF(维保合同!$C236="","",维保合同!$E236)</f>
        <v/>
      </c>
      <c r="Z236" s="40" t="str">
        <f aca="false">IF($Y236="","",ROUND(SUMIFS(应收金额,应收键,$Y236,应收年度,"&gt;"&amp;管理年度)-SUMIFS(收款金额,收款键,$Y236,收款年度,"&gt;"&amp;管理年度),2))</f>
        <v/>
      </c>
      <c r="AA236" s="47" t="str">
        <f aca="false">IF($Y236="","",IF(SUMPRODUCT(MIN(IF((应收键=$Y236)*(应收未收&gt;0.01),应收日期,999999)))&gt;=999999,"",SUMPRODUCT(MIN(IF((应收键=$Y236)*(应收未收&gt;0.01),应收日期,999999)))))</f>
        <v/>
      </c>
    </row>
    <row r="237" customFormat="false" ht="15" hidden="false" customHeight="false" outlineLevel="0" collapsed="false">
      <c r="A237" s="29" t="str">
        <f aca="false">IF($Y237="","",ROW()-4)</f>
        <v/>
      </c>
      <c r="B237" s="16" t="str">
        <f aca="false">IF($Y237="","",维保合同!$C237)</f>
        <v/>
      </c>
      <c r="C237" s="16" t="str">
        <f aca="false">IF($Y237="","",维保合同!$D237)</f>
        <v/>
      </c>
      <c r="D237" s="35" t="str">
        <f aca="false">IF($Y237="","",维保合同!$F237)</f>
        <v/>
      </c>
      <c r="E237" s="35" t="str">
        <f aca="false">IF($Y237="","",维保合同!$G237)</f>
        <v/>
      </c>
      <c r="F237" s="47" t="str">
        <f aca="false">IF($Y237="","",维保合同!$I237)</f>
        <v/>
      </c>
      <c r="G237" s="38" t="str">
        <f aca="false">IF($Y237="","",维保合同!$K237)</f>
        <v/>
      </c>
      <c r="H237" s="41" t="str">
        <f aca="false">IF($Y237="","",ROUND(SUMIFS(应收金额,应收键,$Y237,应收年度,"&lt;"&amp;管理年度)-SUMIFS(收款金额,收款键,$Y237,收款年度,"&lt;"&amp;管理年度),2))</f>
        <v/>
      </c>
      <c r="I237" s="40" t="str">
        <f aca="false">IF($Y237="","",ROUND(SUMIFS(应收金额,应收键,$Y237,应收年度,管理年度),2))</f>
        <v/>
      </c>
      <c r="J237" s="40" t="str">
        <f aca="false">IF($Y237="","",ROUND(SUMIFS(应收金额,应收键,$Y237,应收年度,管理年度,应收款别,"合同款"),2))</f>
        <v/>
      </c>
      <c r="K237" s="40" t="str">
        <f aca="false">IF($Y237="","",ROUND($I237-$J237,2))</f>
        <v/>
      </c>
      <c r="L237" s="40" t="str">
        <f aca="false">IF($Y237="","",ROUND(SUMIFS(应收开票额,应收键,$Y237,应收开票年度,管理年度),2))</f>
        <v/>
      </c>
      <c r="M237" s="40" t="str">
        <f aca="false">IF($Y237="","",ROUND($I237-$L237,2))</f>
        <v/>
      </c>
      <c r="N237" s="40" t="str">
        <f aca="false">IF($Y237="","",ROUND(SUMIFS(收款金额,收款键,$Y237,收款年度,管理年度),2))</f>
        <v/>
      </c>
      <c r="O237" s="40" t="str">
        <f aca="false">IF($Y237="","",ROUND(SUMIFS(收款金额,收款键,$Y237,收款年度,管理年度,收款归类,"发票"),2))</f>
        <v/>
      </c>
      <c r="P237" s="40" t="str">
        <f aca="false">IF($Y237="","",ROUND(SUMIFS(收款金额,收款键,$Y237,收款年度,管理年度,收款归类,"收据"),2))</f>
        <v/>
      </c>
      <c r="Q237" s="40" t="str">
        <f aca="false">IF($Y237="","",ROUND(SUMIFS(收款金额,收款键,$Y237,收款年度,管理年度,收款归类,"现金无票"),2))</f>
        <v/>
      </c>
      <c r="R237" s="40" t="str">
        <f aca="false">IF($Y237="","",ROUND(MAX(0,MIN($T237,SUMIF(应收键,$Y237,应收开票额)-SUMIF(收款键,$Y237,收款金额))),2))</f>
        <v/>
      </c>
      <c r="S237" s="40" t="str">
        <f aca="false">IF($Y237="","",ROUND(MAX(0,$T237)-$R237,2))</f>
        <v/>
      </c>
      <c r="T237" s="48" t="str">
        <f aca="false">IF($Y237="","",ROUND(SUMIF(应收键,$Y237,应收金额)-SUMIF(收款键,$Y237,收款金额),2))</f>
        <v/>
      </c>
      <c r="U237" s="49" t="str">
        <f aca="true">IF($AA237="","",IF($T237&lt;=0.01,"",MAX(0,TODAY()-$AA237)))</f>
        <v/>
      </c>
      <c r="V237" s="50" t="str">
        <f aca="true">IF($Y237="","",IF($T237&gt;0.01,IF(AND(ISNUMBER($U237),$U237&gt;=账龄预警天),"▲欠款拖了 "&amp;TEXT($U237,"0")&amp;" 天","欠款未清"),IF($T237&lt;-0.01,"预收/多收","已结清"))&amp;IF(OR($E237="已签未回",$E237="未签",$E237="续签中")," ▲合同未回","")&amp;IF(AND(ISNUMBER($F237),$F237&lt;TODAY())," ▲合同已到期",""))</f>
        <v/>
      </c>
      <c r="W237" s="24"/>
      <c r="X237" s="35" t="str">
        <f aca="false">IF($Y237="","",IF(ROUND($H237+$I237-$N237+$Z237-$T237,2)&lt;&gt;0,"★期初＋本年－已收≠余额",IF(ROUND($R237+$S237-MAX(0,$T237),2)&lt;&gt;0,"★已开票＋未开票≠欠款",IF(ROUND($J237+$K237-$I237,2)&lt;&gt;0,"★合同款＋合同外款≠本年应收",IF(ROUND($O237+$P237+$Q237-$N237,2)&lt;&gt;0,"★发票＋收据＋现金≠本年已收","OK")))))</f>
        <v/>
      </c>
      <c r="Y237" s="35" t="str">
        <f aca="false">IF(维保合同!$C237="","",维保合同!$E237)</f>
        <v/>
      </c>
      <c r="Z237" s="40" t="str">
        <f aca="false">IF($Y237="","",ROUND(SUMIFS(应收金额,应收键,$Y237,应收年度,"&gt;"&amp;管理年度)-SUMIFS(收款金额,收款键,$Y237,收款年度,"&gt;"&amp;管理年度),2))</f>
        <v/>
      </c>
      <c r="AA237" s="47" t="str">
        <f aca="false">IF($Y237="","",IF(SUMPRODUCT(MIN(IF((应收键=$Y237)*(应收未收&gt;0.01),应收日期,999999)))&gt;=999999,"",SUMPRODUCT(MIN(IF((应收键=$Y237)*(应收未收&gt;0.01),应收日期,999999)))))</f>
        <v/>
      </c>
    </row>
    <row r="238" customFormat="false" ht="15" hidden="false" customHeight="false" outlineLevel="0" collapsed="false">
      <c r="A238" s="29" t="str">
        <f aca="false">IF($Y238="","",ROW()-4)</f>
        <v/>
      </c>
      <c r="B238" s="16" t="str">
        <f aca="false">IF($Y238="","",维保合同!$C238)</f>
        <v/>
      </c>
      <c r="C238" s="16" t="str">
        <f aca="false">IF($Y238="","",维保合同!$D238)</f>
        <v/>
      </c>
      <c r="D238" s="35" t="str">
        <f aca="false">IF($Y238="","",维保合同!$F238)</f>
        <v/>
      </c>
      <c r="E238" s="35" t="str">
        <f aca="false">IF($Y238="","",维保合同!$G238)</f>
        <v/>
      </c>
      <c r="F238" s="47" t="str">
        <f aca="false">IF($Y238="","",维保合同!$I238)</f>
        <v/>
      </c>
      <c r="G238" s="38" t="str">
        <f aca="false">IF($Y238="","",维保合同!$K238)</f>
        <v/>
      </c>
      <c r="H238" s="41" t="str">
        <f aca="false">IF($Y238="","",ROUND(SUMIFS(应收金额,应收键,$Y238,应收年度,"&lt;"&amp;管理年度)-SUMIFS(收款金额,收款键,$Y238,收款年度,"&lt;"&amp;管理年度),2))</f>
        <v/>
      </c>
      <c r="I238" s="40" t="str">
        <f aca="false">IF($Y238="","",ROUND(SUMIFS(应收金额,应收键,$Y238,应收年度,管理年度),2))</f>
        <v/>
      </c>
      <c r="J238" s="40" t="str">
        <f aca="false">IF($Y238="","",ROUND(SUMIFS(应收金额,应收键,$Y238,应收年度,管理年度,应收款别,"合同款"),2))</f>
        <v/>
      </c>
      <c r="K238" s="40" t="str">
        <f aca="false">IF($Y238="","",ROUND($I238-$J238,2))</f>
        <v/>
      </c>
      <c r="L238" s="40" t="str">
        <f aca="false">IF($Y238="","",ROUND(SUMIFS(应收开票额,应收键,$Y238,应收开票年度,管理年度),2))</f>
        <v/>
      </c>
      <c r="M238" s="40" t="str">
        <f aca="false">IF($Y238="","",ROUND($I238-$L238,2))</f>
        <v/>
      </c>
      <c r="N238" s="40" t="str">
        <f aca="false">IF($Y238="","",ROUND(SUMIFS(收款金额,收款键,$Y238,收款年度,管理年度),2))</f>
        <v/>
      </c>
      <c r="O238" s="40" t="str">
        <f aca="false">IF($Y238="","",ROUND(SUMIFS(收款金额,收款键,$Y238,收款年度,管理年度,收款归类,"发票"),2))</f>
        <v/>
      </c>
      <c r="P238" s="40" t="str">
        <f aca="false">IF($Y238="","",ROUND(SUMIFS(收款金额,收款键,$Y238,收款年度,管理年度,收款归类,"收据"),2))</f>
        <v/>
      </c>
      <c r="Q238" s="40" t="str">
        <f aca="false">IF($Y238="","",ROUND(SUMIFS(收款金额,收款键,$Y238,收款年度,管理年度,收款归类,"现金无票"),2))</f>
        <v/>
      </c>
      <c r="R238" s="40" t="str">
        <f aca="false">IF($Y238="","",ROUND(MAX(0,MIN($T238,SUMIF(应收键,$Y238,应收开票额)-SUMIF(收款键,$Y238,收款金额))),2))</f>
        <v/>
      </c>
      <c r="S238" s="40" t="str">
        <f aca="false">IF($Y238="","",ROUND(MAX(0,$T238)-$R238,2))</f>
        <v/>
      </c>
      <c r="T238" s="48" t="str">
        <f aca="false">IF($Y238="","",ROUND(SUMIF(应收键,$Y238,应收金额)-SUMIF(收款键,$Y238,收款金额),2))</f>
        <v/>
      </c>
      <c r="U238" s="49" t="str">
        <f aca="true">IF($AA238="","",IF($T238&lt;=0.01,"",MAX(0,TODAY()-$AA238)))</f>
        <v/>
      </c>
      <c r="V238" s="50" t="str">
        <f aca="true">IF($Y238="","",IF($T238&gt;0.01,IF(AND(ISNUMBER($U238),$U238&gt;=账龄预警天),"▲欠款拖了 "&amp;TEXT($U238,"0")&amp;" 天","欠款未清"),IF($T238&lt;-0.01,"预收/多收","已结清"))&amp;IF(OR($E238="已签未回",$E238="未签",$E238="续签中")," ▲合同未回","")&amp;IF(AND(ISNUMBER($F238),$F238&lt;TODAY())," ▲合同已到期",""))</f>
        <v/>
      </c>
      <c r="W238" s="24"/>
      <c r="X238" s="35" t="str">
        <f aca="false">IF($Y238="","",IF(ROUND($H238+$I238-$N238+$Z238-$T238,2)&lt;&gt;0,"★期初＋本年－已收≠余额",IF(ROUND($R238+$S238-MAX(0,$T238),2)&lt;&gt;0,"★已开票＋未开票≠欠款",IF(ROUND($J238+$K238-$I238,2)&lt;&gt;0,"★合同款＋合同外款≠本年应收",IF(ROUND($O238+$P238+$Q238-$N238,2)&lt;&gt;0,"★发票＋收据＋现金≠本年已收","OK")))))</f>
        <v/>
      </c>
      <c r="Y238" s="35" t="str">
        <f aca="false">IF(维保合同!$C238="","",维保合同!$E238)</f>
        <v/>
      </c>
      <c r="Z238" s="40" t="str">
        <f aca="false">IF($Y238="","",ROUND(SUMIFS(应收金额,应收键,$Y238,应收年度,"&gt;"&amp;管理年度)-SUMIFS(收款金额,收款键,$Y238,收款年度,"&gt;"&amp;管理年度),2))</f>
        <v/>
      </c>
      <c r="AA238" s="47" t="str">
        <f aca="false">IF($Y238="","",IF(SUMPRODUCT(MIN(IF((应收键=$Y238)*(应收未收&gt;0.01),应收日期,999999)))&gt;=999999,"",SUMPRODUCT(MIN(IF((应收键=$Y238)*(应收未收&gt;0.01),应收日期,999999)))))</f>
        <v/>
      </c>
    </row>
    <row r="239" customFormat="false" ht="15" hidden="false" customHeight="false" outlineLevel="0" collapsed="false">
      <c r="A239" s="29" t="str">
        <f aca="false">IF($Y239="","",ROW()-4)</f>
        <v/>
      </c>
      <c r="B239" s="16" t="str">
        <f aca="false">IF($Y239="","",维保合同!$C239)</f>
        <v/>
      </c>
      <c r="C239" s="16" t="str">
        <f aca="false">IF($Y239="","",维保合同!$D239)</f>
        <v/>
      </c>
      <c r="D239" s="35" t="str">
        <f aca="false">IF($Y239="","",维保合同!$F239)</f>
        <v/>
      </c>
      <c r="E239" s="35" t="str">
        <f aca="false">IF($Y239="","",维保合同!$G239)</f>
        <v/>
      </c>
      <c r="F239" s="47" t="str">
        <f aca="false">IF($Y239="","",维保合同!$I239)</f>
        <v/>
      </c>
      <c r="G239" s="38" t="str">
        <f aca="false">IF($Y239="","",维保合同!$K239)</f>
        <v/>
      </c>
      <c r="H239" s="41" t="str">
        <f aca="false">IF($Y239="","",ROUND(SUMIFS(应收金额,应收键,$Y239,应收年度,"&lt;"&amp;管理年度)-SUMIFS(收款金额,收款键,$Y239,收款年度,"&lt;"&amp;管理年度),2))</f>
        <v/>
      </c>
      <c r="I239" s="40" t="str">
        <f aca="false">IF($Y239="","",ROUND(SUMIFS(应收金额,应收键,$Y239,应收年度,管理年度),2))</f>
        <v/>
      </c>
      <c r="J239" s="40" t="str">
        <f aca="false">IF($Y239="","",ROUND(SUMIFS(应收金额,应收键,$Y239,应收年度,管理年度,应收款别,"合同款"),2))</f>
        <v/>
      </c>
      <c r="K239" s="40" t="str">
        <f aca="false">IF($Y239="","",ROUND($I239-$J239,2))</f>
        <v/>
      </c>
      <c r="L239" s="40" t="str">
        <f aca="false">IF($Y239="","",ROUND(SUMIFS(应收开票额,应收键,$Y239,应收开票年度,管理年度),2))</f>
        <v/>
      </c>
      <c r="M239" s="40" t="str">
        <f aca="false">IF($Y239="","",ROUND($I239-$L239,2))</f>
        <v/>
      </c>
      <c r="N239" s="40" t="str">
        <f aca="false">IF($Y239="","",ROUND(SUMIFS(收款金额,收款键,$Y239,收款年度,管理年度),2))</f>
        <v/>
      </c>
      <c r="O239" s="40" t="str">
        <f aca="false">IF($Y239="","",ROUND(SUMIFS(收款金额,收款键,$Y239,收款年度,管理年度,收款归类,"发票"),2))</f>
        <v/>
      </c>
      <c r="P239" s="40" t="str">
        <f aca="false">IF($Y239="","",ROUND(SUMIFS(收款金额,收款键,$Y239,收款年度,管理年度,收款归类,"收据"),2))</f>
        <v/>
      </c>
      <c r="Q239" s="40" t="str">
        <f aca="false">IF($Y239="","",ROUND(SUMIFS(收款金额,收款键,$Y239,收款年度,管理年度,收款归类,"现金无票"),2))</f>
        <v/>
      </c>
      <c r="R239" s="40" t="str">
        <f aca="false">IF($Y239="","",ROUND(MAX(0,MIN($T239,SUMIF(应收键,$Y239,应收开票额)-SUMIF(收款键,$Y239,收款金额))),2))</f>
        <v/>
      </c>
      <c r="S239" s="40" t="str">
        <f aca="false">IF($Y239="","",ROUND(MAX(0,$T239)-$R239,2))</f>
        <v/>
      </c>
      <c r="T239" s="48" t="str">
        <f aca="false">IF($Y239="","",ROUND(SUMIF(应收键,$Y239,应收金额)-SUMIF(收款键,$Y239,收款金额),2))</f>
        <v/>
      </c>
      <c r="U239" s="49" t="str">
        <f aca="true">IF($AA239="","",IF($T239&lt;=0.01,"",MAX(0,TODAY()-$AA239)))</f>
        <v/>
      </c>
      <c r="V239" s="50" t="str">
        <f aca="true">IF($Y239="","",IF($T239&gt;0.01,IF(AND(ISNUMBER($U239),$U239&gt;=账龄预警天),"▲欠款拖了 "&amp;TEXT($U239,"0")&amp;" 天","欠款未清"),IF($T239&lt;-0.01,"预收/多收","已结清"))&amp;IF(OR($E239="已签未回",$E239="未签",$E239="续签中")," ▲合同未回","")&amp;IF(AND(ISNUMBER($F239),$F239&lt;TODAY())," ▲合同已到期",""))</f>
        <v/>
      </c>
      <c r="W239" s="24"/>
      <c r="X239" s="35" t="str">
        <f aca="false">IF($Y239="","",IF(ROUND($H239+$I239-$N239+$Z239-$T239,2)&lt;&gt;0,"★期初＋本年－已收≠余额",IF(ROUND($R239+$S239-MAX(0,$T239),2)&lt;&gt;0,"★已开票＋未开票≠欠款",IF(ROUND($J239+$K239-$I239,2)&lt;&gt;0,"★合同款＋合同外款≠本年应收",IF(ROUND($O239+$P239+$Q239-$N239,2)&lt;&gt;0,"★发票＋收据＋现金≠本年已收","OK")))))</f>
        <v/>
      </c>
      <c r="Y239" s="35" t="str">
        <f aca="false">IF(维保合同!$C239="","",维保合同!$E239)</f>
        <v/>
      </c>
      <c r="Z239" s="40" t="str">
        <f aca="false">IF($Y239="","",ROUND(SUMIFS(应收金额,应收键,$Y239,应收年度,"&gt;"&amp;管理年度)-SUMIFS(收款金额,收款键,$Y239,收款年度,"&gt;"&amp;管理年度),2))</f>
        <v/>
      </c>
      <c r="AA239" s="47" t="str">
        <f aca="false">IF($Y239="","",IF(SUMPRODUCT(MIN(IF((应收键=$Y239)*(应收未收&gt;0.01),应收日期,999999)))&gt;=999999,"",SUMPRODUCT(MIN(IF((应收键=$Y239)*(应收未收&gt;0.01),应收日期,999999)))))</f>
        <v/>
      </c>
    </row>
    <row r="240" customFormat="false" ht="15" hidden="false" customHeight="false" outlineLevel="0" collapsed="false">
      <c r="A240" s="29" t="str">
        <f aca="false">IF($Y240="","",ROW()-4)</f>
        <v/>
      </c>
      <c r="B240" s="16" t="str">
        <f aca="false">IF($Y240="","",维保合同!$C240)</f>
        <v/>
      </c>
      <c r="C240" s="16" t="str">
        <f aca="false">IF($Y240="","",维保合同!$D240)</f>
        <v/>
      </c>
      <c r="D240" s="35" t="str">
        <f aca="false">IF($Y240="","",维保合同!$F240)</f>
        <v/>
      </c>
      <c r="E240" s="35" t="str">
        <f aca="false">IF($Y240="","",维保合同!$G240)</f>
        <v/>
      </c>
      <c r="F240" s="47" t="str">
        <f aca="false">IF($Y240="","",维保合同!$I240)</f>
        <v/>
      </c>
      <c r="G240" s="38" t="str">
        <f aca="false">IF($Y240="","",维保合同!$K240)</f>
        <v/>
      </c>
      <c r="H240" s="41" t="str">
        <f aca="false">IF($Y240="","",ROUND(SUMIFS(应收金额,应收键,$Y240,应收年度,"&lt;"&amp;管理年度)-SUMIFS(收款金额,收款键,$Y240,收款年度,"&lt;"&amp;管理年度),2))</f>
        <v/>
      </c>
      <c r="I240" s="40" t="str">
        <f aca="false">IF($Y240="","",ROUND(SUMIFS(应收金额,应收键,$Y240,应收年度,管理年度),2))</f>
        <v/>
      </c>
      <c r="J240" s="40" t="str">
        <f aca="false">IF($Y240="","",ROUND(SUMIFS(应收金额,应收键,$Y240,应收年度,管理年度,应收款别,"合同款"),2))</f>
        <v/>
      </c>
      <c r="K240" s="40" t="str">
        <f aca="false">IF($Y240="","",ROUND($I240-$J240,2))</f>
        <v/>
      </c>
      <c r="L240" s="40" t="str">
        <f aca="false">IF($Y240="","",ROUND(SUMIFS(应收开票额,应收键,$Y240,应收开票年度,管理年度),2))</f>
        <v/>
      </c>
      <c r="M240" s="40" t="str">
        <f aca="false">IF($Y240="","",ROUND($I240-$L240,2))</f>
        <v/>
      </c>
      <c r="N240" s="40" t="str">
        <f aca="false">IF($Y240="","",ROUND(SUMIFS(收款金额,收款键,$Y240,收款年度,管理年度),2))</f>
        <v/>
      </c>
      <c r="O240" s="40" t="str">
        <f aca="false">IF($Y240="","",ROUND(SUMIFS(收款金额,收款键,$Y240,收款年度,管理年度,收款归类,"发票"),2))</f>
        <v/>
      </c>
      <c r="P240" s="40" t="str">
        <f aca="false">IF($Y240="","",ROUND(SUMIFS(收款金额,收款键,$Y240,收款年度,管理年度,收款归类,"收据"),2))</f>
        <v/>
      </c>
      <c r="Q240" s="40" t="str">
        <f aca="false">IF($Y240="","",ROUND(SUMIFS(收款金额,收款键,$Y240,收款年度,管理年度,收款归类,"现金无票"),2))</f>
        <v/>
      </c>
      <c r="R240" s="40" t="str">
        <f aca="false">IF($Y240="","",ROUND(MAX(0,MIN($T240,SUMIF(应收键,$Y240,应收开票额)-SUMIF(收款键,$Y240,收款金额))),2))</f>
        <v/>
      </c>
      <c r="S240" s="40" t="str">
        <f aca="false">IF($Y240="","",ROUND(MAX(0,$T240)-$R240,2))</f>
        <v/>
      </c>
      <c r="T240" s="48" t="str">
        <f aca="false">IF($Y240="","",ROUND(SUMIF(应收键,$Y240,应收金额)-SUMIF(收款键,$Y240,收款金额),2))</f>
        <v/>
      </c>
      <c r="U240" s="49" t="str">
        <f aca="true">IF($AA240="","",IF($T240&lt;=0.01,"",MAX(0,TODAY()-$AA240)))</f>
        <v/>
      </c>
      <c r="V240" s="50" t="str">
        <f aca="true">IF($Y240="","",IF($T240&gt;0.01,IF(AND(ISNUMBER($U240),$U240&gt;=账龄预警天),"▲欠款拖了 "&amp;TEXT($U240,"0")&amp;" 天","欠款未清"),IF($T240&lt;-0.01,"预收/多收","已结清"))&amp;IF(OR($E240="已签未回",$E240="未签",$E240="续签中")," ▲合同未回","")&amp;IF(AND(ISNUMBER($F240),$F240&lt;TODAY())," ▲合同已到期",""))</f>
        <v/>
      </c>
      <c r="W240" s="24"/>
      <c r="X240" s="35" t="str">
        <f aca="false">IF($Y240="","",IF(ROUND($H240+$I240-$N240+$Z240-$T240,2)&lt;&gt;0,"★期初＋本年－已收≠余额",IF(ROUND($R240+$S240-MAX(0,$T240),2)&lt;&gt;0,"★已开票＋未开票≠欠款",IF(ROUND($J240+$K240-$I240,2)&lt;&gt;0,"★合同款＋合同外款≠本年应收",IF(ROUND($O240+$P240+$Q240-$N240,2)&lt;&gt;0,"★发票＋收据＋现金≠本年已收","OK")))))</f>
        <v/>
      </c>
      <c r="Y240" s="35" t="str">
        <f aca="false">IF(维保合同!$C240="","",维保合同!$E240)</f>
        <v/>
      </c>
      <c r="Z240" s="40" t="str">
        <f aca="false">IF($Y240="","",ROUND(SUMIFS(应收金额,应收键,$Y240,应收年度,"&gt;"&amp;管理年度)-SUMIFS(收款金额,收款键,$Y240,收款年度,"&gt;"&amp;管理年度),2))</f>
        <v/>
      </c>
      <c r="AA240" s="47" t="str">
        <f aca="false">IF($Y240="","",IF(SUMPRODUCT(MIN(IF((应收键=$Y240)*(应收未收&gt;0.01),应收日期,999999)))&gt;=999999,"",SUMPRODUCT(MIN(IF((应收键=$Y240)*(应收未收&gt;0.01),应收日期,999999)))))</f>
        <v/>
      </c>
    </row>
    <row r="241" customFormat="false" ht="15" hidden="false" customHeight="false" outlineLevel="0" collapsed="false">
      <c r="A241" s="29" t="str">
        <f aca="false">IF($Y241="","",ROW()-4)</f>
        <v/>
      </c>
      <c r="B241" s="16" t="str">
        <f aca="false">IF($Y241="","",维保合同!$C241)</f>
        <v/>
      </c>
      <c r="C241" s="16" t="str">
        <f aca="false">IF($Y241="","",维保合同!$D241)</f>
        <v/>
      </c>
      <c r="D241" s="35" t="str">
        <f aca="false">IF($Y241="","",维保合同!$F241)</f>
        <v/>
      </c>
      <c r="E241" s="35" t="str">
        <f aca="false">IF($Y241="","",维保合同!$G241)</f>
        <v/>
      </c>
      <c r="F241" s="47" t="str">
        <f aca="false">IF($Y241="","",维保合同!$I241)</f>
        <v/>
      </c>
      <c r="G241" s="38" t="str">
        <f aca="false">IF($Y241="","",维保合同!$K241)</f>
        <v/>
      </c>
      <c r="H241" s="41" t="str">
        <f aca="false">IF($Y241="","",ROUND(SUMIFS(应收金额,应收键,$Y241,应收年度,"&lt;"&amp;管理年度)-SUMIFS(收款金额,收款键,$Y241,收款年度,"&lt;"&amp;管理年度),2))</f>
        <v/>
      </c>
      <c r="I241" s="40" t="str">
        <f aca="false">IF($Y241="","",ROUND(SUMIFS(应收金额,应收键,$Y241,应收年度,管理年度),2))</f>
        <v/>
      </c>
      <c r="J241" s="40" t="str">
        <f aca="false">IF($Y241="","",ROUND(SUMIFS(应收金额,应收键,$Y241,应收年度,管理年度,应收款别,"合同款"),2))</f>
        <v/>
      </c>
      <c r="K241" s="40" t="str">
        <f aca="false">IF($Y241="","",ROUND($I241-$J241,2))</f>
        <v/>
      </c>
      <c r="L241" s="40" t="str">
        <f aca="false">IF($Y241="","",ROUND(SUMIFS(应收开票额,应收键,$Y241,应收开票年度,管理年度),2))</f>
        <v/>
      </c>
      <c r="M241" s="40" t="str">
        <f aca="false">IF($Y241="","",ROUND($I241-$L241,2))</f>
        <v/>
      </c>
      <c r="N241" s="40" t="str">
        <f aca="false">IF($Y241="","",ROUND(SUMIFS(收款金额,收款键,$Y241,收款年度,管理年度),2))</f>
        <v/>
      </c>
      <c r="O241" s="40" t="str">
        <f aca="false">IF($Y241="","",ROUND(SUMIFS(收款金额,收款键,$Y241,收款年度,管理年度,收款归类,"发票"),2))</f>
        <v/>
      </c>
      <c r="P241" s="40" t="str">
        <f aca="false">IF($Y241="","",ROUND(SUMIFS(收款金额,收款键,$Y241,收款年度,管理年度,收款归类,"收据"),2))</f>
        <v/>
      </c>
      <c r="Q241" s="40" t="str">
        <f aca="false">IF($Y241="","",ROUND(SUMIFS(收款金额,收款键,$Y241,收款年度,管理年度,收款归类,"现金无票"),2))</f>
        <v/>
      </c>
      <c r="R241" s="40" t="str">
        <f aca="false">IF($Y241="","",ROUND(MAX(0,MIN($T241,SUMIF(应收键,$Y241,应收开票额)-SUMIF(收款键,$Y241,收款金额))),2))</f>
        <v/>
      </c>
      <c r="S241" s="40" t="str">
        <f aca="false">IF($Y241="","",ROUND(MAX(0,$T241)-$R241,2))</f>
        <v/>
      </c>
      <c r="T241" s="48" t="str">
        <f aca="false">IF($Y241="","",ROUND(SUMIF(应收键,$Y241,应收金额)-SUMIF(收款键,$Y241,收款金额),2))</f>
        <v/>
      </c>
      <c r="U241" s="49" t="str">
        <f aca="true">IF($AA241="","",IF($T241&lt;=0.01,"",MAX(0,TODAY()-$AA241)))</f>
        <v/>
      </c>
      <c r="V241" s="50" t="str">
        <f aca="true">IF($Y241="","",IF($T241&gt;0.01,IF(AND(ISNUMBER($U241),$U241&gt;=账龄预警天),"▲欠款拖了 "&amp;TEXT($U241,"0")&amp;" 天","欠款未清"),IF($T241&lt;-0.01,"预收/多收","已结清"))&amp;IF(OR($E241="已签未回",$E241="未签",$E241="续签中")," ▲合同未回","")&amp;IF(AND(ISNUMBER($F241),$F241&lt;TODAY())," ▲合同已到期",""))</f>
        <v/>
      </c>
      <c r="W241" s="24"/>
      <c r="X241" s="35" t="str">
        <f aca="false">IF($Y241="","",IF(ROUND($H241+$I241-$N241+$Z241-$T241,2)&lt;&gt;0,"★期初＋本年－已收≠余额",IF(ROUND($R241+$S241-MAX(0,$T241),2)&lt;&gt;0,"★已开票＋未开票≠欠款",IF(ROUND($J241+$K241-$I241,2)&lt;&gt;0,"★合同款＋合同外款≠本年应收",IF(ROUND($O241+$P241+$Q241-$N241,2)&lt;&gt;0,"★发票＋收据＋现金≠本年已收","OK")))))</f>
        <v/>
      </c>
      <c r="Y241" s="35" t="str">
        <f aca="false">IF(维保合同!$C241="","",维保合同!$E241)</f>
        <v/>
      </c>
      <c r="Z241" s="40" t="str">
        <f aca="false">IF($Y241="","",ROUND(SUMIFS(应收金额,应收键,$Y241,应收年度,"&gt;"&amp;管理年度)-SUMIFS(收款金额,收款键,$Y241,收款年度,"&gt;"&amp;管理年度),2))</f>
        <v/>
      </c>
      <c r="AA241" s="47" t="str">
        <f aca="false">IF($Y241="","",IF(SUMPRODUCT(MIN(IF((应收键=$Y241)*(应收未收&gt;0.01),应收日期,999999)))&gt;=999999,"",SUMPRODUCT(MIN(IF((应收键=$Y241)*(应收未收&gt;0.01),应收日期,999999)))))</f>
        <v/>
      </c>
    </row>
    <row r="242" customFormat="false" ht="15" hidden="false" customHeight="false" outlineLevel="0" collapsed="false">
      <c r="A242" s="29" t="str">
        <f aca="false">IF($Y242="","",ROW()-4)</f>
        <v/>
      </c>
      <c r="B242" s="16" t="str">
        <f aca="false">IF($Y242="","",维保合同!$C242)</f>
        <v/>
      </c>
      <c r="C242" s="16" t="str">
        <f aca="false">IF($Y242="","",维保合同!$D242)</f>
        <v/>
      </c>
      <c r="D242" s="35" t="str">
        <f aca="false">IF($Y242="","",维保合同!$F242)</f>
        <v/>
      </c>
      <c r="E242" s="35" t="str">
        <f aca="false">IF($Y242="","",维保合同!$G242)</f>
        <v/>
      </c>
      <c r="F242" s="47" t="str">
        <f aca="false">IF($Y242="","",维保合同!$I242)</f>
        <v/>
      </c>
      <c r="G242" s="38" t="str">
        <f aca="false">IF($Y242="","",维保合同!$K242)</f>
        <v/>
      </c>
      <c r="H242" s="41" t="str">
        <f aca="false">IF($Y242="","",ROUND(SUMIFS(应收金额,应收键,$Y242,应收年度,"&lt;"&amp;管理年度)-SUMIFS(收款金额,收款键,$Y242,收款年度,"&lt;"&amp;管理年度),2))</f>
        <v/>
      </c>
      <c r="I242" s="40" t="str">
        <f aca="false">IF($Y242="","",ROUND(SUMIFS(应收金额,应收键,$Y242,应收年度,管理年度),2))</f>
        <v/>
      </c>
      <c r="J242" s="40" t="str">
        <f aca="false">IF($Y242="","",ROUND(SUMIFS(应收金额,应收键,$Y242,应收年度,管理年度,应收款别,"合同款"),2))</f>
        <v/>
      </c>
      <c r="K242" s="40" t="str">
        <f aca="false">IF($Y242="","",ROUND($I242-$J242,2))</f>
        <v/>
      </c>
      <c r="L242" s="40" t="str">
        <f aca="false">IF($Y242="","",ROUND(SUMIFS(应收开票额,应收键,$Y242,应收开票年度,管理年度),2))</f>
        <v/>
      </c>
      <c r="M242" s="40" t="str">
        <f aca="false">IF($Y242="","",ROUND($I242-$L242,2))</f>
        <v/>
      </c>
      <c r="N242" s="40" t="str">
        <f aca="false">IF($Y242="","",ROUND(SUMIFS(收款金额,收款键,$Y242,收款年度,管理年度),2))</f>
        <v/>
      </c>
      <c r="O242" s="40" t="str">
        <f aca="false">IF($Y242="","",ROUND(SUMIFS(收款金额,收款键,$Y242,收款年度,管理年度,收款归类,"发票"),2))</f>
        <v/>
      </c>
      <c r="P242" s="40" t="str">
        <f aca="false">IF($Y242="","",ROUND(SUMIFS(收款金额,收款键,$Y242,收款年度,管理年度,收款归类,"收据"),2))</f>
        <v/>
      </c>
      <c r="Q242" s="40" t="str">
        <f aca="false">IF($Y242="","",ROUND(SUMIFS(收款金额,收款键,$Y242,收款年度,管理年度,收款归类,"现金无票"),2))</f>
        <v/>
      </c>
      <c r="R242" s="40" t="str">
        <f aca="false">IF($Y242="","",ROUND(MAX(0,MIN($T242,SUMIF(应收键,$Y242,应收开票额)-SUMIF(收款键,$Y242,收款金额))),2))</f>
        <v/>
      </c>
      <c r="S242" s="40" t="str">
        <f aca="false">IF($Y242="","",ROUND(MAX(0,$T242)-$R242,2))</f>
        <v/>
      </c>
      <c r="T242" s="48" t="str">
        <f aca="false">IF($Y242="","",ROUND(SUMIF(应收键,$Y242,应收金额)-SUMIF(收款键,$Y242,收款金额),2))</f>
        <v/>
      </c>
      <c r="U242" s="49" t="str">
        <f aca="true">IF($AA242="","",IF($T242&lt;=0.01,"",MAX(0,TODAY()-$AA242)))</f>
        <v/>
      </c>
      <c r="V242" s="50" t="str">
        <f aca="true">IF($Y242="","",IF($T242&gt;0.01,IF(AND(ISNUMBER($U242),$U242&gt;=账龄预警天),"▲欠款拖了 "&amp;TEXT($U242,"0")&amp;" 天","欠款未清"),IF($T242&lt;-0.01,"预收/多收","已结清"))&amp;IF(OR($E242="已签未回",$E242="未签",$E242="续签中")," ▲合同未回","")&amp;IF(AND(ISNUMBER($F242),$F242&lt;TODAY())," ▲合同已到期",""))</f>
        <v/>
      </c>
      <c r="W242" s="24"/>
      <c r="X242" s="35" t="str">
        <f aca="false">IF($Y242="","",IF(ROUND($H242+$I242-$N242+$Z242-$T242,2)&lt;&gt;0,"★期初＋本年－已收≠余额",IF(ROUND($R242+$S242-MAX(0,$T242),2)&lt;&gt;0,"★已开票＋未开票≠欠款",IF(ROUND($J242+$K242-$I242,2)&lt;&gt;0,"★合同款＋合同外款≠本年应收",IF(ROUND($O242+$P242+$Q242-$N242,2)&lt;&gt;0,"★发票＋收据＋现金≠本年已收","OK")))))</f>
        <v/>
      </c>
      <c r="Y242" s="35" t="str">
        <f aca="false">IF(维保合同!$C242="","",维保合同!$E242)</f>
        <v/>
      </c>
      <c r="Z242" s="40" t="str">
        <f aca="false">IF($Y242="","",ROUND(SUMIFS(应收金额,应收键,$Y242,应收年度,"&gt;"&amp;管理年度)-SUMIFS(收款金额,收款键,$Y242,收款年度,"&gt;"&amp;管理年度),2))</f>
        <v/>
      </c>
      <c r="AA242" s="47" t="str">
        <f aca="false">IF($Y242="","",IF(SUMPRODUCT(MIN(IF((应收键=$Y242)*(应收未收&gt;0.01),应收日期,999999)))&gt;=999999,"",SUMPRODUCT(MIN(IF((应收键=$Y242)*(应收未收&gt;0.01),应收日期,999999)))))</f>
        <v/>
      </c>
    </row>
    <row r="243" customFormat="false" ht="15" hidden="false" customHeight="false" outlineLevel="0" collapsed="false">
      <c r="A243" s="29" t="str">
        <f aca="false">IF($Y243="","",ROW()-4)</f>
        <v/>
      </c>
      <c r="B243" s="16" t="str">
        <f aca="false">IF($Y243="","",维保合同!$C243)</f>
        <v/>
      </c>
      <c r="C243" s="16" t="str">
        <f aca="false">IF($Y243="","",维保合同!$D243)</f>
        <v/>
      </c>
      <c r="D243" s="35" t="str">
        <f aca="false">IF($Y243="","",维保合同!$F243)</f>
        <v/>
      </c>
      <c r="E243" s="35" t="str">
        <f aca="false">IF($Y243="","",维保合同!$G243)</f>
        <v/>
      </c>
      <c r="F243" s="47" t="str">
        <f aca="false">IF($Y243="","",维保合同!$I243)</f>
        <v/>
      </c>
      <c r="G243" s="38" t="str">
        <f aca="false">IF($Y243="","",维保合同!$K243)</f>
        <v/>
      </c>
      <c r="H243" s="41" t="str">
        <f aca="false">IF($Y243="","",ROUND(SUMIFS(应收金额,应收键,$Y243,应收年度,"&lt;"&amp;管理年度)-SUMIFS(收款金额,收款键,$Y243,收款年度,"&lt;"&amp;管理年度),2))</f>
        <v/>
      </c>
      <c r="I243" s="40" t="str">
        <f aca="false">IF($Y243="","",ROUND(SUMIFS(应收金额,应收键,$Y243,应收年度,管理年度),2))</f>
        <v/>
      </c>
      <c r="J243" s="40" t="str">
        <f aca="false">IF($Y243="","",ROUND(SUMIFS(应收金额,应收键,$Y243,应收年度,管理年度,应收款别,"合同款"),2))</f>
        <v/>
      </c>
      <c r="K243" s="40" t="str">
        <f aca="false">IF($Y243="","",ROUND($I243-$J243,2))</f>
        <v/>
      </c>
      <c r="L243" s="40" t="str">
        <f aca="false">IF($Y243="","",ROUND(SUMIFS(应收开票额,应收键,$Y243,应收开票年度,管理年度),2))</f>
        <v/>
      </c>
      <c r="M243" s="40" t="str">
        <f aca="false">IF($Y243="","",ROUND($I243-$L243,2))</f>
        <v/>
      </c>
      <c r="N243" s="40" t="str">
        <f aca="false">IF($Y243="","",ROUND(SUMIFS(收款金额,收款键,$Y243,收款年度,管理年度),2))</f>
        <v/>
      </c>
      <c r="O243" s="40" t="str">
        <f aca="false">IF($Y243="","",ROUND(SUMIFS(收款金额,收款键,$Y243,收款年度,管理年度,收款归类,"发票"),2))</f>
        <v/>
      </c>
      <c r="P243" s="40" t="str">
        <f aca="false">IF($Y243="","",ROUND(SUMIFS(收款金额,收款键,$Y243,收款年度,管理年度,收款归类,"收据"),2))</f>
        <v/>
      </c>
      <c r="Q243" s="40" t="str">
        <f aca="false">IF($Y243="","",ROUND(SUMIFS(收款金额,收款键,$Y243,收款年度,管理年度,收款归类,"现金无票"),2))</f>
        <v/>
      </c>
      <c r="R243" s="40" t="str">
        <f aca="false">IF($Y243="","",ROUND(MAX(0,MIN($T243,SUMIF(应收键,$Y243,应收开票额)-SUMIF(收款键,$Y243,收款金额))),2))</f>
        <v/>
      </c>
      <c r="S243" s="40" t="str">
        <f aca="false">IF($Y243="","",ROUND(MAX(0,$T243)-$R243,2))</f>
        <v/>
      </c>
      <c r="T243" s="48" t="str">
        <f aca="false">IF($Y243="","",ROUND(SUMIF(应收键,$Y243,应收金额)-SUMIF(收款键,$Y243,收款金额),2))</f>
        <v/>
      </c>
      <c r="U243" s="49" t="str">
        <f aca="true">IF($AA243="","",IF($T243&lt;=0.01,"",MAX(0,TODAY()-$AA243)))</f>
        <v/>
      </c>
      <c r="V243" s="50" t="str">
        <f aca="true">IF($Y243="","",IF($T243&gt;0.01,IF(AND(ISNUMBER($U243),$U243&gt;=账龄预警天),"▲欠款拖了 "&amp;TEXT($U243,"0")&amp;" 天","欠款未清"),IF($T243&lt;-0.01,"预收/多收","已结清"))&amp;IF(OR($E243="已签未回",$E243="未签",$E243="续签中")," ▲合同未回","")&amp;IF(AND(ISNUMBER($F243),$F243&lt;TODAY())," ▲合同已到期",""))</f>
        <v/>
      </c>
      <c r="W243" s="24"/>
      <c r="X243" s="35" t="str">
        <f aca="false">IF($Y243="","",IF(ROUND($H243+$I243-$N243+$Z243-$T243,2)&lt;&gt;0,"★期初＋本年－已收≠余额",IF(ROUND($R243+$S243-MAX(0,$T243),2)&lt;&gt;0,"★已开票＋未开票≠欠款",IF(ROUND($J243+$K243-$I243,2)&lt;&gt;0,"★合同款＋合同外款≠本年应收",IF(ROUND($O243+$P243+$Q243-$N243,2)&lt;&gt;0,"★发票＋收据＋现金≠本年已收","OK")))))</f>
        <v/>
      </c>
      <c r="Y243" s="35" t="str">
        <f aca="false">IF(维保合同!$C243="","",维保合同!$E243)</f>
        <v/>
      </c>
      <c r="Z243" s="40" t="str">
        <f aca="false">IF($Y243="","",ROUND(SUMIFS(应收金额,应收键,$Y243,应收年度,"&gt;"&amp;管理年度)-SUMIFS(收款金额,收款键,$Y243,收款年度,"&gt;"&amp;管理年度),2))</f>
        <v/>
      </c>
      <c r="AA243" s="47" t="str">
        <f aca="false">IF($Y243="","",IF(SUMPRODUCT(MIN(IF((应收键=$Y243)*(应收未收&gt;0.01),应收日期,999999)))&gt;=999999,"",SUMPRODUCT(MIN(IF((应收键=$Y243)*(应收未收&gt;0.01),应收日期,999999)))))</f>
        <v/>
      </c>
    </row>
    <row r="244" customFormat="false" ht="15" hidden="false" customHeight="false" outlineLevel="0" collapsed="false">
      <c r="A244" s="29" t="str">
        <f aca="false">IF($Y244="","",ROW()-4)</f>
        <v/>
      </c>
      <c r="B244" s="16" t="str">
        <f aca="false">IF($Y244="","",维保合同!$C244)</f>
        <v/>
      </c>
      <c r="C244" s="16" t="str">
        <f aca="false">IF($Y244="","",维保合同!$D244)</f>
        <v/>
      </c>
      <c r="D244" s="35" t="str">
        <f aca="false">IF($Y244="","",维保合同!$F244)</f>
        <v/>
      </c>
      <c r="E244" s="35" t="str">
        <f aca="false">IF($Y244="","",维保合同!$G244)</f>
        <v/>
      </c>
      <c r="F244" s="47" t="str">
        <f aca="false">IF($Y244="","",维保合同!$I244)</f>
        <v/>
      </c>
      <c r="G244" s="38" t="str">
        <f aca="false">IF($Y244="","",维保合同!$K244)</f>
        <v/>
      </c>
      <c r="H244" s="41" t="str">
        <f aca="false">IF($Y244="","",ROUND(SUMIFS(应收金额,应收键,$Y244,应收年度,"&lt;"&amp;管理年度)-SUMIFS(收款金额,收款键,$Y244,收款年度,"&lt;"&amp;管理年度),2))</f>
        <v/>
      </c>
      <c r="I244" s="40" t="str">
        <f aca="false">IF($Y244="","",ROUND(SUMIFS(应收金额,应收键,$Y244,应收年度,管理年度),2))</f>
        <v/>
      </c>
      <c r="J244" s="40" t="str">
        <f aca="false">IF($Y244="","",ROUND(SUMIFS(应收金额,应收键,$Y244,应收年度,管理年度,应收款别,"合同款"),2))</f>
        <v/>
      </c>
      <c r="K244" s="40" t="str">
        <f aca="false">IF($Y244="","",ROUND($I244-$J244,2))</f>
        <v/>
      </c>
      <c r="L244" s="40" t="str">
        <f aca="false">IF($Y244="","",ROUND(SUMIFS(应收开票额,应收键,$Y244,应收开票年度,管理年度),2))</f>
        <v/>
      </c>
      <c r="M244" s="40" t="str">
        <f aca="false">IF($Y244="","",ROUND($I244-$L244,2))</f>
        <v/>
      </c>
      <c r="N244" s="40" t="str">
        <f aca="false">IF($Y244="","",ROUND(SUMIFS(收款金额,收款键,$Y244,收款年度,管理年度),2))</f>
        <v/>
      </c>
      <c r="O244" s="40" t="str">
        <f aca="false">IF($Y244="","",ROUND(SUMIFS(收款金额,收款键,$Y244,收款年度,管理年度,收款归类,"发票"),2))</f>
        <v/>
      </c>
      <c r="P244" s="40" t="str">
        <f aca="false">IF($Y244="","",ROUND(SUMIFS(收款金额,收款键,$Y244,收款年度,管理年度,收款归类,"收据"),2))</f>
        <v/>
      </c>
      <c r="Q244" s="40" t="str">
        <f aca="false">IF($Y244="","",ROUND(SUMIFS(收款金额,收款键,$Y244,收款年度,管理年度,收款归类,"现金无票"),2))</f>
        <v/>
      </c>
      <c r="R244" s="40" t="str">
        <f aca="false">IF($Y244="","",ROUND(MAX(0,MIN($T244,SUMIF(应收键,$Y244,应收开票额)-SUMIF(收款键,$Y244,收款金额))),2))</f>
        <v/>
      </c>
      <c r="S244" s="40" t="str">
        <f aca="false">IF($Y244="","",ROUND(MAX(0,$T244)-$R244,2))</f>
        <v/>
      </c>
      <c r="T244" s="48" t="str">
        <f aca="false">IF($Y244="","",ROUND(SUMIF(应收键,$Y244,应收金额)-SUMIF(收款键,$Y244,收款金额),2))</f>
        <v/>
      </c>
      <c r="U244" s="49" t="str">
        <f aca="true">IF($AA244="","",IF($T244&lt;=0.01,"",MAX(0,TODAY()-$AA244)))</f>
        <v/>
      </c>
      <c r="V244" s="50" t="str">
        <f aca="true">IF($Y244="","",IF($T244&gt;0.01,IF(AND(ISNUMBER($U244),$U244&gt;=账龄预警天),"▲欠款拖了 "&amp;TEXT($U244,"0")&amp;" 天","欠款未清"),IF($T244&lt;-0.01,"预收/多收","已结清"))&amp;IF(OR($E244="已签未回",$E244="未签",$E244="续签中")," ▲合同未回","")&amp;IF(AND(ISNUMBER($F244),$F244&lt;TODAY())," ▲合同已到期",""))</f>
        <v/>
      </c>
      <c r="W244" s="24"/>
      <c r="X244" s="35" t="str">
        <f aca="false">IF($Y244="","",IF(ROUND($H244+$I244-$N244+$Z244-$T244,2)&lt;&gt;0,"★期初＋本年－已收≠余额",IF(ROUND($R244+$S244-MAX(0,$T244),2)&lt;&gt;0,"★已开票＋未开票≠欠款",IF(ROUND($J244+$K244-$I244,2)&lt;&gt;0,"★合同款＋合同外款≠本年应收",IF(ROUND($O244+$P244+$Q244-$N244,2)&lt;&gt;0,"★发票＋收据＋现金≠本年已收","OK")))))</f>
        <v/>
      </c>
      <c r="Y244" s="35" t="str">
        <f aca="false">IF(维保合同!$C244="","",维保合同!$E244)</f>
        <v/>
      </c>
      <c r="Z244" s="40" t="str">
        <f aca="false">IF($Y244="","",ROUND(SUMIFS(应收金额,应收键,$Y244,应收年度,"&gt;"&amp;管理年度)-SUMIFS(收款金额,收款键,$Y244,收款年度,"&gt;"&amp;管理年度),2))</f>
        <v/>
      </c>
      <c r="AA244" s="47" t="str">
        <f aca="false">IF($Y244="","",IF(SUMPRODUCT(MIN(IF((应收键=$Y244)*(应收未收&gt;0.01),应收日期,999999)))&gt;=999999,"",SUMPRODUCT(MIN(IF((应收键=$Y244)*(应收未收&gt;0.01),应收日期,999999)))))</f>
        <v/>
      </c>
    </row>
    <row r="245" customFormat="false" ht="15" hidden="false" customHeight="false" outlineLevel="0" collapsed="false">
      <c r="A245" s="29" t="str">
        <f aca="false">IF($Y245="","",ROW()-4)</f>
        <v/>
      </c>
      <c r="B245" s="16" t="str">
        <f aca="false">IF($Y245="","",维保合同!$C245)</f>
        <v/>
      </c>
      <c r="C245" s="16" t="str">
        <f aca="false">IF($Y245="","",维保合同!$D245)</f>
        <v/>
      </c>
      <c r="D245" s="35" t="str">
        <f aca="false">IF($Y245="","",维保合同!$F245)</f>
        <v/>
      </c>
      <c r="E245" s="35" t="str">
        <f aca="false">IF($Y245="","",维保合同!$G245)</f>
        <v/>
      </c>
      <c r="F245" s="47" t="str">
        <f aca="false">IF($Y245="","",维保合同!$I245)</f>
        <v/>
      </c>
      <c r="G245" s="38" t="str">
        <f aca="false">IF($Y245="","",维保合同!$K245)</f>
        <v/>
      </c>
      <c r="H245" s="41" t="str">
        <f aca="false">IF($Y245="","",ROUND(SUMIFS(应收金额,应收键,$Y245,应收年度,"&lt;"&amp;管理年度)-SUMIFS(收款金额,收款键,$Y245,收款年度,"&lt;"&amp;管理年度),2))</f>
        <v/>
      </c>
      <c r="I245" s="40" t="str">
        <f aca="false">IF($Y245="","",ROUND(SUMIFS(应收金额,应收键,$Y245,应收年度,管理年度),2))</f>
        <v/>
      </c>
      <c r="J245" s="40" t="str">
        <f aca="false">IF($Y245="","",ROUND(SUMIFS(应收金额,应收键,$Y245,应收年度,管理年度,应收款别,"合同款"),2))</f>
        <v/>
      </c>
      <c r="K245" s="40" t="str">
        <f aca="false">IF($Y245="","",ROUND($I245-$J245,2))</f>
        <v/>
      </c>
      <c r="L245" s="40" t="str">
        <f aca="false">IF($Y245="","",ROUND(SUMIFS(应收开票额,应收键,$Y245,应收开票年度,管理年度),2))</f>
        <v/>
      </c>
      <c r="M245" s="40" t="str">
        <f aca="false">IF($Y245="","",ROUND($I245-$L245,2))</f>
        <v/>
      </c>
      <c r="N245" s="40" t="str">
        <f aca="false">IF($Y245="","",ROUND(SUMIFS(收款金额,收款键,$Y245,收款年度,管理年度),2))</f>
        <v/>
      </c>
      <c r="O245" s="40" t="str">
        <f aca="false">IF($Y245="","",ROUND(SUMIFS(收款金额,收款键,$Y245,收款年度,管理年度,收款归类,"发票"),2))</f>
        <v/>
      </c>
      <c r="P245" s="40" t="str">
        <f aca="false">IF($Y245="","",ROUND(SUMIFS(收款金额,收款键,$Y245,收款年度,管理年度,收款归类,"收据"),2))</f>
        <v/>
      </c>
      <c r="Q245" s="40" t="str">
        <f aca="false">IF($Y245="","",ROUND(SUMIFS(收款金额,收款键,$Y245,收款年度,管理年度,收款归类,"现金无票"),2))</f>
        <v/>
      </c>
      <c r="R245" s="40" t="str">
        <f aca="false">IF($Y245="","",ROUND(MAX(0,MIN($T245,SUMIF(应收键,$Y245,应收开票额)-SUMIF(收款键,$Y245,收款金额))),2))</f>
        <v/>
      </c>
      <c r="S245" s="40" t="str">
        <f aca="false">IF($Y245="","",ROUND(MAX(0,$T245)-$R245,2))</f>
        <v/>
      </c>
      <c r="T245" s="48" t="str">
        <f aca="false">IF($Y245="","",ROUND(SUMIF(应收键,$Y245,应收金额)-SUMIF(收款键,$Y245,收款金额),2))</f>
        <v/>
      </c>
      <c r="U245" s="49" t="str">
        <f aca="true">IF($AA245="","",IF($T245&lt;=0.01,"",MAX(0,TODAY()-$AA245)))</f>
        <v/>
      </c>
      <c r="V245" s="50" t="str">
        <f aca="true">IF($Y245="","",IF($T245&gt;0.01,IF(AND(ISNUMBER($U245),$U245&gt;=账龄预警天),"▲欠款拖了 "&amp;TEXT($U245,"0")&amp;" 天","欠款未清"),IF($T245&lt;-0.01,"预收/多收","已结清"))&amp;IF(OR($E245="已签未回",$E245="未签",$E245="续签中")," ▲合同未回","")&amp;IF(AND(ISNUMBER($F245),$F245&lt;TODAY())," ▲合同已到期",""))</f>
        <v/>
      </c>
      <c r="W245" s="24"/>
      <c r="X245" s="35" t="str">
        <f aca="false">IF($Y245="","",IF(ROUND($H245+$I245-$N245+$Z245-$T245,2)&lt;&gt;0,"★期初＋本年－已收≠余额",IF(ROUND($R245+$S245-MAX(0,$T245),2)&lt;&gt;0,"★已开票＋未开票≠欠款",IF(ROUND($J245+$K245-$I245,2)&lt;&gt;0,"★合同款＋合同外款≠本年应收",IF(ROUND($O245+$P245+$Q245-$N245,2)&lt;&gt;0,"★发票＋收据＋现金≠本年已收","OK")))))</f>
        <v/>
      </c>
      <c r="Y245" s="35" t="str">
        <f aca="false">IF(维保合同!$C245="","",维保合同!$E245)</f>
        <v/>
      </c>
      <c r="Z245" s="40" t="str">
        <f aca="false">IF($Y245="","",ROUND(SUMIFS(应收金额,应收键,$Y245,应收年度,"&gt;"&amp;管理年度)-SUMIFS(收款金额,收款键,$Y245,收款年度,"&gt;"&amp;管理年度),2))</f>
        <v/>
      </c>
      <c r="AA245" s="47" t="str">
        <f aca="false">IF($Y245="","",IF(SUMPRODUCT(MIN(IF((应收键=$Y245)*(应收未收&gt;0.01),应收日期,999999)))&gt;=999999,"",SUMPRODUCT(MIN(IF((应收键=$Y245)*(应收未收&gt;0.01),应收日期,999999)))))</f>
        <v/>
      </c>
    </row>
    <row r="246" customFormat="false" ht="15" hidden="false" customHeight="false" outlineLevel="0" collapsed="false">
      <c r="A246" s="29" t="str">
        <f aca="false">IF($Y246="","",ROW()-4)</f>
        <v/>
      </c>
      <c r="B246" s="16" t="str">
        <f aca="false">IF($Y246="","",维保合同!$C246)</f>
        <v/>
      </c>
      <c r="C246" s="16" t="str">
        <f aca="false">IF($Y246="","",维保合同!$D246)</f>
        <v/>
      </c>
      <c r="D246" s="35" t="str">
        <f aca="false">IF($Y246="","",维保合同!$F246)</f>
        <v/>
      </c>
      <c r="E246" s="35" t="str">
        <f aca="false">IF($Y246="","",维保合同!$G246)</f>
        <v/>
      </c>
      <c r="F246" s="47" t="str">
        <f aca="false">IF($Y246="","",维保合同!$I246)</f>
        <v/>
      </c>
      <c r="G246" s="38" t="str">
        <f aca="false">IF($Y246="","",维保合同!$K246)</f>
        <v/>
      </c>
      <c r="H246" s="41" t="str">
        <f aca="false">IF($Y246="","",ROUND(SUMIFS(应收金额,应收键,$Y246,应收年度,"&lt;"&amp;管理年度)-SUMIFS(收款金额,收款键,$Y246,收款年度,"&lt;"&amp;管理年度),2))</f>
        <v/>
      </c>
      <c r="I246" s="40" t="str">
        <f aca="false">IF($Y246="","",ROUND(SUMIFS(应收金额,应收键,$Y246,应收年度,管理年度),2))</f>
        <v/>
      </c>
      <c r="J246" s="40" t="str">
        <f aca="false">IF($Y246="","",ROUND(SUMIFS(应收金额,应收键,$Y246,应收年度,管理年度,应收款别,"合同款"),2))</f>
        <v/>
      </c>
      <c r="K246" s="40" t="str">
        <f aca="false">IF($Y246="","",ROUND($I246-$J246,2))</f>
        <v/>
      </c>
      <c r="L246" s="40" t="str">
        <f aca="false">IF($Y246="","",ROUND(SUMIFS(应收开票额,应收键,$Y246,应收开票年度,管理年度),2))</f>
        <v/>
      </c>
      <c r="M246" s="40" t="str">
        <f aca="false">IF($Y246="","",ROUND($I246-$L246,2))</f>
        <v/>
      </c>
      <c r="N246" s="40" t="str">
        <f aca="false">IF($Y246="","",ROUND(SUMIFS(收款金额,收款键,$Y246,收款年度,管理年度),2))</f>
        <v/>
      </c>
      <c r="O246" s="40" t="str">
        <f aca="false">IF($Y246="","",ROUND(SUMIFS(收款金额,收款键,$Y246,收款年度,管理年度,收款归类,"发票"),2))</f>
        <v/>
      </c>
      <c r="P246" s="40" t="str">
        <f aca="false">IF($Y246="","",ROUND(SUMIFS(收款金额,收款键,$Y246,收款年度,管理年度,收款归类,"收据"),2))</f>
        <v/>
      </c>
      <c r="Q246" s="40" t="str">
        <f aca="false">IF($Y246="","",ROUND(SUMIFS(收款金额,收款键,$Y246,收款年度,管理年度,收款归类,"现金无票"),2))</f>
        <v/>
      </c>
      <c r="R246" s="40" t="str">
        <f aca="false">IF($Y246="","",ROUND(MAX(0,MIN($T246,SUMIF(应收键,$Y246,应收开票额)-SUMIF(收款键,$Y246,收款金额))),2))</f>
        <v/>
      </c>
      <c r="S246" s="40" t="str">
        <f aca="false">IF($Y246="","",ROUND(MAX(0,$T246)-$R246,2))</f>
        <v/>
      </c>
      <c r="T246" s="48" t="str">
        <f aca="false">IF($Y246="","",ROUND(SUMIF(应收键,$Y246,应收金额)-SUMIF(收款键,$Y246,收款金额),2))</f>
        <v/>
      </c>
      <c r="U246" s="49" t="str">
        <f aca="true">IF($AA246="","",IF($T246&lt;=0.01,"",MAX(0,TODAY()-$AA246)))</f>
        <v/>
      </c>
      <c r="V246" s="50" t="str">
        <f aca="true">IF($Y246="","",IF($T246&gt;0.01,IF(AND(ISNUMBER($U246),$U246&gt;=账龄预警天),"▲欠款拖了 "&amp;TEXT($U246,"0")&amp;" 天","欠款未清"),IF($T246&lt;-0.01,"预收/多收","已结清"))&amp;IF(OR($E246="已签未回",$E246="未签",$E246="续签中")," ▲合同未回","")&amp;IF(AND(ISNUMBER($F246),$F246&lt;TODAY())," ▲合同已到期",""))</f>
        <v/>
      </c>
      <c r="W246" s="24"/>
      <c r="X246" s="35" t="str">
        <f aca="false">IF($Y246="","",IF(ROUND($H246+$I246-$N246+$Z246-$T246,2)&lt;&gt;0,"★期初＋本年－已收≠余额",IF(ROUND($R246+$S246-MAX(0,$T246),2)&lt;&gt;0,"★已开票＋未开票≠欠款",IF(ROUND($J246+$K246-$I246,2)&lt;&gt;0,"★合同款＋合同外款≠本年应收",IF(ROUND($O246+$P246+$Q246-$N246,2)&lt;&gt;0,"★发票＋收据＋现金≠本年已收","OK")))))</f>
        <v/>
      </c>
      <c r="Y246" s="35" t="str">
        <f aca="false">IF(维保合同!$C246="","",维保合同!$E246)</f>
        <v/>
      </c>
      <c r="Z246" s="40" t="str">
        <f aca="false">IF($Y246="","",ROUND(SUMIFS(应收金额,应收键,$Y246,应收年度,"&gt;"&amp;管理年度)-SUMIFS(收款金额,收款键,$Y246,收款年度,"&gt;"&amp;管理年度),2))</f>
        <v/>
      </c>
      <c r="AA246" s="47" t="str">
        <f aca="false">IF($Y246="","",IF(SUMPRODUCT(MIN(IF((应收键=$Y246)*(应收未收&gt;0.01),应收日期,999999)))&gt;=999999,"",SUMPRODUCT(MIN(IF((应收键=$Y246)*(应收未收&gt;0.01),应收日期,999999)))))</f>
        <v/>
      </c>
    </row>
    <row r="247" customFormat="false" ht="15" hidden="false" customHeight="false" outlineLevel="0" collapsed="false">
      <c r="A247" s="29" t="str">
        <f aca="false">IF($Y247="","",ROW()-4)</f>
        <v/>
      </c>
      <c r="B247" s="16" t="str">
        <f aca="false">IF($Y247="","",维保合同!$C247)</f>
        <v/>
      </c>
      <c r="C247" s="16" t="str">
        <f aca="false">IF($Y247="","",维保合同!$D247)</f>
        <v/>
      </c>
      <c r="D247" s="35" t="str">
        <f aca="false">IF($Y247="","",维保合同!$F247)</f>
        <v/>
      </c>
      <c r="E247" s="35" t="str">
        <f aca="false">IF($Y247="","",维保合同!$G247)</f>
        <v/>
      </c>
      <c r="F247" s="47" t="str">
        <f aca="false">IF($Y247="","",维保合同!$I247)</f>
        <v/>
      </c>
      <c r="G247" s="38" t="str">
        <f aca="false">IF($Y247="","",维保合同!$K247)</f>
        <v/>
      </c>
      <c r="H247" s="41" t="str">
        <f aca="false">IF($Y247="","",ROUND(SUMIFS(应收金额,应收键,$Y247,应收年度,"&lt;"&amp;管理年度)-SUMIFS(收款金额,收款键,$Y247,收款年度,"&lt;"&amp;管理年度),2))</f>
        <v/>
      </c>
      <c r="I247" s="40" t="str">
        <f aca="false">IF($Y247="","",ROUND(SUMIFS(应收金额,应收键,$Y247,应收年度,管理年度),2))</f>
        <v/>
      </c>
      <c r="J247" s="40" t="str">
        <f aca="false">IF($Y247="","",ROUND(SUMIFS(应收金额,应收键,$Y247,应收年度,管理年度,应收款别,"合同款"),2))</f>
        <v/>
      </c>
      <c r="K247" s="40" t="str">
        <f aca="false">IF($Y247="","",ROUND($I247-$J247,2))</f>
        <v/>
      </c>
      <c r="L247" s="40" t="str">
        <f aca="false">IF($Y247="","",ROUND(SUMIFS(应收开票额,应收键,$Y247,应收开票年度,管理年度),2))</f>
        <v/>
      </c>
      <c r="M247" s="40" t="str">
        <f aca="false">IF($Y247="","",ROUND($I247-$L247,2))</f>
        <v/>
      </c>
      <c r="N247" s="40" t="str">
        <f aca="false">IF($Y247="","",ROUND(SUMIFS(收款金额,收款键,$Y247,收款年度,管理年度),2))</f>
        <v/>
      </c>
      <c r="O247" s="40" t="str">
        <f aca="false">IF($Y247="","",ROUND(SUMIFS(收款金额,收款键,$Y247,收款年度,管理年度,收款归类,"发票"),2))</f>
        <v/>
      </c>
      <c r="P247" s="40" t="str">
        <f aca="false">IF($Y247="","",ROUND(SUMIFS(收款金额,收款键,$Y247,收款年度,管理年度,收款归类,"收据"),2))</f>
        <v/>
      </c>
      <c r="Q247" s="40" t="str">
        <f aca="false">IF($Y247="","",ROUND(SUMIFS(收款金额,收款键,$Y247,收款年度,管理年度,收款归类,"现金无票"),2))</f>
        <v/>
      </c>
      <c r="R247" s="40" t="str">
        <f aca="false">IF($Y247="","",ROUND(MAX(0,MIN($T247,SUMIF(应收键,$Y247,应收开票额)-SUMIF(收款键,$Y247,收款金额))),2))</f>
        <v/>
      </c>
      <c r="S247" s="40" t="str">
        <f aca="false">IF($Y247="","",ROUND(MAX(0,$T247)-$R247,2))</f>
        <v/>
      </c>
      <c r="T247" s="48" t="str">
        <f aca="false">IF($Y247="","",ROUND(SUMIF(应收键,$Y247,应收金额)-SUMIF(收款键,$Y247,收款金额),2))</f>
        <v/>
      </c>
      <c r="U247" s="49" t="str">
        <f aca="true">IF($AA247="","",IF($T247&lt;=0.01,"",MAX(0,TODAY()-$AA247)))</f>
        <v/>
      </c>
      <c r="V247" s="50" t="str">
        <f aca="true">IF($Y247="","",IF($T247&gt;0.01,IF(AND(ISNUMBER($U247),$U247&gt;=账龄预警天),"▲欠款拖了 "&amp;TEXT($U247,"0")&amp;" 天","欠款未清"),IF($T247&lt;-0.01,"预收/多收","已结清"))&amp;IF(OR($E247="已签未回",$E247="未签",$E247="续签中")," ▲合同未回","")&amp;IF(AND(ISNUMBER($F247),$F247&lt;TODAY())," ▲合同已到期",""))</f>
        <v/>
      </c>
      <c r="W247" s="24"/>
      <c r="X247" s="35" t="str">
        <f aca="false">IF($Y247="","",IF(ROUND($H247+$I247-$N247+$Z247-$T247,2)&lt;&gt;0,"★期初＋本年－已收≠余额",IF(ROUND($R247+$S247-MAX(0,$T247),2)&lt;&gt;0,"★已开票＋未开票≠欠款",IF(ROUND($J247+$K247-$I247,2)&lt;&gt;0,"★合同款＋合同外款≠本年应收",IF(ROUND($O247+$P247+$Q247-$N247,2)&lt;&gt;0,"★发票＋收据＋现金≠本年已收","OK")))))</f>
        <v/>
      </c>
      <c r="Y247" s="35" t="str">
        <f aca="false">IF(维保合同!$C247="","",维保合同!$E247)</f>
        <v/>
      </c>
      <c r="Z247" s="40" t="str">
        <f aca="false">IF($Y247="","",ROUND(SUMIFS(应收金额,应收键,$Y247,应收年度,"&gt;"&amp;管理年度)-SUMIFS(收款金额,收款键,$Y247,收款年度,"&gt;"&amp;管理年度),2))</f>
        <v/>
      </c>
      <c r="AA247" s="47" t="str">
        <f aca="false">IF($Y247="","",IF(SUMPRODUCT(MIN(IF((应收键=$Y247)*(应收未收&gt;0.01),应收日期,999999)))&gt;=999999,"",SUMPRODUCT(MIN(IF((应收键=$Y247)*(应收未收&gt;0.01),应收日期,999999)))))</f>
        <v/>
      </c>
    </row>
    <row r="248" customFormat="false" ht="15" hidden="false" customHeight="false" outlineLevel="0" collapsed="false">
      <c r="A248" s="29" t="str">
        <f aca="false">IF($Y248="","",ROW()-4)</f>
        <v/>
      </c>
      <c r="B248" s="16" t="str">
        <f aca="false">IF($Y248="","",维保合同!$C248)</f>
        <v/>
      </c>
      <c r="C248" s="16" t="str">
        <f aca="false">IF($Y248="","",维保合同!$D248)</f>
        <v/>
      </c>
      <c r="D248" s="35" t="str">
        <f aca="false">IF($Y248="","",维保合同!$F248)</f>
        <v/>
      </c>
      <c r="E248" s="35" t="str">
        <f aca="false">IF($Y248="","",维保合同!$G248)</f>
        <v/>
      </c>
      <c r="F248" s="47" t="str">
        <f aca="false">IF($Y248="","",维保合同!$I248)</f>
        <v/>
      </c>
      <c r="G248" s="38" t="str">
        <f aca="false">IF($Y248="","",维保合同!$K248)</f>
        <v/>
      </c>
      <c r="H248" s="41" t="str">
        <f aca="false">IF($Y248="","",ROUND(SUMIFS(应收金额,应收键,$Y248,应收年度,"&lt;"&amp;管理年度)-SUMIFS(收款金额,收款键,$Y248,收款年度,"&lt;"&amp;管理年度),2))</f>
        <v/>
      </c>
      <c r="I248" s="40" t="str">
        <f aca="false">IF($Y248="","",ROUND(SUMIFS(应收金额,应收键,$Y248,应收年度,管理年度),2))</f>
        <v/>
      </c>
      <c r="J248" s="40" t="str">
        <f aca="false">IF($Y248="","",ROUND(SUMIFS(应收金额,应收键,$Y248,应收年度,管理年度,应收款别,"合同款"),2))</f>
        <v/>
      </c>
      <c r="K248" s="40" t="str">
        <f aca="false">IF($Y248="","",ROUND($I248-$J248,2))</f>
        <v/>
      </c>
      <c r="L248" s="40" t="str">
        <f aca="false">IF($Y248="","",ROUND(SUMIFS(应收开票额,应收键,$Y248,应收开票年度,管理年度),2))</f>
        <v/>
      </c>
      <c r="M248" s="40" t="str">
        <f aca="false">IF($Y248="","",ROUND($I248-$L248,2))</f>
        <v/>
      </c>
      <c r="N248" s="40" t="str">
        <f aca="false">IF($Y248="","",ROUND(SUMIFS(收款金额,收款键,$Y248,收款年度,管理年度),2))</f>
        <v/>
      </c>
      <c r="O248" s="40" t="str">
        <f aca="false">IF($Y248="","",ROUND(SUMIFS(收款金额,收款键,$Y248,收款年度,管理年度,收款归类,"发票"),2))</f>
        <v/>
      </c>
      <c r="P248" s="40" t="str">
        <f aca="false">IF($Y248="","",ROUND(SUMIFS(收款金额,收款键,$Y248,收款年度,管理年度,收款归类,"收据"),2))</f>
        <v/>
      </c>
      <c r="Q248" s="40" t="str">
        <f aca="false">IF($Y248="","",ROUND(SUMIFS(收款金额,收款键,$Y248,收款年度,管理年度,收款归类,"现金无票"),2))</f>
        <v/>
      </c>
      <c r="R248" s="40" t="str">
        <f aca="false">IF($Y248="","",ROUND(MAX(0,MIN($T248,SUMIF(应收键,$Y248,应收开票额)-SUMIF(收款键,$Y248,收款金额))),2))</f>
        <v/>
      </c>
      <c r="S248" s="40" t="str">
        <f aca="false">IF($Y248="","",ROUND(MAX(0,$T248)-$R248,2))</f>
        <v/>
      </c>
      <c r="T248" s="48" t="str">
        <f aca="false">IF($Y248="","",ROUND(SUMIF(应收键,$Y248,应收金额)-SUMIF(收款键,$Y248,收款金额),2))</f>
        <v/>
      </c>
      <c r="U248" s="49" t="str">
        <f aca="true">IF($AA248="","",IF($T248&lt;=0.01,"",MAX(0,TODAY()-$AA248)))</f>
        <v/>
      </c>
      <c r="V248" s="50" t="str">
        <f aca="true">IF($Y248="","",IF($T248&gt;0.01,IF(AND(ISNUMBER($U248),$U248&gt;=账龄预警天),"▲欠款拖了 "&amp;TEXT($U248,"0")&amp;" 天","欠款未清"),IF($T248&lt;-0.01,"预收/多收","已结清"))&amp;IF(OR($E248="已签未回",$E248="未签",$E248="续签中")," ▲合同未回","")&amp;IF(AND(ISNUMBER($F248),$F248&lt;TODAY())," ▲合同已到期",""))</f>
        <v/>
      </c>
      <c r="W248" s="24"/>
      <c r="X248" s="35" t="str">
        <f aca="false">IF($Y248="","",IF(ROUND($H248+$I248-$N248+$Z248-$T248,2)&lt;&gt;0,"★期初＋本年－已收≠余额",IF(ROUND($R248+$S248-MAX(0,$T248),2)&lt;&gt;0,"★已开票＋未开票≠欠款",IF(ROUND($J248+$K248-$I248,2)&lt;&gt;0,"★合同款＋合同外款≠本年应收",IF(ROUND($O248+$P248+$Q248-$N248,2)&lt;&gt;0,"★发票＋收据＋现金≠本年已收","OK")))))</f>
        <v/>
      </c>
      <c r="Y248" s="35" t="str">
        <f aca="false">IF(维保合同!$C248="","",维保合同!$E248)</f>
        <v/>
      </c>
      <c r="Z248" s="40" t="str">
        <f aca="false">IF($Y248="","",ROUND(SUMIFS(应收金额,应收键,$Y248,应收年度,"&gt;"&amp;管理年度)-SUMIFS(收款金额,收款键,$Y248,收款年度,"&gt;"&amp;管理年度),2))</f>
        <v/>
      </c>
      <c r="AA248" s="47" t="str">
        <f aca="false">IF($Y248="","",IF(SUMPRODUCT(MIN(IF((应收键=$Y248)*(应收未收&gt;0.01),应收日期,999999)))&gt;=999999,"",SUMPRODUCT(MIN(IF((应收键=$Y248)*(应收未收&gt;0.01),应收日期,999999)))))</f>
        <v/>
      </c>
    </row>
    <row r="249" customFormat="false" ht="15" hidden="false" customHeight="false" outlineLevel="0" collapsed="false">
      <c r="A249" s="29" t="str">
        <f aca="false">IF($Y249="","",ROW()-4)</f>
        <v/>
      </c>
      <c r="B249" s="16" t="str">
        <f aca="false">IF($Y249="","",维保合同!$C249)</f>
        <v/>
      </c>
      <c r="C249" s="16" t="str">
        <f aca="false">IF($Y249="","",维保合同!$D249)</f>
        <v/>
      </c>
      <c r="D249" s="35" t="str">
        <f aca="false">IF($Y249="","",维保合同!$F249)</f>
        <v/>
      </c>
      <c r="E249" s="35" t="str">
        <f aca="false">IF($Y249="","",维保合同!$G249)</f>
        <v/>
      </c>
      <c r="F249" s="47" t="str">
        <f aca="false">IF($Y249="","",维保合同!$I249)</f>
        <v/>
      </c>
      <c r="G249" s="38" t="str">
        <f aca="false">IF($Y249="","",维保合同!$K249)</f>
        <v/>
      </c>
      <c r="H249" s="41" t="str">
        <f aca="false">IF($Y249="","",ROUND(SUMIFS(应收金额,应收键,$Y249,应收年度,"&lt;"&amp;管理年度)-SUMIFS(收款金额,收款键,$Y249,收款年度,"&lt;"&amp;管理年度),2))</f>
        <v/>
      </c>
      <c r="I249" s="40" t="str">
        <f aca="false">IF($Y249="","",ROUND(SUMIFS(应收金额,应收键,$Y249,应收年度,管理年度),2))</f>
        <v/>
      </c>
      <c r="J249" s="40" t="str">
        <f aca="false">IF($Y249="","",ROUND(SUMIFS(应收金额,应收键,$Y249,应收年度,管理年度,应收款别,"合同款"),2))</f>
        <v/>
      </c>
      <c r="K249" s="40" t="str">
        <f aca="false">IF($Y249="","",ROUND($I249-$J249,2))</f>
        <v/>
      </c>
      <c r="L249" s="40" t="str">
        <f aca="false">IF($Y249="","",ROUND(SUMIFS(应收开票额,应收键,$Y249,应收开票年度,管理年度),2))</f>
        <v/>
      </c>
      <c r="M249" s="40" t="str">
        <f aca="false">IF($Y249="","",ROUND($I249-$L249,2))</f>
        <v/>
      </c>
      <c r="N249" s="40" t="str">
        <f aca="false">IF($Y249="","",ROUND(SUMIFS(收款金额,收款键,$Y249,收款年度,管理年度),2))</f>
        <v/>
      </c>
      <c r="O249" s="40" t="str">
        <f aca="false">IF($Y249="","",ROUND(SUMIFS(收款金额,收款键,$Y249,收款年度,管理年度,收款归类,"发票"),2))</f>
        <v/>
      </c>
      <c r="P249" s="40" t="str">
        <f aca="false">IF($Y249="","",ROUND(SUMIFS(收款金额,收款键,$Y249,收款年度,管理年度,收款归类,"收据"),2))</f>
        <v/>
      </c>
      <c r="Q249" s="40" t="str">
        <f aca="false">IF($Y249="","",ROUND(SUMIFS(收款金额,收款键,$Y249,收款年度,管理年度,收款归类,"现金无票"),2))</f>
        <v/>
      </c>
      <c r="R249" s="40" t="str">
        <f aca="false">IF($Y249="","",ROUND(MAX(0,MIN($T249,SUMIF(应收键,$Y249,应收开票额)-SUMIF(收款键,$Y249,收款金额))),2))</f>
        <v/>
      </c>
      <c r="S249" s="40" t="str">
        <f aca="false">IF($Y249="","",ROUND(MAX(0,$T249)-$R249,2))</f>
        <v/>
      </c>
      <c r="T249" s="48" t="str">
        <f aca="false">IF($Y249="","",ROUND(SUMIF(应收键,$Y249,应收金额)-SUMIF(收款键,$Y249,收款金额),2))</f>
        <v/>
      </c>
      <c r="U249" s="49" t="str">
        <f aca="true">IF($AA249="","",IF($T249&lt;=0.01,"",MAX(0,TODAY()-$AA249)))</f>
        <v/>
      </c>
      <c r="V249" s="50" t="str">
        <f aca="true">IF($Y249="","",IF($T249&gt;0.01,IF(AND(ISNUMBER($U249),$U249&gt;=账龄预警天),"▲欠款拖了 "&amp;TEXT($U249,"0")&amp;" 天","欠款未清"),IF($T249&lt;-0.01,"预收/多收","已结清"))&amp;IF(OR($E249="已签未回",$E249="未签",$E249="续签中")," ▲合同未回","")&amp;IF(AND(ISNUMBER($F249),$F249&lt;TODAY())," ▲合同已到期",""))</f>
        <v/>
      </c>
      <c r="W249" s="24"/>
      <c r="X249" s="35" t="str">
        <f aca="false">IF($Y249="","",IF(ROUND($H249+$I249-$N249+$Z249-$T249,2)&lt;&gt;0,"★期初＋本年－已收≠余额",IF(ROUND($R249+$S249-MAX(0,$T249),2)&lt;&gt;0,"★已开票＋未开票≠欠款",IF(ROUND($J249+$K249-$I249,2)&lt;&gt;0,"★合同款＋合同外款≠本年应收",IF(ROUND($O249+$P249+$Q249-$N249,2)&lt;&gt;0,"★发票＋收据＋现金≠本年已收","OK")))))</f>
        <v/>
      </c>
      <c r="Y249" s="35" t="str">
        <f aca="false">IF(维保合同!$C249="","",维保合同!$E249)</f>
        <v/>
      </c>
      <c r="Z249" s="40" t="str">
        <f aca="false">IF($Y249="","",ROUND(SUMIFS(应收金额,应收键,$Y249,应收年度,"&gt;"&amp;管理年度)-SUMIFS(收款金额,收款键,$Y249,收款年度,"&gt;"&amp;管理年度),2))</f>
        <v/>
      </c>
      <c r="AA249" s="47" t="str">
        <f aca="false">IF($Y249="","",IF(SUMPRODUCT(MIN(IF((应收键=$Y249)*(应收未收&gt;0.01),应收日期,999999)))&gt;=999999,"",SUMPRODUCT(MIN(IF((应收键=$Y249)*(应收未收&gt;0.01),应收日期,999999)))))</f>
        <v/>
      </c>
    </row>
    <row r="250" customFormat="false" ht="15" hidden="false" customHeight="false" outlineLevel="0" collapsed="false">
      <c r="A250" s="29" t="str">
        <f aca="false">IF($Y250="","",ROW()-4)</f>
        <v/>
      </c>
      <c r="B250" s="16" t="str">
        <f aca="false">IF($Y250="","",维保合同!$C250)</f>
        <v/>
      </c>
      <c r="C250" s="16" t="str">
        <f aca="false">IF($Y250="","",维保合同!$D250)</f>
        <v/>
      </c>
      <c r="D250" s="35" t="str">
        <f aca="false">IF($Y250="","",维保合同!$F250)</f>
        <v/>
      </c>
      <c r="E250" s="35" t="str">
        <f aca="false">IF($Y250="","",维保合同!$G250)</f>
        <v/>
      </c>
      <c r="F250" s="47" t="str">
        <f aca="false">IF($Y250="","",维保合同!$I250)</f>
        <v/>
      </c>
      <c r="G250" s="38" t="str">
        <f aca="false">IF($Y250="","",维保合同!$K250)</f>
        <v/>
      </c>
      <c r="H250" s="41" t="str">
        <f aca="false">IF($Y250="","",ROUND(SUMIFS(应收金额,应收键,$Y250,应收年度,"&lt;"&amp;管理年度)-SUMIFS(收款金额,收款键,$Y250,收款年度,"&lt;"&amp;管理年度),2))</f>
        <v/>
      </c>
      <c r="I250" s="40" t="str">
        <f aca="false">IF($Y250="","",ROUND(SUMIFS(应收金额,应收键,$Y250,应收年度,管理年度),2))</f>
        <v/>
      </c>
      <c r="J250" s="40" t="str">
        <f aca="false">IF($Y250="","",ROUND(SUMIFS(应收金额,应收键,$Y250,应收年度,管理年度,应收款别,"合同款"),2))</f>
        <v/>
      </c>
      <c r="K250" s="40" t="str">
        <f aca="false">IF($Y250="","",ROUND($I250-$J250,2))</f>
        <v/>
      </c>
      <c r="L250" s="40" t="str">
        <f aca="false">IF($Y250="","",ROUND(SUMIFS(应收开票额,应收键,$Y250,应收开票年度,管理年度),2))</f>
        <v/>
      </c>
      <c r="M250" s="40" t="str">
        <f aca="false">IF($Y250="","",ROUND($I250-$L250,2))</f>
        <v/>
      </c>
      <c r="N250" s="40" t="str">
        <f aca="false">IF($Y250="","",ROUND(SUMIFS(收款金额,收款键,$Y250,收款年度,管理年度),2))</f>
        <v/>
      </c>
      <c r="O250" s="40" t="str">
        <f aca="false">IF($Y250="","",ROUND(SUMIFS(收款金额,收款键,$Y250,收款年度,管理年度,收款归类,"发票"),2))</f>
        <v/>
      </c>
      <c r="P250" s="40" t="str">
        <f aca="false">IF($Y250="","",ROUND(SUMIFS(收款金额,收款键,$Y250,收款年度,管理年度,收款归类,"收据"),2))</f>
        <v/>
      </c>
      <c r="Q250" s="40" t="str">
        <f aca="false">IF($Y250="","",ROUND(SUMIFS(收款金额,收款键,$Y250,收款年度,管理年度,收款归类,"现金无票"),2))</f>
        <v/>
      </c>
      <c r="R250" s="40" t="str">
        <f aca="false">IF($Y250="","",ROUND(MAX(0,MIN($T250,SUMIF(应收键,$Y250,应收开票额)-SUMIF(收款键,$Y250,收款金额))),2))</f>
        <v/>
      </c>
      <c r="S250" s="40" t="str">
        <f aca="false">IF($Y250="","",ROUND(MAX(0,$T250)-$R250,2))</f>
        <v/>
      </c>
      <c r="T250" s="48" t="str">
        <f aca="false">IF($Y250="","",ROUND(SUMIF(应收键,$Y250,应收金额)-SUMIF(收款键,$Y250,收款金额),2))</f>
        <v/>
      </c>
      <c r="U250" s="49" t="str">
        <f aca="true">IF($AA250="","",IF($T250&lt;=0.01,"",MAX(0,TODAY()-$AA250)))</f>
        <v/>
      </c>
      <c r="V250" s="50" t="str">
        <f aca="true">IF($Y250="","",IF($T250&gt;0.01,IF(AND(ISNUMBER($U250),$U250&gt;=账龄预警天),"▲欠款拖了 "&amp;TEXT($U250,"0")&amp;" 天","欠款未清"),IF($T250&lt;-0.01,"预收/多收","已结清"))&amp;IF(OR($E250="已签未回",$E250="未签",$E250="续签中")," ▲合同未回","")&amp;IF(AND(ISNUMBER($F250),$F250&lt;TODAY())," ▲合同已到期",""))</f>
        <v/>
      </c>
      <c r="W250" s="24"/>
      <c r="X250" s="35" t="str">
        <f aca="false">IF($Y250="","",IF(ROUND($H250+$I250-$N250+$Z250-$T250,2)&lt;&gt;0,"★期初＋本年－已收≠余额",IF(ROUND($R250+$S250-MAX(0,$T250),2)&lt;&gt;0,"★已开票＋未开票≠欠款",IF(ROUND($J250+$K250-$I250,2)&lt;&gt;0,"★合同款＋合同外款≠本年应收",IF(ROUND($O250+$P250+$Q250-$N250,2)&lt;&gt;0,"★发票＋收据＋现金≠本年已收","OK")))))</f>
        <v/>
      </c>
      <c r="Y250" s="35" t="str">
        <f aca="false">IF(维保合同!$C250="","",维保合同!$E250)</f>
        <v/>
      </c>
      <c r="Z250" s="40" t="str">
        <f aca="false">IF($Y250="","",ROUND(SUMIFS(应收金额,应收键,$Y250,应收年度,"&gt;"&amp;管理年度)-SUMIFS(收款金额,收款键,$Y250,收款年度,"&gt;"&amp;管理年度),2))</f>
        <v/>
      </c>
      <c r="AA250" s="47" t="str">
        <f aca="false">IF($Y250="","",IF(SUMPRODUCT(MIN(IF((应收键=$Y250)*(应收未收&gt;0.01),应收日期,999999)))&gt;=999999,"",SUMPRODUCT(MIN(IF((应收键=$Y250)*(应收未收&gt;0.01),应收日期,999999)))))</f>
        <v/>
      </c>
    </row>
    <row r="251" customFormat="false" ht="15" hidden="false" customHeight="false" outlineLevel="0" collapsed="false">
      <c r="A251" s="29" t="str">
        <f aca="false">IF($Y251="","",ROW()-4)</f>
        <v/>
      </c>
      <c r="B251" s="16" t="str">
        <f aca="false">IF($Y251="","",维保合同!$C251)</f>
        <v/>
      </c>
      <c r="C251" s="16" t="str">
        <f aca="false">IF($Y251="","",维保合同!$D251)</f>
        <v/>
      </c>
      <c r="D251" s="35" t="str">
        <f aca="false">IF($Y251="","",维保合同!$F251)</f>
        <v/>
      </c>
      <c r="E251" s="35" t="str">
        <f aca="false">IF($Y251="","",维保合同!$G251)</f>
        <v/>
      </c>
      <c r="F251" s="47" t="str">
        <f aca="false">IF($Y251="","",维保合同!$I251)</f>
        <v/>
      </c>
      <c r="G251" s="38" t="str">
        <f aca="false">IF($Y251="","",维保合同!$K251)</f>
        <v/>
      </c>
      <c r="H251" s="41" t="str">
        <f aca="false">IF($Y251="","",ROUND(SUMIFS(应收金额,应收键,$Y251,应收年度,"&lt;"&amp;管理年度)-SUMIFS(收款金额,收款键,$Y251,收款年度,"&lt;"&amp;管理年度),2))</f>
        <v/>
      </c>
      <c r="I251" s="40" t="str">
        <f aca="false">IF($Y251="","",ROUND(SUMIFS(应收金额,应收键,$Y251,应收年度,管理年度),2))</f>
        <v/>
      </c>
      <c r="J251" s="40" t="str">
        <f aca="false">IF($Y251="","",ROUND(SUMIFS(应收金额,应收键,$Y251,应收年度,管理年度,应收款别,"合同款"),2))</f>
        <v/>
      </c>
      <c r="K251" s="40" t="str">
        <f aca="false">IF($Y251="","",ROUND($I251-$J251,2))</f>
        <v/>
      </c>
      <c r="L251" s="40" t="str">
        <f aca="false">IF($Y251="","",ROUND(SUMIFS(应收开票额,应收键,$Y251,应收开票年度,管理年度),2))</f>
        <v/>
      </c>
      <c r="M251" s="40" t="str">
        <f aca="false">IF($Y251="","",ROUND($I251-$L251,2))</f>
        <v/>
      </c>
      <c r="N251" s="40" t="str">
        <f aca="false">IF($Y251="","",ROUND(SUMIFS(收款金额,收款键,$Y251,收款年度,管理年度),2))</f>
        <v/>
      </c>
      <c r="O251" s="40" t="str">
        <f aca="false">IF($Y251="","",ROUND(SUMIFS(收款金额,收款键,$Y251,收款年度,管理年度,收款归类,"发票"),2))</f>
        <v/>
      </c>
      <c r="P251" s="40" t="str">
        <f aca="false">IF($Y251="","",ROUND(SUMIFS(收款金额,收款键,$Y251,收款年度,管理年度,收款归类,"收据"),2))</f>
        <v/>
      </c>
      <c r="Q251" s="40" t="str">
        <f aca="false">IF($Y251="","",ROUND(SUMIFS(收款金额,收款键,$Y251,收款年度,管理年度,收款归类,"现金无票"),2))</f>
        <v/>
      </c>
      <c r="R251" s="40" t="str">
        <f aca="false">IF($Y251="","",ROUND(MAX(0,MIN($T251,SUMIF(应收键,$Y251,应收开票额)-SUMIF(收款键,$Y251,收款金额))),2))</f>
        <v/>
      </c>
      <c r="S251" s="40" t="str">
        <f aca="false">IF($Y251="","",ROUND(MAX(0,$T251)-$R251,2))</f>
        <v/>
      </c>
      <c r="T251" s="48" t="str">
        <f aca="false">IF($Y251="","",ROUND(SUMIF(应收键,$Y251,应收金额)-SUMIF(收款键,$Y251,收款金额),2))</f>
        <v/>
      </c>
      <c r="U251" s="49" t="str">
        <f aca="true">IF($AA251="","",IF($T251&lt;=0.01,"",MAX(0,TODAY()-$AA251)))</f>
        <v/>
      </c>
      <c r="V251" s="50" t="str">
        <f aca="true">IF($Y251="","",IF($T251&gt;0.01,IF(AND(ISNUMBER($U251),$U251&gt;=账龄预警天),"▲欠款拖了 "&amp;TEXT($U251,"0")&amp;" 天","欠款未清"),IF($T251&lt;-0.01,"预收/多收","已结清"))&amp;IF(OR($E251="已签未回",$E251="未签",$E251="续签中")," ▲合同未回","")&amp;IF(AND(ISNUMBER($F251),$F251&lt;TODAY())," ▲合同已到期",""))</f>
        <v/>
      </c>
      <c r="W251" s="24"/>
      <c r="X251" s="35" t="str">
        <f aca="false">IF($Y251="","",IF(ROUND($H251+$I251-$N251+$Z251-$T251,2)&lt;&gt;0,"★期初＋本年－已收≠余额",IF(ROUND($R251+$S251-MAX(0,$T251),2)&lt;&gt;0,"★已开票＋未开票≠欠款",IF(ROUND($J251+$K251-$I251,2)&lt;&gt;0,"★合同款＋合同外款≠本年应收",IF(ROUND($O251+$P251+$Q251-$N251,2)&lt;&gt;0,"★发票＋收据＋现金≠本年已收","OK")))))</f>
        <v/>
      </c>
      <c r="Y251" s="35" t="str">
        <f aca="false">IF(维保合同!$C251="","",维保合同!$E251)</f>
        <v/>
      </c>
      <c r="Z251" s="40" t="str">
        <f aca="false">IF($Y251="","",ROUND(SUMIFS(应收金额,应收键,$Y251,应收年度,"&gt;"&amp;管理年度)-SUMIFS(收款金额,收款键,$Y251,收款年度,"&gt;"&amp;管理年度),2))</f>
        <v/>
      </c>
      <c r="AA251" s="47" t="str">
        <f aca="false">IF($Y251="","",IF(SUMPRODUCT(MIN(IF((应收键=$Y251)*(应收未收&gt;0.01),应收日期,999999)))&gt;=999999,"",SUMPRODUCT(MIN(IF((应收键=$Y251)*(应收未收&gt;0.01),应收日期,999999)))))</f>
        <v/>
      </c>
    </row>
    <row r="252" customFormat="false" ht="15" hidden="false" customHeight="false" outlineLevel="0" collapsed="false">
      <c r="A252" s="29" t="str">
        <f aca="false">IF($Y252="","",ROW()-4)</f>
        <v/>
      </c>
      <c r="B252" s="16" t="str">
        <f aca="false">IF($Y252="","",维保合同!$C252)</f>
        <v/>
      </c>
      <c r="C252" s="16" t="str">
        <f aca="false">IF($Y252="","",维保合同!$D252)</f>
        <v/>
      </c>
      <c r="D252" s="35" t="str">
        <f aca="false">IF($Y252="","",维保合同!$F252)</f>
        <v/>
      </c>
      <c r="E252" s="35" t="str">
        <f aca="false">IF($Y252="","",维保合同!$G252)</f>
        <v/>
      </c>
      <c r="F252" s="47" t="str">
        <f aca="false">IF($Y252="","",维保合同!$I252)</f>
        <v/>
      </c>
      <c r="G252" s="38" t="str">
        <f aca="false">IF($Y252="","",维保合同!$K252)</f>
        <v/>
      </c>
      <c r="H252" s="41" t="str">
        <f aca="false">IF($Y252="","",ROUND(SUMIFS(应收金额,应收键,$Y252,应收年度,"&lt;"&amp;管理年度)-SUMIFS(收款金额,收款键,$Y252,收款年度,"&lt;"&amp;管理年度),2))</f>
        <v/>
      </c>
      <c r="I252" s="40" t="str">
        <f aca="false">IF($Y252="","",ROUND(SUMIFS(应收金额,应收键,$Y252,应收年度,管理年度),2))</f>
        <v/>
      </c>
      <c r="J252" s="40" t="str">
        <f aca="false">IF($Y252="","",ROUND(SUMIFS(应收金额,应收键,$Y252,应收年度,管理年度,应收款别,"合同款"),2))</f>
        <v/>
      </c>
      <c r="K252" s="40" t="str">
        <f aca="false">IF($Y252="","",ROUND($I252-$J252,2))</f>
        <v/>
      </c>
      <c r="L252" s="40" t="str">
        <f aca="false">IF($Y252="","",ROUND(SUMIFS(应收开票额,应收键,$Y252,应收开票年度,管理年度),2))</f>
        <v/>
      </c>
      <c r="M252" s="40" t="str">
        <f aca="false">IF($Y252="","",ROUND($I252-$L252,2))</f>
        <v/>
      </c>
      <c r="N252" s="40" t="str">
        <f aca="false">IF($Y252="","",ROUND(SUMIFS(收款金额,收款键,$Y252,收款年度,管理年度),2))</f>
        <v/>
      </c>
      <c r="O252" s="40" t="str">
        <f aca="false">IF($Y252="","",ROUND(SUMIFS(收款金额,收款键,$Y252,收款年度,管理年度,收款归类,"发票"),2))</f>
        <v/>
      </c>
      <c r="P252" s="40" t="str">
        <f aca="false">IF($Y252="","",ROUND(SUMIFS(收款金额,收款键,$Y252,收款年度,管理年度,收款归类,"收据"),2))</f>
        <v/>
      </c>
      <c r="Q252" s="40" t="str">
        <f aca="false">IF($Y252="","",ROUND(SUMIFS(收款金额,收款键,$Y252,收款年度,管理年度,收款归类,"现金无票"),2))</f>
        <v/>
      </c>
      <c r="R252" s="40" t="str">
        <f aca="false">IF($Y252="","",ROUND(MAX(0,MIN($T252,SUMIF(应收键,$Y252,应收开票额)-SUMIF(收款键,$Y252,收款金额))),2))</f>
        <v/>
      </c>
      <c r="S252" s="40" t="str">
        <f aca="false">IF($Y252="","",ROUND(MAX(0,$T252)-$R252,2))</f>
        <v/>
      </c>
      <c r="T252" s="48" t="str">
        <f aca="false">IF($Y252="","",ROUND(SUMIF(应收键,$Y252,应收金额)-SUMIF(收款键,$Y252,收款金额),2))</f>
        <v/>
      </c>
      <c r="U252" s="49" t="str">
        <f aca="true">IF($AA252="","",IF($T252&lt;=0.01,"",MAX(0,TODAY()-$AA252)))</f>
        <v/>
      </c>
      <c r="V252" s="50" t="str">
        <f aca="true">IF($Y252="","",IF($T252&gt;0.01,IF(AND(ISNUMBER($U252),$U252&gt;=账龄预警天),"▲欠款拖了 "&amp;TEXT($U252,"0")&amp;" 天","欠款未清"),IF($T252&lt;-0.01,"预收/多收","已结清"))&amp;IF(OR($E252="已签未回",$E252="未签",$E252="续签中")," ▲合同未回","")&amp;IF(AND(ISNUMBER($F252),$F252&lt;TODAY())," ▲合同已到期",""))</f>
        <v/>
      </c>
      <c r="W252" s="24"/>
      <c r="X252" s="35" t="str">
        <f aca="false">IF($Y252="","",IF(ROUND($H252+$I252-$N252+$Z252-$T252,2)&lt;&gt;0,"★期初＋本年－已收≠余额",IF(ROUND($R252+$S252-MAX(0,$T252),2)&lt;&gt;0,"★已开票＋未开票≠欠款",IF(ROUND($J252+$K252-$I252,2)&lt;&gt;0,"★合同款＋合同外款≠本年应收",IF(ROUND($O252+$P252+$Q252-$N252,2)&lt;&gt;0,"★发票＋收据＋现金≠本年已收","OK")))))</f>
        <v/>
      </c>
      <c r="Y252" s="35" t="str">
        <f aca="false">IF(维保合同!$C252="","",维保合同!$E252)</f>
        <v/>
      </c>
      <c r="Z252" s="40" t="str">
        <f aca="false">IF($Y252="","",ROUND(SUMIFS(应收金额,应收键,$Y252,应收年度,"&gt;"&amp;管理年度)-SUMIFS(收款金额,收款键,$Y252,收款年度,"&gt;"&amp;管理年度),2))</f>
        <v/>
      </c>
      <c r="AA252" s="47" t="str">
        <f aca="false">IF($Y252="","",IF(SUMPRODUCT(MIN(IF((应收键=$Y252)*(应收未收&gt;0.01),应收日期,999999)))&gt;=999999,"",SUMPRODUCT(MIN(IF((应收键=$Y252)*(应收未收&gt;0.01),应收日期,999999)))))</f>
        <v/>
      </c>
    </row>
    <row r="253" customFormat="false" ht="15" hidden="false" customHeight="false" outlineLevel="0" collapsed="false">
      <c r="A253" s="29" t="str">
        <f aca="false">IF($Y253="","",ROW()-4)</f>
        <v/>
      </c>
      <c r="B253" s="16" t="str">
        <f aca="false">IF($Y253="","",维保合同!$C253)</f>
        <v/>
      </c>
      <c r="C253" s="16" t="str">
        <f aca="false">IF($Y253="","",维保合同!$D253)</f>
        <v/>
      </c>
      <c r="D253" s="35" t="str">
        <f aca="false">IF($Y253="","",维保合同!$F253)</f>
        <v/>
      </c>
      <c r="E253" s="35" t="str">
        <f aca="false">IF($Y253="","",维保合同!$G253)</f>
        <v/>
      </c>
      <c r="F253" s="47" t="str">
        <f aca="false">IF($Y253="","",维保合同!$I253)</f>
        <v/>
      </c>
      <c r="G253" s="38" t="str">
        <f aca="false">IF($Y253="","",维保合同!$K253)</f>
        <v/>
      </c>
      <c r="H253" s="41" t="str">
        <f aca="false">IF($Y253="","",ROUND(SUMIFS(应收金额,应收键,$Y253,应收年度,"&lt;"&amp;管理年度)-SUMIFS(收款金额,收款键,$Y253,收款年度,"&lt;"&amp;管理年度),2))</f>
        <v/>
      </c>
      <c r="I253" s="40" t="str">
        <f aca="false">IF($Y253="","",ROUND(SUMIFS(应收金额,应收键,$Y253,应收年度,管理年度),2))</f>
        <v/>
      </c>
      <c r="J253" s="40" t="str">
        <f aca="false">IF($Y253="","",ROUND(SUMIFS(应收金额,应收键,$Y253,应收年度,管理年度,应收款别,"合同款"),2))</f>
        <v/>
      </c>
      <c r="K253" s="40" t="str">
        <f aca="false">IF($Y253="","",ROUND($I253-$J253,2))</f>
        <v/>
      </c>
      <c r="L253" s="40" t="str">
        <f aca="false">IF($Y253="","",ROUND(SUMIFS(应收开票额,应收键,$Y253,应收开票年度,管理年度),2))</f>
        <v/>
      </c>
      <c r="M253" s="40" t="str">
        <f aca="false">IF($Y253="","",ROUND($I253-$L253,2))</f>
        <v/>
      </c>
      <c r="N253" s="40" t="str">
        <f aca="false">IF($Y253="","",ROUND(SUMIFS(收款金额,收款键,$Y253,收款年度,管理年度),2))</f>
        <v/>
      </c>
      <c r="O253" s="40" t="str">
        <f aca="false">IF($Y253="","",ROUND(SUMIFS(收款金额,收款键,$Y253,收款年度,管理年度,收款归类,"发票"),2))</f>
        <v/>
      </c>
      <c r="P253" s="40" t="str">
        <f aca="false">IF($Y253="","",ROUND(SUMIFS(收款金额,收款键,$Y253,收款年度,管理年度,收款归类,"收据"),2))</f>
        <v/>
      </c>
      <c r="Q253" s="40" t="str">
        <f aca="false">IF($Y253="","",ROUND(SUMIFS(收款金额,收款键,$Y253,收款年度,管理年度,收款归类,"现金无票"),2))</f>
        <v/>
      </c>
      <c r="R253" s="40" t="str">
        <f aca="false">IF($Y253="","",ROUND(MAX(0,MIN($T253,SUMIF(应收键,$Y253,应收开票额)-SUMIF(收款键,$Y253,收款金额))),2))</f>
        <v/>
      </c>
      <c r="S253" s="40" t="str">
        <f aca="false">IF($Y253="","",ROUND(MAX(0,$T253)-$R253,2))</f>
        <v/>
      </c>
      <c r="T253" s="48" t="str">
        <f aca="false">IF($Y253="","",ROUND(SUMIF(应收键,$Y253,应收金额)-SUMIF(收款键,$Y253,收款金额),2))</f>
        <v/>
      </c>
      <c r="U253" s="49" t="str">
        <f aca="true">IF($AA253="","",IF($T253&lt;=0.01,"",MAX(0,TODAY()-$AA253)))</f>
        <v/>
      </c>
      <c r="V253" s="50" t="str">
        <f aca="true">IF($Y253="","",IF($T253&gt;0.01,IF(AND(ISNUMBER($U253),$U253&gt;=账龄预警天),"▲欠款拖了 "&amp;TEXT($U253,"0")&amp;" 天","欠款未清"),IF($T253&lt;-0.01,"预收/多收","已结清"))&amp;IF(OR($E253="已签未回",$E253="未签",$E253="续签中")," ▲合同未回","")&amp;IF(AND(ISNUMBER($F253),$F253&lt;TODAY())," ▲合同已到期",""))</f>
        <v/>
      </c>
      <c r="W253" s="24"/>
      <c r="X253" s="35" t="str">
        <f aca="false">IF($Y253="","",IF(ROUND($H253+$I253-$N253+$Z253-$T253,2)&lt;&gt;0,"★期初＋本年－已收≠余额",IF(ROUND($R253+$S253-MAX(0,$T253),2)&lt;&gt;0,"★已开票＋未开票≠欠款",IF(ROUND($J253+$K253-$I253,2)&lt;&gt;0,"★合同款＋合同外款≠本年应收",IF(ROUND($O253+$P253+$Q253-$N253,2)&lt;&gt;0,"★发票＋收据＋现金≠本年已收","OK")))))</f>
        <v/>
      </c>
      <c r="Y253" s="35" t="str">
        <f aca="false">IF(维保合同!$C253="","",维保合同!$E253)</f>
        <v/>
      </c>
      <c r="Z253" s="40" t="str">
        <f aca="false">IF($Y253="","",ROUND(SUMIFS(应收金额,应收键,$Y253,应收年度,"&gt;"&amp;管理年度)-SUMIFS(收款金额,收款键,$Y253,收款年度,"&gt;"&amp;管理年度),2))</f>
        <v/>
      </c>
      <c r="AA253" s="47" t="str">
        <f aca="false">IF($Y253="","",IF(SUMPRODUCT(MIN(IF((应收键=$Y253)*(应收未收&gt;0.01),应收日期,999999)))&gt;=999999,"",SUMPRODUCT(MIN(IF((应收键=$Y253)*(应收未收&gt;0.01),应收日期,999999)))))</f>
        <v/>
      </c>
    </row>
    <row r="254" customFormat="false" ht="15" hidden="false" customHeight="false" outlineLevel="0" collapsed="false">
      <c r="A254" s="29" t="str">
        <f aca="false">IF($Y254="","",ROW()-4)</f>
        <v/>
      </c>
      <c r="B254" s="16" t="str">
        <f aca="false">IF($Y254="","",维保合同!$C254)</f>
        <v/>
      </c>
      <c r="C254" s="16" t="str">
        <f aca="false">IF($Y254="","",维保合同!$D254)</f>
        <v/>
      </c>
      <c r="D254" s="35" t="str">
        <f aca="false">IF($Y254="","",维保合同!$F254)</f>
        <v/>
      </c>
      <c r="E254" s="35" t="str">
        <f aca="false">IF($Y254="","",维保合同!$G254)</f>
        <v/>
      </c>
      <c r="F254" s="47" t="str">
        <f aca="false">IF($Y254="","",维保合同!$I254)</f>
        <v/>
      </c>
      <c r="G254" s="38" t="str">
        <f aca="false">IF($Y254="","",维保合同!$K254)</f>
        <v/>
      </c>
      <c r="H254" s="41" t="str">
        <f aca="false">IF($Y254="","",ROUND(SUMIFS(应收金额,应收键,$Y254,应收年度,"&lt;"&amp;管理年度)-SUMIFS(收款金额,收款键,$Y254,收款年度,"&lt;"&amp;管理年度),2))</f>
        <v/>
      </c>
      <c r="I254" s="40" t="str">
        <f aca="false">IF($Y254="","",ROUND(SUMIFS(应收金额,应收键,$Y254,应收年度,管理年度),2))</f>
        <v/>
      </c>
      <c r="J254" s="40" t="str">
        <f aca="false">IF($Y254="","",ROUND(SUMIFS(应收金额,应收键,$Y254,应收年度,管理年度,应收款别,"合同款"),2))</f>
        <v/>
      </c>
      <c r="K254" s="40" t="str">
        <f aca="false">IF($Y254="","",ROUND($I254-$J254,2))</f>
        <v/>
      </c>
      <c r="L254" s="40" t="str">
        <f aca="false">IF($Y254="","",ROUND(SUMIFS(应收开票额,应收键,$Y254,应收开票年度,管理年度),2))</f>
        <v/>
      </c>
      <c r="M254" s="40" t="str">
        <f aca="false">IF($Y254="","",ROUND($I254-$L254,2))</f>
        <v/>
      </c>
      <c r="N254" s="40" t="str">
        <f aca="false">IF($Y254="","",ROUND(SUMIFS(收款金额,收款键,$Y254,收款年度,管理年度),2))</f>
        <v/>
      </c>
      <c r="O254" s="40" t="str">
        <f aca="false">IF($Y254="","",ROUND(SUMIFS(收款金额,收款键,$Y254,收款年度,管理年度,收款归类,"发票"),2))</f>
        <v/>
      </c>
      <c r="P254" s="40" t="str">
        <f aca="false">IF($Y254="","",ROUND(SUMIFS(收款金额,收款键,$Y254,收款年度,管理年度,收款归类,"收据"),2))</f>
        <v/>
      </c>
      <c r="Q254" s="40" t="str">
        <f aca="false">IF($Y254="","",ROUND(SUMIFS(收款金额,收款键,$Y254,收款年度,管理年度,收款归类,"现金无票"),2))</f>
        <v/>
      </c>
      <c r="R254" s="40" t="str">
        <f aca="false">IF($Y254="","",ROUND(MAX(0,MIN($T254,SUMIF(应收键,$Y254,应收开票额)-SUMIF(收款键,$Y254,收款金额))),2))</f>
        <v/>
      </c>
      <c r="S254" s="40" t="str">
        <f aca="false">IF($Y254="","",ROUND(MAX(0,$T254)-$R254,2))</f>
        <v/>
      </c>
      <c r="T254" s="48" t="str">
        <f aca="false">IF($Y254="","",ROUND(SUMIF(应收键,$Y254,应收金额)-SUMIF(收款键,$Y254,收款金额),2))</f>
        <v/>
      </c>
      <c r="U254" s="49" t="str">
        <f aca="true">IF($AA254="","",IF($T254&lt;=0.01,"",MAX(0,TODAY()-$AA254)))</f>
        <v/>
      </c>
      <c r="V254" s="50" t="str">
        <f aca="true">IF($Y254="","",IF($T254&gt;0.01,IF(AND(ISNUMBER($U254),$U254&gt;=账龄预警天),"▲欠款拖了 "&amp;TEXT($U254,"0")&amp;" 天","欠款未清"),IF($T254&lt;-0.01,"预收/多收","已结清"))&amp;IF(OR($E254="已签未回",$E254="未签",$E254="续签中")," ▲合同未回","")&amp;IF(AND(ISNUMBER($F254),$F254&lt;TODAY())," ▲合同已到期",""))</f>
        <v/>
      </c>
      <c r="W254" s="24"/>
      <c r="X254" s="35" t="str">
        <f aca="false">IF($Y254="","",IF(ROUND($H254+$I254-$N254+$Z254-$T254,2)&lt;&gt;0,"★期初＋本年－已收≠余额",IF(ROUND($R254+$S254-MAX(0,$T254),2)&lt;&gt;0,"★已开票＋未开票≠欠款",IF(ROUND($J254+$K254-$I254,2)&lt;&gt;0,"★合同款＋合同外款≠本年应收",IF(ROUND($O254+$P254+$Q254-$N254,2)&lt;&gt;0,"★发票＋收据＋现金≠本年已收","OK")))))</f>
        <v/>
      </c>
      <c r="Y254" s="35" t="str">
        <f aca="false">IF(维保合同!$C254="","",维保合同!$E254)</f>
        <v/>
      </c>
      <c r="Z254" s="40" t="str">
        <f aca="false">IF($Y254="","",ROUND(SUMIFS(应收金额,应收键,$Y254,应收年度,"&gt;"&amp;管理年度)-SUMIFS(收款金额,收款键,$Y254,收款年度,"&gt;"&amp;管理年度),2))</f>
        <v/>
      </c>
      <c r="AA254" s="47" t="str">
        <f aca="false">IF($Y254="","",IF(SUMPRODUCT(MIN(IF((应收键=$Y254)*(应收未收&gt;0.01),应收日期,999999)))&gt;=999999,"",SUMPRODUCT(MIN(IF((应收键=$Y254)*(应收未收&gt;0.01),应收日期,999999)))))</f>
        <v/>
      </c>
    </row>
    <row r="255" customFormat="false" ht="15" hidden="false" customHeight="false" outlineLevel="0" collapsed="false">
      <c r="A255" s="29" t="str">
        <f aca="false">IF($Y255="","",ROW()-4)</f>
        <v/>
      </c>
      <c r="B255" s="16" t="str">
        <f aca="false">IF($Y255="","",维保合同!$C255)</f>
        <v/>
      </c>
      <c r="C255" s="16" t="str">
        <f aca="false">IF($Y255="","",维保合同!$D255)</f>
        <v/>
      </c>
      <c r="D255" s="35" t="str">
        <f aca="false">IF($Y255="","",维保合同!$F255)</f>
        <v/>
      </c>
      <c r="E255" s="35" t="str">
        <f aca="false">IF($Y255="","",维保合同!$G255)</f>
        <v/>
      </c>
      <c r="F255" s="47" t="str">
        <f aca="false">IF($Y255="","",维保合同!$I255)</f>
        <v/>
      </c>
      <c r="G255" s="38" t="str">
        <f aca="false">IF($Y255="","",维保合同!$K255)</f>
        <v/>
      </c>
      <c r="H255" s="41" t="str">
        <f aca="false">IF($Y255="","",ROUND(SUMIFS(应收金额,应收键,$Y255,应收年度,"&lt;"&amp;管理年度)-SUMIFS(收款金额,收款键,$Y255,收款年度,"&lt;"&amp;管理年度),2))</f>
        <v/>
      </c>
      <c r="I255" s="40" t="str">
        <f aca="false">IF($Y255="","",ROUND(SUMIFS(应收金额,应收键,$Y255,应收年度,管理年度),2))</f>
        <v/>
      </c>
      <c r="J255" s="40" t="str">
        <f aca="false">IF($Y255="","",ROUND(SUMIFS(应收金额,应收键,$Y255,应收年度,管理年度,应收款别,"合同款"),2))</f>
        <v/>
      </c>
      <c r="K255" s="40" t="str">
        <f aca="false">IF($Y255="","",ROUND($I255-$J255,2))</f>
        <v/>
      </c>
      <c r="L255" s="40" t="str">
        <f aca="false">IF($Y255="","",ROUND(SUMIFS(应收开票额,应收键,$Y255,应收开票年度,管理年度),2))</f>
        <v/>
      </c>
      <c r="M255" s="40" t="str">
        <f aca="false">IF($Y255="","",ROUND($I255-$L255,2))</f>
        <v/>
      </c>
      <c r="N255" s="40" t="str">
        <f aca="false">IF($Y255="","",ROUND(SUMIFS(收款金额,收款键,$Y255,收款年度,管理年度),2))</f>
        <v/>
      </c>
      <c r="O255" s="40" t="str">
        <f aca="false">IF($Y255="","",ROUND(SUMIFS(收款金额,收款键,$Y255,收款年度,管理年度,收款归类,"发票"),2))</f>
        <v/>
      </c>
      <c r="P255" s="40" t="str">
        <f aca="false">IF($Y255="","",ROUND(SUMIFS(收款金额,收款键,$Y255,收款年度,管理年度,收款归类,"收据"),2))</f>
        <v/>
      </c>
      <c r="Q255" s="40" t="str">
        <f aca="false">IF($Y255="","",ROUND(SUMIFS(收款金额,收款键,$Y255,收款年度,管理年度,收款归类,"现金无票"),2))</f>
        <v/>
      </c>
      <c r="R255" s="40" t="str">
        <f aca="false">IF($Y255="","",ROUND(MAX(0,MIN($T255,SUMIF(应收键,$Y255,应收开票额)-SUMIF(收款键,$Y255,收款金额))),2))</f>
        <v/>
      </c>
      <c r="S255" s="40" t="str">
        <f aca="false">IF($Y255="","",ROUND(MAX(0,$T255)-$R255,2))</f>
        <v/>
      </c>
      <c r="T255" s="48" t="str">
        <f aca="false">IF($Y255="","",ROUND(SUMIF(应收键,$Y255,应收金额)-SUMIF(收款键,$Y255,收款金额),2))</f>
        <v/>
      </c>
      <c r="U255" s="49" t="str">
        <f aca="true">IF($AA255="","",IF($T255&lt;=0.01,"",MAX(0,TODAY()-$AA255)))</f>
        <v/>
      </c>
      <c r="V255" s="50" t="str">
        <f aca="true">IF($Y255="","",IF($T255&gt;0.01,IF(AND(ISNUMBER($U255),$U255&gt;=账龄预警天),"▲欠款拖了 "&amp;TEXT($U255,"0")&amp;" 天","欠款未清"),IF($T255&lt;-0.01,"预收/多收","已结清"))&amp;IF(OR($E255="已签未回",$E255="未签",$E255="续签中")," ▲合同未回","")&amp;IF(AND(ISNUMBER($F255),$F255&lt;TODAY())," ▲合同已到期",""))</f>
        <v/>
      </c>
      <c r="W255" s="24"/>
      <c r="X255" s="35" t="str">
        <f aca="false">IF($Y255="","",IF(ROUND($H255+$I255-$N255+$Z255-$T255,2)&lt;&gt;0,"★期初＋本年－已收≠余额",IF(ROUND($R255+$S255-MAX(0,$T255),2)&lt;&gt;0,"★已开票＋未开票≠欠款",IF(ROUND($J255+$K255-$I255,2)&lt;&gt;0,"★合同款＋合同外款≠本年应收",IF(ROUND($O255+$P255+$Q255-$N255,2)&lt;&gt;0,"★发票＋收据＋现金≠本年已收","OK")))))</f>
        <v/>
      </c>
      <c r="Y255" s="35" t="str">
        <f aca="false">IF(维保合同!$C255="","",维保合同!$E255)</f>
        <v/>
      </c>
      <c r="Z255" s="40" t="str">
        <f aca="false">IF($Y255="","",ROUND(SUMIFS(应收金额,应收键,$Y255,应收年度,"&gt;"&amp;管理年度)-SUMIFS(收款金额,收款键,$Y255,收款年度,"&gt;"&amp;管理年度),2))</f>
        <v/>
      </c>
      <c r="AA255" s="47" t="str">
        <f aca="false">IF($Y255="","",IF(SUMPRODUCT(MIN(IF((应收键=$Y255)*(应收未收&gt;0.01),应收日期,999999)))&gt;=999999,"",SUMPRODUCT(MIN(IF((应收键=$Y255)*(应收未收&gt;0.01),应收日期,999999)))))</f>
        <v/>
      </c>
    </row>
    <row r="256" customFormat="false" ht="15" hidden="false" customHeight="false" outlineLevel="0" collapsed="false">
      <c r="A256" s="29" t="str">
        <f aca="false">IF($Y256="","",ROW()-4)</f>
        <v/>
      </c>
      <c r="B256" s="16" t="str">
        <f aca="false">IF($Y256="","",维保合同!$C256)</f>
        <v/>
      </c>
      <c r="C256" s="16" t="str">
        <f aca="false">IF($Y256="","",维保合同!$D256)</f>
        <v/>
      </c>
      <c r="D256" s="35" t="str">
        <f aca="false">IF($Y256="","",维保合同!$F256)</f>
        <v/>
      </c>
      <c r="E256" s="35" t="str">
        <f aca="false">IF($Y256="","",维保合同!$G256)</f>
        <v/>
      </c>
      <c r="F256" s="47" t="str">
        <f aca="false">IF($Y256="","",维保合同!$I256)</f>
        <v/>
      </c>
      <c r="G256" s="38" t="str">
        <f aca="false">IF($Y256="","",维保合同!$K256)</f>
        <v/>
      </c>
      <c r="H256" s="41" t="str">
        <f aca="false">IF($Y256="","",ROUND(SUMIFS(应收金额,应收键,$Y256,应收年度,"&lt;"&amp;管理年度)-SUMIFS(收款金额,收款键,$Y256,收款年度,"&lt;"&amp;管理年度),2))</f>
        <v/>
      </c>
      <c r="I256" s="40" t="str">
        <f aca="false">IF($Y256="","",ROUND(SUMIFS(应收金额,应收键,$Y256,应收年度,管理年度),2))</f>
        <v/>
      </c>
      <c r="J256" s="40" t="str">
        <f aca="false">IF($Y256="","",ROUND(SUMIFS(应收金额,应收键,$Y256,应收年度,管理年度,应收款别,"合同款"),2))</f>
        <v/>
      </c>
      <c r="K256" s="40" t="str">
        <f aca="false">IF($Y256="","",ROUND($I256-$J256,2))</f>
        <v/>
      </c>
      <c r="L256" s="40" t="str">
        <f aca="false">IF($Y256="","",ROUND(SUMIFS(应收开票额,应收键,$Y256,应收开票年度,管理年度),2))</f>
        <v/>
      </c>
      <c r="M256" s="40" t="str">
        <f aca="false">IF($Y256="","",ROUND($I256-$L256,2))</f>
        <v/>
      </c>
      <c r="N256" s="40" t="str">
        <f aca="false">IF($Y256="","",ROUND(SUMIFS(收款金额,收款键,$Y256,收款年度,管理年度),2))</f>
        <v/>
      </c>
      <c r="O256" s="40" t="str">
        <f aca="false">IF($Y256="","",ROUND(SUMIFS(收款金额,收款键,$Y256,收款年度,管理年度,收款归类,"发票"),2))</f>
        <v/>
      </c>
      <c r="P256" s="40" t="str">
        <f aca="false">IF($Y256="","",ROUND(SUMIFS(收款金额,收款键,$Y256,收款年度,管理年度,收款归类,"收据"),2))</f>
        <v/>
      </c>
      <c r="Q256" s="40" t="str">
        <f aca="false">IF($Y256="","",ROUND(SUMIFS(收款金额,收款键,$Y256,收款年度,管理年度,收款归类,"现金无票"),2))</f>
        <v/>
      </c>
      <c r="R256" s="40" t="str">
        <f aca="false">IF($Y256="","",ROUND(MAX(0,MIN($T256,SUMIF(应收键,$Y256,应收开票额)-SUMIF(收款键,$Y256,收款金额))),2))</f>
        <v/>
      </c>
      <c r="S256" s="40" t="str">
        <f aca="false">IF($Y256="","",ROUND(MAX(0,$T256)-$R256,2))</f>
        <v/>
      </c>
      <c r="T256" s="48" t="str">
        <f aca="false">IF($Y256="","",ROUND(SUMIF(应收键,$Y256,应收金额)-SUMIF(收款键,$Y256,收款金额),2))</f>
        <v/>
      </c>
      <c r="U256" s="49" t="str">
        <f aca="true">IF($AA256="","",IF($T256&lt;=0.01,"",MAX(0,TODAY()-$AA256)))</f>
        <v/>
      </c>
      <c r="V256" s="50" t="str">
        <f aca="true">IF($Y256="","",IF($T256&gt;0.01,IF(AND(ISNUMBER($U256),$U256&gt;=账龄预警天),"▲欠款拖了 "&amp;TEXT($U256,"0")&amp;" 天","欠款未清"),IF($T256&lt;-0.01,"预收/多收","已结清"))&amp;IF(OR($E256="已签未回",$E256="未签",$E256="续签中")," ▲合同未回","")&amp;IF(AND(ISNUMBER($F256),$F256&lt;TODAY())," ▲合同已到期",""))</f>
        <v/>
      </c>
      <c r="W256" s="24"/>
      <c r="X256" s="35" t="str">
        <f aca="false">IF($Y256="","",IF(ROUND($H256+$I256-$N256+$Z256-$T256,2)&lt;&gt;0,"★期初＋本年－已收≠余额",IF(ROUND($R256+$S256-MAX(0,$T256),2)&lt;&gt;0,"★已开票＋未开票≠欠款",IF(ROUND($J256+$K256-$I256,2)&lt;&gt;0,"★合同款＋合同外款≠本年应收",IF(ROUND($O256+$P256+$Q256-$N256,2)&lt;&gt;0,"★发票＋收据＋现金≠本年已收","OK")))))</f>
        <v/>
      </c>
      <c r="Y256" s="35" t="str">
        <f aca="false">IF(维保合同!$C256="","",维保合同!$E256)</f>
        <v/>
      </c>
      <c r="Z256" s="40" t="str">
        <f aca="false">IF($Y256="","",ROUND(SUMIFS(应收金额,应收键,$Y256,应收年度,"&gt;"&amp;管理年度)-SUMIFS(收款金额,收款键,$Y256,收款年度,"&gt;"&amp;管理年度),2))</f>
        <v/>
      </c>
      <c r="AA256" s="47" t="str">
        <f aca="false">IF($Y256="","",IF(SUMPRODUCT(MIN(IF((应收键=$Y256)*(应收未收&gt;0.01),应收日期,999999)))&gt;=999999,"",SUMPRODUCT(MIN(IF((应收键=$Y256)*(应收未收&gt;0.01),应收日期,999999)))))</f>
        <v/>
      </c>
    </row>
    <row r="257" customFormat="false" ht="15" hidden="false" customHeight="false" outlineLevel="0" collapsed="false">
      <c r="A257" s="29" t="str">
        <f aca="false">IF($Y257="","",ROW()-4)</f>
        <v/>
      </c>
      <c r="B257" s="16" t="str">
        <f aca="false">IF($Y257="","",维保合同!$C257)</f>
        <v/>
      </c>
      <c r="C257" s="16" t="str">
        <f aca="false">IF($Y257="","",维保合同!$D257)</f>
        <v/>
      </c>
      <c r="D257" s="35" t="str">
        <f aca="false">IF($Y257="","",维保合同!$F257)</f>
        <v/>
      </c>
      <c r="E257" s="35" t="str">
        <f aca="false">IF($Y257="","",维保合同!$G257)</f>
        <v/>
      </c>
      <c r="F257" s="47" t="str">
        <f aca="false">IF($Y257="","",维保合同!$I257)</f>
        <v/>
      </c>
      <c r="G257" s="38" t="str">
        <f aca="false">IF($Y257="","",维保合同!$K257)</f>
        <v/>
      </c>
      <c r="H257" s="41" t="str">
        <f aca="false">IF($Y257="","",ROUND(SUMIFS(应收金额,应收键,$Y257,应收年度,"&lt;"&amp;管理年度)-SUMIFS(收款金额,收款键,$Y257,收款年度,"&lt;"&amp;管理年度),2))</f>
        <v/>
      </c>
      <c r="I257" s="40" t="str">
        <f aca="false">IF($Y257="","",ROUND(SUMIFS(应收金额,应收键,$Y257,应收年度,管理年度),2))</f>
        <v/>
      </c>
      <c r="J257" s="40" t="str">
        <f aca="false">IF($Y257="","",ROUND(SUMIFS(应收金额,应收键,$Y257,应收年度,管理年度,应收款别,"合同款"),2))</f>
        <v/>
      </c>
      <c r="K257" s="40" t="str">
        <f aca="false">IF($Y257="","",ROUND($I257-$J257,2))</f>
        <v/>
      </c>
      <c r="L257" s="40" t="str">
        <f aca="false">IF($Y257="","",ROUND(SUMIFS(应收开票额,应收键,$Y257,应收开票年度,管理年度),2))</f>
        <v/>
      </c>
      <c r="M257" s="40" t="str">
        <f aca="false">IF($Y257="","",ROUND($I257-$L257,2))</f>
        <v/>
      </c>
      <c r="N257" s="40" t="str">
        <f aca="false">IF($Y257="","",ROUND(SUMIFS(收款金额,收款键,$Y257,收款年度,管理年度),2))</f>
        <v/>
      </c>
      <c r="O257" s="40" t="str">
        <f aca="false">IF($Y257="","",ROUND(SUMIFS(收款金额,收款键,$Y257,收款年度,管理年度,收款归类,"发票"),2))</f>
        <v/>
      </c>
      <c r="P257" s="40" t="str">
        <f aca="false">IF($Y257="","",ROUND(SUMIFS(收款金额,收款键,$Y257,收款年度,管理年度,收款归类,"收据"),2))</f>
        <v/>
      </c>
      <c r="Q257" s="40" t="str">
        <f aca="false">IF($Y257="","",ROUND(SUMIFS(收款金额,收款键,$Y257,收款年度,管理年度,收款归类,"现金无票"),2))</f>
        <v/>
      </c>
      <c r="R257" s="40" t="str">
        <f aca="false">IF($Y257="","",ROUND(MAX(0,MIN($T257,SUMIF(应收键,$Y257,应收开票额)-SUMIF(收款键,$Y257,收款金额))),2))</f>
        <v/>
      </c>
      <c r="S257" s="40" t="str">
        <f aca="false">IF($Y257="","",ROUND(MAX(0,$T257)-$R257,2))</f>
        <v/>
      </c>
      <c r="T257" s="48" t="str">
        <f aca="false">IF($Y257="","",ROUND(SUMIF(应收键,$Y257,应收金额)-SUMIF(收款键,$Y257,收款金额),2))</f>
        <v/>
      </c>
      <c r="U257" s="49" t="str">
        <f aca="true">IF($AA257="","",IF($T257&lt;=0.01,"",MAX(0,TODAY()-$AA257)))</f>
        <v/>
      </c>
      <c r="V257" s="50" t="str">
        <f aca="true">IF($Y257="","",IF($T257&gt;0.01,IF(AND(ISNUMBER($U257),$U257&gt;=账龄预警天),"▲欠款拖了 "&amp;TEXT($U257,"0")&amp;" 天","欠款未清"),IF($T257&lt;-0.01,"预收/多收","已结清"))&amp;IF(OR($E257="已签未回",$E257="未签",$E257="续签中")," ▲合同未回","")&amp;IF(AND(ISNUMBER($F257),$F257&lt;TODAY())," ▲合同已到期",""))</f>
        <v/>
      </c>
      <c r="W257" s="24"/>
      <c r="X257" s="35" t="str">
        <f aca="false">IF($Y257="","",IF(ROUND($H257+$I257-$N257+$Z257-$T257,2)&lt;&gt;0,"★期初＋本年－已收≠余额",IF(ROUND($R257+$S257-MAX(0,$T257),2)&lt;&gt;0,"★已开票＋未开票≠欠款",IF(ROUND($J257+$K257-$I257,2)&lt;&gt;0,"★合同款＋合同外款≠本年应收",IF(ROUND($O257+$P257+$Q257-$N257,2)&lt;&gt;0,"★发票＋收据＋现金≠本年已收","OK")))))</f>
        <v/>
      </c>
      <c r="Y257" s="35" t="str">
        <f aca="false">IF(维保合同!$C257="","",维保合同!$E257)</f>
        <v/>
      </c>
      <c r="Z257" s="40" t="str">
        <f aca="false">IF($Y257="","",ROUND(SUMIFS(应收金额,应收键,$Y257,应收年度,"&gt;"&amp;管理年度)-SUMIFS(收款金额,收款键,$Y257,收款年度,"&gt;"&amp;管理年度),2))</f>
        <v/>
      </c>
      <c r="AA257" s="47" t="str">
        <f aca="false">IF($Y257="","",IF(SUMPRODUCT(MIN(IF((应收键=$Y257)*(应收未收&gt;0.01),应收日期,999999)))&gt;=999999,"",SUMPRODUCT(MIN(IF((应收键=$Y257)*(应收未收&gt;0.01),应收日期,999999)))))</f>
        <v/>
      </c>
    </row>
    <row r="258" customFormat="false" ht="15" hidden="false" customHeight="false" outlineLevel="0" collapsed="false">
      <c r="A258" s="29" t="str">
        <f aca="false">IF($Y258="","",ROW()-4)</f>
        <v/>
      </c>
      <c r="B258" s="16" t="str">
        <f aca="false">IF($Y258="","",维保合同!$C258)</f>
        <v/>
      </c>
      <c r="C258" s="16" t="str">
        <f aca="false">IF($Y258="","",维保合同!$D258)</f>
        <v/>
      </c>
      <c r="D258" s="35" t="str">
        <f aca="false">IF($Y258="","",维保合同!$F258)</f>
        <v/>
      </c>
      <c r="E258" s="35" t="str">
        <f aca="false">IF($Y258="","",维保合同!$G258)</f>
        <v/>
      </c>
      <c r="F258" s="47" t="str">
        <f aca="false">IF($Y258="","",维保合同!$I258)</f>
        <v/>
      </c>
      <c r="G258" s="38" t="str">
        <f aca="false">IF($Y258="","",维保合同!$K258)</f>
        <v/>
      </c>
      <c r="H258" s="41" t="str">
        <f aca="false">IF($Y258="","",ROUND(SUMIFS(应收金额,应收键,$Y258,应收年度,"&lt;"&amp;管理年度)-SUMIFS(收款金额,收款键,$Y258,收款年度,"&lt;"&amp;管理年度),2))</f>
        <v/>
      </c>
      <c r="I258" s="40" t="str">
        <f aca="false">IF($Y258="","",ROUND(SUMIFS(应收金额,应收键,$Y258,应收年度,管理年度),2))</f>
        <v/>
      </c>
      <c r="J258" s="40" t="str">
        <f aca="false">IF($Y258="","",ROUND(SUMIFS(应收金额,应收键,$Y258,应收年度,管理年度,应收款别,"合同款"),2))</f>
        <v/>
      </c>
      <c r="K258" s="40" t="str">
        <f aca="false">IF($Y258="","",ROUND($I258-$J258,2))</f>
        <v/>
      </c>
      <c r="L258" s="40" t="str">
        <f aca="false">IF($Y258="","",ROUND(SUMIFS(应收开票额,应收键,$Y258,应收开票年度,管理年度),2))</f>
        <v/>
      </c>
      <c r="M258" s="40" t="str">
        <f aca="false">IF($Y258="","",ROUND($I258-$L258,2))</f>
        <v/>
      </c>
      <c r="N258" s="40" t="str">
        <f aca="false">IF($Y258="","",ROUND(SUMIFS(收款金额,收款键,$Y258,收款年度,管理年度),2))</f>
        <v/>
      </c>
      <c r="O258" s="40" t="str">
        <f aca="false">IF($Y258="","",ROUND(SUMIFS(收款金额,收款键,$Y258,收款年度,管理年度,收款归类,"发票"),2))</f>
        <v/>
      </c>
      <c r="P258" s="40" t="str">
        <f aca="false">IF($Y258="","",ROUND(SUMIFS(收款金额,收款键,$Y258,收款年度,管理年度,收款归类,"收据"),2))</f>
        <v/>
      </c>
      <c r="Q258" s="40" t="str">
        <f aca="false">IF($Y258="","",ROUND(SUMIFS(收款金额,收款键,$Y258,收款年度,管理年度,收款归类,"现金无票"),2))</f>
        <v/>
      </c>
      <c r="R258" s="40" t="str">
        <f aca="false">IF($Y258="","",ROUND(MAX(0,MIN($T258,SUMIF(应收键,$Y258,应收开票额)-SUMIF(收款键,$Y258,收款金额))),2))</f>
        <v/>
      </c>
      <c r="S258" s="40" t="str">
        <f aca="false">IF($Y258="","",ROUND(MAX(0,$T258)-$R258,2))</f>
        <v/>
      </c>
      <c r="T258" s="48" t="str">
        <f aca="false">IF($Y258="","",ROUND(SUMIF(应收键,$Y258,应收金额)-SUMIF(收款键,$Y258,收款金额),2))</f>
        <v/>
      </c>
      <c r="U258" s="49" t="str">
        <f aca="true">IF($AA258="","",IF($T258&lt;=0.01,"",MAX(0,TODAY()-$AA258)))</f>
        <v/>
      </c>
      <c r="V258" s="50" t="str">
        <f aca="true">IF($Y258="","",IF($T258&gt;0.01,IF(AND(ISNUMBER($U258),$U258&gt;=账龄预警天),"▲欠款拖了 "&amp;TEXT($U258,"0")&amp;" 天","欠款未清"),IF($T258&lt;-0.01,"预收/多收","已结清"))&amp;IF(OR($E258="已签未回",$E258="未签",$E258="续签中")," ▲合同未回","")&amp;IF(AND(ISNUMBER($F258),$F258&lt;TODAY())," ▲合同已到期",""))</f>
        <v/>
      </c>
      <c r="W258" s="24"/>
      <c r="X258" s="35" t="str">
        <f aca="false">IF($Y258="","",IF(ROUND($H258+$I258-$N258+$Z258-$T258,2)&lt;&gt;0,"★期初＋本年－已收≠余额",IF(ROUND($R258+$S258-MAX(0,$T258),2)&lt;&gt;0,"★已开票＋未开票≠欠款",IF(ROUND($J258+$K258-$I258,2)&lt;&gt;0,"★合同款＋合同外款≠本年应收",IF(ROUND($O258+$P258+$Q258-$N258,2)&lt;&gt;0,"★发票＋收据＋现金≠本年已收","OK")))))</f>
        <v/>
      </c>
      <c r="Y258" s="35" t="str">
        <f aca="false">IF(维保合同!$C258="","",维保合同!$E258)</f>
        <v/>
      </c>
      <c r="Z258" s="40" t="str">
        <f aca="false">IF($Y258="","",ROUND(SUMIFS(应收金额,应收键,$Y258,应收年度,"&gt;"&amp;管理年度)-SUMIFS(收款金额,收款键,$Y258,收款年度,"&gt;"&amp;管理年度),2))</f>
        <v/>
      </c>
      <c r="AA258" s="47" t="str">
        <f aca="false">IF($Y258="","",IF(SUMPRODUCT(MIN(IF((应收键=$Y258)*(应收未收&gt;0.01),应收日期,999999)))&gt;=999999,"",SUMPRODUCT(MIN(IF((应收键=$Y258)*(应收未收&gt;0.01),应收日期,999999)))))</f>
        <v/>
      </c>
    </row>
    <row r="259" customFormat="false" ht="15" hidden="false" customHeight="false" outlineLevel="0" collapsed="false">
      <c r="A259" s="29" t="str">
        <f aca="false">IF($Y259="","",ROW()-4)</f>
        <v/>
      </c>
      <c r="B259" s="16" t="str">
        <f aca="false">IF($Y259="","",维保合同!$C259)</f>
        <v/>
      </c>
      <c r="C259" s="16" t="str">
        <f aca="false">IF($Y259="","",维保合同!$D259)</f>
        <v/>
      </c>
      <c r="D259" s="35" t="str">
        <f aca="false">IF($Y259="","",维保合同!$F259)</f>
        <v/>
      </c>
      <c r="E259" s="35" t="str">
        <f aca="false">IF($Y259="","",维保合同!$G259)</f>
        <v/>
      </c>
      <c r="F259" s="47" t="str">
        <f aca="false">IF($Y259="","",维保合同!$I259)</f>
        <v/>
      </c>
      <c r="G259" s="38" t="str">
        <f aca="false">IF($Y259="","",维保合同!$K259)</f>
        <v/>
      </c>
      <c r="H259" s="41" t="str">
        <f aca="false">IF($Y259="","",ROUND(SUMIFS(应收金额,应收键,$Y259,应收年度,"&lt;"&amp;管理年度)-SUMIFS(收款金额,收款键,$Y259,收款年度,"&lt;"&amp;管理年度),2))</f>
        <v/>
      </c>
      <c r="I259" s="40" t="str">
        <f aca="false">IF($Y259="","",ROUND(SUMIFS(应收金额,应收键,$Y259,应收年度,管理年度),2))</f>
        <v/>
      </c>
      <c r="J259" s="40" t="str">
        <f aca="false">IF($Y259="","",ROUND(SUMIFS(应收金额,应收键,$Y259,应收年度,管理年度,应收款别,"合同款"),2))</f>
        <v/>
      </c>
      <c r="K259" s="40" t="str">
        <f aca="false">IF($Y259="","",ROUND($I259-$J259,2))</f>
        <v/>
      </c>
      <c r="L259" s="40" t="str">
        <f aca="false">IF($Y259="","",ROUND(SUMIFS(应收开票额,应收键,$Y259,应收开票年度,管理年度),2))</f>
        <v/>
      </c>
      <c r="M259" s="40" t="str">
        <f aca="false">IF($Y259="","",ROUND($I259-$L259,2))</f>
        <v/>
      </c>
      <c r="N259" s="40" t="str">
        <f aca="false">IF($Y259="","",ROUND(SUMIFS(收款金额,收款键,$Y259,收款年度,管理年度),2))</f>
        <v/>
      </c>
      <c r="O259" s="40" t="str">
        <f aca="false">IF($Y259="","",ROUND(SUMIFS(收款金额,收款键,$Y259,收款年度,管理年度,收款归类,"发票"),2))</f>
        <v/>
      </c>
      <c r="P259" s="40" t="str">
        <f aca="false">IF($Y259="","",ROUND(SUMIFS(收款金额,收款键,$Y259,收款年度,管理年度,收款归类,"收据"),2))</f>
        <v/>
      </c>
      <c r="Q259" s="40" t="str">
        <f aca="false">IF($Y259="","",ROUND(SUMIFS(收款金额,收款键,$Y259,收款年度,管理年度,收款归类,"现金无票"),2))</f>
        <v/>
      </c>
      <c r="R259" s="40" t="str">
        <f aca="false">IF($Y259="","",ROUND(MAX(0,MIN($T259,SUMIF(应收键,$Y259,应收开票额)-SUMIF(收款键,$Y259,收款金额))),2))</f>
        <v/>
      </c>
      <c r="S259" s="40" t="str">
        <f aca="false">IF($Y259="","",ROUND(MAX(0,$T259)-$R259,2))</f>
        <v/>
      </c>
      <c r="T259" s="48" t="str">
        <f aca="false">IF($Y259="","",ROUND(SUMIF(应收键,$Y259,应收金额)-SUMIF(收款键,$Y259,收款金额),2))</f>
        <v/>
      </c>
      <c r="U259" s="49" t="str">
        <f aca="true">IF($AA259="","",IF($T259&lt;=0.01,"",MAX(0,TODAY()-$AA259)))</f>
        <v/>
      </c>
      <c r="V259" s="50" t="str">
        <f aca="true">IF($Y259="","",IF($T259&gt;0.01,IF(AND(ISNUMBER($U259),$U259&gt;=账龄预警天),"▲欠款拖了 "&amp;TEXT($U259,"0")&amp;" 天","欠款未清"),IF($T259&lt;-0.01,"预收/多收","已结清"))&amp;IF(OR($E259="已签未回",$E259="未签",$E259="续签中")," ▲合同未回","")&amp;IF(AND(ISNUMBER($F259),$F259&lt;TODAY())," ▲合同已到期",""))</f>
        <v/>
      </c>
      <c r="W259" s="24"/>
      <c r="X259" s="35" t="str">
        <f aca="false">IF($Y259="","",IF(ROUND($H259+$I259-$N259+$Z259-$T259,2)&lt;&gt;0,"★期初＋本年－已收≠余额",IF(ROUND($R259+$S259-MAX(0,$T259),2)&lt;&gt;0,"★已开票＋未开票≠欠款",IF(ROUND($J259+$K259-$I259,2)&lt;&gt;0,"★合同款＋合同外款≠本年应收",IF(ROUND($O259+$P259+$Q259-$N259,2)&lt;&gt;0,"★发票＋收据＋现金≠本年已收","OK")))))</f>
        <v/>
      </c>
      <c r="Y259" s="35" t="str">
        <f aca="false">IF(维保合同!$C259="","",维保合同!$E259)</f>
        <v/>
      </c>
      <c r="Z259" s="40" t="str">
        <f aca="false">IF($Y259="","",ROUND(SUMIFS(应收金额,应收键,$Y259,应收年度,"&gt;"&amp;管理年度)-SUMIFS(收款金额,收款键,$Y259,收款年度,"&gt;"&amp;管理年度),2))</f>
        <v/>
      </c>
      <c r="AA259" s="47" t="str">
        <f aca="false">IF($Y259="","",IF(SUMPRODUCT(MIN(IF((应收键=$Y259)*(应收未收&gt;0.01),应收日期,999999)))&gt;=999999,"",SUMPRODUCT(MIN(IF((应收键=$Y259)*(应收未收&gt;0.01),应收日期,999999)))))</f>
        <v/>
      </c>
    </row>
    <row r="260" customFormat="false" ht="15" hidden="false" customHeight="false" outlineLevel="0" collapsed="false">
      <c r="A260" s="29" t="str">
        <f aca="false">IF($Y260="","",ROW()-4)</f>
        <v/>
      </c>
      <c r="B260" s="16" t="str">
        <f aca="false">IF($Y260="","",维保合同!$C260)</f>
        <v/>
      </c>
      <c r="C260" s="16" t="str">
        <f aca="false">IF($Y260="","",维保合同!$D260)</f>
        <v/>
      </c>
      <c r="D260" s="35" t="str">
        <f aca="false">IF($Y260="","",维保合同!$F260)</f>
        <v/>
      </c>
      <c r="E260" s="35" t="str">
        <f aca="false">IF($Y260="","",维保合同!$G260)</f>
        <v/>
      </c>
      <c r="F260" s="47" t="str">
        <f aca="false">IF($Y260="","",维保合同!$I260)</f>
        <v/>
      </c>
      <c r="G260" s="38" t="str">
        <f aca="false">IF($Y260="","",维保合同!$K260)</f>
        <v/>
      </c>
      <c r="H260" s="41" t="str">
        <f aca="false">IF($Y260="","",ROUND(SUMIFS(应收金额,应收键,$Y260,应收年度,"&lt;"&amp;管理年度)-SUMIFS(收款金额,收款键,$Y260,收款年度,"&lt;"&amp;管理年度),2))</f>
        <v/>
      </c>
      <c r="I260" s="40" t="str">
        <f aca="false">IF($Y260="","",ROUND(SUMIFS(应收金额,应收键,$Y260,应收年度,管理年度),2))</f>
        <v/>
      </c>
      <c r="J260" s="40" t="str">
        <f aca="false">IF($Y260="","",ROUND(SUMIFS(应收金额,应收键,$Y260,应收年度,管理年度,应收款别,"合同款"),2))</f>
        <v/>
      </c>
      <c r="K260" s="40" t="str">
        <f aca="false">IF($Y260="","",ROUND($I260-$J260,2))</f>
        <v/>
      </c>
      <c r="L260" s="40" t="str">
        <f aca="false">IF($Y260="","",ROUND(SUMIFS(应收开票额,应收键,$Y260,应收开票年度,管理年度),2))</f>
        <v/>
      </c>
      <c r="M260" s="40" t="str">
        <f aca="false">IF($Y260="","",ROUND($I260-$L260,2))</f>
        <v/>
      </c>
      <c r="N260" s="40" t="str">
        <f aca="false">IF($Y260="","",ROUND(SUMIFS(收款金额,收款键,$Y260,收款年度,管理年度),2))</f>
        <v/>
      </c>
      <c r="O260" s="40" t="str">
        <f aca="false">IF($Y260="","",ROUND(SUMIFS(收款金额,收款键,$Y260,收款年度,管理年度,收款归类,"发票"),2))</f>
        <v/>
      </c>
      <c r="P260" s="40" t="str">
        <f aca="false">IF($Y260="","",ROUND(SUMIFS(收款金额,收款键,$Y260,收款年度,管理年度,收款归类,"收据"),2))</f>
        <v/>
      </c>
      <c r="Q260" s="40" t="str">
        <f aca="false">IF($Y260="","",ROUND(SUMIFS(收款金额,收款键,$Y260,收款年度,管理年度,收款归类,"现金无票"),2))</f>
        <v/>
      </c>
      <c r="R260" s="40" t="str">
        <f aca="false">IF($Y260="","",ROUND(MAX(0,MIN($T260,SUMIF(应收键,$Y260,应收开票额)-SUMIF(收款键,$Y260,收款金额))),2))</f>
        <v/>
      </c>
      <c r="S260" s="40" t="str">
        <f aca="false">IF($Y260="","",ROUND(MAX(0,$T260)-$R260,2))</f>
        <v/>
      </c>
      <c r="T260" s="48" t="str">
        <f aca="false">IF($Y260="","",ROUND(SUMIF(应收键,$Y260,应收金额)-SUMIF(收款键,$Y260,收款金额),2))</f>
        <v/>
      </c>
      <c r="U260" s="49" t="str">
        <f aca="true">IF($AA260="","",IF($T260&lt;=0.01,"",MAX(0,TODAY()-$AA260)))</f>
        <v/>
      </c>
      <c r="V260" s="50" t="str">
        <f aca="true">IF($Y260="","",IF($T260&gt;0.01,IF(AND(ISNUMBER($U260),$U260&gt;=账龄预警天),"▲欠款拖了 "&amp;TEXT($U260,"0")&amp;" 天","欠款未清"),IF($T260&lt;-0.01,"预收/多收","已结清"))&amp;IF(OR($E260="已签未回",$E260="未签",$E260="续签中")," ▲合同未回","")&amp;IF(AND(ISNUMBER($F260),$F260&lt;TODAY())," ▲合同已到期",""))</f>
        <v/>
      </c>
      <c r="W260" s="24"/>
      <c r="X260" s="35" t="str">
        <f aca="false">IF($Y260="","",IF(ROUND($H260+$I260-$N260+$Z260-$T260,2)&lt;&gt;0,"★期初＋本年－已收≠余额",IF(ROUND($R260+$S260-MAX(0,$T260),2)&lt;&gt;0,"★已开票＋未开票≠欠款",IF(ROUND($J260+$K260-$I260,2)&lt;&gt;0,"★合同款＋合同外款≠本年应收",IF(ROUND($O260+$P260+$Q260-$N260,2)&lt;&gt;0,"★发票＋收据＋现金≠本年已收","OK")))))</f>
        <v/>
      </c>
      <c r="Y260" s="35" t="str">
        <f aca="false">IF(维保合同!$C260="","",维保合同!$E260)</f>
        <v/>
      </c>
      <c r="Z260" s="40" t="str">
        <f aca="false">IF($Y260="","",ROUND(SUMIFS(应收金额,应收键,$Y260,应收年度,"&gt;"&amp;管理年度)-SUMIFS(收款金额,收款键,$Y260,收款年度,"&gt;"&amp;管理年度),2))</f>
        <v/>
      </c>
      <c r="AA260" s="47" t="str">
        <f aca="false">IF($Y260="","",IF(SUMPRODUCT(MIN(IF((应收键=$Y260)*(应收未收&gt;0.01),应收日期,999999)))&gt;=999999,"",SUMPRODUCT(MIN(IF((应收键=$Y260)*(应收未收&gt;0.01),应收日期,999999)))))</f>
        <v/>
      </c>
    </row>
    <row r="261" customFormat="false" ht="15" hidden="false" customHeight="false" outlineLevel="0" collapsed="false">
      <c r="A261" s="29" t="str">
        <f aca="false">IF($Y261="","",ROW()-4)</f>
        <v/>
      </c>
      <c r="B261" s="16" t="str">
        <f aca="false">IF($Y261="","",维保合同!$C261)</f>
        <v/>
      </c>
      <c r="C261" s="16" t="str">
        <f aca="false">IF($Y261="","",维保合同!$D261)</f>
        <v/>
      </c>
      <c r="D261" s="35" t="str">
        <f aca="false">IF($Y261="","",维保合同!$F261)</f>
        <v/>
      </c>
      <c r="E261" s="35" t="str">
        <f aca="false">IF($Y261="","",维保合同!$G261)</f>
        <v/>
      </c>
      <c r="F261" s="47" t="str">
        <f aca="false">IF($Y261="","",维保合同!$I261)</f>
        <v/>
      </c>
      <c r="G261" s="38" t="str">
        <f aca="false">IF($Y261="","",维保合同!$K261)</f>
        <v/>
      </c>
      <c r="H261" s="41" t="str">
        <f aca="false">IF($Y261="","",ROUND(SUMIFS(应收金额,应收键,$Y261,应收年度,"&lt;"&amp;管理年度)-SUMIFS(收款金额,收款键,$Y261,收款年度,"&lt;"&amp;管理年度),2))</f>
        <v/>
      </c>
      <c r="I261" s="40" t="str">
        <f aca="false">IF($Y261="","",ROUND(SUMIFS(应收金额,应收键,$Y261,应收年度,管理年度),2))</f>
        <v/>
      </c>
      <c r="J261" s="40" t="str">
        <f aca="false">IF($Y261="","",ROUND(SUMIFS(应收金额,应收键,$Y261,应收年度,管理年度,应收款别,"合同款"),2))</f>
        <v/>
      </c>
      <c r="K261" s="40" t="str">
        <f aca="false">IF($Y261="","",ROUND($I261-$J261,2))</f>
        <v/>
      </c>
      <c r="L261" s="40" t="str">
        <f aca="false">IF($Y261="","",ROUND(SUMIFS(应收开票额,应收键,$Y261,应收开票年度,管理年度),2))</f>
        <v/>
      </c>
      <c r="M261" s="40" t="str">
        <f aca="false">IF($Y261="","",ROUND($I261-$L261,2))</f>
        <v/>
      </c>
      <c r="N261" s="40" t="str">
        <f aca="false">IF($Y261="","",ROUND(SUMIFS(收款金额,收款键,$Y261,收款年度,管理年度),2))</f>
        <v/>
      </c>
      <c r="O261" s="40" t="str">
        <f aca="false">IF($Y261="","",ROUND(SUMIFS(收款金额,收款键,$Y261,收款年度,管理年度,收款归类,"发票"),2))</f>
        <v/>
      </c>
      <c r="P261" s="40" t="str">
        <f aca="false">IF($Y261="","",ROUND(SUMIFS(收款金额,收款键,$Y261,收款年度,管理年度,收款归类,"收据"),2))</f>
        <v/>
      </c>
      <c r="Q261" s="40" t="str">
        <f aca="false">IF($Y261="","",ROUND(SUMIFS(收款金额,收款键,$Y261,收款年度,管理年度,收款归类,"现金无票"),2))</f>
        <v/>
      </c>
      <c r="R261" s="40" t="str">
        <f aca="false">IF($Y261="","",ROUND(MAX(0,MIN($T261,SUMIF(应收键,$Y261,应收开票额)-SUMIF(收款键,$Y261,收款金额))),2))</f>
        <v/>
      </c>
      <c r="S261" s="40" t="str">
        <f aca="false">IF($Y261="","",ROUND(MAX(0,$T261)-$R261,2))</f>
        <v/>
      </c>
      <c r="T261" s="48" t="str">
        <f aca="false">IF($Y261="","",ROUND(SUMIF(应收键,$Y261,应收金额)-SUMIF(收款键,$Y261,收款金额),2))</f>
        <v/>
      </c>
      <c r="U261" s="49" t="str">
        <f aca="true">IF($AA261="","",IF($T261&lt;=0.01,"",MAX(0,TODAY()-$AA261)))</f>
        <v/>
      </c>
      <c r="V261" s="50" t="str">
        <f aca="true">IF($Y261="","",IF($T261&gt;0.01,IF(AND(ISNUMBER($U261),$U261&gt;=账龄预警天),"▲欠款拖了 "&amp;TEXT($U261,"0")&amp;" 天","欠款未清"),IF($T261&lt;-0.01,"预收/多收","已结清"))&amp;IF(OR($E261="已签未回",$E261="未签",$E261="续签中")," ▲合同未回","")&amp;IF(AND(ISNUMBER($F261),$F261&lt;TODAY())," ▲合同已到期",""))</f>
        <v/>
      </c>
      <c r="W261" s="24"/>
      <c r="X261" s="35" t="str">
        <f aca="false">IF($Y261="","",IF(ROUND($H261+$I261-$N261+$Z261-$T261,2)&lt;&gt;0,"★期初＋本年－已收≠余额",IF(ROUND($R261+$S261-MAX(0,$T261),2)&lt;&gt;0,"★已开票＋未开票≠欠款",IF(ROUND($J261+$K261-$I261,2)&lt;&gt;0,"★合同款＋合同外款≠本年应收",IF(ROUND($O261+$P261+$Q261-$N261,2)&lt;&gt;0,"★发票＋收据＋现金≠本年已收","OK")))))</f>
        <v/>
      </c>
      <c r="Y261" s="35" t="str">
        <f aca="false">IF(维保合同!$C261="","",维保合同!$E261)</f>
        <v/>
      </c>
      <c r="Z261" s="40" t="str">
        <f aca="false">IF($Y261="","",ROUND(SUMIFS(应收金额,应收键,$Y261,应收年度,"&gt;"&amp;管理年度)-SUMIFS(收款金额,收款键,$Y261,收款年度,"&gt;"&amp;管理年度),2))</f>
        <v/>
      </c>
      <c r="AA261" s="47" t="str">
        <f aca="false">IF($Y261="","",IF(SUMPRODUCT(MIN(IF((应收键=$Y261)*(应收未收&gt;0.01),应收日期,999999)))&gt;=999999,"",SUMPRODUCT(MIN(IF((应收键=$Y261)*(应收未收&gt;0.01),应收日期,999999)))))</f>
        <v/>
      </c>
    </row>
    <row r="262" customFormat="false" ht="15" hidden="false" customHeight="false" outlineLevel="0" collapsed="false">
      <c r="A262" s="29" t="str">
        <f aca="false">IF($Y262="","",ROW()-4)</f>
        <v/>
      </c>
      <c r="B262" s="16" t="str">
        <f aca="false">IF($Y262="","",维保合同!$C262)</f>
        <v/>
      </c>
      <c r="C262" s="16" t="str">
        <f aca="false">IF($Y262="","",维保合同!$D262)</f>
        <v/>
      </c>
      <c r="D262" s="35" t="str">
        <f aca="false">IF($Y262="","",维保合同!$F262)</f>
        <v/>
      </c>
      <c r="E262" s="35" t="str">
        <f aca="false">IF($Y262="","",维保合同!$G262)</f>
        <v/>
      </c>
      <c r="F262" s="47" t="str">
        <f aca="false">IF($Y262="","",维保合同!$I262)</f>
        <v/>
      </c>
      <c r="G262" s="38" t="str">
        <f aca="false">IF($Y262="","",维保合同!$K262)</f>
        <v/>
      </c>
      <c r="H262" s="41" t="str">
        <f aca="false">IF($Y262="","",ROUND(SUMIFS(应收金额,应收键,$Y262,应收年度,"&lt;"&amp;管理年度)-SUMIFS(收款金额,收款键,$Y262,收款年度,"&lt;"&amp;管理年度),2))</f>
        <v/>
      </c>
      <c r="I262" s="40" t="str">
        <f aca="false">IF($Y262="","",ROUND(SUMIFS(应收金额,应收键,$Y262,应收年度,管理年度),2))</f>
        <v/>
      </c>
      <c r="J262" s="40" t="str">
        <f aca="false">IF($Y262="","",ROUND(SUMIFS(应收金额,应收键,$Y262,应收年度,管理年度,应收款别,"合同款"),2))</f>
        <v/>
      </c>
      <c r="K262" s="40" t="str">
        <f aca="false">IF($Y262="","",ROUND($I262-$J262,2))</f>
        <v/>
      </c>
      <c r="L262" s="40" t="str">
        <f aca="false">IF($Y262="","",ROUND(SUMIFS(应收开票额,应收键,$Y262,应收开票年度,管理年度),2))</f>
        <v/>
      </c>
      <c r="M262" s="40" t="str">
        <f aca="false">IF($Y262="","",ROUND($I262-$L262,2))</f>
        <v/>
      </c>
      <c r="N262" s="40" t="str">
        <f aca="false">IF($Y262="","",ROUND(SUMIFS(收款金额,收款键,$Y262,收款年度,管理年度),2))</f>
        <v/>
      </c>
      <c r="O262" s="40" t="str">
        <f aca="false">IF($Y262="","",ROUND(SUMIFS(收款金额,收款键,$Y262,收款年度,管理年度,收款归类,"发票"),2))</f>
        <v/>
      </c>
      <c r="P262" s="40" t="str">
        <f aca="false">IF($Y262="","",ROUND(SUMIFS(收款金额,收款键,$Y262,收款年度,管理年度,收款归类,"收据"),2))</f>
        <v/>
      </c>
      <c r="Q262" s="40" t="str">
        <f aca="false">IF($Y262="","",ROUND(SUMIFS(收款金额,收款键,$Y262,收款年度,管理年度,收款归类,"现金无票"),2))</f>
        <v/>
      </c>
      <c r="R262" s="40" t="str">
        <f aca="false">IF($Y262="","",ROUND(MAX(0,MIN($T262,SUMIF(应收键,$Y262,应收开票额)-SUMIF(收款键,$Y262,收款金额))),2))</f>
        <v/>
      </c>
      <c r="S262" s="40" t="str">
        <f aca="false">IF($Y262="","",ROUND(MAX(0,$T262)-$R262,2))</f>
        <v/>
      </c>
      <c r="T262" s="48" t="str">
        <f aca="false">IF($Y262="","",ROUND(SUMIF(应收键,$Y262,应收金额)-SUMIF(收款键,$Y262,收款金额),2))</f>
        <v/>
      </c>
      <c r="U262" s="49" t="str">
        <f aca="true">IF($AA262="","",IF($T262&lt;=0.01,"",MAX(0,TODAY()-$AA262)))</f>
        <v/>
      </c>
      <c r="V262" s="50" t="str">
        <f aca="true">IF($Y262="","",IF($T262&gt;0.01,IF(AND(ISNUMBER($U262),$U262&gt;=账龄预警天),"▲欠款拖了 "&amp;TEXT($U262,"0")&amp;" 天","欠款未清"),IF($T262&lt;-0.01,"预收/多收","已结清"))&amp;IF(OR($E262="已签未回",$E262="未签",$E262="续签中")," ▲合同未回","")&amp;IF(AND(ISNUMBER($F262),$F262&lt;TODAY())," ▲合同已到期",""))</f>
        <v/>
      </c>
      <c r="W262" s="24"/>
      <c r="X262" s="35" t="str">
        <f aca="false">IF($Y262="","",IF(ROUND($H262+$I262-$N262+$Z262-$T262,2)&lt;&gt;0,"★期初＋本年－已收≠余额",IF(ROUND($R262+$S262-MAX(0,$T262),2)&lt;&gt;0,"★已开票＋未开票≠欠款",IF(ROUND($J262+$K262-$I262,2)&lt;&gt;0,"★合同款＋合同外款≠本年应收",IF(ROUND($O262+$P262+$Q262-$N262,2)&lt;&gt;0,"★发票＋收据＋现金≠本年已收","OK")))))</f>
        <v/>
      </c>
      <c r="Y262" s="35" t="str">
        <f aca="false">IF(维保合同!$C262="","",维保合同!$E262)</f>
        <v/>
      </c>
      <c r="Z262" s="40" t="str">
        <f aca="false">IF($Y262="","",ROUND(SUMIFS(应收金额,应收键,$Y262,应收年度,"&gt;"&amp;管理年度)-SUMIFS(收款金额,收款键,$Y262,收款年度,"&gt;"&amp;管理年度),2))</f>
        <v/>
      </c>
      <c r="AA262" s="47" t="str">
        <f aca="false">IF($Y262="","",IF(SUMPRODUCT(MIN(IF((应收键=$Y262)*(应收未收&gt;0.01),应收日期,999999)))&gt;=999999,"",SUMPRODUCT(MIN(IF((应收键=$Y262)*(应收未收&gt;0.01),应收日期,999999)))))</f>
        <v/>
      </c>
    </row>
    <row r="263" customFormat="false" ht="15" hidden="false" customHeight="false" outlineLevel="0" collapsed="false">
      <c r="A263" s="29" t="str">
        <f aca="false">IF($Y263="","",ROW()-4)</f>
        <v/>
      </c>
      <c r="B263" s="16" t="str">
        <f aca="false">IF($Y263="","",维保合同!$C263)</f>
        <v/>
      </c>
      <c r="C263" s="16" t="str">
        <f aca="false">IF($Y263="","",维保合同!$D263)</f>
        <v/>
      </c>
      <c r="D263" s="35" t="str">
        <f aca="false">IF($Y263="","",维保合同!$F263)</f>
        <v/>
      </c>
      <c r="E263" s="35" t="str">
        <f aca="false">IF($Y263="","",维保合同!$G263)</f>
        <v/>
      </c>
      <c r="F263" s="47" t="str">
        <f aca="false">IF($Y263="","",维保合同!$I263)</f>
        <v/>
      </c>
      <c r="G263" s="38" t="str">
        <f aca="false">IF($Y263="","",维保合同!$K263)</f>
        <v/>
      </c>
      <c r="H263" s="41" t="str">
        <f aca="false">IF($Y263="","",ROUND(SUMIFS(应收金额,应收键,$Y263,应收年度,"&lt;"&amp;管理年度)-SUMIFS(收款金额,收款键,$Y263,收款年度,"&lt;"&amp;管理年度),2))</f>
        <v/>
      </c>
      <c r="I263" s="40" t="str">
        <f aca="false">IF($Y263="","",ROUND(SUMIFS(应收金额,应收键,$Y263,应收年度,管理年度),2))</f>
        <v/>
      </c>
      <c r="J263" s="40" t="str">
        <f aca="false">IF($Y263="","",ROUND(SUMIFS(应收金额,应收键,$Y263,应收年度,管理年度,应收款别,"合同款"),2))</f>
        <v/>
      </c>
      <c r="K263" s="40" t="str">
        <f aca="false">IF($Y263="","",ROUND($I263-$J263,2))</f>
        <v/>
      </c>
      <c r="L263" s="40" t="str">
        <f aca="false">IF($Y263="","",ROUND(SUMIFS(应收开票额,应收键,$Y263,应收开票年度,管理年度),2))</f>
        <v/>
      </c>
      <c r="M263" s="40" t="str">
        <f aca="false">IF($Y263="","",ROUND($I263-$L263,2))</f>
        <v/>
      </c>
      <c r="N263" s="40" t="str">
        <f aca="false">IF($Y263="","",ROUND(SUMIFS(收款金额,收款键,$Y263,收款年度,管理年度),2))</f>
        <v/>
      </c>
      <c r="O263" s="40" t="str">
        <f aca="false">IF($Y263="","",ROUND(SUMIFS(收款金额,收款键,$Y263,收款年度,管理年度,收款归类,"发票"),2))</f>
        <v/>
      </c>
      <c r="P263" s="40" t="str">
        <f aca="false">IF($Y263="","",ROUND(SUMIFS(收款金额,收款键,$Y263,收款年度,管理年度,收款归类,"收据"),2))</f>
        <v/>
      </c>
      <c r="Q263" s="40" t="str">
        <f aca="false">IF($Y263="","",ROUND(SUMIFS(收款金额,收款键,$Y263,收款年度,管理年度,收款归类,"现金无票"),2))</f>
        <v/>
      </c>
      <c r="R263" s="40" t="str">
        <f aca="false">IF($Y263="","",ROUND(MAX(0,MIN($T263,SUMIF(应收键,$Y263,应收开票额)-SUMIF(收款键,$Y263,收款金额))),2))</f>
        <v/>
      </c>
      <c r="S263" s="40" t="str">
        <f aca="false">IF($Y263="","",ROUND(MAX(0,$T263)-$R263,2))</f>
        <v/>
      </c>
      <c r="T263" s="48" t="str">
        <f aca="false">IF($Y263="","",ROUND(SUMIF(应收键,$Y263,应收金额)-SUMIF(收款键,$Y263,收款金额),2))</f>
        <v/>
      </c>
      <c r="U263" s="49" t="str">
        <f aca="true">IF($AA263="","",IF($T263&lt;=0.01,"",MAX(0,TODAY()-$AA263)))</f>
        <v/>
      </c>
      <c r="V263" s="50" t="str">
        <f aca="true">IF($Y263="","",IF($T263&gt;0.01,IF(AND(ISNUMBER($U263),$U263&gt;=账龄预警天),"▲欠款拖了 "&amp;TEXT($U263,"0")&amp;" 天","欠款未清"),IF($T263&lt;-0.01,"预收/多收","已结清"))&amp;IF(OR($E263="已签未回",$E263="未签",$E263="续签中")," ▲合同未回","")&amp;IF(AND(ISNUMBER($F263),$F263&lt;TODAY())," ▲合同已到期",""))</f>
        <v/>
      </c>
      <c r="W263" s="24"/>
      <c r="X263" s="35" t="str">
        <f aca="false">IF($Y263="","",IF(ROUND($H263+$I263-$N263+$Z263-$T263,2)&lt;&gt;0,"★期初＋本年－已收≠余额",IF(ROUND($R263+$S263-MAX(0,$T263),2)&lt;&gt;0,"★已开票＋未开票≠欠款",IF(ROUND($J263+$K263-$I263,2)&lt;&gt;0,"★合同款＋合同外款≠本年应收",IF(ROUND($O263+$P263+$Q263-$N263,2)&lt;&gt;0,"★发票＋收据＋现金≠本年已收","OK")))))</f>
        <v/>
      </c>
      <c r="Y263" s="35" t="str">
        <f aca="false">IF(维保合同!$C263="","",维保合同!$E263)</f>
        <v/>
      </c>
      <c r="Z263" s="40" t="str">
        <f aca="false">IF($Y263="","",ROUND(SUMIFS(应收金额,应收键,$Y263,应收年度,"&gt;"&amp;管理年度)-SUMIFS(收款金额,收款键,$Y263,收款年度,"&gt;"&amp;管理年度),2))</f>
        <v/>
      </c>
      <c r="AA263" s="47" t="str">
        <f aca="false">IF($Y263="","",IF(SUMPRODUCT(MIN(IF((应收键=$Y263)*(应收未收&gt;0.01),应收日期,999999)))&gt;=999999,"",SUMPRODUCT(MIN(IF((应收键=$Y263)*(应收未收&gt;0.01),应收日期,999999)))))</f>
        <v/>
      </c>
    </row>
    <row r="264" customFormat="false" ht="15" hidden="false" customHeight="false" outlineLevel="0" collapsed="false">
      <c r="A264" s="29" t="str">
        <f aca="false">IF($Y264="","",ROW()-4)</f>
        <v/>
      </c>
      <c r="B264" s="16" t="str">
        <f aca="false">IF($Y264="","",维保合同!$C264)</f>
        <v/>
      </c>
      <c r="C264" s="16" t="str">
        <f aca="false">IF($Y264="","",维保合同!$D264)</f>
        <v/>
      </c>
      <c r="D264" s="35" t="str">
        <f aca="false">IF($Y264="","",维保合同!$F264)</f>
        <v/>
      </c>
      <c r="E264" s="35" t="str">
        <f aca="false">IF($Y264="","",维保合同!$G264)</f>
        <v/>
      </c>
      <c r="F264" s="47" t="str">
        <f aca="false">IF($Y264="","",维保合同!$I264)</f>
        <v/>
      </c>
      <c r="G264" s="38" t="str">
        <f aca="false">IF($Y264="","",维保合同!$K264)</f>
        <v/>
      </c>
      <c r="H264" s="41" t="str">
        <f aca="false">IF($Y264="","",ROUND(SUMIFS(应收金额,应收键,$Y264,应收年度,"&lt;"&amp;管理年度)-SUMIFS(收款金额,收款键,$Y264,收款年度,"&lt;"&amp;管理年度),2))</f>
        <v/>
      </c>
      <c r="I264" s="40" t="str">
        <f aca="false">IF($Y264="","",ROUND(SUMIFS(应收金额,应收键,$Y264,应收年度,管理年度),2))</f>
        <v/>
      </c>
      <c r="J264" s="40" t="str">
        <f aca="false">IF($Y264="","",ROUND(SUMIFS(应收金额,应收键,$Y264,应收年度,管理年度,应收款别,"合同款"),2))</f>
        <v/>
      </c>
      <c r="K264" s="40" t="str">
        <f aca="false">IF($Y264="","",ROUND($I264-$J264,2))</f>
        <v/>
      </c>
      <c r="L264" s="40" t="str">
        <f aca="false">IF($Y264="","",ROUND(SUMIFS(应收开票额,应收键,$Y264,应收开票年度,管理年度),2))</f>
        <v/>
      </c>
      <c r="M264" s="40" t="str">
        <f aca="false">IF($Y264="","",ROUND($I264-$L264,2))</f>
        <v/>
      </c>
      <c r="N264" s="40" t="str">
        <f aca="false">IF($Y264="","",ROUND(SUMIFS(收款金额,收款键,$Y264,收款年度,管理年度),2))</f>
        <v/>
      </c>
      <c r="O264" s="40" t="str">
        <f aca="false">IF($Y264="","",ROUND(SUMIFS(收款金额,收款键,$Y264,收款年度,管理年度,收款归类,"发票"),2))</f>
        <v/>
      </c>
      <c r="P264" s="40" t="str">
        <f aca="false">IF($Y264="","",ROUND(SUMIFS(收款金额,收款键,$Y264,收款年度,管理年度,收款归类,"收据"),2))</f>
        <v/>
      </c>
      <c r="Q264" s="40" t="str">
        <f aca="false">IF($Y264="","",ROUND(SUMIFS(收款金额,收款键,$Y264,收款年度,管理年度,收款归类,"现金无票"),2))</f>
        <v/>
      </c>
      <c r="R264" s="40" t="str">
        <f aca="false">IF($Y264="","",ROUND(MAX(0,MIN($T264,SUMIF(应收键,$Y264,应收开票额)-SUMIF(收款键,$Y264,收款金额))),2))</f>
        <v/>
      </c>
      <c r="S264" s="40" t="str">
        <f aca="false">IF($Y264="","",ROUND(MAX(0,$T264)-$R264,2))</f>
        <v/>
      </c>
      <c r="T264" s="48" t="str">
        <f aca="false">IF($Y264="","",ROUND(SUMIF(应收键,$Y264,应收金额)-SUMIF(收款键,$Y264,收款金额),2))</f>
        <v/>
      </c>
      <c r="U264" s="49" t="str">
        <f aca="true">IF($AA264="","",IF($T264&lt;=0.01,"",MAX(0,TODAY()-$AA264)))</f>
        <v/>
      </c>
      <c r="V264" s="50" t="str">
        <f aca="true">IF($Y264="","",IF($T264&gt;0.01,IF(AND(ISNUMBER($U264),$U264&gt;=账龄预警天),"▲欠款拖了 "&amp;TEXT($U264,"0")&amp;" 天","欠款未清"),IF($T264&lt;-0.01,"预收/多收","已结清"))&amp;IF(OR($E264="已签未回",$E264="未签",$E264="续签中")," ▲合同未回","")&amp;IF(AND(ISNUMBER($F264),$F264&lt;TODAY())," ▲合同已到期",""))</f>
        <v/>
      </c>
      <c r="W264" s="24"/>
      <c r="X264" s="35" t="str">
        <f aca="false">IF($Y264="","",IF(ROUND($H264+$I264-$N264+$Z264-$T264,2)&lt;&gt;0,"★期初＋本年－已收≠余额",IF(ROUND($R264+$S264-MAX(0,$T264),2)&lt;&gt;0,"★已开票＋未开票≠欠款",IF(ROUND($J264+$K264-$I264,2)&lt;&gt;0,"★合同款＋合同外款≠本年应收",IF(ROUND($O264+$P264+$Q264-$N264,2)&lt;&gt;0,"★发票＋收据＋现金≠本年已收","OK")))))</f>
        <v/>
      </c>
      <c r="Y264" s="35" t="str">
        <f aca="false">IF(维保合同!$C264="","",维保合同!$E264)</f>
        <v/>
      </c>
      <c r="Z264" s="40" t="str">
        <f aca="false">IF($Y264="","",ROUND(SUMIFS(应收金额,应收键,$Y264,应收年度,"&gt;"&amp;管理年度)-SUMIFS(收款金额,收款键,$Y264,收款年度,"&gt;"&amp;管理年度),2))</f>
        <v/>
      </c>
      <c r="AA264" s="47" t="str">
        <f aca="false">IF($Y264="","",IF(SUMPRODUCT(MIN(IF((应收键=$Y264)*(应收未收&gt;0.01),应收日期,999999)))&gt;=999999,"",SUMPRODUCT(MIN(IF((应收键=$Y264)*(应收未收&gt;0.01),应收日期,999999)))))</f>
        <v/>
      </c>
    </row>
    <row r="265" customFormat="false" ht="15" hidden="false" customHeight="false" outlineLevel="0" collapsed="false">
      <c r="A265" s="29" t="str">
        <f aca="false">IF($Y265="","",ROW()-4)</f>
        <v/>
      </c>
      <c r="B265" s="16" t="str">
        <f aca="false">IF($Y265="","",维保合同!$C265)</f>
        <v/>
      </c>
      <c r="C265" s="16" t="str">
        <f aca="false">IF($Y265="","",维保合同!$D265)</f>
        <v/>
      </c>
      <c r="D265" s="35" t="str">
        <f aca="false">IF($Y265="","",维保合同!$F265)</f>
        <v/>
      </c>
      <c r="E265" s="35" t="str">
        <f aca="false">IF($Y265="","",维保合同!$G265)</f>
        <v/>
      </c>
      <c r="F265" s="47" t="str">
        <f aca="false">IF($Y265="","",维保合同!$I265)</f>
        <v/>
      </c>
      <c r="G265" s="38" t="str">
        <f aca="false">IF($Y265="","",维保合同!$K265)</f>
        <v/>
      </c>
      <c r="H265" s="41" t="str">
        <f aca="false">IF($Y265="","",ROUND(SUMIFS(应收金额,应收键,$Y265,应收年度,"&lt;"&amp;管理年度)-SUMIFS(收款金额,收款键,$Y265,收款年度,"&lt;"&amp;管理年度),2))</f>
        <v/>
      </c>
      <c r="I265" s="40" t="str">
        <f aca="false">IF($Y265="","",ROUND(SUMIFS(应收金额,应收键,$Y265,应收年度,管理年度),2))</f>
        <v/>
      </c>
      <c r="J265" s="40" t="str">
        <f aca="false">IF($Y265="","",ROUND(SUMIFS(应收金额,应收键,$Y265,应收年度,管理年度,应收款别,"合同款"),2))</f>
        <v/>
      </c>
      <c r="K265" s="40" t="str">
        <f aca="false">IF($Y265="","",ROUND($I265-$J265,2))</f>
        <v/>
      </c>
      <c r="L265" s="40" t="str">
        <f aca="false">IF($Y265="","",ROUND(SUMIFS(应收开票额,应收键,$Y265,应收开票年度,管理年度),2))</f>
        <v/>
      </c>
      <c r="M265" s="40" t="str">
        <f aca="false">IF($Y265="","",ROUND($I265-$L265,2))</f>
        <v/>
      </c>
      <c r="N265" s="40" t="str">
        <f aca="false">IF($Y265="","",ROUND(SUMIFS(收款金额,收款键,$Y265,收款年度,管理年度),2))</f>
        <v/>
      </c>
      <c r="O265" s="40" t="str">
        <f aca="false">IF($Y265="","",ROUND(SUMIFS(收款金额,收款键,$Y265,收款年度,管理年度,收款归类,"发票"),2))</f>
        <v/>
      </c>
      <c r="P265" s="40" t="str">
        <f aca="false">IF($Y265="","",ROUND(SUMIFS(收款金额,收款键,$Y265,收款年度,管理年度,收款归类,"收据"),2))</f>
        <v/>
      </c>
      <c r="Q265" s="40" t="str">
        <f aca="false">IF($Y265="","",ROUND(SUMIFS(收款金额,收款键,$Y265,收款年度,管理年度,收款归类,"现金无票"),2))</f>
        <v/>
      </c>
      <c r="R265" s="40" t="str">
        <f aca="false">IF($Y265="","",ROUND(MAX(0,MIN($T265,SUMIF(应收键,$Y265,应收开票额)-SUMIF(收款键,$Y265,收款金额))),2))</f>
        <v/>
      </c>
      <c r="S265" s="40" t="str">
        <f aca="false">IF($Y265="","",ROUND(MAX(0,$T265)-$R265,2))</f>
        <v/>
      </c>
      <c r="T265" s="48" t="str">
        <f aca="false">IF($Y265="","",ROUND(SUMIF(应收键,$Y265,应收金额)-SUMIF(收款键,$Y265,收款金额),2))</f>
        <v/>
      </c>
      <c r="U265" s="49" t="str">
        <f aca="true">IF($AA265="","",IF($T265&lt;=0.01,"",MAX(0,TODAY()-$AA265)))</f>
        <v/>
      </c>
      <c r="V265" s="50" t="str">
        <f aca="true">IF($Y265="","",IF($T265&gt;0.01,IF(AND(ISNUMBER($U265),$U265&gt;=账龄预警天),"▲欠款拖了 "&amp;TEXT($U265,"0")&amp;" 天","欠款未清"),IF($T265&lt;-0.01,"预收/多收","已结清"))&amp;IF(OR($E265="已签未回",$E265="未签",$E265="续签中")," ▲合同未回","")&amp;IF(AND(ISNUMBER($F265),$F265&lt;TODAY())," ▲合同已到期",""))</f>
        <v/>
      </c>
      <c r="W265" s="24"/>
      <c r="X265" s="35" t="str">
        <f aca="false">IF($Y265="","",IF(ROUND($H265+$I265-$N265+$Z265-$T265,2)&lt;&gt;0,"★期初＋本年－已收≠余额",IF(ROUND($R265+$S265-MAX(0,$T265),2)&lt;&gt;0,"★已开票＋未开票≠欠款",IF(ROUND($J265+$K265-$I265,2)&lt;&gt;0,"★合同款＋合同外款≠本年应收",IF(ROUND($O265+$P265+$Q265-$N265,2)&lt;&gt;0,"★发票＋收据＋现金≠本年已收","OK")))))</f>
        <v/>
      </c>
      <c r="Y265" s="35" t="str">
        <f aca="false">IF(维保合同!$C265="","",维保合同!$E265)</f>
        <v/>
      </c>
      <c r="Z265" s="40" t="str">
        <f aca="false">IF($Y265="","",ROUND(SUMIFS(应收金额,应收键,$Y265,应收年度,"&gt;"&amp;管理年度)-SUMIFS(收款金额,收款键,$Y265,收款年度,"&gt;"&amp;管理年度),2))</f>
        <v/>
      </c>
      <c r="AA265" s="47" t="str">
        <f aca="false">IF($Y265="","",IF(SUMPRODUCT(MIN(IF((应收键=$Y265)*(应收未收&gt;0.01),应收日期,999999)))&gt;=999999,"",SUMPRODUCT(MIN(IF((应收键=$Y265)*(应收未收&gt;0.01),应收日期,999999)))))</f>
        <v/>
      </c>
    </row>
    <row r="266" customFormat="false" ht="15" hidden="false" customHeight="false" outlineLevel="0" collapsed="false">
      <c r="A266" s="29" t="str">
        <f aca="false">IF($Y266="","",ROW()-4)</f>
        <v/>
      </c>
      <c r="B266" s="16" t="str">
        <f aca="false">IF($Y266="","",维保合同!$C266)</f>
        <v/>
      </c>
      <c r="C266" s="16" t="str">
        <f aca="false">IF($Y266="","",维保合同!$D266)</f>
        <v/>
      </c>
      <c r="D266" s="35" t="str">
        <f aca="false">IF($Y266="","",维保合同!$F266)</f>
        <v/>
      </c>
      <c r="E266" s="35" t="str">
        <f aca="false">IF($Y266="","",维保合同!$G266)</f>
        <v/>
      </c>
      <c r="F266" s="47" t="str">
        <f aca="false">IF($Y266="","",维保合同!$I266)</f>
        <v/>
      </c>
      <c r="G266" s="38" t="str">
        <f aca="false">IF($Y266="","",维保合同!$K266)</f>
        <v/>
      </c>
      <c r="H266" s="41" t="str">
        <f aca="false">IF($Y266="","",ROUND(SUMIFS(应收金额,应收键,$Y266,应收年度,"&lt;"&amp;管理年度)-SUMIFS(收款金额,收款键,$Y266,收款年度,"&lt;"&amp;管理年度),2))</f>
        <v/>
      </c>
      <c r="I266" s="40" t="str">
        <f aca="false">IF($Y266="","",ROUND(SUMIFS(应收金额,应收键,$Y266,应收年度,管理年度),2))</f>
        <v/>
      </c>
      <c r="J266" s="40" t="str">
        <f aca="false">IF($Y266="","",ROUND(SUMIFS(应收金额,应收键,$Y266,应收年度,管理年度,应收款别,"合同款"),2))</f>
        <v/>
      </c>
      <c r="K266" s="40" t="str">
        <f aca="false">IF($Y266="","",ROUND($I266-$J266,2))</f>
        <v/>
      </c>
      <c r="L266" s="40" t="str">
        <f aca="false">IF($Y266="","",ROUND(SUMIFS(应收开票额,应收键,$Y266,应收开票年度,管理年度),2))</f>
        <v/>
      </c>
      <c r="M266" s="40" t="str">
        <f aca="false">IF($Y266="","",ROUND($I266-$L266,2))</f>
        <v/>
      </c>
      <c r="N266" s="40" t="str">
        <f aca="false">IF($Y266="","",ROUND(SUMIFS(收款金额,收款键,$Y266,收款年度,管理年度),2))</f>
        <v/>
      </c>
      <c r="O266" s="40" t="str">
        <f aca="false">IF($Y266="","",ROUND(SUMIFS(收款金额,收款键,$Y266,收款年度,管理年度,收款归类,"发票"),2))</f>
        <v/>
      </c>
      <c r="P266" s="40" t="str">
        <f aca="false">IF($Y266="","",ROUND(SUMIFS(收款金额,收款键,$Y266,收款年度,管理年度,收款归类,"收据"),2))</f>
        <v/>
      </c>
      <c r="Q266" s="40" t="str">
        <f aca="false">IF($Y266="","",ROUND(SUMIFS(收款金额,收款键,$Y266,收款年度,管理年度,收款归类,"现金无票"),2))</f>
        <v/>
      </c>
      <c r="R266" s="40" t="str">
        <f aca="false">IF($Y266="","",ROUND(MAX(0,MIN($T266,SUMIF(应收键,$Y266,应收开票额)-SUMIF(收款键,$Y266,收款金额))),2))</f>
        <v/>
      </c>
      <c r="S266" s="40" t="str">
        <f aca="false">IF($Y266="","",ROUND(MAX(0,$T266)-$R266,2))</f>
        <v/>
      </c>
      <c r="T266" s="48" t="str">
        <f aca="false">IF($Y266="","",ROUND(SUMIF(应收键,$Y266,应收金额)-SUMIF(收款键,$Y266,收款金额),2))</f>
        <v/>
      </c>
      <c r="U266" s="49" t="str">
        <f aca="true">IF($AA266="","",IF($T266&lt;=0.01,"",MAX(0,TODAY()-$AA266)))</f>
        <v/>
      </c>
      <c r="V266" s="50" t="str">
        <f aca="true">IF($Y266="","",IF($T266&gt;0.01,IF(AND(ISNUMBER($U266),$U266&gt;=账龄预警天),"▲欠款拖了 "&amp;TEXT($U266,"0")&amp;" 天","欠款未清"),IF($T266&lt;-0.01,"预收/多收","已结清"))&amp;IF(OR($E266="已签未回",$E266="未签",$E266="续签中")," ▲合同未回","")&amp;IF(AND(ISNUMBER($F266),$F266&lt;TODAY())," ▲合同已到期",""))</f>
        <v/>
      </c>
      <c r="W266" s="24"/>
      <c r="X266" s="35" t="str">
        <f aca="false">IF($Y266="","",IF(ROUND($H266+$I266-$N266+$Z266-$T266,2)&lt;&gt;0,"★期初＋本年－已收≠余额",IF(ROUND($R266+$S266-MAX(0,$T266),2)&lt;&gt;0,"★已开票＋未开票≠欠款",IF(ROUND($J266+$K266-$I266,2)&lt;&gt;0,"★合同款＋合同外款≠本年应收",IF(ROUND($O266+$P266+$Q266-$N266,2)&lt;&gt;0,"★发票＋收据＋现金≠本年已收","OK")))))</f>
        <v/>
      </c>
      <c r="Y266" s="35" t="str">
        <f aca="false">IF(维保合同!$C266="","",维保合同!$E266)</f>
        <v/>
      </c>
      <c r="Z266" s="40" t="str">
        <f aca="false">IF($Y266="","",ROUND(SUMIFS(应收金额,应收键,$Y266,应收年度,"&gt;"&amp;管理年度)-SUMIFS(收款金额,收款键,$Y266,收款年度,"&gt;"&amp;管理年度),2))</f>
        <v/>
      </c>
      <c r="AA266" s="47" t="str">
        <f aca="false">IF($Y266="","",IF(SUMPRODUCT(MIN(IF((应收键=$Y266)*(应收未收&gt;0.01),应收日期,999999)))&gt;=999999,"",SUMPRODUCT(MIN(IF((应收键=$Y266)*(应收未收&gt;0.01),应收日期,999999)))))</f>
        <v/>
      </c>
    </row>
    <row r="267" customFormat="false" ht="15" hidden="false" customHeight="false" outlineLevel="0" collapsed="false">
      <c r="A267" s="29" t="str">
        <f aca="false">IF($Y267="","",ROW()-4)</f>
        <v/>
      </c>
      <c r="B267" s="16" t="str">
        <f aca="false">IF($Y267="","",维保合同!$C267)</f>
        <v/>
      </c>
      <c r="C267" s="16" t="str">
        <f aca="false">IF($Y267="","",维保合同!$D267)</f>
        <v/>
      </c>
      <c r="D267" s="35" t="str">
        <f aca="false">IF($Y267="","",维保合同!$F267)</f>
        <v/>
      </c>
      <c r="E267" s="35" t="str">
        <f aca="false">IF($Y267="","",维保合同!$G267)</f>
        <v/>
      </c>
      <c r="F267" s="47" t="str">
        <f aca="false">IF($Y267="","",维保合同!$I267)</f>
        <v/>
      </c>
      <c r="G267" s="38" t="str">
        <f aca="false">IF($Y267="","",维保合同!$K267)</f>
        <v/>
      </c>
      <c r="H267" s="41" t="str">
        <f aca="false">IF($Y267="","",ROUND(SUMIFS(应收金额,应收键,$Y267,应收年度,"&lt;"&amp;管理年度)-SUMIFS(收款金额,收款键,$Y267,收款年度,"&lt;"&amp;管理年度),2))</f>
        <v/>
      </c>
      <c r="I267" s="40" t="str">
        <f aca="false">IF($Y267="","",ROUND(SUMIFS(应收金额,应收键,$Y267,应收年度,管理年度),2))</f>
        <v/>
      </c>
      <c r="J267" s="40" t="str">
        <f aca="false">IF($Y267="","",ROUND(SUMIFS(应收金额,应收键,$Y267,应收年度,管理年度,应收款别,"合同款"),2))</f>
        <v/>
      </c>
      <c r="K267" s="40" t="str">
        <f aca="false">IF($Y267="","",ROUND($I267-$J267,2))</f>
        <v/>
      </c>
      <c r="L267" s="40" t="str">
        <f aca="false">IF($Y267="","",ROUND(SUMIFS(应收开票额,应收键,$Y267,应收开票年度,管理年度),2))</f>
        <v/>
      </c>
      <c r="M267" s="40" t="str">
        <f aca="false">IF($Y267="","",ROUND($I267-$L267,2))</f>
        <v/>
      </c>
      <c r="N267" s="40" t="str">
        <f aca="false">IF($Y267="","",ROUND(SUMIFS(收款金额,收款键,$Y267,收款年度,管理年度),2))</f>
        <v/>
      </c>
      <c r="O267" s="40" t="str">
        <f aca="false">IF($Y267="","",ROUND(SUMIFS(收款金额,收款键,$Y267,收款年度,管理年度,收款归类,"发票"),2))</f>
        <v/>
      </c>
      <c r="P267" s="40" t="str">
        <f aca="false">IF($Y267="","",ROUND(SUMIFS(收款金额,收款键,$Y267,收款年度,管理年度,收款归类,"收据"),2))</f>
        <v/>
      </c>
      <c r="Q267" s="40" t="str">
        <f aca="false">IF($Y267="","",ROUND(SUMIFS(收款金额,收款键,$Y267,收款年度,管理年度,收款归类,"现金无票"),2))</f>
        <v/>
      </c>
      <c r="R267" s="40" t="str">
        <f aca="false">IF($Y267="","",ROUND(MAX(0,MIN($T267,SUMIF(应收键,$Y267,应收开票额)-SUMIF(收款键,$Y267,收款金额))),2))</f>
        <v/>
      </c>
      <c r="S267" s="40" t="str">
        <f aca="false">IF($Y267="","",ROUND(MAX(0,$T267)-$R267,2))</f>
        <v/>
      </c>
      <c r="T267" s="48" t="str">
        <f aca="false">IF($Y267="","",ROUND(SUMIF(应收键,$Y267,应收金额)-SUMIF(收款键,$Y267,收款金额),2))</f>
        <v/>
      </c>
      <c r="U267" s="49" t="str">
        <f aca="true">IF($AA267="","",IF($T267&lt;=0.01,"",MAX(0,TODAY()-$AA267)))</f>
        <v/>
      </c>
      <c r="V267" s="50" t="str">
        <f aca="true">IF($Y267="","",IF($T267&gt;0.01,IF(AND(ISNUMBER($U267),$U267&gt;=账龄预警天),"▲欠款拖了 "&amp;TEXT($U267,"0")&amp;" 天","欠款未清"),IF($T267&lt;-0.01,"预收/多收","已结清"))&amp;IF(OR($E267="已签未回",$E267="未签",$E267="续签中")," ▲合同未回","")&amp;IF(AND(ISNUMBER($F267),$F267&lt;TODAY())," ▲合同已到期",""))</f>
        <v/>
      </c>
      <c r="W267" s="24"/>
      <c r="X267" s="35" t="str">
        <f aca="false">IF($Y267="","",IF(ROUND($H267+$I267-$N267+$Z267-$T267,2)&lt;&gt;0,"★期初＋本年－已收≠余额",IF(ROUND($R267+$S267-MAX(0,$T267),2)&lt;&gt;0,"★已开票＋未开票≠欠款",IF(ROUND($J267+$K267-$I267,2)&lt;&gt;0,"★合同款＋合同外款≠本年应收",IF(ROUND($O267+$P267+$Q267-$N267,2)&lt;&gt;0,"★发票＋收据＋现金≠本年已收","OK")))))</f>
        <v/>
      </c>
      <c r="Y267" s="35" t="str">
        <f aca="false">IF(维保合同!$C267="","",维保合同!$E267)</f>
        <v/>
      </c>
      <c r="Z267" s="40" t="str">
        <f aca="false">IF($Y267="","",ROUND(SUMIFS(应收金额,应收键,$Y267,应收年度,"&gt;"&amp;管理年度)-SUMIFS(收款金额,收款键,$Y267,收款年度,"&gt;"&amp;管理年度),2))</f>
        <v/>
      </c>
      <c r="AA267" s="47" t="str">
        <f aca="false">IF($Y267="","",IF(SUMPRODUCT(MIN(IF((应收键=$Y267)*(应收未收&gt;0.01),应收日期,999999)))&gt;=999999,"",SUMPRODUCT(MIN(IF((应收键=$Y267)*(应收未收&gt;0.01),应收日期,999999)))))</f>
        <v/>
      </c>
    </row>
    <row r="268" customFormat="false" ht="15" hidden="false" customHeight="false" outlineLevel="0" collapsed="false">
      <c r="A268" s="29" t="str">
        <f aca="false">IF($Y268="","",ROW()-4)</f>
        <v/>
      </c>
      <c r="B268" s="16" t="str">
        <f aca="false">IF($Y268="","",维保合同!$C268)</f>
        <v/>
      </c>
      <c r="C268" s="16" t="str">
        <f aca="false">IF($Y268="","",维保合同!$D268)</f>
        <v/>
      </c>
      <c r="D268" s="35" t="str">
        <f aca="false">IF($Y268="","",维保合同!$F268)</f>
        <v/>
      </c>
      <c r="E268" s="35" t="str">
        <f aca="false">IF($Y268="","",维保合同!$G268)</f>
        <v/>
      </c>
      <c r="F268" s="47" t="str">
        <f aca="false">IF($Y268="","",维保合同!$I268)</f>
        <v/>
      </c>
      <c r="G268" s="38" t="str">
        <f aca="false">IF($Y268="","",维保合同!$K268)</f>
        <v/>
      </c>
      <c r="H268" s="41" t="str">
        <f aca="false">IF($Y268="","",ROUND(SUMIFS(应收金额,应收键,$Y268,应收年度,"&lt;"&amp;管理年度)-SUMIFS(收款金额,收款键,$Y268,收款年度,"&lt;"&amp;管理年度),2))</f>
        <v/>
      </c>
      <c r="I268" s="40" t="str">
        <f aca="false">IF($Y268="","",ROUND(SUMIFS(应收金额,应收键,$Y268,应收年度,管理年度),2))</f>
        <v/>
      </c>
      <c r="J268" s="40" t="str">
        <f aca="false">IF($Y268="","",ROUND(SUMIFS(应收金额,应收键,$Y268,应收年度,管理年度,应收款别,"合同款"),2))</f>
        <v/>
      </c>
      <c r="K268" s="40" t="str">
        <f aca="false">IF($Y268="","",ROUND($I268-$J268,2))</f>
        <v/>
      </c>
      <c r="L268" s="40" t="str">
        <f aca="false">IF($Y268="","",ROUND(SUMIFS(应收开票额,应收键,$Y268,应收开票年度,管理年度),2))</f>
        <v/>
      </c>
      <c r="M268" s="40" t="str">
        <f aca="false">IF($Y268="","",ROUND($I268-$L268,2))</f>
        <v/>
      </c>
      <c r="N268" s="40" t="str">
        <f aca="false">IF($Y268="","",ROUND(SUMIFS(收款金额,收款键,$Y268,收款年度,管理年度),2))</f>
        <v/>
      </c>
      <c r="O268" s="40" t="str">
        <f aca="false">IF($Y268="","",ROUND(SUMIFS(收款金额,收款键,$Y268,收款年度,管理年度,收款归类,"发票"),2))</f>
        <v/>
      </c>
      <c r="P268" s="40" t="str">
        <f aca="false">IF($Y268="","",ROUND(SUMIFS(收款金额,收款键,$Y268,收款年度,管理年度,收款归类,"收据"),2))</f>
        <v/>
      </c>
      <c r="Q268" s="40" t="str">
        <f aca="false">IF($Y268="","",ROUND(SUMIFS(收款金额,收款键,$Y268,收款年度,管理年度,收款归类,"现金无票"),2))</f>
        <v/>
      </c>
      <c r="R268" s="40" t="str">
        <f aca="false">IF($Y268="","",ROUND(MAX(0,MIN($T268,SUMIF(应收键,$Y268,应收开票额)-SUMIF(收款键,$Y268,收款金额))),2))</f>
        <v/>
      </c>
      <c r="S268" s="40" t="str">
        <f aca="false">IF($Y268="","",ROUND(MAX(0,$T268)-$R268,2))</f>
        <v/>
      </c>
      <c r="T268" s="48" t="str">
        <f aca="false">IF($Y268="","",ROUND(SUMIF(应收键,$Y268,应收金额)-SUMIF(收款键,$Y268,收款金额),2))</f>
        <v/>
      </c>
      <c r="U268" s="49" t="str">
        <f aca="true">IF($AA268="","",IF($T268&lt;=0.01,"",MAX(0,TODAY()-$AA268)))</f>
        <v/>
      </c>
      <c r="V268" s="50" t="str">
        <f aca="true">IF($Y268="","",IF($T268&gt;0.01,IF(AND(ISNUMBER($U268),$U268&gt;=账龄预警天),"▲欠款拖了 "&amp;TEXT($U268,"0")&amp;" 天","欠款未清"),IF($T268&lt;-0.01,"预收/多收","已结清"))&amp;IF(OR($E268="已签未回",$E268="未签",$E268="续签中")," ▲合同未回","")&amp;IF(AND(ISNUMBER($F268),$F268&lt;TODAY())," ▲合同已到期",""))</f>
        <v/>
      </c>
      <c r="W268" s="24"/>
      <c r="X268" s="35" t="str">
        <f aca="false">IF($Y268="","",IF(ROUND($H268+$I268-$N268+$Z268-$T268,2)&lt;&gt;0,"★期初＋本年－已收≠余额",IF(ROUND($R268+$S268-MAX(0,$T268),2)&lt;&gt;0,"★已开票＋未开票≠欠款",IF(ROUND($J268+$K268-$I268,2)&lt;&gt;0,"★合同款＋合同外款≠本年应收",IF(ROUND($O268+$P268+$Q268-$N268,2)&lt;&gt;0,"★发票＋收据＋现金≠本年已收","OK")))))</f>
        <v/>
      </c>
      <c r="Y268" s="35" t="str">
        <f aca="false">IF(维保合同!$C268="","",维保合同!$E268)</f>
        <v/>
      </c>
      <c r="Z268" s="40" t="str">
        <f aca="false">IF($Y268="","",ROUND(SUMIFS(应收金额,应收键,$Y268,应收年度,"&gt;"&amp;管理年度)-SUMIFS(收款金额,收款键,$Y268,收款年度,"&gt;"&amp;管理年度),2))</f>
        <v/>
      </c>
      <c r="AA268" s="47" t="str">
        <f aca="false">IF($Y268="","",IF(SUMPRODUCT(MIN(IF((应收键=$Y268)*(应收未收&gt;0.01),应收日期,999999)))&gt;=999999,"",SUMPRODUCT(MIN(IF((应收键=$Y268)*(应收未收&gt;0.01),应收日期,999999)))))</f>
        <v/>
      </c>
    </row>
    <row r="269" customFormat="false" ht="15" hidden="false" customHeight="false" outlineLevel="0" collapsed="false">
      <c r="A269" s="29" t="str">
        <f aca="false">IF($Y269="","",ROW()-4)</f>
        <v/>
      </c>
      <c r="B269" s="16" t="str">
        <f aca="false">IF($Y269="","",维保合同!$C269)</f>
        <v/>
      </c>
      <c r="C269" s="16" t="str">
        <f aca="false">IF($Y269="","",维保合同!$D269)</f>
        <v/>
      </c>
      <c r="D269" s="35" t="str">
        <f aca="false">IF($Y269="","",维保合同!$F269)</f>
        <v/>
      </c>
      <c r="E269" s="35" t="str">
        <f aca="false">IF($Y269="","",维保合同!$G269)</f>
        <v/>
      </c>
      <c r="F269" s="47" t="str">
        <f aca="false">IF($Y269="","",维保合同!$I269)</f>
        <v/>
      </c>
      <c r="G269" s="38" t="str">
        <f aca="false">IF($Y269="","",维保合同!$K269)</f>
        <v/>
      </c>
      <c r="H269" s="41" t="str">
        <f aca="false">IF($Y269="","",ROUND(SUMIFS(应收金额,应收键,$Y269,应收年度,"&lt;"&amp;管理年度)-SUMIFS(收款金额,收款键,$Y269,收款年度,"&lt;"&amp;管理年度),2))</f>
        <v/>
      </c>
      <c r="I269" s="40" t="str">
        <f aca="false">IF($Y269="","",ROUND(SUMIFS(应收金额,应收键,$Y269,应收年度,管理年度),2))</f>
        <v/>
      </c>
      <c r="J269" s="40" t="str">
        <f aca="false">IF($Y269="","",ROUND(SUMIFS(应收金额,应收键,$Y269,应收年度,管理年度,应收款别,"合同款"),2))</f>
        <v/>
      </c>
      <c r="K269" s="40" t="str">
        <f aca="false">IF($Y269="","",ROUND($I269-$J269,2))</f>
        <v/>
      </c>
      <c r="L269" s="40" t="str">
        <f aca="false">IF($Y269="","",ROUND(SUMIFS(应收开票额,应收键,$Y269,应收开票年度,管理年度),2))</f>
        <v/>
      </c>
      <c r="M269" s="40" t="str">
        <f aca="false">IF($Y269="","",ROUND($I269-$L269,2))</f>
        <v/>
      </c>
      <c r="N269" s="40" t="str">
        <f aca="false">IF($Y269="","",ROUND(SUMIFS(收款金额,收款键,$Y269,收款年度,管理年度),2))</f>
        <v/>
      </c>
      <c r="O269" s="40" t="str">
        <f aca="false">IF($Y269="","",ROUND(SUMIFS(收款金额,收款键,$Y269,收款年度,管理年度,收款归类,"发票"),2))</f>
        <v/>
      </c>
      <c r="P269" s="40" t="str">
        <f aca="false">IF($Y269="","",ROUND(SUMIFS(收款金额,收款键,$Y269,收款年度,管理年度,收款归类,"收据"),2))</f>
        <v/>
      </c>
      <c r="Q269" s="40" t="str">
        <f aca="false">IF($Y269="","",ROUND(SUMIFS(收款金额,收款键,$Y269,收款年度,管理年度,收款归类,"现金无票"),2))</f>
        <v/>
      </c>
      <c r="R269" s="40" t="str">
        <f aca="false">IF($Y269="","",ROUND(MAX(0,MIN($T269,SUMIF(应收键,$Y269,应收开票额)-SUMIF(收款键,$Y269,收款金额))),2))</f>
        <v/>
      </c>
      <c r="S269" s="40" t="str">
        <f aca="false">IF($Y269="","",ROUND(MAX(0,$T269)-$R269,2))</f>
        <v/>
      </c>
      <c r="T269" s="48" t="str">
        <f aca="false">IF($Y269="","",ROUND(SUMIF(应收键,$Y269,应收金额)-SUMIF(收款键,$Y269,收款金额),2))</f>
        <v/>
      </c>
      <c r="U269" s="49" t="str">
        <f aca="true">IF($AA269="","",IF($T269&lt;=0.01,"",MAX(0,TODAY()-$AA269)))</f>
        <v/>
      </c>
      <c r="V269" s="50" t="str">
        <f aca="true">IF($Y269="","",IF($T269&gt;0.01,IF(AND(ISNUMBER($U269),$U269&gt;=账龄预警天),"▲欠款拖了 "&amp;TEXT($U269,"0")&amp;" 天","欠款未清"),IF($T269&lt;-0.01,"预收/多收","已结清"))&amp;IF(OR($E269="已签未回",$E269="未签",$E269="续签中")," ▲合同未回","")&amp;IF(AND(ISNUMBER($F269),$F269&lt;TODAY())," ▲合同已到期",""))</f>
        <v/>
      </c>
      <c r="W269" s="24"/>
      <c r="X269" s="35" t="str">
        <f aca="false">IF($Y269="","",IF(ROUND($H269+$I269-$N269+$Z269-$T269,2)&lt;&gt;0,"★期初＋本年－已收≠余额",IF(ROUND($R269+$S269-MAX(0,$T269),2)&lt;&gt;0,"★已开票＋未开票≠欠款",IF(ROUND($J269+$K269-$I269,2)&lt;&gt;0,"★合同款＋合同外款≠本年应收",IF(ROUND($O269+$P269+$Q269-$N269,2)&lt;&gt;0,"★发票＋收据＋现金≠本年已收","OK")))))</f>
        <v/>
      </c>
      <c r="Y269" s="35" t="str">
        <f aca="false">IF(维保合同!$C269="","",维保合同!$E269)</f>
        <v/>
      </c>
      <c r="Z269" s="40" t="str">
        <f aca="false">IF($Y269="","",ROUND(SUMIFS(应收金额,应收键,$Y269,应收年度,"&gt;"&amp;管理年度)-SUMIFS(收款金额,收款键,$Y269,收款年度,"&gt;"&amp;管理年度),2))</f>
        <v/>
      </c>
      <c r="AA269" s="47" t="str">
        <f aca="false">IF($Y269="","",IF(SUMPRODUCT(MIN(IF((应收键=$Y269)*(应收未收&gt;0.01),应收日期,999999)))&gt;=999999,"",SUMPRODUCT(MIN(IF((应收键=$Y269)*(应收未收&gt;0.01),应收日期,999999)))))</f>
        <v/>
      </c>
    </row>
    <row r="270" customFormat="false" ht="15" hidden="false" customHeight="false" outlineLevel="0" collapsed="false">
      <c r="A270" s="29" t="str">
        <f aca="false">IF($Y270="","",ROW()-4)</f>
        <v/>
      </c>
      <c r="B270" s="16" t="str">
        <f aca="false">IF($Y270="","",维保合同!$C270)</f>
        <v/>
      </c>
      <c r="C270" s="16" t="str">
        <f aca="false">IF($Y270="","",维保合同!$D270)</f>
        <v/>
      </c>
      <c r="D270" s="35" t="str">
        <f aca="false">IF($Y270="","",维保合同!$F270)</f>
        <v/>
      </c>
      <c r="E270" s="35" t="str">
        <f aca="false">IF($Y270="","",维保合同!$G270)</f>
        <v/>
      </c>
      <c r="F270" s="47" t="str">
        <f aca="false">IF($Y270="","",维保合同!$I270)</f>
        <v/>
      </c>
      <c r="G270" s="38" t="str">
        <f aca="false">IF($Y270="","",维保合同!$K270)</f>
        <v/>
      </c>
      <c r="H270" s="41" t="str">
        <f aca="false">IF($Y270="","",ROUND(SUMIFS(应收金额,应收键,$Y270,应收年度,"&lt;"&amp;管理年度)-SUMIFS(收款金额,收款键,$Y270,收款年度,"&lt;"&amp;管理年度),2))</f>
        <v/>
      </c>
      <c r="I270" s="40" t="str">
        <f aca="false">IF($Y270="","",ROUND(SUMIFS(应收金额,应收键,$Y270,应收年度,管理年度),2))</f>
        <v/>
      </c>
      <c r="J270" s="40" t="str">
        <f aca="false">IF($Y270="","",ROUND(SUMIFS(应收金额,应收键,$Y270,应收年度,管理年度,应收款别,"合同款"),2))</f>
        <v/>
      </c>
      <c r="K270" s="40" t="str">
        <f aca="false">IF($Y270="","",ROUND($I270-$J270,2))</f>
        <v/>
      </c>
      <c r="L270" s="40" t="str">
        <f aca="false">IF($Y270="","",ROUND(SUMIFS(应收开票额,应收键,$Y270,应收开票年度,管理年度),2))</f>
        <v/>
      </c>
      <c r="M270" s="40" t="str">
        <f aca="false">IF($Y270="","",ROUND($I270-$L270,2))</f>
        <v/>
      </c>
      <c r="N270" s="40" t="str">
        <f aca="false">IF($Y270="","",ROUND(SUMIFS(收款金额,收款键,$Y270,收款年度,管理年度),2))</f>
        <v/>
      </c>
      <c r="O270" s="40" t="str">
        <f aca="false">IF($Y270="","",ROUND(SUMIFS(收款金额,收款键,$Y270,收款年度,管理年度,收款归类,"发票"),2))</f>
        <v/>
      </c>
      <c r="P270" s="40" t="str">
        <f aca="false">IF($Y270="","",ROUND(SUMIFS(收款金额,收款键,$Y270,收款年度,管理年度,收款归类,"收据"),2))</f>
        <v/>
      </c>
      <c r="Q270" s="40" t="str">
        <f aca="false">IF($Y270="","",ROUND(SUMIFS(收款金额,收款键,$Y270,收款年度,管理年度,收款归类,"现金无票"),2))</f>
        <v/>
      </c>
      <c r="R270" s="40" t="str">
        <f aca="false">IF($Y270="","",ROUND(MAX(0,MIN($T270,SUMIF(应收键,$Y270,应收开票额)-SUMIF(收款键,$Y270,收款金额))),2))</f>
        <v/>
      </c>
      <c r="S270" s="40" t="str">
        <f aca="false">IF($Y270="","",ROUND(MAX(0,$T270)-$R270,2))</f>
        <v/>
      </c>
      <c r="T270" s="48" t="str">
        <f aca="false">IF($Y270="","",ROUND(SUMIF(应收键,$Y270,应收金额)-SUMIF(收款键,$Y270,收款金额),2))</f>
        <v/>
      </c>
      <c r="U270" s="49" t="str">
        <f aca="true">IF($AA270="","",IF($T270&lt;=0.01,"",MAX(0,TODAY()-$AA270)))</f>
        <v/>
      </c>
      <c r="V270" s="50" t="str">
        <f aca="true">IF($Y270="","",IF($T270&gt;0.01,IF(AND(ISNUMBER($U270),$U270&gt;=账龄预警天),"▲欠款拖了 "&amp;TEXT($U270,"0")&amp;" 天","欠款未清"),IF($T270&lt;-0.01,"预收/多收","已结清"))&amp;IF(OR($E270="已签未回",$E270="未签",$E270="续签中")," ▲合同未回","")&amp;IF(AND(ISNUMBER($F270),$F270&lt;TODAY())," ▲合同已到期",""))</f>
        <v/>
      </c>
      <c r="W270" s="24"/>
      <c r="X270" s="35" t="str">
        <f aca="false">IF($Y270="","",IF(ROUND($H270+$I270-$N270+$Z270-$T270,2)&lt;&gt;0,"★期初＋本年－已收≠余额",IF(ROUND($R270+$S270-MAX(0,$T270),2)&lt;&gt;0,"★已开票＋未开票≠欠款",IF(ROUND($J270+$K270-$I270,2)&lt;&gt;0,"★合同款＋合同外款≠本年应收",IF(ROUND($O270+$P270+$Q270-$N270,2)&lt;&gt;0,"★发票＋收据＋现金≠本年已收","OK")))))</f>
        <v/>
      </c>
      <c r="Y270" s="35" t="str">
        <f aca="false">IF(维保合同!$C270="","",维保合同!$E270)</f>
        <v/>
      </c>
      <c r="Z270" s="40" t="str">
        <f aca="false">IF($Y270="","",ROUND(SUMIFS(应收金额,应收键,$Y270,应收年度,"&gt;"&amp;管理年度)-SUMIFS(收款金额,收款键,$Y270,收款年度,"&gt;"&amp;管理年度),2))</f>
        <v/>
      </c>
      <c r="AA270" s="47" t="str">
        <f aca="false">IF($Y270="","",IF(SUMPRODUCT(MIN(IF((应收键=$Y270)*(应收未收&gt;0.01),应收日期,999999)))&gt;=999999,"",SUMPRODUCT(MIN(IF((应收键=$Y270)*(应收未收&gt;0.01),应收日期,999999)))))</f>
        <v/>
      </c>
    </row>
    <row r="271" customFormat="false" ht="15" hidden="false" customHeight="false" outlineLevel="0" collapsed="false">
      <c r="A271" s="29" t="str">
        <f aca="false">IF($Y271="","",ROW()-4)</f>
        <v/>
      </c>
      <c r="B271" s="16" t="str">
        <f aca="false">IF($Y271="","",维保合同!$C271)</f>
        <v/>
      </c>
      <c r="C271" s="16" t="str">
        <f aca="false">IF($Y271="","",维保合同!$D271)</f>
        <v/>
      </c>
      <c r="D271" s="35" t="str">
        <f aca="false">IF($Y271="","",维保合同!$F271)</f>
        <v/>
      </c>
      <c r="E271" s="35" t="str">
        <f aca="false">IF($Y271="","",维保合同!$G271)</f>
        <v/>
      </c>
      <c r="F271" s="47" t="str">
        <f aca="false">IF($Y271="","",维保合同!$I271)</f>
        <v/>
      </c>
      <c r="G271" s="38" t="str">
        <f aca="false">IF($Y271="","",维保合同!$K271)</f>
        <v/>
      </c>
      <c r="H271" s="41" t="str">
        <f aca="false">IF($Y271="","",ROUND(SUMIFS(应收金额,应收键,$Y271,应收年度,"&lt;"&amp;管理年度)-SUMIFS(收款金额,收款键,$Y271,收款年度,"&lt;"&amp;管理年度),2))</f>
        <v/>
      </c>
      <c r="I271" s="40" t="str">
        <f aca="false">IF($Y271="","",ROUND(SUMIFS(应收金额,应收键,$Y271,应收年度,管理年度),2))</f>
        <v/>
      </c>
      <c r="J271" s="40" t="str">
        <f aca="false">IF($Y271="","",ROUND(SUMIFS(应收金额,应收键,$Y271,应收年度,管理年度,应收款别,"合同款"),2))</f>
        <v/>
      </c>
      <c r="K271" s="40" t="str">
        <f aca="false">IF($Y271="","",ROUND($I271-$J271,2))</f>
        <v/>
      </c>
      <c r="L271" s="40" t="str">
        <f aca="false">IF($Y271="","",ROUND(SUMIFS(应收开票额,应收键,$Y271,应收开票年度,管理年度),2))</f>
        <v/>
      </c>
      <c r="M271" s="40" t="str">
        <f aca="false">IF($Y271="","",ROUND($I271-$L271,2))</f>
        <v/>
      </c>
      <c r="N271" s="40" t="str">
        <f aca="false">IF($Y271="","",ROUND(SUMIFS(收款金额,收款键,$Y271,收款年度,管理年度),2))</f>
        <v/>
      </c>
      <c r="O271" s="40" t="str">
        <f aca="false">IF($Y271="","",ROUND(SUMIFS(收款金额,收款键,$Y271,收款年度,管理年度,收款归类,"发票"),2))</f>
        <v/>
      </c>
      <c r="P271" s="40" t="str">
        <f aca="false">IF($Y271="","",ROUND(SUMIFS(收款金额,收款键,$Y271,收款年度,管理年度,收款归类,"收据"),2))</f>
        <v/>
      </c>
      <c r="Q271" s="40" t="str">
        <f aca="false">IF($Y271="","",ROUND(SUMIFS(收款金额,收款键,$Y271,收款年度,管理年度,收款归类,"现金无票"),2))</f>
        <v/>
      </c>
      <c r="R271" s="40" t="str">
        <f aca="false">IF($Y271="","",ROUND(MAX(0,MIN($T271,SUMIF(应收键,$Y271,应收开票额)-SUMIF(收款键,$Y271,收款金额))),2))</f>
        <v/>
      </c>
      <c r="S271" s="40" t="str">
        <f aca="false">IF($Y271="","",ROUND(MAX(0,$T271)-$R271,2))</f>
        <v/>
      </c>
      <c r="T271" s="48" t="str">
        <f aca="false">IF($Y271="","",ROUND(SUMIF(应收键,$Y271,应收金额)-SUMIF(收款键,$Y271,收款金额),2))</f>
        <v/>
      </c>
      <c r="U271" s="49" t="str">
        <f aca="true">IF($AA271="","",IF($T271&lt;=0.01,"",MAX(0,TODAY()-$AA271)))</f>
        <v/>
      </c>
      <c r="V271" s="50" t="str">
        <f aca="true">IF($Y271="","",IF($T271&gt;0.01,IF(AND(ISNUMBER($U271),$U271&gt;=账龄预警天),"▲欠款拖了 "&amp;TEXT($U271,"0")&amp;" 天","欠款未清"),IF($T271&lt;-0.01,"预收/多收","已结清"))&amp;IF(OR($E271="已签未回",$E271="未签",$E271="续签中")," ▲合同未回","")&amp;IF(AND(ISNUMBER($F271),$F271&lt;TODAY())," ▲合同已到期",""))</f>
        <v/>
      </c>
      <c r="W271" s="24"/>
      <c r="X271" s="35" t="str">
        <f aca="false">IF($Y271="","",IF(ROUND($H271+$I271-$N271+$Z271-$T271,2)&lt;&gt;0,"★期初＋本年－已收≠余额",IF(ROUND($R271+$S271-MAX(0,$T271),2)&lt;&gt;0,"★已开票＋未开票≠欠款",IF(ROUND($J271+$K271-$I271,2)&lt;&gt;0,"★合同款＋合同外款≠本年应收",IF(ROUND($O271+$P271+$Q271-$N271,2)&lt;&gt;0,"★发票＋收据＋现金≠本年已收","OK")))))</f>
        <v/>
      </c>
      <c r="Y271" s="35" t="str">
        <f aca="false">IF(维保合同!$C271="","",维保合同!$E271)</f>
        <v/>
      </c>
      <c r="Z271" s="40" t="str">
        <f aca="false">IF($Y271="","",ROUND(SUMIFS(应收金额,应收键,$Y271,应收年度,"&gt;"&amp;管理年度)-SUMIFS(收款金额,收款键,$Y271,收款年度,"&gt;"&amp;管理年度),2))</f>
        <v/>
      </c>
      <c r="AA271" s="47" t="str">
        <f aca="false">IF($Y271="","",IF(SUMPRODUCT(MIN(IF((应收键=$Y271)*(应收未收&gt;0.01),应收日期,999999)))&gt;=999999,"",SUMPRODUCT(MIN(IF((应收键=$Y271)*(应收未收&gt;0.01),应收日期,999999)))))</f>
        <v/>
      </c>
    </row>
    <row r="272" customFormat="false" ht="15" hidden="false" customHeight="false" outlineLevel="0" collapsed="false">
      <c r="A272" s="29" t="str">
        <f aca="false">IF($Y272="","",ROW()-4)</f>
        <v/>
      </c>
      <c r="B272" s="16" t="str">
        <f aca="false">IF($Y272="","",维保合同!$C272)</f>
        <v/>
      </c>
      <c r="C272" s="16" t="str">
        <f aca="false">IF($Y272="","",维保合同!$D272)</f>
        <v/>
      </c>
      <c r="D272" s="35" t="str">
        <f aca="false">IF($Y272="","",维保合同!$F272)</f>
        <v/>
      </c>
      <c r="E272" s="35" t="str">
        <f aca="false">IF($Y272="","",维保合同!$G272)</f>
        <v/>
      </c>
      <c r="F272" s="47" t="str">
        <f aca="false">IF($Y272="","",维保合同!$I272)</f>
        <v/>
      </c>
      <c r="G272" s="38" t="str">
        <f aca="false">IF($Y272="","",维保合同!$K272)</f>
        <v/>
      </c>
      <c r="H272" s="41" t="str">
        <f aca="false">IF($Y272="","",ROUND(SUMIFS(应收金额,应收键,$Y272,应收年度,"&lt;"&amp;管理年度)-SUMIFS(收款金额,收款键,$Y272,收款年度,"&lt;"&amp;管理年度),2))</f>
        <v/>
      </c>
      <c r="I272" s="40" t="str">
        <f aca="false">IF($Y272="","",ROUND(SUMIFS(应收金额,应收键,$Y272,应收年度,管理年度),2))</f>
        <v/>
      </c>
      <c r="J272" s="40" t="str">
        <f aca="false">IF($Y272="","",ROUND(SUMIFS(应收金额,应收键,$Y272,应收年度,管理年度,应收款别,"合同款"),2))</f>
        <v/>
      </c>
      <c r="K272" s="40" t="str">
        <f aca="false">IF($Y272="","",ROUND($I272-$J272,2))</f>
        <v/>
      </c>
      <c r="L272" s="40" t="str">
        <f aca="false">IF($Y272="","",ROUND(SUMIFS(应收开票额,应收键,$Y272,应收开票年度,管理年度),2))</f>
        <v/>
      </c>
      <c r="M272" s="40" t="str">
        <f aca="false">IF($Y272="","",ROUND($I272-$L272,2))</f>
        <v/>
      </c>
      <c r="N272" s="40" t="str">
        <f aca="false">IF($Y272="","",ROUND(SUMIFS(收款金额,收款键,$Y272,收款年度,管理年度),2))</f>
        <v/>
      </c>
      <c r="O272" s="40" t="str">
        <f aca="false">IF($Y272="","",ROUND(SUMIFS(收款金额,收款键,$Y272,收款年度,管理年度,收款归类,"发票"),2))</f>
        <v/>
      </c>
      <c r="P272" s="40" t="str">
        <f aca="false">IF($Y272="","",ROUND(SUMIFS(收款金额,收款键,$Y272,收款年度,管理年度,收款归类,"收据"),2))</f>
        <v/>
      </c>
      <c r="Q272" s="40" t="str">
        <f aca="false">IF($Y272="","",ROUND(SUMIFS(收款金额,收款键,$Y272,收款年度,管理年度,收款归类,"现金无票"),2))</f>
        <v/>
      </c>
      <c r="R272" s="40" t="str">
        <f aca="false">IF($Y272="","",ROUND(MAX(0,MIN($T272,SUMIF(应收键,$Y272,应收开票额)-SUMIF(收款键,$Y272,收款金额))),2))</f>
        <v/>
      </c>
      <c r="S272" s="40" t="str">
        <f aca="false">IF($Y272="","",ROUND(MAX(0,$T272)-$R272,2))</f>
        <v/>
      </c>
      <c r="T272" s="48" t="str">
        <f aca="false">IF($Y272="","",ROUND(SUMIF(应收键,$Y272,应收金额)-SUMIF(收款键,$Y272,收款金额),2))</f>
        <v/>
      </c>
      <c r="U272" s="49" t="str">
        <f aca="true">IF($AA272="","",IF($T272&lt;=0.01,"",MAX(0,TODAY()-$AA272)))</f>
        <v/>
      </c>
      <c r="V272" s="50" t="str">
        <f aca="true">IF($Y272="","",IF($T272&gt;0.01,IF(AND(ISNUMBER($U272),$U272&gt;=账龄预警天),"▲欠款拖了 "&amp;TEXT($U272,"0")&amp;" 天","欠款未清"),IF($T272&lt;-0.01,"预收/多收","已结清"))&amp;IF(OR($E272="已签未回",$E272="未签",$E272="续签中")," ▲合同未回","")&amp;IF(AND(ISNUMBER($F272),$F272&lt;TODAY())," ▲合同已到期",""))</f>
        <v/>
      </c>
      <c r="W272" s="24"/>
      <c r="X272" s="35" t="str">
        <f aca="false">IF($Y272="","",IF(ROUND($H272+$I272-$N272+$Z272-$T272,2)&lt;&gt;0,"★期初＋本年－已收≠余额",IF(ROUND($R272+$S272-MAX(0,$T272),2)&lt;&gt;0,"★已开票＋未开票≠欠款",IF(ROUND($J272+$K272-$I272,2)&lt;&gt;0,"★合同款＋合同外款≠本年应收",IF(ROUND($O272+$P272+$Q272-$N272,2)&lt;&gt;0,"★发票＋收据＋现金≠本年已收","OK")))))</f>
        <v/>
      </c>
      <c r="Y272" s="35" t="str">
        <f aca="false">IF(维保合同!$C272="","",维保合同!$E272)</f>
        <v/>
      </c>
      <c r="Z272" s="40" t="str">
        <f aca="false">IF($Y272="","",ROUND(SUMIFS(应收金额,应收键,$Y272,应收年度,"&gt;"&amp;管理年度)-SUMIFS(收款金额,收款键,$Y272,收款年度,"&gt;"&amp;管理年度),2))</f>
        <v/>
      </c>
      <c r="AA272" s="47" t="str">
        <f aca="false">IF($Y272="","",IF(SUMPRODUCT(MIN(IF((应收键=$Y272)*(应收未收&gt;0.01),应收日期,999999)))&gt;=999999,"",SUMPRODUCT(MIN(IF((应收键=$Y272)*(应收未收&gt;0.01),应收日期,999999)))))</f>
        <v/>
      </c>
    </row>
    <row r="273" customFormat="false" ht="15" hidden="false" customHeight="false" outlineLevel="0" collapsed="false">
      <c r="A273" s="29" t="str">
        <f aca="false">IF($Y273="","",ROW()-4)</f>
        <v/>
      </c>
      <c r="B273" s="16" t="str">
        <f aca="false">IF($Y273="","",维保合同!$C273)</f>
        <v/>
      </c>
      <c r="C273" s="16" t="str">
        <f aca="false">IF($Y273="","",维保合同!$D273)</f>
        <v/>
      </c>
      <c r="D273" s="35" t="str">
        <f aca="false">IF($Y273="","",维保合同!$F273)</f>
        <v/>
      </c>
      <c r="E273" s="35" t="str">
        <f aca="false">IF($Y273="","",维保合同!$G273)</f>
        <v/>
      </c>
      <c r="F273" s="47" t="str">
        <f aca="false">IF($Y273="","",维保合同!$I273)</f>
        <v/>
      </c>
      <c r="G273" s="38" t="str">
        <f aca="false">IF($Y273="","",维保合同!$K273)</f>
        <v/>
      </c>
      <c r="H273" s="41" t="str">
        <f aca="false">IF($Y273="","",ROUND(SUMIFS(应收金额,应收键,$Y273,应收年度,"&lt;"&amp;管理年度)-SUMIFS(收款金额,收款键,$Y273,收款年度,"&lt;"&amp;管理年度),2))</f>
        <v/>
      </c>
      <c r="I273" s="40" t="str">
        <f aca="false">IF($Y273="","",ROUND(SUMIFS(应收金额,应收键,$Y273,应收年度,管理年度),2))</f>
        <v/>
      </c>
      <c r="J273" s="40" t="str">
        <f aca="false">IF($Y273="","",ROUND(SUMIFS(应收金额,应收键,$Y273,应收年度,管理年度,应收款别,"合同款"),2))</f>
        <v/>
      </c>
      <c r="K273" s="40" t="str">
        <f aca="false">IF($Y273="","",ROUND($I273-$J273,2))</f>
        <v/>
      </c>
      <c r="L273" s="40" t="str">
        <f aca="false">IF($Y273="","",ROUND(SUMIFS(应收开票额,应收键,$Y273,应收开票年度,管理年度),2))</f>
        <v/>
      </c>
      <c r="M273" s="40" t="str">
        <f aca="false">IF($Y273="","",ROUND($I273-$L273,2))</f>
        <v/>
      </c>
      <c r="N273" s="40" t="str">
        <f aca="false">IF($Y273="","",ROUND(SUMIFS(收款金额,收款键,$Y273,收款年度,管理年度),2))</f>
        <v/>
      </c>
      <c r="O273" s="40" t="str">
        <f aca="false">IF($Y273="","",ROUND(SUMIFS(收款金额,收款键,$Y273,收款年度,管理年度,收款归类,"发票"),2))</f>
        <v/>
      </c>
      <c r="P273" s="40" t="str">
        <f aca="false">IF($Y273="","",ROUND(SUMIFS(收款金额,收款键,$Y273,收款年度,管理年度,收款归类,"收据"),2))</f>
        <v/>
      </c>
      <c r="Q273" s="40" t="str">
        <f aca="false">IF($Y273="","",ROUND(SUMIFS(收款金额,收款键,$Y273,收款年度,管理年度,收款归类,"现金无票"),2))</f>
        <v/>
      </c>
      <c r="R273" s="40" t="str">
        <f aca="false">IF($Y273="","",ROUND(MAX(0,MIN($T273,SUMIF(应收键,$Y273,应收开票额)-SUMIF(收款键,$Y273,收款金额))),2))</f>
        <v/>
      </c>
      <c r="S273" s="40" t="str">
        <f aca="false">IF($Y273="","",ROUND(MAX(0,$T273)-$R273,2))</f>
        <v/>
      </c>
      <c r="T273" s="48" t="str">
        <f aca="false">IF($Y273="","",ROUND(SUMIF(应收键,$Y273,应收金额)-SUMIF(收款键,$Y273,收款金额),2))</f>
        <v/>
      </c>
      <c r="U273" s="49" t="str">
        <f aca="true">IF($AA273="","",IF($T273&lt;=0.01,"",MAX(0,TODAY()-$AA273)))</f>
        <v/>
      </c>
      <c r="V273" s="50" t="str">
        <f aca="true">IF($Y273="","",IF($T273&gt;0.01,IF(AND(ISNUMBER($U273),$U273&gt;=账龄预警天),"▲欠款拖了 "&amp;TEXT($U273,"0")&amp;" 天","欠款未清"),IF($T273&lt;-0.01,"预收/多收","已结清"))&amp;IF(OR($E273="已签未回",$E273="未签",$E273="续签中")," ▲合同未回","")&amp;IF(AND(ISNUMBER($F273),$F273&lt;TODAY())," ▲合同已到期",""))</f>
        <v/>
      </c>
      <c r="W273" s="24"/>
      <c r="X273" s="35" t="str">
        <f aca="false">IF($Y273="","",IF(ROUND($H273+$I273-$N273+$Z273-$T273,2)&lt;&gt;0,"★期初＋本年－已收≠余额",IF(ROUND($R273+$S273-MAX(0,$T273),2)&lt;&gt;0,"★已开票＋未开票≠欠款",IF(ROUND($J273+$K273-$I273,2)&lt;&gt;0,"★合同款＋合同外款≠本年应收",IF(ROUND($O273+$P273+$Q273-$N273,2)&lt;&gt;0,"★发票＋收据＋现金≠本年已收","OK")))))</f>
        <v/>
      </c>
      <c r="Y273" s="35" t="str">
        <f aca="false">IF(维保合同!$C273="","",维保合同!$E273)</f>
        <v/>
      </c>
      <c r="Z273" s="40" t="str">
        <f aca="false">IF($Y273="","",ROUND(SUMIFS(应收金额,应收键,$Y273,应收年度,"&gt;"&amp;管理年度)-SUMIFS(收款金额,收款键,$Y273,收款年度,"&gt;"&amp;管理年度),2))</f>
        <v/>
      </c>
      <c r="AA273" s="47" t="str">
        <f aca="false">IF($Y273="","",IF(SUMPRODUCT(MIN(IF((应收键=$Y273)*(应收未收&gt;0.01),应收日期,999999)))&gt;=999999,"",SUMPRODUCT(MIN(IF((应收键=$Y273)*(应收未收&gt;0.01),应收日期,999999)))))</f>
        <v/>
      </c>
    </row>
    <row r="274" customFormat="false" ht="15" hidden="false" customHeight="false" outlineLevel="0" collapsed="false">
      <c r="A274" s="29" t="str">
        <f aca="false">IF($Y274="","",ROW()-4)</f>
        <v/>
      </c>
      <c r="B274" s="16" t="str">
        <f aca="false">IF($Y274="","",维保合同!$C274)</f>
        <v/>
      </c>
      <c r="C274" s="16" t="str">
        <f aca="false">IF($Y274="","",维保合同!$D274)</f>
        <v/>
      </c>
      <c r="D274" s="35" t="str">
        <f aca="false">IF($Y274="","",维保合同!$F274)</f>
        <v/>
      </c>
      <c r="E274" s="35" t="str">
        <f aca="false">IF($Y274="","",维保合同!$G274)</f>
        <v/>
      </c>
      <c r="F274" s="47" t="str">
        <f aca="false">IF($Y274="","",维保合同!$I274)</f>
        <v/>
      </c>
      <c r="G274" s="38" t="str">
        <f aca="false">IF($Y274="","",维保合同!$K274)</f>
        <v/>
      </c>
      <c r="H274" s="41" t="str">
        <f aca="false">IF($Y274="","",ROUND(SUMIFS(应收金额,应收键,$Y274,应收年度,"&lt;"&amp;管理年度)-SUMIFS(收款金额,收款键,$Y274,收款年度,"&lt;"&amp;管理年度),2))</f>
        <v/>
      </c>
      <c r="I274" s="40" t="str">
        <f aca="false">IF($Y274="","",ROUND(SUMIFS(应收金额,应收键,$Y274,应收年度,管理年度),2))</f>
        <v/>
      </c>
      <c r="J274" s="40" t="str">
        <f aca="false">IF($Y274="","",ROUND(SUMIFS(应收金额,应收键,$Y274,应收年度,管理年度,应收款别,"合同款"),2))</f>
        <v/>
      </c>
      <c r="K274" s="40" t="str">
        <f aca="false">IF($Y274="","",ROUND($I274-$J274,2))</f>
        <v/>
      </c>
      <c r="L274" s="40" t="str">
        <f aca="false">IF($Y274="","",ROUND(SUMIFS(应收开票额,应收键,$Y274,应收开票年度,管理年度),2))</f>
        <v/>
      </c>
      <c r="M274" s="40" t="str">
        <f aca="false">IF($Y274="","",ROUND($I274-$L274,2))</f>
        <v/>
      </c>
      <c r="N274" s="40" t="str">
        <f aca="false">IF($Y274="","",ROUND(SUMIFS(收款金额,收款键,$Y274,收款年度,管理年度),2))</f>
        <v/>
      </c>
      <c r="O274" s="40" t="str">
        <f aca="false">IF($Y274="","",ROUND(SUMIFS(收款金额,收款键,$Y274,收款年度,管理年度,收款归类,"发票"),2))</f>
        <v/>
      </c>
      <c r="P274" s="40" t="str">
        <f aca="false">IF($Y274="","",ROUND(SUMIFS(收款金额,收款键,$Y274,收款年度,管理年度,收款归类,"收据"),2))</f>
        <v/>
      </c>
      <c r="Q274" s="40" t="str">
        <f aca="false">IF($Y274="","",ROUND(SUMIFS(收款金额,收款键,$Y274,收款年度,管理年度,收款归类,"现金无票"),2))</f>
        <v/>
      </c>
      <c r="R274" s="40" t="str">
        <f aca="false">IF($Y274="","",ROUND(MAX(0,MIN($T274,SUMIF(应收键,$Y274,应收开票额)-SUMIF(收款键,$Y274,收款金额))),2))</f>
        <v/>
      </c>
      <c r="S274" s="40" t="str">
        <f aca="false">IF($Y274="","",ROUND(MAX(0,$T274)-$R274,2))</f>
        <v/>
      </c>
      <c r="T274" s="48" t="str">
        <f aca="false">IF($Y274="","",ROUND(SUMIF(应收键,$Y274,应收金额)-SUMIF(收款键,$Y274,收款金额),2))</f>
        <v/>
      </c>
      <c r="U274" s="49" t="str">
        <f aca="true">IF($AA274="","",IF($T274&lt;=0.01,"",MAX(0,TODAY()-$AA274)))</f>
        <v/>
      </c>
      <c r="V274" s="50" t="str">
        <f aca="true">IF($Y274="","",IF($T274&gt;0.01,IF(AND(ISNUMBER($U274),$U274&gt;=账龄预警天),"▲欠款拖了 "&amp;TEXT($U274,"0")&amp;" 天","欠款未清"),IF($T274&lt;-0.01,"预收/多收","已结清"))&amp;IF(OR($E274="已签未回",$E274="未签",$E274="续签中")," ▲合同未回","")&amp;IF(AND(ISNUMBER($F274),$F274&lt;TODAY())," ▲合同已到期",""))</f>
        <v/>
      </c>
      <c r="W274" s="24"/>
      <c r="X274" s="35" t="str">
        <f aca="false">IF($Y274="","",IF(ROUND($H274+$I274-$N274+$Z274-$T274,2)&lt;&gt;0,"★期初＋本年－已收≠余额",IF(ROUND($R274+$S274-MAX(0,$T274),2)&lt;&gt;0,"★已开票＋未开票≠欠款",IF(ROUND($J274+$K274-$I274,2)&lt;&gt;0,"★合同款＋合同外款≠本年应收",IF(ROUND($O274+$P274+$Q274-$N274,2)&lt;&gt;0,"★发票＋收据＋现金≠本年已收","OK")))))</f>
        <v/>
      </c>
      <c r="Y274" s="35" t="str">
        <f aca="false">IF(维保合同!$C274="","",维保合同!$E274)</f>
        <v/>
      </c>
      <c r="Z274" s="40" t="str">
        <f aca="false">IF($Y274="","",ROUND(SUMIFS(应收金额,应收键,$Y274,应收年度,"&gt;"&amp;管理年度)-SUMIFS(收款金额,收款键,$Y274,收款年度,"&gt;"&amp;管理年度),2))</f>
        <v/>
      </c>
      <c r="AA274" s="47" t="str">
        <f aca="false">IF($Y274="","",IF(SUMPRODUCT(MIN(IF((应收键=$Y274)*(应收未收&gt;0.01),应收日期,999999)))&gt;=999999,"",SUMPRODUCT(MIN(IF((应收键=$Y274)*(应收未收&gt;0.01),应收日期,999999)))))</f>
        <v/>
      </c>
    </row>
    <row r="275" customFormat="false" ht="15" hidden="false" customHeight="false" outlineLevel="0" collapsed="false">
      <c r="A275" s="29" t="str">
        <f aca="false">IF($Y275="","",ROW()-4)</f>
        <v/>
      </c>
      <c r="B275" s="16" t="str">
        <f aca="false">IF($Y275="","",维保合同!$C275)</f>
        <v/>
      </c>
      <c r="C275" s="16" t="str">
        <f aca="false">IF($Y275="","",维保合同!$D275)</f>
        <v/>
      </c>
      <c r="D275" s="35" t="str">
        <f aca="false">IF($Y275="","",维保合同!$F275)</f>
        <v/>
      </c>
      <c r="E275" s="35" t="str">
        <f aca="false">IF($Y275="","",维保合同!$G275)</f>
        <v/>
      </c>
      <c r="F275" s="47" t="str">
        <f aca="false">IF($Y275="","",维保合同!$I275)</f>
        <v/>
      </c>
      <c r="G275" s="38" t="str">
        <f aca="false">IF($Y275="","",维保合同!$K275)</f>
        <v/>
      </c>
      <c r="H275" s="41" t="str">
        <f aca="false">IF($Y275="","",ROUND(SUMIFS(应收金额,应收键,$Y275,应收年度,"&lt;"&amp;管理年度)-SUMIFS(收款金额,收款键,$Y275,收款年度,"&lt;"&amp;管理年度),2))</f>
        <v/>
      </c>
      <c r="I275" s="40" t="str">
        <f aca="false">IF($Y275="","",ROUND(SUMIFS(应收金额,应收键,$Y275,应收年度,管理年度),2))</f>
        <v/>
      </c>
      <c r="J275" s="40" t="str">
        <f aca="false">IF($Y275="","",ROUND(SUMIFS(应收金额,应收键,$Y275,应收年度,管理年度,应收款别,"合同款"),2))</f>
        <v/>
      </c>
      <c r="K275" s="40" t="str">
        <f aca="false">IF($Y275="","",ROUND($I275-$J275,2))</f>
        <v/>
      </c>
      <c r="L275" s="40" t="str">
        <f aca="false">IF($Y275="","",ROUND(SUMIFS(应收开票额,应收键,$Y275,应收开票年度,管理年度),2))</f>
        <v/>
      </c>
      <c r="M275" s="40" t="str">
        <f aca="false">IF($Y275="","",ROUND($I275-$L275,2))</f>
        <v/>
      </c>
      <c r="N275" s="40" t="str">
        <f aca="false">IF($Y275="","",ROUND(SUMIFS(收款金额,收款键,$Y275,收款年度,管理年度),2))</f>
        <v/>
      </c>
      <c r="O275" s="40" t="str">
        <f aca="false">IF($Y275="","",ROUND(SUMIFS(收款金额,收款键,$Y275,收款年度,管理年度,收款归类,"发票"),2))</f>
        <v/>
      </c>
      <c r="P275" s="40" t="str">
        <f aca="false">IF($Y275="","",ROUND(SUMIFS(收款金额,收款键,$Y275,收款年度,管理年度,收款归类,"收据"),2))</f>
        <v/>
      </c>
      <c r="Q275" s="40" t="str">
        <f aca="false">IF($Y275="","",ROUND(SUMIFS(收款金额,收款键,$Y275,收款年度,管理年度,收款归类,"现金无票"),2))</f>
        <v/>
      </c>
      <c r="R275" s="40" t="str">
        <f aca="false">IF($Y275="","",ROUND(MAX(0,MIN($T275,SUMIF(应收键,$Y275,应收开票额)-SUMIF(收款键,$Y275,收款金额))),2))</f>
        <v/>
      </c>
      <c r="S275" s="40" t="str">
        <f aca="false">IF($Y275="","",ROUND(MAX(0,$T275)-$R275,2))</f>
        <v/>
      </c>
      <c r="T275" s="48" t="str">
        <f aca="false">IF($Y275="","",ROUND(SUMIF(应收键,$Y275,应收金额)-SUMIF(收款键,$Y275,收款金额),2))</f>
        <v/>
      </c>
      <c r="U275" s="49" t="str">
        <f aca="true">IF($AA275="","",IF($T275&lt;=0.01,"",MAX(0,TODAY()-$AA275)))</f>
        <v/>
      </c>
      <c r="V275" s="50" t="str">
        <f aca="true">IF($Y275="","",IF($T275&gt;0.01,IF(AND(ISNUMBER($U275),$U275&gt;=账龄预警天),"▲欠款拖了 "&amp;TEXT($U275,"0")&amp;" 天","欠款未清"),IF($T275&lt;-0.01,"预收/多收","已结清"))&amp;IF(OR($E275="已签未回",$E275="未签",$E275="续签中")," ▲合同未回","")&amp;IF(AND(ISNUMBER($F275),$F275&lt;TODAY())," ▲合同已到期",""))</f>
        <v/>
      </c>
      <c r="W275" s="24"/>
      <c r="X275" s="35" t="str">
        <f aca="false">IF($Y275="","",IF(ROUND($H275+$I275-$N275+$Z275-$T275,2)&lt;&gt;0,"★期初＋本年－已收≠余额",IF(ROUND($R275+$S275-MAX(0,$T275),2)&lt;&gt;0,"★已开票＋未开票≠欠款",IF(ROUND($J275+$K275-$I275,2)&lt;&gt;0,"★合同款＋合同外款≠本年应收",IF(ROUND($O275+$P275+$Q275-$N275,2)&lt;&gt;0,"★发票＋收据＋现金≠本年已收","OK")))))</f>
        <v/>
      </c>
      <c r="Y275" s="35" t="str">
        <f aca="false">IF(维保合同!$C275="","",维保合同!$E275)</f>
        <v/>
      </c>
      <c r="Z275" s="40" t="str">
        <f aca="false">IF($Y275="","",ROUND(SUMIFS(应收金额,应收键,$Y275,应收年度,"&gt;"&amp;管理年度)-SUMIFS(收款金额,收款键,$Y275,收款年度,"&gt;"&amp;管理年度),2))</f>
        <v/>
      </c>
      <c r="AA275" s="47" t="str">
        <f aca="false">IF($Y275="","",IF(SUMPRODUCT(MIN(IF((应收键=$Y275)*(应收未收&gt;0.01),应收日期,999999)))&gt;=999999,"",SUMPRODUCT(MIN(IF((应收键=$Y275)*(应收未收&gt;0.01),应收日期,999999)))))</f>
        <v/>
      </c>
    </row>
    <row r="276" customFormat="false" ht="15" hidden="false" customHeight="false" outlineLevel="0" collapsed="false">
      <c r="A276" s="29" t="str">
        <f aca="false">IF($Y276="","",ROW()-4)</f>
        <v/>
      </c>
      <c r="B276" s="16" t="str">
        <f aca="false">IF($Y276="","",维保合同!$C276)</f>
        <v/>
      </c>
      <c r="C276" s="16" t="str">
        <f aca="false">IF($Y276="","",维保合同!$D276)</f>
        <v/>
      </c>
      <c r="D276" s="35" t="str">
        <f aca="false">IF($Y276="","",维保合同!$F276)</f>
        <v/>
      </c>
      <c r="E276" s="35" t="str">
        <f aca="false">IF($Y276="","",维保合同!$G276)</f>
        <v/>
      </c>
      <c r="F276" s="47" t="str">
        <f aca="false">IF($Y276="","",维保合同!$I276)</f>
        <v/>
      </c>
      <c r="G276" s="38" t="str">
        <f aca="false">IF($Y276="","",维保合同!$K276)</f>
        <v/>
      </c>
      <c r="H276" s="41" t="str">
        <f aca="false">IF($Y276="","",ROUND(SUMIFS(应收金额,应收键,$Y276,应收年度,"&lt;"&amp;管理年度)-SUMIFS(收款金额,收款键,$Y276,收款年度,"&lt;"&amp;管理年度),2))</f>
        <v/>
      </c>
      <c r="I276" s="40" t="str">
        <f aca="false">IF($Y276="","",ROUND(SUMIFS(应收金额,应收键,$Y276,应收年度,管理年度),2))</f>
        <v/>
      </c>
      <c r="J276" s="40" t="str">
        <f aca="false">IF($Y276="","",ROUND(SUMIFS(应收金额,应收键,$Y276,应收年度,管理年度,应收款别,"合同款"),2))</f>
        <v/>
      </c>
      <c r="K276" s="40" t="str">
        <f aca="false">IF($Y276="","",ROUND($I276-$J276,2))</f>
        <v/>
      </c>
      <c r="L276" s="40" t="str">
        <f aca="false">IF($Y276="","",ROUND(SUMIFS(应收开票额,应收键,$Y276,应收开票年度,管理年度),2))</f>
        <v/>
      </c>
      <c r="M276" s="40" t="str">
        <f aca="false">IF($Y276="","",ROUND($I276-$L276,2))</f>
        <v/>
      </c>
      <c r="N276" s="40" t="str">
        <f aca="false">IF($Y276="","",ROUND(SUMIFS(收款金额,收款键,$Y276,收款年度,管理年度),2))</f>
        <v/>
      </c>
      <c r="O276" s="40" t="str">
        <f aca="false">IF($Y276="","",ROUND(SUMIFS(收款金额,收款键,$Y276,收款年度,管理年度,收款归类,"发票"),2))</f>
        <v/>
      </c>
      <c r="P276" s="40" t="str">
        <f aca="false">IF($Y276="","",ROUND(SUMIFS(收款金额,收款键,$Y276,收款年度,管理年度,收款归类,"收据"),2))</f>
        <v/>
      </c>
      <c r="Q276" s="40" t="str">
        <f aca="false">IF($Y276="","",ROUND(SUMIFS(收款金额,收款键,$Y276,收款年度,管理年度,收款归类,"现金无票"),2))</f>
        <v/>
      </c>
      <c r="R276" s="40" t="str">
        <f aca="false">IF($Y276="","",ROUND(MAX(0,MIN($T276,SUMIF(应收键,$Y276,应收开票额)-SUMIF(收款键,$Y276,收款金额))),2))</f>
        <v/>
      </c>
      <c r="S276" s="40" t="str">
        <f aca="false">IF($Y276="","",ROUND(MAX(0,$T276)-$R276,2))</f>
        <v/>
      </c>
      <c r="T276" s="48" t="str">
        <f aca="false">IF($Y276="","",ROUND(SUMIF(应收键,$Y276,应收金额)-SUMIF(收款键,$Y276,收款金额),2))</f>
        <v/>
      </c>
      <c r="U276" s="49" t="str">
        <f aca="true">IF($AA276="","",IF($T276&lt;=0.01,"",MAX(0,TODAY()-$AA276)))</f>
        <v/>
      </c>
      <c r="V276" s="50" t="str">
        <f aca="true">IF($Y276="","",IF($T276&gt;0.01,IF(AND(ISNUMBER($U276),$U276&gt;=账龄预警天),"▲欠款拖了 "&amp;TEXT($U276,"0")&amp;" 天","欠款未清"),IF($T276&lt;-0.01,"预收/多收","已结清"))&amp;IF(OR($E276="已签未回",$E276="未签",$E276="续签中")," ▲合同未回","")&amp;IF(AND(ISNUMBER($F276),$F276&lt;TODAY())," ▲合同已到期",""))</f>
        <v/>
      </c>
      <c r="W276" s="24"/>
      <c r="X276" s="35" t="str">
        <f aca="false">IF($Y276="","",IF(ROUND($H276+$I276-$N276+$Z276-$T276,2)&lt;&gt;0,"★期初＋本年－已收≠余额",IF(ROUND($R276+$S276-MAX(0,$T276),2)&lt;&gt;0,"★已开票＋未开票≠欠款",IF(ROUND($J276+$K276-$I276,2)&lt;&gt;0,"★合同款＋合同外款≠本年应收",IF(ROUND($O276+$P276+$Q276-$N276,2)&lt;&gt;0,"★发票＋收据＋现金≠本年已收","OK")))))</f>
        <v/>
      </c>
      <c r="Y276" s="35" t="str">
        <f aca="false">IF(维保合同!$C276="","",维保合同!$E276)</f>
        <v/>
      </c>
      <c r="Z276" s="40" t="str">
        <f aca="false">IF($Y276="","",ROUND(SUMIFS(应收金额,应收键,$Y276,应收年度,"&gt;"&amp;管理年度)-SUMIFS(收款金额,收款键,$Y276,收款年度,"&gt;"&amp;管理年度),2))</f>
        <v/>
      </c>
      <c r="AA276" s="47" t="str">
        <f aca="false">IF($Y276="","",IF(SUMPRODUCT(MIN(IF((应收键=$Y276)*(应收未收&gt;0.01),应收日期,999999)))&gt;=999999,"",SUMPRODUCT(MIN(IF((应收键=$Y276)*(应收未收&gt;0.01),应收日期,999999)))))</f>
        <v/>
      </c>
    </row>
    <row r="277" customFormat="false" ht="15" hidden="false" customHeight="false" outlineLevel="0" collapsed="false">
      <c r="A277" s="29" t="str">
        <f aca="false">IF($Y277="","",ROW()-4)</f>
        <v/>
      </c>
      <c r="B277" s="16" t="str">
        <f aca="false">IF($Y277="","",维保合同!$C277)</f>
        <v/>
      </c>
      <c r="C277" s="16" t="str">
        <f aca="false">IF($Y277="","",维保合同!$D277)</f>
        <v/>
      </c>
      <c r="D277" s="35" t="str">
        <f aca="false">IF($Y277="","",维保合同!$F277)</f>
        <v/>
      </c>
      <c r="E277" s="35" t="str">
        <f aca="false">IF($Y277="","",维保合同!$G277)</f>
        <v/>
      </c>
      <c r="F277" s="47" t="str">
        <f aca="false">IF($Y277="","",维保合同!$I277)</f>
        <v/>
      </c>
      <c r="G277" s="38" t="str">
        <f aca="false">IF($Y277="","",维保合同!$K277)</f>
        <v/>
      </c>
      <c r="H277" s="41" t="str">
        <f aca="false">IF($Y277="","",ROUND(SUMIFS(应收金额,应收键,$Y277,应收年度,"&lt;"&amp;管理年度)-SUMIFS(收款金额,收款键,$Y277,收款年度,"&lt;"&amp;管理年度),2))</f>
        <v/>
      </c>
      <c r="I277" s="40" t="str">
        <f aca="false">IF($Y277="","",ROUND(SUMIFS(应收金额,应收键,$Y277,应收年度,管理年度),2))</f>
        <v/>
      </c>
      <c r="J277" s="40" t="str">
        <f aca="false">IF($Y277="","",ROUND(SUMIFS(应收金额,应收键,$Y277,应收年度,管理年度,应收款别,"合同款"),2))</f>
        <v/>
      </c>
      <c r="K277" s="40" t="str">
        <f aca="false">IF($Y277="","",ROUND($I277-$J277,2))</f>
        <v/>
      </c>
      <c r="L277" s="40" t="str">
        <f aca="false">IF($Y277="","",ROUND(SUMIFS(应收开票额,应收键,$Y277,应收开票年度,管理年度),2))</f>
        <v/>
      </c>
      <c r="M277" s="40" t="str">
        <f aca="false">IF($Y277="","",ROUND($I277-$L277,2))</f>
        <v/>
      </c>
      <c r="N277" s="40" t="str">
        <f aca="false">IF($Y277="","",ROUND(SUMIFS(收款金额,收款键,$Y277,收款年度,管理年度),2))</f>
        <v/>
      </c>
      <c r="O277" s="40" t="str">
        <f aca="false">IF($Y277="","",ROUND(SUMIFS(收款金额,收款键,$Y277,收款年度,管理年度,收款归类,"发票"),2))</f>
        <v/>
      </c>
      <c r="P277" s="40" t="str">
        <f aca="false">IF($Y277="","",ROUND(SUMIFS(收款金额,收款键,$Y277,收款年度,管理年度,收款归类,"收据"),2))</f>
        <v/>
      </c>
      <c r="Q277" s="40" t="str">
        <f aca="false">IF($Y277="","",ROUND(SUMIFS(收款金额,收款键,$Y277,收款年度,管理年度,收款归类,"现金无票"),2))</f>
        <v/>
      </c>
      <c r="R277" s="40" t="str">
        <f aca="false">IF($Y277="","",ROUND(MAX(0,MIN($T277,SUMIF(应收键,$Y277,应收开票额)-SUMIF(收款键,$Y277,收款金额))),2))</f>
        <v/>
      </c>
      <c r="S277" s="40" t="str">
        <f aca="false">IF($Y277="","",ROUND(MAX(0,$T277)-$R277,2))</f>
        <v/>
      </c>
      <c r="T277" s="48" t="str">
        <f aca="false">IF($Y277="","",ROUND(SUMIF(应收键,$Y277,应收金额)-SUMIF(收款键,$Y277,收款金额),2))</f>
        <v/>
      </c>
      <c r="U277" s="49" t="str">
        <f aca="true">IF($AA277="","",IF($T277&lt;=0.01,"",MAX(0,TODAY()-$AA277)))</f>
        <v/>
      </c>
      <c r="V277" s="50" t="str">
        <f aca="true">IF($Y277="","",IF($T277&gt;0.01,IF(AND(ISNUMBER($U277),$U277&gt;=账龄预警天),"▲欠款拖了 "&amp;TEXT($U277,"0")&amp;" 天","欠款未清"),IF($T277&lt;-0.01,"预收/多收","已结清"))&amp;IF(OR($E277="已签未回",$E277="未签",$E277="续签中")," ▲合同未回","")&amp;IF(AND(ISNUMBER($F277),$F277&lt;TODAY())," ▲合同已到期",""))</f>
        <v/>
      </c>
      <c r="W277" s="24"/>
      <c r="X277" s="35" t="str">
        <f aca="false">IF($Y277="","",IF(ROUND($H277+$I277-$N277+$Z277-$T277,2)&lt;&gt;0,"★期初＋本年－已收≠余额",IF(ROUND($R277+$S277-MAX(0,$T277),2)&lt;&gt;0,"★已开票＋未开票≠欠款",IF(ROUND($J277+$K277-$I277,2)&lt;&gt;0,"★合同款＋合同外款≠本年应收",IF(ROUND($O277+$P277+$Q277-$N277,2)&lt;&gt;0,"★发票＋收据＋现金≠本年已收","OK")))))</f>
        <v/>
      </c>
      <c r="Y277" s="35" t="str">
        <f aca="false">IF(维保合同!$C277="","",维保合同!$E277)</f>
        <v/>
      </c>
      <c r="Z277" s="40" t="str">
        <f aca="false">IF($Y277="","",ROUND(SUMIFS(应收金额,应收键,$Y277,应收年度,"&gt;"&amp;管理年度)-SUMIFS(收款金额,收款键,$Y277,收款年度,"&gt;"&amp;管理年度),2))</f>
        <v/>
      </c>
      <c r="AA277" s="47" t="str">
        <f aca="false">IF($Y277="","",IF(SUMPRODUCT(MIN(IF((应收键=$Y277)*(应收未收&gt;0.01),应收日期,999999)))&gt;=999999,"",SUMPRODUCT(MIN(IF((应收键=$Y277)*(应收未收&gt;0.01),应收日期,999999)))))</f>
        <v/>
      </c>
    </row>
    <row r="278" customFormat="false" ht="15" hidden="false" customHeight="false" outlineLevel="0" collapsed="false">
      <c r="A278" s="29" t="str">
        <f aca="false">IF($Y278="","",ROW()-4)</f>
        <v/>
      </c>
      <c r="B278" s="16" t="str">
        <f aca="false">IF($Y278="","",维保合同!$C278)</f>
        <v/>
      </c>
      <c r="C278" s="16" t="str">
        <f aca="false">IF($Y278="","",维保合同!$D278)</f>
        <v/>
      </c>
      <c r="D278" s="35" t="str">
        <f aca="false">IF($Y278="","",维保合同!$F278)</f>
        <v/>
      </c>
      <c r="E278" s="35" t="str">
        <f aca="false">IF($Y278="","",维保合同!$G278)</f>
        <v/>
      </c>
      <c r="F278" s="47" t="str">
        <f aca="false">IF($Y278="","",维保合同!$I278)</f>
        <v/>
      </c>
      <c r="G278" s="38" t="str">
        <f aca="false">IF($Y278="","",维保合同!$K278)</f>
        <v/>
      </c>
      <c r="H278" s="41" t="str">
        <f aca="false">IF($Y278="","",ROUND(SUMIFS(应收金额,应收键,$Y278,应收年度,"&lt;"&amp;管理年度)-SUMIFS(收款金额,收款键,$Y278,收款年度,"&lt;"&amp;管理年度),2))</f>
        <v/>
      </c>
      <c r="I278" s="40" t="str">
        <f aca="false">IF($Y278="","",ROUND(SUMIFS(应收金额,应收键,$Y278,应收年度,管理年度),2))</f>
        <v/>
      </c>
      <c r="J278" s="40" t="str">
        <f aca="false">IF($Y278="","",ROUND(SUMIFS(应收金额,应收键,$Y278,应收年度,管理年度,应收款别,"合同款"),2))</f>
        <v/>
      </c>
      <c r="K278" s="40" t="str">
        <f aca="false">IF($Y278="","",ROUND($I278-$J278,2))</f>
        <v/>
      </c>
      <c r="L278" s="40" t="str">
        <f aca="false">IF($Y278="","",ROUND(SUMIFS(应收开票额,应收键,$Y278,应收开票年度,管理年度),2))</f>
        <v/>
      </c>
      <c r="M278" s="40" t="str">
        <f aca="false">IF($Y278="","",ROUND($I278-$L278,2))</f>
        <v/>
      </c>
      <c r="N278" s="40" t="str">
        <f aca="false">IF($Y278="","",ROUND(SUMIFS(收款金额,收款键,$Y278,收款年度,管理年度),2))</f>
        <v/>
      </c>
      <c r="O278" s="40" t="str">
        <f aca="false">IF($Y278="","",ROUND(SUMIFS(收款金额,收款键,$Y278,收款年度,管理年度,收款归类,"发票"),2))</f>
        <v/>
      </c>
      <c r="P278" s="40" t="str">
        <f aca="false">IF($Y278="","",ROUND(SUMIFS(收款金额,收款键,$Y278,收款年度,管理年度,收款归类,"收据"),2))</f>
        <v/>
      </c>
      <c r="Q278" s="40" t="str">
        <f aca="false">IF($Y278="","",ROUND(SUMIFS(收款金额,收款键,$Y278,收款年度,管理年度,收款归类,"现金无票"),2))</f>
        <v/>
      </c>
      <c r="R278" s="40" t="str">
        <f aca="false">IF($Y278="","",ROUND(MAX(0,MIN($T278,SUMIF(应收键,$Y278,应收开票额)-SUMIF(收款键,$Y278,收款金额))),2))</f>
        <v/>
      </c>
      <c r="S278" s="40" t="str">
        <f aca="false">IF($Y278="","",ROUND(MAX(0,$T278)-$R278,2))</f>
        <v/>
      </c>
      <c r="T278" s="48" t="str">
        <f aca="false">IF($Y278="","",ROUND(SUMIF(应收键,$Y278,应收金额)-SUMIF(收款键,$Y278,收款金额),2))</f>
        <v/>
      </c>
      <c r="U278" s="49" t="str">
        <f aca="true">IF($AA278="","",IF($T278&lt;=0.01,"",MAX(0,TODAY()-$AA278)))</f>
        <v/>
      </c>
      <c r="V278" s="50" t="str">
        <f aca="true">IF($Y278="","",IF($T278&gt;0.01,IF(AND(ISNUMBER($U278),$U278&gt;=账龄预警天),"▲欠款拖了 "&amp;TEXT($U278,"0")&amp;" 天","欠款未清"),IF($T278&lt;-0.01,"预收/多收","已结清"))&amp;IF(OR($E278="已签未回",$E278="未签",$E278="续签中")," ▲合同未回","")&amp;IF(AND(ISNUMBER($F278),$F278&lt;TODAY())," ▲合同已到期",""))</f>
        <v/>
      </c>
      <c r="W278" s="24"/>
      <c r="X278" s="35" t="str">
        <f aca="false">IF($Y278="","",IF(ROUND($H278+$I278-$N278+$Z278-$T278,2)&lt;&gt;0,"★期初＋本年－已收≠余额",IF(ROUND($R278+$S278-MAX(0,$T278),2)&lt;&gt;0,"★已开票＋未开票≠欠款",IF(ROUND($J278+$K278-$I278,2)&lt;&gt;0,"★合同款＋合同外款≠本年应收",IF(ROUND($O278+$P278+$Q278-$N278,2)&lt;&gt;0,"★发票＋收据＋现金≠本年已收","OK")))))</f>
        <v/>
      </c>
      <c r="Y278" s="35" t="str">
        <f aca="false">IF(维保合同!$C278="","",维保合同!$E278)</f>
        <v/>
      </c>
      <c r="Z278" s="40" t="str">
        <f aca="false">IF($Y278="","",ROUND(SUMIFS(应收金额,应收键,$Y278,应收年度,"&gt;"&amp;管理年度)-SUMIFS(收款金额,收款键,$Y278,收款年度,"&gt;"&amp;管理年度),2))</f>
        <v/>
      </c>
      <c r="AA278" s="47" t="str">
        <f aca="false">IF($Y278="","",IF(SUMPRODUCT(MIN(IF((应收键=$Y278)*(应收未收&gt;0.01),应收日期,999999)))&gt;=999999,"",SUMPRODUCT(MIN(IF((应收键=$Y278)*(应收未收&gt;0.01),应收日期,999999)))))</f>
        <v/>
      </c>
    </row>
    <row r="279" customFormat="false" ht="15" hidden="false" customHeight="false" outlineLevel="0" collapsed="false">
      <c r="A279" s="29" t="str">
        <f aca="false">IF($Y279="","",ROW()-4)</f>
        <v/>
      </c>
      <c r="B279" s="16" t="str">
        <f aca="false">IF($Y279="","",维保合同!$C279)</f>
        <v/>
      </c>
      <c r="C279" s="16" t="str">
        <f aca="false">IF($Y279="","",维保合同!$D279)</f>
        <v/>
      </c>
      <c r="D279" s="35" t="str">
        <f aca="false">IF($Y279="","",维保合同!$F279)</f>
        <v/>
      </c>
      <c r="E279" s="35" t="str">
        <f aca="false">IF($Y279="","",维保合同!$G279)</f>
        <v/>
      </c>
      <c r="F279" s="47" t="str">
        <f aca="false">IF($Y279="","",维保合同!$I279)</f>
        <v/>
      </c>
      <c r="G279" s="38" t="str">
        <f aca="false">IF($Y279="","",维保合同!$K279)</f>
        <v/>
      </c>
      <c r="H279" s="41" t="str">
        <f aca="false">IF($Y279="","",ROUND(SUMIFS(应收金额,应收键,$Y279,应收年度,"&lt;"&amp;管理年度)-SUMIFS(收款金额,收款键,$Y279,收款年度,"&lt;"&amp;管理年度),2))</f>
        <v/>
      </c>
      <c r="I279" s="40" t="str">
        <f aca="false">IF($Y279="","",ROUND(SUMIFS(应收金额,应收键,$Y279,应收年度,管理年度),2))</f>
        <v/>
      </c>
      <c r="J279" s="40" t="str">
        <f aca="false">IF($Y279="","",ROUND(SUMIFS(应收金额,应收键,$Y279,应收年度,管理年度,应收款别,"合同款"),2))</f>
        <v/>
      </c>
      <c r="K279" s="40" t="str">
        <f aca="false">IF($Y279="","",ROUND($I279-$J279,2))</f>
        <v/>
      </c>
      <c r="L279" s="40" t="str">
        <f aca="false">IF($Y279="","",ROUND(SUMIFS(应收开票额,应收键,$Y279,应收开票年度,管理年度),2))</f>
        <v/>
      </c>
      <c r="M279" s="40" t="str">
        <f aca="false">IF($Y279="","",ROUND($I279-$L279,2))</f>
        <v/>
      </c>
      <c r="N279" s="40" t="str">
        <f aca="false">IF($Y279="","",ROUND(SUMIFS(收款金额,收款键,$Y279,收款年度,管理年度),2))</f>
        <v/>
      </c>
      <c r="O279" s="40" t="str">
        <f aca="false">IF($Y279="","",ROUND(SUMIFS(收款金额,收款键,$Y279,收款年度,管理年度,收款归类,"发票"),2))</f>
        <v/>
      </c>
      <c r="P279" s="40" t="str">
        <f aca="false">IF($Y279="","",ROUND(SUMIFS(收款金额,收款键,$Y279,收款年度,管理年度,收款归类,"收据"),2))</f>
        <v/>
      </c>
      <c r="Q279" s="40" t="str">
        <f aca="false">IF($Y279="","",ROUND(SUMIFS(收款金额,收款键,$Y279,收款年度,管理年度,收款归类,"现金无票"),2))</f>
        <v/>
      </c>
      <c r="R279" s="40" t="str">
        <f aca="false">IF($Y279="","",ROUND(MAX(0,MIN($T279,SUMIF(应收键,$Y279,应收开票额)-SUMIF(收款键,$Y279,收款金额))),2))</f>
        <v/>
      </c>
      <c r="S279" s="40" t="str">
        <f aca="false">IF($Y279="","",ROUND(MAX(0,$T279)-$R279,2))</f>
        <v/>
      </c>
      <c r="T279" s="48" t="str">
        <f aca="false">IF($Y279="","",ROUND(SUMIF(应收键,$Y279,应收金额)-SUMIF(收款键,$Y279,收款金额),2))</f>
        <v/>
      </c>
      <c r="U279" s="49" t="str">
        <f aca="true">IF($AA279="","",IF($T279&lt;=0.01,"",MAX(0,TODAY()-$AA279)))</f>
        <v/>
      </c>
      <c r="V279" s="50" t="str">
        <f aca="true">IF($Y279="","",IF($T279&gt;0.01,IF(AND(ISNUMBER($U279),$U279&gt;=账龄预警天),"▲欠款拖了 "&amp;TEXT($U279,"0")&amp;" 天","欠款未清"),IF($T279&lt;-0.01,"预收/多收","已结清"))&amp;IF(OR($E279="已签未回",$E279="未签",$E279="续签中")," ▲合同未回","")&amp;IF(AND(ISNUMBER($F279),$F279&lt;TODAY())," ▲合同已到期",""))</f>
        <v/>
      </c>
      <c r="W279" s="24"/>
      <c r="X279" s="35" t="str">
        <f aca="false">IF($Y279="","",IF(ROUND($H279+$I279-$N279+$Z279-$T279,2)&lt;&gt;0,"★期初＋本年－已收≠余额",IF(ROUND($R279+$S279-MAX(0,$T279),2)&lt;&gt;0,"★已开票＋未开票≠欠款",IF(ROUND($J279+$K279-$I279,2)&lt;&gt;0,"★合同款＋合同外款≠本年应收",IF(ROUND($O279+$P279+$Q279-$N279,2)&lt;&gt;0,"★发票＋收据＋现金≠本年已收","OK")))))</f>
        <v/>
      </c>
      <c r="Y279" s="35" t="str">
        <f aca="false">IF(维保合同!$C279="","",维保合同!$E279)</f>
        <v/>
      </c>
      <c r="Z279" s="40" t="str">
        <f aca="false">IF($Y279="","",ROUND(SUMIFS(应收金额,应收键,$Y279,应收年度,"&gt;"&amp;管理年度)-SUMIFS(收款金额,收款键,$Y279,收款年度,"&gt;"&amp;管理年度),2))</f>
        <v/>
      </c>
      <c r="AA279" s="47" t="str">
        <f aca="false">IF($Y279="","",IF(SUMPRODUCT(MIN(IF((应收键=$Y279)*(应收未收&gt;0.01),应收日期,999999)))&gt;=999999,"",SUMPRODUCT(MIN(IF((应收键=$Y279)*(应收未收&gt;0.01),应收日期,999999)))))</f>
        <v/>
      </c>
    </row>
    <row r="280" customFormat="false" ht="15" hidden="false" customHeight="false" outlineLevel="0" collapsed="false">
      <c r="A280" s="29" t="str">
        <f aca="false">IF($Y280="","",ROW()-4)</f>
        <v/>
      </c>
      <c r="B280" s="16" t="str">
        <f aca="false">IF($Y280="","",维保合同!$C280)</f>
        <v/>
      </c>
      <c r="C280" s="16" t="str">
        <f aca="false">IF($Y280="","",维保合同!$D280)</f>
        <v/>
      </c>
      <c r="D280" s="35" t="str">
        <f aca="false">IF($Y280="","",维保合同!$F280)</f>
        <v/>
      </c>
      <c r="E280" s="35" t="str">
        <f aca="false">IF($Y280="","",维保合同!$G280)</f>
        <v/>
      </c>
      <c r="F280" s="47" t="str">
        <f aca="false">IF($Y280="","",维保合同!$I280)</f>
        <v/>
      </c>
      <c r="G280" s="38" t="str">
        <f aca="false">IF($Y280="","",维保合同!$K280)</f>
        <v/>
      </c>
      <c r="H280" s="41" t="str">
        <f aca="false">IF($Y280="","",ROUND(SUMIFS(应收金额,应收键,$Y280,应收年度,"&lt;"&amp;管理年度)-SUMIFS(收款金额,收款键,$Y280,收款年度,"&lt;"&amp;管理年度),2))</f>
        <v/>
      </c>
      <c r="I280" s="40" t="str">
        <f aca="false">IF($Y280="","",ROUND(SUMIFS(应收金额,应收键,$Y280,应收年度,管理年度),2))</f>
        <v/>
      </c>
      <c r="J280" s="40" t="str">
        <f aca="false">IF($Y280="","",ROUND(SUMIFS(应收金额,应收键,$Y280,应收年度,管理年度,应收款别,"合同款"),2))</f>
        <v/>
      </c>
      <c r="K280" s="40" t="str">
        <f aca="false">IF($Y280="","",ROUND($I280-$J280,2))</f>
        <v/>
      </c>
      <c r="L280" s="40" t="str">
        <f aca="false">IF($Y280="","",ROUND(SUMIFS(应收开票额,应收键,$Y280,应收开票年度,管理年度),2))</f>
        <v/>
      </c>
      <c r="M280" s="40" t="str">
        <f aca="false">IF($Y280="","",ROUND($I280-$L280,2))</f>
        <v/>
      </c>
      <c r="N280" s="40" t="str">
        <f aca="false">IF($Y280="","",ROUND(SUMIFS(收款金额,收款键,$Y280,收款年度,管理年度),2))</f>
        <v/>
      </c>
      <c r="O280" s="40" t="str">
        <f aca="false">IF($Y280="","",ROUND(SUMIFS(收款金额,收款键,$Y280,收款年度,管理年度,收款归类,"发票"),2))</f>
        <v/>
      </c>
      <c r="P280" s="40" t="str">
        <f aca="false">IF($Y280="","",ROUND(SUMIFS(收款金额,收款键,$Y280,收款年度,管理年度,收款归类,"收据"),2))</f>
        <v/>
      </c>
      <c r="Q280" s="40" t="str">
        <f aca="false">IF($Y280="","",ROUND(SUMIFS(收款金额,收款键,$Y280,收款年度,管理年度,收款归类,"现金无票"),2))</f>
        <v/>
      </c>
      <c r="R280" s="40" t="str">
        <f aca="false">IF($Y280="","",ROUND(MAX(0,MIN($T280,SUMIF(应收键,$Y280,应收开票额)-SUMIF(收款键,$Y280,收款金额))),2))</f>
        <v/>
      </c>
      <c r="S280" s="40" t="str">
        <f aca="false">IF($Y280="","",ROUND(MAX(0,$T280)-$R280,2))</f>
        <v/>
      </c>
      <c r="T280" s="48" t="str">
        <f aca="false">IF($Y280="","",ROUND(SUMIF(应收键,$Y280,应收金额)-SUMIF(收款键,$Y280,收款金额),2))</f>
        <v/>
      </c>
      <c r="U280" s="49" t="str">
        <f aca="true">IF($AA280="","",IF($T280&lt;=0.01,"",MAX(0,TODAY()-$AA280)))</f>
        <v/>
      </c>
      <c r="V280" s="50" t="str">
        <f aca="true">IF($Y280="","",IF($T280&gt;0.01,IF(AND(ISNUMBER($U280),$U280&gt;=账龄预警天),"▲欠款拖了 "&amp;TEXT($U280,"0")&amp;" 天","欠款未清"),IF($T280&lt;-0.01,"预收/多收","已结清"))&amp;IF(OR($E280="已签未回",$E280="未签",$E280="续签中")," ▲合同未回","")&amp;IF(AND(ISNUMBER($F280),$F280&lt;TODAY())," ▲合同已到期",""))</f>
        <v/>
      </c>
      <c r="W280" s="24"/>
      <c r="X280" s="35" t="str">
        <f aca="false">IF($Y280="","",IF(ROUND($H280+$I280-$N280+$Z280-$T280,2)&lt;&gt;0,"★期初＋本年－已收≠余额",IF(ROUND($R280+$S280-MAX(0,$T280),2)&lt;&gt;0,"★已开票＋未开票≠欠款",IF(ROUND($J280+$K280-$I280,2)&lt;&gt;0,"★合同款＋合同外款≠本年应收",IF(ROUND($O280+$P280+$Q280-$N280,2)&lt;&gt;0,"★发票＋收据＋现金≠本年已收","OK")))))</f>
        <v/>
      </c>
      <c r="Y280" s="35" t="str">
        <f aca="false">IF(维保合同!$C280="","",维保合同!$E280)</f>
        <v/>
      </c>
      <c r="Z280" s="40" t="str">
        <f aca="false">IF($Y280="","",ROUND(SUMIFS(应收金额,应收键,$Y280,应收年度,"&gt;"&amp;管理年度)-SUMIFS(收款金额,收款键,$Y280,收款年度,"&gt;"&amp;管理年度),2))</f>
        <v/>
      </c>
      <c r="AA280" s="47" t="str">
        <f aca="false">IF($Y280="","",IF(SUMPRODUCT(MIN(IF((应收键=$Y280)*(应收未收&gt;0.01),应收日期,999999)))&gt;=999999,"",SUMPRODUCT(MIN(IF((应收键=$Y280)*(应收未收&gt;0.01),应收日期,999999)))))</f>
        <v/>
      </c>
    </row>
    <row r="281" customFormat="false" ht="15" hidden="false" customHeight="false" outlineLevel="0" collapsed="false">
      <c r="A281" s="29" t="str">
        <f aca="false">IF($Y281="","",ROW()-4)</f>
        <v/>
      </c>
      <c r="B281" s="16" t="str">
        <f aca="false">IF($Y281="","",维保合同!$C281)</f>
        <v/>
      </c>
      <c r="C281" s="16" t="str">
        <f aca="false">IF($Y281="","",维保合同!$D281)</f>
        <v/>
      </c>
      <c r="D281" s="35" t="str">
        <f aca="false">IF($Y281="","",维保合同!$F281)</f>
        <v/>
      </c>
      <c r="E281" s="35" t="str">
        <f aca="false">IF($Y281="","",维保合同!$G281)</f>
        <v/>
      </c>
      <c r="F281" s="47" t="str">
        <f aca="false">IF($Y281="","",维保合同!$I281)</f>
        <v/>
      </c>
      <c r="G281" s="38" t="str">
        <f aca="false">IF($Y281="","",维保合同!$K281)</f>
        <v/>
      </c>
      <c r="H281" s="41" t="str">
        <f aca="false">IF($Y281="","",ROUND(SUMIFS(应收金额,应收键,$Y281,应收年度,"&lt;"&amp;管理年度)-SUMIFS(收款金额,收款键,$Y281,收款年度,"&lt;"&amp;管理年度),2))</f>
        <v/>
      </c>
      <c r="I281" s="40" t="str">
        <f aca="false">IF($Y281="","",ROUND(SUMIFS(应收金额,应收键,$Y281,应收年度,管理年度),2))</f>
        <v/>
      </c>
      <c r="J281" s="40" t="str">
        <f aca="false">IF($Y281="","",ROUND(SUMIFS(应收金额,应收键,$Y281,应收年度,管理年度,应收款别,"合同款"),2))</f>
        <v/>
      </c>
      <c r="K281" s="40" t="str">
        <f aca="false">IF($Y281="","",ROUND($I281-$J281,2))</f>
        <v/>
      </c>
      <c r="L281" s="40" t="str">
        <f aca="false">IF($Y281="","",ROUND(SUMIFS(应收开票额,应收键,$Y281,应收开票年度,管理年度),2))</f>
        <v/>
      </c>
      <c r="M281" s="40" t="str">
        <f aca="false">IF($Y281="","",ROUND($I281-$L281,2))</f>
        <v/>
      </c>
      <c r="N281" s="40" t="str">
        <f aca="false">IF($Y281="","",ROUND(SUMIFS(收款金额,收款键,$Y281,收款年度,管理年度),2))</f>
        <v/>
      </c>
      <c r="O281" s="40" t="str">
        <f aca="false">IF($Y281="","",ROUND(SUMIFS(收款金额,收款键,$Y281,收款年度,管理年度,收款归类,"发票"),2))</f>
        <v/>
      </c>
      <c r="P281" s="40" t="str">
        <f aca="false">IF($Y281="","",ROUND(SUMIFS(收款金额,收款键,$Y281,收款年度,管理年度,收款归类,"收据"),2))</f>
        <v/>
      </c>
      <c r="Q281" s="40" t="str">
        <f aca="false">IF($Y281="","",ROUND(SUMIFS(收款金额,收款键,$Y281,收款年度,管理年度,收款归类,"现金无票"),2))</f>
        <v/>
      </c>
      <c r="R281" s="40" t="str">
        <f aca="false">IF($Y281="","",ROUND(MAX(0,MIN($T281,SUMIF(应收键,$Y281,应收开票额)-SUMIF(收款键,$Y281,收款金额))),2))</f>
        <v/>
      </c>
      <c r="S281" s="40" t="str">
        <f aca="false">IF($Y281="","",ROUND(MAX(0,$T281)-$R281,2))</f>
        <v/>
      </c>
      <c r="T281" s="48" t="str">
        <f aca="false">IF($Y281="","",ROUND(SUMIF(应收键,$Y281,应收金额)-SUMIF(收款键,$Y281,收款金额),2))</f>
        <v/>
      </c>
      <c r="U281" s="49" t="str">
        <f aca="true">IF($AA281="","",IF($T281&lt;=0.01,"",MAX(0,TODAY()-$AA281)))</f>
        <v/>
      </c>
      <c r="V281" s="50" t="str">
        <f aca="true">IF($Y281="","",IF($T281&gt;0.01,IF(AND(ISNUMBER($U281),$U281&gt;=账龄预警天),"▲欠款拖了 "&amp;TEXT($U281,"0")&amp;" 天","欠款未清"),IF($T281&lt;-0.01,"预收/多收","已结清"))&amp;IF(OR($E281="已签未回",$E281="未签",$E281="续签中")," ▲合同未回","")&amp;IF(AND(ISNUMBER($F281),$F281&lt;TODAY())," ▲合同已到期",""))</f>
        <v/>
      </c>
      <c r="W281" s="24"/>
      <c r="X281" s="35" t="str">
        <f aca="false">IF($Y281="","",IF(ROUND($H281+$I281-$N281+$Z281-$T281,2)&lt;&gt;0,"★期初＋本年－已收≠余额",IF(ROUND($R281+$S281-MAX(0,$T281),2)&lt;&gt;0,"★已开票＋未开票≠欠款",IF(ROUND($J281+$K281-$I281,2)&lt;&gt;0,"★合同款＋合同外款≠本年应收",IF(ROUND($O281+$P281+$Q281-$N281,2)&lt;&gt;0,"★发票＋收据＋现金≠本年已收","OK")))))</f>
        <v/>
      </c>
      <c r="Y281" s="35" t="str">
        <f aca="false">IF(维保合同!$C281="","",维保合同!$E281)</f>
        <v/>
      </c>
      <c r="Z281" s="40" t="str">
        <f aca="false">IF($Y281="","",ROUND(SUMIFS(应收金额,应收键,$Y281,应收年度,"&gt;"&amp;管理年度)-SUMIFS(收款金额,收款键,$Y281,收款年度,"&gt;"&amp;管理年度),2))</f>
        <v/>
      </c>
      <c r="AA281" s="47" t="str">
        <f aca="false">IF($Y281="","",IF(SUMPRODUCT(MIN(IF((应收键=$Y281)*(应收未收&gt;0.01),应收日期,999999)))&gt;=999999,"",SUMPRODUCT(MIN(IF((应收键=$Y281)*(应收未收&gt;0.01),应收日期,999999)))))</f>
        <v/>
      </c>
    </row>
    <row r="282" customFormat="false" ht="15" hidden="false" customHeight="false" outlineLevel="0" collapsed="false">
      <c r="A282" s="29" t="str">
        <f aca="false">IF($Y282="","",ROW()-4)</f>
        <v/>
      </c>
      <c r="B282" s="16" t="str">
        <f aca="false">IF($Y282="","",维保合同!$C282)</f>
        <v/>
      </c>
      <c r="C282" s="16" t="str">
        <f aca="false">IF($Y282="","",维保合同!$D282)</f>
        <v/>
      </c>
      <c r="D282" s="35" t="str">
        <f aca="false">IF($Y282="","",维保合同!$F282)</f>
        <v/>
      </c>
      <c r="E282" s="35" t="str">
        <f aca="false">IF($Y282="","",维保合同!$G282)</f>
        <v/>
      </c>
      <c r="F282" s="47" t="str">
        <f aca="false">IF($Y282="","",维保合同!$I282)</f>
        <v/>
      </c>
      <c r="G282" s="38" t="str">
        <f aca="false">IF($Y282="","",维保合同!$K282)</f>
        <v/>
      </c>
      <c r="H282" s="41" t="str">
        <f aca="false">IF($Y282="","",ROUND(SUMIFS(应收金额,应收键,$Y282,应收年度,"&lt;"&amp;管理年度)-SUMIFS(收款金额,收款键,$Y282,收款年度,"&lt;"&amp;管理年度),2))</f>
        <v/>
      </c>
      <c r="I282" s="40" t="str">
        <f aca="false">IF($Y282="","",ROUND(SUMIFS(应收金额,应收键,$Y282,应收年度,管理年度),2))</f>
        <v/>
      </c>
      <c r="J282" s="40" t="str">
        <f aca="false">IF($Y282="","",ROUND(SUMIFS(应收金额,应收键,$Y282,应收年度,管理年度,应收款别,"合同款"),2))</f>
        <v/>
      </c>
      <c r="K282" s="40" t="str">
        <f aca="false">IF($Y282="","",ROUND($I282-$J282,2))</f>
        <v/>
      </c>
      <c r="L282" s="40" t="str">
        <f aca="false">IF($Y282="","",ROUND(SUMIFS(应收开票额,应收键,$Y282,应收开票年度,管理年度),2))</f>
        <v/>
      </c>
      <c r="M282" s="40" t="str">
        <f aca="false">IF($Y282="","",ROUND($I282-$L282,2))</f>
        <v/>
      </c>
      <c r="N282" s="40" t="str">
        <f aca="false">IF($Y282="","",ROUND(SUMIFS(收款金额,收款键,$Y282,收款年度,管理年度),2))</f>
        <v/>
      </c>
      <c r="O282" s="40" t="str">
        <f aca="false">IF($Y282="","",ROUND(SUMIFS(收款金额,收款键,$Y282,收款年度,管理年度,收款归类,"发票"),2))</f>
        <v/>
      </c>
      <c r="P282" s="40" t="str">
        <f aca="false">IF($Y282="","",ROUND(SUMIFS(收款金额,收款键,$Y282,收款年度,管理年度,收款归类,"收据"),2))</f>
        <v/>
      </c>
      <c r="Q282" s="40" t="str">
        <f aca="false">IF($Y282="","",ROUND(SUMIFS(收款金额,收款键,$Y282,收款年度,管理年度,收款归类,"现金无票"),2))</f>
        <v/>
      </c>
      <c r="R282" s="40" t="str">
        <f aca="false">IF($Y282="","",ROUND(MAX(0,MIN($T282,SUMIF(应收键,$Y282,应收开票额)-SUMIF(收款键,$Y282,收款金额))),2))</f>
        <v/>
      </c>
      <c r="S282" s="40" t="str">
        <f aca="false">IF($Y282="","",ROUND(MAX(0,$T282)-$R282,2))</f>
        <v/>
      </c>
      <c r="T282" s="48" t="str">
        <f aca="false">IF($Y282="","",ROUND(SUMIF(应收键,$Y282,应收金额)-SUMIF(收款键,$Y282,收款金额),2))</f>
        <v/>
      </c>
      <c r="U282" s="49" t="str">
        <f aca="true">IF($AA282="","",IF($T282&lt;=0.01,"",MAX(0,TODAY()-$AA282)))</f>
        <v/>
      </c>
      <c r="V282" s="50" t="str">
        <f aca="true">IF($Y282="","",IF($T282&gt;0.01,IF(AND(ISNUMBER($U282),$U282&gt;=账龄预警天),"▲欠款拖了 "&amp;TEXT($U282,"0")&amp;" 天","欠款未清"),IF($T282&lt;-0.01,"预收/多收","已结清"))&amp;IF(OR($E282="已签未回",$E282="未签",$E282="续签中")," ▲合同未回","")&amp;IF(AND(ISNUMBER($F282),$F282&lt;TODAY())," ▲合同已到期",""))</f>
        <v/>
      </c>
      <c r="W282" s="24"/>
      <c r="X282" s="35" t="str">
        <f aca="false">IF($Y282="","",IF(ROUND($H282+$I282-$N282+$Z282-$T282,2)&lt;&gt;0,"★期初＋本年－已收≠余额",IF(ROUND($R282+$S282-MAX(0,$T282),2)&lt;&gt;0,"★已开票＋未开票≠欠款",IF(ROUND($J282+$K282-$I282,2)&lt;&gt;0,"★合同款＋合同外款≠本年应收",IF(ROUND($O282+$P282+$Q282-$N282,2)&lt;&gt;0,"★发票＋收据＋现金≠本年已收","OK")))))</f>
        <v/>
      </c>
      <c r="Y282" s="35" t="str">
        <f aca="false">IF(维保合同!$C282="","",维保合同!$E282)</f>
        <v/>
      </c>
      <c r="Z282" s="40" t="str">
        <f aca="false">IF($Y282="","",ROUND(SUMIFS(应收金额,应收键,$Y282,应收年度,"&gt;"&amp;管理年度)-SUMIFS(收款金额,收款键,$Y282,收款年度,"&gt;"&amp;管理年度),2))</f>
        <v/>
      </c>
      <c r="AA282" s="47" t="str">
        <f aca="false">IF($Y282="","",IF(SUMPRODUCT(MIN(IF((应收键=$Y282)*(应收未收&gt;0.01),应收日期,999999)))&gt;=999999,"",SUMPRODUCT(MIN(IF((应收键=$Y282)*(应收未收&gt;0.01),应收日期,999999)))))</f>
        <v/>
      </c>
    </row>
    <row r="283" customFormat="false" ht="15" hidden="false" customHeight="false" outlineLevel="0" collapsed="false">
      <c r="A283" s="29" t="str">
        <f aca="false">IF($Y283="","",ROW()-4)</f>
        <v/>
      </c>
      <c r="B283" s="16" t="str">
        <f aca="false">IF($Y283="","",维保合同!$C283)</f>
        <v/>
      </c>
      <c r="C283" s="16" t="str">
        <f aca="false">IF($Y283="","",维保合同!$D283)</f>
        <v/>
      </c>
      <c r="D283" s="35" t="str">
        <f aca="false">IF($Y283="","",维保合同!$F283)</f>
        <v/>
      </c>
      <c r="E283" s="35" t="str">
        <f aca="false">IF($Y283="","",维保合同!$G283)</f>
        <v/>
      </c>
      <c r="F283" s="47" t="str">
        <f aca="false">IF($Y283="","",维保合同!$I283)</f>
        <v/>
      </c>
      <c r="G283" s="38" t="str">
        <f aca="false">IF($Y283="","",维保合同!$K283)</f>
        <v/>
      </c>
      <c r="H283" s="41" t="str">
        <f aca="false">IF($Y283="","",ROUND(SUMIFS(应收金额,应收键,$Y283,应收年度,"&lt;"&amp;管理年度)-SUMIFS(收款金额,收款键,$Y283,收款年度,"&lt;"&amp;管理年度),2))</f>
        <v/>
      </c>
      <c r="I283" s="40" t="str">
        <f aca="false">IF($Y283="","",ROUND(SUMIFS(应收金额,应收键,$Y283,应收年度,管理年度),2))</f>
        <v/>
      </c>
      <c r="J283" s="40" t="str">
        <f aca="false">IF($Y283="","",ROUND(SUMIFS(应收金额,应收键,$Y283,应收年度,管理年度,应收款别,"合同款"),2))</f>
        <v/>
      </c>
      <c r="K283" s="40" t="str">
        <f aca="false">IF($Y283="","",ROUND($I283-$J283,2))</f>
        <v/>
      </c>
      <c r="L283" s="40" t="str">
        <f aca="false">IF($Y283="","",ROUND(SUMIFS(应收开票额,应收键,$Y283,应收开票年度,管理年度),2))</f>
        <v/>
      </c>
      <c r="M283" s="40" t="str">
        <f aca="false">IF($Y283="","",ROUND($I283-$L283,2))</f>
        <v/>
      </c>
      <c r="N283" s="40" t="str">
        <f aca="false">IF($Y283="","",ROUND(SUMIFS(收款金额,收款键,$Y283,收款年度,管理年度),2))</f>
        <v/>
      </c>
      <c r="O283" s="40" t="str">
        <f aca="false">IF($Y283="","",ROUND(SUMIFS(收款金额,收款键,$Y283,收款年度,管理年度,收款归类,"发票"),2))</f>
        <v/>
      </c>
      <c r="P283" s="40" t="str">
        <f aca="false">IF($Y283="","",ROUND(SUMIFS(收款金额,收款键,$Y283,收款年度,管理年度,收款归类,"收据"),2))</f>
        <v/>
      </c>
      <c r="Q283" s="40" t="str">
        <f aca="false">IF($Y283="","",ROUND(SUMIFS(收款金额,收款键,$Y283,收款年度,管理年度,收款归类,"现金无票"),2))</f>
        <v/>
      </c>
      <c r="R283" s="40" t="str">
        <f aca="false">IF($Y283="","",ROUND(MAX(0,MIN($T283,SUMIF(应收键,$Y283,应收开票额)-SUMIF(收款键,$Y283,收款金额))),2))</f>
        <v/>
      </c>
      <c r="S283" s="40" t="str">
        <f aca="false">IF($Y283="","",ROUND(MAX(0,$T283)-$R283,2))</f>
        <v/>
      </c>
      <c r="T283" s="48" t="str">
        <f aca="false">IF($Y283="","",ROUND(SUMIF(应收键,$Y283,应收金额)-SUMIF(收款键,$Y283,收款金额),2))</f>
        <v/>
      </c>
      <c r="U283" s="49" t="str">
        <f aca="true">IF($AA283="","",IF($T283&lt;=0.01,"",MAX(0,TODAY()-$AA283)))</f>
        <v/>
      </c>
      <c r="V283" s="50" t="str">
        <f aca="true">IF($Y283="","",IF($T283&gt;0.01,IF(AND(ISNUMBER($U283),$U283&gt;=账龄预警天),"▲欠款拖了 "&amp;TEXT($U283,"0")&amp;" 天","欠款未清"),IF($T283&lt;-0.01,"预收/多收","已结清"))&amp;IF(OR($E283="已签未回",$E283="未签",$E283="续签中")," ▲合同未回","")&amp;IF(AND(ISNUMBER($F283),$F283&lt;TODAY())," ▲合同已到期",""))</f>
        <v/>
      </c>
      <c r="W283" s="24"/>
      <c r="X283" s="35" t="str">
        <f aca="false">IF($Y283="","",IF(ROUND($H283+$I283-$N283+$Z283-$T283,2)&lt;&gt;0,"★期初＋本年－已收≠余额",IF(ROUND($R283+$S283-MAX(0,$T283),2)&lt;&gt;0,"★已开票＋未开票≠欠款",IF(ROUND($J283+$K283-$I283,2)&lt;&gt;0,"★合同款＋合同外款≠本年应收",IF(ROUND($O283+$P283+$Q283-$N283,2)&lt;&gt;0,"★发票＋收据＋现金≠本年已收","OK")))))</f>
        <v/>
      </c>
      <c r="Y283" s="35" t="str">
        <f aca="false">IF(维保合同!$C283="","",维保合同!$E283)</f>
        <v/>
      </c>
      <c r="Z283" s="40" t="str">
        <f aca="false">IF($Y283="","",ROUND(SUMIFS(应收金额,应收键,$Y283,应收年度,"&gt;"&amp;管理年度)-SUMIFS(收款金额,收款键,$Y283,收款年度,"&gt;"&amp;管理年度),2))</f>
        <v/>
      </c>
      <c r="AA283" s="47" t="str">
        <f aca="false">IF($Y283="","",IF(SUMPRODUCT(MIN(IF((应收键=$Y283)*(应收未收&gt;0.01),应收日期,999999)))&gt;=999999,"",SUMPRODUCT(MIN(IF((应收键=$Y283)*(应收未收&gt;0.01),应收日期,999999)))))</f>
        <v/>
      </c>
    </row>
    <row r="284" customFormat="false" ht="15" hidden="false" customHeight="false" outlineLevel="0" collapsed="false">
      <c r="A284" s="29" t="str">
        <f aca="false">IF($Y284="","",ROW()-4)</f>
        <v/>
      </c>
      <c r="B284" s="16" t="str">
        <f aca="false">IF($Y284="","",维保合同!$C284)</f>
        <v/>
      </c>
      <c r="C284" s="16" t="str">
        <f aca="false">IF($Y284="","",维保合同!$D284)</f>
        <v/>
      </c>
      <c r="D284" s="35" t="str">
        <f aca="false">IF($Y284="","",维保合同!$F284)</f>
        <v/>
      </c>
      <c r="E284" s="35" t="str">
        <f aca="false">IF($Y284="","",维保合同!$G284)</f>
        <v/>
      </c>
      <c r="F284" s="47" t="str">
        <f aca="false">IF($Y284="","",维保合同!$I284)</f>
        <v/>
      </c>
      <c r="G284" s="38" t="str">
        <f aca="false">IF($Y284="","",维保合同!$K284)</f>
        <v/>
      </c>
      <c r="H284" s="41" t="str">
        <f aca="false">IF($Y284="","",ROUND(SUMIFS(应收金额,应收键,$Y284,应收年度,"&lt;"&amp;管理年度)-SUMIFS(收款金额,收款键,$Y284,收款年度,"&lt;"&amp;管理年度),2))</f>
        <v/>
      </c>
      <c r="I284" s="40" t="str">
        <f aca="false">IF($Y284="","",ROUND(SUMIFS(应收金额,应收键,$Y284,应收年度,管理年度),2))</f>
        <v/>
      </c>
      <c r="J284" s="40" t="str">
        <f aca="false">IF($Y284="","",ROUND(SUMIFS(应收金额,应收键,$Y284,应收年度,管理年度,应收款别,"合同款"),2))</f>
        <v/>
      </c>
      <c r="K284" s="40" t="str">
        <f aca="false">IF($Y284="","",ROUND($I284-$J284,2))</f>
        <v/>
      </c>
      <c r="L284" s="40" t="str">
        <f aca="false">IF($Y284="","",ROUND(SUMIFS(应收开票额,应收键,$Y284,应收开票年度,管理年度),2))</f>
        <v/>
      </c>
      <c r="M284" s="40" t="str">
        <f aca="false">IF($Y284="","",ROUND($I284-$L284,2))</f>
        <v/>
      </c>
      <c r="N284" s="40" t="str">
        <f aca="false">IF($Y284="","",ROUND(SUMIFS(收款金额,收款键,$Y284,收款年度,管理年度),2))</f>
        <v/>
      </c>
      <c r="O284" s="40" t="str">
        <f aca="false">IF($Y284="","",ROUND(SUMIFS(收款金额,收款键,$Y284,收款年度,管理年度,收款归类,"发票"),2))</f>
        <v/>
      </c>
      <c r="P284" s="40" t="str">
        <f aca="false">IF($Y284="","",ROUND(SUMIFS(收款金额,收款键,$Y284,收款年度,管理年度,收款归类,"收据"),2))</f>
        <v/>
      </c>
      <c r="Q284" s="40" t="str">
        <f aca="false">IF($Y284="","",ROUND(SUMIFS(收款金额,收款键,$Y284,收款年度,管理年度,收款归类,"现金无票"),2))</f>
        <v/>
      </c>
      <c r="R284" s="40" t="str">
        <f aca="false">IF($Y284="","",ROUND(MAX(0,MIN($T284,SUMIF(应收键,$Y284,应收开票额)-SUMIF(收款键,$Y284,收款金额))),2))</f>
        <v/>
      </c>
      <c r="S284" s="40" t="str">
        <f aca="false">IF($Y284="","",ROUND(MAX(0,$T284)-$R284,2))</f>
        <v/>
      </c>
      <c r="T284" s="48" t="str">
        <f aca="false">IF($Y284="","",ROUND(SUMIF(应收键,$Y284,应收金额)-SUMIF(收款键,$Y284,收款金额),2))</f>
        <v/>
      </c>
      <c r="U284" s="49" t="str">
        <f aca="true">IF($AA284="","",IF($T284&lt;=0.01,"",MAX(0,TODAY()-$AA284)))</f>
        <v/>
      </c>
      <c r="V284" s="50" t="str">
        <f aca="true">IF($Y284="","",IF($T284&gt;0.01,IF(AND(ISNUMBER($U284),$U284&gt;=账龄预警天),"▲欠款拖了 "&amp;TEXT($U284,"0")&amp;" 天","欠款未清"),IF($T284&lt;-0.01,"预收/多收","已结清"))&amp;IF(OR($E284="已签未回",$E284="未签",$E284="续签中")," ▲合同未回","")&amp;IF(AND(ISNUMBER($F284),$F284&lt;TODAY())," ▲合同已到期",""))</f>
        <v/>
      </c>
      <c r="W284" s="24"/>
      <c r="X284" s="35" t="str">
        <f aca="false">IF($Y284="","",IF(ROUND($H284+$I284-$N284+$Z284-$T284,2)&lt;&gt;0,"★期初＋本年－已收≠余额",IF(ROUND($R284+$S284-MAX(0,$T284),2)&lt;&gt;0,"★已开票＋未开票≠欠款",IF(ROUND($J284+$K284-$I284,2)&lt;&gt;0,"★合同款＋合同外款≠本年应收",IF(ROUND($O284+$P284+$Q284-$N284,2)&lt;&gt;0,"★发票＋收据＋现金≠本年已收","OK")))))</f>
        <v/>
      </c>
      <c r="Y284" s="35" t="str">
        <f aca="false">IF(维保合同!$C284="","",维保合同!$E284)</f>
        <v/>
      </c>
      <c r="Z284" s="40" t="str">
        <f aca="false">IF($Y284="","",ROUND(SUMIFS(应收金额,应收键,$Y284,应收年度,"&gt;"&amp;管理年度)-SUMIFS(收款金额,收款键,$Y284,收款年度,"&gt;"&amp;管理年度),2))</f>
        <v/>
      </c>
      <c r="AA284" s="47" t="str">
        <f aca="false">IF($Y284="","",IF(SUMPRODUCT(MIN(IF((应收键=$Y284)*(应收未收&gt;0.01),应收日期,999999)))&gt;=999999,"",SUMPRODUCT(MIN(IF((应收键=$Y284)*(应收未收&gt;0.01),应收日期,999999)))))</f>
        <v/>
      </c>
    </row>
    <row r="285" customFormat="false" ht="15" hidden="false" customHeight="false" outlineLevel="0" collapsed="false">
      <c r="A285" s="29" t="str">
        <f aca="false">IF($Y285="","",ROW()-4)</f>
        <v/>
      </c>
      <c r="B285" s="16" t="str">
        <f aca="false">IF($Y285="","",维保合同!$C285)</f>
        <v/>
      </c>
      <c r="C285" s="16" t="str">
        <f aca="false">IF($Y285="","",维保合同!$D285)</f>
        <v/>
      </c>
      <c r="D285" s="35" t="str">
        <f aca="false">IF($Y285="","",维保合同!$F285)</f>
        <v/>
      </c>
      <c r="E285" s="35" t="str">
        <f aca="false">IF($Y285="","",维保合同!$G285)</f>
        <v/>
      </c>
      <c r="F285" s="47" t="str">
        <f aca="false">IF($Y285="","",维保合同!$I285)</f>
        <v/>
      </c>
      <c r="G285" s="38" t="str">
        <f aca="false">IF($Y285="","",维保合同!$K285)</f>
        <v/>
      </c>
      <c r="H285" s="41" t="str">
        <f aca="false">IF($Y285="","",ROUND(SUMIFS(应收金额,应收键,$Y285,应收年度,"&lt;"&amp;管理年度)-SUMIFS(收款金额,收款键,$Y285,收款年度,"&lt;"&amp;管理年度),2))</f>
        <v/>
      </c>
      <c r="I285" s="40" t="str">
        <f aca="false">IF($Y285="","",ROUND(SUMIFS(应收金额,应收键,$Y285,应收年度,管理年度),2))</f>
        <v/>
      </c>
      <c r="J285" s="40" t="str">
        <f aca="false">IF($Y285="","",ROUND(SUMIFS(应收金额,应收键,$Y285,应收年度,管理年度,应收款别,"合同款"),2))</f>
        <v/>
      </c>
      <c r="K285" s="40" t="str">
        <f aca="false">IF($Y285="","",ROUND($I285-$J285,2))</f>
        <v/>
      </c>
      <c r="L285" s="40" t="str">
        <f aca="false">IF($Y285="","",ROUND(SUMIFS(应收开票额,应收键,$Y285,应收开票年度,管理年度),2))</f>
        <v/>
      </c>
      <c r="M285" s="40" t="str">
        <f aca="false">IF($Y285="","",ROUND($I285-$L285,2))</f>
        <v/>
      </c>
      <c r="N285" s="40" t="str">
        <f aca="false">IF($Y285="","",ROUND(SUMIFS(收款金额,收款键,$Y285,收款年度,管理年度),2))</f>
        <v/>
      </c>
      <c r="O285" s="40" t="str">
        <f aca="false">IF($Y285="","",ROUND(SUMIFS(收款金额,收款键,$Y285,收款年度,管理年度,收款归类,"发票"),2))</f>
        <v/>
      </c>
      <c r="P285" s="40" t="str">
        <f aca="false">IF($Y285="","",ROUND(SUMIFS(收款金额,收款键,$Y285,收款年度,管理年度,收款归类,"收据"),2))</f>
        <v/>
      </c>
      <c r="Q285" s="40" t="str">
        <f aca="false">IF($Y285="","",ROUND(SUMIFS(收款金额,收款键,$Y285,收款年度,管理年度,收款归类,"现金无票"),2))</f>
        <v/>
      </c>
      <c r="R285" s="40" t="str">
        <f aca="false">IF($Y285="","",ROUND(MAX(0,MIN($T285,SUMIF(应收键,$Y285,应收开票额)-SUMIF(收款键,$Y285,收款金额))),2))</f>
        <v/>
      </c>
      <c r="S285" s="40" t="str">
        <f aca="false">IF($Y285="","",ROUND(MAX(0,$T285)-$R285,2))</f>
        <v/>
      </c>
      <c r="T285" s="48" t="str">
        <f aca="false">IF($Y285="","",ROUND(SUMIF(应收键,$Y285,应收金额)-SUMIF(收款键,$Y285,收款金额),2))</f>
        <v/>
      </c>
      <c r="U285" s="49" t="str">
        <f aca="true">IF($AA285="","",IF($T285&lt;=0.01,"",MAX(0,TODAY()-$AA285)))</f>
        <v/>
      </c>
      <c r="V285" s="50" t="str">
        <f aca="true">IF($Y285="","",IF($T285&gt;0.01,IF(AND(ISNUMBER($U285),$U285&gt;=账龄预警天),"▲欠款拖了 "&amp;TEXT($U285,"0")&amp;" 天","欠款未清"),IF($T285&lt;-0.01,"预收/多收","已结清"))&amp;IF(OR($E285="已签未回",$E285="未签",$E285="续签中")," ▲合同未回","")&amp;IF(AND(ISNUMBER($F285),$F285&lt;TODAY())," ▲合同已到期",""))</f>
        <v/>
      </c>
      <c r="W285" s="24"/>
      <c r="X285" s="35" t="str">
        <f aca="false">IF($Y285="","",IF(ROUND($H285+$I285-$N285+$Z285-$T285,2)&lt;&gt;0,"★期初＋本年－已收≠余额",IF(ROUND($R285+$S285-MAX(0,$T285),2)&lt;&gt;0,"★已开票＋未开票≠欠款",IF(ROUND($J285+$K285-$I285,2)&lt;&gt;0,"★合同款＋合同外款≠本年应收",IF(ROUND($O285+$P285+$Q285-$N285,2)&lt;&gt;0,"★发票＋收据＋现金≠本年已收","OK")))))</f>
        <v/>
      </c>
      <c r="Y285" s="35" t="str">
        <f aca="false">IF(维保合同!$C285="","",维保合同!$E285)</f>
        <v/>
      </c>
      <c r="Z285" s="40" t="str">
        <f aca="false">IF($Y285="","",ROUND(SUMIFS(应收金额,应收键,$Y285,应收年度,"&gt;"&amp;管理年度)-SUMIFS(收款金额,收款键,$Y285,收款年度,"&gt;"&amp;管理年度),2))</f>
        <v/>
      </c>
      <c r="AA285" s="47" t="str">
        <f aca="false">IF($Y285="","",IF(SUMPRODUCT(MIN(IF((应收键=$Y285)*(应收未收&gt;0.01),应收日期,999999)))&gt;=999999,"",SUMPRODUCT(MIN(IF((应收键=$Y285)*(应收未收&gt;0.01),应收日期,999999)))))</f>
        <v/>
      </c>
    </row>
    <row r="286" customFormat="false" ht="15" hidden="false" customHeight="false" outlineLevel="0" collapsed="false">
      <c r="A286" s="29" t="str">
        <f aca="false">IF($Y286="","",ROW()-4)</f>
        <v/>
      </c>
      <c r="B286" s="16" t="str">
        <f aca="false">IF($Y286="","",维保合同!$C286)</f>
        <v/>
      </c>
      <c r="C286" s="16" t="str">
        <f aca="false">IF($Y286="","",维保合同!$D286)</f>
        <v/>
      </c>
      <c r="D286" s="35" t="str">
        <f aca="false">IF($Y286="","",维保合同!$F286)</f>
        <v/>
      </c>
      <c r="E286" s="35" t="str">
        <f aca="false">IF($Y286="","",维保合同!$G286)</f>
        <v/>
      </c>
      <c r="F286" s="47" t="str">
        <f aca="false">IF($Y286="","",维保合同!$I286)</f>
        <v/>
      </c>
      <c r="G286" s="38" t="str">
        <f aca="false">IF($Y286="","",维保合同!$K286)</f>
        <v/>
      </c>
      <c r="H286" s="41" t="str">
        <f aca="false">IF($Y286="","",ROUND(SUMIFS(应收金额,应收键,$Y286,应收年度,"&lt;"&amp;管理年度)-SUMIFS(收款金额,收款键,$Y286,收款年度,"&lt;"&amp;管理年度),2))</f>
        <v/>
      </c>
      <c r="I286" s="40" t="str">
        <f aca="false">IF($Y286="","",ROUND(SUMIFS(应收金额,应收键,$Y286,应收年度,管理年度),2))</f>
        <v/>
      </c>
      <c r="J286" s="40" t="str">
        <f aca="false">IF($Y286="","",ROUND(SUMIFS(应收金额,应收键,$Y286,应收年度,管理年度,应收款别,"合同款"),2))</f>
        <v/>
      </c>
      <c r="K286" s="40" t="str">
        <f aca="false">IF($Y286="","",ROUND($I286-$J286,2))</f>
        <v/>
      </c>
      <c r="L286" s="40" t="str">
        <f aca="false">IF($Y286="","",ROUND(SUMIFS(应收开票额,应收键,$Y286,应收开票年度,管理年度),2))</f>
        <v/>
      </c>
      <c r="M286" s="40" t="str">
        <f aca="false">IF($Y286="","",ROUND($I286-$L286,2))</f>
        <v/>
      </c>
      <c r="N286" s="40" t="str">
        <f aca="false">IF($Y286="","",ROUND(SUMIFS(收款金额,收款键,$Y286,收款年度,管理年度),2))</f>
        <v/>
      </c>
      <c r="O286" s="40" t="str">
        <f aca="false">IF($Y286="","",ROUND(SUMIFS(收款金额,收款键,$Y286,收款年度,管理年度,收款归类,"发票"),2))</f>
        <v/>
      </c>
      <c r="P286" s="40" t="str">
        <f aca="false">IF($Y286="","",ROUND(SUMIFS(收款金额,收款键,$Y286,收款年度,管理年度,收款归类,"收据"),2))</f>
        <v/>
      </c>
      <c r="Q286" s="40" t="str">
        <f aca="false">IF($Y286="","",ROUND(SUMIFS(收款金额,收款键,$Y286,收款年度,管理年度,收款归类,"现金无票"),2))</f>
        <v/>
      </c>
      <c r="R286" s="40" t="str">
        <f aca="false">IF($Y286="","",ROUND(MAX(0,MIN($T286,SUMIF(应收键,$Y286,应收开票额)-SUMIF(收款键,$Y286,收款金额))),2))</f>
        <v/>
      </c>
      <c r="S286" s="40" t="str">
        <f aca="false">IF($Y286="","",ROUND(MAX(0,$T286)-$R286,2))</f>
        <v/>
      </c>
      <c r="T286" s="48" t="str">
        <f aca="false">IF($Y286="","",ROUND(SUMIF(应收键,$Y286,应收金额)-SUMIF(收款键,$Y286,收款金额),2))</f>
        <v/>
      </c>
      <c r="U286" s="49" t="str">
        <f aca="true">IF($AA286="","",IF($T286&lt;=0.01,"",MAX(0,TODAY()-$AA286)))</f>
        <v/>
      </c>
      <c r="V286" s="50" t="str">
        <f aca="true">IF($Y286="","",IF($T286&gt;0.01,IF(AND(ISNUMBER($U286),$U286&gt;=账龄预警天),"▲欠款拖了 "&amp;TEXT($U286,"0")&amp;" 天","欠款未清"),IF($T286&lt;-0.01,"预收/多收","已结清"))&amp;IF(OR($E286="已签未回",$E286="未签",$E286="续签中")," ▲合同未回","")&amp;IF(AND(ISNUMBER($F286),$F286&lt;TODAY())," ▲合同已到期",""))</f>
        <v/>
      </c>
      <c r="W286" s="24"/>
      <c r="X286" s="35" t="str">
        <f aca="false">IF($Y286="","",IF(ROUND($H286+$I286-$N286+$Z286-$T286,2)&lt;&gt;0,"★期初＋本年－已收≠余额",IF(ROUND($R286+$S286-MAX(0,$T286),2)&lt;&gt;0,"★已开票＋未开票≠欠款",IF(ROUND($J286+$K286-$I286,2)&lt;&gt;0,"★合同款＋合同外款≠本年应收",IF(ROUND($O286+$P286+$Q286-$N286,2)&lt;&gt;0,"★发票＋收据＋现金≠本年已收","OK")))))</f>
        <v/>
      </c>
      <c r="Y286" s="35" t="str">
        <f aca="false">IF(维保合同!$C286="","",维保合同!$E286)</f>
        <v/>
      </c>
      <c r="Z286" s="40" t="str">
        <f aca="false">IF($Y286="","",ROUND(SUMIFS(应收金额,应收键,$Y286,应收年度,"&gt;"&amp;管理年度)-SUMIFS(收款金额,收款键,$Y286,收款年度,"&gt;"&amp;管理年度),2))</f>
        <v/>
      </c>
      <c r="AA286" s="47" t="str">
        <f aca="false">IF($Y286="","",IF(SUMPRODUCT(MIN(IF((应收键=$Y286)*(应收未收&gt;0.01),应收日期,999999)))&gt;=999999,"",SUMPRODUCT(MIN(IF((应收键=$Y286)*(应收未收&gt;0.01),应收日期,999999)))))</f>
        <v/>
      </c>
    </row>
    <row r="287" customFormat="false" ht="15" hidden="false" customHeight="false" outlineLevel="0" collapsed="false">
      <c r="A287" s="29" t="str">
        <f aca="false">IF($Y287="","",ROW()-4)</f>
        <v/>
      </c>
      <c r="B287" s="16" t="str">
        <f aca="false">IF($Y287="","",维保合同!$C287)</f>
        <v/>
      </c>
      <c r="C287" s="16" t="str">
        <f aca="false">IF($Y287="","",维保合同!$D287)</f>
        <v/>
      </c>
      <c r="D287" s="35" t="str">
        <f aca="false">IF($Y287="","",维保合同!$F287)</f>
        <v/>
      </c>
      <c r="E287" s="35" t="str">
        <f aca="false">IF($Y287="","",维保合同!$G287)</f>
        <v/>
      </c>
      <c r="F287" s="47" t="str">
        <f aca="false">IF($Y287="","",维保合同!$I287)</f>
        <v/>
      </c>
      <c r="G287" s="38" t="str">
        <f aca="false">IF($Y287="","",维保合同!$K287)</f>
        <v/>
      </c>
      <c r="H287" s="41" t="str">
        <f aca="false">IF($Y287="","",ROUND(SUMIFS(应收金额,应收键,$Y287,应收年度,"&lt;"&amp;管理年度)-SUMIFS(收款金额,收款键,$Y287,收款年度,"&lt;"&amp;管理年度),2))</f>
        <v/>
      </c>
      <c r="I287" s="40" t="str">
        <f aca="false">IF($Y287="","",ROUND(SUMIFS(应收金额,应收键,$Y287,应收年度,管理年度),2))</f>
        <v/>
      </c>
      <c r="J287" s="40" t="str">
        <f aca="false">IF($Y287="","",ROUND(SUMIFS(应收金额,应收键,$Y287,应收年度,管理年度,应收款别,"合同款"),2))</f>
        <v/>
      </c>
      <c r="K287" s="40" t="str">
        <f aca="false">IF($Y287="","",ROUND($I287-$J287,2))</f>
        <v/>
      </c>
      <c r="L287" s="40" t="str">
        <f aca="false">IF($Y287="","",ROUND(SUMIFS(应收开票额,应收键,$Y287,应收开票年度,管理年度),2))</f>
        <v/>
      </c>
      <c r="M287" s="40" t="str">
        <f aca="false">IF($Y287="","",ROUND($I287-$L287,2))</f>
        <v/>
      </c>
      <c r="N287" s="40" t="str">
        <f aca="false">IF($Y287="","",ROUND(SUMIFS(收款金额,收款键,$Y287,收款年度,管理年度),2))</f>
        <v/>
      </c>
      <c r="O287" s="40" t="str">
        <f aca="false">IF($Y287="","",ROUND(SUMIFS(收款金额,收款键,$Y287,收款年度,管理年度,收款归类,"发票"),2))</f>
        <v/>
      </c>
      <c r="P287" s="40" t="str">
        <f aca="false">IF($Y287="","",ROUND(SUMIFS(收款金额,收款键,$Y287,收款年度,管理年度,收款归类,"收据"),2))</f>
        <v/>
      </c>
      <c r="Q287" s="40" t="str">
        <f aca="false">IF($Y287="","",ROUND(SUMIFS(收款金额,收款键,$Y287,收款年度,管理年度,收款归类,"现金无票"),2))</f>
        <v/>
      </c>
      <c r="R287" s="40" t="str">
        <f aca="false">IF($Y287="","",ROUND(MAX(0,MIN($T287,SUMIF(应收键,$Y287,应收开票额)-SUMIF(收款键,$Y287,收款金额))),2))</f>
        <v/>
      </c>
      <c r="S287" s="40" t="str">
        <f aca="false">IF($Y287="","",ROUND(MAX(0,$T287)-$R287,2))</f>
        <v/>
      </c>
      <c r="T287" s="48" t="str">
        <f aca="false">IF($Y287="","",ROUND(SUMIF(应收键,$Y287,应收金额)-SUMIF(收款键,$Y287,收款金额),2))</f>
        <v/>
      </c>
      <c r="U287" s="49" t="str">
        <f aca="true">IF($AA287="","",IF($T287&lt;=0.01,"",MAX(0,TODAY()-$AA287)))</f>
        <v/>
      </c>
      <c r="V287" s="50" t="str">
        <f aca="true">IF($Y287="","",IF($T287&gt;0.01,IF(AND(ISNUMBER($U287),$U287&gt;=账龄预警天),"▲欠款拖了 "&amp;TEXT($U287,"0")&amp;" 天","欠款未清"),IF($T287&lt;-0.01,"预收/多收","已结清"))&amp;IF(OR($E287="已签未回",$E287="未签",$E287="续签中")," ▲合同未回","")&amp;IF(AND(ISNUMBER($F287),$F287&lt;TODAY())," ▲合同已到期",""))</f>
        <v/>
      </c>
      <c r="W287" s="24"/>
      <c r="X287" s="35" t="str">
        <f aca="false">IF($Y287="","",IF(ROUND($H287+$I287-$N287+$Z287-$T287,2)&lt;&gt;0,"★期初＋本年－已收≠余额",IF(ROUND($R287+$S287-MAX(0,$T287),2)&lt;&gt;0,"★已开票＋未开票≠欠款",IF(ROUND($J287+$K287-$I287,2)&lt;&gt;0,"★合同款＋合同外款≠本年应收",IF(ROUND($O287+$P287+$Q287-$N287,2)&lt;&gt;0,"★发票＋收据＋现金≠本年已收","OK")))))</f>
        <v/>
      </c>
      <c r="Y287" s="35" t="str">
        <f aca="false">IF(维保合同!$C287="","",维保合同!$E287)</f>
        <v/>
      </c>
      <c r="Z287" s="40" t="str">
        <f aca="false">IF($Y287="","",ROUND(SUMIFS(应收金额,应收键,$Y287,应收年度,"&gt;"&amp;管理年度)-SUMIFS(收款金额,收款键,$Y287,收款年度,"&gt;"&amp;管理年度),2))</f>
        <v/>
      </c>
      <c r="AA287" s="47" t="str">
        <f aca="false">IF($Y287="","",IF(SUMPRODUCT(MIN(IF((应收键=$Y287)*(应收未收&gt;0.01),应收日期,999999)))&gt;=999999,"",SUMPRODUCT(MIN(IF((应收键=$Y287)*(应收未收&gt;0.01),应收日期,999999)))))</f>
        <v/>
      </c>
    </row>
    <row r="288" customFormat="false" ht="15" hidden="false" customHeight="false" outlineLevel="0" collapsed="false">
      <c r="A288" s="29" t="str">
        <f aca="false">IF($Y288="","",ROW()-4)</f>
        <v/>
      </c>
      <c r="B288" s="16" t="str">
        <f aca="false">IF($Y288="","",维保合同!$C288)</f>
        <v/>
      </c>
      <c r="C288" s="16" t="str">
        <f aca="false">IF($Y288="","",维保合同!$D288)</f>
        <v/>
      </c>
      <c r="D288" s="35" t="str">
        <f aca="false">IF($Y288="","",维保合同!$F288)</f>
        <v/>
      </c>
      <c r="E288" s="35" t="str">
        <f aca="false">IF($Y288="","",维保合同!$G288)</f>
        <v/>
      </c>
      <c r="F288" s="47" t="str">
        <f aca="false">IF($Y288="","",维保合同!$I288)</f>
        <v/>
      </c>
      <c r="G288" s="38" t="str">
        <f aca="false">IF($Y288="","",维保合同!$K288)</f>
        <v/>
      </c>
      <c r="H288" s="41" t="str">
        <f aca="false">IF($Y288="","",ROUND(SUMIFS(应收金额,应收键,$Y288,应收年度,"&lt;"&amp;管理年度)-SUMIFS(收款金额,收款键,$Y288,收款年度,"&lt;"&amp;管理年度),2))</f>
        <v/>
      </c>
      <c r="I288" s="40" t="str">
        <f aca="false">IF($Y288="","",ROUND(SUMIFS(应收金额,应收键,$Y288,应收年度,管理年度),2))</f>
        <v/>
      </c>
      <c r="J288" s="40" t="str">
        <f aca="false">IF($Y288="","",ROUND(SUMIFS(应收金额,应收键,$Y288,应收年度,管理年度,应收款别,"合同款"),2))</f>
        <v/>
      </c>
      <c r="K288" s="40" t="str">
        <f aca="false">IF($Y288="","",ROUND($I288-$J288,2))</f>
        <v/>
      </c>
      <c r="L288" s="40" t="str">
        <f aca="false">IF($Y288="","",ROUND(SUMIFS(应收开票额,应收键,$Y288,应收开票年度,管理年度),2))</f>
        <v/>
      </c>
      <c r="M288" s="40" t="str">
        <f aca="false">IF($Y288="","",ROUND($I288-$L288,2))</f>
        <v/>
      </c>
      <c r="N288" s="40" t="str">
        <f aca="false">IF($Y288="","",ROUND(SUMIFS(收款金额,收款键,$Y288,收款年度,管理年度),2))</f>
        <v/>
      </c>
      <c r="O288" s="40" t="str">
        <f aca="false">IF($Y288="","",ROUND(SUMIFS(收款金额,收款键,$Y288,收款年度,管理年度,收款归类,"发票"),2))</f>
        <v/>
      </c>
      <c r="P288" s="40" t="str">
        <f aca="false">IF($Y288="","",ROUND(SUMIFS(收款金额,收款键,$Y288,收款年度,管理年度,收款归类,"收据"),2))</f>
        <v/>
      </c>
      <c r="Q288" s="40" t="str">
        <f aca="false">IF($Y288="","",ROUND(SUMIFS(收款金额,收款键,$Y288,收款年度,管理年度,收款归类,"现金无票"),2))</f>
        <v/>
      </c>
      <c r="R288" s="40" t="str">
        <f aca="false">IF($Y288="","",ROUND(MAX(0,MIN($T288,SUMIF(应收键,$Y288,应收开票额)-SUMIF(收款键,$Y288,收款金额))),2))</f>
        <v/>
      </c>
      <c r="S288" s="40" t="str">
        <f aca="false">IF($Y288="","",ROUND(MAX(0,$T288)-$R288,2))</f>
        <v/>
      </c>
      <c r="T288" s="48" t="str">
        <f aca="false">IF($Y288="","",ROUND(SUMIF(应收键,$Y288,应收金额)-SUMIF(收款键,$Y288,收款金额),2))</f>
        <v/>
      </c>
      <c r="U288" s="49" t="str">
        <f aca="true">IF($AA288="","",IF($T288&lt;=0.01,"",MAX(0,TODAY()-$AA288)))</f>
        <v/>
      </c>
      <c r="V288" s="50" t="str">
        <f aca="true">IF($Y288="","",IF($T288&gt;0.01,IF(AND(ISNUMBER($U288),$U288&gt;=账龄预警天),"▲欠款拖了 "&amp;TEXT($U288,"0")&amp;" 天","欠款未清"),IF($T288&lt;-0.01,"预收/多收","已结清"))&amp;IF(OR($E288="已签未回",$E288="未签",$E288="续签中")," ▲合同未回","")&amp;IF(AND(ISNUMBER($F288),$F288&lt;TODAY())," ▲合同已到期",""))</f>
        <v/>
      </c>
      <c r="W288" s="24"/>
      <c r="X288" s="35" t="str">
        <f aca="false">IF($Y288="","",IF(ROUND($H288+$I288-$N288+$Z288-$T288,2)&lt;&gt;0,"★期初＋本年－已收≠余额",IF(ROUND($R288+$S288-MAX(0,$T288),2)&lt;&gt;0,"★已开票＋未开票≠欠款",IF(ROUND($J288+$K288-$I288,2)&lt;&gt;0,"★合同款＋合同外款≠本年应收",IF(ROUND($O288+$P288+$Q288-$N288,2)&lt;&gt;0,"★发票＋收据＋现金≠本年已收","OK")))))</f>
        <v/>
      </c>
      <c r="Y288" s="35" t="str">
        <f aca="false">IF(维保合同!$C288="","",维保合同!$E288)</f>
        <v/>
      </c>
      <c r="Z288" s="40" t="str">
        <f aca="false">IF($Y288="","",ROUND(SUMIFS(应收金额,应收键,$Y288,应收年度,"&gt;"&amp;管理年度)-SUMIFS(收款金额,收款键,$Y288,收款年度,"&gt;"&amp;管理年度),2))</f>
        <v/>
      </c>
      <c r="AA288" s="47" t="str">
        <f aca="false">IF($Y288="","",IF(SUMPRODUCT(MIN(IF((应收键=$Y288)*(应收未收&gt;0.01),应收日期,999999)))&gt;=999999,"",SUMPRODUCT(MIN(IF((应收键=$Y288)*(应收未收&gt;0.01),应收日期,999999)))))</f>
        <v/>
      </c>
    </row>
    <row r="289" customFormat="false" ht="15" hidden="false" customHeight="false" outlineLevel="0" collapsed="false">
      <c r="A289" s="29" t="str">
        <f aca="false">IF($Y289="","",ROW()-4)</f>
        <v/>
      </c>
      <c r="B289" s="16" t="str">
        <f aca="false">IF($Y289="","",维保合同!$C289)</f>
        <v/>
      </c>
      <c r="C289" s="16" t="str">
        <f aca="false">IF($Y289="","",维保合同!$D289)</f>
        <v/>
      </c>
      <c r="D289" s="35" t="str">
        <f aca="false">IF($Y289="","",维保合同!$F289)</f>
        <v/>
      </c>
      <c r="E289" s="35" t="str">
        <f aca="false">IF($Y289="","",维保合同!$G289)</f>
        <v/>
      </c>
      <c r="F289" s="47" t="str">
        <f aca="false">IF($Y289="","",维保合同!$I289)</f>
        <v/>
      </c>
      <c r="G289" s="38" t="str">
        <f aca="false">IF($Y289="","",维保合同!$K289)</f>
        <v/>
      </c>
      <c r="H289" s="41" t="str">
        <f aca="false">IF($Y289="","",ROUND(SUMIFS(应收金额,应收键,$Y289,应收年度,"&lt;"&amp;管理年度)-SUMIFS(收款金额,收款键,$Y289,收款年度,"&lt;"&amp;管理年度),2))</f>
        <v/>
      </c>
      <c r="I289" s="40" t="str">
        <f aca="false">IF($Y289="","",ROUND(SUMIFS(应收金额,应收键,$Y289,应收年度,管理年度),2))</f>
        <v/>
      </c>
      <c r="J289" s="40" t="str">
        <f aca="false">IF($Y289="","",ROUND(SUMIFS(应收金额,应收键,$Y289,应收年度,管理年度,应收款别,"合同款"),2))</f>
        <v/>
      </c>
      <c r="K289" s="40" t="str">
        <f aca="false">IF($Y289="","",ROUND($I289-$J289,2))</f>
        <v/>
      </c>
      <c r="L289" s="40" t="str">
        <f aca="false">IF($Y289="","",ROUND(SUMIFS(应收开票额,应收键,$Y289,应收开票年度,管理年度),2))</f>
        <v/>
      </c>
      <c r="M289" s="40" t="str">
        <f aca="false">IF($Y289="","",ROUND($I289-$L289,2))</f>
        <v/>
      </c>
      <c r="N289" s="40" t="str">
        <f aca="false">IF($Y289="","",ROUND(SUMIFS(收款金额,收款键,$Y289,收款年度,管理年度),2))</f>
        <v/>
      </c>
      <c r="O289" s="40" t="str">
        <f aca="false">IF($Y289="","",ROUND(SUMIFS(收款金额,收款键,$Y289,收款年度,管理年度,收款归类,"发票"),2))</f>
        <v/>
      </c>
      <c r="P289" s="40" t="str">
        <f aca="false">IF($Y289="","",ROUND(SUMIFS(收款金额,收款键,$Y289,收款年度,管理年度,收款归类,"收据"),2))</f>
        <v/>
      </c>
      <c r="Q289" s="40" t="str">
        <f aca="false">IF($Y289="","",ROUND(SUMIFS(收款金额,收款键,$Y289,收款年度,管理年度,收款归类,"现金无票"),2))</f>
        <v/>
      </c>
      <c r="R289" s="40" t="str">
        <f aca="false">IF($Y289="","",ROUND(MAX(0,MIN($T289,SUMIF(应收键,$Y289,应收开票额)-SUMIF(收款键,$Y289,收款金额))),2))</f>
        <v/>
      </c>
      <c r="S289" s="40" t="str">
        <f aca="false">IF($Y289="","",ROUND(MAX(0,$T289)-$R289,2))</f>
        <v/>
      </c>
      <c r="T289" s="48" t="str">
        <f aca="false">IF($Y289="","",ROUND(SUMIF(应收键,$Y289,应收金额)-SUMIF(收款键,$Y289,收款金额),2))</f>
        <v/>
      </c>
      <c r="U289" s="49" t="str">
        <f aca="true">IF($AA289="","",IF($T289&lt;=0.01,"",MAX(0,TODAY()-$AA289)))</f>
        <v/>
      </c>
      <c r="V289" s="50" t="str">
        <f aca="true">IF($Y289="","",IF($T289&gt;0.01,IF(AND(ISNUMBER($U289),$U289&gt;=账龄预警天),"▲欠款拖了 "&amp;TEXT($U289,"0")&amp;" 天","欠款未清"),IF($T289&lt;-0.01,"预收/多收","已结清"))&amp;IF(OR($E289="已签未回",$E289="未签",$E289="续签中")," ▲合同未回","")&amp;IF(AND(ISNUMBER($F289),$F289&lt;TODAY())," ▲合同已到期",""))</f>
        <v/>
      </c>
      <c r="W289" s="24"/>
      <c r="X289" s="35" t="str">
        <f aca="false">IF($Y289="","",IF(ROUND($H289+$I289-$N289+$Z289-$T289,2)&lt;&gt;0,"★期初＋本年－已收≠余额",IF(ROUND($R289+$S289-MAX(0,$T289),2)&lt;&gt;0,"★已开票＋未开票≠欠款",IF(ROUND($J289+$K289-$I289,2)&lt;&gt;0,"★合同款＋合同外款≠本年应收",IF(ROUND($O289+$P289+$Q289-$N289,2)&lt;&gt;0,"★发票＋收据＋现金≠本年已收","OK")))))</f>
        <v/>
      </c>
      <c r="Y289" s="35" t="str">
        <f aca="false">IF(维保合同!$C289="","",维保合同!$E289)</f>
        <v/>
      </c>
      <c r="Z289" s="40" t="str">
        <f aca="false">IF($Y289="","",ROUND(SUMIFS(应收金额,应收键,$Y289,应收年度,"&gt;"&amp;管理年度)-SUMIFS(收款金额,收款键,$Y289,收款年度,"&gt;"&amp;管理年度),2))</f>
        <v/>
      </c>
      <c r="AA289" s="47" t="str">
        <f aca="false">IF($Y289="","",IF(SUMPRODUCT(MIN(IF((应收键=$Y289)*(应收未收&gt;0.01),应收日期,999999)))&gt;=999999,"",SUMPRODUCT(MIN(IF((应收键=$Y289)*(应收未收&gt;0.01),应收日期,999999)))))</f>
        <v/>
      </c>
    </row>
    <row r="290" customFormat="false" ht="15" hidden="false" customHeight="false" outlineLevel="0" collapsed="false">
      <c r="A290" s="29" t="str">
        <f aca="false">IF($Y290="","",ROW()-4)</f>
        <v/>
      </c>
      <c r="B290" s="16" t="str">
        <f aca="false">IF($Y290="","",维保合同!$C290)</f>
        <v/>
      </c>
      <c r="C290" s="16" t="str">
        <f aca="false">IF($Y290="","",维保合同!$D290)</f>
        <v/>
      </c>
      <c r="D290" s="35" t="str">
        <f aca="false">IF($Y290="","",维保合同!$F290)</f>
        <v/>
      </c>
      <c r="E290" s="35" t="str">
        <f aca="false">IF($Y290="","",维保合同!$G290)</f>
        <v/>
      </c>
      <c r="F290" s="47" t="str">
        <f aca="false">IF($Y290="","",维保合同!$I290)</f>
        <v/>
      </c>
      <c r="G290" s="38" t="str">
        <f aca="false">IF($Y290="","",维保合同!$K290)</f>
        <v/>
      </c>
      <c r="H290" s="41" t="str">
        <f aca="false">IF($Y290="","",ROUND(SUMIFS(应收金额,应收键,$Y290,应收年度,"&lt;"&amp;管理年度)-SUMIFS(收款金额,收款键,$Y290,收款年度,"&lt;"&amp;管理年度),2))</f>
        <v/>
      </c>
      <c r="I290" s="40" t="str">
        <f aca="false">IF($Y290="","",ROUND(SUMIFS(应收金额,应收键,$Y290,应收年度,管理年度),2))</f>
        <v/>
      </c>
      <c r="J290" s="40" t="str">
        <f aca="false">IF($Y290="","",ROUND(SUMIFS(应收金额,应收键,$Y290,应收年度,管理年度,应收款别,"合同款"),2))</f>
        <v/>
      </c>
      <c r="K290" s="40" t="str">
        <f aca="false">IF($Y290="","",ROUND($I290-$J290,2))</f>
        <v/>
      </c>
      <c r="L290" s="40" t="str">
        <f aca="false">IF($Y290="","",ROUND(SUMIFS(应收开票额,应收键,$Y290,应收开票年度,管理年度),2))</f>
        <v/>
      </c>
      <c r="M290" s="40" t="str">
        <f aca="false">IF($Y290="","",ROUND($I290-$L290,2))</f>
        <v/>
      </c>
      <c r="N290" s="40" t="str">
        <f aca="false">IF($Y290="","",ROUND(SUMIFS(收款金额,收款键,$Y290,收款年度,管理年度),2))</f>
        <v/>
      </c>
      <c r="O290" s="40" t="str">
        <f aca="false">IF($Y290="","",ROUND(SUMIFS(收款金额,收款键,$Y290,收款年度,管理年度,收款归类,"发票"),2))</f>
        <v/>
      </c>
      <c r="P290" s="40" t="str">
        <f aca="false">IF($Y290="","",ROUND(SUMIFS(收款金额,收款键,$Y290,收款年度,管理年度,收款归类,"收据"),2))</f>
        <v/>
      </c>
      <c r="Q290" s="40" t="str">
        <f aca="false">IF($Y290="","",ROUND(SUMIFS(收款金额,收款键,$Y290,收款年度,管理年度,收款归类,"现金无票"),2))</f>
        <v/>
      </c>
      <c r="R290" s="40" t="str">
        <f aca="false">IF($Y290="","",ROUND(MAX(0,MIN($T290,SUMIF(应收键,$Y290,应收开票额)-SUMIF(收款键,$Y290,收款金额))),2))</f>
        <v/>
      </c>
      <c r="S290" s="40" t="str">
        <f aca="false">IF($Y290="","",ROUND(MAX(0,$T290)-$R290,2))</f>
        <v/>
      </c>
      <c r="T290" s="48" t="str">
        <f aca="false">IF($Y290="","",ROUND(SUMIF(应收键,$Y290,应收金额)-SUMIF(收款键,$Y290,收款金额),2))</f>
        <v/>
      </c>
      <c r="U290" s="49" t="str">
        <f aca="true">IF($AA290="","",IF($T290&lt;=0.01,"",MAX(0,TODAY()-$AA290)))</f>
        <v/>
      </c>
      <c r="V290" s="50" t="str">
        <f aca="true">IF($Y290="","",IF($T290&gt;0.01,IF(AND(ISNUMBER($U290),$U290&gt;=账龄预警天),"▲欠款拖了 "&amp;TEXT($U290,"0")&amp;" 天","欠款未清"),IF($T290&lt;-0.01,"预收/多收","已结清"))&amp;IF(OR($E290="已签未回",$E290="未签",$E290="续签中")," ▲合同未回","")&amp;IF(AND(ISNUMBER($F290),$F290&lt;TODAY())," ▲合同已到期",""))</f>
        <v/>
      </c>
      <c r="W290" s="24"/>
      <c r="X290" s="35" t="str">
        <f aca="false">IF($Y290="","",IF(ROUND($H290+$I290-$N290+$Z290-$T290,2)&lt;&gt;0,"★期初＋本年－已收≠余额",IF(ROUND($R290+$S290-MAX(0,$T290),2)&lt;&gt;0,"★已开票＋未开票≠欠款",IF(ROUND($J290+$K290-$I290,2)&lt;&gt;0,"★合同款＋合同外款≠本年应收",IF(ROUND($O290+$P290+$Q290-$N290,2)&lt;&gt;0,"★发票＋收据＋现金≠本年已收","OK")))))</f>
        <v/>
      </c>
      <c r="Y290" s="35" t="str">
        <f aca="false">IF(维保合同!$C290="","",维保合同!$E290)</f>
        <v/>
      </c>
      <c r="Z290" s="40" t="str">
        <f aca="false">IF($Y290="","",ROUND(SUMIFS(应收金额,应收键,$Y290,应收年度,"&gt;"&amp;管理年度)-SUMIFS(收款金额,收款键,$Y290,收款年度,"&gt;"&amp;管理年度),2))</f>
        <v/>
      </c>
      <c r="AA290" s="47" t="str">
        <f aca="false">IF($Y290="","",IF(SUMPRODUCT(MIN(IF((应收键=$Y290)*(应收未收&gt;0.01),应收日期,999999)))&gt;=999999,"",SUMPRODUCT(MIN(IF((应收键=$Y290)*(应收未收&gt;0.01),应收日期,999999)))))</f>
        <v/>
      </c>
    </row>
    <row r="291" customFormat="false" ht="15" hidden="false" customHeight="false" outlineLevel="0" collapsed="false">
      <c r="A291" s="29" t="str">
        <f aca="false">IF($Y291="","",ROW()-4)</f>
        <v/>
      </c>
      <c r="B291" s="16" t="str">
        <f aca="false">IF($Y291="","",维保合同!$C291)</f>
        <v/>
      </c>
      <c r="C291" s="16" t="str">
        <f aca="false">IF($Y291="","",维保合同!$D291)</f>
        <v/>
      </c>
      <c r="D291" s="35" t="str">
        <f aca="false">IF($Y291="","",维保合同!$F291)</f>
        <v/>
      </c>
      <c r="E291" s="35" t="str">
        <f aca="false">IF($Y291="","",维保合同!$G291)</f>
        <v/>
      </c>
      <c r="F291" s="47" t="str">
        <f aca="false">IF($Y291="","",维保合同!$I291)</f>
        <v/>
      </c>
      <c r="G291" s="38" t="str">
        <f aca="false">IF($Y291="","",维保合同!$K291)</f>
        <v/>
      </c>
      <c r="H291" s="41" t="str">
        <f aca="false">IF($Y291="","",ROUND(SUMIFS(应收金额,应收键,$Y291,应收年度,"&lt;"&amp;管理年度)-SUMIFS(收款金额,收款键,$Y291,收款年度,"&lt;"&amp;管理年度),2))</f>
        <v/>
      </c>
      <c r="I291" s="40" t="str">
        <f aca="false">IF($Y291="","",ROUND(SUMIFS(应收金额,应收键,$Y291,应收年度,管理年度),2))</f>
        <v/>
      </c>
      <c r="J291" s="40" t="str">
        <f aca="false">IF($Y291="","",ROUND(SUMIFS(应收金额,应收键,$Y291,应收年度,管理年度,应收款别,"合同款"),2))</f>
        <v/>
      </c>
      <c r="K291" s="40" t="str">
        <f aca="false">IF($Y291="","",ROUND($I291-$J291,2))</f>
        <v/>
      </c>
      <c r="L291" s="40" t="str">
        <f aca="false">IF($Y291="","",ROUND(SUMIFS(应收开票额,应收键,$Y291,应收开票年度,管理年度),2))</f>
        <v/>
      </c>
      <c r="M291" s="40" t="str">
        <f aca="false">IF($Y291="","",ROUND($I291-$L291,2))</f>
        <v/>
      </c>
      <c r="N291" s="40" t="str">
        <f aca="false">IF($Y291="","",ROUND(SUMIFS(收款金额,收款键,$Y291,收款年度,管理年度),2))</f>
        <v/>
      </c>
      <c r="O291" s="40" t="str">
        <f aca="false">IF($Y291="","",ROUND(SUMIFS(收款金额,收款键,$Y291,收款年度,管理年度,收款归类,"发票"),2))</f>
        <v/>
      </c>
      <c r="P291" s="40" t="str">
        <f aca="false">IF($Y291="","",ROUND(SUMIFS(收款金额,收款键,$Y291,收款年度,管理年度,收款归类,"收据"),2))</f>
        <v/>
      </c>
      <c r="Q291" s="40" t="str">
        <f aca="false">IF($Y291="","",ROUND(SUMIFS(收款金额,收款键,$Y291,收款年度,管理年度,收款归类,"现金无票"),2))</f>
        <v/>
      </c>
      <c r="R291" s="40" t="str">
        <f aca="false">IF($Y291="","",ROUND(MAX(0,MIN($T291,SUMIF(应收键,$Y291,应收开票额)-SUMIF(收款键,$Y291,收款金额))),2))</f>
        <v/>
      </c>
      <c r="S291" s="40" t="str">
        <f aca="false">IF($Y291="","",ROUND(MAX(0,$T291)-$R291,2))</f>
        <v/>
      </c>
      <c r="T291" s="48" t="str">
        <f aca="false">IF($Y291="","",ROUND(SUMIF(应收键,$Y291,应收金额)-SUMIF(收款键,$Y291,收款金额),2))</f>
        <v/>
      </c>
      <c r="U291" s="49" t="str">
        <f aca="true">IF($AA291="","",IF($T291&lt;=0.01,"",MAX(0,TODAY()-$AA291)))</f>
        <v/>
      </c>
      <c r="V291" s="50" t="str">
        <f aca="true">IF($Y291="","",IF($T291&gt;0.01,IF(AND(ISNUMBER($U291),$U291&gt;=账龄预警天),"▲欠款拖了 "&amp;TEXT($U291,"0")&amp;" 天","欠款未清"),IF($T291&lt;-0.01,"预收/多收","已结清"))&amp;IF(OR($E291="已签未回",$E291="未签",$E291="续签中")," ▲合同未回","")&amp;IF(AND(ISNUMBER($F291),$F291&lt;TODAY())," ▲合同已到期",""))</f>
        <v/>
      </c>
      <c r="W291" s="24"/>
      <c r="X291" s="35" t="str">
        <f aca="false">IF($Y291="","",IF(ROUND($H291+$I291-$N291+$Z291-$T291,2)&lt;&gt;0,"★期初＋本年－已收≠余额",IF(ROUND($R291+$S291-MAX(0,$T291),2)&lt;&gt;0,"★已开票＋未开票≠欠款",IF(ROUND($J291+$K291-$I291,2)&lt;&gt;0,"★合同款＋合同外款≠本年应收",IF(ROUND($O291+$P291+$Q291-$N291,2)&lt;&gt;0,"★发票＋收据＋现金≠本年已收","OK")))))</f>
        <v/>
      </c>
      <c r="Y291" s="35" t="str">
        <f aca="false">IF(维保合同!$C291="","",维保合同!$E291)</f>
        <v/>
      </c>
      <c r="Z291" s="40" t="str">
        <f aca="false">IF($Y291="","",ROUND(SUMIFS(应收金额,应收键,$Y291,应收年度,"&gt;"&amp;管理年度)-SUMIFS(收款金额,收款键,$Y291,收款年度,"&gt;"&amp;管理年度),2))</f>
        <v/>
      </c>
      <c r="AA291" s="47" t="str">
        <f aca="false">IF($Y291="","",IF(SUMPRODUCT(MIN(IF((应收键=$Y291)*(应收未收&gt;0.01),应收日期,999999)))&gt;=999999,"",SUMPRODUCT(MIN(IF((应收键=$Y291)*(应收未收&gt;0.01),应收日期,999999)))))</f>
        <v/>
      </c>
    </row>
    <row r="292" customFormat="false" ht="15" hidden="false" customHeight="false" outlineLevel="0" collapsed="false">
      <c r="A292" s="29" t="str">
        <f aca="false">IF($Y292="","",ROW()-4)</f>
        <v/>
      </c>
      <c r="B292" s="16" t="str">
        <f aca="false">IF($Y292="","",维保合同!$C292)</f>
        <v/>
      </c>
      <c r="C292" s="16" t="str">
        <f aca="false">IF($Y292="","",维保合同!$D292)</f>
        <v/>
      </c>
      <c r="D292" s="35" t="str">
        <f aca="false">IF($Y292="","",维保合同!$F292)</f>
        <v/>
      </c>
      <c r="E292" s="35" t="str">
        <f aca="false">IF($Y292="","",维保合同!$G292)</f>
        <v/>
      </c>
      <c r="F292" s="47" t="str">
        <f aca="false">IF($Y292="","",维保合同!$I292)</f>
        <v/>
      </c>
      <c r="G292" s="38" t="str">
        <f aca="false">IF($Y292="","",维保合同!$K292)</f>
        <v/>
      </c>
      <c r="H292" s="41" t="str">
        <f aca="false">IF($Y292="","",ROUND(SUMIFS(应收金额,应收键,$Y292,应收年度,"&lt;"&amp;管理年度)-SUMIFS(收款金额,收款键,$Y292,收款年度,"&lt;"&amp;管理年度),2))</f>
        <v/>
      </c>
      <c r="I292" s="40" t="str">
        <f aca="false">IF($Y292="","",ROUND(SUMIFS(应收金额,应收键,$Y292,应收年度,管理年度),2))</f>
        <v/>
      </c>
      <c r="J292" s="40" t="str">
        <f aca="false">IF($Y292="","",ROUND(SUMIFS(应收金额,应收键,$Y292,应收年度,管理年度,应收款别,"合同款"),2))</f>
        <v/>
      </c>
      <c r="K292" s="40" t="str">
        <f aca="false">IF($Y292="","",ROUND($I292-$J292,2))</f>
        <v/>
      </c>
      <c r="L292" s="40" t="str">
        <f aca="false">IF($Y292="","",ROUND(SUMIFS(应收开票额,应收键,$Y292,应收开票年度,管理年度),2))</f>
        <v/>
      </c>
      <c r="M292" s="40" t="str">
        <f aca="false">IF($Y292="","",ROUND($I292-$L292,2))</f>
        <v/>
      </c>
      <c r="N292" s="40" t="str">
        <f aca="false">IF($Y292="","",ROUND(SUMIFS(收款金额,收款键,$Y292,收款年度,管理年度),2))</f>
        <v/>
      </c>
      <c r="O292" s="40" t="str">
        <f aca="false">IF($Y292="","",ROUND(SUMIFS(收款金额,收款键,$Y292,收款年度,管理年度,收款归类,"发票"),2))</f>
        <v/>
      </c>
      <c r="P292" s="40" t="str">
        <f aca="false">IF($Y292="","",ROUND(SUMIFS(收款金额,收款键,$Y292,收款年度,管理年度,收款归类,"收据"),2))</f>
        <v/>
      </c>
      <c r="Q292" s="40" t="str">
        <f aca="false">IF($Y292="","",ROUND(SUMIFS(收款金额,收款键,$Y292,收款年度,管理年度,收款归类,"现金无票"),2))</f>
        <v/>
      </c>
      <c r="R292" s="40" t="str">
        <f aca="false">IF($Y292="","",ROUND(MAX(0,MIN($T292,SUMIF(应收键,$Y292,应收开票额)-SUMIF(收款键,$Y292,收款金额))),2))</f>
        <v/>
      </c>
      <c r="S292" s="40" t="str">
        <f aca="false">IF($Y292="","",ROUND(MAX(0,$T292)-$R292,2))</f>
        <v/>
      </c>
      <c r="T292" s="48" t="str">
        <f aca="false">IF($Y292="","",ROUND(SUMIF(应收键,$Y292,应收金额)-SUMIF(收款键,$Y292,收款金额),2))</f>
        <v/>
      </c>
      <c r="U292" s="49" t="str">
        <f aca="true">IF($AA292="","",IF($T292&lt;=0.01,"",MAX(0,TODAY()-$AA292)))</f>
        <v/>
      </c>
      <c r="V292" s="50" t="str">
        <f aca="true">IF($Y292="","",IF($T292&gt;0.01,IF(AND(ISNUMBER($U292),$U292&gt;=账龄预警天),"▲欠款拖了 "&amp;TEXT($U292,"0")&amp;" 天","欠款未清"),IF($T292&lt;-0.01,"预收/多收","已结清"))&amp;IF(OR($E292="已签未回",$E292="未签",$E292="续签中")," ▲合同未回","")&amp;IF(AND(ISNUMBER($F292),$F292&lt;TODAY())," ▲合同已到期",""))</f>
        <v/>
      </c>
      <c r="W292" s="24"/>
      <c r="X292" s="35" t="str">
        <f aca="false">IF($Y292="","",IF(ROUND($H292+$I292-$N292+$Z292-$T292,2)&lt;&gt;0,"★期初＋本年－已收≠余额",IF(ROUND($R292+$S292-MAX(0,$T292),2)&lt;&gt;0,"★已开票＋未开票≠欠款",IF(ROUND($J292+$K292-$I292,2)&lt;&gt;0,"★合同款＋合同外款≠本年应收",IF(ROUND($O292+$P292+$Q292-$N292,2)&lt;&gt;0,"★发票＋收据＋现金≠本年已收","OK")))))</f>
        <v/>
      </c>
      <c r="Y292" s="35" t="str">
        <f aca="false">IF(维保合同!$C292="","",维保合同!$E292)</f>
        <v/>
      </c>
      <c r="Z292" s="40" t="str">
        <f aca="false">IF($Y292="","",ROUND(SUMIFS(应收金额,应收键,$Y292,应收年度,"&gt;"&amp;管理年度)-SUMIFS(收款金额,收款键,$Y292,收款年度,"&gt;"&amp;管理年度),2))</f>
        <v/>
      </c>
      <c r="AA292" s="47" t="str">
        <f aca="false">IF($Y292="","",IF(SUMPRODUCT(MIN(IF((应收键=$Y292)*(应收未收&gt;0.01),应收日期,999999)))&gt;=999999,"",SUMPRODUCT(MIN(IF((应收键=$Y292)*(应收未收&gt;0.01),应收日期,999999)))))</f>
        <v/>
      </c>
    </row>
    <row r="293" customFormat="false" ht="15" hidden="false" customHeight="false" outlineLevel="0" collapsed="false">
      <c r="A293" s="29" t="str">
        <f aca="false">IF($Y293="","",ROW()-4)</f>
        <v/>
      </c>
      <c r="B293" s="16" t="str">
        <f aca="false">IF($Y293="","",维保合同!$C293)</f>
        <v/>
      </c>
      <c r="C293" s="16" t="str">
        <f aca="false">IF($Y293="","",维保合同!$D293)</f>
        <v/>
      </c>
      <c r="D293" s="35" t="str">
        <f aca="false">IF($Y293="","",维保合同!$F293)</f>
        <v/>
      </c>
      <c r="E293" s="35" t="str">
        <f aca="false">IF($Y293="","",维保合同!$G293)</f>
        <v/>
      </c>
      <c r="F293" s="47" t="str">
        <f aca="false">IF($Y293="","",维保合同!$I293)</f>
        <v/>
      </c>
      <c r="G293" s="38" t="str">
        <f aca="false">IF($Y293="","",维保合同!$K293)</f>
        <v/>
      </c>
      <c r="H293" s="41" t="str">
        <f aca="false">IF($Y293="","",ROUND(SUMIFS(应收金额,应收键,$Y293,应收年度,"&lt;"&amp;管理年度)-SUMIFS(收款金额,收款键,$Y293,收款年度,"&lt;"&amp;管理年度),2))</f>
        <v/>
      </c>
      <c r="I293" s="40" t="str">
        <f aca="false">IF($Y293="","",ROUND(SUMIFS(应收金额,应收键,$Y293,应收年度,管理年度),2))</f>
        <v/>
      </c>
      <c r="J293" s="40" t="str">
        <f aca="false">IF($Y293="","",ROUND(SUMIFS(应收金额,应收键,$Y293,应收年度,管理年度,应收款别,"合同款"),2))</f>
        <v/>
      </c>
      <c r="K293" s="40" t="str">
        <f aca="false">IF($Y293="","",ROUND($I293-$J293,2))</f>
        <v/>
      </c>
      <c r="L293" s="40" t="str">
        <f aca="false">IF($Y293="","",ROUND(SUMIFS(应收开票额,应收键,$Y293,应收开票年度,管理年度),2))</f>
        <v/>
      </c>
      <c r="M293" s="40" t="str">
        <f aca="false">IF($Y293="","",ROUND($I293-$L293,2))</f>
        <v/>
      </c>
      <c r="N293" s="40" t="str">
        <f aca="false">IF($Y293="","",ROUND(SUMIFS(收款金额,收款键,$Y293,收款年度,管理年度),2))</f>
        <v/>
      </c>
      <c r="O293" s="40" t="str">
        <f aca="false">IF($Y293="","",ROUND(SUMIFS(收款金额,收款键,$Y293,收款年度,管理年度,收款归类,"发票"),2))</f>
        <v/>
      </c>
      <c r="P293" s="40" t="str">
        <f aca="false">IF($Y293="","",ROUND(SUMIFS(收款金额,收款键,$Y293,收款年度,管理年度,收款归类,"收据"),2))</f>
        <v/>
      </c>
      <c r="Q293" s="40" t="str">
        <f aca="false">IF($Y293="","",ROUND(SUMIFS(收款金额,收款键,$Y293,收款年度,管理年度,收款归类,"现金无票"),2))</f>
        <v/>
      </c>
      <c r="R293" s="40" t="str">
        <f aca="false">IF($Y293="","",ROUND(MAX(0,MIN($T293,SUMIF(应收键,$Y293,应收开票额)-SUMIF(收款键,$Y293,收款金额))),2))</f>
        <v/>
      </c>
      <c r="S293" s="40" t="str">
        <f aca="false">IF($Y293="","",ROUND(MAX(0,$T293)-$R293,2))</f>
        <v/>
      </c>
      <c r="T293" s="48" t="str">
        <f aca="false">IF($Y293="","",ROUND(SUMIF(应收键,$Y293,应收金额)-SUMIF(收款键,$Y293,收款金额),2))</f>
        <v/>
      </c>
      <c r="U293" s="49" t="str">
        <f aca="true">IF($AA293="","",IF($T293&lt;=0.01,"",MAX(0,TODAY()-$AA293)))</f>
        <v/>
      </c>
      <c r="V293" s="50" t="str">
        <f aca="true">IF($Y293="","",IF($T293&gt;0.01,IF(AND(ISNUMBER($U293),$U293&gt;=账龄预警天),"▲欠款拖了 "&amp;TEXT($U293,"0")&amp;" 天","欠款未清"),IF($T293&lt;-0.01,"预收/多收","已结清"))&amp;IF(OR($E293="已签未回",$E293="未签",$E293="续签中")," ▲合同未回","")&amp;IF(AND(ISNUMBER($F293),$F293&lt;TODAY())," ▲合同已到期",""))</f>
        <v/>
      </c>
      <c r="W293" s="24"/>
      <c r="X293" s="35" t="str">
        <f aca="false">IF($Y293="","",IF(ROUND($H293+$I293-$N293+$Z293-$T293,2)&lt;&gt;0,"★期初＋本年－已收≠余额",IF(ROUND($R293+$S293-MAX(0,$T293),2)&lt;&gt;0,"★已开票＋未开票≠欠款",IF(ROUND($J293+$K293-$I293,2)&lt;&gt;0,"★合同款＋合同外款≠本年应收",IF(ROUND($O293+$P293+$Q293-$N293,2)&lt;&gt;0,"★发票＋收据＋现金≠本年已收","OK")))))</f>
        <v/>
      </c>
      <c r="Y293" s="35" t="str">
        <f aca="false">IF(维保合同!$C293="","",维保合同!$E293)</f>
        <v/>
      </c>
      <c r="Z293" s="40" t="str">
        <f aca="false">IF($Y293="","",ROUND(SUMIFS(应收金额,应收键,$Y293,应收年度,"&gt;"&amp;管理年度)-SUMIFS(收款金额,收款键,$Y293,收款年度,"&gt;"&amp;管理年度),2))</f>
        <v/>
      </c>
      <c r="AA293" s="47" t="str">
        <f aca="false">IF($Y293="","",IF(SUMPRODUCT(MIN(IF((应收键=$Y293)*(应收未收&gt;0.01),应收日期,999999)))&gt;=999999,"",SUMPRODUCT(MIN(IF((应收键=$Y293)*(应收未收&gt;0.01),应收日期,999999)))))</f>
        <v/>
      </c>
    </row>
    <row r="294" customFormat="false" ht="15" hidden="false" customHeight="false" outlineLevel="0" collapsed="false">
      <c r="A294" s="29" t="str">
        <f aca="false">IF($Y294="","",ROW()-4)</f>
        <v/>
      </c>
      <c r="B294" s="16" t="str">
        <f aca="false">IF($Y294="","",维保合同!$C294)</f>
        <v/>
      </c>
      <c r="C294" s="16" t="str">
        <f aca="false">IF($Y294="","",维保合同!$D294)</f>
        <v/>
      </c>
      <c r="D294" s="35" t="str">
        <f aca="false">IF($Y294="","",维保合同!$F294)</f>
        <v/>
      </c>
      <c r="E294" s="35" t="str">
        <f aca="false">IF($Y294="","",维保合同!$G294)</f>
        <v/>
      </c>
      <c r="F294" s="47" t="str">
        <f aca="false">IF($Y294="","",维保合同!$I294)</f>
        <v/>
      </c>
      <c r="G294" s="38" t="str">
        <f aca="false">IF($Y294="","",维保合同!$K294)</f>
        <v/>
      </c>
      <c r="H294" s="41" t="str">
        <f aca="false">IF($Y294="","",ROUND(SUMIFS(应收金额,应收键,$Y294,应收年度,"&lt;"&amp;管理年度)-SUMIFS(收款金额,收款键,$Y294,收款年度,"&lt;"&amp;管理年度),2))</f>
        <v/>
      </c>
      <c r="I294" s="40" t="str">
        <f aca="false">IF($Y294="","",ROUND(SUMIFS(应收金额,应收键,$Y294,应收年度,管理年度),2))</f>
        <v/>
      </c>
      <c r="J294" s="40" t="str">
        <f aca="false">IF($Y294="","",ROUND(SUMIFS(应收金额,应收键,$Y294,应收年度,管理年度,应收款别,"合同款"),2))</f>
        <v/>
      </c>
      <c r="K294" s="40" t="str">
        <f aca="false">IF($Y294="","",ROUND($I294-$J294,2))</f>
        <v/>
      </c>
      <c r="L294" s="40" t="str">
        <f aca="false">IF($Y294="","",ROUND(SUMIFS(应收开票额,应收键,$Y294,应收开票年度,管理年度),2))</f>
        <v/>
      </c>
      <c r="M294" s="40" t="str">
        <f aca="false">IF($Y294="","",ROUND($I294-$L294,2))</f>
        <v/>
      </c>
      <c r="N294" s="40" t="str">
        <f aca="false">IF($Y294="","",ROUND(SUMIFS(收款金额,收款键,$Y294,收款年度,管理年度),2))</f>
        <v/>
      </c>
      <c r="O294" s="40" t="str">
        <f aca="false">IF($Y294="","",ROUND(SUMIFS(收款金额,收款键,$Y294,收款年度,管理年度,收款归类,"发票"),2))</f>
        <v/>
      </c>
      <c r="P294" s="40" t="str">
        <f aca="false">IF($Y294="","",ROUND(SUMIFS(收款金额,收款键,$Y294,收款年度,管理年度,收款归类,"收据"),2))</f>
        <v/>
      </c>
      <c r="Q294" s="40" t="str">
        <f aca="false">IF($Y294="","",ROUND(SUMIFS(收款金额,收款键,$Y294,收款年度,管理年度,收款归类,"现金无票"),2))</f>
        <v/>
      </c>
      <c r="R294" s="40" t="str">
        <f aca="false">IF($Y294="","",ROUND(MAX(0,MIN($T294,SUMIF(应收键,$Y294,应收开票额)-SUMIF(收款键,$Y294,收款金额))),2))</f>
        <v/>
      </c>
      <c r="S294" s="40" t="str">
        <f aca="false">IF($Y294="","",ROUND(MAX(0,$T294)-$R294,2))</f>
        <v/>
      </c>
      <c r="T294" s="48" t="str">
        <f aca="false">IF($Y294="","",ROUND(SUMIF(应收键,$Y294,应收金额)-SUMIF(收款键,$Y294,收款金额),2))</f>
        <v/>
      </c>
      <c r="U294" s="49" t="str">
        <f aca="true">IF($AA294="","",IF($T294&lt;=0.01,"",MAX(0,TODAY()-$AA294)))</f>
        <v/>
      </c>
      <c r="V294" s="50" t="str">
        <f aca="true">IF($Y294="","",IF($T294&gt;0.01,IF(AND(ISNUMBER($U294),$U294&gt;=账龄预警天),"▲欠款拖了 "&amp;TEXT($U294,"0")&amp;" 天","欠款未清"),IF($T294&lt;-0.01,"预收/多收","已结清"))&amp;IF(OR($E294="已签未回",$E294="未签",$E294="续签中")," ▲合同未回","")&amp;IF(AND(ISNUMBER($F294),$F294&lt;TODAY())," ▲合同已到期",""))</f>
        <v/>
      </c>
      <c r="W294" s="24"/>
      <c r="X294" s="35" t="str">
        <f aca="false">IF($Y294="","",IF(ROUND($H294+$I294-$N294+$Z294-$T294,2)&lt;&gt;0,"★期初＋本年－已收≠余额",IF(ROUND($R294+$S294-MAX(0,$T294),2)&lt;&gt;0,"★已开票＋未开票≠欠款",IF(ROUND($J294+$K294-$I294,2)&lt;&gt;0,"★合同款＋合同外款≠本年应收",IF(ROUND($O294+$P294+$Q294-$N294,2)&lt;&gt;0,"★发票＋收据＋现金≠本年已收","OK")))))</f>
        <v/>
      </c>
      <c r="Y294" s="35" t="str">
        <f aca="false">IF(维保合同!$C294="","",维保合同!$E294)</f>
        <v/>
      </c>
      <c r="Z294" s="40" t="str">
        <f aca="false">IF($Y294="","",ROUND(SUMIFS(应收金额,应收键,$Y294,应收年度,"&gt;"&amp;管理年度)-SUMIFS(收款金额,收款键,$Y294,收款年度,"&gt;"&amp;管理年度),2))</f>
        <v/>
      </c>
      <c r="AA294" s="47" t="str">
        <f aca="false">IF($Y294="","",IF(SUMPRODUCT(MIN(IF((应收键=$Y294)*(应收未收&gt;0.01),应收日期,999999)))&gt;=999999,"",SUMPRODUCT(MIN(IF((应收键=$Y294)*(应收未收&gt;0.01),应收日期,999999)))))</f>
        <v/>
      </c>
    </row>
    <row r="295" customFormat="false" ht="15" hidden="false" customHeight="false" outlineLevel="0" collapsed="false">
      <c r="A295" s="29" t="str">
        <f aca="false">IF($Y295="","",ROW()-4)</f>
        <v/>
      </c>
      <c r="B295" s="16" t="str">
        <f aca="false">IF($Y295="","",维保合同!$C295)</f>
        <v/>
      </c>
      <c r="C295" s="16" t="str">
        <f aca="false">IF($Y295="","",维保合同!$D295)</f>
        <v/>
      </c>
      <c r="D295" s="35" t="str">
        <f aca="false">IF($Y295="","",维保合同!$F295)</f>
        <v/>
      </c>
      <c r="E295" s="35" t="str">
        <f aca="false">IF($Y295="","",维保合同!$G295)</f>
        <v/>
      </c>
      <c r="F295" s="47" t="str">
        <f aca="false">IF($Y295="","",维保合同!$I295)</f>
        <v/>
      </c>
      <c r="G295" s="38" t="str">
        <f aca="false">IF($Y295="","",维保合同!$K295)</f>
        <v/>
      </c>
      <c r="H295" s="41" t="str">
        <f aca="false">IF($Y295="","",ROUND(SUMIFS(应收金额,应收键,$Y295,应收年度,"&lt;"&amp;管理年度)-SUMIFS(收款金额,收款键,$Y295,收款年度,"&lt;"&amp;管理年度),2))</f>
        <v/>
      </c>
      <c r="I295" s="40" t="str">
        <f aca="false">IF($Y295="","",ROUND(SUMIFS(应收金额,应收键,$Y295,应收年度,管理年度),2))</f>
        <v/>
      </c>
      <c r="J295" s="40" t="str">
        <f aca="false">IF($Y295="","",ROUND(SUMIFS(应收金额,应收键,$Y295,应收年度,管理年度,应收款别,"合同款"),2))</f>
        <v/>
      </c>
      <c r="K295" s="40" t="str">
        <f aca="false">IF($Y295="","",ROUND($I295-$J295,2))</f>
        <v/>
      </c>
      <c r="L295" s="40" t="str">
        <f aca="false">IF($Y295="","",ROUND(SUMIFS(应收开票额,应收键,$Y295,应收开票年度,管理年度),2))</f>
        <v/>
      </c>
      <c r="M295" s="40" t="str">
        <f aca="false">IF($Y295="","",ROUND($I295-$L295,2))</f>
        <v/>
      </c>
      <c r="N295" s="40" t="str">
        <f aca="false">IF($Y295="","",ROUND(SUMIFS(收款金额,收款键,$Y295,收款年度,管理年度),2))</f>
        <v/>
      </c>
      <c r="O295" s="40" t="str">
        <f aca="false">IF($Y295="","",ROUND(SUMIFS(收款金额,收款键,$Y295,收款年度,管理年度,收款归类,"发票"),2))</f>
        <v/>
      </c>
      <c r="P295" s="40" t="str">
        <f aca="false">IF($Y295="","",ROUND(SUMIFS(收款金额,收款键,$Y295,收款年度,管理年度,收款归类,"收据"),2))</f>
        <v/>
      </c>
      <c r="Q295" s="40" t="str">
        <f aca="false">IF($Y295="","",ROUND(SUMIFS(收款金额,收款键,$Y295,收款年度,管理年度,收款归类,"现金无票"),2))</f>
        <v/>
      </c>
      <c r="R295" s="40" t="str">
        <f aca="false">IF($Y295="","",ROUND(MAX(0,MIN($T295,SUMIF(应收键,$Y295,应收开票额)-SUMIF(收款键,$Y295,收款金额))),2))</f>
        <v/>
      </c>
      <c r="S295" s="40" t="str">
        <f aca="false">IF($Y295="","",ROUND(MAX(0,$T295)-$R295,2))</f>
        <v/>
      </c>
      <c r="T295" s="48" t="str">
        <f aca="false">IF($Y295="","",ROUND(SUMIF(应收键,$Y295,应收金额)-SUMIF(收款键,$Y295,收款金额),2))</f>
        <v/>
      </c>
      <c r="U295" s="49" t="str">
        <f aca="true">IF($AA295="","",IF($T295&lt;=0.01,"",MAX(0,TODAY()-$AA295)))</f>
        <v/>
      </c>
      <c r="V295" s="50" t="str">
        <f aca="true">IF($Y295="","",IF($T295&gt;0.01,IF(AND(ISNUMBER($U295),$U295&gt;=账龄预警天),"▲欠款拖了 "&amp;TEXT($U295,"0")&amp;" 天","欠款未清"),IF($T295&lt;-0.01,"预收/多收","已结清"))&amp;IF(OR($E295="已签未回",$E295="未签",$E295="续签中")," ▲合同未回","")&amp;IF(AND(ISNUMBER($F295),$F295&lt;TODAY())," ▲合同已到期",""))</f>
        <v/>
      </c>
      <c r="W295" s="24"/>
      <c r="X295" s="35" t="str">
        <f aca="false">IF($Y295="","",IF(ROUND($H295+$I295-$N295+$Z295-$T295,2)&lt;&gt;0,"★期初＋本年－已收≠余额",IF(ROUND($R295+$S295-MAX(0,$T295),2)&lt;&gt;0,"★已开票＋未开票≠欠款",IF(ROUND($J295+$K295-$I295,2)&lt;&gt;0,"★合同款＋合同外款≠本年应收",IF(ROUND($O295+$P295+$Q295-$N295,2)&lt;&gt;0,"★发票＋收据＋现金≠本年已收","OK")))))</f>
        <v/>
      </c>
      <c r="Y295" s="35" t="str">
        <f aca="false">IF(维保合同!$C295="","",维保合同!$E295)</f>
        <v/>
      </c>
      <c r="Z295" s="40" t="str">
        <f aca="false">IF($Y295="","",ROUND(SUMIFS(应收金额,应收键,$Y295,应收年度,"&gt;"&amp;管理年度)-SUMIFS(收款金额,收款键,$Y295,收款年度,"&gt;"&amp;管理年度),2))</f>
        <v/>
      </c>
      <c r="AA295" s="47" t="str">
        <f aca="false">IF($Y295="","",IF(SUMPRODUCT(MIN(IF((应收键=$Y295)*(应收未收&gt;0.01),应收日期,999999)))&gt;=999999,"",SUMPRODUCT(MIN(IF((应收键=$Y295)*(应收未收&gt;0.01),应收日期,999999)))))</f>
        <v/>
      </c>
    </row>
    <row r="296" customFormat="false" ht="15" hidden="false" customHeight="false" outlineLevel="0" collapsed="false">
      <c r="A296" s="29" t="str">
        <f aca="false">IF($Y296="","",ROW()-4)</f>
        <v/>
      </c>
      <c r="B296" s="16" t="str">
        <f aca="false">IF($Y296="","",维保合同!$C296)</f>
        <v/>
      </c>
      <c r="C296" s="16" t="str">
        <f aca="false">IF($Y296="","",维保合同!$D296)</f>
        <v/>
      </c>
      <c r="D296" s="35" t="str">
        <f aca="false">IF($Y296="","",维保合同!$F296)</f>
        <v/>
      </c>
      <c r="E296" s="35" t="str">
        <f aca="false">IF($Y296="","",维保合同!$G296)</f>
        <v/>
      </c>
      <c r="F296" s="47" t="str">
        <f aca="false">IF($Y296="","",维保合同!$I296)</f>
        <v/>
      </c>
      <c r="G296" s="38" t="str">
        <f aca="false">IF($Y296="","",维保合同!$K296)</f>
        <v/>
      </c>
      <c r="H296" s="41" t="str">
        <f aca="false">IF($Y296="","",ROUND(SUMIFS(应收金额,应收键,$Y296,应收年度,"&lt;"&amp;管理年度)-SUMIFS(收款金额,收款键,$Y296,收款年度,"&lt;"&amp;管理年度),2))</f>
        <v/>
      </c>
      <c r="I296" s="40" t="str">
        <f aca="false">IF($Y296="","",ROUND(SUMIFS(应收金额,应收键,$Y296,应收年度,管理年度),2))</f>
        <v/>
      </c>
      <c r="J296" s="40" t="str">
        <f aca="false">IF($Y296="","",ROUND(SUMIFS(应收金额,应收键,$Y296,应收年度,管理年度,应收款别,"合同款"),2))</f>
        <v/>
      </c>
      <c r="K296" s="40" t="str">
        <f aca="false">IF($Y296="","",ROUND($I296-$J296,2))</f>
        <v/>
      </c>
      <c r="L296" s="40" t="str">
        <f aca="false">IF($Y296="","",ROUND(SUMIFS(应收开票额,应收键,$Y296,应收开票年度,管理年度),2))</f>
        <v/>
      </c>
      <c r="M296" s="40" t="str">
        <f aca="false">IF($Y296="","",ROUND($I296-$L296,2))</f>
        <v/>
      </c>
      <c r="N296" s="40" t="str">
        <f aca="false">IF($Y296="","",ROUND(SUMIFS(收款金额,收款键,$Y296,收款年度,管理年度),2))</f>
        <v/>
      </c>
      <c r="O296" s="40" t="str">
        <f aca="false">IF($Y296="","",ROUND(SUMIFS(收款金额,收款键,$Y296,收款年度,管理年度,收款归类,"发票"),2))</f>
        <v/>
      </c>
      <c r="P296" s="40" t="str">
        <f aca="false">IF($Y296="","",ROUND(SUMIFS(收款金额,收款键,$Y296,收款年度,管理年度,收款归类,"收据"),2))</f>
        <v/>
      </c>
      <c r="Q296" s="40" t="str">
        <f aca="false">IF($Y296="","",ROUND(SUMIFS(收款金额,收款键,$Y296,收款年度,管理年度,收款归类,"现金无票"),2))</f>
        <v/>
      </c>
      <c r="R296" s="40" t="str">
        <f aca="false">IF($Y296="","",ROUND(MAX(0,MIN($T296,SUMIF(应收键,$Y296,应收开票额)-SUMIF(收款键,$Y296,收款金额))),2))</f>
        <v/>
      </c>
      <c r="S296" s="40" t="str">
        <f aca="false">IF($Y296="","",ROUND(MAX(0,$T296)-$R296,2))</f>
        <v/>
      </c>
      <c r="T296" s="48" t="str">
        <f aca="false">IF($Y296="","",ROUND(SUMIF(应收键,$Y296,应收金额)-SUMIF(收款键,$Y296,收款金额),2))</f>
        <v/>
      </c>
      <c r="U296" s="49" t="str">
        <f aca="true">IF($AA296="","",IF($T296&lt;=0.01,"",MAX(0,TODAY()-$AA296)))</f>
        <v/>
      </c>
      <c r="V296" s="50" t="str">
        <f aca="true">IF($Y296="","",IF($T296&gt;0.01,IF(AND(ISNUMBER($U296),$U296&gt;=账龄预警天),"▲欠款拖了 "&amp;TEXT($U296,"0")&amp;" 天","欠款未清"),IF($T296&lt;-0.01,"预收/多收","已结清"))&amp;IF(OR($E296="已签未回",$E296="未签",$E296="续签中")," ▲合同未回","")&amp;IF(AND(ISNUMBER($F296),$F296&lt;TODAY())," ▲合同已到期",""))</f>
        <v/>
      </c>
      <c r="W296" s="24"/>
      <c r="X296" s="35" t="str">
        <f aca="false">IF($Y296="","",IF(ROUND($H296+$I296-$N296+$Z296-$T296,2)&lt;&gt;0,"★期初＋本年－已收≠余额",IF(ROUND($R296+$S296-MAX(0,$T296),2)&lt;&gt;0,"★已开票＋未开票≠欠款",IF(ROUND($J296+$K296-$I296,2)&lt;&gt;0,"★合同款＋合同外款≠本年应收",IF(ROUND($O296+$P296+$Q296-$N296,2)&lt;&gt;0,"★发票＋收据＋现金≠本年已收","OK")))))</f>
        <v/>
      </c>
      <c r="Y296" s="35" t="str">
        <f aca="false">IF(维保合同!$C296="","",维保合同!$E296)</f>
        <v/>
      </c>
      <c r="Z296" s="40" t="str">
        <f aca="false">IF($Y296="","",ROUND(SUMIFS(应收金额,应收键,$Y296,应收年度,"&gt;"&amp;管理年度)-SUMIFS(收款金额,收款键,$Y296,收款年度,"&gt;"&amp;管理年度),2))</f>
        <v/>
      </c>
      <c r="AA296" s="47" t="str">
        <f aca="false">IF($Y296="","",IF(SUMPRODUCT(MIN(IF((应收键=$Y296)*(应收未收&gt;0.01),应收日期,999999)))&gt;=999999,"",SUMPRODUCT(MIN(IF((应收键=$Y296)*(应收未收&gt;0.01),应收日期,999999)))))</f>
        <v/>
      </c>
    </row>
    <row r="297" customFormat="false" ht="15" hidden="false" customHeight="false" outlineLevel="0" collapsed="false">
      <c r="A297" s="29" t="str">
        <f aca="false">IF($Y297="","",ROW()-4)</f>
        <v/>
      </c>
      <c r="B297" s="16" t="str">
        <f aca="false">IF($Y297="","",维保合同!$C297)</f>
        <v/>
      </c>
      <c r="C297" s="16" t="str">
        <f aca="false">IF($Y297="","",维保合同!$D297)</f>
        <v/>
      </c>
      <c r="D297" s="35" t="str">
        <f aca="false">IF($Y297="","",维保合同!$F297)</f>
        <v/>
      </c>
      <c r="E297" s="35" t="str">
        <f aca="false">IF($Y297="","",维保合同!$G297)</f>
        <v/>
      </c>
      <c r="F297" s="47" t="str">
        <f aca="false">IF($Y297="","",维保合同!$I297)</f>
        <v/>
      </c>
      <c r="G297" s="38" t="str">
        <f aca="false">IF($Y297="","",维保合同!$K297)</f>
        <v/>
      </c>
      <c r="H297" s="41" t="str">
        <f aca="false">IF($Y297="","",ROUND(SUMIFS(应收金额,应收键,$Y297,应收年度,"&lt;"&amp;管理年度)-SUMIFS(收款金额,收款键,$Y297,收款年度,"&lt;"&amp;管理年度),2))</f>
        <v/>
      </c>
      <c r="I297" s="40" t="str">
        <f aca="false">IF($Y297="","",ROUND(SUMIFS(应收金额,应收键,$Y297,应收年度,管理年度),2))</f>
        <v/>
      </c>
      <c r="J297" s="40" t="str">
        <f aca="false">IF($Y297="","",ROUND(SUMIFS(应收金额,应收键,$Y297,应收年度,管理年度,应收款别,"合同款"),2))</f>
        <v/>
      </c>
      <c r="K297" s="40" t="str">
        <f aca="false">IF($Y297="","",ROUND($I297-$J297,2))</f>
        <v/>
      </c>
      <c r="L297" s="40" t="str">
        <f aca="false">IF($Y297="","",ROUND(SUMIFS(应收开票额,应收键,$Y297,应收开票年度,管理年度),2))</f>
        <v/>
      </c>
      <c r="M297" s="40" t="str">
        <f aca="false">IF($Y297="","",ROUND($I297-$L297,2))</f>
        <v/>
      </c>
      <c r="N297" s="40" t="str">
        <f aca="false">IF($Y297="","",ROUND(SUMIFS(收款金额,收款键,$Y297,收款年度,管理年度),2))</f>
        <v/>
      </c>
      <c r="O297" s="40" t="str">
        <f aca="false">IF($Y297="","",ROUND(SUMIFS(收款金额,收款键,$Y297,收款年度,管理年度,收款归类,"发票"),2))</f>
        <v/>
      </c>
      <c r="P297" s="40" t="str">
        <f aca="false">IF($Y297="","",ROUND(SUMIFS(收款金额,收款键,$Y297,收款年度,管理年度,收款归类,"收据"),2))</f>
        <v/>
      </c>
      <c r="Q297" s="40" t="str">
        <f aca="false">IF($Y297="","",ROUND(SUMIFS(收款金额,收款键,$Y297,收款年度,管理年度,收款归类,"现金无票"),2))</f>
        <v/>
      </c>
      <c r="R297" s="40" t="str">
        <f aca="false">IF($Y297="","",ROUND(MAX(0,MIN($T297,SUMIF(应收键,$Y297,应收开票额)-SUMIF(收款键,$Y297,收款金额))),2))</f>
        <v/>
      </c>
      <c r="S297" s="40" t="str">
        <f aca="false">IF($Y297="","",ROUND(MAX(0,$T297)-$R297,2))</f>
        <v/>
      </c>
      <c r="T297" s="48" t="str">
        <f aca="false">IF($Y297="","",ROUND(SUMIF(应收键,$Y297,应收金额)-SUMIF(收款键,$Y297,收款金额),2))</f>
        <v/>
      </c>
      <c r="U297" s="49" t="str">
        <f aca="true">IF($AA297="","",IF($T297&lt;=0.01,"",MAX(0,TODAY()-$AA297)))</f>
        <v/>
      </c>
      <c r="V297" s="50" t="str">
        <f aca="true">IF($Y297="","",IF($T297&gt;0.01,IF(AND(ISNUMBER($U297),$U297&gt;=账龄预警天),"▲欠款拖了 "&amp;TEXT($U297,"0")&amp;" 天","欠款未清"),IF($T297&lt;-0.01,"预收/多收","已结清"))&amp;IF(OR($E297="已签未回",$E297="未签",$E297="续签中")," ▲合同未回","")&amp;IF(AND(ISNUMBER($F297),$F297&lt;TODAY())," ▲合同已到期",""))</f>
        <v/>
      </c>
      <c r="W297" s="24"/>
      <c r="X297" s="35" t="str">
        <f aca="false">IF($Y297="","",IF(ROUND($H297+$I297-$N297+$Z297-$T297,2)&lt;&gt;0,"★期初＋本年－已收≠余额",IF(ROUND($R297+$S297-MAX(0,$T297),2)&lt;&gt;0,"★已开票＋未开票≠欠款",IF(ROUND($J297+$K297-$I297,2)&lt;&gt;0,"★合同款＋合同外款≠本年应收",IF(ROUND($O297+$P297+$Q297-$N297,2)&lt;&gt;0,"★发票＋收据＋现金≠本年已收","OK")))))</f>
        <v/>
      </c>
      <c r="Y297" s="35" t="str">
        <f aca="false">IF(维保合同!$C297="","",维保合同!$E297)</f>
        <v/>
      </c>
      <c r="Z297" s="40" t="str">
        <f aca="false">IF($Y297="","",ROUND(SUMIFS(应收金额,应收键,$Y297,应收年度,"&gt;"&amp;管理年度)-SUMIFS(收款金额,收款键,$Y297,收款年度,"&gt;"&amp;管理年度),2))</f>
        <v/>
      </c>
      <c r="AA297" s="47" t="str">
        <f aca="false">IF($Y297="","",IF(SUMPRODUCT(MIN(IF((应收键=$Y297)*(应收未收&gt;0.01),应收日期,999999)))&gt;=999999,"",SUMPRODUCT(MIN(IF((应收键=$Y297)*(应收未收&gt;0.01),应收日期,999999)))))</f>
        <v/>
      </c>
    </row>
    <row r="298" customFormat="false" ht="15" hidden="false" customHeight="false" outlineLevel="0" collapsed="false">
      <c r="A298" s="29" t="str">
        <f aca="false">IF($Y298="","",ROW()-4)</f>
        <v/>
      </c>
      <c r="B298" s="16" t="str">
        <f aca="false">IF($Y298="","",维保合同!$C298)</f>
        <v/>
      </c>
      <c r="C298" s="16" t="str">
        <f aca="false">IF($Y298="","",维保合同!$D298)</f>
        <v/>
      </c>
      <c r="D298" s="35" t="str">
        <f aca="false">IF($Y298="","",维保合同!$F298)</f>
        <v/>
      </c>
      <c r="E298" s="35" t="str">
        <f aca="false">IF($Y298="","",维保合同!$G298)</f>
        <v/>
      </c>
      <c r="F298" s="47" t="str">
        <f aca="false">IF($Y298="","",维保合同!$I298)</f>
        <v/>
      </c>
      <c r="G298" s="38" t="str">
        <f aca="false">IF($Y298="","",维保合同!$K298)</f>
        <v/>
      </c>
      <c r="H298" s="41" t="str">
        <f aca="false">IF($Y298="","",ROUND(SUMIFS(应收金额,应收键,$Y298,应收年度,"&lt;"&amp;管理年度)-SUMIFS(收款金额,收款键,$Y298,收款年度,"&lt;"&amp;管理年度),2))</f>
        <v/>
      </c>
      <c r="I298" s="40" t="str">
        <f aca="false">IF($Y298="","",ROUND(SUMIFS(应收金额,应收键,$Y298,应收年度,管理年度),2))</f>
        <v/>
      </c>
      <c r="J298" s="40" t="str">
        <f aca="false">IF($Y298="","",ROUND(SUMIFS(应收金额,应收键,$Y298,应收年度,管理年度,应收款别,"合同款"),2))</f>
        <v/>
      </c>
      <c r="K298" s="40" t="str">
        <f aca="false">IF($Y298="","",ROUND($I298-$J298,2))</f>
        <v/>
      </c>
      <c r="L298" s="40" t="str">
        <f aca="false">IF($Y298="","",ROUND(SUMIFS(应收开票额,应收键,$Y298,应收开票年度,管理年度),2))</f>
        <v/>
      </c>
      <c r="M298" s="40" t="str">
        <f aca="false">IF($Y298="","",ROUND($I298-$L298,2))</f>
        <v/>
      </c>
      <c r="N298" s="40" t="str">
        <f aca="false">IF($Y298="","",ROUND(SUMIFS(收款金额,收款键,$Y298,收款年度,管理年度),2))</f>
        <v/>
      </c>
      <c r="O298" s="40" t="str">
        <f aca="false">IF($Y298="","",ROUND(SUMIFS(收款金额,收款键,$Y298,收款年度,管理年度,收款归类,"发票"),2))</f>
        <v/>
      </c>
      <c r="P298" s="40" t="str">
        <f aca="false">IF($Y298="","",ROUND(SUMIFS(收款金额,收款键,$Y298,收款年度,管理年度,收款归类,"收据"),2))</f>
        <v/>
      </c>
      <c r="Q298" s="40" t="str">
        <f aca="false">IF($Y298="","",ROUND(SUMIFS(收款金额,收款键,$Y298,收款年度,管理年度,收款归类,"现金无票"),2))</f>
        <v/>
      </c>
      <c r="R298" s="40" t="str">
        <f aca="false">IF($Y298="","",ROUND(MAX(0,MIN($T298,SUMIF(应收键,$Y298,应收开票额)-SUMIF(收款键,$Y298,收款金额))),2))</f>
        <v/>
      </c>
      <c r="S298" s="40" t="str">
        <f aca="false">IF($Y298="","",ROUND(MAX(0,$T298)-$R298,2))</f>
        <v/>
      </c>
      <c r="T298" s="48" t="str">
        <f aca="false">IF($Y298="","",ROUND(SUMIF(应收键,$Y298,应收金额)-SUMIF(收款键,$Y298,收款金额),2))</f>
        <v/>
      </c>
      <c r="U298" s="49" t="str">
        <f aca="true">IF($AA298="","",IF($T298&lt;=0.01,"",MAX(0,TODAY()-$AA298)))</f>
        <v/>
      </c>
      <c r="V298" s="50" t="str">
        <f aca="true">IF($Y298="","",IF($T298&gt;0.01,IF(AND(ISNUMBER($U298),$U298&gt;=账龄预警天),"▲欠款拖了 "&amp;TEXT($U298,"0")&amp;" 天","欠款未清"),IF($T298&lt;-0.01,"预收/多收","已结清"))&amp;IF(OR($E298="已签未回",$E298="未签",$E298="续签中")," ▲合同未回","")&amp;IF(AND(ISNUMBER($F298),$F298&lt;TODAY())," ▲合同已到期",""))</f>
        <v/>
      </c>
      <c r="W298" s="24"/>
      <c r="X298" s="35" t="str">
        <f aca="false">IF($Y298="","",IF(ROUND($H298+$I298-$N298+$Z298-$T298,2)&lt;&gt;0,"★期初＋本年－已收≠余额",IF(ROUND($R298+$S298-MAX(0,$T298),2)&lt;&gt;0,"★已开票＋未开票≠欠款",IF(ROUND($J298+$K298-$I298,2)&lt;&gt;0,"★合同款＋合同外款≠本年应收",IF(ROUND($O298+$P298+$Q298-$N298,2)&lt;&gt;0,"★发票＋收据＋现金≠本年已收","OK")))))</f>
        <v/>
      </c>
      <c r="Y298" s="35" t="str">
        <f aca="false">IF(维保合同!$C298="","",维保合同!$E298)</f>
        <v/>
      </c>
      <c r="Z298" s="40" t="str">
        <f aca="false">IF($Y298="","",ROUND(SUMIFS(应收金额,应收键,$Y298,应收年度,"&gt;"&amp;管理年度)-SUMIFS(收款金额,收款键,$Y298,收款年度,"&gt;"&amp;管理年度),2))</f>
        <v/>
      </c>
      <c r="AA298" s="47" t="str">
        <f aca="false">IF($Y298="","",IF(SUMPRODUCT(MIN(IF((应收键=$Y298)*(应收未收&gt;0.01),应收日期,999999)))&gt;=999999,"",SUMPRODUCT(MIN(IF((应收键=$Y298)*(应收未收&gt;0.01),应收日期,999999)))))</f>
        <v/>
      </c>
    </row>
    <row r="299" customFormat="false" ht="15" hidden="false" customHeight="false" outlineLevel="0" collapsed="false">
      <c r="A299" s="29" t="str">
        <f aca="false">IF($Y299="","",ROW()-4)</f>
        <v/>
      </c>
      <c r="B299" s="16" t="str">
        <f aca="false">IF($Y299="","",维保合同!$C299)</f>
        <v/>
      </c>
      <c r="C299" s="16" t="str">
        <f aca="false">IF($Y299="","",维保合同!$D299)</f>
        <v/>
      </c>
      <c r="D299" s="35" t="str">
        <f aca="false">IF($Y299="","",维保合同!$F299)</f>
        <v/>
      </c>
      <c r="E299" s="35" t="str">
        <f aca="false">IF($Y299="","",维保合同!$G299)</f>
        <v/>
      </c>
      <c r="F299" s="47" t="str">
        <f aca="false">IF($Y299="","",维保合同!$I299)</f>
        <v/>
      </c>
      <c r="G299" s="38" t="str">
        <f aca="false">IF($Y299="","",维保合同!$K299)</f>
        <v/>
      </c>
      <c r="H299" s="41" t="str">
        <f aca="false">IF($Y299="","",ROUND(SUMIFS(应收金额,应收键,$Y299,应收年度,"&lt;"&amp;管理年度)-SUMIFS(收款金额,收款键,$Y299,收款年度,"&lt;"&amp;管理年度),2))</f>
        <v/>
      </c>
      <c r="I299" s="40" t="str">
        <f aca="false">IF($Y299="","",ROUND(SUMIFS(应收金额,应收键,$Y299,应收年度,管理年度),2))</f>
        <v/>
      </c>
      <c r="J299" s="40" t="str">
        <f aca="false">IF($Y299="","",ROUND(SUMIFS(应收金额,应收键,$Y299,应收年度,管理年度,应收款别,"合同款"),2))</f>
        <v/>
      </c>
      <c r="K299" s="40" t="str">
        <f aca="false">IF($Y299="","",ROUND($I299-$J299,2))</f>
        <v/>
      </c>
      <c r="L299" s="40" t="str">
        <f aca="false">IF($Y299="","",ROUND(SUMIFS(应收开票额,应收键,$Y299,应收开票年度,管理年度),2))</f>
        <v/>
      </c>
      <c r="M299" s="40" t="str">
        <f aca="false">IF($Y299="","",ROUND($I299-$L299,2))</f>
        <v/>
      </c>
      <c r="N299" s="40" t="str">
        <f aca="false">IF($Y299="","",ROUND(SUMIFS(收款金额,收款键,$Y299,收款年度,管理年度),2))</f>
        <v/>
      </c>
      <c r="O299" s="40" t="str">
        <f aca="false">IF($Y299="","",ROUND(SUMIFS(收款金额,收款键,$Y299,收款年度,管理年度,收款归类,"发票"),2))</f>
        <v/>
      </c>
      <c r="P299" s="40" t="str">
        <f aca="false">IF($Y299="","",ROUND(SUMIFS(收款金额,收款键,$Y299,收款年度,管理年度,收款归类,"收据"),2))</f>
        <v/>
      </c>
      <c r="Q299" s="40" t="str">
        <f aca="false">IF($Y299="","",ROUND(SUMIFS(收款金额,收款键,$Y299,收款年度,管理年度,收款归类,"现金无票"),2))</f>
        <v/>
      </c>
      <c r="R299" s="40" t="str">
        <f aca="false">IF($Y299="","",ROUND(MAX(0,MIN($T299,SUMIF(应收键,$Y299,应收开票额)-SUMIF(收款键,$Y299,收款金额))),2))</f>
        <v/>
      </c>
      <c r="S299" s="40" t="str">
        <f aca="false">IF($Y299="","",ROUND(MAX(0,$T299)-$R299,2))</f>
        <v/>
      </c>
      <c r="T299" s="48" t="str">
        <f aca="false">IF($Y299="","",ROUND(SUMIF(应收键,$Y299,应收金额)-SUMIF(收款键,$Y299,收款金额),2))</f>
        <v/>
      </c>
      <c r="U299" s="49" t="str">
        <f aca="true">IF($AA299="","",IF($T299&lt;=0.01,"",MAX(0,TODAY()-$AA299)))</f>
        <v/>
      </c>
      <c r="V299" s="50" t="str">
        <f aca="true">IF($Y299="","",IF($T299&gt;0.01,IF(AND(ISNUMBER($U299),$U299&gt;=账龄预警天),"▲欠款拖了 "&amp;TEXT($U299,"0")&amp;" 天","欠款未清"),IF($T299&lt;-0.01,"预收/多收","已结清"))&amp;IF(OR($E299="已签未回",$E299="未签",$E299="续签中")," ▲合同未回","")&amp;IF(AND(ISNUMBER($F299),$F299&lt;TODAY())," ▲合同已到期",""))</f>
        <v/>
      </c>
      <c r="W299" s="24"/>
      <c r="X299" s="35" t="str">
        <f aca="false">IF($Y299="","",IF(ROUND($H299+$I299-$N299+$Z299-$T299,2)&lt;&gt;0,"★期初＋本年－已收≠余额",IF(ROUND($R299+$S299-MAX(0,$T299),2)&lt;&gt;0,"★已开票＋未开票≠欠款",IF(ROUND($J299+$K299-$I299,2)&lt;&gt;0,"★合同款＋合同外款≠本年应收",IF(ROUND($O299+$P299+$Q299-$N299,2)&lt;&gt;0,"★发票＋收据＋现金≠本年已收","OK")))))</f>
        <v/>
      </c>
      <c r="Y299" s="35" t="str">
        <f aca="false">IF(维保合同!$C299="","",维保合同!$E299)</f>
        <v/>
      </c>
      <c r="Z299" s="40" t="str">
        <f aca="false">IF($Y299="","",ROUND(SUMIFS(应收金额,应收键,$Y299,应收年度,"&gt;"&amp;管理年度)-SUMIFS(收款金额,收款键,$Y299,收款年度,"&gt;"&amp;管理年度),2))</f>
        <v/>
      </c>
      <c r="AA299" s="47" t="str">
        <f aca="false">IF($Y299="","",IF(SUMPRODUCT(MIN(IF((应收键=$Y299)*(应收未收&gt;0.01),应收日期,999999)))&gt;=999999,"",SUMPRODUCT(MIN(IF((应收键=$Y299)*(应收未收&gt;0.01),应收日期,999999)))))</f>
        <v/>
      </c>
    </row>
    <row r="300" customFormat="false" ht="15" hidden="false" customHeight="false" outlineLevel="0" collapsed="false">
      <c r="A300" s="29" t="str">
        <f aca="false">IF($Y300="","",ROW()-4)</f>
        <v/>
      </c>
      <c r="B300" s="16" t="str">
        <f aca="false">IF($Y300="","",维保合同!$C300)</f>
        <v/>
      </c>
      <c r="C300" s="16" t="str">
        <f aca="false">IF($Y300="","",维保合同!$D300)</f>
        <v/>
      </c>
      <c r="D300" s="35" t="str">
        <f aca="false">IF($Y300="","",维保合同!$F300)</f>
        <v/>
      </c>
      <c r="E300" s="35" t="str">
        <f aca="false">IF($Y300="","",维保合同!$G300)</f>
        <v/>
      </c>
      <c r="F300" s="47" t="str">
        <f aca="false">IF($Y300="","",维保合同!$I300)</f>
        <v/>
      </c>
      <c r="G300" s="38" t="str">
        <f aca="false">IF($Y300="","",维保合同!$K300)</f>
        <v/>
      </c>
      <c r="H300" s="41" t="str">
        <f aca="false">IF($Y300="","",ROUND(SUMIFS(应收金额,应收键,$Y300,应收年度,"&lt;"&amp;管理年度)-SUMIFS(收款金额,收款键,$Y300,收款年度,"&lt;"&amp;管理年度),2))</f>
        <v/>
      </c>
      <c r="I300" s="40" t="str">
        <f aca="false">IF($Y300="","",ROUND(SUMIFS(应收金额,应收键,$Y300,应收年度,管理年度),2))</f>
        <v/>
      </c>
      <c r="J300" s="40" t="str">
        <f aca="false">IF($Y300="","",ROUND(SUMIFS(应收金额,应收键,$Y300,应收年度,管理年度,应收款别,"合同款"),2))</f>
        <v/>
      </c>
      <c r="K300" s="40" t="str">
        <f aca="false">IF($Y300="","",ROUND($I300-$J300,2))</f>
        <v/>
      </c>
      <c r="L300" s="40" t="str">
        <f aca="false">IF($Y300="","",ROUND(SUMIFS(应收开票额,应收键,$Y300,应收开票年度,管理年度),2))</f>
        <v/>
      </c>
      <c r="M300" s="40" t="str">
        <f aca="false">IF($Y300="","",ROUND($I300-$L300,2))</f>
        <v/>
      </c>
      <c r="N300" s="40" t="str">
        <f aca="false">IF($Y300="","",ROUND(SUMIFS(收款金额,收款键,$Y300,收款年度,管理年度),2))</f>
        <v/>
      </c>
      <c r="O300" s="40" t="str">
        <f aca="false">IF($Y300="","",ROUND(SUMIFS(收款金额,收款键,$Y300,收款年度,管理年度,收款归类,"发票"),2))</f>
        <v/>
      </c>
      <c r="P300" s="40" t="str">
        <f aca="false">IF($Y300="","",ROUND(SUMIFS(收款金额,收款键,$Y300,收款年度,管理年度,收款归类,"收据"),2))</f>
        <v/>
      </c>
      <c r="Q300" s="40" t="str">
        <f aca="false">IF($Y300="","",ROUND(SUMIFS(收款金额,收款键,$Y300,收款年度,管理年度,收款归类,"现金无票"),2))</f>
        <v/>
      </c>
      <c r="R300" s="40" t="str">
        <f aca="false">IF($Y300="","",ROUND(MAX(0,MIN($T300,SUMIF(应收键,$Y300,应收开票额)-SUMIF(收款键,$Y300,收款金额))),2))</f>
        <v/>
      </c>
      <c r="S300" s="40" t="str">
        <f aca="false">IF($Y300="","",ROUND(MAX(0,$T300)-$R300,2))</f>
        <v/>
      </c>
      <c r="T300" s="48" t="str">
        <f aca="false">IF($Y300="","",ROUND(SUMIF(应收键,$Y300,应收金额)-SUMIF(收款键,$Y300,收款金额),2))</f>
        <v/>
      </c>
      <c r="U300" s="49" t="str">
        <f aca="true">IF($AA300="","",IF($T300&lt;=0.01,"",MAX(0,TODAY()-$AA300)))</f>
        <v/>
      </c>
      <c r="V300" s="50" t="str">
        <f aca="true">IF($Y300="","",IF($T300&gt;0.01,IF(AND(ISNUMBER($U300),$U300&gt;=账龄预警天),"▲欠款拖了 "&amp;TEXT($U300,"0")&amp;" 天","欠款未清"),IF($T300&lt;-0.01,"预收/多收","已结清"))&amp;IF(OR($E300="已签未回",$E300="未签",$E300="续签中")," ▲合同未回","")&amp;IF(AND(ISNUMBER($F300),$F300&lt;TODAY())," ▲合同已到期",""))</f>
        <v/>
      </c>
      <c r="W300" s="24"/>
      <c r="X300" s="35" t="str">
        <f aca="false">IF($Y300="","",IF(ROUND($H300+$I300-$N300+$Z300-$T300,2)&lt;&gt;0,"★期初＋本年－已收≠余额",IF(ROUND($R300+$S300-MAX(0,$T300),2)&lt;&gt;0,"★已开票＋未开票≠欠款",IF(ROUND($J300+$K300-$I300,2)&lt;&gt;0,"★合同款＋合同外款≠本年应收",IF(ROUND($O300+$P300+$Q300-$N300,2)&lt;&gt;0,"★发票＋收据＋现金≠本年已收","OK")))))</f>
        <v/>
      </c>
      <c r="Y300" s="35" t="str">
        <f aca="false">IF(维保合同!$C300="","",维保合同!$E300)</f>
        <v/>
      </c>
      <c r="Z300" s="40" t="str">
        <f aca="false">IF($Y300="","",ROUND(SUMIFS(应收金额,应收键,$Y300,应收年度,"&gt;"&amp;管理年度)-SUMIFS(收款金额,收款键,$Y300,收款年度,"&gt;"&amp;管理年度),2))</f>
        <v/>
      </c>
      <c r="AA300" s="47" t="str">
        <f aca="false">IF($Y300="","",IF(SUMPRODUCT(MIN(IF((应收键=$Y300)*(应收未收&gt;0.01),应收日期,999999)))&gt;=999999,"",SUMPRODUCT(MIN(IF((应收键=$Y300)*(应收未收&gt;0.01),应收日期,999999)))))</f>
        <v/>
      </c>
    </row>
    <row r="301" customFormat="false" ht="15" hidden="false" customHeight="false" outlineLevel="0" collapsed="false">
      <c r="A301" s="29" t="str">
        <f aca="false">IF($Y301="","",ROW()-4)</f>
        <v/>
      </c>
      <c r="B301" s="16" t="str">
        <f aca="false">IF($Y301="","",维保合同!$C301)</f>
        <v/>
      </c>
      <c r="C301" s="16" t="str">
        <f aca="false">IF($Y301="","",维保合同!$D301)</f>
        <v/>
      </c>
      <c r="D301" s="35" t="str">
        <f aca="false">IF($Y301="","",维保合同!$F301)</f>
        <v/>
      </c>
      <c r="E301" s="35" t="str">
        <f aca="false">IF($Y301="","",维保合同!$G301)</f>
        <v/>
      </c>
      <c r="F301" s="47" t="str">
        <f aca="false">IF($Y301="","",维保合同!$I301)</f>
        <v/>
      </c>
      <c r="G301" s="38" t="str">
        <f aca="false">IF($Y301="","",维保合同!$K301)</f>
        <v/>
      </c>
      <c r="H301" s="41" t="str">
        <f aca="false">IF($Y301="","",ROUND(SUMIFS(应收金额,应收键,$Y301,应收年度,"&lt;"&amp;管理年度)-SUMIFS(收款金额,收款键,$Y301,收款年度,"&lt;"&amp;管理年度),2))</f>
        <v/>
      </c>
      <c r="I301" s="40" t="str">
        <f aca="false">IF($Y301="","",ROUND(SUMIFS(应收金额,应收键,$Y301,应收年度,管理年度),2))</f>
        <v/>
      </c>
      <c r="J301" s="40" t="str">
        <f aca="false">IF($Y301="","",ROUND(SUMIFS(应收金额,应收键,$Y301,应收年度,管理年度,应收款别,"合同款"),2))</f>
        <v/>
      </c>
      <c r="K301" s="40" t="str">
        <f aca="false">IF($Y301="","",ROUND($I301-$J301,2))</f>
        <v/>
      </c>
      <c r="L301" s="40" t="str">
        <f aca="false">IF($Y301="","",ROUND(SUMIFS(应收开票额,应收键,$Y301,应收开票年度,管理年度),2))</f>
        <v/>
      </c>
      <c r="M301" s="40" t="str">
        <f aca="false">IF($Y301="","",ROUND($I301-$L301,2))</f>
        <v/>
      </c>
      <c r="N301" s="40" t="str">
        <f aca="false">IF($Y301="","",ROUND(SUMIFS(收款金额,收款键,$Y301,收款年度,管理年度),2))</f>
        <v/>
      </c>
      <c r="O301" s="40" t="str">
        <f aca="false">IF($Y301="","",ROUND(SUMIFS(收款金额,收款键,$Y301,收款年度,管理年度,收款归类,"发票"),2))</f>
        <v/>
      </c>
      <c r="P301" s="40" t="str">
        <f aca="false">IF($Y301="","",ROUND(SUMIFS(收款金额,收款键,$Y301,收款年度,管理年度,收款归类,"收据"),2))</f>
        <v/>
      </c>
      <c r="Q301" s="40" t="str">
        <f aca="false">IF($Y301="","",ROUND(SUMIFS(收款金额,收款键,$Y301,收款年度,管理年度,收款归类,"现金无票"),2))</f>
        <v/>
      </c>
      <c r="R301" s="40" t="str">
        <f aca="false">IF($Y301="","",ROUND(MAX(0,MIN($T301,SUMIF(应收键,$Y301,应收开票额)-SUMIF(收款键,$Y301,收款金额))),2))</f>
        <v/>
      </c>
      <c r="S301" s="40" t="str">
        <f aca="false">IF($Y301="","",ROUND(MAX(0,$T301)-$R301,2))</f>
        <v/>
      </c>
      <c r="T301" s="48" t="str">
        <f aca="false">IF($Y301="","",ROUND(SUMIF(应收键,$Y301,应收金额)-SUMIF(收款键,$Y301,收款金额),2))</f>
        <v/>
      </c>
      <c r="U301" s="49" t="str">
        <f aca="true">IF($AA301="","",IF($T301&lt;=0.01,"",MAX(0,TODAY()-$AA301)))</f>
        <v/>
      </c>
      <c r="V301" s="50" t="str">
        <f aca="true">IF($Y301="","",IF($T301&gt;0.01,IF(AND(ISNUMBER($U301),$U301&gt;=账龄预警天),"▲欠款拖了 "&amp;TEXT($U301,"0")&amp;" 天","欠款未清"),IF($T301&lt;-0.01,"预收/多收","已结清"))&amp;IF(OR($E301="已签未回",$E301="未签",$E301="续签中")," ▲合同未回","")&amp;IF(AND(ISNUMBER($F301),$F301&lt;TODAY())," ▲合同已到期",""))</f>
        <v/>
      </c>
      <c r="W301" s="24"/>
      <c r="X301" s="35" t="str">
        <f aca="false">IF($Y301="","",IF(ROUND($H301+$I301-$N301+$Z301-$T301,2)&lt;&gt;0,"★期初＋本年－已收≠余额",IF(ROUND($R301+$S301-MAX(0,$T301),2)&lt;&gt;0,"★已开票＋未开票≠欠款",IF(ROUND($J301+$K301-$I301,2)&lt;&gt;0,"★合同款＋合同外款≠本年应收",IF(ROUND($O301+$P301+$Q301-$N301,2)&lt;&gt;0,"★发票＋收据＋现金≠本年已收","OK")))))</f>
        <v/>
      </c>
      <c r="Y301" s="35" t="str">
        <f aca="false">IF(维保合同!$C301="","",维保合同!$E301)</f>
        <v/>
      </c>
      <c r="Z301" s="40" t="str">
        <f aca="false">IF($Y301="","",ROUND(SUMIFS(应收金额,应收键,$Y301,应收年度,"&gt;"&amp;管理年度)-SUMIFS(收款金额,收款键,$Y301,收款年度,"&gt;"&amp;管理年度),2))</f>
        <v/>
      </c>
      <c r="AA301" s="47" t="str">
        <f aca="false">IF($Y301="","",IF(SUMPRODUCT(MIN(IF((应收键=$Y301)*(应收未收&gt;0.01),应收日期,999999)))&gt;=999999,"",SUMPRODUCT(MIN(IF((应收键=$Y301)*(应收未收&gt;0.01),应收日期,999999)))))</f>
        <v/>
      </c>
    </row>
    <row r="302" customFormat="false" ht="15" hidden="false" customHeight="false" outlineLevel="0" collapsed="false">
      <c r="A302" s="29" t="str">
        <f aca="false">IF($Y302="","",ROW()-4)</f>
        <v/>
      </c>
      <c r="B302" s="16" t="str">
        <f aca="false">IF($Y302="","",维保合同!$C302)</f>
        <v/>
      </c>
      <c r="C302" s="16" t="str">
        <f aca="false">IF($Y302="","",维保合同!$D302)</f>
        <v/>
      </c>
      <c r="D302" s="35" t="str">
        <f aca="false">IF($Y302="","",维保合同!$F302)</f>
        <v/>
      </c>
      <c r="E302" s="35" t="str">
        <f aca="false">IF($Y302="","",维保合同!$G302)</f>
        <v/>
      </c>
      <c r="F302" s="47" t="str">
        <f aca="false">IF($Y302="","",维保合同!$I302)</f>
        <v/>
      </c>
      <c r="G302" s="38" t="str">
        <f aca="false">IF($Y302="","",维保合同!$K302)</f>
        <v/>
      </c>
      <c r="H302" s="41" t="str">
        <f aca="false">IF($Y302="","",ROUND(SUMIFS(应收金额,应收键,$Y302,应收年度,"&lt;"&amp;管理年度)-SUMIFS(收款金额,收款键,$Y302,收款年度,"&lt;"&amp;管理年度),2))</f>
        <v/>
      </c>
      <c r="I302" s="40" t="str">
        <f aca="false">IF($Y302="","",ROUND(SUMIFS(应收金额,应收键,$Y302,应收年度,管理年度),2))</f>
        <v/>
      </c>
      <c r="J302" s="40" t="str">
        <f aca="false">IF($Y302="","",ROUND(SUMIFS(应收金额,应收键,$Y302,应收年度,管理年度,应收款别,"合同款"),2))</f>
        <v/>
      </c>
      <c r="K302" s="40" t="str">
        <f aca="false">IF($Y302="","",ROUND($I302-$J302,2))</f>
        <v/>
      </c>
      <c r="L302" s="40" t="str">
        <f aca="false">IF($Y302="","",ROUND(SUMIFS(应收开票额,应收键,$Y302,应收开票年度,管理年度),2))</f>
        <v/>
      </c>
      <c r="M302" s="40" t="str">
        <f aca="false">IF($Y302="","",ROUND($I302-$L302,2))</f>
        <v/>
      </c>
      <c r="N302" s="40" t="str">
        <f aca="false">IF($Y302="","",ROUND(SUMIFS(收款金额,收款键,$Y302,收款年度,管理年度),2))</f>
        <v/>
      </c>
      <c r="O302" s="40" t="str">
        <f aca="false">IF($Y302="","",ROUND(SUMIFS(收款金额,收款键,$Y302,收款年度,管理年度,收款归类,"发票"),2))</f>
        <v/>
      </c>
      <c r="P302" s="40" t="str">
        <f aca="false">IF($Y302="","",ROUND(SUMIFS(收款金额,收款键,$Y302,收款年度,管理年度,收款归类,"收据"),2))</f>
        <v/>
      </c>
      <c r="Q302" s="40" t="str">
        <f aca="false">IF($Y302="","",ROUND(SUMIFS(收款金额,收款键,$Y302,收款年度,管理年度,收款归类,"现金无票"),2))</f>
        <v/>
      </c>
      <c r="R302" s="40" t="str">
        <f aca="false">IF($Y302="","",ROUND(MAX(0,MIN($T302,SUMIF(应收键,$Y302,应收开票额)-SUMIF(收款键,$Y302,收款金额))),2))</f>
        <v/>
      </c>
      <c r="S302" s="40" t="str">
        <f aca="false">IF($Y302="","",ROUND(MAX(0,$T302)-$R302,2))</f>
        <v/>
      </c>
      <c r="T302" s="48" t="str">
        <f aca="false">IF($Y302="","",ROUND(SUMIF(应收键,$Y302,应收金额)-SUMIF(收款键,$Y302,收款金额),2))</f>
        <v/>
      </c>
      <c r="U302" s="49" t="str">
        <f aca="true">IF($AA302="","",IF($T302&lt;=0.01,"",MAX(0,TODAY()-$AA302)))</f>
        <v/>
      </c>
      <c r="V302" s="50" t="str">
        <f aca="true">IF($Y302="","",IF($T302&gt;0.01,IF(AND(ISNUMBER($U302),$U302&gt;=账龄预警天),"▲欠款拖了 "&amp;TEXT($U302,"0")&amp;" 天","欠款未清"),IF($T302&lt;-0.01,"预收/多收","已结清"))&amp;IF(OR($E302="已签未回",$E302="未签",$E302="续签中")," ▲合同未回","")&amp;IF(AND(ISNUMBER($F302),$F302&lt;TODAY())," ▲合同已到期",""))</f>
        <v/>
      </c>
      <c r="W302" s="24"/>
      <c r="X302" s="35" t="str">
        <f aca="false">IF($Y302="","",IF(ROUND($H302+$I302-$N302+$Z302-$T302,2)&lt;&gt;0,"★期初＋本年－已收≠余额",IF(ROUND($R302+$S302-MAX(0,$T302),2)&lt;&gt;0,"★已开票＋未开票≠欠款",IF(ROUND($J302+$K302-$I302,2)&lt;&gt;0,"★合同款＋合同外款≠本年应收",IF(ROUND($O302+$P302+$Q302-$N302,2)&lt;&gt;0,"★发票＋收据＋现金≠本年已收","OK")))))</f>
        <v/>
      </c>
      <c r="Y302" s="35" t="str">
        <f aca="false">IF(维保合同!$C302="","",维保合同!$E302)</f>
        <v/>
      </c>
      <c r="Z302" s="40" t="str">
        <f aca="false">IF($Y302="","",ROUND(SUMIFS(应收金额,应收键,$Y302,应收年度,"&gt;"&amp;管理年度)-SUMIFS(收款金额,收款键,$Y302,收款年度,"&gt;"&amp;管理年度),2))</f>
        <v/>
      </c>
      <c r="AA302" s="47" t="str">
        <f aca="false">IF($Y302="","",IF(SUMPRODUCT(MIN(IF((应收键=$Y302)*(应收未收&gt;0.01),应收日期,999999)))&gt;=999999,"",SUMPRODUCT(MIN(IF((应收键=$Y302)*(应收未收&gt;0.01),应收日期,999999)))))</f>
        <v/>
      </c>
    </row>
    <row r="303" customFormat="false" ht="15" hidden="false" customHeight="false" outlineLevel="0" collapsed="false">
      <c r="A303" s="29" t="str">
        <f aca="false">IF($Y303="","",ROW()-4)</f>
        <v/>
      </c>
      <c r="B303" s="16" t="str">
        <f aca="false">IF($Y303="","",维保合同!$C303)</f>
        <v/>
      </c>
      <c r="C303" s="16" t="str">
        <f aca="false">IF($Y303="","",维保合同!$D303)</f>
        <v/>
      </c>
      <c r="D303" s="35" t="str">
        <f aca="false">IF($Y303="","",维保合同!$F303)</f>
        <v/>
      </c>
      <c r="E303" s="35" t="str">
        <f aca="false">IF($Y303="","",维保合同!$G303)</f>
        <v/>
      </c>
      <c r="F303" s="47" t="str">
        <f aca="false">IF($Y303="","",维保合同!$I303)</f>
        <v/>
      </c>
      <c r="G303" s="38" t="str">
        <f aca="false">IF($Y303="","",维保合同!$K303)</f>
        <v/>
      </c>
      <c r="H303" s="41" t="str">
        <f aca="false">IF($Y303="","",ROUND(SUMIFS(应收金额,应收键,$Y303,应收年度,"&lt;"&amp;管理年度)-SUMIFS(收款金额,收款键,$Y303,收款年度,"&lt;"&amp;管理年度),2))</f>
        <v/>
      </c>
      <c r="I303" s="40" t="str">
        <f aca="false">IF($Y303="","",ROUND(SUMIFS(应收金额,应收键,$Y303,应收年度,管理年度),2))</f>
        <v/>
      </c>
      <c r="J303" s="40" t="str">
        <f aca="false">IF($Y303="","",ROUND(SUMIFS(应收金额,应收键,$Y303,应收年度,管理年度,应收款别,"合同款"),2))</f>
        <v/>
      </c>
      <c r="K303" s="40" t="str">
        <f aca="false">IF($Y303="","",ROUND($I303-$J303,2))</f>
        <v/>
      </c>
      <c r="L303" s="40" t="str">
        <f aca="false">IF($Y303="","",ROUND(SUMIFS(应收开票额,应收键,$Y303,应收开票年度,管理年度),2))</f>
        <v/>
      </c>
      <c r="M303" s="40" t="str">
        <f aca="false">IF($Y303="","",ROUND($I303-$L303,2))</f>
        <v/>
      </c>
      <c r="N303" s="40" t="str">
        <f aca="false">IF($Y303="","",ROUND(SUMIFS(收款金额,收款键,$Y303,收款年度,管理年度),2))</f>
        <v/>
      </c>
      <c r="O303" s="40" t="str">
        <f aca="false">IF($Y303="","",ROUND(SUMIFS(收款金额,收款键,$Y303,收款年度,管理年度,收款归类,"发票"),2))</f>
        <v/>
      </c>
      <c r="P303" s="40" t="str">
        <f aca="false">IF($Y303="","",ROUND(SUMIFS(收款金额,收款键,$Y303,收款年度,管理年度,收款归类,"收据"),2))</f>
        <v/>
      </c>
      <c r="Q303" s="40" t="str">
        <f aca="false">IF($Y303="","",ROUND(SUMIFS(收款金额,收款键,$Y303,收款年度,管理年度,收款归类,"现金无票"),2))</f>
        <v/>
      </c>
      <c r="R303" s="40" t="str">
        <f aca="false">IF($Y303="","",ROUND(MAX(0,MIN($T303,SUMIF(应收键,$Y303,应收开票额)-SUMIF(收款键,$Y303,收款金额))),2))</f>
        <v/>
      </c>
      <c r="S303" s="40" t="str">
        <f aca="false">IF($Y303="","",ROUND(MAX(0,$T303)-$R303,2))</f>
        <v/>
      </c>
      <c r="T303" s="48" t="str">
        <f aca="false">IF($Y303="","",ROUND(SUMIF(应收键,$Y303,应收金额)-SUMIF(收款键,$Y303,收款金额),2))</f>
        <v/>
      </c>
      <c r="U303" s="49" t="str">
        <f aca="true">IF($AA303="","",IF($T303&lt;=0.01,"",MAX(0,TODAY()-$AA303)))</f>
        <v/>
      </c>
      <c r="V303" s="50" t="str">
        <f aca="true">IF($Y303="","",IF($T303&gt;0.01,IF(AND(ISNUMBER($U303),$U303&gt;=账龄预警天),"▲欠款拖了 "&amp;TEXT($U303,"0")&amp;" 天","欠款未清"),IF($T303&lt;-0.01,"预收/多收","已结清"))&amp;IF(OR($E303="已签未回",$E303="未签",$E303="续签中")," ▲合同未回","")&amp;IF(AND(ISNUMBER($F303),$F303&lt;TODAY())," ▲合同已到期",""))</f>
        <v/>
      </c>
      <c r="W303" s="24"/>
      <c r="X303" s="35" t="str">
        <f aca="false">IF($Y303="","",IF(ROUND($H303+$I303-$N303+$Z303-$T303,2)&lt;&gt;0,"★期初＋本年－已收≠余额",IF(ROUND($R303+$S303-MAX(0,$T303),2)&lt;&gt;0,"★已开票＋未开票≠欠款",IF(ROUND($J303+$K303-$I303,2)&lt;&gt;0,"★合同款＋合同外款≠本年应收",IF(ROUND($O303+$P303+$Q303-$N303,2)&lt;&gt;0,"★发票＋收据＋现金≠本年已收","OK")))))</f>
        <v/>
      </c>
      <c r="Y303" s="35" t="str">
        <f aca="false">IF(维保合同!$C303="","",维保合同!$E303)</f>
        <v/>
      </c>
      <c r="Z303" s="40" t="str">
        <f aca="false">IF($Y303="","",ROUND(SUMIFS(应收金额,应收键,$Y303,应收年度,"&gt;"&amp;管理年度)-SUMIFS(收款金额,收款键,$Y303,收款年度,"&gt;"&amp;管理年度),2))</f>
        <v/>
      </c>
      <c r="AA303" s="47" t="str">
        <f aca="false">IF($Y303="","",IF(SUMPRODUCT(MIN(IF((应收键=$Y303)*(应收未收&gt;0.01),应收日期,999999)))&gt;=999999,"",SUMPRODUCT(MIN(IF((应收键=$Y303)*(应收未收&gt;0.01),应收日期,999999)))))</f>
        <v/>
      </c>
    </row>
    <row r="304" customFormat="false" ht="15" hidden="false" customHeight="false" outlineLevel="0" collapsed="false">
      <c r="A304" s="29" t="str">
        <f aca="false">IF($Y304="","",ROW()-4)</f>
        <v/>
      </c>
      <c r="B304" s="16" t="str">
        <f aca="false">IF($Y304="","",维保合同!$C304)</f>
        <v/>
      </c>
      <c r="C304" s="16" t="str">
        <f aca="false">IF($Y304="","",维保合同!$D304)</f>
        <v/>
      </c>
      <c r="D304" s="35" t="str">
        <f aca="false">IF($Y304="","",维保合同!$F304)</f>
        <v/>
      </c>
      <c r="E304" s="35" t="str">
        <f aca="false">IF($Y304="","",维保合同!$G304)</f>
        <v/>
      </c>
      <c r="F304" s="47" t="str">
        <f aca="false">IF($Y304="","",维保合同!$I304)</f>
        <v/>
      </c>
      <c r="G304" s="38" t="str">
        <f aca="false">IF($Y304="","",维保合同!$K304)</f>
        <v/>
      </c>
      <c r="H304" s="41" t="str">
        <f aca="false">IF($Y304="","",ROUND(SUMIFS(应收金额,应收键,$Y304,应收年度,"&lt;"&amp;管理年度)-SUMIFS(收款金额,收款键,$Y304,收款年度,"&lt;"&amp;管理年度),2))</f>
        <v/>
      </c>
      <c r="I304" s="40" t="str">
        <f aca="false">IF($Y304="","",ROUND(SUMIFS(应收金额,应收键,$Y304,应收年度,管理年度),2))</f>
        <v/>
      </c>
      <c r="J304" s="40" t="str">
        <f aca="false">IF($Y304="","",ROUND(SUMIFS(应收金额,应收键,$Y304,应收年度,管理年度,应收款别,"合同款"),2))</f>
        <v/>
      </c>
      <c r="K304" s="40" t="str">
        <f aca="false">IF($Y304="","",ROUND($I304-$J304,2))</f>
        <v/>
      </c>
      <c r="L304" s="40" t="str">
        <f aca="false">IF($Y304="","",ROUND(SUMIFS(应收开票额,应收键,$Y304,应收开票年度,管理年度),2))</f>
        <v/>
      </c>
      <c r="M304" s="40" t="str">
        <f aca="false">IF($Y304="","",ROUND($I304-$L304,2))</f>
        <v/>
      </c>
      <c r="N304" s="40" t="str">
        <f aca="false">IF($Y304="","",ROUND(SUMIFS(收款金额,收款键,$Y304,收款年度,管理年度),2))</f>
        <v/>
      </c>
      <c r="O304" s="40" t="str">
        <f aca="false">IF($Y304="","",ROUND(SUMIFS(收款金额,收款键,$Y304,收款年度,管理年度,收款归类,"发票"),2))</f>
        <v/>
      </c>
      <c r="P304" s="40" t="str">
        <f aca="false">IF($Y304="","",ROUND(SUMIFS(收款金额,收款键,$Y304,收款年度,管理年度,收款归类,"收据"),2))</f>
        <v/>
      </c>
      <c r="Q304" s="40" t="str">
        <f aca="false">IF($Y304="","",ROUND(SUMIFS(收款金额,收款键,$Y304,收款年度,管理年度,收款归类,"现金无票"),2))</f>
        <v/>
      </c>
      <c r="R304" s="40" t="str">
        <f aca="false">IF($Y304="","",ROUND(MAX(0,MIN($T304,SUMIF(应收键,$Y304,应收开票额)-SUMIF(收款键,$Y304,收款金额))),2))</f>
        <v/>
      </c>
      <c r="S304" s="40" t="str">
        <f aca="false">IF($Y304="","",ROUND(MAX(0,$T304)-$R304,2))</f>
        <v/>
      </c>
      <c r="T304" s="48" t="str">
        <f aca="false">IF($Y304="","",ROUND(SUMIF(应收键,$Y304,应收金额)-SUMIF(收款键,$Y304,收款金额),2))</f>
        <v/>
      </c>
      <c r="U304" s="49" t="str">
        <f aca="true">IF($AA304="","",IF($T304&lt;=0.01,"",MAX(0,TODAY()-$AA304)))</f>
        <v/>
      </c>
      <c r="V304" s="50" t="str">
        <f aca="true">IF($Y304="","",IF($T304&gt;0.01,IF(AND(ISNUMBER($U304),$U304&gt;=账龄预警天),"▲欠款拖了 "&amp;TEXT($U304,"0")&amp;" 天","欠款未清"),IF($T304&lt;-0.01,"预收/多收","已结清"))&amp;IF(OR($E304="已签未回",$E304="未签",$E304="续签中")," ▲合同未回","")&amp;IF(AND(ISNUMBER($F304),$F304&lt;TODAY())," ▲合同已到期",""))</f>
        <v/>
      </c>
      <c r="W304" s="24"/>
      <c r="X304" s="35" t="str">
        <f aca="false">IF($Y304="","",IF(ROUND($H304+$I304-$N304+$Z304-$T304,2)&lt;&gt;0,"★期初＋本年－已收≠余额",IF(ROUND($R304+$S304-MAX(0,$T304),2)&lt;&gt;0,"★已开票＋未开票≠欠款",IF(ROUND($J304+$K304-$I304,2)&lt;&gt;0,"★合同款＋合同外款≠本年应收",IF(ROUND($O304+$P304+$Q304-$N304,2)&lt;&gt;0,"★发票＋收据＋现金≠本年已收","OK")))))</f>
        <v/>
      </c>
      <c r="Y304" s="35" t="str">
        <f aca="false">IF(维保合同!$C304="","",维保合同!$E304)</f>
        <v/>
      </c>
      <c r="Z304" s="40" t="str">
        <f aca="false">IF($Y304="","",ROUND(SUMIFS(应收金额,应收键,$Y304,应收年度,"&gt;"&amp;管理年度)-SUMIFS(收款金额,收款键,$Y304,收款年度,"&gt;"&amp;管理年度),2))</f>
        <v/>
      </c>
      <c r="AA304" s="47" t="str">
        <f aca="false">IF($Y304="","",IF(SUMPRODUCT(MIN(IF((应收键=$Y304)*(应收未收&gt;0.01),应收日期,999999)))&gt;=999999,"",SUMPRODUCT(MIN(IF((应收键=$Y304)*(应收未收&gt;0.01),应收日期,999999)))))</f>
        <v/>
      </c>
    </row>
  </sheetData>
  <autoFilter ref="A4:X304"/>
  <mergeCells count="2">
    <mergeCell ref="A1:X1"/>
    <mergeCell ref="A2:X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L26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9" min="6" style="0" width="13"/>
    <col collapsed="false" customWidth="true" hidden="false" outlineLevel="0" max="10" min="10" style="0" width="28"/>
    <col collapsed="false" customWidth="true" hidden="false" outlineLevel="0" max="11" min="11" style="0" width="22"/>
    <col collapsed="false" customWidth="true" hidden="false" outlineLevel="0" max="12" min="12" style="0" width="18"/>
  </cols>
  <sheetData>
    <row r="1" customFormat="false" ht="30" hidden="false" customHeight="true" outlineLevel="0" collapsed="false">
      <c r="A1" s="51" t="s">
        <v>540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</row>
    <row r="2" customFormat="false" ht="46.5" hidden="false" customHeight="true" outlineLevel="0" collapsed="false">
      <c r="A2" s="2" t="s">
        <v>541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A4" s="17" t="str">
        <f aca="false">" ① 合同到期 / 合同没回签 —— 共 "&amp;_自动清单!$B$304&amp;" 条（这里最多列 60 条）"</f>
        <v> ① 合同到期 / 合同没回签 —— 共 5 条（这里最多列 60 条）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</row>
    <row r="5" customFormat="false" ht="25.5" hidden="false" customHeight="true" outlineLevel="0" collapsed="false">
      <c r="A5" s="52" t="s">
        <v>199</v>
      </c>
      <c r="B5" s="52" t="s">
        <v>542</v>
      </c>
      <c r="C5" s="52" t="s">
        <v>519</v>
      </c>
      <c r="D5" s="52" t="s">
        <v>520</v>
      </c>
      <c r="E5" s="52" t="s">
        <v>377</v>
      </c>
      <c r="F5" s="52" t="s">
        <v>124</v>
      </c>
      <c r="G5" s="52" t="s">
        <v>543</v>
      </c>
      <c r="H5" s="52" t="s">
        <v>544</v>
      </c>
      <c r="I5" s="52" t="s">
        <v>545</v>
      </c>
      <c r="J5" s="52" t="s">
        <v>536</v>
      </c>
      <c r="K5" s="52" t="s">
        <v>546</v>
      </c>
      <c r="L5" s="52" t="s">
        <v>391</v>
      </c>
    </row>
    <row r="6" customFormat="false" ht="26.85" hidden="false" customHeight="false" outlineLevel="0" collapsed="false">
      <c r="A6" s="29" t="n">
        <f aca="false">IF(1&gt;_自动清单!$B$304,"",1)</f>
        <v>1</v>
      </c>
      <c r="B6" s="53" t="str">
        <f aca="false">IFERROR(INDEX(维保合同!$B$5:$B$304,MATCH(1,_自动清单!$B$5:$B$304,0))&amp;"","")</f>
        <v>漯河许昌</v>
      </c>
      <c r="C6" s="16" t="str">
        <f aca="false">IFERROR(INDEX(维保合同!$C$5:$C$304,MATCH(1,_自动清单!$B$5:$B$304,0))&amp;"","")</f>
        <v>河南明海定慧商业管理有限公司</v>
      </c>
      <c r="D6" s="16" t="str">
        <f aca="false">IFERROR(INDEX(维保合同!$D$5:$D$304,MATCH(1,_自动清单!$B$5:$B$304,0))&amp;"","")</f>
        <v>六渡桥</v>
      </c>
      <c r="E6" s="53" t="str">
        <f aca="false">IFERROR(INDEX(维保合同!$F$5:$F$304,MATCH(1,_自动清单!$B$5:$B$304,0))&amp;"","")</f>
        <v>WB2026-002</v>
      </c>
      <c r="F6" s="53" t="str">
        <f aca="false">IFERROR(INDEX(维保合同!$G$5:$G$304,MATCH(1,_自动清单!$B$5:$B$304,0))&amp;"","")</f>
        <v>已签未回</v>
      </c>
      <c r="G6" s="54" t="n">
        <f aca="false">IFERROR(INDEX(维保合同!$H$5:$H$304,MATCH(1,_自动清单!$B$5:$B$304,0)),"")</f>
        <v>46082</v>
      </c>
      <c r="H6" s="54" t="n">
        <f aca="false">IFERROR(INDEX(维保合同!$I$5:$I$304,MATCH(1,_自动清单!$B$5:$B$304,0)),"")</f>
        <v>46446</v>
      </c>
      <c r="I6" s="55" t="n">
        <f aca="true">IF(N($H6)=0,"",$H6-TODAY())</f>
        <v>160</v>
      </c>
      <c r="J6" s="56" t="str">
        <f aca="false">IF($A6="","",TRIM(IFERROR(INDEX(维保合同!$Q$5:$Q$304,MATCH(1,_自动清单!$B$5:$B$304,0))&amp;"","")&amp;" "&amp;IFERROR(INDEX(维保合同!$R$5:$R$304,MATCH(1,_自动清单!$B$5:$B$304,0))&amp;"","")))</f>
        <v>▲合同未回（已签未回）</v>
      </c>
      <c r="K6" s="57" t="n">
        <f aca="false">IFERROR(INDEX(维保合同!$L$5:$L$304,MATCH(1,_自动清单!$B$5:$B$304,0)),"")</f>
        <v>4200</v>
      </c>
      <c r="L6" s="30" t="str">
        <f aca="false">IFERROR(INDEX(维保合同!$W$5:$W$304,MATCH(1,_自动清单!$B$5:$B$304,0))&amp;"","")</f>
        <v>合同寄出两个月没回，已催三次</v>
      </c>
    </row>
    <row r="7" customFormat="false" ht="26.85" hidden="false" customHeight="false" outlineLevel="0" collapsed="false">
      <c r="A7" s="29" t="n">
        <f aca="false">IF(2&gt;_自动清单!$B$304,"",2)</f>
        <v>2</v>
      </c>
      <c r="B7" s="53" t="str">
        <f aca="false">IFERROR(INDEX(维保合同!$B$5:$B$304,MATCH(2,_自动清单!$B$5:$B$304,0))&amp;"","")</f>
        <v>开封商丘周口</v>
      </c>
      <c r="C7" s="16" t="str">
        <f aca="false">IFERROR(INDEX(维保合同!$C$5:$C$304,MATCH(2,_自动清单!$B$5:$B$304,0))&amp;"","")</f>
        <v>河南华茂医院有限公司</v>
      </c>
      <c r="D7" s="16" t="str">
        <f aca="false">IFERROR(INDEX(维保合同!$D$5:$D$304,MATCH(2,_自动清单!$B$5:$B$304,0))&amp;"","")</f>
        <v>圣爱医院</v>
      </c>
      <c r="E7" s="53" t="str">
        <f aca="false">IFERROR(INDEX(维保合同!$F$5:$F$304,MATCH(2,_自动清单!$B$5:$B$304,0))&amp;"","")</f>
        <v>WB2025-018</v>
      </c>
      <c r="F7" s="53" t="str">
        <f aca="false">IFERROR(INDEX(维保合同!$G$5:$G$304,MATCH(2,_自动清单!$B$5:$B$304,0))&amp;"","")</f>
        <v>已签已回</v>
      </c>
      <c r="G7" s="54" t="n">
        <f aca="false">IFERROR(INDEX(维保合同!$H$5:$H$304,MATCH(2,_自动清单!$B$5:$B$304,0)),"")</f>
        <v>45839</v>
      </c>
      <c r="H7" s="54" t="n">
        <f aca="false">IFERROR(INDEX(维保合同!$I$5:$I$304,MATCH(2,_自动清单!$B$5:$B$304,0)),"")</f>
        <v>46203</v>
      </c>
      <c r="I7" s="55" t="n">
        <f aca="true">IF(N($H7)=0,"",$H7-TODAY())</f>
        <v>-83</v>
      </c>
      <c r="J7" s="56" t="str">
        <f aca="false">IF($A7="","",TRIM(IFERROR(INDEX(维保合同!$Q$5:$Q$304,MATCH(2,_自动清单!$B$5:$B$304,0))&amp;"","")&amp;" "&amp;IFERROR(INDEX(维保合同!$R$5:$R$304,MATCH(2,_自动清单!$B$5:$B$304,0))&amp;"","")))</f>
        <v>已到期 83 天</v>
      </c>
      <c r="K7" s="57" t="n">
        <f aca="false">IFERROR(INDEX(维保合同!$L$5:$L$304,MATCH(2,_自动清单!$B$5:$B$304,0)),"")</f>
        <v>9600</v>
      </c>
      <c r="L7" s="30" t="str">
        <f aca="false">IFERROR(INDEX(维保合同!$W$5:$W$304,MATCH(2,_自动清单!$B$5:$B$304,0))&amp;"","")</f>
        <v>合同已到期，续签资料在走流程</v>
      </c>
    </row>
    <row r="8" customFormat="false" ht="26.85" hidden="false" customHeight="false" outlineLevel="0" collapsed="false">
      <c r="A8" s="29" t="n">
        <f aca="false">IF(3&gt;_自动清单!$B$304,"",3)</f>
        <v>3</v>
      </c>
      <c r="B8" s="53" t="str">
        <f aca="false">IFERROR(INDEX(维保合同!$B$5:$B$304,MATCH(3,_自动清单!$B$5:$B$304,0))&amp;"","")</f>
        <v>平顶山郑州</v>
      </c>
      <c r="C8" s="16" t="str">
        <f aca="false">IFERROR(INDEX(维保合同!$C$5:$C$304,MATCH(3,_自动清单!$B$5:$B$304,0))&amp;"","")</f>
        <v>河南长江人民艺术剧院有限责任公司</v>
      </c>
      <c r="D8" s="16" t="str">
        <f aca="false">IFERROR(INDEX(维保合同!$D$5:$D$304,MATCH(3,_自动清单!$B$5:$B$304,0))&amp;"","")</f>
        <v>长江人艺D8小剧场</v>
      </c>
      <c r="E8" s="53" t="str">
        <f aca="false">IFERROR(INDEX(维保合同!$F$5:$F$304,MATCH(3,_自动清单!$B$5:$B$304,0))&amp;"","")</f>
        <v/>
      </c>
      <c r="F8" s="53" t="str">
        <f aca="false">IFERROR(INDEX(维保合同!$G$5:$G$304,MATCH(3,_自动清单!$B$5:$B$304,0))&amp;"","")</f>
        <v>未签</v>
      </c>
      <c r="G8" s="54" t="n">
        <f aca="false">IFERROR(INDEX(维保合同!$H$5:$H$304,MATCH(3,_自动清单!$B$5:$B$304,0)),"")</f>
        <v>46174</v>
      </c>
      <c r="H8" s="54" t="n">
        <f aca="false">IFERROR(INDEX(维保合同!$I$5:$I$304,MATCH(3,_自动清单!$B$5:$B$304,0)),"")</f>
        <v>46538</v>
      </c>
      <c r="I8" s="55" t="n">
        <f aca="true">IF(N($H8)=0,"",$H8-TODAY())</f>
        <v>252</v>
      </c>
      <c r="J8" s="56" t="str">
        <f aca="false">IF($A8="","",TRIM(IFERROR(INDEX(维保合同!$Q$5:$Q$304,MATCH(3,_自动清单!$B$5:$B$304,0))&amp;"","")&amp;" "&amp;IFERROR(INDEX(维保合同!$R$5:$R$304,MATCH(3,_自动清单!$B$5:$B$304,0))&amp;"","")))</f>
        <v>▲合同未回（未签）</v>
      </c>
      <c r="K8" s="57" t="n">
        <f aca="false">IFERROR(INDEX(维保合同!$L$5:$L$304,MATCH(3,_自动清单!$B$5:$B$304,0)),"")</f>
        <v>5400</v>
      </c>
      <c r="L8" s="30" t="str">
        <f aca="false">IFERROR(INDEX(维保合同!$W$5:$W$304,MATCH(3,_自动清单!$B$5:$B$304,0))&amp;"","")</f>
        <v>新装转保，合同一直没签，先挂账</v>
      </c>
    </row>
    <row r="9" customFormat="false" ht="26.85" hidden="false" customHeight="false" outlineLevel="0" collapsed="false">
      <c r="A9" s="29" t="n">
        <f aca="false">IF(4&gt;_自动清单!$B$304,"",4)</f>
        <v>4</v>
      </c>
      <c r="B9" s="53" t="str">
        <f aca="false">IFERROR(INDEX(维保合同!$B$5:$B$304,MATCH(4,_自动清单!$B$5:$B$304,0))&amp;"","")</f>
        <v>鹤壁新乡</v>
      </c>
      <c r="C9" s="16" t="str">
        <f aca="false">IFERROR(INDEX(维保合同!$C$5:$C$304,MATCH(4,_自动清单!$B$5:$B$304,0))&amp;"","")</f>
        <v>金禧永航集团有限公司</v>
      </c>
      <c r="D9" s="16" t="str">
        <f aca="false">IFERROR(INDEX(维保合同!$D$5:$D$304,MATCH(4,_自动清单!$B$5:$B$304,0))&amp;"","")</f>
        <v>金禧西北路291号</v>
      </c>
      <c r="E9" s="53" t="str">
        <f aca="false">IFERROR(INDEX(维保合同!$F$5:$F$304,MATCH(4,_自动清单!$B$5:$B$304,0))&amp;"","")</f>
        <v>WB2025-033</v>
      </c>
      <c r="F9" s="53" t="str">
        <f aca="false">IFERROR(INDEX(维保合同!$G$5:$G$304,MATCH(4,_自动清单!$B$5:$B$304,0))&amp;"","")</f>
        <v>续签中</v>
      </c>
      <c r="G9" s="54" t="n">
        <f aca="false">IFERROR(INDEX(维保合同!$H$5:$H$304,MATCH(4,_自动清单!$B$5:$B$304,0)),"")</f>
        <v>45931</v>
      </c>
      <c r="H9" s="54" t="n">
        <f aca="false">IFERROR(INDEX(维保合同!$I$5:$I$304,MATCH(4,_自动清单!$B$5:$B$304,0)),"")</f>
        <v>46295</v>
      </c>
      <c r="I9" s="55" t="n">
        <f aca="true">IF(N($H9)=0,"",$H9-TODAY())</f>
        <v>9</v>
      </c>
      <c r="J9" s="56" t="str">
        <f aca="false">IF($A9="","",TRIM(IFERROR(INDEX(维保合同!$Q$5:$Q$304,MATCH(4,_自动清单!$B$5:$B$304,0))&amp;"","")&amp;" "&amp;IFERROR(INDEX(维保合同!$R$5:$R$304,MATCH(4,_自动清单!$B$5:$B$304,0))&amp;"","")))</f>
        <v>将到期 9 天 ▲合同未回（续签中）</v>
      </c>
      <c r="K9" s="57" t="n">
        <f aca="false">IFERROR(INDEX(维保合同!$L$5:$L$304,MATCH(4,_自动清单!$B$5:$B$304,0)),"")</f>
        <v>4800</v>
      </c>
      <c r="L9" s="30" t="str">
        <f aca="false">IFERROR(INDEX(维保合同!$W$5:$W$304,MATCH(4,_自动清单!$B$5:$B$304,0))&amp;"","")</f>
        <v>9 月底到期，续签合同在对条款</v>
      </c>
    </row>
    <row r="10" customFormat="false" ht="26.85" hidden="false" customHeight="false" outlineLevel="0" collapsed="false">
      <c r="A10" s="29" t="n">
        <f aca="false">IF(5&gt;_自动清单!$B$304,"",5)</f>
        <v>5</v>
      </c>
      <c r="B10" s="53" t="str">
        <f aca="false">IFERROR(INDEX(维保合同!$B$5:$B$304,MATCH(5,_自动清单!$B$5:$B$304,0))&amp;"","")</f>
        <v>安阳濮阳</v>
      </c>
      <c r="C10" s="16" t="str">
        <f aca="false">IFERROR(INDEX(维保合同!$C$5:$C$304,MATCH(5,_自动清单!$B$5:$B$304,0))&amp;"","")</f>
        <v>河南光谷义神新材料孵化器有限公司</v>
      </c>
      <c r="D10" s="16" t="str">
        <f aca="false">IFERROR(INDEX(维保合同!$D$5:$D$304,MATCH(5,_自动清单!$B$5:$B$304,0))&amp;"","")</f>
        <v>永和云居</v>
      </c>
      <c r="E10" s="53" t="str">
        <f aca="false">IFERROR(INDEX(维保合同!$F$5:$F$304,MATCH(5,_自动清单!$B$5:$B$304,0))&amp;"","")</f>
        <v>WB2026-010</v>
      </c>
      <c r="F10" s="53" t="str">
        <f aca="false">IFERROR(INDEX(维保合同!$G$5:$G$304,MATCH(5,_自动清单!$B$5:$B$304,0))&amp;"","")</f>
        <v>已签未回</v>
      </c>
      <c r="G10" s="54" t="n">
        <f aca="false">IFERROR(INDEX(维保合同!$H$5:$H$304,MATCH(5,_自动清单!$B$5:$B$304,0)),"")</f>
        <v>46023</v>
      </c>
      <c r="H10" s="54" t="n">
        <f aca="false">IFERROR(INDEX(维保合同!$I$5:$I$304,MATCH(5,_自动清单!$B$5:$B$304,0)),"")</f>
        <v>46387</v>
      </c>
      <c r="I10" s="55" t="n">
        <f aca="true">IF(N($H10)=0,"",$H10-TODAY())</f>
        <v>101</v>
      </c>
      <c r="J10" s="56" t="str">
        <f aca="false">IF($A10="","",TRIM(IFERROR(INDEX(维保合同!$Q$5:$Q$304,MATCH(5,_自动清单!$B$5:$B$304,0))&amp;"","")&amp;" "&amp;IFERROR(INDEX(维保合同!$R$5:$R$304,MATCH(5,_自动清单!$B$5:$B$304,0))&amp;"","")))</f>
        <v>▲合同未回（已签未回）</v>
      </c>
      <c r="K10" s="57" t="n">
        <f aca="false">IFERROR(INDEX(维保合同!$L$5:$L$304,MATCH(5,_自动清单!$B$5:$B$304,0)),"")</f>
        <v>25200</v>
      </c>
      <c r="L10" s="30" t="str">
        <f aca="false">IFERROR(INDEX(维保合同!$W$5:$W$304,MATCH(5,_自动清单!$B$5:$B$304,0))&amp;"","")</f>
        <v>物业换了人，合同一直没回</v>
      </c>
    </row>
    <row r="11" customFormat="false" ht="15" hidden="false" customHeight="false" outlineLevel="0" collapsed="false">
      <c r="A11" s="29" t="str">
        <f aca="false">IF(6&gt;_自动清单!$B$304,"",6)</f>
        <v/>
      </c>
      <c r="B11" s="53" t="str">
        <f aca="false">IFERROR(INDEX(维保合同!$B$5:$B$304,MATCH(6,_自动清单!$B$5:$B$304,0))&amp;"","")</f>
        <v/>
      </c>
      <c r="C11" s="16" t="str">
        <f aca="false">IFERROR(INDEX(维保合同!$C$5:$C$304,MATCH(6,_自动清单!$B$5:$B$304,0))&amp;"","")</f>
        <v/>
      </c>
      <c r="D11" s="16" t="str">
        <f aca="false">IFERROR(INDEX(维保合同!$D$5:$D$304,MATCH(6,_自动清单!$B$5:$B$304,0))&amp;"","")</f>
        <v/>
      </c>
      <c r="E11" s="53" t="str">
        <f aca="false">IFERROR(INDEX(维保合同!$F$5:$F$304,MATCH(6,_自动清单!$B$5:$B$304,0))&amp;"","")</f>
        <v/>
      </c>
      <c r="F11" s="53" t="str">
        <f aca="false">IFERROR(INDEX(维保合同!$G$5:$G$304,MATCH(6,_自动清单!$B$5:$B$304,0))&amp;"","")</f>
        <v/>
      </c>
      <c r="G11" s="54" t="str">
        <f aca="false">IFERROR(INDEX(维保合同!$H$5:$H$304,MATCH(6,_自动清单!$B$5:$B$304,0)),"")</f>
        <v/>
      </c>
      <c r="H11" s="54" t="str">
        <f aca="false">IFERROR(INDEX(维保合同!$I$5:$I$304,MATCH(6,_自动清单!$B$5:$B$304,0)),"")</f>
        <v/>
      </c>
      <c r="I11" s="55" t="str">
        <f aca="true">IF(N($H11)=0,"",$H11-TODAY())</f>
        <v/>
      </c>
      <c r="J11" s="56" t="str">
        <f aca="false">IF($A11="","",TRIM(IFERROR(INDEX(维保合同!$Q$5:$Q$304,MATCH(6,_自动清单!$B$5:$B$304,0))&amp;"","")&amp;" "&amp;IFERROR(INDEX(维保合同!$R$5:$R$304,MATCH(6,_自动清单!$B$5:$B$304,0))&amp;"","")))</f>
        <v/>
      </c>
      <c r="K11" s="57" t="str">
        <f aca="false">IFERROR(INDEX(维保合同!$L$5:$L$304,MATCH(6,_自动清单!$B$5:$B$304,0)),"")</f>
        <v/>
      </c>
      <c r="L11" s="30" t="str">
        <f aca="false">IFERROR(INDEX(维保合同!$W$5:$W$304,MATCH(6,_自动清单!$B$5:$B$304,0))&amp;"","")</f>
        <v/>
      </c>
    </row>
    <row r="12" customFormat="false" ht="15" hidden="false" customHeight="false" outlineLevel="0" collapsed="false">
      <c r="A12" s="29" t="str">
        <f aca="false">IF(7&gt;_自动清单!$B$304,"",7)</f>
        <v/>
      </c>
      <c r="B12" s="53" t="str">
        <f aca="false">IFERROR(INDEX(维保合同!$B$5:$B$304,MATCH(7,_自动清单!$B$5:$B$304,0))&amp;"","")</f>
        <v/>
      </c>
      <c r="C12" s="16" t="str">
        <f aca="false">IFERROR(INDEX(维保合同!$C$5:$C$304,MATCH(7,_自动清单!$B$5:$B$304,0))&amp;"","")</f>
        <v/>
      </c>
      <c r="D12" s="16" t="str">
        <f aca="false">IFERROR(INDEX(维保合同!$D$5:$D$304,MATCH(7,_自动清单!$B$5:$B$304,0))&amp;"","")</f>
        <v/>
      </c>
      <c r="E12" s="53" t="str">
        <f aca="false">IFERROR(INDEX(维保合同!$F$5:$F$304,MATCH(7,_自动清单!$B$5:$B$304,0))&amp;"","")</f>
        <v/>
      </c>
      <c r="F12" s="53" t="str">
        <f aca="false">IFERROR(INDEX(维保合同!$G$5:$G$304,MATCH(7,_自动清单!$B$5:$B$304,0))&amp;"","")</f>
        <v/>
      </c>
      <c r="G12" s="54" t="str">
        <f aca="false">IFERROR(INDEX(维保合同!$H$5:$H$304,MATCH(7,_自动清单!$B$5:$B$304,0)),"")</f>
        <v/>
      </c>
      <c r="H12" s="54" t="str">
        <f aca="false">IFERROR(INDEX(维保合同!$I$5:$I$304,MATCH(7,_自动清单!$B$5:$B$304,0)),"")</f>
        <v/>
      </c>
      <c r="I12" s="55" t="str">
        <f aca="true">IF(N($H12)=0,"",$H12-TODAY())</f>
        <v/>
      </c>
      <c r="J12" s="56" t="str">
        <f aca="false">IF($A12="","",TRIM(IFERROR(INDEX(维保合同!$Q$5:$Q$304,MATCH(7,_自动清单!$B$5:$B$304,0))&amp;"","")&amp;" "&amp;IFERROR(INDEX(维保合同!$R$5:$R$304,MATCH(7,_自动清单!$B$5:$B$304,0))&amp;"","")))</f>
        <v/>
      </c>
      <c r="K12" s="57" t="str">
        <f aca="false">IFERROR(INDEX(维保合同!$L$5:$L$304,MATCH(7,_自动清单!$B$5:$B$304,0)),"")</f>
        <v/>
      </c>
      <c r="L12" s="30" t="str">
        <f aca="false">IFERROR(INDEX(维保合同!$W$5:$W$304,MATCH(7,_自动清单!$B$5:$B$304,0))&amp;"","")</f>
        <v/>
      </c>
    </row>
    <row r="13" customFormat="false" ht="15" hidden="false" customHeight="false" outlineLevel="0" collapsed="false">
      <c r="A13" s="29" t="str">
        <f aca="false">IF(8&gt;_自动清单!$B$304,"",8)</f>
        <v/>
      </c>
      <c r="B13" s="53" t="str">
        <f aca="false">IFERROR(INDEX(维保合同!$B$5:$B$304,MATCH(8,_自动清单!$B$5:$B$304,0))&amp;"","")</f>
        <v/>
      </c>
      <c r="C13" s="16" t="str">
        <f aca="false">IFERROR(INDEX(维保合同!$C$5:$C$304,MATCH(8,_自动清单!$B$5:$B$304,0))&amp;"","")</f>
        <v/>
      </c>
      <c r="D13" s="16" t="str">
        <f aca="false">IFERROR(INDEX(维保合同!$D$5:$D$304,MATCH(8,_自动清单!$B$5:$B$304,0))&amp;"","")</f>
        <v/>
      </c>
      <c r="E13" s="53" t="str">
        <f aca="false">IFERROR(INDEX(维保合同!$F$5:$F$304,MATCH(8,_自动清单!$B$5:$B$304,0))&amp;"","")</f>
        <v/>
      </c>
      <c r="F13" s="53" t="str">
        <f aca="false">IFERROR(INDEX(维保合同!$G$5:$G$304,MATCH(8,_自动清单!$B$5:$B$304,0))&amp;"","")</f>
        <v/>
      </c>
      <c r="G13" s="54" t="str">
        <f aca="false">IFERROR(INDEX(维保合同!$H$5:$H$304,MATCH(8,_自动清单!$B$5:$B$304,0)),"")</f>
        <v/>
      </c>
      <c r="H13" s="54" t="str">
        <f aca="false">IFERROR(INDEX(维保合同!$I$5:$I$304,MATCH(8,_自动清单!$B$5:$B$304,0)),"")</f>
        <v/>
      </c>
      <c r="I13" s="55" t="str">
        <f aca="true">IF(N($H13)=0,"",$H13-TODAY())</f>
        <v/>
      </c>
      <c r="J13" s="56" t="str">
        <f aca="false">IF($A13="","",TRIM(IFERROR(INDEX(维保合同!$Q$5:$Q$304,MATCH(8,_自动清单!$B$5:$B$304,0))&amp;"","")&amp;" "&amp;IFERROR(INDEX(维保合同!$R$5:$R$304,MATCH(8,_自动清单!$B$5:$B$304,0))&amp;"","")))</f>
        <v/>
      </c>
      <c r="K13" s="57" t="str">
        <f aca="false">IFERROR(INDEX(维保合同!$L$5:$L$304,MATCH(8,_自动清单!$B$5:$B$304,0)),"")</f>
        <v/>
      </c>
      <c r="L13" s="30" t="str">
        <f aca="false">IFERROR(INDEX(维保合同!$W$5:$W$304,MATCH(8,_自动清单!$B$5:$B$304,0))&amp;"","")</f>
        <v/>
      </c>
    </row>
    <row r="14" customFormat="false" ht="15" hidden="false" customHeight="false" outlineLevel="0" collapsed="false">
      <c r="A14" s="29" t="str">
        <f aca="false">IF(9&gt;_自动清单!$B$304,"",9)</f>
        <v/>
      </c>
      <c r="B14" s="53" t="str">
        <f aca="false">IFERROR(INDEX(维保合同!$B$5:$B$304,MATCH(9,_自动清单!$B$5:$B$304,0))&amp;"","")</f>
        <v/>
      </c>
      <c r="C14" s="16" t="str">
        <f aca="false">IFERROR(INDEX(维保合同!$C$5:$C$304,MATCH(9,_自动清单!$B$5:$B$304,0))&amp;"","")</f>
        <v/>
      </c>
      <c r="D14" s="16" t="str">
        <f aca="false">IFERROR(INDEX(维保合同!$D$5:$D$304,MATCH(9,_自动清单!$B$5:$B$304,0))&amp;"","")</f>
        <v/>
      </c>
      <c r="E14" s="53" t="str">
        <f aca="false">IFERROR(INDEX(维保合同!$F$5:$F$304,MATCH(9,_自动清单!$B$5:$B$304,0))&amp;"","")</f>
        <v/>
      </c>
      <c r="F14" s="53" t="str">
        <f aca="false">IFERROR(INDEX(维保合同!$G$5:$G$304,MATCH(9,_自动清单!$B$5:$B$304,0))&amp;"","")</f>
        <v/>
      </c>
      <c r="G14" s="54" t="str">
        <f aca="false">IFERROR(INDEX(维保合同!$H$5:$H$304,MATCH(9,_自动清单!$B$5:$B$304,0)),"")</f>
        <v/>
      </c>
      <c r="H14" s="54" t="str">
        <f aca="false">IFERROR(INDEX(维保合同!$I$5:$I$304,MATCH(9,_自动清单!$B$5:$B$304,0)),"")</f>
        <v/>
      </c>
      <c r="I14" s="55" t="str">
        <f aca="true">IF(N($H14)=0,"",$H14-TODAY())</f>
        <v/>
      </c>
      <c r="J14" s="56" t="str">
        <f aca="false">IF($A14="","",TRIM(IFERROR(INDEX(维保合同!$Q$5:$Q$304,MATCH(9,_自动清单!$B$5:$B$304,0))&amp;"","")&amp;" "&amp;IFERROR(INDEX(维保合同!$R$5:$R$304,MATCH(9,_自动清单!$B$5:$B$304,0))&amp;"","")))</f>
        <v/>
      </c>
      <c r="K14" s="57" t="str">
        <f aca="false">IFERROR(INDEX(维保合同!$L$5:$L$304,MATCH(9,_自动清单!$B$5:$B$304,0)),"")</f>
        <v/>
      </c>
      <c r="L14" s="30" t="str">
        <f aca="false">IFERROR(INDEX(维保合同!$W$5:$W$304,MATCH(9,_自动清单!$B$5:$B$304,0))&amp;"","")</f>
        <v/>
      </c>
    </row>
    <row r="15" customFormat="false" ht="15" hidden="false" customHeight="false" outlineLevel="0" collapsed="false">
      <c r="A15" s="29" t="str">
        <f aca="false">IF(10&gt;_自动清单!$B$304,"",10)</f>
        <v/>
      </c>
      <c r="B15" s="53" t="str">
        <f aca="false">IFERROR(INDEX(维保合同!$B$5:$B$304,MATCH(10,_自动清单!$B$5:$B$304,0))&amp;"","")</f>
        <v/>
      </c>
      <c r="C15" s="16" t="str">
        <f aca="false">IFERROR(INDEX(维保合同!$C$5:$C$304,MATCH(10,_自动清单!$B$5:$B$304,0))&amp;"","")</f>
        <v/>
      </c>
      <c r="D15" s="16" t="str">
        <f aca="false">IFERROR(INDEX(维保合同!$D$5:$D$304,MATCH(10,_自动清单!$B$5:$B$304,0))&amp;"","")</f>
        <v/>
      </c>
      <c r="E15" s="53" t="str">
        <f aca="false">IFERROR(INDEX(维保合同!$F$5:$F$304,MATCH(10,_自动清单!$B$5:$B$304,0))&amp;"","")</f>
        <v/>
      </c>
      <c r="F15" s="53" t="str">
        <f aca="false">IFERROR(INDEX(维保合同!$G$5:$G$304,MATCH(10,_自动清单!$B$5:$B$304,0))&amp;"","")</f>
        <v/>
      </c>
      <c r="G15" s="54" t="str">
        <f aca="false">IFERROR(INDEX(维保合同!$H$5:$H$304,MATCH(10,_自动清单!$B$5:$B$304,0)),"")</f>
        <v/>
      </c>
      <c r="H15" s="54" t="str">
        <f aca="false">IFERROR(INDEX(维保合同!$I$5:$I$304,MATCH(10,_自动清单!$B$5:$B$304,0)),"")</f>
        <v/>
      </c>
      <c r="I15" s="55" t="str">
        <f aca="true">IF(N($H15)=0,"",$H15-TODAY())</f>
        <v/>
      </c>
      <c r="J15" s="56" t="str">
        <f aca="false">IF($A15="","",TRIM(IFERROR(INDEX(维保合同!$Q$5:$Q$304,MATCH(10,_自动清单!$B$5:$B$304,0))&amp;"","")&amp;" "&amp;IFERROR(INDEX(维保合同!$R$5:$R$304,MATCH(10,_自动清单!$B$5:$B$304,0))&amp;"","")))</f>
        <v/>
      </c>
      <c r="K15" s="57" t="str">
        <f aca="false">IFERROR(INDEX(维保合同!$L$5:$L$304,MATCH(10,_自动清单!$B$5:$B$304,0)),"")</f>
        <v/>
      </c>
      <c r="L15" s="30" t="str">
        <f aca="false">IFERROR(INDEX(维保合同!$W$5:$W$304,MATCH(10,_自动清单!$B$5:$B$304,0))&amp;"","")</f>
        <v/>
      </c>
    </row>
    <row r="16" customFormat="false" ht="15" hidden="false" customHeight="false" outlineLevel="0" collapsed="false">
      <c r="A16" s="29" t="str">
        <f aca="false">IF(11&gt;_自动清单!$B$304,"",11)</f>
        <v/>
      </c>
      <c r="B16" s="53" t="str">
        <f aca="false">IFERROR(INDEX(维保合同!$B$5:$B$304,MATCH(11,_自动清单!$B$5:$B$304,0))&amp;"","")</f>
        <v/>
      </c>
      <c r="C16" s="16" t="str">
        <f aca="false">IFERROR(INDEX(维保合同!$C$5:$C$304,MATCH(11,_自动清单!$B$5:$B$304,0))&amp;"","")</f>
        <v/>
      </c>
      <c r="D16" s="16" t="str">
        <f aca="false">IFERROR(INDEX(维保合同!$D$5:$D$304,MATCH(11,_自动清单!$B$5:$B$304,0))&amp;"","")</f>
        <v/>
      </c>
      <c r="E16" s="53" t="str">
        <f aca="false">IFERROR(INDEX(维保合同!$F$5:$F$304,MATCH(11,_自动清单!$B$5:$B$304,0))&amp;"","")</f>
        <v/>
      </c>
      <c r="F16" s="53" t="str">
        <f aca="false">IFERROR(INDEX(维保合同!$G$5:$G$304,MATCH(11,_自动清单!$B$5:$B$304,0))&amp;"","")</f>
        <v/>
      </c>
      <c r="G16" s="54" t="str">
        <f aca="false">IFERROR(INDEX(维保合同!$H$5:$H$304,MATCH(11,_自动清单!$B$5:$B$304,0)),"")</f>
        <v/>
      </c>
      <c r="H16" s="54" t="str">
        <f aca="false">IFERROR(INDEX(维保合同!$I$5:$I$304,MATCH(11,_自动清单!$B$5:$B$304,0)),"")</f>
        <v/>
      </c>
      <c r="I16" s="55" t="str">
        <f aca="true">IF(N($H16)=0,"",$H16-TODAY())</f>
        <v/>
      </c>
      <c r="J16" s="56" t="str">
        <f aca="false">IF($A16="","",TRIM(IFERROR(INDEX(维保合同!$Q$5:$Q$304,MATCH(11,_自动清单!$B$5:$B$304,0))&amp;"","")&amp;" "&amp;IFERROR(INDEX(维保合同!$R$5:$R$304,MATCH(11,_自动清单!$B$5:$B$304,0))&amp;"","")))</f>
        <v/>
      </c>
      <c r="K16" s="57" t="str">
        <f aca="false">IFERROR(INDEX(维保合同!$L$5:$L$304,MATCH(11,_自动清单!$B$5:$B$304,0)),"")</f>
        <v/>
      </c>
      <c r="L16" s="30" t="str">
        <f aca="false">IFERROR(INDEX(维保合同!$W$5:$W$304,MATCH(11,_自动清单!$B$5:$B$304,0))&amp;"","")</f>
        <v/>
      </c>
    </row>
    <row r="17" customFormat="false" ht="15" hidden="false" customHeight="false" outlineLevel="0" collapsed="false">
      <c r="A17" s="29" t="str">
        <f aca="false">IF(12&gt;_自动清单!$B$304,"",12)</f>
        <v/>
      </c>
      <c r="B17" s="53" t="str">
        <f aca="false">IFERROR(INDEX(维保合同!$B$5:$B$304,MATCH(12,_自动清单!$B$5:$B$304,0))&amp;"","")</f>
        <v/>
      </c>
      <c r="C17" s="16" t="str">
        <f aca="false">IFERROR(INDEX(维保合同!$C$5:$C$304,MATCH(12,_自动清单!$B$5:$B$304,0))&amp;"","")</f>
        <v/>
      </c>
      <c r="D17" s="16" t="str">
        <f aca="false">IFERROR(INDEX(维保合同!$D$5:$D$304,MATCH(12,_自动清单!$B$5:$B$304,0))&amp;"","")</f>
        <v/>
      </c>
      <c r="E17" s="53" t="str">
        <f aca="false">IFERROR(INDEX(维保合同!$F$5:$F$304,MATCH(12,_自动清单!$B$5:$B$304,0))&amp;"","")</f>
        <v/>
      </c>
      <c r="F17" s="53" t="str">
        <f aca="false">IFERROR(INDEX(维保合同!$G$5:$G$304,MATCH(12,_自动清单!$B$5:$B$304,0))&amp;"","")</f>
        <v/>
      </c>
      <c r="G17" s="54" t="str">
        <f aca="false">IFERROR(INDEX(维保合同!$H$5:$H$304,MATCH(12,_自动清单!$B$5:$B$304,0)),"")</f>
        <v/>
      </c>
      <c r="H17" s="54" t="str">
        <f aca="false">IFERROR(INDEX(维保合同!$I$5:$I$304,MATCH(12,_自动清单!$B$5:$B$304,0)),"")</f>
        <v/>
      </c>
      <c r="I17" s="55" t="str">
        <f aca="true">IF(N($H17)=0,"",$H17-TODAY())</f>
        <v/>
      </c>
      <c r="J17" s="56" t="str">
        <f aca="false">IF($A17="","",TRIM(IFERROR(INDEX(维保合同!$Q$5:$Q$304,MATCH(12,_自动清单!$B$5:$B$304,0))&amp;"","")&amp;" "&amp;IFERROR(INDEX(维保合同!$R$5:$R$304,MATCH(12,_自动清单!$B$5:$B$304,0))&amp;"","")))</f>
        <v/>
      </c>
      <c r="K17" s="57" t="str">
        <f aca="false">IFERROR(INDEX(维保合同!$L$5:$L$304,MATCH(12,_自动清单!$B$5:$B$304,0)),"")</f>
        <v/>
      </c>
      <c r="L17" s="30" t="str">
        <f aca="false">IFERROR(INDEX(维保合同!$W$5:$W$304,MATCH(12,_自动清单!$B$5:$B$304,0))&amp;"","")</f>
        <v/>
      </c>
    </row>
    <row r="18" customFormat="false" ht="15" hidden="false" customHeight="false" outlineLevel="0" collapsed="false">
      <c r="A18" s="29" t="str">
        <f aca="false">IF(13&gt;_自动清单!$B$304,"",13)</f>
        <v/>
      </c>
      <c r="B18" s="53" t="str">
        <f aca="false">IFERROR(INDEX(维保合同!$B$5:$B$304,MATCH(13,_自动清单!$B$5:$B$304,0))&amp;"","")</f>
        <v/>
      </c>
      <c r="C18" s="16" t="str">
        <f aca="false">IFERROR(INDEX(维保合同!$C$5:$C$304,MATCH(13,_自动清单!$B$5:$B$304,0))&amp;"","")</f>
        <v/>
      </c>
      <c r="D18" s="16" t="str">
        <f aca="false">IFERROR(INDEX(维保合同!$D$5:$D$304,MATCH(13,_自动清单!$B$5:$B$304,0))&amp;"","")</f>
        <v/>
      </c>
      <c r="E18" s="53" t="str">
        <f aca="false">IFERROR(INDEX(维保合同!$F$5:$F$304,MATCH(13,_自动清单!$B$5:$B$304,0))&amp;"","")</f>
        <v/>
      </c>
      <c r="F18" s="53" t="str">
        <f aca="false">IFERROR(INDEX(维保合同!$G$5:$G$304,MATCH(13,_自动清单!$B$5:$B$304,0))&amp;"","")</f>
        <v/>
      </c>
      <c r="G18" s="54" t="str">
        <f aca="false">IFERROR(INDEX(维保合同!$H$5:$H$304,MATCH(13,_自动清单!$B$5:$B$304,0)),"")</f>
        <v/>
      </c>
      <c r="H18" s="54" t="str">
        <f aca="false">IFERROR(INDEX(维保合同!$I$5:$I$304,MATCH(13,_自动清单!$B$5:$B$304,0)),"")</f>
        <v/>
      </c>
      <c r="I18" s="55" t="str">
        <f aca="true">IF(N($H18)=0,"",$H18-TODAY())</f>
        <v/>
      </c>
      <c r="J18" s="56" t="str">
        <f aca="false">IF($A18="","",TRIM(IFERROR(INDEX(维保合同!$Q$5:$Q$304,MATCH(13,_自动清单!$B$5:$B$304,0))&amp;"","")&amp;" "&amp;IFERROR(INDEX(维保合同!$R$5:$R$304,MATCH(13,_自动清单!$B$5:$B$304,0))&amp;"","")))</f>
        <v/>
      </c>
      <c r="K18" s="57" t="str">
        <f aca="false">IFERROR(INDEX(维保合同!$L$5:$L$304,MATCH(13,_自动清单!$B$5:$B$304,0)),"")</f>
        <v/>
      </c>
      <c r="L18" s="30" t="str">
        <f aca="false">IFERROR(INDEX(维保合同!$W$5:$W$304,MATCH(13,_自动清单!$B$5:$B$304,0))&amp;"","")</f>
        <v/>
      </c>
    </row>
    <row r="19" customFormat="false" ht="15" hidden="false" customHeight="false" outlineLevel="0" collapsed="false">
      <c r="A19" s="29" t="str">
        <f aca="false">IF(14&gt;_自动清单!$B$304,"",14)</f>
        <v/>
      </c>
      <c r="B19" s="53" t="str">
        <f aca="false">IFERROR(INDEX(维保合同!$B$5:$B$304,MATCH(14,_自动清单!$B$5:$B$304,0))&amp;"","")</f>
        <v/>
      </c>
      <c r="C19" s="16" t="str">
        <f aca="false">IFERROR(INDEX(维保合同!$C$5:$C$304,MATCH(14,_自动清单!$B$5:$B$304,0))&amp;"","")</f>
        <v/>
      </c>
      <c r="D19" s="16" t="str">
        <f aca="false">IFERROR(INDEX(维保合同!$D$5:$D$304,MATCH(14,_自动清单!$B$5:$B$304,0))&amp;"","")</f>
        <v/>
      </c>
      <c r="E19" s="53" t="str">
        <f aca="false">IFERROR(INDEX(维保合同!$F$5:$F$304,MATCH(14,_自动清单!$B$5:$B$304,0))&amp;"","")</f>
        <v/>
      </c>
      <c r="F19" s="53" t="str">
        <f aca="false">IFERROR(INDEX(维保合同!$G$5:$G$304,MATCH(14,_自动清单!$B$5:$B$304,0))&amp;"","")</f>
        <v/>
      </c>
      <c r="G19" s="54" t="str">
        <f aca="false">IFERROR(INDEX(维保合同!$H$5:$H$304,MATCH(14,_自动清单!$B$5:$B$304,0)),"")</f>
        <v/>
      </c>
      <c r="H19" s="54" t="str">
        <f aca="false">IFERROR(INDEX(维保合同!$I$5:$I$304,MATCH(14,_自动清单!$B$5:$B$304,0)),"")</f>
        <v/>
      </c>
      <c r="I19" s="55" t="str">
        <f aca="true">IF(N($H19)=0,"",$H19-TODAY())</f>
        <v/>
      </c>
      <c r="J19" s="56" t="str">
        <f aca="false">IF($A19="","",TRIM(IFERROR(INDEX(维保合同!$Q$5:$Q$304,MATCH(14,_自动清单!$B$5:$B$304,0))&amp;"","")&amp;" "&amp;IFERROR(INDEX(维保合同!$R$5:$R$304,MATCH(14,_自动清单!$B$5:$B$304,0))&amp;"","")))</f>
        <v/>
      </c>
      <c r="K19" s="57" t="str">
        <f aca="false">IFERROR(INDEX(维保合同!$L$5:$L$304,MATCH(14,_自动清单!$B$5:$B$304,0)),"")</f>
        <v/>
      </c>
      <c r="L19" s="30" t="str">
        <f aca="false">IFERROR(INDEX(维保合同!$W$5:$W$304,MATCH(14,_自动清单!$B$5:$B$304,0))&amp;"","")</f>
        <v/>
      </c>
    </row>
    <row r="20" customFormat="false" ht="15" hidden="false" customHeight="false" outlineLevel="0" collapsed="false">
      <c r="A20" s="29" t="str">
        <f aca="false">IF(15&gt;_自动清单!$B$304,"",15)</f>
        <v/>
      </c>
      <c r="B20" s="53" t="str">
        <f aca="false">IFERROR(INDEX(维保合同!$B$5:$B$304,MATCH(15,_自动清单!$B$5:$B$304,0))&amp;"","")</f>
        <v/>
      </c>
      <c r="C20" s="16" t="str">
        <f aca="false">IFERROR(INDEX(维保合同!$C$5:$C$304,MATCH(15,_自动清单!$B$5:$B$304,0))&amp;"","")</f>
        <v/>
      </c>
      <c r="D20" s="16" t="str">
        <f aca="false">IFERROR(INDEX(维保合同!$D$5:$D$304,MATCH(15,_自动清单!$B$5:$B$304,0))&amp;"","")</f>
        <v/>
      </c>
      <c r="E20" s="53" t="str">
        <f aca="false">IFERROR(INDEX(维保合同!$F$5:$F$304,MATCH(15,_自动清单!$B$5:$B$304,0))&amp;"","")</f>
        <v/>
      </c>
      <c r="F20" s="53" t="str">
        <f aca="false">IFERROR(INDEX(维保合同!$G$5:$G$304,MATCH(15,_自动清单!$B$5:$B$304,0))&amp;"","")</f>
        <v/>
      </c>
      <c r="G20" s="54" t="str">
        <f aca="false">IFERROR(INDEX(维保合同!$H$5:$H$304,MATCH(15,_自动清单!$B$5:$B$304,0)),"")</f>
        <v/>
      </c>
      <c r="H20" s="54" t="str">
        <f aca="false">IFERROR(INDEX(维保合同!$I$5:$I$304,MATCH(15,_自动清单!$B$5:$B$304,0)),"")</f>
        <v/>
      </c>
      <c r="I20" s="55" t="str">
        <f aca="true">IF(N($H20)=0,"",$H20-TODAY())</f>
        <v/>
      </c>
      <c r="J20" s="56" t="str">
        <f aca="false">IF($A20="","",TRIM(IFERROR(INDEX(维保合同!$Q$5:$Q$304,MATCH(15,_自动清单!$B$5:$B$304,0))&amp;"","")&amp;" "&amp;IFERROR(INDEX(维保合同!$R$5:$R$304,MATCH(15,_自动清单!$B$5:$B$304,0))&amp;"","")))</f>
        <v/>
      </c>
      <c r="K20" s="57" t="str">
        <f aca="false">IFERROR(INDEX(维保合同!$L$5:$L$304,MATCH(15,_自动清单!$B$5:$B$304,0)),"")</f>
        <v/>
      </c>
      <c r="L20" s="30" t="str">
        <f aca="false">IFERROR(INDEX(维保合同!$W$5:$W$304,MATCH(15,_自动清单!$B$5:$B$304,0))&amp;"","")</f>
        <v/>
      </c>
    </row>
    <row r="21" customFormat="false" ht="15" hidden="false" customHeight="false" outlineLevel="0" collapsed="false">
      <c r="A21" s="29" t="str">
        <f aca="false">IF(16&gt;_自动清单!$B$304,"",16)</f>
        <v/>
      </c>
      <c r="B21" s="53" t="str">
        <f aca="false">IFERROR(INDEX(维保合同!$B$5:$B$304,MATCH(16,_自动清单!$B$5:$B$304,0))&amp;"","")</f>
        <v/>
      </c>
      <c r="C21" s="16" t="str">
        <f aca="false">IFERROR(INDEX(维保合同!$C$5:$C$304,MATCH(16,_自动清单!$B$5:$B$304,0))&amp;"","")</f>
        <v/>
      </c>
      <c r="D21" s="16" t="str">
        <f aca="false">IFERROR(INDEX(维保合同!$D$5:$D$304,MATCH(16,_自动清单!$B$5:$B$304,0))&amp;"","")</f>
        <v/>
      </c>
      <c r="E21" s="53" t="str">
        <f aca="false">IFERROR(INDEX(维保合同!$F$5:$F$304,MATCH(16,_自动清单!$B$5:$B$304,0))&amp;"","")</f>
        <v/>
      </c>
      <c r="F21" s="53" t="str">
        <f aca="false">IFERROR(INDEX(维保合同!$G$5:$G$304,MATCH(16,_自动清单!$B$5:$B$304,0))&amp;"","")</f>
        <v/>
      </c>
      <c r="G21" s="54" t="str">
        <f aca="false">IFERROR(INDEX(维保合同!$H$5:$H$304,MATCH(16,_自动清单!$B$5:$B$304,0)),"")</f>
        <v/>
      </c>
      <c r="H21" s="54" t="str">
        <f aca="false">IFERROR(INDEX(维保合同!$I$5:$I$304,MATCH(16,_自动清单!$B$5:$B$304,0)),"")</f>
        <v/>
      </c>
      <c r="I21" s="55" t="str">
        <f aca="true">IF(N($H21)=0,"",$H21-TODAY())</f>
        <v/>
      </c>
      <c r="J21" s="56" t="str">
        <f aca="false">IF($A21="","",TRIM(IFERROR(INDEX(维保合同!$Q$5:$Q$304,MATCH(16,_自动清单!$B$5:$B$304,0))&amp;"","")&amp;" "&amp;IFERROR(INDEX(维保合同!$R$5:$R$304,MATCH(16,_自动清单!$B$5:$B$304,0))&amp;"","")))</f>
        <v/>
      </c>
      <c r="K21" s="57" t="str">
        <f aca="false">IFERROR(INDEX(维保合同!$L$5:$L$304,MATCH(16,_自动清单!$B$5:$B$304,0)),"")</f>
        <v/>
      </c>
      <c r="L21" s="30" t="str">
        <f aca="false">IFERROR(INDEX(维保合同!$W$5:$W$304,MATCH(16,_自动清单!$B$5:$B$304,0))&amp;"","")</f>
        <v/>
      </c>
    </row>
    <row r="22" customFormat="false" ht="15" hidden="false" customHeight="false" outlineLevel="0" collapsed="false">
      <c r="A22" s="29" t="str">
        <f aca="false">IF(17&gt;_自动清单!$B$304,"",17)</f>
        <v/>
      </c>
      <c r="B22" s="53" t="str">
        <f aca="false">IFERROR(INDEX(维保合同!$B$5:$B$304,MATCH(17,_自动清单!$B$5:$B$304,0))&amp;"","")</f>
        <v/>
      </c>
      <c r="C22" s="16" t="str">
        <f aca="false">IFERROR(INDEX(维保合同!$C$5:$C$304,MATCH(17,_自动清单!$B$5:$B$304,0))&amp;"","")</f>
        <v/>
      </c>
      <c r="D22" s="16" t="str">
        <f aca="false">IFERROR(INDEX(维保合同!$D$5:$D$304,MATCH(17,_自动清单!$B$5:$B$304,0))&amp;"","")</f>
        <v/>
      </c>
      <c r="E22" s="53" t="str">
        <f aca="false">IFERROR(INDEX(维保合同!$F$5:$F$304,MATCH(17,_自动清单!$B$5:$B$304,0))&amp;"","")</f>
        <v/>
      </c>
      <c r="F22" s="53" t="str">
        <f aca="false">IFERROR(INDEX(维保合同!$G$5:$G$304,MATCH(17,_自动清单!$B$5:$B$304,0))&amp;"","")</f>
        <v/>
      </c>
      <c r="G22" s="54" t="str">
        <f aca="false">IFERROR(INDEX(维保合同!$H$5:$H$304,MATCH(17,_自动清单!$B$5:$B$304,0)),"")</f>
        <v/>
      </c>
      <c r="H22" s="54" t="str">
        <f aca="false">IFERROR(INDEX(维保合同!$I$5:$I$304,MATCH(17,_自动清单!$B$5:$B$304,0)),"")</f>
        <v/>
      </c>
      <c r="I22" s="55" t="str">
        <f aca="true">IF(N($H22)=0,"",$H22-TODAY())</f>
        <v/>
      </c>
      <c r="J22" s="56" t="str">
        <f aca="false">IF($A22="","",TRIM(IFERROR(INDEX(维保合同!$Q$5:$Q$304,MATCH(17,_自动清单!$B$5:$B$304,0))&amp;"","")&amp;" "&amp;IFERROR(INDEX(维保合同!$R$5:$R$304,MATCH(17,_自动清单!$B$5:$B$304,0))&amp;"","")))</f>
        <v/>
      </c>
      <c r="K22" s="57" t="str">
        <f aca="false">IFERROR(INDEX(维保合同!$L$5:$L$304,MATCH(17,_自动清单!$B$5:$B$304,0)),"")</f>
        <v/>
      </c>
      <c r="L22" s="30" t="str">
        <f aca="false">IFERROR(INDEX(维保合同!$W$5:$W$304,MATCH(17,_自动清单!$B$5:$B$304,0))&amp;"","")</f>
        <v/>
      </c>
    </row>
    <row r="23" customFormat="false" ht="15" hidden="false" customHeight="false" outlineLevel="0" collapsed="false">
      <c r="A23" s="29" t="str">
        <f aca="false">IF(18&gt;_自动清单!$B$304,"",18)</f>
        <v/>
      </c>
      <c r="B23" s="53" t="str">
        <f aca="false">IFERROR(INDEX(维保合同!$B$5:$B$304,MATCH(18,_自动清单!$B$5:$B$304,0))&amp;"","")</f>
        <v/>
      </c>
      <c r="C23" s="16" t="str">
        <f aca="false">IFERROR(INDEX(维保合同!$C$5:$C$304,MATCH(18,_自动清单!$B$5:$B$304,0))&amp;"","")</f>
        <v/>
      </c>
      <c r="D23" s="16" t="str">
        <f aca="false">IFERROR(INDEX(维保合同!$D$5:$D$304,MATCH(18,_自动清单!$B$5:$B$304,0))&amp;"","")</f>
        <v/>
      </c>
      <c r="E23" s="53" t="str">
        <f aca="false">IFERROR(INDEX(维保合同!$F$5:$F$304,MATCH(18,_自动清单!$B$5:$B$304,0))&amp;"","")</f>
        <v/>
      </c>
      <c r="F23" s="53" t="str">
        <f aca="false">IFERROR(INDEX(维保合同!$G$5:$G$304,MATCH(18,_自动清单!$B$5:$B$304,0))&amp;"","")</f>
        <v/>
      </c>
      <c r="G23" s="54" t="str">
        <f aca="false">IFERROR(INDEX(维保合同!$H$5:$H$304,MATCH(18,_自动清单!$B$5:$B$304,0)),"")</f>
        <v/>
      </c>
      <c r="H23" s="54" t="str">
        <f aca="false">IFERROR(INDEX(维保合同!$I$5:$I$304,MATCH(18,_自动清单!$B$5:$B$304,0)),"")</f>
        <v/>
      </c>
      <c r="I23" s="55" t="str">
        <f aca="true">IF(N($H23)=0,"",$H23-TODAY())</f>
        <v/>
      </c>
      <c r="J23" s="56" t="str">
        <f aca="false">IF($A23="","",TRIM(IFERROR(INDEX(维保合同!$Q$5:$Q$304,MATCH(18,_自动清单!$B$5:$B$304,0))&amp;"","")&amp;" "&amp;IFERROR(INDEX(维保合同!$R$5:$R$304,MATCH(18,_自动清单!$B$5:$B$304,0))&amp;"","")))</f>
        <v/>
      </c>
      <c r="K23" s="57" t="str">
        <f aca="false">IFERROR(INDEX(维保合同!$L$5:$L$304,MATCH(18,_自动清单!$B$5:$B$304,0)),"")</f>
        <v/>
      </c>
      <c r="L23" s="30" t="str">
        <f aca="false">IFERROR(INDEX(维保合同!$W$5:$W$304,MATCH(18,_自动清单!$B$5:$B$304,0))&amp;"","")</f>
        <v/>
      </c>
    </row>
    <row r="24" customFormat="false" ht="15" hidden="false" customHeight="false" outlineLevel="0" collapsed="false">
      <c r="A24" s="29" t="str">
        <f aca="false">IF(19&gt;_自动清单!$B$304,"",19)</f>
        <v/>
      </c>
      <c r="B24" s="53" t="str">
        <f aca="false">IFERROR(INDEX(维保合同!$B$5:$B$304,MATCH(19,_自动清单!$B$5:$B$304,0))&amp;"","")</f>
        <v/>
      </c>
      <c r="C24" s="16" t="str">
        <f aca="false">IFERROR(INDEX(维保合同!$C$5:$C$304,MATCH(19,_自动清单!$B$5:$B$304,0))&amp;"","")</f>
        <v/>
      </c>
      <c r="D24" s="16" t="str">
        <f aca="false">IFERROR(INDEX(维保合同!$D$5:$D$304,MATCH(19,_自动清单!$B$5:$B$304,0))&amp;"","")</f>
        <v/>
      </c>
      <c r="E24" s="53" t="str">
        <f aca="false">IFERROR(INDEX(维保合同!$F$5:$F$304,MATCH(19,_自动清单!$B$5:$B$304,0))&amp;"","")</f>
        <v/>
      </c>
      <c r="F24" s="53" t="str">
        <f aca="false">IFERROR(INDEX(维保合同!$G$5:$G$304,MATCH(19,_自动清单!$B$5:$B$304,0))&amp;"","")</f>
        <v/>
      </c>
      <c r="G24" s="54" t="str">
        <f aca="false">IFERROR(INDEX(维保合同!$H$5:$H$304,MATCH(19,_自动清单!$B$5:$B$304,0)),"")</f>
        <v/>
      </c>
      <c r="H24" s="54" t="str">
        <f aca="false">IFERROR(INDEX(维保合同!$I$5:$I$304,MATCH(19,_自动清单!$B$5:$B$304,0)),"")</f>
        <v/>
      </c>
      <c r="I24" s="55" t="str">
        <f aca="true">IF(N($H24)=0,"",$H24-TODAY())</f>
        <v/>
      </c>
      <c r="J24" s="56" t="str">
        <f aca="false">IF($A24="","",TRIM(IFERROR(INDEX(维保合同!$Q$5:$Q$304,MATCH(19,_自动清单!$B$5:$B$304,0))&amp;"","")&amp;" "&amp;IFERROR(INDEX(维保合同!$R$5:$R$304,MATCH(19,_自动清单!$B$5:$B$304,0))&amp;"","")))</f>
        <v/>
      </c>
      <c r="K24" s="57" t="str">
        <f aca="false">IFERROR(INDEX(维保合同!$L$5:$L$304,MATCH(19,_自动清单!$B$5:$B$304,0)),"")</f>
        <v/>
      </c>
      <c r="L24" s="30" t="str">
        <f aca="false">IFERROR(INDEX(维保合同!$W$5:$W$304,MATCH(19,_自动清单!$B$5:$B$304,0))&amp;"","")</f>
        <v/>
      </c>
    </row>
    <row r="25" customFormat="false" ht="15" hidden="false" customHeight="false" outlineLevel="0" collapsed="false">
      <c r="A25" s="29" t="str">
        <f aca="false">IF(20&gt;_自动清单!$B$304,"",20)</f>
        <v/>
      </c>
      <c r="B25" s="53" t="str">
        <f aca="false">IFERROR(INDEX(维保合同!$B$5:$B$304,MATCH(20,_自动清单!$B$5:$B$304,0))&amp;"","")</f>
        <v/>
      </c>
      <c r="C25" s="16" t="str">
        <f aca="false">IFERROR(INDEX(维保合同!$C$5:$C$304,MATCH(20,_自动清单!$B$5:$B$304,0))&amp;"","")</f>
        <v/>
      </c>
      <c r="D25" s="16" t="str">
        <f aca="false">IFERROR(INDEX(维保合同!$D$5:$D$304,MATCH(20,_自动清单!$B$5:$B$304,0))&amp;"","")</f>
        <v/>
      </c>
      <c r="E25" s="53" t="str">
        <f aca="false">IFERROR(INDEX(维保合同!$F$5:$F$304,MATCH(20,_自动清单!$B$5:$B$304,0))&amp;"","")</f>
        <v/>
      </c>
      <c r="F25" s="53" t="str">
        <f aca="false">IFERROR(INDEX(维保合同!$G$5:$G$304,MATCH(20,_自动清单!$B$5:$B$304,0))&amp;"","")</f>
        <v/>
      </c>
      <c r="G25" s="54" t="str">
        <f aca="false">IFERROR(INDEX(维保合同!$H$5:$H$304,MATCH(20,_自动清单!$B$5:$B$304,0)),"")</f>
        <v/>
      </c>
      <c r="H25" s="54" t="str">
        <f aca="false">IFERROR(INDEX(维保合同!$I$5:$I$304,MATCH(20,_自动清单!$B$5:$B$304,0)),"")</f>
        <v/>
      </c>
      <c r="I25" s="55" t="str">
        <f aca="true">IF(N($H25)=0,"",$H25-TODAY())</f>
        <v/>
      </c>
      <c r="J25" s="56" t="str">
        <f aca="false">IF($A25="","",TRIM(IFERROR(INDEX(维保合同!$Q$5:$Q$304,MATCH(20,_自动清单!$B$5:$B$304,0))&amp;"","")&amp;" "&amp;IFERROR(INDEX(维保合同!$R$5:$R$304,MATCH(20,_自动清单!$B$5:$B$304,0))&amp;"","")))</f>
        <v/>
      </c>
      <c r="K25" s="57" t="str">
        <f aca="false">IFERROR(INDEX(维保合同!$L$5:$L$304,MATCH(20,_自动清单!$B$5:$B$304,0)),"")</f>
        <v/>
      </c>
      <c r="L25" s="30" t="str">
        <f aca="false">IFERROR(INDEX(维保合同!$W$5:$W$304,MATCH(20,_自动清单!$B$5:$B$304,0))&amp;"","")</f>
        <v/>
      </c>
    </row>
    <row r="26" customFormat="false" ht="15" hidden="false" customHeight="false" outlineLevel="0" collapsed="false">
      <c r="A26" s="29" t="str">
        <f aca="false">IF(21&gt;_自动清单!$B$304,"",21)</f>
        <v/>
      </c>
      <c r="B26" s="53" t="str">
        <f aca="false">IFERROR(INDEX(维保合同!$B$5:$B$304,MATCH(21,_自动清单!$B$5:$B$304,0))&amp;"","")</f>
        <v/>
      </c>
      <c r="C26" s="16" t="str">
        <f aca="false">IFERROR(INDEX(维保合同!$C$5:$C$304,MATCH(21,_自动清单!$B$5:$B$304,0))&amp;"","")</f>
        <v/>
      </c>
      <c r="D26" s="16" t="str">
        <f aca="false">IFERROR(INDEX(维保合同!$D$5:$D$304,MATCH(21,_自动清单!$B$5:$B$304,0))&amp;"","")</f>
        <v/>
      </c>
      <c r="E26" s="53" t="str">
        <f aca="false">IFERROR(INDEX(维保合同!$F$5:$F$304,MATCH(21,_自动清单!$B$5:$B$304,0))&amp;"","")</f>
        <v/>
      </c>
      <c r="F26" s="53" t="str">
        <f aca="false">IFERROR(INDEX(维保合同!$G$5:$G$304,MATCH(21,_自动清单!$B$5:$B$304,0))&amp;"","")</f>
        <v/>
      </c>
      <c r="G26" s="54" t="str">
        <f aca="false">IFERROR(INDEX(维保合同!$H$5:$H$304,MATCH(21,_自动清单!$B$5:$B$304,0)),"")</f>
        <v/>
      </c>
      <c r="H26" s="54" t="str">
        <f aca="false">IFERROR(INDEX(维保合同!$I$5:$I$304,MATCH(21,_自动清单!$B$5:$B$304,0)),"")</f>
        <v/>
      </c>
      <c r="I26" s="55" t="str">
        <f aca="true">IF(N($H26)=0,"",$H26-TODAY())</f>
        <v/>
      </c>
      <c r="J26" s="56" t="str">
        <f aca="false">IF($A26="","",TRIM(IFERROR(INDEX(维保合同!$Q$5:$Q$304,MATCH(21,_自动清单!$B$5:$B$304,0))&amp;"","")&amp;" "&amp;IFERROR(INDEX(维保合同!$R$5:$R$304,MATCH(21,_自动清单!$B$5:$B$304,0))&amp;"","")))</f>
        <v/>
      </c>
      <c r="K26" s="57" t="str">
        <f aca="false">IFERROR(INDEX(维保合同!$L$5:$L$304,MATCH(21,_自动清单!$B$5:$B$304,0)),"")</f>
        <v/>
      </c>
      <c r="L26" s="30" t="str">
        <f aca="false">IFERROR(INDEX(维保合同!$W$5:$W$304,MATCH(21,_自动清单!$B$5:$B$304,0))&amp;"","")</f>
        <v/>
      </c>
    </row>
    <row r="27" customFormat="false" ht="15" hidden="false" customHeight="false" outlineLevel="0" collapsed="false">
      <c r="A27" s="29" t="str">
        <f aca="false">IF(22&gt;_自动清单!$B$304,"",22)</f>
        <v/>
      </c>
      <c r="B27" s="53" t="str">
        <f aca="false">IFERROR(INDEX(维保合同!$B$5:$B$304,MATCH(22,_自动清单!$B$5:$B$304,0))&amp;"","")</f>
        <v/>
      </c>
      <c r="C27" s="16" t="str">
        <f aca="false">IFERROR(INDEX(维保合同!$C$5:$C$304,MATCH(22,_自动清单!$B$5:$B$304,0))&amp;"","")</f>
        <v/>
      </c>
      <c r="D27" s="16" t="str">
        <f aca="false">IFERROR(INDEX(维保合同!$D$5:$D$304,MATCH(22,_自动清单!$B$5:$B$304,0))&amp;"","")</f>
        <v/>
      </c>
      <c r="E27" s="53" t="str">
        <f aca="false">IFERROR(INDEX(维保合同!$F$5:$F$304,MATCH(22,_自动清单!$B$5:$B$304,0))&amp;"","")</f>
        <v/>
      </c>
      <c r="F27" s="53" t="str">
        <f aca="false">IFERROR(INDEX(维保合同!$G$5:$G$304,MATCH(22,_自动清单!$B$5:$B$304,0))&amp;"","")</f>
        <v/>
      </c>
      <c r="G27" s="54" t="str">
        <f aca="false">IFERROR(INDEX(维保合同!$H$5:$H$304,MATCH(22,_自动清单!$B$5:$B$304,0)),"")</f>
        <v/>
      </c>
      <c r="H27" s="54" t="str">
        <f aca="false">IFERROR(INDEX(维保合同!$I$5:$I$304,MATCH(22,_自动清单!$B$5:$B$304,0)),"")</f>
        <v/>
      </c>
      <c r="I27" s="55" t="str">
        <f aca="true">IF(N($H27)=0,"",$H27-TODAY())</f>
        <v/>
      </c>
      <c r="J27" s="56" t="str">
        <f aca="false">IF($A27="","",TRIM(IFERROR(INDEX(维保合同!$Q$5:$Q$304,MATCH(22,_自动清单!$B$5:$B$304,0))&amp;"","")&amp;" "&amp;IFERROR(INDEX(维保合同!$R$5:$R$304,MATCH(22,_自动清单!$B$5:$B$304,0))&amp;"","")))</f>
        <v/>
      </c>
      <c r="K27" s="57" t="str">
        <f aca="false">IFERROR(INDEX(维保合同!$L$5:$L$304,MATCH(22,_自动清单!$B$5:$B$304,0)),"")</f>
        <v/>
      </c>
      <c r="L27" s="30" t="str">
        <f aca="false">IFERROR(INDEX(维保合同!$W$5:$W$304,MATCH(22,_自动清单!$B$5:$B$304,0))&amp;"","")</f>
        <v/>
      </c>
    </row>
    <row r="28" customFormat="false" ht="15" hidden="false" customHeight="false" outlineLevel="0" collapsed="false">
      <c r="A28" s="29" t="str">
        <f aca="false">IF(23&gt;_自动清单!$B$304,"",23)</f>
        <v/>
      </c>
      <c r="B28" s="53" t="str">
        <f aca="false">IFERROR(INDEX(维保合同!$B$5:$B$304,MATCH(23,_自动清单!$B$5:$B$304,0))&amp;"","")</f>
        <v/>
      </c>
      <c r="C28" s="16" t="str">
        <f aca="false">IFERROR(INDEX(维保合同!$C$5:$C$304,MATCH(23,_自动清单!$B$5:$B$304,0))&amp;"","")</f>
        <v/>
      </c>
      <c r="D28" s="16" t="str">
        <f aca="false">IFERROR(INDEX(维保合同!$D$5:$D$304,MATCH(23,_自动清单!$B$5:$B$304,0))&amp;"","")</f>
        <v/>
      </c>
      <c r="E28" s="53" t="str">
        <f aca="false">IFERROR(INDEX(维保合同!$F$5:$F$304,MATCH(23,_自动清单!$B$5:$B$304,0))&amp;"","")</f>
        <v/>
      </c>
      <c r="F28" s="53" t="str">
        <f aca="false">IFERROR(INDEX(维保合同!$G$5:$G$304,MATCH(23,_自动清单!$B$5:$B$304,0))&amp;"","")</f>
        <v/>
      </c>
      <c r="G28" s="54" t="str">
        <f aca="false">IFERROR(INDEX(维保合同!$H$5:$H$304,MATCH(23,_自动清单!$B$5:$B$304,0)),"")</f>
        <v/>
      </c>
      <c r="H28" s="54" t="str">
        <f aca="false">IFERROR(INDEX(维保合同!$I$5:$I$304,MATCH(23,_自动清单!$B$5:$B$304,0)),"")</f>
        <v/>
      </c>
      <c r="I28" s="55" t="str">
        <f aca="true">IF(N($H28)=0,"",$H28-TODAY())</f>
        <v/>
      </c>
      <c r="J28" s="56" t="str">
        <f aca="false">IF($A28="","",TRIM(IFERROR(INDEX(维保合同!$Q$5:$Q$304,MATCH(23,_自动清单!$B$5:$B$304,0))&amp;"","")&amp;" "&amp;IFERROR(INDEX(维保合同!$R$5:$R$304,MATCH(23,_自动清单!$B$5:$B$304,0))&amp;"","")))</f>
        <v/>
      </c>
      <c r="K28" s="57" t="str">
        <f aca="false">IFERROR(INDEX(维保合同!$L$5:$L$304,MATCH(23,_自动清单!$B$5:$B$304,0)),"")</f>
        <v/>
      </c>
      <c r="L28" s="30" t="str">
        <f aca="false">IFERROR(INDEX(维保合同!$W$5:$W$304,MATCH(23,_自动清单!$B$5:$B$304,0))&amp;"","")</f>
        <v/>
      </c>
    </row>
    <row r="29" customFormat="false" ht="15" hidden="false" customHeight="false" outlineLevel="0" collapsed="false">
      <c r="A29" s="29" t="str">
        <f aca="false">IF(24&gt;_自动清单!$B$304,"",24)</f>
        <v/>
      </c>
      <c r="B29" s="53" t="str">
        <f aca="false">IFERROR(INDEX(维保合同!$B$5:$B$304,MATCH(24,_自动清单!$B$5:$B$304,0))&amp;"","")</f>
        <v/>
      </c>
      <c r="C29" s="16" t="str">
        <f aca="false">IFERROR(INDEX(维保合同!$C$5:$C$304,MATCH(24,_自动清单!$B$5:$B$304,0))&amp;"","")</f>
        <v/>
      </c>
      <c r="D29" s="16" t="str">
        <f aca="false">IFERROR(INDEX(维保合同!$D$5:$D$304,MATCH(24,_自动清单!$B$5:$B$304,0))&amp;"","")</f>
        <v/>
      </c>
      <c r="E29" s="53" t="str">
        <f aca="false">IFERROR(INDEX(维保合同!$F$5:$F$304,MATCH(24,_自动清单!$B$5:$B$304,0))&amp;"","")</f>
        <v/>
      </c>
      <c r="F29" s="53" t="str">
        <f aca="false">IFERROR(INDEX(维保合同!$G$5:$G$304,MATCH(24,_自动清单!$B$5:$B$304,0))&amp;"","")</f>
        <v/>
      </c>
      <c r="G29" s="54" t="str">
        <f aca="false">IFERROR(INDEX(维保合同!$H$5:$H$304,MATCH(24,_自动清单!$B$5:$B$304,0)),"")</f>
        <v/>
      </c>
      <c r="H29" s="54" t="str">
        <f aca="false">IFERROR(INDEX(维保合同!$I$5:$I$304,MATCH(24,_自动清单!$B$5:$B$304,0)),"")</f>
        <v/>
      </c>
      <c r="I29" s="55" t="str">
        <f aca="true">IF(N($H29)=0,"",$H29-TODAY())</f>
        <v/>
      </c>
      <c r="J29" s="56" t="str">
        <f aca="false">IF($A29="","",TRIM(IFERROR(INDEX(维保合同!$Q$5:$Q$304,MATCH(24,_自动清单!$B$5:$B$304,0))&amp;"","")&amp;" "&amp;IFERROR(INDEX(维保合同!$R$5:$R$304,MATCH(24,_自动清单!$B$5:$B$304,0))&amp;"","")))</f>
        <v/>
      </c>
      <c r="K29" s="57" t="str">
        <f aca="false">IFERROR(INDEX(维保合同!$L$5:$L$304,MATCH(24,_自动清单!$B$5:$B$304,0)),"")</f>
        <v/>
      </c>
      <c r="L29" s="30" t="str">
        <f aca="false">IFERROR(INDEX(维保合同!$W$5:$W$304,MATCH(24,_自动清单!$B$5:$B$304,0))&amp;"","")</f>
        <v/>
      </c>
    </row>
    <row r="30" customFormat="false" ht="15" hidden="false" customHeight="false" outlineLevel="0" collapsed="false">
      <c r="A30" s="29" t="str">
        <f aca="false">IF(25&gt;_自动清单!$B$304,"",25)</f>
        <v/>
      </c>
      <c r="B30" s="53" t="str">
        <f aca="false">IFERROR(INDEX(维保合同!$B$5:$B$304,MATCH(25,_自动清单!$B$5:$B$304,0))&amp;"","")</f>
        <v/>
      </c>
      <c r="C30" s="16" t="str">
        <f aca="false">IFERROR(INDEX(维保合同!$C$5:$C$304,MATCH(25,_自动清单!$B$5:$B$304,0))&amp;"","")</f>
        <v/>
      </c>
      <c r="D30" s="16" t="str">
        <f aca="false">IFERROR(INDEX(维保合同!$D$5:$D$304,MATCH(25,_自动清单!$B$5:$B$304,0))&amp;"","")</f>
        <v/>
      </c>
      <c r="E30" s="53" t="str">
        <f aca="false">IFERROR(INDEX(维保合同!$F$5:$F$304,MATCH(25,_自动清单!$B$5:$B$304,0))&amp;"","")</f>
        <v/>
      </c>
      <c r="F30" s="53" t="str">
        <f aca="false">IFERROR(INDEX(维保合同!$G$5:$G$304,MATCH(25,_自动清单!$B$5:$B$304,0))&amp;"","")</f>
        <v/>
      </c>
      <c r="G30" s="54" t="str">
        <f aca="false">IFERROR(INDEX(维保合同!$H$5:$H$304,MATCH(25,_自动清单!$B$5:$B$304,0)),"")</f>
        <v/>
      </c>
      <c r="H30" s="54" t="str">
        <f aca="false">IFERROR(INDEX(维保合同!$I$5:$I$304,MATCH(25,_自动清单!$B$5:$B$304,0)),"")</f>
        <v/>
      </c>
      <c r="I30" s="55" t="str">
        <f aca="true">IF(N($H30)=0,"",$H30-TODAY())</f>
        <v/>
      </c>
      <c r="J30" s="56" t="str">
        <f aca="false">IF($A30="","",TRIM(IFERROR(INDEX(维保合同!$Q$5:$Q$304,MATCH(25,_自动清单!$B$5:$B$304,0))&amp;"","")&amp;" "&amp;IFERROR(INDEX(维保合同!$R$5:$R$304,MATCH(25,_自动清单!$B$5:$B$304,0))&amp;"","")))</f>
        <v/>
      </c>
      <c r="K30" s="57" t="str">
        <f aca="false">IFERROR(INDEX(维保合同!$L$5:$L$304,MATCH(25,_自动清单!$B$5:$B$304,0)),"")</f>
        <v/>
      </c>
      <c r="L30" s="30" t="str">
        <f aca="false">IFERROR(INDEX(维保合同!$W$5:$W$304,MATCH(25,_自动清单!$B$5:$B$304,0))&amp;"","")</f>
        <v/>
      </c>
    </row>
    <row r="31" customFormat="false" ht="15" hidden="false" customHeight="false" outlineLevel="0" collapsed="false">
      <c r="A31" s="29" t="str">
        <f aca="false">IF(26&gt;_自动清单!$B$304,"",26)</f>
        <v/>
      </c>
      <c r="B31" s="53" t="str">
        <f aca="false">IFERROR(INDEX(维保合同!$B$5:$B$304,MATCH(26,_自动清单!$B$5:$B$304,0))&amp;"","")</f>
        <v/>
      </c>
      <c r="C31" s="16" t="str">
        <f aca="false">IFERROR(INDEX(维保合同!$C$5:$C$304,MATCH(26,_自动清单!$B$5:$B$304,0))&amp;"","")</f>
        <v/>
      </c>
      <c r="D31" s="16" t="str">
        <f aca="false">IFERROR(INDEX(维保合同!$D$5:$D$304,MATCH(26,_自动清单!$B$5:$B$304,0))&amp;"","")</f>
        <v/>
      </c>
      <c r="E31" s="53" t="str">
        <f aca="false">IFERROR(INDEX(维保合同!$F$5:$F$304,MATCH(26,_自动清单!$B$5:$B$304,0))&amp;"","")</f>
        <v/>
      </c>
      <c r="F31" s="53" t="str">
        <f aca="false">IFERROR(INDEX(维保合同!$G$5:$G$304,MATCH(26,_自动清单!$B$5:$B$304,0))&amp;"","")</f>
        <v/>
      </c>
      <c r="G31" s="54" t="str">
        <f aca="false">IFERROR(INDEX(维保合同!$H$5:$H$304,MATCH(26,_自动清单!$B$5:$B$304,0)),"")</f>
        <v/>
      </c>
      <c r="H31" s="54" t="str">
        <f aca="false">IFERROR(INDEX(维保合同!$I$5:$I$304,MATCH(26,_自动清单!$B$5:$B$304,0)),"")</f>
        <v/>
      </c>
      <c r="I31" s="55" t="str">
        <f aca="true">IF(N($H31)=0,"",$H31-TODAY())</f>
        <v/>
      </c>
      <c r="J31" s="56" t="str">
        <f aca="false">IF($A31="","",TRIM(IFERROR(INDEX(维保合同!$Q$5:$Q$304,MATCH(26,_自动清单!$B$5:$B$304,0))&amp;"","")&amp;" "&amp;IFERROR(INDEX(维保合同!$R$5:$R$304,MATCH(26,_自动清单!$B$5:$B$304,0))&amp;"","")))</f>
        <v/>
      </c>
      <c r="K31" s="57" t="str">
        <f aca="false">IFERROR(INDEX(维保合同!$L$5:$L$304,MATCH(26,_自动清单!$B$5:$B$304,0)),"")</f>
        <v/>
      </c>
      <c r="L31" s="30" t="str">
        <f aca="false">IFERROR(INDEX(维保合同!$W$5:$W$304,MATCH(26,_自动清单!$B$5:$B$304,0))&amp;"","")</f>
        <v/>
      </c>
    </row>
    <row r="32" customFormat="false" ht="15" hidden="false" customHeight="false" outlineLevel="0" collapsed="false">
      <c r="A32" s="29" t="str">
        <f aca="false">IF(27&gt;_自动清单!$B$304,"",27)</f>
        <v/>
      </c>
      <c r="B32" s="53" t="str">
        <f aca="false">IFERROR(INDEX(维保合同!$B$5:$B$304,MATCH(27,_自动清单!$B$5:$B$304,0))&amp;"","")</f>
        <v/>
      </c>
      <c r="C32" s="16" t="str">
        <f aca="false">IFERROR(INDEX(维保合同!$C$5:$C$304,MATCH(27,_自动清单!$B$5:$B$304,0))&amp;"","")</f>
        <v/>
      </c>
      <c r="D32" s="16" t="str">
        <f aca="false">IFERROR(INDEX(维保合同!$D$5:$D$304,MATCH(27,_自动清单!$B$5:$B$304,0))&amp;"","")</f>
        <v/>
      </c>
      <c r="E32" s="53" t="str">
        <f aca="false">IFERROR(INDEX(维保合同!$F$5:$F$304,MATCH(27,_自动清单!$B$5:$B$304,0))&amp;"","")</f>
        <v/>
      </c>
      <c r="F32" s="53" t="str">
        <f aca="false">IFERROR(INDEX(维保合同!$G$5:$G$304,MATCH(27,_自动清单!$B$5:$B$304,0))&amp;"","")</f>
        <v/>
      </c>
      <c r="G32" s="54" t="str">
        <f aca="false">IFERROR(INDEX(维保合同!$H$5:$H$304,MATCH(27,_自动清单!$B$5:$B$304,0)),"")</f>
        <v/>
      </c>
      <c r="H32" s="54" t="str">
        <f aca="false">IFERROR(INDEX(维保合同!$I$5:$I$304,MATCH(27,_自动清单!$B$5:$B$304,0)),"")</f>
        <v/>
      </c>
      <c r="I32" s="55" t="str">
        <f aca="true">IF(N($H32)=0,"",$H32-TODAY())</f>
        <v/>
      </c>
      <c r="J32" s="56" t="str">
        <f aca="false">IF($A32="","",TRIM(IFERROR(INDEX(维保合同!$Q$5:$Q$304,MATCH(27,_自动清单!$B$5:$B$304,0))&amp;"","")&amp;" "&amp;IFERROR(INDEX(维保合同!$R$5:$R$304,MATCH(27,_自动清单!$B$5:$B$304,0))&amp;"","")))</f>
        <v/>
      </c>
      <c r="K32" s="57" t="str">
        <f aca="false">IFERROR(INDEX(维保合同!$L$5:$L$304,MATCH(27,_自动清单!$B$5:$B$304,0)),"")</f>
        <v/>
      </c>
      <c r="L32" s="30" t="str">
        <f aca="false">IFERROR(INDEX(维保合同!$W$5:$W$304,MATCH(27,_自动清单!$B$5:$B$304,0))&amp;"","")</f>
        <v/>
      </c>
    </row>
    <row r="33" customFormat="false" ht="15" hidden="false" customHeight="false" outlineLevel="0" collapsed="false">
      <c r="A33" s="29" t="str">
        <f aca="false">IF(28&gt;_自动清单!$B$304,"",28)</f>
        <v/>
      </c>
      <c r="B33" s="53" t="str">
        <f aca="false">IFERROR(INDEX(维保合同!$B$5:$B$304,MATCH(28,_自动清单!$B$5:$B$304,0))&amp;"","")</f>
        <v/>
      </c>
      <c r="C33" s="16" t="str">
        <f aca="false">IFERROR(INDEX(维保合同!$C$5:$C$304,MATCH(28,_自动清单!$B$5:$B$304,0))&amp;"","")</f>
        <v/>
      </c>
      <c r="D33" s="16" t="str">
        <f aca="false">IFERROR(INDEX(维保合同!$D$5:$D$304,MATCH(28,_自动清单!$B$5:$B$304,0))&amp;"","")</f>
        <v/>
      </c>
      <c r="E33" s="53" t="str">
        <f aca="false">IFERROR(INDEX(维保合同!$F$5:$F$304,MATCH(28,_自动清单!$B$5:$B$304,0))&amp;"","")</f>
        <v/>
      </c>
      <c r="F33" s="53" t="str">
        <f aca="false">IFERROR(INDEX(维保合同!$G$5:$G$304,MATCH(28,_自动清单!$B$5:$B$304,0))&amp;"","")</f>
        <v/>
      </c>
      <c r="G33" s="54" t="str">
        <f aca="false">IFERROR(INDEX(维保合同!$H$5:$H$304,MATCH(28,_自动清单!$B$5:$B$304,0)),"")</f>
        <v/>
      </c>
      <c r="H33" s="54" t="str">
        <f aca="false">IFERROR(INDEX(维保合同!$I$5:$I$304,MATCH(28,_自动清单!$B$5:$B$304,0)),"")</f>
        <v/>
      </c>
      <c r="I33" s="55" t="str">
        <f aca="true">IF(N($H33)=0,"",$H33-TODAY())</f>
        <v/>
      </c>
      <c r="J33" s="56" t="str">
        <f aca="false">IF($A33="","",TRIM(IFERROR(INDEX(维保合同!$Q$5:$Q$304,MATCH(28,_自动清单!$B$5:$B$304,0))&amp;"","")&amp;" "&amp;IFERROR(INDEX(维保合同!$R$5:$R$304,MATCH(28,_自动清单!$B$5:$B$304,0))&amp;"","")))</f>
        <v/>
      </c>
      <c r="K33" s="57" t="str">
        <f aca="false">IFERROR(INDEX(维保合同!$L$5:$L$304,MATCH(28,_自动清单!$B$5:$B$304,0)),"")</f>
        <v/>
      </c>
      <c r="L33" s="30" t="str">
        <f aca="false">IFERROR(INDEX(维保合同!$W$5:$W$304,MATCH(28,_自动清单!$B$5:$B$304,0))&amp;"","")</f>
        <v/>
      </c>
    </row>
    <row r="34" customFormat="false" ht="15" hidden="false" customHeight="false" outlineLevel="0" collapsed="false">
      <c r="A34" s="29" t="str">
        <f aca="false">IF(29&gt;_自动清单!$B$304,"",29)</f>
        <v/>
      </c>
      <c r="B34" s="53" t="str">
        <f aca="false">IFERROR(INDEX(维保合同!$B$5:$B$304,MATCH(29,_自动清单!$B$5:$B$304,0))&amp;"","")</f>
        <v/>
      </c>
      <c r="C34" s="16" t="str">
        <f aca="false">IFERROR(INDEX(维保合同!$C$5:$C$304,MATCH(29,_自动清单!$B$5:$B$304,0))&amp;"","")</f>
        <v/>
      </c>
      <c r="D34" s="16" t="str">
        <f aca="false">IFERROR(INDEX(维保合同!$D$5:$D$304,MATCH(29,_自动清单!$B$5:$B$304,0))&amp;"","")</f>
        <v/>
      </c>
      <c r="E34" s="53" t="str">
        <f aca="false">IFERROR(INDEX(维保合同!$F$5:$F$304,MATCH(29,_自动清单!$B$5:$B$304,0))&amp;"","")</f>
        <v/>
      </c>
      <c r="F34" s="53" t="str">
        <f aca="false">IFERROR(INDEX(维保合同!$G$5:$G$304,MATCH(29,_自动清单!$B$5:$B$304,0))&amp;"","")</f>
        <v/>
      </c>
      <c r="G34" s="54" t="str">
        <f aca="false">IFERROR(INDEX(维保合同!$H$5:$H$304,MATCH(29,_自动清单!$B$5:$B$304,0)),"")</f>
        <v/>
      </c>
      <c r="H34" s="54" t="str">
        <f aca="false">IFERROR(INDEX(维保合同!$I$5:$I$304,MATCH(29,_自动清单!$B$5:$B$304,0)),"")</f>
        <v/>
      </c>
      <c r="I34" s="55" t="str">
        <f aca="true">IF(N($H34)=0,"",$H34-TODAY())</f>
        <v/>
      </c>
      <c r="J34" s="56" t="str">
        <f aca="false">IF($A34="","",TRIM(IFERROR(INDEX(维保合同!$Q$5:$Q$304,MATCH(29,_自动清单!$B$5:$B$304,0))&amp;"","")&amp;" "&amp;IFERROR(INDEX(维保合同!$R$5:$R$304,MATCH(29,_自动清单!$B$5:$B$304,0))&amp;"","")))</f>
        <v/>
      </c>
      <c r="K34" s="57" t="str">
        <f aca="false">IFERROR(INDEX(维保合同!$L$5:$L$304,MATCH(29,_自动清单!$B$5:$B$304,0)),"")</f>
        <v/>
      </c>
      <c r="L34" s="30" t="str">
        <f aca="false">IFERROR(INDEX(维保合同!$W$5:$W$304,MATCH(29,_自动清单!$B$5:$B$304,0))&amp;"","")</f>
        <v/>
      </c>
    </row>
    <row r="35" customFormat="false" ht="15" hidden="false" customHeight="false" outlineLevel="0" collapsed="false">
      <c r="A35" s="29" t="str">
        <f aca="false">IF(30&gt;_自动清单!$B$304,"",30)</f>
        <v/>
      </c>
      <c r="B35" s="53" t="str">
        <f aca="false">IFERROR(INDEX(维保合同!$B$5:$B$304,MATCH(30,_自动清单!$B$5:$B$304,0))&amp;"","")</f>
        <v/>
      </c>
      <c r="C35" s="16" t="str">
        <f aca="false">IFERROR(INDEX(维保合同!$C$5:$C$304,MATCH(30,_自动清单!$B$5:$B$304,0))&amp;"","")</f>
        <v/>
      </c>
      <c r="D35" s="16" t="str">
        <f aca="false">IFERROR(INDEX(维保合同!$D$5:$D$304,MATCH(30,_自动清单!$B$5:$B$304,0))&amp;"","")</f>
        <v/>
      </c>
      <c r="E35" s="53" t="str">
        <f aca="false">IFERROR(INDEX(维保合同!$F$5:$F$304,MATCH(30,_自动清单!$B$5:$B$304,0))&amp;"","")</f>
        <v/>
      </c>
      <c r="F35" s="53" t="str">
        <f aca="false">IFERROR(INDEX(维保合同!$G$5:$G$304,MATCH(30,_自动清单!$B$5:$B$304,0))&amp;"","")</f>
        <v/>
      </c>
      <c r="G35" s="54" t="str">
        <f aca="false">IFERROR(INDEX(维保合同!$H$5:$H$304,MATCH(30,_自动清单!$B$5:$B$304,0)),"")</f>
        <v/>
      </c>
      <c r="H35" s="54" t="str">
        <f aca="false">IFERROR(INDEX(维保合同!$I$5:$I$304,MATCH(30,_自动清单!$B$5:$B$304,0)),"")</f>
        <v/>
      </c>
      <c r="I35" s="55" t="str">
        <f aca="true">IF(N($H35)=0,"",$H35-TODAY())</f>
        <v/>
      </c>
      <c r="J35" s="56" t="str">
        <f aca="false">IF($A35="","",TRIM(IFERROR(INDEX(维保合同!$Q$5:$Q$304,MATCH(30,_自动清单!$B$5:$B$304,0))&amp;"","")&amp;" "&amp;IFERROR(INDEX(维保合同!$R$5:$R$304,MATCH(30,_自动清单!$B$5:$B$304,0))&amp;"","")))</f>
        <v/>
      </c>
      <c r="K35" s="57" t="str">
        <f aca="false">IFERROR(INDEX(维保合同!$L$5:$L$304,MATCH(30,_自动清单!$B$5:$B$304,0)),"")</f>
        <v/>
      </c>
      <c r="L35" s="30" t="str">
        <f aca="false">IFERROR(INDEX(维保合同!$W$5:$W$304,MATCH(30,_自动清单!$B$5:$B$304,0))&amp;"","")</f>
        <v/>
      </c>
    </row>
    <row r="36" customFormat="false" ht="15" hidden="false" customHeight="false" outlineLevel="0" collapsed="false">
      <c r="A36" s="29" t="str">
        <f aca="false">IF(31&gt;_自动清单!$B$304,"",31)</f>
        <v/>
      </c>
      <c r="B36" s="53" t="str">
        <f aca="false">IFERROR(INDEX(维保合同!$B$5:$B$304,MATCH(31,_自动清单!$B$5:$B$304,0))&amp;"","")</f>
        <v/>
      </c>
      <c r="C36" s="16" t="str">
        <f aca="false">IFERROR(INDEX(维保合同!$C$5:$C$304,MATCH(31,_自动清单!$B$5:$B$304,0))&amp;"","")</f>
        <v/>
      </c>
      <c r="D36" s="16" t="str">
        <f aca="false">IFERROR(INDEX(维保合同!$D$5:$D$304,MATCH(31,_自动清单!$B$5:$B$304,0))&amp;"","")</f>
        <v/>
      </c>
      <c r="E36" s="53" t="str">
        <f aca="false">IFERROR(INDEX(维保合同!$F$5:$F$304,MATCH(31,_自动清单!$B$5:$B$304,0))&amp;"","")</f>
        <v/>
      </c>
      <c r="F36" s="53" t="str">
        <f aca="false">IFERROR(INDEX(维保合同!$G$5:$G$304,MATCH(31,_自动清单!$B$5:$B$304,0))&amp;"","")</f>
        <v/>
      </c>
      <c r="G36" s="54" t="str">
        <f aca="false">IFERROR(INDEX(维保合同!$H$5:$H$304,MATCH(31,_自动清单!$B$5:$B$304,0)),"")</f>
        <v/>
      </c>
      <c r="H36" s="54" t="str">
        <f aca="false">IFERROR(INDEX(维保合同!$I$5:$I$304,MATCH(31,_自动清单!$B$5:$B$304,0)),"")</f>
        <v/>
      </c>
      <c r="I36" s="55" t="str">
        <f aca="true">IF(N($H36)=0,"",$H36-TODAY())</f>
        <v/>
      </c>
      <c r="J36" s="56" t="str">
        <f aca="false">IF($A36="","",TRIM(IFERROR(INDEX(维保合同!$Q$5:$Q$304,MATCH(31,_自动清单!$B$5:$B$304,0))&amp;"","")&amp;" "&amp;IFERROR(INDEX(维保合同!$R$5:$R$304,MATCH(31,_自动清单!$B$5:$B$304,0))&amp;"","")))</f>
        <v/>
      </c>
      <c r="K36" s="57" t="str">
        <f aca="false">IFERROR(INDEX(维保合同!$L$5:$L$304,MATCH(31,_自动清单!$B$5:$B$304,0)),"")</f>
        <v/>
      </c>
      <c r="L36" s="30" t="str">
        <f aca="false">IFERROR(INDEX(维保合同!$W$5:$W$304,MATCH(31,_自动清单!$B$5:$B$304,0))&amp;"","")</f>
        <v/>
      </c>
    </row>
    <row r="37" customFormat="false" ht="15" hidden="false" customHeight="false" outlineLevel="0" collapsed="false">
      <c r="A37" s="29" t="str">
        <f aca="false">IF(32&gt;_自动清单!$B$304,"",32)</f>
        <v/>
      </c>
      <c r="B37" s="53" t="str">
        <f aca="false">IFERROR(INDEX(维保合同!$B$5:$B$304,MATCH(32,_自动清单!$B$5:$B$304,0))&amp;"","")</f>
        <v/>
      </c>
      <c r="C37" s="16" t="str">
        <f aca="false">IFERROR(INDEX(维保合同!$C$5:$C$304,MATCH(32,_自动清单!$B$5:$B$304,0))&amp;"","")</f>
        <v/>
      </c>
      <c r="D37" s="16" t="str">
        <f aca="false">IFERROR(INDEX(维保合同!$D$5:$D$304,MATCH(32,_自动清单!$B$5:$B$304,0))&amp;"","")</f>
        <v/>
      </c>
      <c r="E37" s="53" t="str">
        <f aca="false">IFERROR(INDEX(维保合同!$F$5:$F$304,MATCH(32,_自动清单!$B$5:$B$304,0))&amp;"","")</f>
        <v/>
      </c>
      <c r="F37" s="53" t="str">
        <f aca="false">IFERROR(INDEX(维保合同!$G$5:$G$304,MATCH(32,_自动清单!$B$5:$B$304,0))&amp;"","")</f>
        <v/>
      </c>
      <c r="G37" s="54" t="str">
        <f aca="false">IFERROR(INDEX(维保合同!$H$5:$H$304,MATCH(32,_自动清单!$B$5:$B$304,0)),"")</f>
        <v/>
      </c>
      <c r="H37" s="54" t="str">
        <f aca="false">IFERROR(INDEX(维保合同!$I$5:$I$304,MATCH(32,_自动清单!$B$5:$B$304,0)),"")</f>
        <v/>
      </c>
      <c r="I37" s="55" t="str">
        <f aca="true">IF(N($H37)=0,"",$H37-TODAY())</f>
        <v/>
      </c>
      <c r="J37" s="56" t="str">
        <f aca="false">IF($A37="","",TRIM(IFERROR(INDEX(维保合同!$Q$5:$Q$304,MATCH(32,_自动清单!$B$5:$B$304,0))&amp;"","")&amp;" "&amp;IFERROR(INDEX(维保合同!$R$5:$R$304,MATCH(32,_自动清单!$B$5:$B$304,0))&amp;"","")))</f>
        <v/>
      </c>
      <c r="K37" s="57" t="str">
        <f aca="false">IFERROR(INDEX(维保合同!$L$5:$L$304,MATCH(32,_自动清单!$B$5:$B$304,0)),"")</f>
        <v/>
      </c>
      <c r="L37" s="30" t="str">
        <f aca="false">IFERROR(INDEX(维保合同!$W$5:$W$304,MATCH(32,_自动清单!$B$5:$B$304,0))&amp;"","")</f>
        <v/>
      </c>
    </row>
    <row r="38" customFormat="false" ht="15" hidden="false" customHeight="false" outlineLevel="0" collapsed="false">
      <c r="A38" s="29" t="str">
        <f aca="false">IF(33&gt;_自动清单!$B$304,"",33)</f>
        <v/>
      </c>
      <c r="B38" s="53" t="str">
        <f aca="false">IFERROR(INDEX(维保合同!$B$5:$B$304,MATCH(33,_自动清单!$B$5:$B$304,0))&amp;"","")</f>
        <v/>
      </c>
      <c r="C38" s="16" t="str">
        <f aca="false">IFERROR(INDEX(维保合同!$C$5:$C$304,MATCH(33,_自动清单!$B$5:$B$304,0))&amp;"","")</f>
        <v/>
      </c>
      <c r="D38" s="16" t="str">
        <f aca="false">IFERROR(INDEX(维保合同!$D$5:$D$304,MATCH(33,_自动清单!$B$5:$B$304,0))&amp;"","")</f>
        <v/>
      </c>
      <c r="E38" s="53" t="str">
        <f aca="false">IFERROR(INDEX(维保合同!$F$5:$F$304,MATCH(33,_自动清单!$B$5:$B$304,0))&amp;"","")</f>
        <v/>
      </c>
      <c r="F38" s="53" t="str">
        <f aca="false">IFERROR(INDEX(维保合同!$G$5:$G$304,MATCH(33,_自动清单!$B$5:$B$304,0))&amp;"","")</f>
        <v/>
      </c>
      <c r="G38" s="54" t="str">
        <f aca="false">IFERROR(INDEX(维保合同!$H$5:$H$304,MATCH(33,_自动清单!$B$5:$B$304,0)),"")</f>
        <v/>
      </c>
      <c r="H38" s="54" t="str">
        <f aca="false">IFERROR(INDEX(维保合同!$I$5:$I$304,MATCH(33,_自动清单!$B$5:$B$304,0)),"")</f>
        <v/>
      </c>
      <c r="I38" s="55" t="str">
        <f aca="true">IF(N($H38)=0,"",$H38-TODAY())</f>
        <v/>
      </c>
      <c r="J38" s="56" t="str">
        <f aca="false">IF($A38="","",TRIM(IFERROR(INDEX(维保合同!$Q$5:$Q$304,MATCH(33,_自动清单!$B$5:$B$304,0))&amp;"","")&amp;" "&amp;IFERROR(INDEX(维保合同!$R$5:$R$304,MATCH(33,_自动清单!$B$5:$B$304,0))&amp;"","")))</f>
        <v/>
      </c>
      <c r="K38" s="57" t="str">
        <f aca="false">IFERROR(INDEX(维保合同!$L$5:$L$304,MATCH(33,_自动清单!$B$5:$B$304,0)),"")</f>
        <v/>
      </c>
      <c r="L38" s="30" t="str">
        <f aca="false">IFERROR(INDEX(维保合同!$W$5:$W$304,MATCH(33,_自动清单!$B$5:$B$304,0))&amp;"","")</f>
        <v/>
      </c>
    </row>
    <row r="39" customFormat="false" ht="15" hidden="false" customHeight="false" outlineLevel="0" collapsed="false">
      <c r="A39" s="29" t="str">
        <f aca="false">IF(34&gt;_自动清单!$B$304,"",34)</f>
        <v/>
      </c>
      <c r="B39" s="53" t="str">
        <f aca="false">IFERROR(INDEX(维保合同!$B$5:$B$304,MATCH(34,_自动清单!$B$5:$B$304,0))&amp;"","")</f>
        <v/>
      </c>
      <c r="C39" s="16" t="str">
        <f aca="false">IFERROR(INDEX(维保合同!$C$5:$C$304,MATCH(34,_自动清单!$B$5:$B$304,0))&amp;"","")</f>
        <v/>
      </c>
      <c r="D39" s="16" t="str">
        <f aca="false">IFERROR(INDEX(维保合同!$D$5:$D$304,MATCH(34,_自动清单!$B$5:$B$304,0))&amp;"","")</f>
        <v/>
      </c>
      <c r="E39" s="53" t="str">
        <f aca="false">IFERROR(INDEX(维保合同!$F$5:$F$304,MATCH(34,_自动清单!$B$5:$B$304,0))&amp;"","")</f>
        <v/>
      </c>
      <c r="F39" s="53" t="str">
        <f aca="false">IFERROR(INDEX(维保合同!$G$5:$G$304,MATCH(34,_自动清单!$B$5:$B$304,0))&amp;"","")</f>
        <v/>
      </c>
      <c r="G39" s="54" t="str">
        <f aca="false">IFERROR(INDEX(维保合同!$H$5:$H$304,MATCH(34,_自动清单!$B$5:$B$304,0)),"")</f>
        <v/>
      </c>
      <c r="H39" s="54" t="str">
        <f aca="false">IFERROR(INDEX(维保合同!$I$5:$I$304,MATCH(34,_自动清单!$B$5:$B$304,0)),"")</f>
        <v/>
      </c>
      <c r="I39" s="55" t="str">
        <f aca="true">IF(N($H39)=0,"",$H39-TODAY())</f>
        <v/>
      </c>
      <c r="J39" s="56" t="str">
        <f aca="false">IF($A39="","",TRIM(IFERROR(INDEX(维保合同!$Q$5:$Q$304,MATCH(34,_自动清单!$B$5:$B$304,0))&amp;"","")&amp;" "&amp;IFERROR(INDEX(维保合同!$R$5:$R$304,MATCH(34,_自动清单!$B$5:$B$304,0))&amp;"","")))</f>
        <v/>
      </c>
      <c r="K39" s="57" t="str">
        <f aca="false">IFERROR(INDEX(维保合同!$L$5:$L$304,MATCH(34,_自动清单!$B$5:$B$304,0)),"")</f>
        <v/>
      </c>
      <c r="L39" s="30" t="str">
        <f aca="false">IFERROR(INDEX(维保合同!$W$5:$W$304,MATCH(34,_自动清单!$B$5:$B$304,0))&amp;"","")</f>
        <v/>
      </c>
    </row>
    <row r="40" customFormat="false" ht="15" hidden="false" customHeight="false" outlineLevel="0" collapsed="false">
      <c r="A40" s="29" t="str">
        <f aca="false">IF(35&gt;_自动清单!$B$304,"",35)</f>
        <v/>
      </c>
      <c r="B40" s="53" t="str">
        <f aca="false">IFERROR(INDEX(维保合同!$B$5:$B$304,MATCH(35,_自动清单!$B$5:$B$304,0))&amp;"","")</f>
        <v/>
      </c>
      <c r="C40" s="16" t="str">
        <f aca="false">IFERROR(INDEX(维保合同!$C$5:$C$304,MATCH(35,_自动清单!$B$5:$B$304,0))&amp;"","")</f>
        <v/>
      </c>
      <c r="D40" s="16" t="str">
        <f aca="false">IFERROR(INDEX(维保合同!$D$5:$D$304,MATCH(35,_自动清单!$B$5:$B$304,0))&amp;"","")</f>
        <v/>
      </c>
      <c r="E40" s="53" t="str">
        <f aca="false">IFERROR(INDEX(维保合同!$F$5:$F$304,MATCH(35,_自动清单!$B$5:$B$304,0))&amp;"","")</f>
        <v/>
      </c>
      <c r="F40" s="53" t="str">
        <f aca="false">IFERROR(INDEX(维保合同!$G$5:$G$304,MATCH(35,_自动清单!$B$5:$B$304,0))&amp;"","")</f>
        <v/>
      </c>
      <c r="G40" s="54" t="str">
        <f aca="false">IFERROR(INDEX(维保合同!$H$5:$H$304,MATCH(35,_自动清单!$B$5:$B$304,0)),"")</f>
        <v/>
      </c>
      <c r="H40" s="54" t="str">
        <f aca="false">IFERROR(INDEX(维保合同!$I$5:$I$304,MATCH(35,_自动清单!$B$5:$B$304,0)),"")</f>
        <v/>
      </c>
      <c r="I40" s="55" t="str">
        <f aca="true">IF(N($H40)=0,"",$H40-TODAY())</f>
        <v/>
      </c>
      <c r="J40" s="56" t="str">
        <f aca="false">IF($A40="","",TRIM(IFERROR(INDEX(维保合同!$Q$5:$Q$304,MATCH(35,_自动清单!$B$5:$B$304,0))&amp;"","")&amp;" "&amp;IFERROR(INDEX(维保合同!$R$5:$R$304,MATCH(35,_自动清单!$B$5:$B$304,0))&amp;"","")))</f>
        <v/>
      </c>
      <c r="K40" s="57" t="str">
        <f aca="false">IFERROR(INDEX(维保合同!$L$5:$L$304,MATCH(35,_自动清单!$B$5:$B$304,0)),"")</f>
        <v/>
      </c>
      <c r="L40" s="30" t="str">
        <f aca="false">IFERROR(INDEX(维保合同!$W$5:$W$304,MATCH(35,_自动清单!$B$5:$B$304,0))&amp;"","")</f>
        <v/>
      </c>
    </row>
    <row r="41" customFormat="false" ht="15" hidden="false" customHeight="false" outlineLevel="0" collapsed="false">
      <c r="A41" s="29" t="str">
        <f aca="false">IF(36&gt;_自动清单!$B$304,"",36)</f>
        <v/>
      </c>
      <c r="B41" s="53" t="str">
        <f aca="false">IFERROR(INDEX(维保合同!$B$5:$B$304,MATCH(36,_自动清单!$B$5:$B$304,0))&amp;"","")</f>
        <v/>
      </c>
      <c r="C41" s="16" t="str">
        <f aca="false">IFERROR(INDEX(维保合同!$C$5:$C$304,MATCH(36,_自动清单!$B$5:$B$304,0))&amp;"","")</f>
        <v/>
      </c>
      <c r="D41" s="16" t="str">
        <f aca="false">IFERROR(INDEX(维保合同!$D$5:$D$304,MATCH(36,_自动清单!$B$5:$B$304,0))&amp;"","")</f>
        <v/>
      </c>
      <c r="E41" s="53" t="str">
        <f aca="false">IFERROR(INDEX(维保合同!$F$5:$F$304,MATCH(36,_自动清单!$B$5:$B$304,0))&amp;"","")</f>
        <v/>
      </c>
      <c r="F41" s="53" t="str">
        <f aca="false">IFERROR(INDEX(维保合同!$G$5:$G$304,MATCH(36,_自动清单!$B$5:$B$304,0))&amp;"","")</f>
        <v/>
      </c>
      <c r="G41" s="54" t="str">
        <f aca="false">IFERROR(INDEX(维保合同!$H$5:$H$304,MATCH(36,_自动清单!$B$5:$B$304,0)),"")</f>
        <v/>
      </c>
      <c r="H41" s="54" t="str">
        <f aca="false">IFERROR(INDEX(维保合同!$I$5:$I$304,MATCH(36,_自动清单!$B$5:$B$304,0)),"")</f>
        <v/>
      </c>
      <c r="I41" s="55" t="str">
        <f aca="true">IF(N($H41)=0,"",$H41-TODAY())</f>
        <v/>
      </c>
      <c r="J41" s="56" t="str">
        <f aca="false">IF($A41="","",TRIM(IFERROR(INDEX(维保合同!$Q$5:$Q$304,MATCH(36,_自动清单!$B$5:$B$304,0))&amp;"","")&amp;" "&amp;IFERROR(INDEX(维保合同!$R$5:$R$304,MATCH(36,_自动清单!$B$5:$B$304,0))&amp;"","")))</f>
        <v/>
      </c>
      <c r="K41" s="57" t="str">
        <f aca="false">IFERROR(INDEX(维保合同!$L$5:$L$304,MATCH(36,_自动清单!$B$5:$B$304,0)),"")</f>
        <v/>
      </c>
      <c r="L41" s="30" t="str">
        <f aca="false">IFERROR(INDEX(维保合同!$W$5:$W$304,MATCH(36,_自动清单!$B$5:$B$304,0))&amp;"","")</f>
        <v/>
      </c>
    </row>
    <row r="42" customFormat="false" ht="15" hidden="false" customHeight="false" outlineLevel="0" collapsed="false">
      <c r="A42" s="29" t="str">
        <f aca="false">IF(37&gt;_自动清单!$B$304,"",37)</f>
        <v/>
      </c>
      <c r="B42" s="53" t="str">
        <f aca="false">IFERROR(INDEX(维保合同!$B$5:$B$304,MATCH(37,_自动清单!$B$5:$B$304,0))&amp;"","")</f>
        <v/>
      </c>
      <c r="C42" s="16" t="str">
        <f aca="false">IFERROR(INDEX(维保合同!$C$5:$C$304,MATCH(37,_自动清单!$B$5:$B$304,0))&amp;"","")</f>
        <v/>
      </c>
      <c r="D42" s="16" t="str">
        <f aca="false">IFERROR(INDEX(维保合同!$D$5:$D$304,MATCH(37,_自动清单!$B$5:$B$304,0))&amp;"","")</f>
        <v/>
      </c>
      <c r="E42" s="53" t="str">
        <f aca="false">IFERROR(INDEX(维保合同!$F$5:$F$304,MATCH(37,_自动清单!$B$5:$B$304,0))&amp;"","")</f>
        <v/>
      </c>
      <c r="F42" s="53" t="str">
        <f aca="false">IFERROR(INDEX(维保合同!$G$5:$G$304,MATCH(37,_自动清单!$B$5:$B$304,0))&amp;"","")</f>
        <v/>
      </c>
      <c r="G42" s="54" t="str">
        <f aca="false">IFERROR(INDEX(维保合同!$H$5:$H$304,MATCH(37,_自动清单!$B$5:$B$304,0)),"")</f>
        <v/>
      </c>
      <c r="H42" s="54" t="str">
        <f aca="false">IFERROR(INDEX(维保合同!$I$5:$I$304,MATCH(37,_自动清单!$B$5:$B$304,0)),"")</f>
        <v/>
      </c>
      <c r="I42" s="55" t="str">
        <f aca="true">IF(N($H42)=0,"",$H42-TODAY())</f>
        <v/>
      </c>
      <c r="J42" s="56" t="str">
        <f aca="false">IF($A42="","",TRIM(IFERROR(INDEX(维保合同!$Q$5:$Q$304,MATCH(37,_自动清单!$B$5:$B$304,0))&amp;"","")&amp;" "&amp;IFERROR(INDEX(维保合同!$R$5:$R$304,MATCH(37,_自动清单!$B$5:$B$304,0))&amp;"","")))</f>
        <v/>
      </c>
      <c r="K42" s="57" t="str">
        <f aca="false">IFERROR(INDEX(维保合同!$L$5:$L$304,MATCH(37,_自动清单!$B$5:$B$304,0)),"")</f>
        <v/>
      </c>
      <c r="L42" s="30" t="str">
        <f aca="false">IFERROR(INDEX(维保合同!$W$5:$W$304,MATCH(37,_自动清单!$B$5:$B$304,0))&amp;"","")</f>
        <v/>
      </c>
    </row>
    <row r="43" customFormat="false" ht="15" hidden="false" customHeight="false" outlineLevel="0" collapsed="false">
      <c r="A43" s="29" t="str">
        <f aca="false">IF(38&gt;_自动清单!$B$304,"",38)</f>
        <v/>
      </c>
      <c r="B43" s="53" t="str">
        <f aca="false">IFERROR(INDEX(维保合同!$B$5:$B$304,MATCH(38,_自动清单!$B$5:$B$304,0))&amp;"","")</f>
        <v/>
      </c>
      <c r="C43" s="16" t="str">
        <f aca="false">IFERROR(INDEX(维保合同!$C$5:$C$304,MATCH(38,_自动清单!$B$5:$B$304,0))&amp;"","")</f>
        <v/>
      </c>
      <c r="D43" s="16" t="str">
        <f aca="false">IFERROR(INDEX(维保合同!$D$5:$D$304,MATCH(38,_自动清单!$B$5:$B$304,0))&amp;"","")</f>
        <v/>
      </c>
      <c r="E43" s="53" t="str">
        <f aca="false">IFERROR(INDEX(维保合同!$F$5:$F$304,MATCH(38,_自动清单!$B$5:$B$304,0))&amp;"","")</f>
        <v/>
      </c>
      <c r="F43" s="53" t="str">
        <f aca="false">IFERROR(INDEX(维保合同!$G$5:$G$304,MATCH(38,_自动清单!$B$5:$B$304,0))&amp;"","")</f>
        <v/>
      </c>
      <c r="G43" s="54" t="str">
        <f aca="false">IFERROR(INDEX(维保合同!$H$5:$H$304,MATCH(38,_自动清单!$B$5:$B$304,0)),"")</f>
        <v/>
      </c>
      <c r="H43" s="54" t="str">
        <f aca="false">IFERROR(INDEX(维保合同!$I$5:$I$304,MATCH(38,_自动清单!$B$5:$B$304,0)),"")</f>
        <v/>
      </c>
      <c r="I43" s="55" t="str">
        <f aca="true">IF(N($H43)=0,"",$H43-TODAY())</f>
        <v/>
      </c>
      <c r="J43" s="56" t="str">
        <f aca="false">IF($A43="","",TRIM(IFERROR(INDEX(维保合同!$Q$5:$Q$304,MATCH(38,_自动清单!$B$5:$B$304,0))&amp;"","")&amp;" "&amp;IFERROR(INDEX(维保合同!$R$5:$R$304,MATCH(38,_自动清单!$B$5:$B$304,0))&amp;"","")))</f>
        <v/>
      </c>
      <c r="K43" s="57" t="str">
        <f aca="false">IFERROR(INDEX(维保合同!$L$5:$L$304,MATCH(38,_自动清单!$B$5:$B$304,0)),"")</f>
        <v/>
      </c>
      <c r="L43" s="30" t="str">
        <f aca="false">IFERROR(INDEX(维保合同!$W$5:$W$304,MATCH(38,_自动清单!$B$5:$B$304,0))&amp;"","")</f>
        <v/>
      </c>
    </row>
    <row r="44" customFormat="false" ht="15" hidden="false" customHeight="false" outlineLevel="0" collapsed="false">
      <c r="A44" s="29" t="str">
        <f aca="false">IF(39&gt;_自动清单!$B$304,"",39)</f>
        <v/>
      </c>
      <c r="B44" s="53" t="str">
        <f aca="false">IFERROR(INDEX(维保合同!$B$5:$B$304,MATCH(39,_自动清单!$B$5:$B$304,0))&amp;"","")</f>
        <v/>
      </c>
      <c r="C44" s="16" t="str">
        <f aca="false">IFERROR(INDEX(维保合同!$C$5:$C$304,MATCH(39,_自动清单!$B$5:$B$304,0))&amp;"","")</f>
        <v/>
      </c>
      <c r="D44" s="16" t="str">
        <f aca="false">IFERROR(INDEX(维保合同!$D$5:$D$304,MATCH(39,_自动清单!$B$5:$B$304,0))&amp;"","")</f>
        <v/>
      </c>
      <c r="E44" s="53" t="str">
        <f aca="false">IFERROR(INDEX(维保合同!$F$5:$F$304,MATCH(39,_自动清单!$B$5:$B$304,0))&amp;"","")</f>
        <v/>
      </c>
      <c r="F44" s="53" t="str">
        <f aca="false">IFERROR(INDEX(维保合同!$G$5:$G$304,MATCH(39,_自动清单!$B$5:$B$304,0))&amp;"","")</f>
        <v/>
      </c>
      <c r="G44" s="54" t="str">
        <f aca="false">IFERROR(INDEX(维保合同!$H$5:$H$304,MATCH(39,_自动清单!$B$5:$B$304,0)),"")</f>
        <v/>
      </c>
      <c r="H44" s="54" t="str">
        <f aca="false">IFERROR(INDEX(维保合同!$I$5:$I$304,MATCH(39,_自动清单!$B$5:$B$304,0)),"")</f>
        <v/>
      </c>
      <c r="I44" s="55" t="str">
        <f aca="true">IF(N($H44)=0,"",$H44-TODAY())</f>
        <v/>
      </c>
      <c r="J44" s="56" t="str">
        <f aca="false">IF($A44="","",TRIM(IFERROR(INDEX(维保合同!$Q$5:$Q$304,MATCH(39,_自动清单!$B$5:$B$304,0))&amp;"","")&amp;" "&amp;IFERROR(INDEX(维保合同!$R$5:$R$304,MATCH(39,_自动清单!$B$5:$B$304,0))&amp;"","")))</f>
        <v/>
      </c>
      <c r="K44" s="57" t="str">
        <f aca="false">IFERROR(INDEX(维保合同!$L$5:$L$304,MATCH(39,_自动清单!$B$5:$B$304,0)),"")</f>
        <v/>
      </c>
      <c r="L44" s="30" t="str">
        <f aca="false">IFERROR(INDEX(维保合同!$W$5:$W$304,MATCH(39,_自动清单!$B$5:$B$304,0))&amp;"","")</f>
        <v/>
      </c>
    </row>
    <row r="45" customFormat="false" ht="15" hidden="false" customHeight="false" outlineLevel="0" collapsed="false">
      <c r="A45" s="29" t="str">
        <f aca="false">IF(40&gt;_自动清单!$B$304,"",40)</f>
        <v/>
      </c>
      <c r="B45" s="53" t="str">
        <f aca="false">IFERROR(INDEX(维保合同!$B$5:$B$304,MATCH(40,_自动清单!$B$5:$B$304,0))&amp;"","")</f>
        <v/>
      </c>
      <c r="C45" s="16" t="str">
        <f aca="false">IFERROR(INDEX(维保合同!$C$5:$C$304,MATCH(40,_自动清单!$B$5:$B$304,0))&amp;"","")</f>
        <v/>
      </c>
      <c r="D45" s="16" t="str">
        <f aca="false">IFERROR(INDEX(维保合同!$D$5:$D$304,MATCH(40,_自动清单!$B$5:$B$304,0))&amp;"","")</f>
        <v/>
      </c>
      <c r="E45" s="53" t="str">
        <f aca="false">IFERROR(INDEX(维保合同!$F$5:$F$304,MATCH(40,_自动清单!$B$5:$B$304,0))&amp;"","")</f>
        <v/>
      </c>
      <c r="F45" s="53" t="str">
        <f aca="false">IFERROR(INDEX(维保合同!$G$5:$G$304,MATCH(40,_自动清单!$B$5:$B$304,0))&amp;"","")</f>
        <v/>
      </c>
      <c r="G45" s="54" t="str">
        <f aca="false">IFERROR(INDEX(维保合同!$H$5:$H$304,MATCH(40,_自动清单!$B$5:$B$304,0)),"")</f>
        <v/>
      </c>
      <c r="H45" s="54" t="str">
        <f aca="false">IFERROR(INDEX(维保合同!$I$5:$I$304,MATCH(40,_自动清单!$B$5:$B$304,0)),"")</f>
        <v/>
      </c>
      <c r="I45" s="55" t="str">
        <f aca="true">IF(N($H45)=0,"",$H45-TODAY())</f>
        <v/>
      </c>
      <c r="J45" s="56" t="str">
        <f aca="false">IF($A45="","",TRIM(IFERROR(INDEX(维保合同!$Q$5:$Q$304,MATCH(40,_自动清单!$B$5:$B$304,0))&amp;"","")&amp;" "&amp;IFERROR(INDEX(维保合同!$R$5:$R$304,MATCH(40,_自动清单!$B$5:$B$304,0))&amp;"","")))</f>
        <v/>
      </c>
      <c r="K45" s="57" t="str">
        <f aca="false">IFERROR(INDEX(维保合同!$L$5:$L$304,MATCH(40,_自动清单!$B$5:$B$304,0)),"")</f>
        <v/>
      </c>
      <c r="L45" s="30" t="str">
        <f aca="false">IFERROR(INDEX(维保合同!$W$5:$W$304,MATCH(40,_自动清单!$B$5:$B$304,0))&amp;"","")</f>
        <v/>
      </c>
    </row>
    <row r="46" customFormat="false" ht="15" hidden="false" customHeight="false" outlineLevel="0" collapsed="false">
      <c r="A46" s="29" t="str">
        <f aca="false">IF(41&gt;_自动清单!$B$304,"",41)</f>
        <v/>
      </c>
      <c r="B46" s="53" t="str">
        <f aca="false">IFERROR(INDEX(维保合同!$B$5:$B$304,MATCH(41,_自动清单!$B$5:$B$304,0))&amp;"","")</f>
        <v/>
      </c>
      <c r="C46" s="16" t="str">
        <f aca="false">IFERROR(INDEX(维保合同!$C$5:$C$304,MATCH(41,_自动清单!$B$5:$B$304,0))&amp;"","")</f>
        <v/>
      </c>
      <c r="D46" s="16" t="str">
        <f aca="false">IFERROR(INDEX(维保合同!$D$5:$D$304,MATCH(41,_自动清单!$B$5:$B$304,0))&amp;"","")</f>
        <v/>
      </c>
      <c r="E46" s="53" t="str">
        <f aca="false">IFERROR(INDEX(维保合同!$F$5:$F$304,MATCH(41,_自动清单!$B$5:$B$304,0))&amp;"","")</f>
        <v/>
      </c>
      <c r="F46" s="53" t="str">
        <f aca="false">IFERROR(INDEX(维保合同!$G$5:$G$304,MATCH(41,_自动清单!$B$5:$B$304,0))&amp;"","")</f>
        <v/>
      </c>
      <c r="G46" s="54" t="str">
        <f aca="false">IFERROR(INDEX(维保合同!$H$5:$H$304,MATCH(41,_自动清单!$B$5:$B$304,0)),"")</f>
        <v/>
      </c>
      <c r="H46" s="54" t="str">
        <f aca="false">IFERROR(INDEX(维保合同!$I$5:$I$304,MATCH(41,_自动清单!$B$5:$B$304,0)),"")</f>
        <v/>
      </c>
      <c r="I46" s="55" t="str">
        <f aca="true">IF(N($H46)=0,"",$H46-TODAY())</f>
        <v/>
      </c>
      <c r="J46" s="56" t="str">
        <f aca="false">IF($A46="","",TRIM(IFERROR(INDEX(维保合同!$Q$5:$Q$304,MATCH(41,_自动清单!$B$5:$B$304,0))&amp;"","")&amp;" "&amp;IFERROR(INDEX(维保合同!$R$5:$R$304,MATCH(41,_自动清单!$B$5:$B$304,0))&amp;"","")))</f>
        <v/>
      </c>
      <c r="K46" s="57" t="str">
        <f aca="false">IFERROR(INDEX(维保合同!$L$5:$L$304,MATCH(41,_自动清单!$B$5:$B$304,0)),"")</f>
        <v/>
      </c>
      <c r="L46" s="30" t="str">
        <f aca="false">IFERROR(INDEX(维保合同!$W$5:$W$304,MATCH(41,_自动清单!$B$5:$B$304,0))&amp;"","")</f>
        <v/>
      </c>
    </row>
    <row r="47" customFormat="false" ht="15" hidden="false" customHeight="false" outlineLevel="0" collapsed="false">
      <c r="A47" s="29" t="str">
        <f aca="false">IF(42&gt;_自动清单!$B$304,"",42)</f>
        <v/>
      </c>
      <c r="B47" s="53" t="str">
        <f aca="false">IFERROR(INDEX(维保合同!$B$5:$B$304,MATCH(42,_自动清单!$B$5:$B$304,0))&amp;"","")</f>
        <v/>
      </c>
      <c r="C47" s="16" t="str">
        <f aca="false">IFERROR(INDEX(维保合同!$C$5:$C$304,MATCH(42,_自动清单!$B$5:$B$304,0))&amp;"","")</f>
        <v/>
      </c>
      <c r="D47" s="16" t="str">
        <f aca="false">IFERROR(INDEX(维保合同!$D$5:$D$304,MATCH(42,_自动清单!$B$5:$B$304,0))&amp;"","")</f>
        <v/>
      </c>
      <c r="E47" s="53" t="str">
        <f aca="false">IFERROR(INDEX(维保合同!$F$5:$F$304,MATCH(42,_自动清单!$B$5:$B$304,0))&amp;"","")</f>
        <v/>
      </c>
      <c r="F47" s="53" t="str">
        <f aca="false">IFERROR(INDEX(维保合同!$G$5:$G$304,MATCH(42,_自动清单!$B$5:$B$304,0))&amp;"","")</f>
        <v/>
      </c>
      <c r="G47" s="54" t="str">
        <f aca="false">IFERROR(INDEX(维保合同!$H$5:$H$304,MATCH(42,_自动清单!$B$5:$B$304,0)),"")</f>
        <v/>
      </c>
      <c r="H47" s="54" t="str">
        <f aca="false">IFERROR(INDEX(维保合同!$I$5:$I$304,MATCH(42,_自动清单!$B$5:$B$304,0)),"")</f>
        <v/>
      </c>
      <c r="I47" s="55" t="str">
        <f aca="true">IF(N($H47)=0,"",$H47-TODAY())</f>
        <v/>
      </c>
      <c r="J47" s="56" t="str">
        <f aca="false">IF($A47="","",TRIM(IFERROR(INDEX(维保合同!$Q$5:$Q$304,MATCH(42,_自动清单!$B$5:$B$304,0))&amp;"","")&amp;" "&amp;IFERROR(INDEX(维保合同!$R$5:$R$304,MATCH(42,_自动清单!$B$5:$B$304,0))&amp;"","")))</f>
        <v/>
      </c>
      <c r="K47" s="57" t="str">
        <f aca="false">IFERROR(INDEX(维保合同!$L$5:$L$304,MATCH(42,_自动清单!$B$5:$B$304,0)),"")</f>
        <v/>
      </c>
      <c r="L47" s="30" t="str">
        <f aca="false">IFERROR(INDEX(维保合同!$W$5:$W$304,MATCH(42,_自动清单!$B$5:$B$304,0))&amp;"","")</f>
        <v/>
      </c>
    </row>
    <row r="48" customFormat="false" ht="15" hidden="false" customHeight="false" outlineLevel="0" collapsed="false">
      <c r="A48" s="29" t="str">
        <f aca="false">IF(43&gt;_自动清单!$B$304,"",43)</f>
        <v/>
      </c>
      <c r="B48" s="53" t="str">
        <f aca="false">IFERROR(INDEX(维保合同!$B$5:$B$304,MATCH(43,_自动清单!$B$5:$B$304,0))&amp;"","")</f>
        <v/>
      </c>
      <c r="C48" s="16" t="str">
        <f aca="false">IFERROR(INDEX(维保合同!$C$5:$C$304,MATCH(43,_自动清单!$B$5:$B$304,0))&amp;"","")</f>
        <v/>
      </c>
      <c r="D48" s="16" t="str">
        <f aca="false">IFERROR(INDEX(维保合同!$D$5:$D$304,MATCH(43,_自动清单!$B$5:$B$304,0))&amp;"","")</f>
        <v/>
      </c>
      <c r="E48" s="53" t="str">
        <f aca="false">IFERROR(INDEX(维保合同!$F$5:$F$304,MATCH(43,_自动清单!$B$5:$B$304,0))&amp;"","")</f>
        <v/>
      </c>
      <c r="F48" s="53" t="str">
        <f aca="false">IFERROR(INDEX(维保合同!$G$5:$G$304,MATCH(43,_自动清单!$B$5:$B$304,0))&amp;"","")</f>
        <v/>
      </c>
      <c r="G48" s="54" t="str">
        <f aca="false">IFERROR(INDEX(维保合同!$H$5:$H$304,MATCH(43,_自动清单!$B$5:$B$304,0)),"")</f>
        <v/>
      </c>
      <c r="H48" s="54" t="str">
        <f aca="false">IFERROR(INDEX(维保合同!$I$5:$I$304,MATCH(43,_自动清单!$B$5:$B$304,0)),"")</f>
        <v/>
      </c>
      <c r="I48" s="55" t="str">
        <f aca="true">IF(N($H48)=0,"",$H48-TODAY())</f>
        <v/>
      </c>
      <c r="J48" s="56" t="str">
        <f aca="false">IF($A48="","",TRIM(IFERROR(INDEX(维保合同!$Q$5:$Q$304,MATCH(43,_自动清单!$B$5:$B$304,0))&amp;"","")&amp;" "&amp;IFERROR(INDEX(维保合同!$R$5:$R$304,MATCH(43,_自动清单!$B$5:$B$304,0))&amp;"","")))</f>
        <v/>
      </c>
      <c r="K48" s="57" t="str">
        <f aca="false">IFERROR(INDEX(维保合同!$L$5:$L$304,MATCH(43,_自动清单!$B$5:$B$304,0)),"")</f>
        <v/>
      </c>
      <c r="L48" s="30" t="str">
        <f aca="false">IFERROR(INDEX(维保合同!$W$5:$W$304,MATCH(43,_自动清单!$B$5:$B$304,0))&amp;"","")</f>
        <v/>
      </c>
    </row>
    <row r="49" customFormat="false" ht="15" hidden="false" customHeight="false" outlineLevel="0" collapsed="false">
      <c r="A49" s="29" t="str">
        <f aca="false">IF(44&gt;_自动清单!$B$304,"",44)</f>
        <v/>
      </c>
      <c r="B49" s="53" t="str">
        <f aca="false">IFERROR(INDEX(维保合同!$B$5:$B$304,MATCH(44,_自动清单!$B$5:$B$304,0))&amp;"","")</f>
        <v/>
      </c>
      <c r="C49" s="16" t="str">
        <f aca="false">IFERROR(INDEX(维保合同!$C$5:$C$304,MATCH(44,_自动清单!$B$5:$B$304,0))&amp;"","")</f>
        <v/>
      </c>
      <c r="D49" s="16" t="str">
        <f aca="false">IFERROR(INDEX(维保合同!$D$5:$D$304,MATCH(44,_自动清单!$B$5:$B$304,0))&amp;"","")</f>
        <v/>
      </c>
      <c r="E49" s="53" t="str">
        <f aca="false">IFERROR(INDEX(维保合同!$F$5:$F$304,MATCH(44,_自动清单!$B$5:$B$304,0))&amp;"","")</f>
        <v/>
      </c>
      <c r="F49" s="53" t="str">
        <f aca="false">IFERROR(INDEX(维保合同!$G$5:$G$304,MATCH(44,_自动清单!$B$5:$B$304,0))&amp;"","")</f>
        <v/>
      </c>
      <c r="G49" s="54" t="str">
        <f aca="false">IFERROR(INDEX(维保合同!$H$5:$H$304,MATCH(44,_自动清单!$B$5:$B$304,0)),"")</f>
        <v/>
      </c>
      <c r="H49" s="54" t="str">
        <f aca="false">IFERROR(INDEX(维保合同!$I$5:$I$304,MATCH(44,_自动清单!$B$5:$B$304,0)),"")</f>
        <v/>
      </c>
      <c r="I49" s="55" t="str">
        <f aca="true">IF(N($H49)=0,"",$H49-TODAY())</f>
        <v/>
      </c>
      <c r="J49" s="56" t="str">
        <f aca="false">IF($A49="","",TRIM(IFERROR(INDEX(维保合同!$Q$5:$Q$304,MATCH(44,_自动清单!$B$5:$B$304,0))&amp;"","")&amp;" "&amp;IFERROR(INDEX(维保合同!$R$5:$R$304,MATCH(44,_自动清单!$B$5:$B$304,0))&amp;"","")))</f>
        <v/>
      </c>
      <c r="K49" s="57" t="str">
        <f aca="false">IFERROR(INDEX(维保合同!$L$5:$L$304,MATCH(44,_自动清单!$B$5:$B$304,0)),"")</f>
        <v/>
      </c>
      <c r="L49" s="30" t="str">
        <f aca="false">IFERROR(INDEX(维保合同!$W$5:$W$304,MATCH(44,_自动清单!$B$5:$B$304,0))&amp;"","")</f>
        <v/>
      </c>
    </row>
    <row r="50" customFormat="false" ht="15" hidden="false" customHeight="false" outlineLevel="0" collapsed="false">
      <c r="A50" s="29" t="str">
        <f aca="false">IF(45&gt;_自动清单!$B$304,"",45)</f>
        <v/>
      </c>
      <c r="B50" s="53" t="str">
        <f aca="false">IFERROR(INDEX(维保合同!$B$5:$B$304,MATCH(45,_自动清单!$B$5:$B$304,0))&amp;"","")</f>
        <v/>
      </c>
      <c r="C50" s="16" t="str">
        <f aca="false">IFERROR(INDEX(维保合同!$C$5:$C$304,MATCH(45,_自动清单!$B$5:$B$304,0))&amp;"","")</f>
        <v/>
      </c>
      <c r="D50" s="16" t="str">
        <f aca="false">IFERROR(INDEX(维保合同!$D$5:$D$304,MATCH(45,_自动清单!$B$5:$B$304,0))&amp;"","")</f>
        <v/>
      </c>
      <c r="E50" s="53" t="str">
        <f aca="false">IFERROR(INDEX(维保合同!$F$5:$F$304,MATCH(45,_自动清单!$B$5:$B$304,0))&amp;"","")</f>
        <v/>
      </c>
      <c r="F50" s="53" t="str">
        <f aca="false">IFERROR(INDEX(维保合同!$G$5:$G$304,MATCH(45,_自动清单!$B$5:$B$304,0))&amp;"","")</f>
        <v/>
      </c>
      <c r="G50" s="54" t="str">
        <f aca="false">IFERROR(INDEX(维保合同!$H$5:$H$304,MATCH(45,_自动清单!$B$5:$B$304,0)),"")</f>
        <v/>
      </c>
      <c r="H50" s="54" t="str">
        <f aca="false">IFERROR(INDEX(维保合同!$I$5:$I$304,MATCH(45,_自动清单!$B$5:$B$304,0)),"")</f>
        <v/>
      </c>
      <c r="I50" s="55" t="str">
        <f aca="true">IF(N($H50)=0,"",$H50-TODAY())</f>
        <v/>
      </c>
      <c r="J50" s="56" t="str">
        <f aca="false">IF($A50="","",TRIM(IFERROR(INDEX(维保合同!$Q$5:$Q$304,MATCH(45,_自动清单!$B$5:$B$304,0))&amp;"","")&amp;" "&amp;IFERROR(INDEX(维保合同!$R$5:$R$304,MATCH(45,_自动清单!$B$5:$B$304,0))&amp;"","")))</f>
        <v/>
      </c>
      <c r="K50" s="57" t="str">
        <f aca="false">IFERROR(INDEX(维保合同!$L$5:$L$304,MATCH(45,_自动清单!$B$5:$B$304,0)),"")</f>
        <v/>
      </c>
      <c r="L50" s="30" t="str">
        <f aca="false">IFERROR(INDEX(维保合同!$W$5:$W$304,MATCH(45,_自动清单!$B$5:$B$304,0))&amp;"","")</f>
        <v/>
      </c>
    </row>
    <row r="51" customFormat="false" ht="15" hidden="false" customHeight="false" outlineLevel="0" collapsed="false">
      <c r="A51" s="29" t="str">
        <f aca="false">IF(46&gt;_自动清单!$B$304,"",46)</f>
        <v/>
      </c>
      <c r="B51" s="53" t="str">
        <f aca="false">IFERROR(INDEX(维保合同!$B$5:$B$304,MATCH(46,_自动清单!$B$5:$B$304,0))&amp;"","")</f>
        <v/>
      </c>
      <c r="C51" s="16" t="str">
        <f aca="false">IFERROR(INDEX(维保合同!$C$5:$C$304,MATCH(46,_自动清单!$B$5:$B$304,0))&amp;"","")</f>
        <v/>
      </c>
      <c r="D51" s="16" t="str">
        <f aca="false">IFERROR(INDEX(维保合同!$D$5:$D$304,MATCH(46,_自动清单!$B$5:$B$304,0))&amp;"","")</f>
        <v/>
      </c>
      <c r="E51" s="53" t="str">
        <f aca="false">IFERROR(INDEX(维保合同!$F$5:$F$304,MATCH(46,_自动清单!$B$5:$B$304,0))&amp;"","")</f>
        <v/>
      </c>
      <c r="F51" s="53" t="str">
        <f aca="false">IFERROR(INDEX(维保合同!$G$5:$G$304,MATCH(46,_自动清单!$B$5:$B$304,0))&amp;"","")</f>
        <v/>
      </c>
      <c r="G51" s="54" t="str">
        <f aca="false">IFERROR(INDEX(维保合同!$H$5:$H$304,MATCH(46,_自动清单!$B$5:$B$304,0)),"")</f>
        <v/>
      </c>
      <c r="H51" s="54" t="str">
        <f aca="false">IFERROR(INDEX(维保合同!$I$5:$I$304,MATCH(46,_自动清单!$B$5:$B$304,0)),"")</f>
        <v/>
      </c>
      <c r="I51" s="55" t="str">
        <f aca="true">IF(N($H51)=0,"",$H51-TODAY())</f>
        <v/>
      </c>
      <c r="J51" s="56" t="str">
        <f aca="false">IF($A51="","",TRIM(IFERROR(INDEX(维保合同!$Q$5:$Q$304,MATCH(46,_自动清单!$B$5:$B$304,0))&amp;"","")&amp;" "&amp;IFERROR(INDEX(维保合同!$R$5:$R$304,MATCH(46,_自动清单!$B$5:$B$304,0))&amp;"","")))</f>
        <v/>
      </c>
      <c r="K51" s="57" t="str">
        <f aca="false">IFERROR(INDEX(维保合同!$L$5:$L$304,MATCH(46,_自动清单!$B$5:$B$304,0)),"")</f>
        <v/>
      </c>
      <c r="L51" s="30" t="str">
        <f aca="false">IFERROR(INDEX(维保合同!$W$5:$W$304,MATCH(46,_自动清单!$B$5:$B$304,0))&amp;"","")</f>
        <v/>
      </c>
    </row>
    <row r="52" customFormat="false" ht="15" hidden="false" customHeight="false" outlineLevel="0" collapsed="false">
      <c r="A52" s="29" t="str">
        <f aca="false">IF(47&gt;_自动清单!$B$304,"",47)</f>
        <v/>
      </c>
      <c r="B52" s="53" t="str">
        <f aca="false">IFERROR(INDEX(维保合同!$B$5:$B$304,MATCH(47,_自动清单!$B$5:$B$304,0))&amp;"","")</f>
        <v/>
      </c>
      <c r="C52" s="16" t="str">
        <f aca="false">IFERROR(INDEX(维保合同!$C$5:$C$304,MATCH(47,_自动清单!$B$5:$B$304,0))&amp;"","")</f>
        <v/>
      </c>
      <c r="D52" s="16" t="str">
        <f aca="false">IFERROR(INDEX(维保合同!$D$5:$D$304,MATCH(47,_自动清单!$B$5:$B$304,0))&amp;"","")</f>
        <v/>
      </c>
      <c r="E52" s="53" t="str">
        <f aca="false">IFERROR(INDEX(维保合同!$F$5:$F$304,MATCH(47,_自动清单!$B$5:$B$304,0))&amp;"","")</f>
        <v/>
      </c>
      <c r="F52" s="53" t="str">
        <f aca="false">IFERROR(INDEX(维保合同!$G$5:$G$304,MATCH(47,_自动清单!$B$5:$B$304,0))&amp;"","")</f>
        <v/>
      </c>
      <c r="G52" s="54" t="str">
        <f aca="false">IFERROR(INDEX(维保合同!$H$5:$H$304,MATCH(47,_自动清单!$B$5:$B$304,0)),"")</f>
        <v/>
      </c>
      <c r="H52" s="54" t="str">
        <f aca="false">IFERROR(INDEX(维保合同!$I$5:$I$304,MATCH(47,_自动清单!$B$5:$B$304,0)),"")</f>
        <v/>
      </c>
      <c r="I52" s="55" t="str">
        <f aca="true">IF(N($H52)=0,"",$H52-TODAY())</f>
        <v/>
      </c>
      <c r="J52" s="56" t="str">
        <f aca="false">IF($A52="","",TRIM(IFERROR(INDEX(维保合同!$Q$5:$Q$304,MATCH(47,_自动清单!$B$5:$B$304,0))&amp;"","")&amp;" "&amp;IFERROR(INDEX(维保合同!$R$5:$R$304,MATCH(47,_自动清单!$B$5:$B$304,0))&amp;"","")))</f>
        <v/>
      </c>
      <c r="K52" s="57" t="str">
        <f aca="false">IFERROR(INDEX(维保合同!$L$5:$L$304,MATCH(47,_自动清单!$B$5:$B$304,0)),"")</f>
        <v/>
      </c>
      <c r="L52" s="30" t="str">
        <f aca="false">IFERROR(INDEX(维保合同!$W$5:$W$304,MATCH(47,_自动清单!$B$5:$B$304,0))&amp;"","")</f>
        <v/>
      </c>
    </row>
    <row r="53" customFormat="false" ht="15" hidden="false" customHeight="false" outlineLevel="0" collapsed="false">
      <c r="A53" s="29" t="str">
        <f aca="false">IF(48&gt;_自动清单!$B$304,"",48)</f>
        <v/>
      </c>
      <c r="B53" s="53" t="str">
        <f aca="false">IFERROR(INDEX(维保合同!$B$5:$B$304,MATCH(48,_自动清单!$B$5:$B$304,0))&amp;"","")</f>
        <v/>
      </c>
      <c r="C53" s="16" t="str">
        <f aca="false">IFERROR(INDEX(维保合同!$C$5:$C$304,MATCH(48,_自动清单!$B$5:$B$304,0))&amp;"","")</f>
        <v/>
      </c>
      <c r="D53" s="16" t="str">
        <f aca="false">IFERROR(INDEX(维保合同!$D$5:$D$304,MATCH(48,_自动清单!$B$5:$B$304,0))&amp;"","")</f>
        <v/>
      </c>
      <c r="E53" s="53" t="str">
        <f aca="false">IFERROR(INDEX(维保合同!$F$5:$F$304,MATCH(48,_自动清单!$B$5:$B$304,0))&amp;"","")</f>
        <v/>
      </c>
      <c r="F53" s="53" t="str">
        <f aca="false">IFERROR(INDEX(维保合同!$G$5:$G$304,MATCH(48,_自动清单!$B$5:$B$304,0))&amp;"","")</f>
        <v/>
      </c>
      <c r="G53" s="54" t="str">
        <f aca="false">IFERROR(INDEX(维保合同!$H$5:$H$304,MATCH(48,_自动清单!$B$5:$B$304,0)),"")</f>
        <v/>
      </c>
      <c r="H53" s="54" t="str">
        <f aca="false">IFERROR(INDEX(维保合同!$I$5:$I$304,MATCH(48,_自动清单!$B$5:$B$304,0)),"")</f>
        <v/>
      </c>
      <c r="I53" s="55" t="str">
        <f aca="true">IF(N($H53)=0,"",$H53-TODAY())</f>
        <v/>
      </c>
      <c r="J53" s="56" t="str">
        <f aca="false">IF($A53="","",TRIM(IFERROR(INDEX(维保合同!$Q$5:$Q$304,MATCH(48,_自动清单!$B$5:$B$304,0))&amp;"","")&amp;" "&amp;IFERROR(INDEX(维保合同!$R$5:$R$304,MATCH(48,_自动清单!$B$5:$B$304,0))&amp;"","")))</f>
        <v/>
      </c>
      <c r="K53" s="57" t="str">
        <f aca="false">IFERROR(INDEX(维保合同!$L$5:$L$304,MATCH(48,_自动清单!$B$5:$B$304,0)),"")</f>
        <v/>
      </c>
      <c r="L53" s="30" t="str">
        <f aca="false">IFERROR(INDEX(维保合同!$W$5:$W$304,MATCH(48,_自动清单!$B$5:$B$304,0))&amp;"","")</f>
        <v/>
      </c>
    </row>
    <row r="54" customFormat="false" ht="15" hidden="false" customHeight="false" outlineLevel="0" collapsed="false">
      <c r="A54" s="29" t="str">
        <f aca="false">IF(49&gt;_自动清单!$B$304,"",49)</f>
        <v/>
      </c>
      <c r="B54" s="53" t="str">
        <f aca="false">IFERROR(INDEX(维保合同!$B$5:$B$304,MATCH(49,_自动清单!$B$5:$B$304,0))&amp;"","")</f>
        <v/>
      </c>
      <c r="C54" s="16" t="str">
        <f aca="false">IFERROR(INDEX(维保合同!$C$5:$C$304,MATCH(49,_自动清单!$B$5:$B$304,0))&amp;"","")</f>
        <v/>
      </c>
      <c r="D54" s="16" t="str">
        <f aca="false">IFERROR(INDEX(维保合同!$D$5:$D$304,MATCH(49,_自动清单!$B$5:$B$304,0))&amp;"","")</f>
        <v/>
      </c>
      <c r="E54" s="53" t="str">
        <f aca="false">IFERROR(INDEX(维保合同!$F$5:$F$304,MATCH(49,_自动清单!$B$5:$B$304,0))&amp;"","")</f>
        <v/>
      </c>
      <c r="F54" s="53" t="str">
        <f aca="false">IFERROR(INDEX(维保合同!$G$5:$G$304,MATCH(49,_自动清单!$B$5:$B$304,0))&amp;"","")</f>
        <v/>
      </c>
      <c r="G54" s="54" t="str">
        <f aca="false">IFERROR(INDEX(维保合同!$H$5:$H$304,MATCH(49,_自动清单!$B$5:$B$304,0)),"")</f>
        <v/>
      </c>
      <c r="H54" s="54" t="str">
        <f aca="false">IFERROR(INDEX(维保合同!$I$5:$I$304,MATCH(49,_自动清单!$B$5:$B$304,0)),"")</f>
        <v/>
      </c>
      <c r="I54" s="55" t="str">
        <f aca="true">IF(N($H54)=0,"",$H54-TODAY())</f>
        <v/>
      </c>
      <c r="J54" s="56" t="str">
        <f aca="false">IF($A54="","",TRIM(IFERROR(INDEX(维保合同!$Q$5:$Q$304,MATCH(49,_自动清单!$B$5:$B$304,0))&amp;"","")&amp;" "&amp;IFERROR(INDEX(维保合同!$R$5:$R$304,MATCH(49,_自动清单!$B$5:$B$304,0))&amp;"","")))</f>
        <v/>
      </c>
      <c r="K54" s="57" t="str">
        <f aca="false">IFERROR(INDEX(维保合同!$L$5:$L$304,MATCH(49,_自动清单!$B$5:$B$304,0)),"")</f>
        <v/>
      </c>
      <c r="L54" s="30" t="str">
        <f aca="false">IFERROR(INDEX(维保合同!$W$5:$W$304,MATCH(49,_自动清单!$B$5:$B$304,0))&amp;"","")</f>
        <v/>
      </c>
    </row>
    <row r="55" customFormat="false" ht="15" hidden="false" customHeight="false" outlineLevel="0" collapsed="false">
      <c r="A55" s="29" t="str">
        <f aca="false">IF(50&gt;_自动清单!$B$304,"",50)</f>
        <v/>
      </c>
      <c r="B55" s="53" t="str">
        <f aca="false">IFERROR(INDEX(维保合同!$B$5:$B$304,MATCH(50,_自动清单!$B$5:$B$304,0))&amp;"","")</f>
        <v/>
      </c>
      <c r="C55" s="16" t="str">
        <f aca="false">IFERROR(INDEX(维保合同!$C$5:$C$304,MATCH(50,_自动清单!$B$5:$B$304,0))&amp;"","")</f>
        <v/>
      </c>
      <c r="D55" s="16" t="str">
        <f aca="false">IFERROR(INDEX(维保合同!$D$5:$D$304,MATCH(50,_自动清单!$B$5:$B$304,0))&amp;"","")</f>
        <v/>
      </c>
      <c r="E55" s="53" t="str">
        <f aca="false">IFERROR(INDEX(维保合同!$F$5:$F$304,MATCH(50,_自动清单!$B$5:$B$304,0))&amp;"","")</f>
        <v/>
      </c>
      <c r="F55" s="53" t="str">
        <f aca="false">IFERROR(INDEX(维保合同!$G$5:$G$304,MATCH(50,_自动清单!$B$5:$B$304,0))&amp;"","")</f>
        <v/>
      </c>
      <c r="G55" s="54" t="str">
        <f aca="false">IFERROR(INDEX(维保合同!$H$5:$H$304,MATCH(50,_自动清单!$B$5:$B$304,0)),"")</f>
        <v/>
      </c>
      <c r="H55" s="54" t="str">
        <f aca="false">IFERROR(INDEX(维保合同!$I$5:$I$304,MATCH(50,_自动清单!$B$5:$B$304,0)),"")</f>
        <v/>
      </c>
      <c r="I55" s="55" t="str">
        <f aca="true">IF(N($H55)=0,"",$H55-TODAY())</f>
        <v/>
      </c>
      <c r="J55" s="56" t="str">
        <f aca="false">IF($A55="","",TRIM(IFERROR(INDEX(维保合同!$Q$5:$Q$304,MATCH(50,_自动清单!$B$5:$B$304,0))&amp;"","")&amp;" "&amp;IFERROR(INDEX(维保合同!$R$5:$R$304,MATCH(50,_自动清单!$B$5:$B$304,0))&amp;"","")))</f>
        <v/>
      </c>
      <c r="K55" s="57" t="str">
        <f aca="false">IFERROR(INDEX(维保合同!$L$5:$L$304,MATCH(50,_自动清单!$B$5:$B$304,0)),"")</f>
        <v/>
      </c>
      <c r="L55" s="30" t="str">
        <f aca="false">IFERROR(INDEX(维保合同!$W$5:$W$304,MATCH(50,_自动清单!$B$5:$B$304,0))&amp;"","")</f>
        <v/>
      </c>
    </row>
    <row r="56" customFormat="false" ht="15" hidden="false" customHeight="false" outlineLevel="0" collapsed="false">
      <c r="A56" s="29" t="str">
        <f aca="false">IF(51&gt;_自动清单!$B$304,"",51)</f>
        <v/>
      </c>
      <c r="B56" s="53" t="str">
        <f aca="false">IFERROR(INDEX(维保合同!$B$5:$B$304,MATCH(51,_自动清单!$B$5:$B$304,0))&amp;"","")</f>
        <v/>
      </c>
      <c r="C56" s="16" t="str">
        <f aca="false">IFERROR(INDEX(维保合同!$C$5:$C$304,MATCH(51,_自动清单!$B$5:$B$304,0))&amp;"","")</f>
        <v/>
      </c>
      <c r="D56" s="16" t="str">
        <f aca="false">IFERROR(INDEX(维保合同!$D$5:$D$304,MATCH(51,_自动清单!$B$5:$B$304,0))&amp;"","")</f>
        <v/>
      </c>
      <c r="E56" s="53" t="str">
        <f aca="false">IFERROR(INDEX(维保合同!$F$5:$F$304,MATCH(51,_自动清单!$B$5:$B$304,0))&amp;"","")</f>
        <v/>
      </c>
      <c r="F56" s="53" t="str">
        <f aca="false">IFERROR(INDEX(维保合同!$G$5:$G$304,MATCH(51,_自动清单!$B$5:$B$304,0))&amp;"","")</f>
        <v/>
      </c>
      <c r="G56" s="54" t="str">
        <f aca="false">IFERROR(INDEX(维保合同!$H$5:$H$304,MATCH(51,_自动清单!$B$5:$B$304,0)),"")</f>
        <v/>
      </c>
      <c r="H56" s="54" t="str">
        <f aca="false">IFERROR(INDEX(维保合同!$I$5:$I$304,MATCH(51,_自动清单!$B$5:$B$304,0)),"")</f>
        <v/>
      </c>
      <c r="I56" s="55" t="str">
        <f aca="true">IF(N($H56)=0,"",$H56-TODAY())</f>
        <v/>
      </c>
      <c r="J56" s="56" t="str">
        <f aca="false">IF($A56="","",TRIM(IFERROR(INDEX(维保合同!$Q$5:$Q$304,MATCH(51,_自动清单!$B$5:$B$304,0))&amp;"","")&amp;" "&amp;IFERROR(INDEX(维保合同!$R$5:$R$304,MATCH(51,_自动清单!$B$5:$B$304,0))&amp;"","")))</f>
        <v/>
      </c>
      <c r="K56" s="57" t="str">
        <f aca="false">IFERROR(INDEX(维保合同!$L$5:$L$304,MATCH(51,_自动清单!$B$5:$B$304,0)),"")</f>
        <v/>
      </c>
      <c r="L56" s="30" t="str">
        <f aca="false">IFERROR(INDEX(维保合同!$W$5:$W$304,MATCH(51,_自动清单!$B$5:$B$304,0))&amp;"","")</f>
        <v/>
      </c>
    </row>
    <row r="57" customFormat="false" ht="15" hidden="false" customHeight="false" outlineLevel="0" collapsed="false">
      <c r="A57" s="29" t="str">
        <f aca="false">IF(52&gt;_自动清单!$B$304,"",52)</f>
        <v/>
      </c>
      <c r="B57" s="53" t="str">
        <f aca="false">IFERROR(INDEX(维保合同!$B$5:$B$304,MATCH(52,_自动清单!$B$5:$B$304,0))&amp;"","")</f>
        <v/>
      </c>
      <c r="C57" s="16" t="str">
        <f aca="false">IFERROR(INDEX(维保合同!$C$5:$C$304,MATCH(52,_自动清单!$B$5:$B$304,0))&amp;"","")</f>
        <v/>
      </c>
      <c r="D57" s="16" t="str">
        <f aca="false">IFERROR(INDEX(维保合同!$D$5:$D$304,MATCH(52,_自动清单!$B$5:$B$304,0))&amp;"","")</f>
        <v/>
      </c>
      <c r="E57" s="53" t="str">
        <f aca="false">IFERROR(INDEX(维保合同!$F$5:$F$304,MATCH(52,_自动清单!$B$5:$B$304,0))&amp;"","")</f>
        <v/>
      </c>
      <c r="F57" s="53" t="str">
        <f aca="false">IFERROR(INDEX(维保合同!$G$5:$G$304,MATCH(52,_自动清单!$B$5:$B$304,0))&amp;"","")</f>
        <v/>
      </c>
      <c r="G57" s="54" t="str">
        <f aca="false">IFERROR(INDEX(维保合同!$H$5:$H$304,MATCH(52,_自动清单!$B$5:$B$304,0)),"")</f>
        <v/>
      </c>
      <c r="H57" s="54" t="str">
        <f aca="false">IFERROR(INDEX(维保合同!$I$5:$I$304,MATCH(52,_自动清单!$B$5:$B$304,0)),"")</f>
        <v/>
      </c>
      <c r="I57" s="55" t="str">
        <f aca="true">IF(N($H57)=0,"",$H57-TODAY())</f>
        <v/>
      </c>
      <c r="J57" s="56" t="str">
        <f aca="false">IF($A57="","",TRIM(IFERROR(INDEX(维保合同!$Q$5:$Q$304,MATCH(52,_自动清单!$B$5:$B$304,0))&amp;"","")&amp;" "&amp;IFERROR(INDEX(维保合同!$R$5:$R$304,MATCH(52,_自动清单!$B$5:$B$304,0))&amp;"","")))</f>
        <v/>
      </c>
      <c r="K57" s="57" t="str">
        <f aca="false">IFERROR(INDEX(维保合同!$L$5:$L$304,MATCH(52,_自动清单!$B$5:$B$304,0)),"")</f>
        <v/>
      </c>
      <c r="L57" s="30" t="str">
        <f aca="false">IFERROR(INDEX(维保合同!$W$5:$W$304,MATCH(52,_自动清单!$B$5:$B$304,0))&amp;"","")</f>
        <v/>
      </c>
    </row>
    <row r="58" customFormat="false" ht="15" hidden="false" customHeight="false" outlineLevel="0" collapsed="false">
      <c r="A58" s="29" t="str">
        <f aca="false">IF(53&gt;_自动清单!$B$304,"",53)</f>
        <v/>
      </c>
      <c r="B58" s="53" t="str">
        <f aca="false">IFERROR(INDEX(维保合同!$B$5:$B$304,MATCH(53,_自动清单!$B$5:$B$304,0))&amp;"","")</f>
        <v/>
      </c>
      <c r="C58" s="16" t="str">
        <f aca="false">IFERROR(INDEX(维保合同!$C$5:$C$304,MATCH(53,_自动清单!$B$5:$B$304,0))&amp;"","")</f>
        <v/>
      </c>
      <c r="D58" s="16" t="str">
        <f aca="false">IFERROR(INDEX(维保合同!$D$5:$D$304,MATCH(53,_自动清单!$B$5:$B$304,0))&amp;"","")</f>
        <v/>
      </c>
      <c r="E58" s="53" t="str">
        <f aca="false">IFERROR(INDEX(维保合同!$F$5:$F$304,MATCH(53,_自动清单!$B$5:$B$304,0))&amp;"","")</f>
        <v/>
      </c>
      <c r="F58" s="53" t="str">
        <f aca="false">IFERROR(INDEX(维保合同!$G$5:$G$304,MATCH(53,_自动清单!$B$5:$B$304,0))&amp;"","")</f>
        <v/>
      </c>
      <c r="G58" s="54" t="str">
        <f aca="false">IFERROR(INDEX(维保合同!$H$5:$H$304,MATCH(53,_自动清单!$B$5:$B$304,0)),"")</f>
        <v/>
      </c>
      <c r="H58" s="54" t="str">
        <f aca="false">IFERROR(INDEX(维保合同!$I$5:$I$304,MATCH(53,_自动清单!$B$5:$B$304,0)),"")</f>
        <v/>
      </c>
      <c r="I58" s="55" t="str">
        <f aca="true">IF(N($H58)=0,"",$H58-TODAY())</f>
        <v/>
      </c>
      <c r="J58" s="56" t="str">
        <f aca="false">IF($A58="","",TRIM(IFERROR(INDEX(维保合同!$Q$5:$Q$304,MATCH(53,_自动清单!$B$5:$B$304,0))&amp;"","")&amp;" "&amp;IFERROR(INDEX(维保合同!$R$5:$R$304,MATCH(53,_自动清单!$B$5:$B$304,0))&amp;"","")))</f>
        <v/>
      </c>
      <c r="K58" s="57" t="str">
        <f aca="false">IFERROR(INDEX(维保合同!$L$5:$L$304,MATCH(53,_自动清单!$B$5:$B$304,0)),"")</f>
        <v/>
      </c>
      <c r="L58" s="30" t="str">
        <f aca="false">IFERROR(INDEX(维保合同!$W$5:$W$304,MATCH(53,_自动清单!$B$5:$B$304,0))&amp;"","")</f>
        <v/>
      </c>
    </row>
    <row r="59" customFormat="false" ht="15" hidden="false" customHeight="false" outlineLevel="0" collapsed="false">
      <c r="A59" s="29" t="str">
        <f aca="false">IF(54&gt;_自动清单!$B$304,"",54)</f>
        <v/>
      </c>
      <c r="B59" s="53" t="str">
        <f aca="false">IFERROR(INDEX(维保合同!$B$5:$B$304,MATCH(54,_自动清单!$B$5:$B$304,0))&amp;"","")</f>
        <v/>
      </c>
      <c r="C59" s="16" t="str">
        <f aca="false">IFERROR(INDEX(维保合同!$C$5:$C$304,MATCH(54,_自动清单!$B$5:$B$304,0))&amp;"","")</f>
        <v/>
      </c>
      <c r="D59" s="16" t="str">
        <f aca="false">IFERROR(INDEX(维保合同!$D$5:$D$304,MATCH(54,_自动清单!$B$5:$B$304,0))&amp;"","")</f>
        <v/>
      </c>
      <c r="E59" s="53" t="str">
        <f aca="false">IFERROR(INDEX(维保合同!$F$5:$F$304,MATCH(54,_自动清单!$B$5:$B$304,0))&amp;"","")</f>
        <v/>
      </c>
      <c r="F59" s="53" t="str">
        <f aca="false">IFERROR(INDEX(维保合同!$G$5:$G$304,MATCH(54,_自动清单!$B$5:$B$304,0))&amp;"","")</f>
        <v/>
      </c>
      <c r="G59" s="54" t="str">
        <f aca="false">IFERROR(INDEX(维保合同!$H$5:$H$304,MATCH(54,_自动清单!$B$5:$B$304,0)),"")</f>
        <v/>
      </c>
      <c r="H59" s="54" t="str">
        <f aca="false">IFERROR(INDEX(维保合同!$I$5:$I$304,MATCH(54,_自动清单!$B$5:$B$304,0)),"")</f>
        <v/>
      </c>
      <c r="I59" s="55" t="str">
        <f aca="true">IF(N($H59)=0,"",$H59-TODAY())</f>
        <v/>
      </c>
      <c r="J59" s="56" t="str">
        <f aca="false">IF($A59="","",TRIM(IFERROR(INDEX(维保合同!$Q$5:$Q$304,MATCH(54,_自动清单!$B$5:$B$304,0))&amp;"","")&amp;" "&amp;IFERROR(INDEX(维保合同!$R$5:$R$304,MATCH(54,_自动清单!$B$5:$B$304,0))&amp;"","")))</f>
        <v/>
      </c>
      <c r="K59" s="57" t="str">
        <f aca="false">IFERROR(INDEX(维保合同!$L$5:$L$304,MATCH(54,_自动清单!$B$5:$B$304,0)),"")</f>
        <v/>
      </c>
      <c r="L59" s="30" t="str">
        <f aca="false">IFERROR(INDEX(维保合同!$W$5:$W$304,MATCH(54,_自动清单!$B$5:$B$304,0))&amp;"","")</f>
        <v/>
      </c>
    </row>
    <row r="60" customFormat="false" ht="15" hidden="false" customHeight="false" outlineLevel="0" collapsed="false">
      <c r="A60" s="29" t="str">
        <f aca="false">IF(55&gt;_自动清单!$B$304,"",55)</f>
        <v/>
      </c>
      <c r="B60" s="53" t="str">
        <f aca="false">IFERROR(INDEX(维保合同!$B$5:$B$304,MATCH(55,_自动清单!$B$5:$B$304,0))&amp;"","")</f>
        <v/>
      </c>
      <c r="C60" s="16" t="str">
        <f aca="false">IFERROR(INDEX(维保合同!$C$5:$C$304,MATCH(55,_自动清单!$B$5:$B$304,0))&amp;"","")</f>
        <v/>
      </c>
      <c r="D60" s="16" t="str">
        <f aca="false">IFERROR(INDEX(维保合同!$D$5:$D$304,MATCH(55,_自动清单!$B$5:$B$304,0))&amp;"","")</f>
        <v/>
      </c>
      <c r="E60" s="53" t="str">
        <f aca="false">IFERROR(INDEX(维保合同!$F$5:$F$304,MATCH(55,_自动清单!$B$5:$B$304,0))&amp;"","")</f>
        <v/>
      </c>
      <c r="F60" s="53" t="str">
        <f aca="false">IFERROR(INDEX(维保合同!$G$5:$G$304,MATCH(55,_自动清单!$B$5:$B$304,0))&amp;"","")</f>
        <v/>
      </c>
      <c r="G60" s="54" t="str">
        <f aca="false">IFERROR(INDEX(维保合同!$H$5:$H$304,MATCH(55,_自动清单!$B$5:$B$304,0)),"")</f>
        <v/>
      </c>
      <c r="H60" s="54" t="str">
        <f aca="false">IFERROR(INDEX(维保合同!$I$5:$I$304,MATCH(55,_自动清单!$B$5:$B$304,0)),"")</f>
        <v/>
      </c>
      <c r="I60" s="55" t="str">
        <f aca="true">IF(N($H60)=0,"",$H60-TODAY())</f>
        <v/>
      </c>
      <c r="J60" s="56" t="str">
        <f aca="false">IF($A60="","",TRIM(IFERROR(INDEX(维保合同!$Q$5:$Q$304,MATCH(55,_自动清单!$B$5:$B$304,0))&amp;"","")&amp;" "&amp;IFERROR(INDEX(维保合同!$R$5:$R$304,MATCH(55,_自动清单!$B$5:$B$304,0))&amp;"","")))</f>
        <v/>
      </c>
      <c r="K60" s="57" t="str">
        <f aca="false">IFERROR(INDEX(维保合同!$L$5:$L$304,MATCH(55,_自动清单!$B$5:$B$304,0)),"")</f>
        <v/>
      </c>
      <c r="L60" s="30" t="str">
        <f aca="false">IFERROR(INDEX(维保合同!$W$5:$W$304,MATCH(55,_自动清单!$B$5:$B$304,0))&amp;"","")</f>
        <v/>
      </c>
    </row>
    <row r="61" customFormat="false" ht="15" hidden="false" customHeight="false" outlineLevel="0" collapsed="false">
      <c r="A61" s="29" t="str">
        <f aca="false">IF(56&gt;_自动清单!$B$304,"",56)</f>
        <v/>
      </c>
      <c r="B61" s="53" t="str">
        <f aca="false">IFERROR(INDEX(维保合同!$B$5:$B$304,MATCH(56,_自动清单!$B$5:$B$304,0))&amp;"","")</f>
        <v/>
      </c>
      <c r="C61" s="16" t="str">
        <f aca="false">IFERROR(INDEX(维保合同!$C$5:$C$304,MATCH(56,_自动清单!$B$5:$B$304,0))&amp;"","")</f>
        <v/>
      </c>
      <c r="D61" s="16" t="str">
        <f aca="false">IFERROR(INDEX(维保合同!$D$5:$D$304,MATCH(56,_自动清单!$B$5:$B$304,0))&amp;"","")</f>
        <v/>
      </c>
      <c r="E61" s="53" t="str">
        <f aca="false">IFERROR(INDEX(维保合同!$F$5:$F$304,MATCH(56,_自动清单!$B$5:$B$304,0))&amp;"","")</f>
        <v/>
      </c>
      <c r="F61" s="53" t="str">
        <f aca="false">IFERROR(INDEX(维保合同!$G$5:$G$304,MATCH(56,_自动清单!$B$5:$B$304,0))&amp;"","")</f>
        <v/>
      </c>
      <c r="G61" s="54" t="str">
        <f aca="false">IFERROR(INDEX(维保合同!$H$5:$H$304,MATCH(56,_自动清单!$B$5:$B$304,0)),"")</f>
        <v/>
      </c>
      <c r="H61" s="54" t="str">
        <f aca="false">IFERROR(INDEX(维保合同!$I$5:$I$304,MATCH(56,_自动清单!$B$5:$B$304,0)),"")</f>
        <v/>
      </c>
      <c r="I61" s="55" t="str">
        <f aca="true">IF(N($H61)=0,"",$H61-TODAY())</f>
        <v/>
      </c>
      <c r="J61" s="56" t="str">
        <f aca="false">IF($A61="","",TRIM(IFERROR(INDEX(维保合同!$Q$5:$Q$304,MATCH(56,_自动清单!$B$5:$B$304,0))&amp;"","")&amp;" "&amp;IFERROR(INDEX(维保合同!$R$5:$R$304,MATCH(56,_自动清单!$B$5:$B$304,0))&amp;"","")))</f>
        <v/>
      </c>
      <c r="K61" s="57" t="str">
        <f aca="false">IFERROR(INDEX(维保合同!$L$5:$L$304,MATCH(56,_自动清单!$B$5:$B$304,0)),"")</f>
        <v/>
      </c>
      <c r="L61" s="30" t="str">
        <f aca="false">IFERROR(INDEX(维保合同!$W$5:$W$304,MATCH(56,_自动清单!$B$5:$B$304,0))&amp;"","")</f>
        <v/>
      </c>
    </row>
    <row r="62" customFormat="false" ht="15" hidden="false" customHeight="false" outlineLevel="0" collapsed="false">
      <c r="A62" s="29" t="str">
        <f aca="false">IF(57&gt;_自动清单!$B$304,"",57)</f>
        <v/>
      </c>
      <c r="B62" s="53" t="str">
        <f aca="false">IFERROR(INDEX(维保合同!$B$5:$B$304,MATCH(57,_自动清单!$B$5:$B$304,0))&amp;"","")</f>
        <v/>
      </c>
      <c r="C62" s="16" t="str">
        <f aca="false">IFERROR(INDEX(维保合同!$C$5:$C$304,MATCH(57,_自动清单!$B$5:$B$304,0))&amp;"","")</f>
        <v/>
      </c>
      <c r="D62" s="16" t="str">
        <f aca="false">IFERROR(INDEX(维保合同!$D$5:$D$304,MATCH(57,_自动清单!$B$5:$B$304,0))&amp;"","")</f>
        <v/>
      </c>
      <c r="E62" s="53" t="str">
        <f aca="false">IFERROR(INDEX(维保合同!$F$5:$F$304,MATCH(57,_自动清单!$B$5:$B$304,0))&amp;"","")</f>
        <v/>
      </c>
      <c r="F62" s="53" t="str">
        <f aca="false">IFERROR(INDEX(维保合同!$G$5:$G$304,MATCH(57,_自动清单!$B$5:$B$304,0))&amp;"","")</f>
        <v/>
      </c>
      <c r="G62" s="54" t="str">
        <f aca="false">IFERROR(INDEX(维保合同!$H$5:$H$304,MATCH(57,_自动清单!$B$5:$B$304,0)),"")</f>
        <v/>
      </c>
      <c r="H62" s="54" t="str">
        <f aca="false">IFERROR(INDEX(维保合同!$I$5:$I$304,MATCH(57,_自动清单!$B$5:$B$304,0)),"")</f>
        <v/>
      </c>
      <c r="I62" s="55" t="str">
        <f aca="true">IF(N($H62)=0,"",$H62-TODAY())</f>
        <v/>
      </c>
      <c r="J62" s="56" t="str">
        <f aca="false">IF($A62="","",TRIM(IFERROR(INDEX(维保合同!$Q$5:$Q$304,MATCH(57,_自动清单!$B$5:$B$304,0))&amp;"","")&amp;" "&amp;IFERROR(INDEX(维保合同!$R$5:$R$304,MATCH(57,_自动清单!$B$5:$B$304,0))&amp;"","")))</f>
        <v/>
      </c>
      <c r="K62" s="57" t="str">
        <f aca="false">IFERROR(INDEX(维保合同!$L$5:$L$304,MATCH(57,_自动清单!$B$5:$B$304,0)),"")</f>
        <v/>
      </c>
      <c r="L62" s="30" t="str">
        <f aca="false">IFERROR(INDEX(维保合同!$W$5:$W$304,MATCH(57,_自动清单!$B$5:$B$304,0))&amp;"","")</f>
        <v/>
      </c>
    </row>
    <row r="63" customFormat="false" ht="15" hidden="false" customHeight="false" outlineLevel="0" collapsed="false">
      <c r="A63" s="29" t="str">
        <f aca="false">IF(58&gt;_自动清单!$B$304,"",58)</f>
        <v/>
      </c>
      <c r="B63" s="53" t="str">
        <f aca="false">IFERROR(INDEX(维保合同!$B$5:$B$304,MATCH(58,_自动清单!$B$5:$B$304,0))&amp;"","")</f>
        <v/>
      </c>
      <c r="C63" s="16" t="str">
        <f aca="false">IFERROR(INDEX(维保合同!$C$5:$C$304,MATCH(58,_自动清单!$B$5:$B$304,0))&amp;"","")</f>
        <v/>
      </c>
      <c r="D63" s="16" t="str">
        <f aca="false">IFERROR(INDEX(维保合同!$D$5:$D$304,MATCH(58,_自动清单!$B$5:$B$304,0))&amp;"","")</f>
        <v/>
      </c>
      <c r="E63" s="53" t="str">
        <f aca="false">IFERROR(INDEX(维保合同!$F$5:$F$304,MATCH(58,_自动清单!$B$5:$B$304,0))&amp;"","")</f>
        <v/>
      </c>
      <c r="F63" s="53" t="str">
        <f aca="false">IFERROR(INDEX(维保合同!$G$5:$G$304,MATCH(58,_自动清单!$B$5:$B$304,0))&amp;"","")</f>
        <v/>
      </c>
      <c r="G63" s="54" t="str">
        <f aca="false">IFERROR(INDEX(维保合同!$H$5:$H$304,MATCH(58,_自动清单!$B$5:$B$304,0)),"")</f>
        <v/>
      </c>
      <c r="H63" s="54" t="str">
        <f aca="false">IFERROR(INDEX(维保合同!$I$5:$I$304,MATCH(58,_自动清单!$B$5:$B$304,0)),"")</f>
        <v/>
      </c>
      <c r="I63" s="55" t="str">
        <f aca="true">IF(N($H63)=0,"",$H63-TODAY())</f>
        <v/>
      </c>
      <c r="J63" s="56" t="str">
        <f aca="false">IF($A63="","",TRIM(IFERROR(INDEX(维保合同!$Q$5:$Q$304,MATCH(58,_自动清单!$B$5:$B$304,0))&amp;"","")&amp;" "&amp;IFERROR(INDEX(维保合同!$R$5:$R$304,MATCH(58,_自动清单!$B$5:$B$304,0))&amp;"","")))</f>
        <v/>
      </c>
      <c r="K63" s="57" t="str">
        <f aca="false">IFERROR(INDEX(维保合同!$L$5:$L$304,MATCH(58,_自动清单!$B$5:$B$304,0)),"")</f>
        <v/>
      </c>
      <c r="L63" s="30" t="str">
        <f aca="false">IFERROR(INDEX(维保合同!$W$5:$W$304,MATCH(58,_自动清单!$B$5:$B$304,0))&amp;"","")</f>
        <v/>
      </c>
    </row>
    <row r="64" customFormat="false" ht="15" hidden="false" customHeight="false" outlineLevel="0" collapsed="false">
      <c r="A64" s="29" t="str">
        <f aca="false">IF(59&gt;_自动清单!$B$304,"",59)</f>
        <v/>
      </c>
      <c r="B64" s="53" t="str">
        <f aca="false">IFERROR(INDEX(维保合同!$B$5:$B$304,MATCH(59,_自动清单!$B$5:$B$304,0))&amp;"","")</f>
        <v/>
      </c>
      <c r="C64" s="16" t="str">
        <f aca="false">IFERROR(INDEX(维保合同!$C$5:$C$304,MATCH(59,_自动清单!$B$5:$B$304,0))&amp;"","")</f>
        <v/>
      </c>
      <c r="D64" s="16" t="str">
        <f aca="false">IFERROR(INDEX(维保合同!$D$5:$D$304,MATCH(59,_自动清单!$B$5:$B$304,0))&amp;"","")</f>
        <v/>
      </c>
      <c r="E64" s="53" t="str">
        <f aca="false">IFERROR(INDEX(维保合同!$F$5:$F$304,MATCH(59,_自动清单!$B$5:$B$304,0))&amp;"","")</f>
        <v/>
      </c>
      <c r="F64" s="53" t="str">
        <f aca="false">IFERROR(INDEX(维保合同!$G$5:$G$304,MATCH(59,_自动清单!$B$5:$B$304,0))&amp;"","")</f>
        <v/>
      </c>
      <c r="G64" s="54" t="str">
        <f aca="false">IFERROR(INDEX(维保合同!$H$5:$H$304,MATCH(59,_自动清单!$B$5:$B$304,0)),"")</f>
        <v/>
      </c>
      <c r="H64" s="54" t="str">
        <f aca="false">IFERROR(INDEX(维保合同!$I$5:$I$304,MATCH(59,_自动清单!$B$5:$B$304,0)),"")</f>
        <v/>
      </c>
      <c r="I64" s="55" t="str">
        <f aca="true">IF(N($H64)=0,"",$H64-TODAY())</f>
        <v/>
      </c>
      <c r="J64" s="56" t="str">
        <f aca="false">IF($A64="","",TRIM(IFERROR(INDEX(维保合同!$Q$5:$Q$304,MATCH(59,_自动清单!$B$5:$B$304,0))&amp;"","")&amp;" "&amp;IFERROR(INDEX(维保合同!$R$5:$R$304,MATCH(59,_自动清单!$B$5:$B$304,0))&amp;"","")))</f>
        <v/>
      </c>
      <c r="K64" s="57" t="str">
        <f aca="false">IFERROR(INDEX(维保合同!$L$5:$L$304,MATCH(59,_自动清单!$B$5:$B$304,0)),"")</f>
        <v/>
      </c>
      <c r="L64" s="30" t="str">
        <f aca="false">IFERROR(INDEX(维保合同!$W$5:$W$304,MATCH(59,_自动清单!$B$5:$B$304,0))&amp;"","")</f>
        <v/>
      </c>
    </row>
    <row r="65" customFormat="false" ht="15" hidden="false" customHeight="false" outlineLevel="0" collapsed="false">
      <c r="A65" s="29" t="str">
        <f aca="false">IF(60&gt;_自动清单!$B$304,"",60)</f>
        <v/>
      </c>
      <c r="B65" s="53" t="str">
        <f aca="false">IFERROR(INDEX(维保合同!$B$5:$B$304,MATCH(60,_自动清单!$B$5:$B$304,0))&amp;"","")</f>
        <v/>
      </c>
      <c r="C65" s="16" t="str">
        <f aca="false">IFERROR(INDEX(维保合同!$C$5:$C$304,MATCH(60,_自动清单!$B$5:$B$304,0))&amp;"","")</f>
        <v/>
      </c>
      <c r="D65" s="16" t="str">
        <f aca="false">IFERROR(INDEX(维保合同!$D$5:$D$304,MATCH(60,_自动清单!$B$5:$B$304,0))&amp;"","")</f>
        <v/>
      </c>
      <c r="E65" s="53" t="str">
        <f aca="false">IFERROR(INDEX(维保合同!$F$5:$F$304,MATCH(60,_自动清单!$B$5:$B$304,0))&amp;"","")</f>
        <v/>
      </c>
      <c r="F65" s="53" t="str">
        <f aca="false">IFERROR(INDEX(维保合同!$G$5:$G$304,MATCH(60,_自动清单!$B$5:$B$304,0))&amp;"","")</f>
        <v/>
      </c>
      <c r="G65" s="54" t="str">
        <f aca="false">IFERROR(INDEX(维保合同!$H$5:$H$304,MATCH(60,_自动清单!$B$5:$B$304,0)),"")</f>
        <v/>
      </c>
      <c r="H65" s="54" t="str">
        <f aca="false">IFERROR(INDEX(维保合同!$I$5:$I$304,MATCH(60,_自动清单!$B$5:$B$304,0)),"")</f>
        <v/>
      </c>
      <c r="I65" s="55" t="str">
        <f aca="true">IF(N($H65)=0,"",$H65-TODAY())</f>
        <v/>
      </c>
      <c r="J65" s="56" t="str">
        <f aca="false">IF($A65="","",TRIM(IFERROR(INDEX(维保合同!$Q$5:$Q$304,MATCH(60,_自动清单!$B$5:$B$304,0))&amp;"","")&amp;" "&amp;IFERROR(INDEX(维保合同!$R$5:$R$304,MATCH(60,_自动清单!$B$5:$B$304,0))&amp;"","")))</f>
        <v/>
      </c>
      <c r="K65" s="57" t="str">
        <f aca="false">IFERROR(INDEX(维保合同!$L$5:$L$304,MATCH(60,_自动清单!$B$5:$B$304,0)),"")</f>
        <v/>
      </c>
      <c r="L65" s="30" t="str">
        <f aca="false">IFERROR(INDEX(维保合同!$W$5:$W$304,MATCH(60,_自动清单!$B$5:$B$304,0))&amp;"","")</f>
        <v/>
      </c>
    </row>
    <row r="67" customFormat="false" ht="15" hidden="false" customHeight="false" outlineLevel="0" collapsed="false">
      <c r="A67" s="17" t="str">
        <f aca="false">" ② 电梯年检 / 限速器校验 / 载重试验 到期 —— 共 "&amp;_自动清单!$E$604&amp;" 台（这里最多列 80 台）"</f>
        <v> ② 电梯年检 / 限速器校验 / 载重试验 到期 —— 共 5 台（这里最多列 80 台）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</row>
    <row r="68" customFormat="false" ht="25.5" hidden="false" customHeight="true" outlineLevel="0" collapsed="false">
      <c r="A68" s="52" t="s">
        <v>199</v>
      </c>
      <c r="B68" s="52" t="s">
        <v>519</v>
      </c>
      <c r="C68" s="52" t="s">
        <v>520</v>
      </c>
      <c r="D68" s="52" t="s">
        <v>215</v>
      </c>
      <c r="E68" s="52" t="s">
        <v>216</v>
      </c>
      <c r="F68" s="52" t="s">
        <v>221</v>
      </c>
      <c r="G68" s="52" t="s">
        <v>547</v>
      </c>
      <c r="H68" s="52" t="s">
        <v>548</v>
      </c>
      <c r="I68" s="52" t="s">
        <v>549</v>
      </c>
      <c r="J68" s="52" t="s">
        <v>550</v>
      </c>
      <c r="K68" s="52" t="s">
        <v>545</v>
      </c>
      <c r="L68" s="52" t="s">
        <v>536</v>
      </c>
    </row>
    <row r="69" customFormat="false" ht="15" hidden="false" customHeight="false" outlineLevel="0" collapsed="false">
      <c r="A69" s="29" t="n">
        <f aca="false">IF(1&gt;_自动清单!$E$604,"",1)</f>
        <v>1</v>
      </c>
      <c r="B69" s="16" t="str">
        <f aca="false">IFERROR(INDEX(电梯资料!$C$5:$C$604,MATCH(1,_自动清单!$E$5:$E$604,0))&amp;"","")</f>
        <v>河南中意联机电工程有限公司</v>
      </c>
      <c r="C69" s="16" t="str">
        <f aca="false">IFERROR(INDEX(电梯资料!$D$5:$D$604,MATCH(1,_自动清单!$E$5:$E$604,0))&amp;"","")</f>
        <v>滨江苑一期</v>
      </c>
      <c r="D69" s="53" t="str">
        <f aca="false">IFERROR(INDEX(电梯资料!$Q$5:$Q$604,MATCH(1,_自动清单!$E$5:$E$604,0))&amp;"","")</f>
        <v>10045590-0010</v>
      </c>
      <c r="E69" s="53" t="str">
        <f aca="false">IFERROR(INDEX(电梯资料!$R$5:$R$604,MATCH(1,_自动清单!$E$5:$E$604,0))&amp;"","")</f>
        <v>1#客</v>
      </c>
      <c r="F69" s="53" t="str">
        <f aca="false">IFERROR(INDEX(电梯资料!$W$5:$W$604,MATCH(1,_自动清单!$E$5:$E$604,0))&amp;"","")</f>
        <v>张建国</v>
      </c>
      <c r="G69" s="54" t="n">
        <f aca="false">IFERROR(INDEX(电梯资料!$T$5:$T$604,MATCH(1,_自动清单!$E$5:$E$604,0)),"")</f>
        <v>46303</v>
      </c>
      <c r="H69" s="54" t="n">
        <f aca="false">IFERROR(INDEX(电梯资料!$U$5:$U$604,MATCH(1,_自动清单!$E$5:$E$604,0)),"")</f>
        <v>46447</v>
      </c>
      <c r="I69" s="54" t="n">
        <f aca="false">IFERROR(INDEX(电梯资料!$V$5:$V$604,MATCH(1,_自动清单!$E$5:$E$604,0)),"")</f>
        <v>46874</v>
      </c>
      <c r="J69" s="58" t="n">
        <f aca="false">IF(COUNT($G69:$I69)=0,"",MIN($G69:$I69))</f>
        <v>46303</v>
      </c>
      <c r="K69" s="55" t="n">
        <f aca="true">IF(N($J69)=0,"",$J69-TODAY())</f>
        <v>17</v>
      </c>
      <c r="L69" s="56" t="str">
        <f aca="false">IF($A69="","",TRIM(IF(IFERROR(INDEX(电梯资料!$AA$5:$AA$604,MATCH(1,_自动清单!$E$5:$E$604,0))&amp;"","")&lt;&gt;"","年检 "&amp;IFERROR(INDEX(电梯资料!$AA$5:$AA$604,MATCH(1,_自动清单!$E$5:$E$604,0))&amp;"",""),"")&amp;IF(AND(IFERROR(INDEX(电梯资料!$AA$5:$AA$604,MATCH(1,_自动清单!$E$5:$E$604,0))&amp;"","")&lt;&gt;"",IFERROR(INDEX(电梯资料!$AB$5:$AB$604,MATCH(1,_自动清单!$E$5:$E$604,0))&amp;"","")&lt;&gt;"")," ｜ ","")&amp;IF(IFERROR(INDEX(电梯资料!$AB$5:$AB$604,MATCH(1,_自动清单!$E$5:$E$604,0))&amp;"","")&lt;&gt;"","校验 "&amp;IFERROR(INDEX(电梯资料!$AB$5:$AB$604,MATCH(1,_自动清单!$E$5:$E$604,0))&amp;"",""),"")))</f>
        <v>年检 还剩 17 天</v>
      </c>
    </row>
    <row r="70" customFormat="false" ht="26.85" hidden="false" customHeight="false" outlineLevel="0" collapsed="false">
      <c r="A70" s="29" t="n">
        <f aca="false">IF(2&gt;_自动清单!$E$604,"",2)</f>
        <v>2</v>
      </c>
      <c r="B70" s="16" t="str">
        <f aca="false">IFERROR(INDEX(电梯资料!$C$5:$C$604,MATCH(2,_自动清单!$E$5:$E$604,0))&amp;"","")</f>
        <v>河南明海定慧商业管理有限公司</v>
      </c>
      <c r="C70" s="16" t="str">
        <f aca="false">IFERROR(INDEX(电梯资料!$D$5:$D$604,MATCH(2,_自动清单!$E$5:$E$604,0))&amp;"","")</f>
        <v>六渡桥</v>
      </c>
      <c r="D70" s="53" t="str">
        <f aca="false">IFERROR(INDEX(电梯资料!$Q$5:$Q$604,MATCH(2,_自动清单!$E$5:$E$604,0))&amp;"","")</f>
        <v>17ML-2601</v>
      </c>
      <c r="E70" s="53" t="str">
        <f aca="false">IFERROR(INDEX(电梯资料!$R$5:$R$604,MATCH(2,_自动清单!$E$5:$E$604,0))&amp;"","")</f>
        <v>L1#客</v>
      </c>
      <c r="F70" s="53" t="str">
        <f aca="false">IFERROR(INDEX(电梯资料!$W$5:$W$604,MATCH(2,_自动清单!$E$5:$E$604,0))&amp;"","")</f>
        <v>李伟</v>
      </c>
      <c r="G70" s="54" t="n">
        <f aca="false">IFERROR(INDEX(电梯资料!$T$5:$T$604,MATCH(2,_自动清单!$E$5:$E$604,0)),"")</f>
        <v>46280</v>
      </c>
      <c r="H70" s="54" t="n">
        <f aca="false">IFERROR(INDEX(电梯资料!$U$5:$U$604,MATCH(2,_自动清单!$E$5:$E$604,0)),"")</f>
        <v>46315</v>
      </c>
      <c r="I70" s="54" t="n">
        <f aca="false">IFERROR(INDEX(电梯资料!$V$5:$V$604,MATCH(2,_自动清单!$E$5:$E$604,0)),"")</f>
        <v>46539</v>
      </c>
      <c r="J70" s="58" t="n">
        <f aca="false">IF(COUNT($G70:$I70)=0,"",MIN($G70:$I70))</f>
        <v>46280</v>
      </c>
      <c r="K70" s="55" t="n">
        <f aca="true">IF(N($J70)=0,"",$J70-TODAY())</f>
        <v>-6</v>
      </c>
      <c r="L70" s="56" t="str">
        <f aca="false">IF($A70="","",TRIM(IF(IFERROR(INDEX(电梯资料!$AA$5:$AA$604,MATCH(2,_自动清单!$E$5:$E$604,0))&amp;"","")&lt;&gt;"","年检 "&amp;IFERROR(INDEX(电梯资料!$AA$5:$AA$604,MATCH(2,_自动清单!$E$5:$E$604,0))&amp;"",""),"")&amp;IF(AND(IFERROR(INDEX(电梯资料!$AA$5:$AA$604,MATCH(2,_自动清单!$E$5:$E$604,0))&amp;"","")&lt;&gt;"",IFERROR(INDEX(电梯资料!$AB$5:$AB$604,MATCH(2,_自动清单!$E$5:$E$604,0))&amp;"","")&lt;&gt;"")," ｜ ","")&amp;IF(IFERROR(INDEX(电梯资料!$AB$5:$AB$604,MATCH(2,_自动清单!$E$5:$E$604,0))&amp;"","")&lt;&gt;"","校验 "&amp;IFERROR(INDEX(电梯资料!$AB$5:$AB$604,MATCH(2,_自动清单!$E$5:$E$604,0))&amp;"",""),"")))</f>
        <v>年检 已过期 6 天 ｜ 校验 还剩 29 天</v>
      </c>
    </row>
    <row r="71" customFormat="false" ht="15" hidden="false" customHeight="false" outlineLevel="0" collapsed="false">
      <c r="A71" s="29" t="n">
        <f aca="false">IF(3&gt;_自动清单!$E$604,"",3)</f>
        <v>3</v>
      </c>
      <c r="B71" s="16" t="str">
        <f aca="false">IFERROR(INDEX(电梯资料!$C$5:$C$604,MATCH(3,_自动清单!$E$5:$E$604,0))&amp;"","")</f>
        <v>金禧永航集团有限公司</v>
      </c>
      <c r="C71" s="16" t="str">
        <f aca="false">IFERROR(INDEX(电梯资料!$D$5:$D$604,MATCH(3,_自动清单!$E$5:$E$604,0))&amp;"","")</f>
        <v>金禧西北路291号</v>
      </c>
      <c r="D71" s="53" t="str">
        <f aca="false">IFERROR(INDEX(电梯资料!$Q$5:$Q$604,MATCH(3,_自动清单!$E$5:$E$604,0))&amp;"","")</f>
        <v>M19NJ1136</v>
      </c>
      <c r="E71" s="53" t="str">
        <f aca="false">IFERROR(INDEX(电梯资料!$R$5:$R$604,MATCH(3,_自动清单!$E$5:$E$604,0))&amp;"","")</f>
        <v>1#</v>
      </c>
      <c r="F71" s="53" t="str">
        <f aca="false">IFERROR(INDEX(电梯资料!$W$5:$W$604,MATCH(3,_自动清单!$E$5:$E$604,0))&amp;"","")</f>
        <v>陈磊</v>
      </c>
      <c r="G71" s="54" t="n">
        <f aca="false">IFERROR(INDEX(电梯资料!$T$5:$T$604,MATCH(3,_自动清单!$E$5:$E$604,0)),"")</f>
        <v>46310</v>
      </c>
      <c r="H71" s="54" t="n">
        <f aca="false">IFERROR(INDEX(电梯资料!$U$5:$U$604,MATCH(3,_自动清单!$E$5:$E$604,0)),"")</f>
        <v>46357</v>
      </c>
      <c r="I71" s="54" t="n">
        <f aca="false">IFERROR(INDEX(电梯资料!$V$5:$V$604,MATCH(3,_自动清单!$E$5:$E$604,0)),"")</f>
        <v>46631</v>
      </c>
      <c r="J71" s="58" t="n">
        <f aca="false">IF(COUNT($G71:$I71)=0,"",MIN($G71:$I71))</f>
        <v>46310</v>
      </c>
      <c r="K71" s="55" t="n">
        <f aca="true">IF(N($J71)=0,"",$J71-TODAY())</f>
        <v>24</v>
      </c>
      <c r="L71" s="56" t="str">
        <f aca="false">IF($A71="","",TRIM(IF(IFERROR(INDEX(电梯资料!$AA$5:$AA$604,MATCH(3,_自动清单!$E$5:$E$604,0))&amp;"","")&lt;&gt;"","年检 "&amp;IFERROR(INDEX(电梯资料!$AA$5:$AA$604,MATCH(3,_自动清单!$E$5:$E$604,0))&amp;"",""),"")&amp;IF(AND(IFERROR(INDEX(电梯资料!$AA$5:$AA$604,MATCH(3,_自动清单!$E$5:$E$604,0))&amp;"","")&lt;&gt;"",IFERROR(INDEX(电梯资料!$AB$5:$AB$604,MATCH(3,_自动清单!$E$5:$E$604,0))&amp;"","")&lt;&gt;"")," ｜ ","")&amp;IF(IFERROR(INDEX(电梯资料!$AB$5:$AB$604,MATCH(3,_自动清单!$E$5:$E$604,0))&amp;"","")&lt;&gt;"","校验 "&amp;IFERROR(INDEX(电梯资料!$AB$5:$AB$604,MATCH(3,_自动清单!$E$5:$E$604,0))&amp;"",""),"")))</f>
        <v>年检 还剩 24 天</v>
      </c>
    </row>
    <row r="72" customFormat="false" ht="15" hidden="false" customHeight="false" outlineLevel="0" collapsed="false">
      <c r="A72" s="29" t="n">
        <f aca="false">IF(4&gt;_自动清单!$E$604,"",4)</f>
        <v>4</v>
      </c>
      <c r="B72" s="16" t="str">
        <f aca="false">IFERROR(INDEX(电梯资料!$C$5:$C$604,MATCH(4,_自动清单!$E$5:$E$604,0))&amp;"","")</f>
        <v>黄冈市黄陂区鑫捷惠超市（个体工商户）</v>
      </c>
      <c r="C72" s="16" t="str">
        <f aca="false">IFERROR(INDEX(电梯资料!$D$5:$D$604,MATCH(4,_自动清单!$E$5:$E$604,0))&amp;"","")</f>
        <v>项陂雅迪</v>
      </c>
      <c r="D72" s="53" t="str">
        <f aca="false">IFERROR(INDEX(电梯资料!$Q$5:$Q$604,MATCH(4,_自动清单!$E$5:$E$604,0))&amp;"","")</f>
        <v>12J50060</v>
      </c>
      <c r="E72" s="53" t="str">
        <f aca="false">IFERROR(INDEX(电梯资料!$R$5:$R$604,MATCH(4,_自动清单!$E$5:$E$604,0))&amp;"","")</f>
        <v>1#货</v>
      </c>
      <c r="F72" s="53" t="str">
        <f aca="false">IFERROR(INDEX(电梯资料!$W$5:$W$604,MATCH(4,_自动清单!$E$5:$E$604,0))&amp;"","")</f>
        <v>李伟</v>
      </c>
      <c r="G72" s="54" t="n">
        <f aca="false">IFERROR(INDEX(电梯资料!$T$5:$T$604,MATCH(4,_自动清单!$E$5:$E$604,0)),"")</f>
        <v>46264</v>
      </c>
      <c r="H72" s="54" t="n">
        <f aca="false">IFERROR(INDEX(电梯资料!$U$5:$U$604,MATCH(4,_自动清单!$E$5:$E$604,0)),"")</f>
        <v>46508</v>
      </c>
      <c r="I72" s="54" t="n">
        <f aca="false">IFERROR(INDEX(电梯资料!$V$5:$V$604,MATCH(4,_自动清单!$E$5:$E$604,0)),"")</f>
        <v>46813</v>
      </c>
      <c r="J72" s="58" t="n">
        <f aca="false">IF(COUNT($G72:$I72)=0,"",MIN($G72:$I72))</f>
        <v>46264</v>
      </c>
      <c r="K72" s="55" t="n">
        <f aca="true">IF(N($J72)=0,"",$J72-TODAY())</f>
        <v>-22</v>
      </c>
      <c r="L72" s="56" t="str">
        <f aca="false">IF($A72="","",TRIM(IF(IFERROR(INDEX(电梯资料!$AA$5:$AA$604,MATCH(4,_自动清单!$E$5:$E$604,0))&amp;"","")&lt;&gt;"","年检 "&amp;IFERROR(INDEX(电梯资料!$AA$5:$AA$604,MATCH(4,_自动清单!$E$5:$E$604,0))&amp;"",""),"")&amp;IF(AND(IFERROR(INDEX(电梯资料!$AA$5:$AA$604,MATCH(4,_自动清单!$E$5:$E$604,0))&amp;"","")&lt;&gt;"",IFERROR(INDEX(电梯资料!$AB$5:$AB$604,MATCH(4,_自动清单!$E$5:$E$604,0))&amp;"","")&lt;&gt;"")," ｜ ","")&amp;IF(IFERROR(INDEX(电梯资料!$AB$5:$AB$604,MATCH(4,_自动清单!$E$5:$E$604,0))&amp;"","")&lt;&gt;"","校验 "&amp;IFERROR(INDEX(电梯资料!$AB$5:$AB$604,MATCH(4,_自动清单!$E$5:$E$604,0))&amp;"",""),"")))</f>
        <v>年检 已过期 22 天</v>
      </c>
    </row>
    <row r="73" customFormat="false" ht="15" hidden="false" customHeight="false" outlineLevel="0" collapsed="false">
      <c r="A73" s="29" t="n">
        <f aca="false">IF(5&gt;_自动清单!$E$604,"",5)</f>
        <v>5</v>
      </c>
      <c r="B73" s="16" t="str">
        <f aca="false">IFERROR(INDEX(电梯资料!$C$5:$C$604,MATCH(5,_自动清单!$E$5:$E$604,0))&amp;"","")</f>
        <v>河南光谷义神新材料孵化器有限公司</v>
      </c>
      <c r="C73" s="16" t="str">
        <f aca="false">IFERROR(INDEX(电梯资料!$D$5:$D$604,MATCH(5,_自动清单!$E$5:$E$604,0))&amp;"","")</f>
        <v>永和云居</v>
      </c>
      <c r="D73" s="53" t="str">
        <f aca="false">IFERROR(INDEX(电梯资料!$Q$5:$Q$604,MATCH(5,_自动清单!$E$5:$E$604,0))&amp;"","")</f>
        <v>19278033001</v>
      </c>
      <c r="E73" s="53" t="str">
        <f aca="false">IFERROR(INDEX(电梯资料!$R$5:$R$604,MATCH(5,_自动清单!$E$5:$E$604,0))&amp;"","")</f>
        <v>1号楼1#梯</v>
      </c>
      <c r="F73" s="53" t="str">
        <f aca="false">IFERROR(INDEX(电梯资料!$W$5:$W$604,MATCH(5,_自动清单!$E$5:$E$604,0))&amp;"","")</f>
        <v>张建国</v>
      </c>
      <c r="G73" s="54" t="n">
        <f aca="false">IFERROR(INDEX(电梯资料!$T$5:$T$604,MATCH(5,_自动清单!$E$5:$E$604,0)),"")</f>
        <v>46313</v>
      </c>
      <c r="H73" s="54" t="n">
        <f aca="false">IFERROR(INDEX(电梯资料!$U$5:$U$604,MATCH(5,_自动清单!$E$5:$E$604,0)),"")</f>
        <v>46392</v>
      </c>
      <c r="I73" s="54" t="n">
        <f aca="false">IFERROR(INDEX(电梯资料!$V$5:$V$604,MATCH(5,_自动清单!$E$5:$E$604,0)),"")</f>
        <v>46784</v>
      </c>
      <c r="J73" s="58" t="n">
        <f aca="false">IF(COUNT($G73:$I73)=0,"",MIN($G73:$I73))</f>
        <v>46313</v>
      </c>
      <c r="K73" s="55" t="n">
        <f aca="true">IF(N($J73)=0,"",$J73-TODAY())</f>
        <v>27</v>
      </c>
      <c r="L73" s="56" t="str">
        <f aca="false">IF($A73="","",TRIM(IF(IFERROR(INDEX(电梯资料!$AA$5:$AA$604,MATCH(5,_自动清单!$E$5:$E$604,0))&amp;"","")&lt;&gt;"","年检 "&amp;IFERROR(INDEX(电梯资料!$AA$5:$AA$604,MATCH(5,_自动清单!$E$5:$E$604,0))&amp;"",""),"")&amp;IF(AND(IFERROR(INDEX(电梯资料!$AA$5:$AA$604,MATCH(5,_自动清单!$E$5:$E$604,0))&amp;"","")&lt;&gt;"",IFERROR(INDEX(电梯资料!$AB$5:$AB$604,MATCH(5,_自动清单!$E$5:$E$604,0))&amp;"","")&lt;&gt;"")," ｜ ","")&amp;IF(IFERROR(INDEX(电梯资料!$AB$5:$AB$604,MATCH(5,_自动清单!$E$5:$E$604,0))&amp;"","")&lt;&gt;"","校验 "&amp;IFERROR(INDEX(电梯资料!$AB$5:$AB$604,MATCH(5,_自动清单!$E$5:$E$604,0))&amp;"",""),"")))</f>
        <v>年检 还剩 27 天</v>
      </c>
    </row>
    <row r="74" customFormat="false" ht="15" hidden="false" customHeight="false" outlineLevel="0" collapsed="false">
      <c r="A74" s="29" t="str">
        <f aca="false">IF(6&gt;_自动清单!$E$604,"",6)</f>
        <v/>
      </c>
      <c r="B74" s="16" t="str">
        <f aca="false">IFERROR(INDEX(电梯资料!$C$5:$C$604,MATCH(6,_自动清单!$E$5:$E$604,0))&amp;"","")</f>
        <v/>
      </c>
      <c r="C74" s="16" t="str">
        <f aca="false">IFERROR(INDEX(电梯资料!$D$5:$D$604,MATCH(6,_自动清单!$E$5:$E$604,0))&amp;"","")</f>
        <v/>
      </c>
      <c r="D74" s="53" t="str">
        <f aca="false">IFERROR(INDEX(电梯资料!$Q$5:$Q$604,MATCH(6,_自动清单!$E$5:$E$604,0))&amp;"","")</f>
        <v/>
      </c>
      <c r="E74" s="53" t="str">
        <f aca="false">IFERROR(INDEX(电梯资料!$R$5:$R$604,MATCH(6,_自动清单!$E$5:$E$604,0))&amp;"","")</f>
        <v/>
      </c>
      <c r="F74" s="53" t="str">
        <f aca="false">IFERROR(INDEX(电梯资料!$W$5:$W$604,MATCH(6,_自动清单!$E$5:$E$604,0))&amp;"","")</f>
        <v/>
      </c>
      <c r="G74" s="54" t="str">
        <f aca="false">IFERROR(INDEX(电梯资料!$T$5:$T$604,MATCH(6,_自动清单!$E$5:$E$604,0)),"")</f>
        <v/>
      </c>
      <c r="H74" s="54" t="str">
        <f aca="false">IFERROR(INDEX(电梯资料!$U$5:$U$604,MATCH(6,_自动清单!$E$5:$E$604,0)),"")</f>
        <v/>
      </c>
      <c r="I74" s="54" t="str">
        <f aca="false">IFERROR(INDEX(电梯资料!$V$5:$V$604,MATCH(6,_自动清单!$E$5:$E$604,0)),"")</f>
        <v/>
      </c>
      <c r="J74" s="58" t="str">
        <f aca="false">IF(COUNT($G74:$I74)=0,"",MIN($G74:$I74))</f>
        <v/>
      </c>
      <c r="K74" s="55" t="str">
        <f aca="true">IF(N($J74)=0,"",$J74-TODAY())</f>
        <v/>
      </c>
      <c r="L74" s="56" t="str">
        <f aca="false">IF($A74="","",TRIM(IF(IFERROR(INDEX(电梯资料!$AA$5:$AA$604,MATCH(6,_自动清单!$E$5:$E$604,0))&amp;"","")&lt;&gt;"","年检 "&amp;IFERROR(INDEX(电梯资料!$AA$5:$AA$604,MATCH(6,_自动清单!$E$5:$E$604,0))&amp;"",""),"")&amp;IF(AND(IFERROR(INDEX(电梯资料!$AA$5:$AA$604,MATCH(6,_自动清单!$E$5:$E$604,0))&amp;"","")&lt;&gt;"",IFERROR(INDEX(电梯资料!$AB$5:$AB$604,MATCH(6,_自动清单!$E$5:$E$604,0))&amp;"","")&lt;&gt;"")," ｜ ","")&amp;IF(IFERROR(INDEX(电梯资料!$AB$5:$AB$604,MATCH(6,_自动清单!$E$5:$E$604,0))&amp;"","")&lt;&gt;"","校验 "&amp;IFERROR(INDEX(电梯资料!$AB$5:$AB$604,MATCH(6,_自动清单!$E$5:$E$604,0))&amp;"",""),"")))</f>
        <v/>
      </c>
    </row>
    <row r="75" customFormat="false" ht="15" hidden="false" customHeight="false" outlineLevel="0" collapsed="false">
      <c r="A75" s="29" t="str">
        <f aca="false">IF(7&gt;_自动清单!$E$604,"",7)</f>
        <v/>
      </c>
      <c r="B75" s="16" t="str">
        <f aca="false">IFERROR(INDEX(电梯资料!$C$5:$C$604,MATCH(7,_自动清单!$E$5:$E$604,0))&amp;"","")</f>
        <v/>
      </c>
      <c r="C75" s="16" t="str">
        <f aca="false">IFERROR(INDEX(电梯资料!$D$5:$D$604,MATCH(7,_自动清单!$E$5:$E$604,0))&amp;"","")</f>
        <v/>
      </c>
      <c r="D75" s="53" t="str">
        <f aca="false">IFERROR(INDEX(电梯资料!$Q$5:$Q$604,MATCH(7,_自动清单!$E$5:$E$604,0))&amp;"","")</f>
        <v/>
      </c>
      <c r="E75" s="53" t="str">
        <f aca="false">IFERROR(INDEX(电梯资料!$R$5:$R$604,MATCH(7,_自动清单!$E$5:$E$604,0))&amp;"","")</f>
        <v/>
      </c>
      <c r="F75" s="53" t="str">
        <f aca="false">IFERROR(INDEX(电梯资料!$W$5:$W$604,MATCH(7,_自动清单!$E$5:$E$604,0))&amp;"","")</f>
        <v/>
      </c>
      <c r="G75" s="54" t="str">
        <f aca="false">IFERROR(INDEX(电梯资料!$T$5:$T$604,MATCH(7,_自动清单!$E$5:$E$604,0)),"")</f>
        <v/>
      </c>
      <c r="H75" s="54" t="str">
        <f aca="false">IFERROR(INDEX(电梯资料!$U$5:$U$604,MATCH(7,_自动清单!$E$5:$E$604,0)),"")</f>
        <v/>
      </c>
      <c r="I75" s="54" t="str">
        <f aca="false">IFERROR(INDEX(电梯资料!$V$5:$V$604,MATCH(7,_自动清单!$E$5:$E$604,0)),"")</f>
        <v/>
      </c>
      <c r="J75" s="58" t="str">
        <f aca="false">IF(COUNT($G75:$I75)=0,"",MIN($G75:$I75))</f>
        <v/>
      </c>
      <c r="K75" s="55" t="str">
        <f aca="true">IF(N($J75)=0,"",$J75-TODAY())</f>
        <v/>
      </c>
      <c r="L75" s="56" t="str">
        <f aca="false">IF($A75="","",TRIM(IF(IFERROR(INDEX(电梯资料!$AA$5:$AA$604,MATCH(7,_自动清单!$E$5:$E$604,0))&amp;"","")&lt;&gt;"","年检 "&amp;IFERROR(INDEX(电梯资料!$AA$5:$AA$604,MATCH(7,_自动清单!$E$5:$E$604,0))&amp;"",""),"")&amp;IF(AND(IFERROR(INDEX(电梯资料!$AA$5:$AA$604,MATCH(7,_自动清单!$E$5:$E$604,0))&amp;"","")&lt;&gt;"",IFERROR(INDEX(电梯资料!$AB$5:$AB$604,MATCH(7,_自动清单!$E$5:$E$604,0))&amp;"","")&lt;&gt;"")," ｜ ","")&amp;IF(IFERROR(INDEX(电梯资料!$AB$5:$AB$604,MATCH(7,_自动清单!$E$5:$E$604,0))&amp;"","")&lt;&gt;"","校验 "&amp;IFERROR(INDEX(电梯资料!$AB$5:$AB$604,MATCH(7,_自动清单!$E$5:$E$604,0))&amp;"",""),"")))</f>
        <v/>
      </c>
    </row>
    <row r="76" customFormat="false" ht="15" hidden="false" customHeight="false" outlineLevel="0" collapsed="false">
      <c r="A76" s="29" t="str">
        <f aca="false">IF(8&gt;_自动清单!$E$604,"",8)</f>
        <v/>
      </c>
      <c r="B76" s="16" t="str">
        <f aca="false">IFERROR(INDEX(电梯资料!$C$5:$C$604,MATCH(8,_自动清单!$E$5:$E$604,0))&amp;"","")</f>
        <v/>
      </c>
      <c r="C76" s="16" t="str">
        <f aca="false">IFERROR(INDEX(电梯资料!$D$5:$D$604,MATCH(8,_自动清单!$E$5:$E$604,0))&amp;"","")</f>
        <v/>
      </c>
      <c r="D76" s="53" t="str">
        <f aca="false">IFERROR(INDEX(电梯资料!$Q$5:$Q$604,MATCH(8,_自动清单!$E$5:$E$604,0))&amp;"","")</f>
        <v/>
      </c>
      <c r="E76" s="53" t="str">
        <f aca="false">IFERROR(INDEX(电梯资料!$R$5:$R$604,MATCH(8,_自动清单!$E$5:$E$604,0))&amp;"","")</f>
        <v/>
      </c>
      <c r="F76" s="53" t="str">
        <f aca="false">IFERROR(INDEX(电梯资料!$W$5:$W$604,MATCH(8,_自动清单!$E$5:$E$604,0))&amp;"","")</f>
        <v/>
      </c>
      <c r="G76" s="54" t="str">
        <f aca="false">IFERROR(INDEX(电梯资料!$T$5:$T$604,MATCH(8,_自动清单!$E$5:$E$604,0)),"")</f>
        <v/>
      </c>
      <c r="H76" s="54" t="str">
        <f aca="false">IFERROR(INDEX(电梯资料!$U$5:$U$604,MATCH(8,_自动清单!$E$5:$E$604,0)),"")</f>
        <v/>
      </c>
      <c r="I76" s="54" t="str">
        <f aca="false">IFERROR(INDEX(电梯资料!$V$5:$V$604,MATCH(8,_自动清单!$E$5:$E$604,0)),"")</f>
        <v/>
      </c>
      <c r="J76" s="58" t="str">
        <f aca="false">IF(COUNT($G76:$I76)=0,"",MIN($G76:$I76))</f>
        <v/>
      </c>
      <c r="K76" s="55" t="str">
        <f aca="true">IF(N($J76)=0,"",$J76-TODAY())</f>
        <v/>
      </c>
      <c r="L76" s="56" t="str">
        <f aca="false">IF($A76="","",TRIM(IF(IFERROR(INDEX(电梯资料!$AA$5:$AA$604,MATCH(8,_自动清单!$E$5:$E$604,0))&amp;"","")&lt;&gt;"","年检 "&amp;IFERROR(INDEX(电梯资料!$AA$5:$AA$604,MATCH(8,_自动清单!$E$5:$E$604,0))&amp;"",""),"")&amp;IF(AND(IFERROR(INDEX(电梯资料!$AA$5:$AA$604,MATCH(8,_自动清单!$E$5:$E$604,0))&amp;"","")&lt;&gt;"",IFERROR(INDEX(电梯资料!$AB$5:$AB$604,MATCH(8,_自动清单!$E$5:$E$604,0))&amp;"","")&lt;&gt;"")," ｜ ","")&amp;IF(IFERROR(INDEX(电梯资料!$AB$5:$AB$604,MATCH(8,_自动清单!$E$5:$E$604,0))&amp;"","")&lt;&gt;"","校验 "&amp;IFERROR(INDEX(电梯资料!$AB$5:$AB$604,MATCH(8,_自动清单!$E$5:$E$604,0))&amp;"",""),"")))</f>
        <v/>
      </c>
    </row>
    <row r="77" customFormat="false" ht="15" hidden="false" customHeight="false" outlineLevel="0" collapsed="false">
      <c r="A77" s="29" t="str">
        <f aca="false">IF(9&gt;_自动清单!$E$604,"",9)</f>
        <v/>
      </c>
      <c r="B77" s="16" t="str">
        <f aca="false">IFERROR(INDEX(电梯资料!$C$5:$C$604,MATCH(9,_自动清单!$E$5:$E$604,0))&amp;"","")</f>
        <v/>
      </c>
      <c r="C77" s="16" t="str">
        <f aca="false">IFERROR(INDEX(电梯资料!$D$5:$D$604,MATCH(9,_自动清单!$E$5:$E$604,0))&amp;"","")</f>
        <v/>
      </c>
      <c r="D77" s="53" t="str">
        <f aca="false">IFERROR(INDEX(电梯资料!$Q$5:$Q$604,MATCH(9,_自动清单!$E$5:$E$604,0))&amp;"","")</f>
        <v/>
      </c>
      <c r="E77" s="53" t="str">
        <f aca="false">IFERROR(INDEX(电梯资料!$R$5:$R$604,MATCH(9,_自动清单!$E$5:$E$604,0))&amp;"","")</f>
        <v/>
      </c>
      <c r="F77" s="53" t="str">
        <f aca="false">IFERROR(INDEX(电梯资料!$W$5:$W$604,MATCH(9,_自动清单!$E$5:$E$604,0))&amp;"","")</f>
        <v/>
      </c>
      <c r="G77" s="54" t="str">
        <f aca="false">IFERROR(INDEX(电梯资料!$T$5:$T$604,MATCH(9,_自动清单!$E$5:$E$604,0)),"")</f>
        <v/>
      </c>
      <c r="H77" s="54" t="str">
        <f aca="false">IFERROR(INDEX(电梯资料!$U$5:$U$604,MATCH(9,_自动清单!$E$5:$E$604,0)),"")</f>
        <v/>
      </c>
      <c r="I77" s="54" t="str">
        <f aca="false">IFERROR(INDEX(电梯资料!$V$5:$V$604,MATCH(9,_自动清单!$E$5:$E$604,0)),"")</f>
        <v/>
      </c>
      <c r="J77" s="58" t="str">
        <f aca="false">IF(COUNT($G77:$I77)=0,"",MIN($G77:$I77))</f>
        <v/>
      </c>
      <c r="K77" s="55" t="str">
        <f aca="true">IF(N($J77)=0,"",$J77-TODAY())</f>
        <v/>
      </c>
      <c r="L77" s="56" t="str">
        <f aca="false">IF($A77="","",TRIM(IF(IFERROR(INDEX(电梯资料!$AA$5:$AA$604,MATCH(9,_自动清单!$E$5:$E$604,0))&amp;"","")&lt;&gt;"","年检 "&amp;IFERROR(INDEX(电梯资料!$AA$5:$AA$604,MATCH(9,_自动清单!$E$5:$E$604,0))&amp;"",""),"")&amp;IF(AND(IFERROR(INDEX(电梯资料!$AA$5:$AA$604,MATCH(9,_自动清单!$E$5:$E$604,0))&amp;"","")&lt;&gt;"",IFERROR(INDEX(电梯资料!$AB$5:$AB$604,MATCH(9,_自动清单!$E$5:$E$604,0))&amp;"","")&lt;&gt;"")," ｜ ","")&amp;IF(IFERROR(INDEX(电梯资料!$AB$5:$AB$604,MATCH(9,_自动清单!$E$5:$E$604,0))&amp;"","")&lt;&gt;"","校验 "&amp;IFERROR(INDEX(电梯资料!$AB$5:$AB$604,MATCH(9,_自动清单!$E$5:$E$604,0))&amp;"",""),"")))</f>
        <v/>
      </c>
    </row>
    <row r="78" customFormat="false" ht="15" hidden="false" customHeight="false" outlineLevel="0" collapsed="false">
      <c r="A78" s="29" t="str">
        <f aca="false">IF(10&gt;_自动清单!$E$604,"",10)</f>
        <v/>
      </c>
      <c r="B78" s="16" t="str">
        <f aca="false">IFERROR(INDEX(电梯资料!$C$5:$C$604,MATCH(10,_自动清单!$E$5:$E$604,0))&amp;"","")</f>
        <v/>
      </c>
      <c r="C78" s="16" t="str">
        <f aca="false">IFERROR(INDEX(电梯资料!$D$5:$D$604,MATCH(10,_自动清单!$E$5:$E$604,0))&amp;"","")</f>
        <v/>
      </c>
      <c r="D78" s="53" t="str">
        <f aca="false">IFERROR(INDEX(电梯资料!$Q$5:$Q$604,MATCH(10,_自动清单!$E$5:$E$604,0))&amp;"","")</f>
        <v/>
      </c>
      <c r="E78" s="53" t="str">
        <f aca="false">IFERROR(INDEX(电梯资料!$R$5:$R$604,MATCH(10,_自动清单!$E$5:$E$604,0))&amp;"","")</f>
        <v/>
      </c>
      <c r="F78" s="53" t="str">
        <f aca="false">IFERROR(INDEX(电梯资料!$W$5:$W$604,MATCH(10,_自动清单!$E$5:$E$604,0))&amp;"","")</f>
        <v/>
      </c>
      <c r="G78" s="54" t="str">
        <f aca="false">IFERROR(INDEX(电梯资料!$T$5:$T$604,MATCH(10,_自动清单!$E$5:$E$604,0)),"")</f>
        <v/>
      </c>
      <c r="H78" s="54" t="str">
        <f aca="false">IFERROR(INDEX(电梯资料!$U$5:$U$604,MATCH(10,_自动清单!$E$5:$E$604,0)),"")</f>
        <v/>
      </c>
      <c r="I78" s="54" t="str">
        <f aca="false">IFERROR(INDEX(电梯资料!$V$5:$V$604,MATCH(10,_自动清单!$E$5:$E$604,0)),"")</f>
        <v/>
      </c>
      <c r="J78" s="58" t="str">
        <f aca="false">IF(COUNT($G78:$I78)=0,"",MIN($G78:$I78))</f>
        <v/>
      </c>
      <c r="K78" s="55" t="str">
        <f aca="true">IF(N($J78)=0,"",$J78-TODAY())</f>
        <v/>
      </c>
      <c r="L78" s="56" t="str">
        <f aca="false">IF($A78="","",TRIM(IF(IFERROR(INDEX(电梯资料!$AA$5:$AA$604,MATCH(10,_自动清单!$E$5:$E$604,0))&amp;"","")&lt;&gt;"","年检 "&amp;IFERROR(INDEX(电梯资料!$AA$5:$AA$604,MATCH(10,_自动清单!$E$5:$E$604,0))&amp;"",""),"")&amp;IF(AND(IFERROR(INDEX(电梯资料!$AA$5:$AA$604,MATCH(10,_自动清单!$E$5:$E$604,0))&amp;"","")&lt;&gt;"",IFERROR(INDEX(电梯资料!$AB$5:$AB$604,MATCH(10,_自动清单!$E$5:$E$604,0))&amp;"","")&lt;&gt;"")," ｜ ","")&amp;IF(IFERROR(INDEX(电梯资料!$AB$5:$AB$604,MATCH(10,_自动清单!$E$5:$E$604,0))&amp;"","")&lt;&gt;"","校验 "&amp;IFERROR(INDEX(电梯资料!$AB$5:$AB$604,MATCH(10,_自动清单!$E$5:$E$604,0))&amp;"",""),"")))</f>
        <v/>
      </c>
    </row>
    <row r="79" customFormat="false" ht="15" hidden="false" customHeight="false" outlineLevel="0" collapsed="false">
      <c r="A79" s="29" t="str">
        <f aca="false">IF(11&gt;_自动清单!$E$604,"",11)</f>
        <v/>
      </c>
      <c r="B79" s="16" t="str">
        <f aca="false">IFERROR(INDEX(电梯资料!$C$5:$C$604,MATCH(11,_自动清单!$E$5:$E$604,0))&amp;"","")</f>
        <v/>
      </c>
      <c r="C79" s="16" t="str">
        <f aca="false">IFERROR(INDEX(电梯资料!$D$5:$D$604,MATCH(11,_自动清单!$E$5:$E$604,0))&amp;"","")</f>
        <v/>
      </c>
      <c r="D79" s="53" t="str">
        <f aca="false">IFERROR(INDEX(电梯资料!$Q$5:$Q$604,MATCH(11,_自动清单!$E$5:$E$604,0))&amp;"","")</f>
        <v/>
      </c>
      <c r="E79" s="53" t="str">
        <f aca="false">IFERROR(INDEX(电梯资料!$R$5:$R$604,MATCH(11,_自动清单!$E$5:$E$604,0))&amp;"","")</f>
        <v/>
      </c>
      <c r="F79" s="53" t="str">
        <f aca="false">IFERROR(INDEX(电梯资料!$W$5:$W$604,MATCH(11,_自动清单!$E$5:$E$604,0))&amp;"","")</f>
        <v/>
      </c>
      <c r="G79" s="54" t="str">
        <f aca="false">IFERROR(INDEX(电梯资料!$T$5:$T$604,MATCH(11,_自动清单!$E$5:$E$604,0)),"")</f>
        <v/>
      </c>
      <c r="H79" s="54" t="str">
        <f aca="false">IFERROR(INDEX(电梯资料!$U$5:$U$604,MATCH(11,_自动清单!$E$5:$E$604,0)),"")</f>
        <v/>
      </c>
      <c r="I79" s="54" t="str">
        <f aca="false">IFERROR(INDEX(电梯资料!$V$5:$V$604,MATCH(11,_自动清单!$E$5:$E$604,0)),"")</f>
        <v/>
      </c>
      <c r="J79" s="58" t="str">
        <f aca="false">IF(COUNT($G79:$I79)=0,"",MIN($G79:$I79))</f>
        <v/>
      </c>
      <c r="K79" s="55" t="str">
        <f aca="true">IF(N($J79)=0,"",$J79-TODAY())</f>
        <v/>
      </c>
      <c r="L79" s="56" t="str">
        <f aca="false">IF($A79="","",TRIM(IF(IFERROR(INDEX(电梯资料!$AA$5:$AA$604,MATCH(11,_自动清单!$E$5:$E$604,0))&amp;"","")&lt;&gt;"","年检 "&amp;IFERROR(INDEX(电梯资料!$AA$5:$AA$604,MATCH(11,_自动清单!$E$5:$E$604,0))&amp;"",""),"")&amp;IF(AND(IFERROR(INDEX(电梯资料!$AA$5:$AA$604,MATCH(11,_自动清单!$E$5:$E$604,0))&amp;"","")&lt;&gt;"",IFERROR(INDEX(电梯资料!$AB$5:$AB$604,MATCH(11,_自动清单!$E$5:$E$604,0))&amp;"","")&lt;&gt;"")," ｜ ","")&amp;IF(IFERROR(INDEX(电梯资料!$AB$5:$AB$604,MATCH(11,_自动清单!$E$5:$E$604,0))&amp;"","")&lt;&gt;"","校验 "&amp;IFERROR(INDEX(电梯资料!$AB$5:$AB$604,MATCH(11,_自动清单!$E$5:$E$604,0))&amp;"",""),"")))</f>
        <v/>
      </c>
    </row>
    <row r="80" customFormat="false" ht="15" hidden="false" customHeight="false" outlineLevel="0" collapsed="false">
      <c r="A80" s="29" t="str">
        <f aca="false">IF(12&gt;_自动清单!$E$604,"",12)</f>
        <v/>
      </c>
      <c r="B80" s="16" t="str">
        <f aca="false">IFERROR(INDEX(电梯资料!$C$5:$C$604,MATCH(12,_自动清单!$E$5:$E$604,0))&amp;"","")</f>
        <v/>
      </c>
      <c r="C80" s="16" t="str">
        <f aca="false">IFERROR(INDEX(电梯资料!$D$5:$D$604,MATCH(12,_自动清单!$E$5:$E$604,0))&amp;"","")</f>
        <v/>
      </c>
      <c r="D80" s="53" t="str">
        <f aca="false">IFERROR(INDEX(电梯资料!$Q$5:$Q$604,MATCH(12,_自动清单!$E$5:$E$604,0))&amp;"","")</f>
        <v/>
      </c>
      <c r="E80" s="53" t="str">
        <f aca="false">IFERROR(INDEX(电梯资料!$R$5:$R$604,MATCH(12,_自动清单!$E$5:$E$604,0))&amp;"","")</f>
        <v/>
      </c>
      <c r="F80" s="53" t="str">
        <f aca="false">IFERROR(INDEX(电梯资料!$W$5:$W$604,MATCH(12,_自动清单!$E$5:$E$604,0))&amp;"","")</f>
        <v/>
      </c>
      <c r="G80" s="54" t="str">
        <f aca="false">IFERROR(INDEX(电梯资料!$T$5:$T$604,MATCH(12,_自动清单!$E$5:$E$604,0)),"")</f>
        <v/>
      </c>
      <c r="H80" s="54" t="str">
        <f aca="false">IFERROR(INDEX(电梯资料!$U$5:$U$604,MATCH(12,_自动清单!$E$5:$E$604,0)),"")</f>
        <v/>
      </c>
      <c r="I80" s="54" t="str">
        <f aca="false">IFERROR(INDEX(电梯资料!$V$5:$V$604,MATCH(12,_自动清单!$E$5:$E$604,0)),"")</f>
        <v/>
      </c>
      <c r="J80" s="58" t="str">
        <f aca="false">IF(COUNT($G80:$I80)=0,"",MIN($G80:$I80))</f>
        <v/>
      </c>
      <c r="K80" s="55" t="str">
        <f aca="true">IF(N($J80)=0,"",$J80-TODAY())</f>
        <v/>
      </c>
      <c r="L80" s="56" t="str">
        <f aca="false">IF($A80="","",TRIM(IF(IFERROR(INDEX(电梯资料!$AA$5:$AA$604,MATCH(12,_自动清单!$E$5:$E$604,0))&amp;"","")&lt;&gt;"","年检 "&amp;IFERROR(INDEX(电梯资料!$AA$5:$AA$604,MATCH(12,_自动清单!$E$5:$E$604,0))&amp;"",""),"")&amp;IF(AND(IFERROR(INDEX(电梯资料!$AA$5:$AA$604,MATCH(12,_自动清单!$E$5:$E$604,0))&amp;"","")&lt;&gt;"",IFERROR(INDEX(电梯资料!$AB$5:$AB$604,MATCH(12,_自动清单!$E$5:$E$604,0))&amp;"","")&lt;&gt;"")," ｜ ","")&amp;IF(IFERROR(INDEX(电梯资料!$AB$5:$AB$604,MATCH(12,_自动清单!$E$5:$E$604,0))&amp;"","")&lt;&gt;"","校验 "&amp;IFERROR(INDEX(电梯资料!$AB$5:$AB$604,MATCH(12,_自动清单!$E$5:$E$604,0))&amp;"",""),"")))</f>
        <v/>
      </c>
    </row>
    <row r="81" customFormat="false" ht="15" hidden="false" customHeight="false" outlineLevel="0" collapsed="false">
      <c r="A81" s="29" t="str">
        <f aca="false">IF(13&gt;_自动清单!$E$604,"",13)</f>
        <v/>
      </c>
      <c r="B81" s="16" t="str">
        <f aca="false">IFERROR(INDEX(电梯资料!$C$5:$C$604,MATCH(13,_自动清单!$E$5:$E$604,0))&amp;"","")</f>
        <v/>
      </c>
      <c r="C81" s="16" t="str">
        <f aca="false">IFERROR(INDEX(电梯资料!$D$5:$D$604,MATCH(13,_自动清单!$E$5:$E$604,0))&amp;"","")</f>
        <v/>
      </c>
      <c r="D81" s="53" t="str">
        <f aca="false">IFERROR(INDEX(电梯资料!$Q$5:$Q$604,MATCH(13,_自动清单!$E$5:$E$604,0))&amp;"","")</f>
        <v/>
      </c>
      <c r="E81" s="53" t="str">
        <f aca="false">IFERROR(INDEX(电梯资料!$R$5:$R$604,MATCH(13,_自动清单!$E$5:$E$604,0))&amp;"","")</f>
        <v/>
      </c>
      <c r="F81" s="53" t="str">
        <f aca="false">IFERROR(INDEX(电梯资料!$W$5:$W$604,MATCH(13,_自动清单!$E$5:$E$604,0))&amp;"","")</f>
        <v/>
      </c>
      <c r="G81" s="54" t="str">
        <f aca="false">IFERROR(INDEX(电梯资料!$T$5:$T$604,MATCH(13,_自动清单!$E$5:$E$604,0)),"")</f>
        <v/>
      </c>
      <c r="H81" s="54" t="str">
        <f aca="false">IFERROR(INDEX(电梯资料!$U$5:$U$604,MATCH(13,_自动清单!$E$5:$E$604,0)),"")</f>
        <v/>
      </c>
      <c r="I81" s="54" t="str">
        <f aca="false">IFERROR(INDEX(电梯资料!$V$5:$V$604,MATCH(13,_自动清单!$E$5:$E$604,0)),"")</f>
        <v/>
      </c>
      <c r="J81" s="58" t="str">
        <f aca="false">IF(COUNT($G81:$I81)=0,"",MIN($G81:$I81))</f>
        <v/>
      </c>
      <c r="K81" s="55" t="str">
        <f aca="true">IF(N($J81)=0,"",$J81-TODAY())</f>
        <v/>
      </c>
      <c r="L81" s="56" t="str">
        <f aca="false">IF($A81="","",TRIM(IF(IFERROR(INDEX(电梯资料!$AA$5:$AA$604,MATCH(13,_自动清单!$E$5:$E$604,0))&amp;"","")&lt;&gt;"","年检 "&amp;IFERROR(INDEX(电梯资料!$AA$5:$AA$604,MATCH(13,_自动清单!$E$5:$E$604,0))&amp;"",""),"")&amp;IF(AND(IFERROR(INDEX(电梯资料!$AA$5:$AA$604,MATCH(13,_自动清单!$E$5:$E$604,0))&amp;"","")&lt;&gt;"",IFERROR(INDEX(电梯资料!$AB$5:$AB$604,MATCH(13,_自动清单!$E$5:$E$604,0))&amp;"","")&lt;&gt;"")," ｜ ","")&amp;IF(IFERROR(INDEX(电梯资料!$AB$5:$AB$604,MATCH(13,_自动清单!$E$5:$E$604,0))&amp;"","")&lt;&gt;"","校验 "&amp;IFERROR(INDEX(电梯资料!$AB$5:$AB$604,MATCH(13,_自动清单!$E$5:$E$604,0))&amp;"",""),"")))</f>
        <v/>
      </c>
    </row>
    <row r="82" customFormat="false" ht="15" hidden="false" customHeight="false" outlineLevel="0" collapsed="false">
      <c r="A82" s="29" t="str">
        <f aca="false">IF(14&gt;_自动清单!$E$604,"",14)</f>
        <v/>
      </c>
      <c r="B82" s="16" t="str">
        <f aca="false">IFERROR(INDEX(电梯资料!$C$5:$C$604,MATCH(14,_自动清单!$E$5:$E$604,0))&amp;"","")</f>
        <v/>
      </c>
      <c r="C82" s="16" t="str">
        <f aca="false">IFERROR(INDEX(电梯资料!$D$5:$D$604,MATCH(14,_自动清单!$E$5:$E$604,0))&amp;"","")</f>
        <v/>
      </c>
      <c r="D82" s="53" t="str">
        <f aca="false">IFERROR(INDEX(电梯资料!$Q$5:$Q$604,MATCH(14,_自动清单!$E$5:$E$604,0))&amp;"","")</f>
        <v/>
      </c>
      <c r="E82" s="53" t="str">
        <f aca="false">IFERROR(INDEX(电梯资料!$R$5:$R$604,MATCH(14,_自动清单!$E$5:$E$604,0))&amp;"","")</f>
        <v/>
      </c>
      <c r="F82" s="53" t="str">
        <f aca="false">IFERROR(INDEX(电梯资料!$W$5:$W$604,MATCH(14,_自动清单!$E$5:$E$604,0))&amp;"","")</f>
        <v/>
      </c>
      <c r="G82" s="54" t="str">
        <f aca="false">IFERROR(INDEX(电梯资料!$T$5:$T$604,MATCH(14,_自动清单!$E$5:$E$604,0)),"")</f>
        <v/>
      </c>
      <c r="H82" s="54" t="str">
        <f aca="false">IFERROR(INDEX(电梯资料!$U$5:$U$604,MATCH(14,_自动清单!$E$5:$E$604,0)),"")</f>
        <v/>
      </c>
      <c r="I82" s="54" t="str">
        <f aca="false">IFERROR(INDEX(电梯资料!$V$5:$V$604,MATCH(14,_自动清单!$E$5:$E$604,0)),"")</f>
        <v/>
      </c>
      <c r="J82" s="58" t="str">
        <f aca="false">IF(COUNT($G82:$I82)=0,"",MIN($G82:$I82))</f>
        <v/>
      </c>
      <c r="K82" s="55" t="str">
        <f aca="true">IF(N($J82)=0,"",$J82-TODAY())</f>
        <v/>
      </c>
      <c r="L82" s="56" t="str">
        <f aca="false">IF($A82="","",TRIM(IF(IFERROR(INDEX(电梯资料!$AA$5:$AA$604,MATCH(14,_自动清单!$E$5:$E$604,0))&amp;"","")&lt;&gt;"","年检 "&amp;IFERROR(INDEX(电梯资料!$AA$5:$AA$604,MATCH(14,_自动清单!$E$5:$E$604,0))&amp;"",""),"")&amp;IF(AND(IFERROR(INDEX(电梯资料!$AA$5:$AA$604,MATCH(14,_自动清单!$E$5:$E$604,0))&amp;"","")&lt;&gt;"",IFERROR(INDEX(电梯资料!$AB$5:$AB$604,MATCH(14,_自动清单!$E$5:$E$604,0))&amp;"","")&lt;&gt;"")," ｜ ","")&amp;IF(IFERROR(INDEX(电梯资料!$AB$5:$AB$604,MATCH(14,_自动清单!$E$5:$E$604,0))&amp;"","")&lt;&gt;"","校验 "&amp;IFERROR(INDEX(电梯资料!$AB$5:$AB$604,MATCH(14,_自动清单!$E$5:$E$604,0))&amp;"",""),"")))</f>
        <v/>
      </c>
    </row>
    <row r="83" customFormat="false" ht="15" hidden="false" customHeight="false" outlineLevel="0" collapsed="false">
      <c r="A83" s="29" t="str">
        <f aca="false">IF(15&gt;_自动清单!$E$604,"",15)</f>
        <v/>
      </c>
      <c r="B83" s="16" t="str">
        <f aca="false">IFERROR(INDEX(电梯资料!$C$5:$C$604,MATCH(15,_自动清单!$E$5:$E$604,0))&amp;"","")</f>
        <v/>
      </c>
      <c r="C83" s="16" t="str">
        <f aca="false">IFERROR(INDEX(电梯资料!$D$5:$D$604,MATCH(15,_自动清单!$E$5:$E$604,0))&amp;"","")</f>
        <v/>
      </c>
      <c r="D83" s="53" t="str">
        <f aca="false">IFERROR(INDEX(电梯资料!$Q$5:$Q$604,MATCH(15,_自动清单!$E$5:$E$604,0))&amp;"","")</f>
        <v/>
      </c>
      <c r="E83" s="53" t="str">
        <f aca="false">IFERROR(INDEX(电梯资料!$R$5:$R$604,MATCH(15,_自动清单!$E$5:$E$604,0))&amp;"","")</f>
        <v/>
      </c>
      <c r="F83" s="53" t="str">
        <f aca="false">IFERROR(INDEX(电梯资料!$W$5:$W$604,MATCH(15,_自动清单!$E$5:$E$604,0))&amp;"","")</f>
        <v/>
      </c>
      <c r="G83" s="54" t="str">
        <f aca="false">IFERROR(INDEX(电梯资料!$T$5:$T$604,MATCH(15,_自动清单!$E$5:$E$604,0)),"")</f>
        <v/>
      </c>
      <c r="H83" s="54" t="str">
        <f aca="false">IFERROR(INDEX(电梯资料!$U$5:$U$604,MATCH(15,_自动清单!$E$5:$E$604,0)),"")</f>
        <v/>
      </c>
      <c r="I83" s="54" t="str">
        <f aca="false">IFERROR(INDEX(电梯资料!$V$5:$V$604,MATCH(15,_自动清单!$E$5:$E$604,0)),"")</f>
        <v/>
      </c>
      <c r="J83" s="58" t="str">
        <f aca="false">IF(COUNT($G83:$I83)=0,"",MIN($G83:$I83))</f>
        <v/>
      </c>
      <c r="K83" s="55" t="str">
        <f aca="true">IF(N($J83)=0,"",$J83-TODAY())</f>
        <v/>
      </c>
      <c r="L83" s="56" t="str">
        <f aca="false">IF($A83="","",TRIM(IF(IFERROR(INDEX(电梯资料!$AA$5:$AA$604,MATCH(15,_自动清单!$E$5:$E$604,0))&amp;"","")&lt;&gt;"","年检 "&amp;IFERROR(INDEX(电梯资料!$AA$5:$AA$604,MATCH(15,_自动清单!$E$5:$E$604,0))&amp;"",""),"")&amp;IF(AND(IFERROR(INDEX(电梯资料!$AA$5:$AA$604,MATCH(15,_自动清单!$E$5:$E$604,0))&amp;"","")&lt;&gt;"",IFERROR(INDEX(电梯资料!$AB$5:$AB$604,MATCH(15,_自动清单!$E$5:$E$604,0))&amp;"","")&lt;&gt;"")," ｜ ","")&amp;IF(IFERROR(INDEX(电梯资料!$AB$5:$AB$604,MATCH(15,_自动清单!$E$5:$E$604,0))&amp;"","")&lt;&gt;"","校验 "&amp;IFERROR(INDEX(电梯资料!$AB$5:$AB$604,MATCH(15,_自动清单!$E$5:$E$604,0))&amp;"",""),"")))</f>
        <v/>
      </c>
    </row>
    <row r="84" customFormat="false" ht="15" hidden="false" customHeight="false" outlineLevel="0" collapsed="false">
      <c r="A84" s="29" t="str">
        <f aca="false">IF(16&gt;_自动清单!$E$604,"",16)</f>
        <v/>
      </c>
      <c r="B84" s="16" t="str">
        <f aca="false">IFERROR(INDEX(电梯资料!$C$5:$C$604,MATCH(16,_自动清单!$E$5:$E$604,0))&amp;"","")</f>
        <v/>
      </c>
      <c r="C84" s="16" t="str">
        <f aca="false">IFERROR(INDEX(电梯资料!$D$5:$D$604,MATCH(16,_自动清单!$E$5:$E$604,0))&amp;"","")</f>
        <v/>
      </c>
      <c r="D84" s="53" t="str">
        <f aca="false">IFERROR(INDEX(电梯资料!$Q$5:$Q$604,MATCH(16,_自动清单!$E$5:$E$604,0))&amp;"","")</f>
        <v/>
      </c>
      <c r="E84" s="53" t="str">
        <f aca="false">IFERROR(INDEX(电梯资料!$R$5:$R$604,MATCH(16,_自动清单!$E$5:$E$604,0))&amp;"","")</f>
        <v/>
      </c>
      <c r="F84" s="53" t="str">
        <f aca="false">IFERROR(INDEX(电梯资料!$W$5:$W$604,MATCH(16,_自动清单!$E$5:$E$604,0))&amp;"","")</f>
        <v/>
      </c>
      <c r="G84" s="54" t="str">
        <f aca="false">IFERROR(INDEX(电梯资料!$T$5:$T$604,MATCH(16,_自动清单!$E$5:$E$604,0)),"")</f>
        <v/>
      </c>
      <c r="H84" s="54" t="str">
        <f aca="false">IFERROR(INDEX(电梯资料!$U$5:$U$604,MATCH(16,_自动清单!$E$5:$E$604,0)),"")</f>
        <v/>
      </c>
      <c r="I84" s="54" t="str">
        <f aca="false">IFERROR(INDEX(电梯资料!$V$5:$V$604,MATCH(16,_自动清单!$E$5:$E$604,0)),"")</f>
        <v/>
      </c>
      <c r="J84" s="58" t="str">
        <f aca="false">IF(COUNT($G84:$I84)=0,"",MIN($G84:$I84))</f>
        <v/>
      </c>
      <c r="K84" s="55" t="str">
        <f aca="true">IF(N($J84)=0,"",$J84-TODAY())</f>
        <v/>
      </c>
      <c r="L84" s="56" t="str">
        <f aca="false">IF($A84="","",TRIM(IF(IFERROR(INDEX(电梯资料!$AA$5:$AA$604,MATCH(16,_自动清单!$E$5:$E$604,0))&amp;"","")&lt;&gt;"","年检 "&amp;IFERROR(INDEX(电梯资料!$AA$5:$AA$604,MATCH(16,_自动清单!$E$5:$E$604,0))&amp;"",""),"")&amp;IF(AND(IFERROR(INDEX(电梯资料!$AA$5:$AA$604,MATCH(16,_自动清单!$E$5:$E$604,0))&amp;"","")&lt;&gt;"",IFERROR(INDEX(电梯资料!$AB$5:$AB$604,MATCH(16,_自动清单!$E$5:$E$604,0))&amp;"","")&lt;&gt;"")," ｜ ","")&amp;IF(IFERROR(INDEX(电梯资料!$AB$5:$AB$604,MATCH(16,_自动清单!$E$5:$E$604,0))&amp;"","")&lt;&gt;"","校验 "&amp;IFERROR(INDEX(电梯资料!$AB$5:$AB$604,MATCH(16,_自动清单!$E$5:$E$604,0))&amp;"",""),"")))</f>
        <v/>
      </c>
    </row>
    <row r="85" customFormat="false" ht="15" hidden="false" customHeight="false" outlineLevel="0" collapsed="false">
      <c r="A85" s="29" t="str">
        <f aca="false">IF(17&gt;_自动清单!$E$604,"",17)</f>
        <v/>
      </c>
      <c r="B85" s="16" t="str">
        <f aca="false">IFERROR(INDEX(电梯资料!$C$5:$C$604,MATCH(17,_自动清单!$E$5:$E$604,0))&amp;"","")</f>
        <v/>
      </c>
      <c r="C85" s="16" t="str">
        <f aca="false">IFERROR(INDEX(电梯资料!$D$5:$D$604,MATCH(17,_自动清单!$E$5:$E$604,0))&amp;"","")</f>
        <v/>
      </c>
      <c r="D85" s="53" t="str">
        <f aca="false">IFERROR(INDEX(电梯资料!$Q$5:$Q$604,MATCH(17,_自动清单!$E$5:$E$604,0))&amp;"","")</f>
        <v/>
      </c>
      <c r="E85" s="53" t="str">
        <f aca="false">IFERROR(INDEX(电梯资料!$R$5:$R$604,MATCH(17,_自动清单!$E$5:$E$604,0))&amp;"","")</f>
        <v/>
      </c>
      <c r="F85" s="53" t="str">
        <f aca="false">IFERROR(INDEX(电梯资料!$W$5:$W$604,MATCH(17,_自动清单!$E$5:$E$604,0))&amp;"","")</f>
        <v/>
      </c>
      <c r="G85" s="54" t="str">
        <f aca="false">IFERROR(INDEX(电梯资料!$T$5:$T$604,MATCH(17,_自动清单!$E$5:$E$604,0)),"")</f>
        <v/>
      </c>
      <c r="H85" s="54" t="str">
        <f aca="false">IFERROR(INDEX(电梯资料!$U$5:$U$604,MATCH(17,_自动清单!$E$5:$E$604,0)),"")</f>
        <v/>
      </c>
      <c r="I85" s="54" t="str">
        <f aca="false">IFERROR(INDEX(电梯资料!$V$5:$V$604,MATCH(17,_自动清单!$E$5:$E$604,0)),"")</f>
        <v/>
      </c>
      <c r="J85" s="58" t="str">
        <f aca="false">IF(COUNT($G85:$I85)=0,"",MIN($G85:$I85))</f>
        <v/>
      </c>
      <c r="K85" s="55" t="str">
        <f aca="true">IF(N($J85)=0,"",$J85-TODAY())</f>
        <v/>
      </c>
      <c r="L85" s="56" t="str">
        <f aca="false">IF($A85="","",TRIM(IF(IFERROR(INDEX(电梯资料!$AA$5:$AA$604,MATCH(17,_自动清单!$E$5:$E$604,0))&amp;"","")&lt;&gt;"","年检 "&amp;IFERROR(INDEX(电梯资料!$AA$5:$AA$604,MATCH(17,_自动清单!$E$5:$E$604,0))&amp;"",""),"")&amp;IF(AND(IFERROR(INDEX(电梯资料!$AA$5:$AA$604,MATCH(17,_自动清单!$E$5:$E$604,0))&amp;"","")&lt;&gt;"",IFERROR(INDEX(电梯资料!$AB$5:$AB$604,MATCH(17,_自动清单!$E$5:$E$604,0))&amp;"","")&lt;&gt;"")," ｜ ","")&amp;IF(IFERROR(INDEX(电梯资料!$AB$5:$AB$604,MATCH(17,_自动清单!$E$5:$E$604,0))&amp;"","")&lt;&gt;"","校验 "&amp;IFERROR(INDEX(电梯资料!$AB$5:$AB$604,MATCH(17,_自动清单!$E$5:$E$604,0))&amp;"",""),"")))</f>
        <v/>
      </c>
    </row>
    <row r="86" customFormat="false" ht="15" hidden="false" customHeight="false" outlineLevel="0" collapsed="false">
      <c r="A86" s="29" t="str">
        <f aca="false">IF(18&gt;_自动清单!$E$604,"",18)</f>
        <v/>
      </c>
      <c r="B86" s="16" t="str">
        <f aca="false">IFERROR(INDEX(电梯资料!$C$5:$C$604,MATCH(18,_自动清单!$E$5:$E$604,0))&amp;"","")</f>
        <v/>
      </c>
      <c r="C86" s="16" t="str">
        <f aca="false">IFERROR(INDEX(电梯资料!$D$5:$D$604,MATCH(18,_自动清单!$E$5:$E$604,0))&amp;"","")</f>
        <v/>
      </c>
      <c r="D86" s="53" t="str">
        <f aca="false">IFERROR(INDEX(电梯资料!$Q$5:$Q$604,MATCH(18,_自动清单!$E$5:$E$604,0))&amp;"","")</f>
        <v/>
      </c>
      <c r="E86" s="53" t="str">
        <f aca="false">IFERROR(INDEX(电梯资料!$R$5:$R$604,MATCH(18,_自动清单!$E$5:$E$604,0))&amp;"","")</f>
        <v/>
      </c>
      <c r="F86" s="53" t="str">
        <f aca="false">IFERROR(INDEX(电梯资料!$W$5:$W$604,MATCH(18,_自动清单!$E$5:$E$604,0))&amp;"","")</f>
        <v/>
      </c>
      <c r="G86" s="54" t="str">
        <f aca="false">IFERROR(INDEX(电梯资料!$T$5:$T$604,MATCH(18,_自动清单!$E$5:$E$604,0)),"")</f>
        <v/>
      </c>
      <c r="H86" s="54" t="str">
        <f aca="false">IFERROR(INDEX(电梯资料!$U$5:$U$604,MATCH(18,_自动清单!$E$5:$E$604,0)),"")</f>
        <v/>
      </c>
      <c r="I86" s="54" t="str">
        <f aca="false">IFERROR(INDEX(电梯资料!$V$5:$V$604,MATCH(18,_自动清单!$E$5:$E$604,0)),"")</f>
        <v/>
      </c>
      <c r="J86" s="58" t="str">
        <f aca="false">IF(COUNT($G86:$I86)=0,"",MIN($G86:$I86))</f>
        <v/>
      </c>
      <c r="K86" s="55" t="str">
        <f aca="true">IF(N($J86)=0,"",$J86-TODAY())</f>
        <v/>
      </c>
      <c r="L86" s="56" t="str">
        <f aca="false">IF($A86="","",TRIM(IF(IFERROR(INDEX(电梯资料!$AA$5:$AA$604,MATCH(18,_自动清单!$E$5:$E$604,0))&amp;"","")&lt;&gt;"","年检 "&amp;IFERROR(INDEX(电梯资料!$AA$5:$AA$604,MATCH(18,_自动清单!$E$5:$E$604,0))&amp;"",""),"")&amp;IF(AND(IFERROR(INDEX(电梯资料!$AA$5:$AA$604,MATCH(18,_自动清单!$E$5:$E$604,0))&amp;"","")&lt;&gt;"",IFERROR(INDEX(电梯资料!$AB$5:$AB$604,MATCH(18,_自动清单!$E$5:$E$604,0))&amp;"","")&lt;&gt;"")," ｜ ","")&amp;IF(IFERROR(INDEX(电梯资料!$AB$5:$AB$604,MATCH(18,_自动清单!$E$5:$E$604,0))&amp;"","")&lt;&gt;"","校验 "&amp;IFERROR(INDEX(电梯资料!$AB$5:$AB$604,MATCH(18,_自动清单!$E$5:$E$604,0))&amp;"",""),"")))</f>
        <v/>
      </c>
    </row>
    <row r="87" customFormat="false" ht="15" hidden="false" customHeight="false" outlineLevel="0" collapsed="false">
      <c r="A87" s="29" t="str">
        <f aca="false">IF(19&gt;_自动清单!$E$604,"",19)</f>
        <v/>
      </c>
      <c r="B87" s="16" t="str">
        <f aca="false">IFERROR(INDEX(电梯资料!$C$5:$C$604,MATCH(19,_自动清单!$E$5:$E$604,0))&amp;"","")</f>
        <v/>
      </c>
      <c r="C87" s="16" t="str">
        <f aca="false">IFERROR(INDEX(电梯资料!$D$5:$D$604,MATCH(19,_自动清单!$E$5:$E$604,0))&amp;"","")</f>
        <v/>
      </c>
      <c r="D87" s="53" t="str">
        <f aca="false">IFERROR(INDEX(电梯资料!$Q$5:$Q$604,MATCH(19,_自动清单!$E$5:$E$604,0))&amp;"","")</f>
        <v/>
      </c>
      <c r="E87" s="53" t="str">
        <f aca="false">IFERROR(INDEX(电梯资料!$R$5:$R$604,MATCH(19,_自动清单!$E$5:$E$604,0))&amp;"","")</f>
        <v/>
      </c>
      <c r="F87" s="53" t="str">
        <f aca="false">IFERROR(INDEX(电梯资料!$W$5:$W$604,MATCH(19,_自动清单!$E$5:$E$604,0))&amp;"","")</f>
        <v/>
      </c>
      <c r="G87" s="54" t="str">
        <f aca="false">IFERROR(INDEX(电梯资料!$T$5:$T$604,MATCH(19,_自动清单!$E$5:$E$604,0)),"")</f>
        <v/>
      </c>
      <c r="H87" s="54" t="str">
        <f aca="false">IFERROR(INDEX(电梯资料!$U$5:$U$604,MATCH(19,_自动清单!$E$5:$E$604,0)),"")</f>
        <v/>
      </c>
      <c r="I87" s="54" t="str">
        <f aca="false">IFERROR(INDEX(电梯资料!$V$5:$V$604,MATCH(19,_自动清单!$E$5:$E$604,0)),"")</f>
        <v/>
      </c>
      <c r="J87" s="58" t="str">
        <f aca="false">IF(COUNT($G87:$I87)=0,"",MIN($G87:$I87))</f>
        <v/>
      </c>
      <c r="K87" s="55" t="str">
        <f aca="true">IF(N($J87)=0,"",$J87-TODAY())</f>
        <v/>
      </c>
      <c r="L87" s="56" t="str">
        <f aca="false">IF($A87="","",TRIM(IF(IFERROR(INDEX(电梯资料!$AA$5:$AA$604,MATCH(19,_自动清单!$E$5:$E$604,0))&amp;"","")&lt;&gt;"","年检 "&amp;IFERROR(INDEX(电梯资料!$AA$5:$AA$604,MATCH(19,_自动清单!$E$5:$E$604,0))&amp;"",""),"")&amp;IF(AND(IFERROR(INDEX(电梯资料!$AA$5:$AA$604,MATCH(19,_自动清单!$E$5:$E$604,0))&amp;"","")&lt;&gt;"",IFERROR(INDEX(电梯资料!$AB$5:$AB$604,MATCH(19,_自动清单!$E$5:$E$604,0))&amp;"","")&lt;&gt;"")," ｜ ","")&amp;IF(IFERROR(INDEX(电梯资料!$AB$5:$AB$604,MATCH(19,_自动清单!$E$5:$E$604,0))&amp;"","")&lt;&gt;"","校验 "&amp;IFERROR(INDEX(电梯资料!$AB$5:$AB$604,MATCH(19,_自动清单!$E$5:$E$604,0))&amp;"",""),"")))</f>
        <v/>
      </c>
    </row>
    <row r="88" customFormat="false" ht="15" hidden="false" customHeight="false" outlineLevel="0" collapsed="false">
      <c r="A88" s="29" t="str">
        <f aca="false">IF(20&gt;_自动清单!$E$604,"",20)</f>
        <v/>
      </c>
      <c r="B88" s="16" t="str">
        <f aca="false">IFERROR(INDEX(电梯资料!$C$5:$C$604,MATCH(20,_自动清单!$E$5:$E$604,0))&amp;"","")</f>
        <v/>
      </c>
      <c r="C88" s="16" t="str">
        <f aca="false">IFERROR(INDEX(电梯资料!$D$5:$D$604,MATCH(20,_自动清单!$E$5:$E$604,0))&amp;"","")</f>
        <v/>
      </c>
      <c r="D88" s="53" t="str">
        <f aca="false">IFERROR(INDEX(电梯资料!$Q$5:$Q$604,MATCH(20,_自动清单!$E$5:$E$604,0))&amp;"","")</f>
        <v/>
      </c>
      <c r="E88" s="53" t="str">
        <f aca="false">IFERROR(INDEX(电梯资料!$R$5:$R$604,MATCH(20,_自动清单!$E$5:$E$604,0))&amp;"","")</f>
        <v/>
      </c>
      <c r="F88" s="53" t="str">
        <f aca="false">IFERROR(INDEX(电梯资料!$W$5:$W$604,MATCH(20,_自动清单!$E$5:$E$604,0))&amp;"","")</f>
        <v/>
      </c>
      <c r="G88" s="54" t="str">
        <f aca="false">IFERROR(INDEX(电梯资料!$T$5:$T$604,MATCH(20,_自动清单!$E$5:$E$604,0)),"")</f>
        <v/>
      </c>
      <c r="H88" s="54" t="str">
        <f aca="false">IFERROR(INDEX(电梯资料!$U$5:$U$604,MATCH(20,_自动清单!$E$5:$E$604,0)),"")</f>
        <v/>
      </c>
      <c r="I88" s="54" t="str">
        <f aca="false">IFERROR(INDEX(电梯资料!$V$5:$V$604,MATCH(20,_自动清单!$E$5:$E$604,0)),"")</f>
        <v/>
      </c>
      <c r="J88" s="58" t="str">
        <f aca="false">IF(COUNT($G88:$I88)=0,"",MIN($G88:$I88))</f>
        <v/>
      </c>
      <c r="K88" s="55" t="str">
        <f aca="true">IF(N($J88)=0,"",$J88-TODAY())</f>
        <v/>
      </c>
      <c r="L88" s="56" t="str">
        <f aca="false">IF($A88="","",TRIM(IF(IFERROR(INDEX(电梯资料!$AA$5:$AA$604,MATCH(20,_自动清单!$E$5:$E$604,0))&amp;"","")&lt;&gt;"","年检 "&amp;IFERROR(INDEX(电梯资料!$AA$5:$AA$604,MATCH(20,_自动清单!$E$5:$E$604,0))&amp;"",""),"")&amp;IF(AND(IFERROR(INDEX(电梯资料!$AA$5:$AA$604,MATCH(20,_自动清单!$E$5:$E$604,0))&amp;"","")&lt;&gt;"",IFERROR(INDEX(电梯资料!$AB$5:$AB$604,MATCH(20,_自动清单!$E$5:$E$604,0))&amp;"","")&lt;&gt;"")," ｜ ","")&amp;IF(IFERROR(INDEX(电梯资料!$AB$5:$AB$604,MATCH(20,_自动清单!$E$5:$E$604,0))&amp;"","")&lt;&gt;"","校验 "&amp;IFERROR(INDEX(电梯资料!$AB$5:$AB$604,MATCH(20,_自动清单!$E$5:$E$604,0))&amp;"",""),"")))</f>
        <v/>
      </c>
    </row>
    <row r="89" customFormat="false" ht="15" hidden="false" customHeight="false" outlineLevel="0" collapsed="false">
      <c r="A89" s="29" t="str">
        <f aca="false">IF(21&gt;_自动清单!$E$604,"",21)</f>
        <v/>
      </c>
      <c r="B89" s="16" t="str">
        <f aca="false">IFERROR(INDEX(电梯资料!$C$5:$C$604,MATCH(21,_自动清单!$E$5:$E$604,0))&amp;"","")</f>
        <v/>
      </c>
      <c r="C89" s="16" t="str">
        <f aca="false">IFERROR(INDEX(电梯资料!$D$5:$D$604,MATCH(21,_自动清单!$E$5:$E$604,0))&amp;"","")</f>
        <v/>
      </c>
      <c r="D89" s="53" t="str">
        <f aca="false">IFERROR(INDEX(电梯资料!$Q$5:$Q$604,MATCH(21,_自动清单!$E$5:$E$604,0))&amp;"","")</f>
        <v/>
      </c>
      <c r="E89" s="53" t="str">
        <f aca="false">IFERROR(INDEX(电梯资料!$R$5:$R$604,MATCH(21,_自动清单!$E$5:$E$604,0))&amp;"","")</f>
        <v/>
      </c>
      <c r="F89" s="53" t="str">
        <f aca="false">IFERROR(INDEX(电梯资料!$W$5:$W$604,MATCH(21,_自动清单!$E$5:$E$604,0))&amp;"","")</f>
        <v/>
      </c>
      <c r="G89" s="54" t="str">
        <f aca="false">IFERROR(INDEX(电梯资料!$T$5:$T$604,MATCH(21,_自动清单!$E$5:$E$604,0)),"")</f>
        <v/>
      </c>
      <c r="H89" s="54" t="str">
        <f aca="false">IFERROR(INDEX(电梯资料!$U$5:$U$604,MATCH(21,_自动清单!$E$5:$E$604,0)),"")</f>
        <v/>
      </c>
      <c r="I89" s="54" t="str">
        <f aca="false">IFERROR(INDEX(电梯资料!$V$5:$V$604,MATCH(21,_自动清单!$E$5:$E$604,0)),"")</f>
        <v/>
      </c>
      <c r="J89" s="58" t="str">
        <f aca="false">IF(COUNT($G89:$I89)=0,"",MIN($G89:$I89))</f>
        <v/>
      </c>
      <c r="K89" s="55" t="str">
        <f aca="true">IF(N($J89)=0,"",$J89-TODAY())</f>
        <v/>
      </c>
      <c r="L89" s="56" t="str">
        <f aca="false">IF($A89="","",TRIM(IF(IFERROR(INDEX(电梯资料!$AA$5:$AA$604,MATCH(21,_自动清单!$E$5:$E$604,0))&amp;"","")&lt;&gt;"","年检 "&amp;IFERROR(INDEX(电梯资料!$AA$5:$AA$604,MATCH(21,_自动清单!$E$5:$E$604,0))&amp;"",""),"")&amp;IF(AND(IFERROR(INDEX(电梯资料!$AA$5:$AA$604,MATCH(21,_自动清单!$E$5:$E$604,0))&amp;"","")&lt;&gt;"",IFERROR(INDEX(电梯资料!$AB$5:$AB$604,MATCH(21,_自动清单!$E$5:$E$604,0))&amp;"","")&lt;&gt;"")," ｜ ","")&amp;IF(IFERROR(INDEX(电梯资料!$AB$5:$AB$604,MATCH(21,_自动清单!$E$5:$E$604,0))&amp;"","")&lt;&gt;"","校验 "&amp;IFERROR(INDEX(电梯资料!$AB$5:$AB$604,MATCH(21,_自动清单!$E$5:$E$604,0))&amp;"",""),"")))</f>
        <v/>
      </c>
    </row>
    <row r="90" customFormat="false" ht="15" hidden="false" customHeight="false" outlineLevel="0" collapsed="false">
      <c r="A90" s="29" t="str">
        <f aca="false">IF(22&gt;_自动清单!$E$604,"",22)</f>
        <v/>
      </c>
      <c r="B90" s="16" t="str">
        <f aca="false">IFERROR(INDEX(电梯资料!$C$5:$C$604,MATCH(22,_自动清单!$E$5:$E$604,0))&amp;"","")</f>
        <v/>
      </c>
      <c r="C90" s="16" t="str">
        <f aca="false">IFERROR(INDEX(电梯资料!$D$5:$D$604,MATCH(22,_自动清单!$E$5:$E$604,0))&amp;"","")</f>
        <v/>
      </c>
      <c r="D90" s="53" t="str">
        <f aca="false">IFERROR(INDEX(电梯资料!$Q$5:$Q$604,MATCH(22,_自动清单!$E$5:$E$604,0))&amp;"","")</f>
        <v/>
      </c>
      <c r="E90" s="53" t="str">
        <f aca="false">IFERROR(INDEX(电梯资料!$R$5:$R$604,MATCH(22,_自动清单!$E$5:$E$604,0))&amp;"","")</f>
        <v/>
      </c>
      <c r="F90" s="53" t="str">
        <f aca="false">IFERROR(INDEX(电梯资料!$W$5:$W$604,MATCH(22,_自动清单!$E$5:$E$604,0))&amp;"","")</f>
        <v/>
      </c>
      <c r="G90" s="54" t="str">
        <f aca="false">IFERROR(INDEX(电梯资料!$T$5:$T$604,MATCH(22,_自动清单!$E$5:$E$604,0)),"")</f>
        <v/>
      </c>
      <c r="H90" s="54" t="str">
        <f aca="false">IFERROR(INDEX(电梯资料!$U$5:$U$604,MATCH(22,_自动清单!$E$5:$E$604,0)),"")</f>
        <v/>
      </c>
      <c r="I90" s="54" t="str">
        <f aca="false">IFERROR(INDEX(电梯资料!$V$5:$V$604,MATCH(22,_自动清单!$E$5:$E$604,0)),"")</f>
        <v/>
      </c>
      <c r="J90" s="58" t="str">
        <f aca="false">IF(COUNT($G90:$I90)=0,"",MIN($G90:$I90))</f>
        <v/>
      </c>
      <c r="K90" s="55" t="str">
        <f aca="true">IF(N($J90)=0,"",$J90-TODAY())</f>
        <v/>
      </c>
      <c r="L90" s="56" t="str">
        <f aca="false">IF($A90="","",TRIM(IF(IFERROR(INDEX(电梯资料!$AA$5:$AA$604,MATCH(22,_自动清单!$E$5:$E$604,0))&amp;"","")&lt;&gt;"","年检 "&amp;IFERROR(INDEX(电梯资料!$AA$5:$AA$604,MATCH(22,_自动清单!$E$5:$E$604,0))&amp;"",""),"")&amp;IF(AND(IFERROR(INDEX(电梯资料!$AA$5:$AA$604,MATCH(22,_自动清单!$E$5:$E$604,0))&amp;"","")&lt;&gt;"",IFERROR(INDEX(电梯资料!$AB$5:$AB$604,MATCH(22,_自动清单!$E$5:$E$604,0))&amp;"","")&lt;&gt;"")," ｜ ","")&amp;IF(IFERROR(INDEX(电梯资料!$AB$5:$AB$604,MATCH(22,_自动清单!$E$5:$E$604,0))&amp;"","")&lt;&gt;"","校验 "&amp;IFERROR(INDEX(电梯资料!$AB$5:$AB$604,MATCH(22,_自动清单!$E$5:$E$604,0))&amp;"",""),"")))</f>
        <v/>
      </c>
    </row>
    <row r="91" customFormat="false" ht="15" hidden="false" customHeight="false" outlineLevel="0" collapsed="false">
      <c r="A91" s="29" t="str">
        <f aca="false">IF(23&gt;_自动清单!$E$604,"",23)</f>
        <v/>
      </c>
      <c r="B91" s="16" t="str">
        <f aca="false">IFERROR(INDEX(电梯资料!$C$5:$C$604,MATCH(23,_自动清单!$E$5:$E$604,0))&amp;"","")</f>
        <v/>
      </c>
      <c r="C91" s="16" t="str">
        <f aca="false">IFERROR(INDEX(电梯资料!$D$5:$D$604,MATCH(23,_自动清单!$E$5:$E$604,0))&amp;"","")</f>
        <v/>
      </c>
      <c r="D91" s="53" t="str">
        <f aca="false">IFERROR(INDEX(电梯资料!$Q$5:$Q$604,MATCH(23,_自动清单!$E$5:$E$604,0))&amp;"","")</f>
        <v/>
      </c>
      <c r="E91" s="53" t="str">
        <f aca="false">IFERROR(INDEX(电梯资料!$R$5:$R$604,MATCH(23,_自动清单!$E$5:$E$604,0))&amp;"","")</f>
        <v/>
      </c>
      <c r="F91" s="53" t="str">
        <f aca="false">IFERROR(INDEX(电梯资料!$W$5:$W$604,MATCH(23,_自动清单!$E$5:$E$604,0))&amp;"","")</f>
        <v/>
      </c>
      <c r="G91" s="54" t="str">
        <f aca="false">IFERROR(INDEX(电梯资料!$T$5:$T$604,MATCH(23,_自动清单!$E$5:$E$604,0)),"")</f>
        <v/>
      </c>
      <c r="H91" s="54" t="str">
        <f aca="false">IFERROR(INDEX(电梯资料!$U$5:$U$604,MATCH(23,_自动清单!$E$5:$E$604,0)),"")</f>
        <v/>
      </c>
      <c r="I91" s="54" t="str">
        <f aca="false">IFERROR(INDEX(电梯资料!$V$5:$V$604,MATCH(23,_自动清单!$E$5:$E$604,0)),"")</f>
        <v/>
      </c>
      <c r="J91" s="58" t="str">
        <f aca="false">IF(COUNT($G91:$I91)=0,"",MIN($G91:$I91))</f>
        <v/>
      </c>
      <c r="K91" s="55" t="str">
        <f aca="true">IF(N($J91)=0,"",$J91-TODAY())</f>
        <v/>
      </c>
      <c r="L91" s="56" t="str">
        <f aca="false">IF($A91="","",TRIM(IF(IFERROR(INDEX(电梯资料!$AA$5:$AA$604,MATCH(23,_自动清单!$E$5:$E$604,0))&amp;"","")&lt;&gt;"","年检 "&amp;IFERROR(INDEX(电梯资料!$AA$5:$AA$604,MATCH(23,_自动清单!$E$5:$E$604,0))&amp;"",""),"")&amp;IF(AND(IFERROR(INDEX(电梯资料!$AA$5:$AA$604,MATCH(23,_自动清单!$E$5:$E$604,0))&amp;"","")&lt;&gt;"",IFERROR(INDEX(电梯资料!$AB$5:$AB$604,MATCH(23,_自动清单!$E$5:$E$604,0))&amp;"","")&lt;&gt;"")," ｜ ","")&amp;IF(IFERROR(INDEX(电梯资料!$AB$5:$AB$604,MATCH(23,_自动清单!$E$5:$E$604,0))&amp;"","")&lt;&gt;"","校验 "&amp;IFERROR(INDEX(电梯资料!$AB$5:$AB$604,MATCH(23,_自动清单!$E$5:$E$604,0))&amp;"",""),"")))</f>
        <v/>
      </c>
    </row>
    <row r="92" customFormat="false" ht="15" hidden="false" customHeight="false" outlineLevel="0" collapsed="false">
      <c r="A92" s="29" t="str">
        <f aca="false">IF(24&gt;_自动清单!$E$604,"",24)</f>
        <v/>
      </c>
      <c r="B92" s="16" t="str">
        <f aca="false">IFERROR(INDEX(电梯资料!$C$5:$C$604,MATCH(24,_自动清单!$E$5:$E$604,0))&amp;"","")</f>
        <v/>
      </c>
      <c r="C92" s="16" t="str">
        <f aca="false">IFERROR(INDEX(电梯资料!$D$5:$D$604,MATCH(24,_自动清单!$E$5:$E$604,0))&amp;"","")</f>
        <v/>
      </c>
      <c r="D92" s="53" t="str">
        <f aca="false">IFERROR(INDEX(电梯资料!$Q$5:$Q$604,MATCH(24,_自动清单!$E$5:$E$604,0))&amp;"","")</f>
        <v/>
      </c>
      <c r="E92" s="53" t="str">
        <f aca="false">IFERROR(INDEX(电梯资料!$R$5:$R$604,MATCH(24,_自动清单!$E$5:$E$604,0))&amp;"","")</f>
        <v/>
      </c>
      <c r="F92" s="53" t="str">
        <f aca="false">IFERROR(INDEX(电梯资料!$W$5:$W$604,MATCH(24,_自动清单!$E$5:$E$604,0))&amp;"","")</f>
        <v/>
      </c>
      <c r="G92" s="54" t="str">
        <f aca="false">IFERROR(INDEX(电梯资料!$T$5:$T$604,MATCH(24,_自动清单!$E$5:$E$604,0)),"")</f>
        <v/>
      </c>
      <c r="H92" s="54" t="str">
        <f aca="false">IFERROR(INDEX(电梯资料!$U$5:$U$604,MATCH(24,_自动清单!$E$5:$E$604,0)),"")</f>
        <v/>
      </c>
      <c r="I92" s="54" t="str">
        <f aca="false">IFERROR(INDEX(电梯资料!$V$5:$V$604,MATCH(24,_自动清单!$E$5:$E$604,0)),"")</f>
        <v/>
      </c>
      <c r="J92" s="58" t="str">
        <f aca="false">IF(COUNT($G92:$I92)=0,"",MIN($G92:$I92))</f>
        <v/>
      </c>
      <c r="K92" s="55" t="str">
        <f aca="true">IF(N($J92)=0,"",$J92-TODAY())</f>
        <v/>
      </c>
      <c r="L92" s="56" t="str">
        <f aca="false">IF($A92="","",TRIM(IF(IFERROR(INDEX(电梯资料!$AA$5:$AA$604,MATCH(24,_自动清单!$E$5:$E$604,0))&amp;"","")&lt;&gt;"","年检 "&amp;IFERROR(INDEX(电梯资料!$AA$5:$AA$604,MATCH(24,_自动清单!$E$5:$E$604,0))&amp;"",""),"")&amp;IF(AND(IFERROR(INDEX(电梯资料!$AA$5:$AA$604,MATCH(24,_自动清单!$E$5:$E$604,0))&amp;"","")&lt;&gt;"",IFERROR(INDEX(电梯资料!$AB$5:$AB$604,MATCH(24,_自动清单!$E$5:$E$604,0))&amp;"","")&lt;&gt;"")," ｜ ","")&amp;IF(IFERROR(INDEX(电梯资料!$AB$5:$AB$604,MATCH(24,_自动清单!$E$5:$E$604,0))&amp;"","")&lt;&gt;"","校验 "&amp;IFERROR(INDEX(电梯资料!$AB$5:$AB$604,MATCH(24,_自动清单!$E$5:$E$604,0))&amp;"",""),"")))</f>
        <v/>
      </c>
    </row>
    <row r="93" customFormat="false" ht="15" hidden="false" customHeight="false" outlineLevel="0" collapsed="false">
      <c r="A93" s="29" t="str">
        <f aca="false">IF(25&gt;_自动清单!$E$604,"",25)</f>
        <v/>
      </c>
      <c r="B93" s="16" t="str">
        <f aca="false">IFERROR(INDEX(电梯资料!$C$5:$C$604,MATCH(25,_自动清单!$E$5:$E$604,0))&amp;"","")</f>
        <v/>
      </c>
      <c r="C93" s="16" t="str">
        <f aca="false">IFERROR(INDEX(电梯资料!$D$5:$D$604,MATCH(25,_自动清单!$E$5:$E$604,0))&amp;"","")</f>
        <v/>
      </c>
      <c r="D93" s="53" t="str">
        <f aca="false">IFERROR(INDEX(电梯资料!$Q$5:$Q$604,MATCH(25,_自动清单!$E$5:$E$604,0))&amp;"","")</f>
        <v/>
      </c>
      <c r="E93" s="53" t="str">
        <f aca="false">IFERROR(INDEX(电梯资料!$R$5:$R$604,MATCH(25,_自动清单!$E$5:$E$604,0))&amp;"","")</f>
        <v/>
      </c>
      <c r="F93" s="53" t="str">
        <f aca="false">IFERROR(INDEX(电梯资料!$W$5:$W$604,MATCH(25,_自动清单!$E$5:$E$604,0))&amp;"","")</f>
        <v/>
      </c>
      <c r="G93" s="54" t="str">
        <f aca="false">IFERROR(INDEX(电梯资料!$T$5:$T$604,MATCH(25,_自动清单!$E$5:$E$604,0)),"")</f>
        <v/>
      </c>
      <c r="H93" s="54" t="str">
        <f aca="false">IFERROR(INDEX(电梯资料!$U$5:$U$604,MATCH(25,_自动清单!$E$5:$E$604,0)),"")</f>
        <v/>
      </c>
      <c r="I93" s="54" t="str">
        <f aca="false">IFERROR(INDEX(电梯资料!$V$5:$V$604,MATCH(25,_自动清单!$E$5:$E$604,0)),"")</f>
        <v/>
      </c>
      <c r="J93" s="58" t="str">
        <f aca="false">IF(COUNT($G93:$I93)=0,"",MIN($G93:$I93))</f>
        <v/>
      </c>
      <c r="K93" s="55" t="str">
        <f aca="true">IF(N($J93)=0,"",$J93-TODAY())</f>
        <v/>
      </c>
      <c r="L93" s="56" t="str">
        <f aca="false">IF($A93="","",TRIM(IF(IFERROR(INDEX(电梯资料!$AA$5:$AA$604,MATCH(25,_自动清单!$E$5:$E$604,0))&amp;"","")&lt;&gt;"","年检 "&amp;IFERROR(INDEX(电梯资料!$AA$5:$AA$604,MATCH(25,_自动清单!$E$5:$E$604,0))&amp;"",""),"")&amp;IF(AND(IFERROR(INDEX(电梯资料!$AA$5:$AA$604,MATCH(25,_自动清单!$E$5:$E$604,0))&amp;"","")&lt;&gt;"",IFERROR(INDEX(电梯资料!$AB$5:$AB$604,MATCH(25,_自动清单!$E$5:$E$604,0))&amp;"","")&lt;&gt;"")," ｜ ","")&amp;IF(IFERROR(INDEX(电梯资料!$AB$5:$AB$604,MATCH(25,_自动清单!$E$5:$E$604,0))&amp;"","")&lt;&gt;"","校验 "&amp;IFERROR(INDEX(电梯资料!$AB$5:$AB$604,MATCH(25,_自动清单!$E$5:$E$604,0))&amp;"",""),"")))</f>
        <v/>
      </c>
    </row>
    <row r="94" customFormat="false" ht="15" hidden="false" customHeight="false" outlineLevel="0" collapsed="false">
      <c r="A94" s="29" t="str">
        <f aca="false">IF(26&gt;_自动清单!$E$604,"",26)</f>
        <v/>
      </c>
      <c r="B94" s="16" t="str">
        <f aca="false">IFERROR(INDEX(电梯资料!$C$5:$C$604,MATCH(26,_自动清单!$E$5:$E$604,0))&amp;"","")</f>
        <v/>
      </c>
      <c r="C94" s="16" t="str">
        <f aca="false">IFERROR(INDEX(电梯资料!$D$5:$D$604,MATCH(26,_自动清单!$E$5:$E$604,0))&amp;"","")</f>
        <v/>
      </c>
      <c r="D94" s="53" t="str">
        <f aca="false">IFERROR(INDEX(电梯资料!$Q$5:$Q$604,MATCH(26,_自动清单!$E$5:$E$604,0))&amp;"","")</f>
        <v/>
      </c>
      <c r="E94" s="53" t="str">
        <f aca="false">IFERROR(INDEX(电梯资料!$R$5:$R$604,MATCH(26,_自动清单!$E$5:$E$604,0))&amp;"","")</f>
        <v/>
      </c>
      <c r="F94" s="53" t="str">
        <f aca="false">IFERROR(INDEX(电梯资料!$W$5:$W$604,MATCH(26,_自动清单!$E$5:$E$604,0))&amp;"","")</f>
        <v/>
      </c>
      <c r="G94" s="54" t="str">
        <f aca="false">IFERROR(INDEX(电梯资料!$T$5:$T$604,MATCH(26,_自动清单!$E$5:$E$604,0)),"")</f>
        <v/>
      </c>
      <c r="H94" s="54" t="str">
        <f aca="false">IFERROR(INDEX(电梯资料!$U$5:$U$604,MATCH(26,_自动清单!$E$5:$E$604,0)),"")</f>
        <v/>
      </c>
      <c r="I94" s="54" t="str">
        <f aca="false">IFERROR(INDEX(电梯资料!$V$5:$V$604,MATCH(26,_自动清单!$E$5:$E$604,0)),"")</f>
        <v/>
      </c>
      <c r="J94" s="58" t="str">
        <f aca="false">IF(COUNT($G94:$I94)=0,"",MIN($G94:$I94))</f>
        <v/>
      </c>
      <c r="K94" s="55" t="str">
        <f aca="true">IF(N($J94)=0,"",$J94-TODAY())</f>
        <v/>
      </c>
      <c r="L94" s="56" t="str">
        <f aca="false">IF($A94="","",TRIM(IF(IFERROR(INDEX(电梯资料!$AA$5:$AA$604,MATCH(26,_自动清单!$E$5:$E$604,0))&amp;"","")&lt;&gt;"","年检 "&amp;IFERROR(INDEX(电梯资料!$AA$5:$AA$604,MATCH(26,_自动清单!$E$5:$E$604,0))&amp;"",""),"")&amp;IF(AND(IFERROR(INDEX(电梯资料!$AA$5:$AA$604,MATCH(26,_自动清单!$E$5:$E$604,0))&amp;"","")&lt;&gt;"",IFERROR(INDEX(电梯资料!$AB$5:$AB$604,MATCH(26,_自动清单!$E$5:$E$604,0))&amp;"","")&lt;&gt;"")," ｜ ","")&amp;IF(IFERROR(INDEX(电梯资料!$AB$5:$AB$604,MATCH(26,_自动清单!$E$5:$E$604,0))&amp;"","")&lt;&gt;"","校验 "&amp;IFERROR(INDEX(电梯资料!$AB$5:$AB$604,MATCH(26,_自动清单!$E$5:$E$604,0))&amp;"",""),"")))</f>
        <v/>
      </c>
    </row>
    <row r="95" customFormat="false" ht="15" hidden="false" customHeight="false" outlineLevel="0" collapsed="false">
      <c r="A95" s="29" t="str">
        <f aca="false">IF(27&gt;_自动清单!$E$604,"",27)</f>
        <v/>
      </c>
      <c r="B95" s="16" t="str">
        <f aca="false">IFERROR(INDEX(电梯资料!$C$5:$C$604,MATCH(27,_自动清单!$E$5:$E$604,0))&amp;"","")</f>
        <v/>
      </c>
      <c r="C95" s="16" t="str">
        <f aca="false">IFERROR(INDEX(电梯资料!$D$5:$D$604,MATCH(27,_自动清单!$E$5:$E$604,0))&amp;"","")</f>
        <v/>
      </c>
      <c r="D95" s="53" t="str">
        <f aca="false">IFERROR(INDEX(电梯资料!$Q$5:$Q$604,MATCH(27,_自动清单!$E$5:$E$604,0))&amp;"","")</f>
        <v/>
      </c>
      <c r="E95" s="53" t="str">
        <f aca="false">IFERROR(INDEX(电梯资料!$R$5:$R$604,MATCH(27,_自动清单!$E$5:$E$604,0))&amp;"","")</f>
        <v/>
      </c>
      <c r="F95" s="53" t="str">
        <f aca="false">IFERROR(INDEX(电梯资料!$W$5:$W$604,MATCH(27,_自动清单!$E$5:$E$604,0))&amp;"","")</f>
        <v/>
      </c>
      <c r="G95" s="54" t="str">
        <f aca="false">IFERROR(INDEX(电梯资料!$T$5:$T$604,MATCH(27,_自动清单!$E$5:$E$604,0)),"")</f>
        <v/>
      </c>
      <c r="H95" s="54" t="str">
        <f aca="false">IFERROR(INDEX(电梯资料!$U$5:$U$604,MATCH(27,_自动清单!$E$5:$E$604,0)),"")</f>
        <v/>
      </c>
      <c r="I95" s="54" t="str">
        <f aca="false">IFERROR(INDEX(电梯资料!$V$5:$V$604,MATCH(27,_自动清单!$E$5:$E$604,0)),"")</f>
        <v/>
      </c>
      <c r="J95" s="58" t="str">
        <f aca="false">IF(COUNT($G95:$I95)=0,"",MIN($G95:$I95))</f>
        <v/>
      </c>
      <c r="K95" s="55" t="str">
        <f aca="true">IF(N($J95)=0,"",$J95-TODAY())</f>
        <v/>
      </c>
      <c r="L95" s="56" t="str">
        <f aca="false">IF($A95="","",TRIM(IF(IFERROR(INDEX(电梯资料!$AA$5:$AA$604,MATCH(27,_自动清单!$E$5:$E$604,0))&amp;"","")&lt;&gt;"","年检 "&amp;IFERROR(INDEX(电梯资料!$AA$5:$AA$604,MATCH(27,_自动清单!$E$5:$E$604,0))&amp;"",""),"")&amp;IF(AND(IFERROR(INDEX(电梯资料!$AA$5:$AA$604,MATCH(27,_自动清单!$E$5:$E$604,0))&amp;"","")&lt;&gt;"",IFERROR(INDEX(电梯资料!$AB$5:$AB$604,MATCH(27,_自动清单!$E$5:$E$604,0))&amp;"","")&lt;&gt;"")," ｜ ","")&amp;IF(IFERROR(INDEX(电梯资料!$AB$5:$AB$604,MATCH(27,_自动清单!$E$5:$E$604,0))&amp;"","")&lt;&gt;"","校验 "&amp;IFERROR(INDEX(电梯资料!$AB$5:$AB$604,MATCH(27,_自动清单!$E$5:$E$604,0))&amp;"",""),"")))</f>
        <v/>
      </c>
    </row>
    <row r="96" customFormat="false" ht="15" hidden="false" customHeight="false" outlineLevel="0" collapsed="false">
      <c r="A96" s="29" t="str">
        <f aca="false">IF(28&gt;_自动清单!$E$604,"",28)</f>
        <v/>
      </c>
      <c r="B96" s="16" t="str">
        <f aca="false">IFERROR(INDEX(电梯资料!$C$5:$C$604,MATCH(28,_自动清单!$E$5:$E$604,0))&amp;"","")</f>
        <v/>
      </c>
      <c r="C96" s="16" t="str">
        <f aca="false">IFERROR(INDEX(电梯资料!$D$5:$D$604,MATCH(28,_自动清单!$E$5:$E$604,0))&amp;"","")</f>
        <v/>
      </c>
      <c r="D96" s="53" t="str">
        <f aca="false">IFERROR(INDEX(电梯资料!$Q$5:$Q$604,MATCH(28,_自动清单!$E$5:$E$604,0))&amp;"","")</f>
        <v/>
      </c>
      <c r="E96" s="53" t="str">
        <f aca="false">IFERROR(INDEX(电梯资料!$R$5:$R$604,MATCH(28,_自动清单!$E$5:$E$604,0))&amp;"","")</f>
        <v/>
      </c>
      <c r="F96" s="53" t="str">
        <f aca="false">IFERROR(INDEX(电梯资料!$W$5:$W$604,MATCH(28,_自动清单!$E$5:$E$604,0))&amp;"","")</f>
        <v/>
      </c>
      <c r="G96" s="54" t="str">
        <f aca="false">IFERROR(INDEX(电梯资料!$T$5:$T$604,MATCH(28,_自动清单!$E$5:$E$604,0)),"")</f>
        <v/>
      </c>
      <c r="H96" s="54" t="str">
        <f aca="false">IFERROR(INDEX(电梯资料!$U$5:$U$604,MATCH(28,_自动清单!$E$5:$E$604,0)),"")</f>
        <v/>
      </c>
      <c r="I96" s="54" t="str">
        <f aca="false">IFERROR(INDEX(电梯资料!$V$5:$V$604,MATCH(28,_自动清单!$E$5:$E$604,0)),"")</f>
        <v/>
      </c>
      <c r="J96" s="58" t="str">
        <f aca="false">IF(COUNT($G96:$I96)=0,"",MIN($G96:$I96))</f>
        <v/>
      </c>
      <c r="K96" s="55" t="str">
        <f aca="true">IF(N($J96)=0,"",$J96-TODAY())</f>
        <v/>
      </c>
      <c r="L96" s="56" t="str">
        <f aca="false">IF($A96="","",TRIM(IF(IFERROR(INDEX(电梯资料!$AA$5:$AA$604,MATCH(28,_自动清单!$E$5:$E$604,0))&amp;"","")&lt;&gt;"","年检 "&amp;IFERROR(INDEX(电梯资料!$AA$5:$AA$604,MATCH(28,_自动清单!$E$5:$E$604,0))&amp;"",""),"")&amp;IF(AND(IFERROR(INDEX(电梯资料!$AA$5:$AA$604,MATCH(28,_自动清单!$E$5:$E$604,0))&amp;"","")&lt;&gt;"",IFERROR(INDEX(电梯资料!$AB$5:$AB$604,MATCH(28,_自动清单!$E$5:$E$604,0))&amp;"","")&lt;&gt;"")," ｜ ","")&amp;IF(IFERROR(INDEX(电梯资料!$AB$5:$AB$604,MATCH(28,_自动清单!$E$5:$E$604,0))&amp;"","")&lt;&gt;"","校验 "&amp;IFERROR(INDEX(电梯资料!$AB$5:$AB$604,MATCH(28,_自动清单!$E$5:$E$604,0))&amp;"",""),"")))</f>
        <v/>
      </c>
    </row>
    <row r="97" customFormat="false" ht="15" hidden="false" customHeight="false" outlineLevel="0" collapsed="false">
      <c r="A97" s="29" t="str">
        <f aca="false">IF(29&gt;_自动清单!$E$604,"",29)</f>
        <v/>
      </c>
      <c r="B97" s="16" t="str">
        <f aca="false">IFERROR(INDEX(电梯资料!$C$5:$C$604,MATCH(29,_自动清单!$E$5:$E$604,0))&amp;"","")</f>
        <v/>
      </c>
      <c r="C97" s="16" t="str">
        <f aca="false">IFERROR(INDEX(电梯资料!$D$5:$D$604,MATCH(29,_自动清单!$E$5:$E$604,0))&amp;"","")</f>
        <v/>
      </c>
      <c r="D97" s="53" t="str">
        <f aca="false">IFERROR(INDEX(电梯资料!$Q$5:$Q$604,MATCH(29,_自动清单!$E$5:$E$604,0))&amp;"","")</f>
        <v/>
      </c>
      <c r="E97" s="53" t="str">
        <f aca="false">IFERROR(INDEX(电梯资料!$R$5:$R$604,MATCH(29,_自动清单!$E$5:$E$604,0))&amp;"","")</f>
        <v/>
      </c>
      <c r="F97" s="53" t="str">
        <f aca="false">IFERROR(INDEX(电梯资料!$W$5:$W$604,MATCH(29,_自动清单!$E$5:$E$604,0))&amp;"","")</f>
        <v/>
      </c>
      <c r="G97" s="54" t="str">
        <f aca="false">IFERROR(INDEX(电梯资料!$T$5:$T$604,MATCH(29,_自动清单!$E$5:$E$604,0)),"")</f>
        <v/>
      </c>
      <c r="H97" s="54" t="str">
        <f aca="false">IFERROR(INDEX(电梯资料!$U$5:$U$604,MATCH(29,_自动清单!$E$5:$E$604,0)),"")</f>
        <v/>
      </c>
      <c r="I97" s="54" t="str">
        <f aca="false">IFERROR(INDEX(电梯资料!$V$5:$V$604,MATCH(29,_自动清单!$E$5:$E$604,0)),"")</f>
        <v/>
      </c>
      <c r="J97" s="58" t="str">
        <f aca="false">IF(COUNT($G97:$I97)=0,"",MIN($G97:$I97))</f>
        <v/>
      </c>
      <c r="K97" s="55" t="str">
        <f aca="true">IF(N($J97)=0,"",$J97-TODAY())</f>
        <v/>
      </c>
      <c r="L97" s="56" t="str">
        <f aca="false">IF($A97="","",TRIM(IF(IFERROR(INDEX(电梯资料!$AA$5:$AA$604,MATCH(29,_自动清单!$E$5:$E$604,0))&amp;"","")&lt;&gt;"","年检 "&amp;IFERROR(INDEX(电梯资料!$AA$5:$AA$604,MATCH(29,_自动清单!$E$5:$E$604,0))&amp;"",""),"")&amp;IF(AND(IFERROR(INDEX(电梯资料!$AA$5:$AA$604,MATCH(29,_自动清单!$E$5:$E$604,0))&amp;"","")&lt;&gt;"",IFERROR(INDEX(电梯资料!$AB$5:$AB$604,MATCH(29,_自动清单!$E$5:$E$604,0))&amp;"","")&lt;&gt;"")," ｜ ","")&amp;IF(IFERROR(INDEX(电梯资料!$AB$5:$AB$604,MATCH(29,_自动清单!$E$5:$E$604,0))&amp;"","")&lt;&gt;"","校验 "&amp;IFERROR(INDEX(电梯资料!$AB$5:$AB$604,MATCH(29,_自动清单!$E$5:$E$604,0))&amp;"",""),"")))</f>
        <v/>
      </c>
    </row>
    <row r="98" customFormat="false" ht="15" hidden="false" customHeight="false" outlineLevel="0" collapsed="false">
      <c r="A98" s="29" t="str">
        <f aca="false">IF(30&gt;_自动清单!$E$604,"",30)</f>
        <v/>
      </c>
      <c r="B98" s="16" t="str">
        <f aca="false">IFERROR(INDEX(电梯资料!$C$5:$C$604,MATCH(30,_自动清单!$E$5:$E$604,0))&amp;"","")</f>
        <v/>
      </c>
      <c r="C98" s="16" t="str">
        <f aca="false">IFERROR(INDEX(电梯资料!$D$5:$D$604,MATCH(30,_自动清单!$E$5:$E$604,0))&amp;"","")</f>
        <v/>
      </c>
      <c r="D98" s="53" t="str">
        <f aca="false">IFERROR(INDEX(电梯资料!$Q$5:$Q$604,MATCH(30,_自动清单!$E$5:$E$604,0))&amp;"","")</f>
        <v/>
      </c>
      <c r="E98" s="53" t="str">
        <f aca="false">IFERROR(INDEX(电梯资料!$R$5:$R$604,MATCH(30,_自动清单!$E$5:$E$604,0))&amp;"","")</f>
        <v/>
      </c>
      <c r="F98" s="53" t="str">
        <f aca="false">IFERROR(INDEX(电梯资料!$W$5:$W$604,MATCH(30,_自动清单!$E$5:$E$604,0))&amp;"","")</f>
        <v/>
      </c>
      <c r="G98" s="54" t="str">
        <f aca="false">IFERROR(INDEX(电梯资料!$T$5:$T$604,MATCH(30,_自动清单!$E$5:$E$604,0)),"")</f>
        <v/>
      </c>
      <c r="H98" s="54" t="str">
        <f aca="false">IFERROR(INDEX(电梯资料!$U$5:$U$604,MATCH(30,_自动清单!$E$5:$E$604,0)),"")</f>
        <v/>
      </c>
      <c r="I98" s="54" t="str">
        <f aca="false">IFERROR(INDEX(电梯资料!$V$5:$V$604,MATCH(30,_自动清单!$E$5:$E$604,0)),"")</f>
        <v/>
      </c>
      <c r="J98" s="58" t="str">
        <f aca="false">IF(COUNT($G98:$I98)=0,"",MIN($G98:$I98))</f>
        <v/>
      </c>
      <c r="K98" s="55" t="str">
        <f aca="true">IF(N($J98)=0,"",$J98-TODAY())</f>
        <v/>
      </c>
      <c r="L98" s="56" t="str">
        <f aca="false">IF($A98="","",TRIM(IF(IFERROR(INDEX(电梯资料!$AA$5:$AA$604,MATCH(30,_自动清单!$E$5:$E$604,0))&amp;"","")&lt;&gt;"","年检 "&amp;IFERROR(INDEX(电梯资料!$AA$5:$AA$604,MATCH(30,_自动清单!$E$5:$E$604,0))&amp;"",""),"")&amp;IF(AND(IFERROR(INDEX(电梯资料!$AA$5:$AA$604,MATCH(30,_自动清单!$E$5:$E$604,0))&amp;"","")&lt;&gt;"",IFERROR(INDEX(电梯资料!$AB$5:$AB$604,MATCH(30,_自动清单!$E$5:$E$604,0))&amp;"","")&lt;&gt;"")," ｜ ","")&amp;IF(IFERROR(INDEX(电梯资料!$AB$5:$AB$604,MATCH(30,_自动清单!$E$5:$E$604,0))&amp;"","")&lt;&gt;"","校验 "&amp;IFERROR(INDEX(电梯资料!$AB$5:$AB$604,MATCH(30,_自动清单!$E$5:$E$604,0))&amp;"",""),"")))</f>
        <v/>
      </c>
    </row>
    <row r="99" customFormat="false" ht="15" hidden="false" customHeight="false" outlineLevel="0" collapsed="false">
      <c r="A99" s="29" t="str">
        <f aca="false">IF(31&gt;_自动清单!$E$604,"",31)</f>
        <v/>
      </c>
      <c r="B99" s="16" t="str">
        <f aca="false">IFERROR(INDEX(电梯资料!$C$5:$C$604,MATCH(31,_自动清单!$E$5:$E$604,0))&amp;"","")</f>
        <v/>
      </c>
      <c r="C99" s="16" t="str">
        <f aca="false">IFERROR(INDEX(电梯资料!$D$5:$D$604,MATCH(31,_自动清单!$E$5:$E$604,0))&amp;"","")</f>
        <v/>
      </c>
      <c r="D99" s="53" t="str">
        <f aca="false">IFERROR(INDEX(电梯资料!$Q$5:$Q$604,MATCH(31,_自动清单!$E$5:$E$604,0))&amp;"","")</f>
        <v/>
      </c>
      <c r="E99" s="53" t="str">
        <f aca="false">IFERROR(INDEX(电梯资料!$R$5:$R$604,MATCH(31,_自动清单!$E$5:$E$604,0))&amp;"","")</f>
        <v/>
      </c>
      <c r="F99" s="53" t="str">
        <f aca="false">IFERROR(INDEX(电梯资料!$W$5:$W$604,MATCH(31,_自动清单!$E$5:$E$604,0))&amp;"","")</f>
        <v/>
      </c>
      <c r="G99" s="54" t="str">
        <f aca="false">IFERROR(INDEX(电梯资料!$T$5:$T$604,MATCH(31,_自动清单!$E$5:$E$604,0)),"")</f>
        <v/>
      </c>
      <c r="H99" s="54" t="str">
        <f aca="false">IFERROR(INDEX(电梯资料!$U$5:$U$604,MATCH(31,_自动清单!$E$5:$E$604,0)),"")</f>
        <v/>
      </c>
      <c r="I99" s="54" t="str">
        <f aca="false">IFERROR(INDEX(电梯资料!$V$5:$V$604,MATCH(31,_自动清单!$E$5:$E$604,0)),"")</f>
        <v/>
      </c>
      <c r="J99" s="58" t="str">
        <f aca="false">IF(COUNT($G99:$I99)=0,"",MIN($G99:$I99))</f>
        <v/>
      </c>
      <c r="K99" s="55" t="str">
        <f aca="true">IF(N($J99)=0,"",$J99-TODAY())</f>
        <v/>
      </c>
      <c r="L99" s="56" t="str">
        <f aca="false">IF($A99="","",TRIM(IF(IFERROR(INDEX(电梯资料!$AA$5:$AA$604,MATCH(31,_自动清单!$E$5:$E$604,0))&amp;"","")&lt;&gt;"","年检 "&amp;IFERROR(INDEX(电梯资料!$AA$5:$AA$604,MATCH(31,_自动清单!$E$5:$E$604,0))&amp;"",""),"")&amp;IF(AND(IFERROR(INDEX(电梯资料!$AA$5:$AA$604,MATCH(31,_自动清单!$E$5:$E$604,0))&amp;"","")&lt;&gt;"",IFERROR(INDEX(电梯资料!$AB$5:$AB$604,MATCH(31,_自动清单!$E$5:$E$604,0))&amp;"","")&lt;&gt;"")," ｜ ","")&amp;IF(IFERROR(INDEX(电梯资料!$AB$5:$AB$604,MATCH(31,_自动清单!$E$5:$E$604,0))&amp;"","")&lt;&gt;"","校验 "&amp;IFERROR(INDEX(电梯资料!$AB$5:$AB$604,MATCH(31,_自动清单!$E$5:$E$604,0))&amp;"",""),"")))</f>
        <v/>
      </c>
    </row>
    <row r="100" customFormat="false" ht="15" hidden="false" customHeight="false" outlineLevel="0" collapsed="false">
      <c r="A100" s="29" t="str">
        <f aca="false">IF(32&gt;_自动清单!$E$604,"",32)</f>
        <v/>
      </c>
      <c r="B100" s="16" t="str">
        <f aca="false">IFERROR(INDEX(电梯资料!$C$5:$C$604,MATCH(32,_自动清单!$E$5:$E$604,0))&amp;"","")</f>
        <v/>
      </c>
      <c r="C100" s="16" t="str">
        <f aca="false">IFERROR(INDEX(电梯资料!$D$5:$D$604,MATCH(32,_自动清单!$E$5:$E$604,0))&amp;"","")</f>
        <v/>
      </c>
      <c r="D100" s="53" t="str">
        <f aca="false">IFERROR(INDEX(电梯资料!$Q$5:$Q$604,MATCH(32,_自动清单!$E$5:$E$604,0))&amp;"","")</f>
        <v/>
      </c>
      <c r="E100" s="53" t="str">
        <f aca="false">IFERROR(INDEX(电梯资料!$R$5:$R$604,MATCH(32,_自动清单!$E$5:$E$604,0))&amp;"","")</f>
        <v/>
      </c>
      <c r="F100" s="53" t="str">
        <f aca="false">IFERROR(INDEX(电梯资料!$W$5:$W$604,MATCH(32,_自动清单!$E$5:$E$604,0))&amp;"","")</f>
        <v/>
      </c>
      <c r="G100" s="54" t="str">
        <f aca="false">IFERROR(INDEX(电梯资料!$T$5:$T$604,MATCH(32,_自动清单!$E$5:$E$604,0)),"")</f>
        <v/>
      </c>
      <c r="H100" s="54" t="str">
        <f aca="false">IFERROR(INDEX(电梯资料!$U$5:$U$604,MATCH(32,_自动清单!$E$5:$E$604,0)),"")</f>
        <v/>
      </c>
      <c r="I100" s="54" t="str">
        <f aca="false">IFERROR(INDEX(电梯资料!$V$5:$V$604,MATCH(32,_自动清单!$E$5:$E$604,0)),"")</f>
        <v/>
      </c>
      <c r="J100" s="58" t="str">
        <f aca="false">IF(COUNT($G100:$I100)=0,"",MIN($G100:$I100))</f>
        <v/>
      </c>
      <c r="K100" s="55" t="str">
        <f aca="true">IF(N($J100)=0,"",$J100-TODAY())</f>
        <v/>
      </c>
      <c r="L100" s="56" t="str">
        <f aca="false">IF($A100="","",TRIM(IF(IFERROR(INDEX(电梯资料!$AA$5:$AA$604,MATCH(32,_自动清单!$E$5:$E$604,0))&amp;"","")&lt;&gt;"","年检 "&amp;IFERROR(INDEX(电梯资料!$AA$5:$AA$604,MATCH(32,_自动清单!$E$5:$E$604,0))&amp;"",""),"")&amp;IF(AND(IFERROR(INDEX(电梯资料!$AA$5:$AA$604,MATCH(32,_自动清单!$E$5:$E$604,0))&amp;"","")&lt;&gt;"",IFERROR(INDEX(电梯资料!$AB$5:$AB$604,MATCH(32,_自动清单!$E$5:$E$604,0))&amp;"","")&lt;&gt;"")," ｜ ","")&amp;IF(IFERROR(INDEX(电梯资料!$AB$5:$AB$604,MATCH(32,_自动清单!$E$5:$E$604,0))&amp;"","")&lt;&gt;"","校验 "&amp;IFERROR(INDEX(电梯资料!$AB$5:$AB$604,MATCH(32,_自动清单!$E$5:$E$604,0))&amp;"",""),"")))</f>
        <v/>
      </c>
    </row>
    <row r="101" customFormat="false" ht="15" hidden="false" customHeight="false" outlineLevel="0" collapsed="false">
      <c r="A101" s="29" t="str">
        <f aca="false">IF(33&gt;_自动清单!$E$604,"",33)</f>
        <v/>
      </c>
      <c r="B101" s="16" t="str">
        <f aca="false">IFERROR(INDEX(电梯资料!$C$5:$C$604,MATCH(33,_自动清单!$E$5:$E$604,0))&amp;"","")</f>
        <v/>
      </c>
      <c r="C101" s="16" t="str">
        <f aca="false">IFERROR(INDEX(电梯资料!$D$5:$D$604,MATCH(33,_自动清单!$E$5:$E$604,0))&amp;"","")</f>
        <v/>
      </c>
      <c r="D101" s="53" t="str">
        <f aca="false">IFERROR(INDEX(电梯资料!$Q$5:$Q$604,MATCH(33,_自动清单!$E$5:$E$604,0))&amp;"","")</f>
        <v/>
      </c>
      <c r="E101" s="53" t="str">
        <f aca="false">IFERROR(INDEX(电梯资料!$R$5:$R$604,MATCH(33,_自动清单!$E$5:$E$604,0))&amp;"","")</f>
        <v/>
      </c>
      <c r="F101" s="53" t="str">
        <f aca="false">IFERROR(INDEX(电梯资料!$W$5:$W$604,MATCH(33,_自动清单!$E$5:$E$604,0))&amp;"","")</f>
        <v/>
      </c>
      <c r="G101" s="54" t="str">
        <f aca="false">IFERROR(INDEX(电梯资料!$T$5:$T$604,MATCH(33,_自动清单!$E$5:$E$604,0)),"")</f>
        <v/>
      </c>
      <c r="H101" s="54" t="str">
        <f aca="false">IFERROR(INDEX(电梯资料!$U$5:$U$604,MATCH(33,_自动清单!$E$5:$E$604,0)),"")</f>
        <v/>
      </c>
      <c r="I101" s="54" t="str">
        <f aca="false">IFERROR(INDEX(电梯资料!$V$5:$V$604,MATCH(33,_自动清单!$E$5:$E$604,0)),"")</f>
        <v/>
      </c>
      <c r="J101" s="58" t="str">
        <f aca="false">IF(COUNT($G101:$I101)=0,"",MIN($G101:$I101))</f>
        <v/>
      </c>
      <c r="K101" s="55" t="str">
        <f aca="true">IF(N($J101)=0,"",$J101-TODAY())</f>
        <v/>
      </c>
      <c r="L101" s="56" t="str">
        <f aca="false">IF($A101="","",TRIM(IF(IFERROR(INDEX(电梯资料!$AA$5:$AA$604,MATCH(33,_自动清单!$E$5:$E$604,0))&amp;"","")&lt;&gt;"","年检 "&amp;IFERROR(INDEX(电梯资料!$AA$5:$AA$604,MATCH(33,_自动清单!$E$5:$E$604,0))&amp;"",""),"")&amp;IF(AND(IFERROR(INDEX(电梯资料!$AA$5:$AA$604,MATCH(33,_自动清单!$E$5:$E$604,0))&amp;"","")&lt;&gt;"",IFERROR(INDEX(电梯资料!$AB$5:$AB$604,MATCH(33,_自动清单!$E$5:$E$604,0))&amp;"","")&lt;&gt;"")," ｜ ","")&amp;IF(IFERROR(INDEX(电梯资料!$AB$5:$AB$604,MATCH(33,_自动清单!$E$5:$E$604,0))&amp;"","")&lt;&gt;"","校验 "&amp;IFERROR(INDEX(电梯资料!$AB$5:$AB$604,MATCH(33,_自动清单!$E$5:$E$604,0))&amp;"",""),"")))</f>
        <v/>
      </c>
    </row>
    <row r="102" customFormat="false" ht="15" hidden="false" customHeight="false" outlineLevel="0" collapsed="false">
      <c r="A102" s="29" t="str">
        <f aca="false">IF(34&gt;_自动清单!$E$604,"",34)</f>
        <v/>
      </c>
      <c r="B102" s="16" t="str">
        <f aca="false">IFERROR(INDEX(电梯资料!$C$5:$C$604,MATCH(34,_自动清单!$E$5:$E$604,0))&amp;"","")</f>
        <v/>
      </c>
      <c r="C102" s="16" t="str">
        <f aca="false">IFERROR(INDEX(电梯资料!$D$5:$D$604,MATCH(34,_自动清单!$E$5:$E$604,0))&amp;"","")</f>
        <v/>
      </c>
      <c r="D102" s="53" t="str">
        <f aca="false">IFERROR(INDEX(电梯资料!$Q$5:$Q$604,MATCH(34,_自动清单!$E$5:$E$604,0))&amp;"","")</f>
        <v/>
      </c>
      <c r="E102" s="53" t="str">
        <f aca="false">IFERROR(INDEX(电梯资料!$R$5:$R$604,MATCH(34,_自动清单!$E$5:$E$604,0))&amp;"","")</f>
        <v/>
      </c>
      <c r="F102" s="53" t="str">
        <f aca="false">IFERROR(INDEX(电梯资料!$W$5:$W$604,MATCH(34,_自动清单!$E$5:$E$604,0))&amp;"","")</f>
        <v/>
      </c>
      <c r="G102" s="54" t="str">
        <f aca="false">IFERROR(INDEX(电梯资料!$T$5:$T$604,MATCH(34,_自动清单!$E$5:$E$604,0)),"")</f>
        <v/>
      </c>
      <c r="H102" s="54" t="str">
        <f aca="false">IFERROR(INDEX(电梯资料!$U$5:$U$604,MATCH(34,_自动清单!$E$5:$E$604,0)),"")</f>
        <v/>
      </c>
      <c r="I102" s="54" t="str">
        <f aca="false">IFERROR(INDEX(电梯资料!$V$5:$V$604,MATCH(34,_自动清单!$E$5:$E$604,0)),"")</f>
        <v/>
      </c>
      <c r="J102" s="58" t="str">
        <f aca="false">IF(COUNT($G102:$I102)=0,"",MIN($G102:$I102))</f>
        <v/>
      </c>
      <c r="K102" s="55" t="str">
        <f aca="true">IF(N($J102)=0,"",$J102-TODAY())</f>
        <v/>
      </c>
      <c r="L102" s="56" t="str">
        <f aca="false">IF($A102="","",TRIM(IF(IFERROR(INDEX(电梯资料!$AA$5:$AA$604,MATCH(34,_自动清单!$E$5:$E$604,0))&amp;"","")&lt;&gt;"","年检 "&amp;IFERROR(INDEX(电梯资料!$AA$5:$AA$604,MATCH(34,_自动清单!$E$5:$E$604,0))&amp;"",""),"")&amp;IF(AND(IFERROR(INDEX(电梯资料!$AA$5:$AA$604,MATCH(34,_自动清单!$E$5:$E$604,0))&amp;"","")&lt;&gt;"",IFERROR(INDEX(电梯资料!$AB$5:$AB$604,MATCH(34,_自动清单!$E$5:$E$604,0))&amp;"","")&lt;&gt;"")," ｜ ","")&amp;IF(IFERROR(INDEX(电梯资料!$AB$5:$AB$604,MATCH(34,_自动清单!$E$5:$E$604,0))&amp;"","")&lt;&gt;"","校验 "&amp;IFERROR(INDEX(电梯资料!$AB$5:$AB$604,MATCH(34,_自动清单!$E$5:$E$604,0))&amp;"",""),"")))</f>
        <v/>
      </c>
    </row>
    <row r="103" customFormat="false" ht="15" hidden="false" customHeight="false" outlineLevel="0" collapsed="false">
      <c r="A103" s="29" t="str">
        <f aca="false">IF(35&gt;_自动清单!$E$604,"",35)</f>
        <v/>
      </c>
      <c r="B103" s="16" t="str">
        <f aca="false">IFERROR(INDEX(电梯资料!$C$5:$C$604,MATCH(35,_自动清单!$E$5:$E$604,0))&amp;"","")</f>
        <v/>
      </c>
      <c r="C103" s="16" t="str">
        <f aca="false">IFERROR(INDEX(电梯资料!$D$5:$D$604,MATCH(35,_自动清单!$E$5:$E$604,0))&amp;"","")</f>
        <v/>
      </c>
      <c r="D103" s="53" t="str">
        <f aca="false">IFERROR(INDEX(电梯资料!$Q$5:$Q$604,MATCH(35,_自动清单!$E$5:$E$604,0))&amp;"","")</f>
        <v/>
      </c>
      <c r="E103" s="53" t="str">
        <f aca="false">IFERROR(INDEX(电梯资料!$R$5:$R$604,MATCH(35,_自动清单!$E$5:$E$604,0))&amp;"","")</f>
        <v/>
      </c>
      <c r="F103" s="53" t="str">
        <f aca="false">IFERROR(INDEX(电梯资料!$W$5:$W$604,MATCH(35,_自动清单!$E$5:$E$604,0))&amp;"","")</f>
        <v/>
      </c>
      <c r="G103" s="54" t="str">
        <f aca="false">IFERROR(INDEX(电梯资料!$T$5:$T$604,MATCH(35,_自动清单!$E$5:$E$604,0)),"")</f>
        <v/>
      </c>
      <c r="H103" s="54" t="str">
        <f aca="false">IFERROR(INDEX(电梯资料!$U$5:$U$604,MATCH(35,_自动清单!$E$5:$E$604,0)),"")</f>
        <v/>
      </c>
      <c r="I103" s="54" t="str">
        <f aca="false">IFERROR(INDEX(电梯资料!$V$5:$V$604,MATCH(35,_自动清单!$E$5:$E$604,0)),"")</f>
        <v/>
      </c>
      <c r="J103" s="58" t="str">
        <f aca="false">IF(COUNT($G103:$I103)=0,"",MIN($G103:$I103))</f>
        <v/>
      </c>
      <c r="K103" s="55" t="str">
        <f aca="true">IF(N($J103)=0,"",$J103-TODAY())</f>
        <v/>
      </c>
      <c r="L103" s="56" t="str">
        <f aca="false">IF($A103="","",TRIM(IF(IFERROR(INDEX(电梯资料!$AA$5:$AA$604,MATCH(35,_自动清单!$E$5:$E$604,0))&amp;"","")&lt;&gt;"","年检 "&amp;IFERROR(INDEX(电梯资料!$AA$5:$AA$604,MATCH(35,_自动清单!$E$5:$E$604,0))&amp;"",""),"")&amp;IF(AND(IFERROR(INDEX(电梯资料!$AA$5:$AA$604,MATCH(35,_自动清单!$E$5:$E$604,0))&amp;"","")&lt;&gt;"",IFERROR(INDEX(电梯资料!$AB$5:$AB$604,MATCH(35,_自动清单!$E$5:$E$604,0))&amp;"","")&lt;&gt;"")," ｜ ","")&amp;IF(IFERROR(INDEX(电梯资料!$AB$5:$AB$604,MATCH(35,_自动清单!$E$5:$E$604,0))&amp;"","")&lt;&gt;"","校验 "&amp;IFERROR(INDEX(电梯资料!$AB$5:$AB$604,MATCH(35,_自动清单!$E$5:$E$604,0))&amp;"",""),"")))</f>
        <v/>
      </c>
    </row>
    <row r="104" customFormat="false" ht="15" hidden="false" customHeight="false" outlineLevel="0" collapsed="false">
      <c r="A104" s="29" t="str">
        <f aca="false">IF(36&gt;_自动清单!$E$604,"",36)</f>
        <v/>
      </c>
      <c r="B104" s="16" t="str">
        <f aca="false">IFERROR(INDEX(电梯资料!$C$5:$C$604,MATCH(36,_自动清单!$E$5:$E$604,0))&amp;"","")</f>
        <v/>
      </c>
      <c r="C104" s="16" t="str">
        <f aca="false">IFERROR(INDEX(电梯资料!$D$5:$D$604,MATCH(36,_自动清单!$E$5:$E$604,0))&amp;"","")</f>
        <v/>
      </c>
      <c r="D104" s="53" t="str">
        <f aca="false">IFERROR(INDEX(电梯资料!$Q$5:$Q$604,MATCH(36,_自动清单!$E$5:$E$604,0))&amp;"","")</f>
        <v/>
      </c>
      <c r="E104" s="53" t="str">
        <f aca="false">IFERROR(INDEX(电梯资料!$R$5:$R$604,MATCH(36,_自动清单!$E$5:$E$604,0))&amp;"","")</f>
        <v/>
      </c>
      <c r="F104" s="53" t="str">
        <f aca="false">IFERROR(INDEX(电梯资料!$W$5:$W$604,MATCH(36,_自动清单!$E$5:$E$604,0))&amp;"","")</f>
        <v/>
      </c>
      <c r="G104" s="54" t="str">
        <f aca="false">IFERROR(INDEX(电梯资料!$T$5:$T$604,MATCH(36,_自动清单!$E$5:$E$604,0)),"")</f>
        <v/>
      </c>
      <c r="H104" s="54" t="str">
        <f aca="false">IFERROR(INDEX(电梯资料!$U$5:$U$604,MATCH(36,_自动清单!$E$5:$E$604,0)),"")</f>
        <v/>
      </c>
      <c r="I104" s="54" t="str">
        <f aca="false">IFERROR(INDEX(电梯资料!$V$5:$V$604,MATCH(36,_自动清单!$E$5:$E$604,0)),"")</f>
        <v/>
      </c>
      <c r="J104" s="58" t="str">
        <f aca="false">IF(COUNT($G104:$I104)=0,"",MIN($G104:$I104))</f>
        <v/>
      </c>
      <c r="K104" s="55" t="str">
        <f aca="true">IF(N($J104)=0,"",$J104-TODAY())</f>
        <v/>
      </c>
      <c r="L104" s="56" t="str">
        <f aca="false">IF($A104="","",TRIM(IF(IFERROR(INDEX(电梯资料!$AA$5:$AA$604,MATCH(36,_自动清单!$E$5:$E$604,0))&amp;"","")&lt;&gt;"","年检 "&amp;IFERROR(INDEX(电梯资料!$AA$5:$AA$604,MATCH(36,_自动清单!$E$5:$E$604,0))&amp;"",""),"")&amp;IF(AND(IFERROR(INDEX(电梯资料!$AA$5:$AA$604,MATCH(36,_自动清单!$E$5:$E$604,0))&amp;"","")&lt;&gt;"",IFERROR(INDEX(电梯资料!$AB$5:$AB$604,MATCH(36,_自动清单!$E$5:$E$604,0))&amp;"","")&lt;&gt;"")," ｜ ","")&amp;IF(IFERROR(INDEX(电梯资料!$AB$5:$AB$604,MATCH(36,_自动清单!$E$5:$E$604,0))&amp;"","")&lt;&gt;"","校验 "&amp;IFERROR(INDEX(电梯资料!$AB$5:$AB$604,MATCH(36,_自动清单!$E$5:$E$604,0))&amp;"",""),"")))</f>
        <v/>
      </c>
    </row>
    <row r="105" customFormat="false" ht="15" hidden="false" customHeight="false" outlineLevel="0" collapsed="false">
      <c r="A105" s="29" t="str">
        <f aca="false">IF(37&gt;_自动清单!$E$604,"",37)</f>
        <v/>
      </c>
      <c r="B105" s="16" t="str">
        <f aca="false">IFERROR(INDEX(电梯资料!$C$5:$C$604,MATCH(37,_自动清单!$E$5:$E$604,0))&amp;"","")</f>
        <v/>
      </c>
      <c r="C105" s="16" t="str">
        <f aca="false">IFERROR(INDEX(电梯资料!$D$5:$D$604,MATCH(37,_自动清单!$E$5:$E$604,0))&amp;"","")</f>
        <v/>
      </c>
      <c r="D105" s="53" t="str">
        <f aca="false">IFERROR(INDEX(电梯资料!$Q$5:$Q$604,MATCH(37,_自动清单!$E$5:$E$604,0))&amp;"","")</f>
        <v/>
      </c>
      <c r="E105" s="53" t="str">
        <f aca="false">IFERROR(INDEX(电梯资料!$R$5:$R$604,MATCH(37,_自动清单!$E$5:$E$604,0))&amp;"","")</f>
        <v/>
      </c>
      <c r="F105" s="53" t="str">
        <f aca="false">IFERROR(INDEX(电梯资料!$W$5:$W$604,MATCH(37,_自动清单!$E$5:$E$604,0))&amp;"","")</f>
        <v/>
      </c>
      <c r="G105" s="54" t="str">
        <f aca="false">IFERROR(INDEX(电梯资料!$T$5:$T$604,MATCH(37,_自动清单!$E$5:$E$604,0)),"")</f>
        <v/>
      </c>
      <c r="H105" s="54" t="str">
        <f aca="false">IFERROR(INDEX(电梯资料!$U$5:$U$604,MATCH(37,_自动清单!$E$5:$E$604,0)),"")</f>
        <v/>
      </c>
      <c r="I105" s="54" t="str">
        <f aca="false">IFERROR(INDEX(电梯资料!$V$5:$V$604,MATCH(37,_自动清单!$E$5:$E$604,0)),"")</f>
        <v/>
      </c>
      <c r="J105" s="58" t="str">
        <f aca="false">IF(COUNT($G105:$I105)=0,"",MIN($G105:$I105))</f>
        <v/>
      </c>
      <c r="K105" s="55" t="str">
        <f aca="true">IF(N($J105)=0,"",$J105-TODAY())</f>
        <v/>
      </c>
      <c r="L105" s="56" t="str">
        <f aca="false">IF($A105="","",TRIM(IF(IFERROR(INDEX(电梯资料!$AA$5:$AA$604,MATCH(37,_自动清单!$E$5:$E$604,0))&amp;"","")&lt;&gt;"","年检 "&amp;IFERROR(INDEX(电梯资料!$AA$5:$AA$604,MATCH(37,_自动清单!$E$5:$E$604,0))&amp;"",""),"")&amp;IF(AND(IFERROR(INDEX(电梯资料!$AA$5:$AA$604,MATCH(37,_自动清单!$E$5:$E$604,0))&amp;"","")&lt;&gt;"",IFERROR(INDEX(电梯资料!$AB$5:$AB$604,MATCH(37,_自动清单!$E$5:$E$604,0))&amp;"","")&lt;&gt;"")," ｜ ","")&amp;IF(IFERROR(INDEX(电梯资料!$AB$5:$AB$604,MATCH(37,_自动清单!$E$5:$E$604,0))&amp;"","")&lt;&gt;"","校验 "&amp;IFERROR(INDEX(电梯资料!$AB$5:$AB$604,MATCH(37,_自动清单!$E$5:$E$604,0))&amp;"",""),"")))</f>
        <v/>
      </c>
    </row>
    <row r="106" customFormat="false" ht="15" hidden="false" customHeight="false" outlineLevel="0" collapsed="false">
      <c r="A106" s="29" t="str">
        <f aca="false">IF(38&gt;_自动清单!$E$604,"",38)</f>
        <v/>
      </c>
      <c r="B106" s="16" t="str">
        <f aca="false">IFERROR(INDEX(电梯资料!$C$5:$C$604,MATCH(38,_自动清单!$E$5:$E$604,0))&amp;"","")</f>
        <v/>
      </c>
      <c r="C106" s="16" t="str">
        <f aca="false">IFERROR(INDEX(电梯资料!$D$5:$D$604,MATCH(38,_自动清单!$E$5:$E$604,0))&amp;"","")</f>
        <v/>
      </c>
      <c r="D106" s="53" t="str">
        <f aca="false">IFERROR(INDEX(电梯资料!$Q$5:$Q$604,MATCH(38,_自动清单!$E$5:$E$604,0))&amp;"","")</f>
        <v/>
      </c>
      <c r="E106" s="53" t="str">
        <f aca="false">IFERROR(INDEX(电梯资料!$R$5:$R$604,MATCH(38,_自动清单!$E$5:$E$604,0))&amp;"","")</f>
        <v/>
      </c>
      <c r="F106" s="53" t="str">
        <f aca="false">IFERROR(INDEX(电梯资料!$W$5:$W$604,MATCH(38,_自动清单!$E$5:$E$604,0))&amp;"","")</f>
        <v/>
      </c>
      <c r="G106" s="54" t="str">
        <f aca="false">IFERROR(INDEX(电梯资料!$T$5:$T$604,MATCH(38,_自动清单!$E$5:$E$604,0)),"")</f>
        <v/>
      </c>
      <c r="H106" s="54" t="str">
        <f aca="false">IFERROR(INDEX(电梯资料!$U$5:$U$604,MATCH(38,_自动清单!$E$5:$E$604,0)),"")</f>
        <v/>
      </c>
      <c r="I106" s="54" t="str">
        <f aca="false">IFERROR(INDEX(电梯资料!$V$5:$V$604,MATCH(38,_自动清单!$E$5:$E$604,0)),"")</f>
        <v/>
      </c>
      <c r="J106" s="58" t="str">
        <f aca="false">IF(COUNT($G106:$I106)=0,"",MIN($G106:$I106))</f>
        <v/>
      </c>
      <c r="K106" s="55" t="str">
        <f aca="true">IF(N($J106)=0,"",$J106-TODAY())</f>
        <v/>
      </c>
      <c r="L106" s="56" t="str">
        <f aca="false">IF($A106="","",TRIM(IF(IFERROR(INDEX(电梯资料!$AA$5:$AA$604,MATCH(38,_自动清单!$E$5:$E$604,0))&amp;"","")&lt;&gt;"","年检 "&amp;IFERROR(INDEX(电梯资料!$AA$5:$AA$604,MATCH(38,_自动清单!$E$5:$E$604,0))&amp;"",""),"")&amp;IF(AND(IFERROR(INDEX(电梯资料!$AA$5:$AA$604,MATCH(38,_自动清单!$E$5:$E$604,0))&amp;"","")&lt;&gt;"",IFERROR(INDEX(电梯资料!$AB$5:$AB$604,MATCH(38,_自动清单!$E$5:$E$604,0))&amp;"","")&lt;&gt;"")," ｜ ","")&amp;IF(IFERROR(INDEX(电梯资料!$AB$5:$AB$604,MATCH(38,_自动清单!$E$5:$E$604,0))&amp;"","")&lt;&gt;"","校验 "&amp;IFERROR(INDEX(电梯资料!$AB$5:$AB$604,MATCH(38,_自动清单!$E$5:$E$604,0))&amp;"",""),"")))</f>
        <v/>
      </c>
    </row>
    <row r="107" customFormat="false" ht="15" hidden="false" customHeight="false" outlineLevel="0" collapsed="false">
      <c r="A107" s="29" t="str">
        <f aca="false">IF(39&gt;_自动清单!$E$604,"",39)</f>
        <v/>
      </c>
      <c r="B107" s="16" t="str">
        <f aca="false">IFERROR(INDEX(电梯资料!$C$5:$C$604,MATCH(39,_自动清单!$E$5:$E$604,0))&amp;"","")</f>
        <v/>
      </c>
      <c r="C107" s="16" t="str">
        <f aca="false">IFERROR(INDEX(电梯资料!$D$5:$D$604,MATCH(39,_自动清单!$E$5:$E$604,0))&amp;"","")</f>
        <v/>
      </c>
      <c r="D107" s="53" t="str">
        <f aca="false">IFERROR(INDEX(电梯资料!$Q$5:$Q$604,MATCH(39,_自动清单!$E$5:$E$604,0))&amp;"","")</f>
        <v/>
      </c>
      <c r="E107" s="53" t="str">
        <f aca="false">IFERROR(INDEX(电梯资料!$R$5:$R$604,MATCH(39,_自动清单!$E$5:$E$604,0))&amp;"","")</f>
        <v/>
      </c>
      <c r="F107" s="53" t="str">
        <f aca="false">IFERROR(INDEX(电梯资料!$W$5:$W$604,MATCH(39,_自动清单!$E$5:$E$604,0))&amp;"","")</f>
        <v/>
      </c>
      <c r="G107" s="54" t="str">
        <f aca="false">IFERROR(INDEX(电梯资料!$T$5:$T$604,MATCH(39,_自动清单!$E$5:$E$604,0)),"")</f>
        <v/>
      </c>
      <c r="H107" s="54" t="str">
        <f aca="false">IFERROR(INDEX(电梯资料!$U$5:$U$604,MATCH(39,_自动清单!$E$5:$E$604,0)),"")</f>
        <v/>
      </c>
      <c r="I107" s="54" t="str">
        <f aca="false">IFERROR(INDEX(电梯资料!$V$5:$V$604,MATCH(39,_自动清单!$E$5:$E$604,0)),"")</f>
        <v/>
      </c>
      <c r="J107" s="58" t="str">
        <f aca="false">IF(COUNT($G107:$I107)=0,"",MIN($G107:$I107))</f>
        <v/>
      </c>
      <c r="K107" s="55" t="str">
        <f aca="true">IF(N($J107)=0,"",$J107-TODAY())</f>
        <v/>
      </c>
      <c r="L107" s="56" t="str">
        <f aca="false">IF($A107="","",TRIM(IF(IFERROR(INDEX(电梯资料!$AA$5:$AA$604,MATCH(39,_自动清单!$E$5:$E$604,0))&amp;"","")&lt;&gt;"","年检 "&amp;IFERROR(INDEX(电梯资料!$AA$5:$AA$604,MATCH(39,_自动清单!$E$5:$E$604,0))&amp;"",""),"")&amp;IF(AND(IFERROR(INDEX(电梯资料!$AA$5:$AA$604,MATCH(39,_自动清单!$E$5:$E$604,0))&amp;"","")&lt;&gt;"",IFERROR(INDEX(电梯资料!$AB$5:$AB$604,MATCH(39,_自动清单!$E$5:$E$604,0))&amp;"","")&lt;&gt;"")," ｜ ","")&amp;IF(IFERROR(INDEX(电梯资料!$AB$5:$AB$604,MATCH(39,_自动清单!$E$5:$E$604,0))&amp;"","")&lt;&gt;"","校验 "&amp;IFERROR(INDEX(电梯资料!$AB$5:$AB$604,MATCH(39,_自动清单!$E$5:$E$604,0))&amp;"",""),"")))</f>
        <v/>
      </c>
    </row>
    <row r="108" customFormat="false" ht="15" hidden="false" customHeight="false" outlineLevel="0" collapsed="false">
      <c r="A108" s="29" t="str">
        <f aca="false">IF(40&gt;_自动清单!$E$604,"",40)</f>
        <v/>
      </c>
      <c r="B108" s="16" t="str">
        <f aca="false">IFERROR(INDEX(电梯资料!$C$5:$C$604,MATCH(40,_自动清单!$E$5:$E$604,0))&amp;"","")</f>
        <v/>
      </c>
      <c r="C108" s="16" t="str">
        <f aca="false">IFERROR(INDEX(电梯资料!$D$5:$D$604,MATCH(40,_自动清单!$E$5:$E$604,0))&amp;"","")</f>
        <v/>
      </c>
      <c r="D108" s="53" t="str">
        <f aca="false">IFERROR(INDEX(电梯资料!$Q$5:$Q$604,MATCH(40,_自动清单!$E$5:$E$604,0))&amp;"","")</f>
        <v/>
      </c>
      <c r="E108" s="53" t="str">
        <f aca="false">IFERROR(INDEX(电梯资料!$R$5:$R$604,MATCH(40,_自动清单!$E$5:$E$604,0))&amp;"","")</f>
        <v/>
      </c>
      <c r="F108" s="53" t="str">
        <f aca="false">IFERROR(INDEX(电梯资料!$W$5:$W$604,MATCH(40,_自动清单!$E$5:$E$604,0))&amp;"","")</f>
        <v/>
      </c>
      <c r="G108" s="54" t="str">
        <f aca="false">IFERROR(INDEX(电梯资料!$T$5:$T$604,MATCH(40,_自动清单!$E$5:$E$604,0)),"")</f>
        <v/>
      </c>
      <c r="H108" s="54" t="str">
        <f aca="false">IFERROR(INDEX(电梯资料!$U$5:$U$604,MATCH(40,_自动清单!$E$5:$E$604,0)),"")</f>
        <v/>
      </c>
      <c r="I108" s="54" t="str">
        <f aca="false">IFERROR(INDEX(电梯资料!$V$5:$V$604,MATCH(40,_自动清单!$E$5:$E$604,0)),"")</f>
        <v/>
      </c>
      <c r="J108" s="58" t="str">
        <f aca="false">IF(COUNT($G108:$I108)=0,"",MIN($G108:$I108))</f>
        <v/>
      </c>
      <c r="K108" s="55" t="str">
        <f aca="true">IF(N($J108)=0,"",$J108-TODAY())</f>
        <v/>
      </c>
      <c r="L108" s="56" t="str">
        <f aca="false">IF($A108="","",TRIM(IF(IFERROR(INDEX(电梯资料!$AA$5:$AA$604,MATCH(40,_自动清单!$E$5:$E$604,0))&amp;"","")&lt;&gt;"","年检 "&amp;IFERROR(INDEX(电梯资料!$AA$5:$AA$604,MATCH(40,_自动清单!$E$5:$E$604,0))&amp;"",""),"")&amp;IF(AND(IFERROR(INDEX(电梯资料!$AA$5:$AA$604,MATCH(40,_自动清单!$E$5:$E$604,0))&amp;"","")&lt;&gt;"",IFERROR(INDEX(电梯资料!$AB$5:$AB$604,MATCH(40,_自动清单!$E$5:$E$604,0))&amp;"","")&lt;&gt;"")," ｜ ","")&amp;IF(IFERROR(INDEX(电梯资料!$AB$5:$AB$604,MATCH(40,_自动清单!$E$5:$E$604,0))&amp;"","")&lt;&gt;"","校验 "&amp;IFERROR(INDEX(电梯资料!$AB$5:$AB$604,MATCH(40,_自动清单!$E$5:$E$604,0))&amp;"",""),"")))</f>
        <v/>
      </c>
    </row>
    <row r="109" customFormat="false" ht="15" hidden="false" customHeight="false" outlineLevel="0" collapsed="false">
      <c r="A109" s="29" t="str">
        <f aca="false">IF(41&gt;_自动清单!$E$604,"",41)</f>
        <v/>
      </c>
      <c r="B109" s="16" t="str">
        <f aca="false">IFERROR(INDEX(电梯资料!$C$5:$C$604,MATCH(41,_自动清单!$E$5:$E$604,0))&amp;"","")</f>
        <v/>
      </c>
      <c r="C109" s="16" t="str">
        <f aca="false">IFERROR(INDEX(电梯资料!$D$5:$D$604,MATCH(41,_自动清单!$E$5:$E$604,0))&amp;"","")</f>
        <v/>
      </c>
      <c r="D109" s="53" t="str">
        <f aca="false">IFERROR(INDEX(电梯资料!$Q$5:$Q$604,MATCH(41,_自动清单!$E$5:$E$604,0))&amp;"","")</f>
        <v/>
      </c>
      <c r="E109" s="53" t="str">
        <f aca="false">IFERROR(INDEX(电梯资料!$R$5:$R$604,MATCH(41,_自动清单!$E$5:$E$604,0))&amp;"","")</f>
        <v/>
      </c>
      <c r="F109" s="53" t="str">
        <f aca="false">IFERROR(INDEX(电梯资料!$W$5:$W$604,MATCH(41,_自动清单!$E$5:$E$604,0))&amp;"","")</f>
        <v/>
      </c>
      <c r="G109" s="54" t="str">
        <f aca="false">IFERROR(INDEX(电梯资料!$T$5:$T$604,MATCH(41,_自动清单!$E$5:$E$604,0)),"")</f>
        <v/>
      </c>
      <c r="H109" s="54" t="str">
        <f aca="false">IFERROR(INDEX(电梯资料!$U$5:$U$604,MATCH(41,_自动清单!$E$5:$E$604,0)),"")</f>
        <v/>
      </c>
      <c r="I109" s="54" t="str">
        <f aca="false">IFERROR(INDEX(电梯资料!$V$5:$V$604,MATCH(41,_自动清单!$E$5:$E$604,0)),"")</f>
        <v/>
      </c>
      <c r="J109" s="58" t="str">
        <f aca="false">IF(COUNT($G109:$I109)=0,"",MIN($G109:$I109))</f>
        <v/>
      </c>
      <c r="K109" s="55" t="str">
        <f aca="true">IF(N($J109)=0,"",$J109-TODAY())</f>
        <v/>
      </c>
      <c r="L109" s="56" t="str">
        <f aca="false">IF($A109="","",TRIM(IF(IFERROR(INDEX(电梯资料!$AA$5:$AA$604,MATCH(41,_自动清单!$E$5:$E$604,0))&amp;"","")&lt;&gt;"","年检 "&amp;IFERROR(INDEX(电梯资料!$AA$5:$AA$604,MATCH(41,_自动清单!$E$5:$E$604,0))&amp;"",""),"")&amp;IF(AND(IFERROR(INDEX(电梯资料!$AA$5:$AA$604,MATCH(41,_自动清单!$E$5:$E$604,0))&amp;"","")&lt;&gt;"",IFERROR(INDEX(电梯资料!$AB$5:$AB$604,MATCH(41,_自动清单!$E$5:$E$604,0))&amp;"","")&lt;&gt;"")," ｜ ","")&amp;IF(IFERROR(INDEX(电梯资料!$AB$5:$AB$604,MATCH(41,_自动清单!$E$5:$E$604,0))&amp;"","")&lt;&gt;"","校验 "&amp;IFERROR(INDEX(电梯资料!$AB$5:$AB$604,MATCH(41,_自动清单!$E$5:$E$604,0))&amp;"",""),"")))</f>
        <v/>
      </c>
    </row>
    <row r="110" customFormat="false" ht="15" hidden="false" customHeight="false" outlineLevel="0" collapsed="false">
      <c r="A110" s="29" t="str">
        <f aca="false">IF(42&gt;_自动清单!$E$604,"",42)</f>
        <v/>
      </c>
      <c r="B110" s="16" t="str">
        <f aca="false">IFERROR(INDEX(电梯资料!$C$5:$C$604,MATCH(42,_自动清单!$E$5:$E$604,0))&amp;"","")</f>
        <v/>
      </c>
      <c r="C110" s="16" t="str">
        <f aca="false">IFERROR(INDEX(电梯资料!$D$5:$D$604,MATCH(42,_自动清单!$E$5:$E$604,0))&amp;"","")</f>
        <v/>
      </c>
      <c r="D110" s="53" t="str">
        <f aca="false">IFERROR(INDEX(电梯资料!$Q$5:$Q$604,MATCH(42,_自动清单!$E$5:$E$604,0))&amp;"","")</f>
        <v/>
      </c>
      <c r="E110" s="53" t="str">
        <f aca="false">IFERROR(INDEX(电梯资料!$R$5:$R$604,MATCH(42,_自动清单!$E$5:$E$604,0))&amp;"","")</f>
        <v/>
      </c>
      <c r="F110" s="53" t="str">
        <f aca="false">IFERROR(INDEX(电梯资料!$W$5:$W$604,MATCH(42,_自动清单!$E$5:$E$604,0))&amp;"","")</f>
        <v/>
      </c>
      <c r="G110" s="54" t="str">
        <f aca="false">IFERROR(INDEX(电梯资料!$T$5:$T$604,MATCH(42,_自动清单!$E$5:$E$604,0)),"")</f>
        <v/>
      </c>
      <c r="H110" s="54" t="str">
        <f aca="false">IFERROR(INDEX(电梯资料!$U$5:$U$604,MATCH(42,_自动清单!$E$5:$E$604,0)),"")</f>
        <v/>
      </c>
      <c r="I110" s="54" t="str">
        <f aca="false">IFERROR(INDEX(电梯资料!$V$5:$V$604,MATCH(42,_自动清单!$E$5:$E$604,0)),"")</f>
        <v/>
      </c>
      <c r="J110" s="58" t="str">
        <f aca="false">IF(COUNT($G110:$I110)=0,"",MIN($G110:$I110))</f>
        <v/>
      </c>
      <c r="K110" s="55" t="str">
        <f aca="true">IF(N($J110)=0,"",$J110-TODAY())</f>
        <v/>
      </c>
      <c r="L110" s="56" t="str">
        <f aca="false">IF($A110="","",TRIM(IF(IFERROR(INDEX(电梯资料!$AA$5:$AA$604,MATCH(42,_自动清单!$E$5:$E$604,0))&amp;"","")&lt;&gt;"","年检 "&amp;IFERROR(INDEX(电梯资料!$AA$5:$AA$604,MATCH(42,_自动清单!$E$5:$E$604,0))&amp;"",""),"")&amp;IF(AND(IFERROR(INDEX(电梯资料!$AA$5:$AA$604,MATCH(42,_自动清单!$E$5:$E$604,0))&amp;"","")&lt;&gt;"",IFERROR(INDEX(电梯资料!$AB$5:$AB$604,MATCH(42,_自动清单!$E$5:$E$604,0))&amp;"","")&lt;&gt;"")," ｜ ","")&amp;IF(IFERROR(INDEX(电梯资料!$AB$5:$AB$604,MATCH(42,_自动清单!$E$5:$E$604,0))&amp;"","")&lt;&gt;"","校验 "&amp;IFERROR(INDEX(电梯资料!$AB$5:$AB$604,MATCH(42,_自动清单!$E$5:$E$604,0))&amp;"",""),"")))</f>
        <v/>
      </c>
    </row>
    <row r="111" customFormat="false" ht="15" hidden="false" customHeight="false" outlineLevel="0" collapsed="false">
      <c r="A111" s="29" t="str">
        <f aca="false">IF(43&gt;_自动清单!$E$604,"",43)</f>
        <v/>
      </c>
      <c r="B111" s="16" t="str">
        <f aca="false">IFERROR(INDEX(电梯资料!$C$5:$C$604,MATCH(43,_自动清单!$E$5:$E$604,0))&amp;"","")</f>
        <v/>
      </c>
      <c r="C111" s="16" t="str">
        <f aca="false">IFERROR(INDEX(电梯资料!$D$5:$D$604,MATCH(43,_自动清单!$E$5:$E$604,0))&amp;"","")</f>
        <v/>
      </c>
      <c r="D111" s="53" t="str">
        <f aca="false">IFERROR(INDEX(电梯资料!$Q$5:$Q$604,MATCH(43,_自动清单!$E$5:$E$604,0))&amp;"","")</f>
        <v/>
      </c>
      <c r="E111" s="53" t="str">
        <f aca="false">IFERROR(INDEX(电梯资料!$R$5:$R$604,MATCH(43,_自动清单!$E$5:$E$604,0))&amp;"","")</f>
        <v/>
      </c>
      <c r="F111" s="53" t="str">
        <f aca="false">IFERROR(INDEX(电梯资料!$W$5:$W$604,MATCH(43,_自动清单!$E$5:$E$604,0))&amp;"","")</f>
        <v/>
      </c>
      <c r="G111" s="54" t="str">
        <f aca="false">IFERROR(INDEX(电梯资料!$T$5:$T$604,MATCH(43,_自动清单!$E$5:$E$604,0)),"")</f>
        <v/>
      </c>
      <c r="H111" s="54" t="str">
        <f aca="false">IFERROR(INDEX(电梯资料!$U$5:$U$604,MATCH(43,_自动清单!$E$5:$E$604,0)),"")</f>
        <v/>
      </c>
      <c r="I111" s="54" t="str">
        <f aca="false">IFERROR(INDEX(电梯资料!$V$5:$V$604,MATCH(43,_自动清单!$E$5:$E$604,0)),"")</f>
        <v/>
      </c>
      <c r="J111" s="58" t="str">
        <f aca="false">IF(COUNT($G111:$I111)=0,"",MIN($G111:$I111))</f>
        <v/>
      </c>
      <c r="K111" s="55" t="str">
        <f aca="true">IF(N($J111)=0,"",$J111-TODAY())</f>
        <v/>
      </c>
      <c r="L111" s="56" t="str">
        <f aca="false">IF($A111="","",TRIM(IF(IFERROR(INDEX(电梯资料!$AA$5:$AA$604,MATCH(43,_自动清单!$E$5:$E$604,0))&amp;"","")&lt;&gt;"","年检 "&amp;IFERROR(INDEX(电梯资料!$AA$5:$AA$604,MATCH(43,_自动清单!$E$5:$E$604,0))&amp;"",""),"")&amp;IF(AND(IFERROR(INDEX(电梯资料!$AA$5:$AA$604,MATCH(43,_自动清单!$E$5:$E$604,0))&amp;"","")&lt;&gt;"",IFERROR(INDEX(电梯资料!$AB$5:$AB$604,MATCH(43,_自动清单!$E$5:$E$604,0))&amp;"","")&lt;&gt;"")," ｜ ","")&amp;IF(IFERROR(INDEX(电梯资料!$AB$5:$AB$604,MATCH(43,_自动清单!$E$5:$E$604,0))&amp;"","")&lt;&gt;"","校验 "&amp;IFERROR(INDEX(电梯资料!$AB$5:$AB$604,MATCH(43,_自动清单!$E$5:$E$604,0))&amp;"",""),"")))</f>
        <v/>
      </c>
    </row>
    <row r="112" customFormat="false" ht="15" hidden="false" customHeight="false" outlineLevel="0" collapsed="false">
      <c r="A112" s="29" t="str">
        <f aca="false">IF(44&gt;_自动清单!$E$604,"",44)</f>
        <v/>
      </c>
      <c r="B112" s="16" t="str">
        <f aca="false">IFERROR(INDEX(电梯资料!$C$5:$C$604,MATCH(44,_自动清单!$E$5:$E$604,0))&amp;"","")</f>
        <v/>
      </c>
      <c r="C112" s="16" t="str">
        <f aca="false">IFERROR(INDEX(电梯资料!$D$5:$D$604,MATCH(44,_自动清单!$E$5:$E$604,0))&amp;"","")</f>
        <v/>
      </c>
      <c r="D112" s="53" t="str">
        <f aca="false">IFERROR(INDEX(电梯资料!$Q$5:$Q$604,MATCH(44,_自动清单!$E$5:$E$604,0))&amp;"","")</f>
        <v/>
      </c>
      <c r="E112" s="53" t="str">
        <f aca="false">IFERROR(INDEX(电梯资料!$R$5:$R$604,MATCH(44,_自动清单!$E$5:$E$604,0))&amp;"","")</f>
        <v/>
      </c>
      <c r="F112" s="53" t="str">
        <f aca="false">IFERROR(INDEX(电梯资料!$W$5:$W$604,MATCH(44,_自动清单!$E$5:$E$604,0))&amp;"","")</f>
        <v/>
      </c>
      <c r="G112" s="54" t="str">
        <f aca="false">IFERROR(INDEX(电梯资料!$T$5:$T$604,MATCH(44,_自动清单!$E$5:$E$604,0)),"")</f>
        <v/>
      </c>
      <c r="H112" s="54" t="str">
        <f aca="false">IFERROR(INDEX(电梯资料!$U$5:$U$604,MATCH(44,_自动清单!$E$5:$E$604,0)),"")</f>
        <v/>
      </c>
      <c r="I112" s="54" t="str">
        <f aca="false">IFERROR(INDEX(电梯资料!$V$5:$V$604,MATCH(44,_自动清单!$E$5:$E$604,0)),"")</f>
        <v/>
      </c>
      <c r="J112" s="58" t="str">
        <f aca="false">IF(COUNT($G112:$I112)=0,"",MIN($G112:$I112))</f>
        <v/>
      </c>
      <c r="K112" s="55" t="str">
        <f aca="true">IF(N($J112)=0,"",$J112-TODAY())</f>
        <v/>
      </c>
      <c r="L112" s="56" t="str">
        <f aca="false">IF($A112="","",TRIM(IF(IFERROR(INDEX(电梯资料!$AA$5:$AA$604,MATCH(44,_自动清单!$E$5:$E$604,0))&amp;"","")&lt;&gt;"","年检 "&amp;IFERROR(INDEX(电梯资料!$AA$5:$AA$604,MATCH(44,_自动清单!$E$5:$E$604,0))&amp;"",""),"")&amp;IF(AND(IFERROR(INDEX(电梯资料!$AA$5:$AA$604,MATCH(44,_自动清单!$E$5:$E$604,0))&amp;"","")&lt;&gt;"",IFERROR(INDEX(电梯资料!$AB$5:$AB$604,MATCH(44,_自动清单!$E$5:$E$604,0))&amp;"","")&lt;&gt;"")," ｜ ","")&amp;IF(IFERROR(INDEX(电梯资料!$AB$5:$AB$604,MATCH(44,_自动清单!$E$5:$E$604,0))&amp;"","")&lt;&gt;"","校验 "&amp;IFERROR(INDEX(电梯资料!$AB$5:$AB$604,MATCH(44,_自动清单!$E$5:$E$604,0))&amp;"",""),"")))</f>
        <v/>
      </c>
    </row>
    <row r="113" customFormat="false" ht="15" hidden="false" customHeight="false" outlineLevel="0" collapsed="false">
      <c r="A113" s="29" t="str">
        <f aca="false">IF(45&gt;_自动清单!$E$604,"",45)</f>
        <v/>
      </c>
      <c r="B113" s="16" t="str">
        <f aca="false">IFERROR(INDEX(电梯资料!$C$5:$C$604,MATCH(45,_自动清单!$E$5:$E$604,0))&amp;"","")</f>
        <v/>
      </c>
      <c r="C113" s="16" t="str">
        <f aca="false">IFERROR(INDEX(电梯资料!$D$5:$D$604,MATCH(45,_自动清单!$E$5:$E$604,0))&amp;"","")</f>
        <v/>
      </c>
      <c r="D113" s="53" t="str">
        <f aca="false">IFERROR(INDEX(电梯资料!$Q$5:$Q$604,MATCH(45,_自动清单!$E$5:$E$604,0))&amp;"","")</f>
        <v/>
      </c>
      <c r="E113" s="53" t="str">
        <f aca="false">IFERROR(INDEX(电梯资料!$R$5:$R$604,MATCH(45,_自动清单!$E$5:$E$604,0))&amp;"","")</f>
        <v/>
      </c>
      <c r="F113" s="53" t="str">
        <f aca="false">IFERROR(INDEX(电梯资料!$W$5:$W$604,MATCH(45,_自动清单!$E$5:$E$604,0))&amp;"","")</f>
        <v/>
      </c>
      <c r="G113" s="54" t="str">
        <f aca="false">IFERROR(INDEX(电梯资料!$T$5:$T$604,MATCH(45,_自动清单!$E$5:$E$604,0)),"")</f>
        <v/>
      </c>
      <c r="H113" s="54" t="str">
        <f aca="false">IFERROR(INDEX(电梯资料!$U$5:$U$604,MATCH(45,_自动清单!$E$5:$E$604,0)),"")</f>
        <v/>
      </c>
      <c r="I113" s="54" t="str">
        <f aca="false">IFERROR(INDEX(电梯资料!$V$5:$V$604,MATCH(45,_自动清单!$E$5:$E$604,0)),"")</f>
        <v/>
      </c>
      <c r="J113" s="58" t="str">
        <f aca="false">IF(COUNT($G113:$I113)=0,"",MIN($G113:$I113))</f>
        <v/>
      </c>
      <c r="K113" s="55" t="str">
        <f aca="true">IF(N($J113)=0,"",$J113-TODAY())</f>
        <v/>
      </c>
      <c r="L113" s="56" t="str">
        <f aca="false">IF($A113="","",TRIM(IF(IFERROR(INDEX(电梯资料!$AA$5:$AA$604,MATCH(45,_自动清单!$E$5:$E$604,0))&amp;"","")&lt;&gt;"","年检 "&amp;IFERROR(INDEX(电梯资料!$AA$5:$AA$604,MATCH(45,_自动清单!$E$5:$E$604,0))&amp;"",""),"")&amp;IF(AND(IFERROR(INDEX(电梯资料!$AA$5:$AA$604,MATCH(45,_自动清单!$E$5:$E$604,0))&amp;"","")&lt;&gt;"",IFERROR(INDEX(电梯资料!$AB$5:$AB$604,MATCH(45,_自动清单!$E$5:$E$604,0))&amp;"","")&lt;&gt;"")," ｜ ","")&amp;IF(IFERROR(INDEX(电梯资料!$AB$5:$AB$604,MATCH(45,_自动清单!$E$5:$E$604,0))&amp;"","")&lt;&gt;"","校验 "&amp;IFERROR(INDEX(电梯资料!$AB$5:$AB$604,MATCH(45,_自动清单!$E$5:$E$604,0))&amp;"",""),"")))</f>
        <v/>
      </c>
    </row>
    <row r="114" customFormat="false" ht="15" hidden="false" customHeight="false" outlineLevel="0" collapsed="false">
      <c r="A114" s="29" t="str">
        <f aca="false">IF(46&gt;_自动清单!$E$604,"",46)</f>
        <v/>
      </c>
      <c r="B114" s="16" t="str">
        <f aca="false">IFERROR(INDEX(电梯资料!$C$5:$C$604,MATCH(46,_自动清单!$E$5:$E$604,0))&amp;"","")</f>
        <v/>
      </c>
      <c r="C114" s="16" t="str">
        <f aca="false">IFERROR(INDEX(电梯资料!$D$5:$D$604,MATCH(46,_自动清单!$E$5:$E$604,0))&amp;"","")</f>
        <v/>
      </c>
      <c r="D114" s="53" t="str">
        <f aca="false">IFERROR(INDEX(电梯资料!$Q$5:$Q$604,MATCH(46,_自动清单!$E$5:$E$604,0))&amp;"","")</f>
        <v/>
      </c>
      <c r="E114" s="53" t="str">
        <f aca="false">IFERROR(INDEX(电梯资料!$R$5:$R$604,MATCH(46,_自动清单!$E$5:$E$604,0))&amp;"","")</f>
        <v/>
      </c>
      <c r="F114" s="53" t="str">
        <f aca="false">IFERROR(INDEX(电梯资料!$W$5:$W$604,MATCH(46,_自动清单!$E$5:$E$604,0))&amp;"","")</f>
        <v/>
      </c>
      <c r="G114" s="54" t="str">
        <f aca="false">IFERROR(INDEX(电梯资料!$T$5:$T$604,MATCH(46,_自动清单!$E$5:$E$604,0)),"")</f>
        <v/>
      </c>
      <c r="H114" s="54" t="str">
        <f aca="false">IFERROR(INDEX(电梯资料!$U$5:$U$604,MATCH(46,_自动清单!$E$5:$E$604,0)),"")</f>
        <v/>
      </c>
      <c r="I114" s="54" t="str">
        <f aca="false">IFERROR(INDEX(电梯资料!$V$5:$V$604,MATCH(46,_自动清单!$E$5:$E$604,0)),"")</f>
        <v/>
      </c>
      <c r="J114" s="58" t="str">
        <f aca="false">IF(COUNT($G114:$I114)=0,"",MIN($G114:$I114))</f>
        <v/>
      </c>
      <c r="K114" s="55" t="str">
        <f aca="true">IF(N($J114)=0,"",$J114-TODAY())</f>
        <v/>
      </c>
      <c r="L114" s="56" t="str">
        <f aca="false">IF($A114="","",TRIM(IF(IFERROR(INDEX(电梯资料!$AA$5:$AA$604,MATCH(46,_自动清单!$E$5:$E$604,0))&amp;"","")&lt;&gt;"","年检 "&amp;IFERROR(INDEX(电梯资料!$AA$5:$AA$604,MATCH(46,_自动清单!$E$5:$E$604,0))&amp;"",""),"")&amp;IF(AND(IFERROR(INDEX(电梯资料!$AA$5:$AA$604,MATCH(46,_自动清单!$E$5:$E$604,0))&amp;"","")&lt;&gt;"",IFERROR(INDEX(电梯资料!$AB$5:$AB$604,MATCH(46,_自动清单!$E$5:$E$604,0))&amp;"","")&lt;&gt;"")," ｜ ","")&amp;IF(IFERROR(INDEX(电梯资料!$AB$5:$AB$604,MATCH(46,_自动清单!$E$5:$E$604,0))&amp;"","")&lt;&gt;"","校验 "&amp;IFERROR(INDEX(电梯资料!$AB$5:$AB$604,MATCH(46,_自动清单!$E$5:$E$604,0))&amp;"",""),"")))</f>
        <v/>
      </c>
    </row>
    <row r="115" customFormat="false" ht="15" hidden="false" customHeight="false" outlineLevel="0" collapsed="false">
      <c r="A115" s="29" t="str">
        <f aca="false">IF(47&gt;_自动清单!$E$604,"",47)</f>
        <v/>
      </c>
      <c r="B115" s="16" t="str">
        <f aca="false">IFERROR(INDEX(电梯资料!$C$5:$C$604,MATCH(47,_自动清单!$E$5:$E$604,0))&amp;"","")</f>
        <v/>
      </c>
      <c r="C115" s="16" t="str">
        <f aca="false">IFERROR(INDEX(电梯资料!$D$5:$D$604,MATCH(47,_自动清单!$E$5:$E$604,0))&amp;"","")</f>
        <v/>
      </c>
      <c r="D115" s="53" t="str">
        <f aca="false">IFERROR(INDEX(电梯资料!$Q$5:$Q$604,MATCH(47,_自动清单!$E$5:$E$604,0))&amp;"","")</f>
        <v/>
      </c>
      <c r="E115" s="53" t="str">
        <f aca="false">IFERROR(INDEX(电梯资料!$R$5:$R$604,MATCH(47,_自动清单!$E$5:$E$604,0))&amp;"","")</f>
        <v/>
      </c>
      <c r="F115" s="53" t="str">
        <f aca="false">IFERROR(INDEX(电梯资料!$W$5:$W$604,MATCH(47,_自动清单!$E$5:$E$604,0))&amp;"","")</f>
        <v/>
      </c>
      <c r="G115" s="54" t="str">
        <f aca="false">IFERROR(INDEX(电梯资料!$T$5:$T$604,MATCH(47,_自动清单!$E$5:$E$604,0)),"")</f>
        <v/>
      </c>
      <c r="H115" s="54" t="str">
        <f aca="false">IFERROR(INDEX(电梯资料!$U$5:$U$604,MATCH(47,_自动清单!$E$5:$E$604,0)),"")</f>
        <v/>
      </c>
      <c r="I115" s="54" t="str">
        <f aca="false">IFERROR(INDEX(电梯资料!$V$5:$V$604,MATCH(47,_自动清单!$E$5:$E$604,0)),"")</f>
        <v/>
      </c>
      <c r="J115" s="58" t="str">
        <f aca="false">IF(COUNT($G115:$I115)=0,"",MIN($G115:$I115))</f>
        <v/>
      </c>
      <c r="K115" s="55" t="str">
        <f aca="true">IF(N($J115)=0,"",$J115-TODAY())</f>
        <v/>
      </c>
      <c r="L115" s="56" t="str">
        <f aca="false">IF($A115="","",TRIM(IF(IFERROR(INDEX(电梯资料!$AA$5:$AA$604,MATCH(47,_自动清单!$E$5:$E$604,0))&amp;"","")&lt;&gt;"","年检 "&amp;IFERROR(INDEX(电梯资料!$AA$5:$AA$604,MATCH(47,_自动清单!$E$5:$E$604,0))&amp;"",""),"")&amp;IF(AND(IFERROR(INDEX(电梯资料!$AA$5:$AA$604,MATCH(47,_自动清单!$E$5:$E$604,0))&amp;"","")&lt;&gt;"",IFERROR(INDEX(电梯资料!$AB$5:$AB$604,MATCH(47,_自动清单!$E$5:$E$604,0))&amp;"","")&lt;&gt;"")," ｜ ","")&amp;IF(IFERROR(INDEX(电梯资料!$AB$5:$AB$604,MATCH(47,_自动清单!$E$5:$E$604,0))&amp;"","")&lt;&gt;"","校验 "&amp;IFERROR(INDEX(电梯资料!$AB$5:$AB$604,MATCH(47,_自动清单!$E$5:$E$604,0))&amp;"",""),"")))</f>
        <v/>
      </c>
    </row>
    <row r="116" customFormat="false" ht="15" hidden="false" customHeight="false" outlineLevel="0" collapsed="false">
      <c r="A116" s="29" t="str">
        <f aca="false">IF(48&gt;_自动清单!$E$604,"",48)</f>
        <v/>
      </c>
      <c r="B116" s="16" t="str">
        <f aca="false">IFERROR(INDEX(电梯资料!$C$5:$C$604,MATCH(48,_自动清单!$E$5:$E$604,0))&amp;"","")</f>
        <v/>
      </c>
      <c r="C116" s="16" t="str">
        <f aca="false">IFERROR(INDEX(电梯资料!$D$5:$D$604,MATCH(48,_自动清单!$E$5:$E$604,0))&amp;"","")</f>
        <v/>
      </c>
      <c r="D116" s="53" t="str">
        <f aca="false">IFERROR(INDEX(电梯资料!$Q$5:$Q$604,MATCH(48,_自动清单!$E$5:$E$604,0))&amp;"","")</f>
        <v/>
      </c>
      <c r="E116" s="53" t="str">
        <f aca="false">IFERROR(INDEX(电梯资料!$R$5:$R$604,MATCH(48,_自动清单!$E$5:$E$604,0))&amp;"","")</f>
        <v/>
      </c>
      <c r="F116" s="53" t="str">
        <f aca="false">IFERROR(INDEX(电梯资料!$W$5:$W$604,MATCH(48,_自动清单!$E$5:$E$604,0))&amp;"","")</f>
        <v/>
      </c>
      <c r="G116" s="54" t="str">
        <f aca="false">IFERROR(INDEX(电梯资料!$T$5:$T$604,MATCH(48,_自动清单!$E$5:$E$604,0)),"")</f>
        <v/>
      </c>
      <c r="H116" s="54" t="str">
        <f aca="false">IFERROR(INDEX(电梯资料!$U$5:$U$604,MATCH(48,_自动清单!$E$5:$E$604,0)),"")</f>
        <v/>
      </c>
      <c r="I116" s="54" t="str">
        <f aca="false">IFERROR(INDEX(电梯资料!$V$5:$V$604,MATCH(48,_自动清单!$E$5:$E$604,0)),"")</f>
        <v/>
      </c>
      <c r="J116" s="58" t="str">
        <f aca="false">IF(COUNT($G116:$I116)=0,"",MIN($G116:$I116))</f>
        <v/>
      </c>
      <c r="K116" s="55" t="str">
        <f aca="true">IF(N($J116)=0,"",$J116-TODAY())</f>
        <v/>
      </c>
      <c r="L116" s="56" t="str">
        <f aca="false">IF($A116="","",TRIM(IF(IFERROR(INDEX(电梯资料!$AA$5:$AA$604,MATCH(48,_自动清单!$E$5:$E$604,0))&amp;"","")&lt;&gt;"","年检 "&amp;IFERROR(INDEX(电梯资料!$AA$5:$AA$604,MATCH(48,_自动清单!$E$5:$E$604,0))&amp;"",""),"")&amp;IF(AND(IFERROR(INDEX(电梯资料!$AA$5:$AA$604,MATCH(48,_自动清单!$E$5:$E$604,0))&amp;"","")&lt;&gt;"",IFERROR(INDEX(电梯资料!$AB$5:$AB$604,MATCH(48,_自动清单!$E$5:$E$604,0))&amp;"","")&lt;&gt;"")," ｜ ","")&amp;IF(IFERROR(INDEX(电梯资料!$AB$5:$AB$604,MATCH(48,_自动清单!$E$5:$E$604,0))&amp;"","")&lt;&gt;"","校验 "&amp;IFERROR(INDEX(电梯资料!$AB$5:$AB$604,MATCH(48,_自动清单!$E$5:$E$604,0))&amp;"",""),"")))</f>
        <v/>
      </c>
    </row>
    <row r="117" customFormat="false" ht="15" hidden="false" customHeight="false" outlineLevel="0" collapsed="false">
      <c r="A117" s="29" t="str">
        <f aca="false">IF(49&gt;_自动清单!$E$604,"",49)</f>
        <v/>
      </c>
      <c r="B117" s="16" t="str">
        <f aca="false">IFERROR(INDEX(电梯资料!$C$5:$C$604,MATCH(49,_自动清单!$E$5:$E$604,0))&amp;"","")</f>
        <v/>
      </c>
      <c r="C117" s="16" t="str">
        <f aca="false">IFERROR(INDEX(电梯资料!$D$5:$D$604,MATCH(49,_自动清单!$E$5:$E$604,0))&amp;"","")</f>
        <v/>
      </c>
      <c r="D117" s="53" t="str">
        <f aca="false">IFERROR(INDEX(电梯资料!$Q$5:$Q$604,MATCH(49,_自动清单!$E$5:$E$604,0))&amp;"","")</f>
        <v/>
      </c>
      <c r="E117" s="53" t="str">
        <f aca="false">IFERROR(INDEX(电梯资料!$R$5:$R$604,MATCH(49,_自动清单!$E$5:$E$604,0))&amp;"","")</f>
        <v/>
      </c>
      <c r="F117" s="53" t="str">
        <f aca="false">IFERROR(INDEX(电梯资料!$W$5:$W$604,MATCH(49,_自动清单!$E$5:$E$604,0))&amp;"","")</f>
        <v/>
      </c>
      <c r="G117" s="54" t="str">
        <f aca="false">IFERROR(INDEX(电梯资料!$T$5:$T$604,MATCH(49,_自动清单!$E$5:$E$604,0)),"")</f>
        <v/>
      </c>
      <c r="H117" s="54" t="str">
        <f aca="false">IFERROR(INDEX(电梯资料!$U$5:$U$604,MATCH(49,_自动清单!$E$5:$E$604,0)),"")</f>
        <v/>
      </c>
      <c r="I117" s="54" t="str">
        <f aca="false">IFERROR(INDEX(电梯资料!$V$5:$V$604,MATCH(49,_自动清单!$E$5:$E$604,0)),"")</f>
        <v/>
      </c>
      <c r="J117" s="58" t="str">
        <f aca="false">IF(COUNT($G117:$I117)=0,"",MIN($G117:$I117))</f>
        <v/>
      </c>
      <c r="K117" s="55" t="str">
        <f aca="true">IF(N($J117)=0,"",$J117-TODAY())</f>
        <v/>
      </c>
      <c r="L117" s="56" t="str">
        <f aca="false">IF($A117="","",TRIM(IF(IFERROR(INDEX(电梯资料!$AA$5:$AA$604,MATCH(49,_自动清单!$E$5:$E$604,0))&amp;"","")&lt;&gt;"","年检 "&amp;IFERROR(INDEX(电梯资料!$AA$5:$AA$604,MATCH(49,_自动清单!$E$5:$E$604,0))&amp;"",""),"")&amp;IF(AND(IFERROR(INDEX(电梯资料!$AA$5:$AA$604,MATCH(49,_自动清单!$E$5:$E$604,0))&amp;"","")&lt;&gt;"",IFERROR(INDEX(电梯资料!$AB$5:$AB$604,MATCH(49,_自动清单!$E$5:$E$604,0))&amp;"","")&lt;&gt;"")," ｜ ","")&amp;IF(IFERROR(INDEX(电梯资料!$AB$5:$AB$604,MATCH(49,_自动清单!$E$5:$E$604,0))&amp;"","")&lt;&gt;"","校验 "&amp;IFERROR(INDEX(电梯资料!$AB$5:$AB$604,MATCH(49,_自动清单!$E$5:$E$604,0))&amp;"",""),"")))</f>
        <v/>
      </c>
    </row>
    <row r="118" customFormat="false" ht="15" hidden="false" customHeight="false" outlineLevel="0" collapsed="false">
      <c r="A118" s="29" t="str">
        <f aca="false">IF(50&gt;_自动清单!$E$604,"",50)</f>
        <v/>
      </c>
      <c r="B118" s="16" t="str">
        <f aca="false">IFERROR(INDEX(电梯资料!$C$5:$C$604,MATCH(50,_自动清单!$E$5:$E$604,0))&amp;"","")</f>
        <v/>
      </c>
      <c r="C118" s="16" t="str">
        <f aca="false">IFERROR(INDEX(电梯资料!$D$5:$D$604,MATCH(50,_自动清单!$E$5:$E$604,0))&amp;"","")</f>
        <v/>
      </c>
      <c r="D118" s="53" t="str">
        <f aca="false">IFERROR(INDEX(电梯资料!$Q$5:$Q$604,MATCH(50,_自动清单!$E$5:$E$604,0))&amp;"","")</f>
        <v/>
      </c>
      <c r="E118" s="53" t="str">
        <f aca="false">IFERROR(INDEX(电梯资料!$R$5:$R$604,MATCH(50,_自动清单!$E$5:$E$604,0))&amp;"","")</f>
        <v/>
      </c>
      <c r="F118" s="53" t="str">
        <f aca="false">IFERROR(INDEX(电梯资料!$W$5:$W$604,MATCH(50,_自动清单!$E$5:$E$604,0))&amp;"","")</f>
        <v/>
      </c>
      <c r="G118" s="54" t="str">
        <f aca="false">IFERROR(INDEX(电梯资料!$T$5:$T$604,MATCH(50,_自动清单!$E$5:$E$604,0)),"")</f>
        <v/>
      </c>
      <c r="H118" s="54" t="str">
        <f aca="false">IFERROR(INDEX(电梯资料!$U$5:$U$604,MATCH(50,_自动清单!$E$5:$E$604,0)),"")</f>
        <v/>
      </c>
      <c r="I118" s="54" t="str">
        <f aca="false">IFERROR(INDEX(电梯资料!$V$5:$V$604,MATCH(50,_自动清单!$E$5:$E$604,0)),"")</f>
        <v/>
      </c>
      <c r="J118" s="58" t="str">
        <f aca="false">IF(COUNT($G118:$I118)=0,"",MIN($G118:$I118))</f>
        <v/>
      </c>
      <c r="K118" s="55" t="str">
        <f aca="true">IF(N($J118)=0,"",$J118-TODAY())</f>
        <v/>
      </c>
      <c r="L118" s="56" t="str">
        <f aca="false">IF($A118="","",TRIM(IF(IFERROR(INDEX(电梯资料!$AA$5:$AA$604,MATCH(50,_自动清单!$E$5:$E$604,0))&amp;"","")&lt;&gt;"","年检 "&amp;IFERROR(INDEX(电梯资料!$AA$5:$AA$604,MATCH(50,_自动清单!$E$5:$E$604,0))&amp;"",""),"")&amp;IF(AND(IFERROR(INDEX(电梯资料!$AA$5:$AA$604,MATCH(50,_自动清单!$E$5:$E$604,0))&amp;"","")&lt;&gt;"",IFERROR(INDEX(电梯资料!$AB$5:$AB$604,MATCH(50,_自动清单!$E$5:$E$604,0))&amp;"","")&lt;&gt;"")," ｜ ","")&amp;IF(IFERROR(INDEX(电梯资料!$AB$5:$AB$604,MATCH(50,_自动清单!$E$5:$E$604,0))&amp;"","")&lt;&gt;"","校验 "&amp;IFERROR(INDEX(电梯资料!$AB$5:$AB$604,MATCH(50,_自动清单!$E$5:$E$604,0))&amp;"",""),"")))</f>
        <v/>
      </c>
    </row>
    <row r="119" customFormat="false" ht="15" hidden="false" customHeight="false" outlineLevel="0" collapsed="false">
      <c r="A119" s="29" t="str">
        <f aca="false">IF(51&gt;_自动清单!$E$604,"",51)</f>
        <v/>
      </c>
      <c r="B119" s="16" t="str">
        <f aca="false">IFERROR(INDEX(电梯资料!$C$5:$C$604,MATCH(51,_自动清单!$E$5:$E$604,0))&amp;"","")</f>
        <v/>
      </c>
      <c r="C119" s="16" t="str">
        <f aca="false">IFERROR(INDEX(电梯资料!$D$5:$D$604,MATCH(51,_自动清单!$E$5:$E$604,0))&amp;"","")</f>
        <v/>
      </c>
      <c r="D119" s="53" t="str">
        <f aca="false">IFERROR(INDEX(电梯资料!$Q$5:$Q$604,MATCH(51,_自动清单!$E$5:$E$604,0))&amp;"","")</f>
        <v/>
      </c>
      <c r="E119" s="53" t="str">
        <f aca="false">IFERROR(INDEX(电梯资料!$R$5:$R$604,MATCH(51,_自动清单!$E$5:$E$604,0))&amp;"","")</f>
        <v/>
      </c>
      <c r="F119" s="53" t="str">
        <f aca="false">IFERROR(INDEX(电梯资料!$W$5:$W$604,MATCH(51,_自动清单!$E$5:$E$604,0))&amp;"","")</f>
        <v/>
      </c>
      <c r="G119" s="54" t="str">
        <f aca="false">IFERROR(INDEX(电梯资料!$T$5:$T$604,MATCH(51,_自动清单!$E$5:$E$604,0)),"")</f>
        <v/>
      </c>
      <c r="H119" s="54" t="str">
        <f aca="false">IFERROR(INDEX(电梯资料!$U$5:$U$604,MATCH(51,_自动清单!$E$5:$E$604,0)),"")</f>
        <v/>
      </c>
      <c r="I119" s="54" t="str">
        <f aca="false">IFERROR(INDEX(电梯资料!$V$5:$V$604,MATCH(51,_自动清单!$E$5:$E$604,0)),"")</f>
        <v/>
      </c>
      <c r="J119" s="58" t="str">
        <f aca="false">IF(COUNT($G119:$I119)=0,"",MIN($G119:$I119))</f>
        <v/>
      </c>
      <c r="K119" s="55" t="str">
        <f aca="true">IF(N($J119)=0,"",$J119-TODAY())</f>
        <v/>
      </c>
      <c r="L119" s="56" t="str">
        <f aca="false">IF($A119="","",TRIM(IF(IFERROR(INDEX(电梯资料!$AA$5:$AA$604,MATCH(51,_自动清单!$E$5:$E$604,0))&amp;"","")&lt;&gt;"","年检 "&amp;IFERROR(INDEX(电梯资料!$AA$5:$AA$604,MATCH(51,_自动清单!$E$5:$E$604,0))&amp;"",""),"")&amp;IF(AND(IFERROR(INDEX(电梯资料!$AA$5:$AA$604,MATCH(51,_自动清单!$E$5:$E$604,0))&amp;"","")&lt;&gt;"",IFERROR(INDEX(电梯资料!$AB$5:$AB$604,MATCH(51,_自动清单!$E$5:$E$604,0))&amp;"","")&lt;&gt;"")," ｜ ","")&amp;IF(IFERROR(INDEX(电梯资料!$AB$5:$AB$604,MATCH(51,_自动清单!$E$5:$E$604,0))&amp;"","")&lt;&gt;"","校验 "&amp;IFERROR(INDEX(电梯资料!$AB$5:$AB$604,MATCH(51,_自动清单!$E$5:$E$604,0))&amp;"",""),"")))</f>
        <v/>
      </c>
    </row>
    <row r="120" customFormat="false" ht="15" hidden="false" customHeight="false" outlineLevel="0" collapsed="false">
      <c r="A120" s="29" t="str">
        <f aca="false">IF(52&gt;_自动清单!$E$604,"",52)</f>
        <v/>
      </c>
      <c r="B120" s="16" t="str">
        <f aca="false">IFERROR(INDEX(电梯资料!$C$5:$C$604,MATCH(52,_自动清单!$E$5:$E$604,0))&amp;"","")</f>
        <v/>
      </c>
      <c r="C120" s="16" t="str">
        <f aca="false">IFERROR(INDEX(电梯资料!$D$5:$D$604,MATCH(52,_自动清单!$E$5:$E$604,0))&amp;"","")</f>
        <v/>
      </c>
      <c r="D120" s="53" t="str">
        <f aca="false">IFERROR(INDEX(电梯资料!$Q$5:$Q$604,MATCH(52,_自动清单!$E$5:$E$604,0))&amp;"","")</f>
        <v/>
      </c>
      <c r="E120" s="53" t="str">
        <f aca="false">IFERROR(INDEX(电梯资料!$R$5:$R$604,MATCH(52,_自动清单!$E$5:$E$604,0))&amp;"","")</f>
        <v/>
      </c>
      <c r="F120" s="53" t="str">
        <f aca="false">IFERROR(INDEX(电梯资料!$W$5:$W$604,MATCH(52,_自动清单!$E$5:$E$604,0))&amp;"","")</f>
        <v/>
      </c>
      <c r="G120" s="54" t="str">
        <f aca="false">IFERROR(INDEX(电梯资料!$T$5:$T$604,MATCH(52,_自动清单!$E$5:$E$604,0)),"")</f>
        <v/>
      </c>
      <c r="H120" s="54" t="str">
        <f aca="false">IFERROR(INDEX(电梯资料!$U$5:$U$604,MATCH(52,_自动清单!$E$5:$E$604,0)),"")</f>
        <v/>
      </c>
      <c r="I120" s="54" t="str">
        <f aca="false">IFERROR(INDEX(电梯资料!$V$5:$V$604,MATCH(52,_自动清单!$E$5:$E$604,0)),"")</f>
        <v/>
      </c>
      <c r="J120" s="58" t="str">
        <f aca="false">IF(COUNT($G120:$I120)=0,"",MIN($G120:$I120))</f>
        <v/>
      </c>
      <c r="K120" s="55" t="str">
        <f aca="true">IF(N($J120)=0,"",$J120-TODAY())</f>
        <v/>
      </c>
      <c r="L120" s="56" t="str">
        <f aca="false">IF($A120="","",TRIM(IF(IFERROR(INDEX(电梯资料!$AA$5:$AA$604,MATCH(52,_自动清单!$E$5:$E$604,0))&amp;"","")&lt;&gt;"","年检 "&amp;IFERROR(INDEX(电梯资料!$AA$5:$AA$604,MATCH(52,_自动清单!$E$5:$E$604,0))&amp;"",""),"")&amp;IF(AND(IFERROR(INDEX(电梯资料!$AA$5:$AA$604,MATCH(52,_自动清单!$E$5:$E$604,0))&amp;"","")&lt;&gt;"",IFERROR(INDEX(电梯资料!$AB$5:$AB$604,MATCH(52,_自动清单!$E$5:$E$604,0))&amp;"","")&lt;&gt;"")," ｜ ","")&amp;IF(IFERROR(INDEX(电梯资料!$AB$5:$AB$604,MATCH(52,_自动清单!$E$5:$E$604,0))&amp;"","")&lt;&gt;"","校验 "&amp;IFERROR(INDEX(电梯资料!$AB$5:$AB$604,MATCH(52,_自动清单!$E$5:$E$604,0))&amp;"",""),"")))</f>
        <v/>
      </c>
    </row>
    <row r="121" customFormat="false" ht="15" hidden="false" customHeight="false" outlineLevel="0" collapsed="false">
      <c r="A121" s="29" t="str">
        <f aca="false">IF(53&gt;_自动清单!$E$604,"",53)</f>
        <v/>
      </c>
      <c r="B121" s="16" t="str">
        <f aca="false">IFERROR(INDEX(电梯资料!$C$5:$C$604,MATCH(53,_自动清单!$E$5:$E$604,0))&amp;"","")</f>
        <v/>
      </c>
      <c r="C121" s="16" t="str">
        <f aca="false">IFERROR(INDEX(电梯资料!$D$5:$D$604,MATCH(53,_自动清单!$E$5:$E$604,0))&amp;"","")</f>
        <v/>
      </c>
      <c r="D121" s="53" t="str">
        <f aca="false">IFERROR(INDEX(电梯资料!$Q$5:$Q$604,MATCH(53,_自动清单!$E$5:$E$604,0))&amp;"","")</f>
        <v/>
      </c>
      <c r="E121" s="53" t="str">
        <f aca="false">IFERROR(INDEX(电梯资料!$R$5:$R$604,MATCH(53,_自动清单!$E$5:$E$604,0))&amp;"","")</f>
        <v/>
      </c>
      <c r="F121" s="53" t="str">
        <f aca="false">IFERROR(INDEX(电梯资料!$W$5:$W$604,MATCH(53,_自动清单!$E$5:$E$604,0))&amp;"","")</f>
        <v/>
      </c>
      <c r="G121" s="54" t="str">
        <f aca="false">IFERROR(INDEX(电梯资料!$T$5:$T$604,MATCH(53,_自动清单!$E$5:$E$604,0)),"")</f>
        <v/>
      </c>
      <c r="H121" s="54" t="str">
        <f aca="false">IFERROR(INDEX(电梯资料!$U$5:$U$604,MATCH(53,_自动清单!$E$5:$E$604,0)),"")</f>
        <v/>
      </c>
      <c r="I121" s="54" t="str">
        <f aca="false">IFERROR(INDEX(电梯资料!$V$5:$V$604,MATCH(53,_自动清单!$E$5:$E$604,0)),"")</f>
        <v/>
      </c>
      <c r="J121" s="58" t="str">
        <f aca="false">IF(COUNT($G121:$I121)=0,"",MIN($G121:$I121))</f>
        <v/>
      </c>
      <c r="K121" s="55" t="str">
        <f aca="true">IF(N($J121)=0,"",$J121-TODAY())</f>
        <v/>
      </c>
      <c r="L121" s="56" t="str">
        <f aca="false">IF($A121="","",TRIM(IF(IFERROR(INDEX(电梯资料!$AA$5:$AA$604,MATCH(53,_自动清单!$E$5:$E$604,0))&amp;"","")&lt;&gt;"","年检 "&amp;IFERROR(INDEX(电梯资料!$AA$5:$AA$604,MATCH(53,_自动清单!$E$5:$E$604,0))&amp;"",""),"")&amp;IF(AND(IFERROR(INDEX(电梯资料!$AA$5:$AA$604,MATCH(53,_自动清单!$E$5:$E$604,0))&amp;"","")&lt;&gt;"",IFERROR(INDEX(电梯资料!$AB$5:$AB$604,MATCH(53,_自动清单!$E$5:$E$604,0))&amp;"","")&lt;&gt;"")," ｜ ","")&amp;IF(IFERROR(INDEX(电梯资料!$AB$5:$AB$604,MATCH(53,_自动清单!$E$5:$E$604,0))&amp;"","")&lt;&gt;"","校验 "&amp;IFERROR(INDEX(电梯资料!$AB$5:$AB$604,MATCH(53,_自动清单!$E$5:$E$604,0))&amp;"",""),"")))</f>
        <v/>
      </c>
    </row>
    <row r="122" customFormat="false" ht="15" hidden="false" customHeight="false" outlineLevel="0" collapsed="false">
      <c r="A122" s="29" t="str">
        <f aca="false">IF(54&gt;_自动清单!$E$604,"",54)</f>
        <v/>
      </c>
      <c r="B122" s="16" t="str">
        <f aca="false">IFERROR(INDEX(电梯资料!$C$5:$C$604,MATCH(54,_自动清单!$E$5:$E$604,0))&amp;"","")</f>
        <v/>
      </c>
      <c r="C122" s="16" t="str">
        <f aca="false">IFERROR(INDEX(电梯资料!$D$5:$D$604,MATCH(54,_自动清单!$E$5:$E$604,0))&amp;"","")</f>
        <v/>
      </c>
      <c r="D122" s="53" t="str">
        <f aca="false">IFERROR(INDEX(电梯资料!$Q$5:$Q$604,MATCH(54,_自动清单!$E$5:$E$604,0))&amp;"","")</f>
        <v/>
      </c>
      <c r="E122" s="53" t="str">
        <f aca="false">IFERROR(INDEX(电梯资料!$R$5:$R$604,MATCH(54,_自动清单!$E$5:$E$604,0))&amp;"","")</f>
        <v/>
      </c>
      <c r="F122" s="53" t="str">
        <f aca="false">IFERROR(INDEX(电梯资料!$W$5:$W$604,MATCH(54,_自动清单!$E$5:$E$604,0))&amp;"","")</f>
        <v/>
      </c>
      <c r="G122" s="54" t="str">
        <f aca="false">IFERROR(INDEX(电梯资料!$T$5:$T$604,MATCH(54,_自动清单!$E$5:$E$604,0)),"")</f>
        <v/>
      </c>
      <c r="H122" s="54" t="str">
        <f aca="false">IFERROR(INDEX(电梯资料!$U$5:$U$604,MATCH(54,_自动清单!$E$5:$E$604,0)),"")</f>
        <v/>
      </c>
      <c r="I122" s="54" t="str">
        <f aca="false">IFERROR(INDEX(电梯资料!$V$5:$V$604,MATCH(54,_自动清单!$E$5:$E$604,0)),"")</f>
        <v/>
      </c>
      <c r="J122" s="58" t="str">
        <f aca="false">IF(COUNT($G122:$I122)=0,"",MIN($G122:$I122))</f>
        <v/>
      </c>
      <c r="K122" s="55" t="str">
        <f aca="true">IF(N($J122)=0,"",$J122-TODAY())</f>
        <v/>
      </c>
      <c r="L122" s="56" t="str">
        <f aca="false">IF($A122="","",TRIM(IF(IFERROR(INDEX(电梯资料!$AA$5:$AA$604,MATCH(54,_自动清单!$E$5:$E$604,0))&amp;"","")&lt;&gt;"","年检 "&amp;IFERROR(INDEX(电梯资料!$AA$5:$AA$604,MATCH(54,_自动清单!$E$5:$E$604,0))&amp;"",""),"")&amp;IF(AND(IFERROR(INDEX(电梯资料!$AA$5:$AA$604,MATCH(54,_自动清单!$E$5:$E$604,0))&amp;"","")&lt;&gt;"",IFERROR(INDEX(电梯资料!$AB$5:$AB$604,MATCH(54,_自动清单!$E$5:$E$604,0))&amp;"","")&lt;&gt;"")," ｜ ","")&amp;IF(IFERROR(INDEX(电梯资料!$AB$5:$AB$604,MATCH(54,_自动清单!$E$5:$E$604,0))&amp;"","")&lt;&gt;"","校验 "&amp;IFERROR(INDEX(电梯资料!$AB$5:$AB$604,MATCH(54,_自动清单!$E$5:$E$604,0))&amp;"",""),"")))</f>
        <v/>
      </c>
    </row>
    <row r="123" customFormat="false" ht="15" hidden="false" customHeight="false" outlineLevel="0" collapsed="false">
      <c r="A123" s="29" t="str">
        <f aca="false">IF(55&gt;_自动清单!$E$604,"",55)</f>
        <v/>
      </c>
      <c r="B123" s="16" t="str">
        <f aca="false">IFERROR(INDEX(电梯资料!$C$5:$C$604,MATCH(55,_自动清单!$E$5:$E$604,0))&amp;"","")</f>
        <v/>
      </c>
      <c r="C123" s="16" t="str">
        <f aca="false">IFERROR(INDEX(电梯资料!$D$5:$D$604,MATCH(55,_自动清单!$E$5:$E$604,0))&amp;"","")</f>
        <v/>
      </c>
      <c r="D123" s="53" t="str">
        <f aca="false">IFERROR(INDEX(电梯资料!$Q$5:$Q$604,MATCH(55,_自动清单!$E$5:$E$604,0))&amp;"","")</f>
        <v/>
      </c>
      <c r="E123" s="53" t="str">
        <f aca="false">IFERROR(INDEX(电梯资料!$R$5:$R$604,MATCH(55,_自动清单!$E$5:$E$604,0))&amp;"","")</f>
        <v/>
      </c>
      <c r="F123" s="53" t="str">
        <f aca="false">IFERROR(INDEX(电梯资料!$W$5:$W$604,MATCH(55,_自动清单!$E$5:$E$604,0))&amp;"","")</f>
        <v/>
      </c>
      <c r="G123" s="54" t="str">
        <f aca="false">IFERROR(INDEX(电梯资料!$T$5:$T$604,MATCH(55,_自动清单!$E$5:$E$604,0)),"")</f>
        <v/>
      </c>
      <c r="H123" s="54" t="str">
        <f aca="false">IFERROR(INDEX(电梯资料!$U$5:$U$604,MATCH(55,_自动清单!$E$5:$E$604,0)),"")</f>
        <v/>
      </c>
      <c r="I123" s="54" t="str">
        <f aca="false">IFERROR(INDEX(电梯资料!$V$5:$V$604,MATCH(55,_自动清单!$E$5:$E$604,0)),"")</f>
        <v/>
      </c>
      <c r="J123" s="58" t="str">
        <f aca="false">IF(COUNT($G123:$I123)=0,"",MIN($G123:$I123))</f>
        <v/>
      </c>
      <c r="K123" s="55" t="str">
        <f aca="true">IF(N($J123)=0,"",$J123-TODAY())</f>
        <v/>
      </c>
      <c r="L123" s="56" t="str">
        <f aca="false">IF($A123="","",TRIM(IF(IFERROR(INDEX(电梯资料!$AA$5:$AA$604,MATCH(55,_自动清单!$E$5:$E$604,0))&amp;"","")&lt;&gt;"","年检 "&amp;IFERROR(INDEX(电梯资料!$AA$5:$AA$604,MATCH(55,_自动清单!$E$5:$E$604,0))&amp;"",""),"")&amp;IF(AND(IFERROR(INDEX(电梯资料!$AA$5:$AA$604,MATCH(55,_自动清单!$E$5:$E$604,0))&amp;"","")&lt;&gt;"",IFERROR(INDEX(电梯资料!$AB$5:$AB$604,MATCH(55,_自动清单!$E$5:$E$604,0))&amp;"","")&lt;&gt;"")," ｜ ","")&amp;IF(IFERROR(INDEX(电梯资料!$AB$5:$AB$604,MATCH(55,_自动清单!$E$5:$E$604,0))&amp;"","")&lt;&gt;"","校验 "&amp;IFERROR(INDEX(电梯资料!$AB$5:$AB$604,MATCH(55,_自动清单!$E$5:$E$604,0))&amp;"",""),"")))</f>
        <v/>
      </c>
    </row>
    <row r="124" customFormat="false" ht="15" hidden="false" customHeight="false" outlineLevel="0" collapsed="false">
      <c r="A124" s="29" t="str">
        <f aca="false">IF(56&gt;_自动清单!$E$604,"",56)</f>
        <v/>
      </c>
      <c r="B124" s="16" t="str">
        <f aca="false">IFERROR(INDEX(电梯资料!$C$5:$C$604,MATCH(56,_自动清单!$E$5:$E$604,0))&amp;"","")</f>
        <v/>
      </c>
      <c r="C124" s="16" t="str">
        <f aca="false">IFERROR(INDEX(电梯资料!$D$5:$D$604,MATCH(56,_自动清单!$E$5:$E$604,0))&amp;"","")</f>
        <v/>
      </c>
      <c r="D124" s="53" t="str">
        <f aca="false">IFERROR(INDEX(电梯资料!$Q$5:$Q$604,MATCH(56,_自动清单!$E$5:$E$604,0))&amp;"","")</f>
        <v/>
      </c>
      <c r="E124" s="53" t="str">
        <f aca="false">IFERROR(INDEX(电梯资料!$R$5:$R$604,MATCH(56,_自动清单!$E$5:$E$604,0))&amp;"","")</f>
        <v/>
      </c>
      <c r="F124" s="53" t="str">
        <f aca="false">IFERROR(INDEX(电梯资料!$W$5:$W$604,MATCH(56,_自动清单!$E$5:$E$604,0))&amp;"","")</f>
        <v/>
      </c>
      <c r="G124" s="54" t="str">
        <f aca="false">IFERROR(INDEX(电梯资料!$T$5:$T$604,MATCH(56,_自动清单!$E$5:$E$604,0)),"")</f>
        <v/>
      </c>
      <c r="H124" s="54" t="str">
        <f aca="false">IFERROR(INDEX(电梯资料!$U$5:$U$604,MATCH(56,_自动清单!$E$5:$E$604,0)),"")</f>
        <v/>
      </c>
      <c r="I124" s="54" t="str">
        <f aca="false">IFERROR(INDEX(电梯资料!$V$5:$V$604,MATCH(56,_自动清单!$E$5:$E$604,0)),"")</f>
        <v/>
      </c>
      <c r="J124" s="58" t="str">
        <f aca="false">IF(COUNT($G124:$I124)=0,"",MIN($G124:$I124))</f>
        <v/>
      </c>
      <c r="K124" s="55" t="str">
        <f aca="true">IF(N($J124)=0,"",$J124-TODAY())</f>
        <v/>
      </c>
      <c r="L124" s="56" t="str">
        <f aca="false">IF($A124="","",TRIM(IF(IFERROR(INDEX(电梯资料!$AA$5:$AA$604,MATCH(56,_自动清单!$E$5:$E$604,0))&amp;"","")&lt;&gt;"","年检 "&amp;IFERROR(INDEX(电梯资料!$AA$5:$AA$604,MATCH(56,_自动清单!$E$5:$E$604,0))&amp;"",""),"")&amp;IF(AND(IFERROR(INDEX(电梯资料!$AA$5:$AA$604,MATCH(56,_自动清单!$E$5:$E$604,0))&amp;"","")&lt;&gt;"",IFERROR(INDEX(电梯资料!$AB$5:$AB$604,MATCH(56,_自动清单!$E$5:$E$604,0))&amp;"","")&lt;&gt;"")," ｜ ","")&amp;IF(IFERROR(INDEX(电梯资料!$AB$5:$AB$604,MATCH(56,_自动清单!$E$5:$E$604,0))&amp;"","")&lt;&gt;"","校验 "&amp;IFERROR(INDEX(电梯资料!$AB$5:$AB$604,MATCH(56,_自动清单!$E$5:$E$604,0))&amp;"",""),"")))</f>
        <v/>
      </c>
    </row>
    <row r="125" customFormat="false" ht="15" hidden="false" customHeight="false" outlineLevel="0" collapsed="false">
      <c r="A125" s="29" t="str">
        <f aca="false">IF(57&gt;_自动清单!$E$604,"",57)</f>
        <v/>
      </c>
      <c r="B125" s="16" t="str">
        <f aca="false">IFERROR(INDEX(电梯资料!$C$5:$C$604,MATCH(57,_自动清单!$E$5:$E$604,0))&amp;"","")</f>
        <v/>
      </c>
      <c r="C125" s="16" t="str">
        <f aca="false">IFERROR(INDEX(电梯资料!$D$5:$D$604,MATCH(57,_自动清单!$E$5:$E$604,0))&amp;"","")</f>
        <v/>
      </c>
      <c r="D125" s="53" t="str">
        <f aca="false">IFERROR(INDEX(电梯资料!$Q$5:$Q$604,MATCH(57,_自动清单!$E$5:$E$604,0))&amp;"","")</f>
        <v/>
      </c>
      <c r="E125" s="53" t="str">
        <f aca="false">IFERROR(INDEX(电梯资料!$R$5:$R$604,MATCH(57,_自动清单!$E$5:$E$604,0))&amp;"","")</f>
        <v/>
      </c>
      <c r="F125" s="53" t="str">
        <f aca="false">IFERROR(INDEX(电梯资料!$W$5:$W$604,MATCH(57,_自动清单!$E$5:$E$604,0))&amp;"","")</f>
        <v/>
      </c>
      <c r="G125" s="54" t="str">
        <f aca="false">IFERROR(INDEX(电梯资料!$T$5:$T$604,MATCH(57,_自动清单!$E$5:$E$604,0)),"")</f>
        <v/>
      </c>
      <c r="H125" s="54" t="str">
        <f aca="false">IFERROR(INDEX(电梯资料!$U$5:$U$604,MATCH(57,_自动清单!$E$5:$E$604,0)),"")</f>
        <v/>
      </c>
      <c r="I125" s="54" t="str">
        <f aca="false">IFERROR(INDEX(电梯资料!$V$5:$V$604,MATCH(57,_自动清单!$E$5:$E$604,0)),"")</f>
        <v/>
      </c>
      <c r="J125" s="58" t="str">
        <f aca="false">IF(COUNT($G125:$I125)=0,"",MIN($G125:$I125))</f>
        <v/>
      </c>
      <c r="K125" s="55" t="str">
        <f aca="true">IF(N($J125)=0,"",$J125-TODAY())</f>
        <v/>
      </c>
      <c r="L125" s="56" t="str">
        <f aca="false">IF($A125="","",TRIM(IF(IFERROR(INDEX(电梯资料!$AA$5:$AA$604,MATCH(57,_自动清单!$E$5:$E$604,0))&amp;"","")&lt;&gt;"","年检 "&amp;IFERROR(INDEX(电梯资料!$AA$5:$AA$604,MATCH(57,_自动清单!$E$5:$E$604,0))&amp;"",""),"")&amp;IF(AND(IFERROR(INDEX(电梯资料!$AA$5:$AA$604,MATCH(57,_自动清单!$E$5:$E$604,0))&amp;"","")&lt;&gt;"",IFERROR(INDEX(电梯资料!$AB$5:$AB$604,MATCH(57,_自动清单!$E$5:$E$604,0))&amp;"","")&lt;&gt;"")," ｜ ","")&amp;IF(IFERROR(INDEX(电梯资料!$AB$5:$AB$604,MATCH(57,_自动清单!$E$5:$E$604,0))&amp;"","")&lt;&gt;"","校验 "&amp;IFERROR(INDEX(电梯资料!$AB$5:$AB$604,MATCH(57,_自动清单!$E$5:$E$604,0))&amp;"",""),"")))</f>
        <v/>
      </c>
    </row>
    <row r="126" customFormat="false" ht="15" hidden="false" customHeight="false" outlineLevel="0" collapsed="false">
      <c r="A126" s="29" t="str">
        <f aca="false">IF(58&gt;_自动清单!$E$604,"",58)</f>
        <v/>
      </c>
      <c r="B126" s="16" t="str">
        <f aca="false">IFERROR(INDEX(电梯资料!$C$5:$C$604,MATCH(58,_自动清单!$E$5:$E$604,0))&amp;"","")</f>
        <v/>
      </c>
      <c r="C126" s="16" t="str">
        <f aca="false">IFERROR(INDEX(电梯资料!$D$5:$D$604,MATCH(58,_自动清单!$E$5:$E$604,0))&amp;"","")</f>
        <v/>
      </c>
      <c r="D126" s="53" t="str">
        <f aca="false">IFERROR(INDEX(电梯资料!$Q$5:$Q$604,MATCH(58,_自动清单!$E$5:$E$604,0))&amp;"","")</f>
        <v/>
      </c>
      <c r="E126" s="53" t="str">
        <f aca="false">IFERROR(INDEX(电梯资料!$R$5:$R$604,MATCH(58,_自动清单!$E$5:$E$604,0))&amp;"","")</f>
        <v/>
      </c>
      <c r="F126" s="53" t="str">
        <f aca="false">IFERROR(INDEX(电梯资料!$W$5:$W$604,MATCH(58,_自动清单!$E$5:$E$604,0))&amp;"","")</f>
        <v/>
      </c>
      <c r="G126" s="54" t="str">
        <f aca="false">IFERROR(INDEX(电梯资料!$T$5:$T$604,MATCH(58,_自动清单!$E$5:$E$604,0)),"")</f>
        <v/>
      </c>
      <c r="H126" s="54" t="str">
        <f aca="false">IFERROR(INDEX(电梯资料!$U$5:$U$604,MATCH(58,_自动清单!$E$5:$E$604,0)),"")</f>
        <v/>
      </c>
      <c r="I126" s="54" t="str">
        <f aca="false">IFERROR(INDEX(电梯资料!$V$5:$V$604,MATCH(58,_自动清单!$E$5:$E$604,0)),"")</f>
        <v/>
      </c>
      <c r="J126" s="58" t="str">
        <f aca="false">IF(COUNT($G126:$I126)=0,"",MIN($G126:$I126))</f>
        <v/>
      </c>
      <c r="K126" s="55" t="str">
        <f aca="true">IF(N($J126)=0,"",$J126-TODAY())</f>
        <v/>
      </c>
      <c r="L126" s="56" t="str">
        <f aca="false">IF($A126="","",TRIM(IF(IFERROR(INDEX(电梯资料!$AA$5:$AA$604,MATCH(58,_自动清单!$E$5:$E$604,0))&amp;"","")&lt;&gt;"","年检 "&amp;IFERROR(INDEX(电梯资料!$AA$5:$AA$604,MATCH(58,_自动清单!$E$5:$E$604,0))&amp;"",""),"")&amp;IF(AND(IFERROR(INDEX(电梯资料!$AA$5:$AA$604,MATCH(58,_自动清单!$E$5:$E$604,0))&amp;"","")&lt;&gt;"",IFERROR(INDEX(电梯资料!$AB$5:$AB$604,MATCH(58,_自动清单!$E$5:$E$604,0))&amp;"","")&lt;&gt;"")," ｜ ","")&amp;IF(IFERROR(INDEX(电梯资料!$AB$5:$AB$604,MATCH(58,_自动清单!$E$5:$E$604,0))&amp;"","")&lt;&gt;"","校验 "&amp;IFERROR(INDEX(电梯资料!$AB$5:$AB$604,MATCH(58,_自动清单!$E$5:$E$604,0))&amp;"",""),"")))</f>
        <v/>
      </c>
    </row>
    <row r="127" customFormat="false" ht="15" hidden="false" customHeight="false" outlineLevel="0" collapsed="false">
      <c r="A127" s="29" t="str">
        <f aca="false">IF(59&gt;_自动清单!$E$604,"",59)</f>
        <v/>
      </c>
      <c r="B127" s="16" t="str">
        <f aca="false">IFERROR(INDEX(电梯资料!$C$5:$C$604,MATCH(59,_自动清单!$E$5:$E$604,0))&amp;"","")</f>
        <v/>
      </c>
      <c r="C127" s="16" t="str">
        <f aca="false">IFERROR(INDEX(电梯资料!$D$5:$D$604,MATCH(59,_自动清单!$E$5:$E$604,0))&amp;"","")</f>
        <v/>
      </c>
      <c r="D127" s="53" t="str">
        <f aca="false">IFERROR(INDEX(电梯资料!$Q$5:$Q$604,MATCH(59,_自动清单!$E$5:$E$604,0))&amp;"","")</f>
        <v/>
      </c>
      <c r="E127" s="53" t="str">
        <f aca="false">IFERROR(INDEX(电梯资料!$R$5:$R$604,MATCH(59,_自动清单!$E$5:$E$604,0))&amp;"","")</f>
        <v/>
      </c>
      <c r="F127" s="53" t="str">
        <f aca="false">IFERROR(INDEX(电梯资料!$W$5:$W$604,MATCH(59,_自动清单!$E$5:$E$604,0))&amp;"","")</f>
        <v/>
      </c>
      <c r="G127" s="54" t="str">
        <f aca="false">IFERROR(INDEX(电梯资料!$T$5:$T$604,MATCH(59,_自动清单!$E$5:$E$604,0)),"")</f>
        <v/>
      </c>
      <c r="H127" s="54" t="str">
        <f aca="false">IFERROR(INDEX(电梯资料!$U$5:$U$604,MATCH(59,_自动清单!$E$5:$E$604,0)),"")</f>
        <v/>
      </c>
      <c r="I127" s="54" t="str">
        <f aca="false">IFERROR(INDEX(电梯资料!$V$5:$V$604,MATCH(59,_自动清单!$E$5:$E$604,0)),"")</f>
        <v/>
      </c>
      <c r="J127" s="58" t="str">
        <f aca="false">IF(COUNT($G127:$I127)=0,"",MIN($G127:$I127))</f>
        <v/>
      </c>
      <c r="K127" s="55" t="str">
        <f aca="true">IF(N($J127)=0,"",$J127-TODAY())</f>
        <v/>
      </c>
      <c r="L127" s="56" t="str">
        <f aca="false">IF($A127="","",TRIM(IF(IFERROR(INDEX(电梯资料!$AA$5:$AA$604,MATCH(59,_自动清单!$E$5:$E$604,0))&amp;"","")&lt;&gt;"","年检 "&amp;IFERROR(INDEX(电梯资料!$AA$5:$AA$604,MATCH(59,_自动清单!$E$5:$E$604,0))&amp;"",""),"")&amp;IF(AND(IFERROR(INDEX(电梯资料!$AA$5:$AA$604,MATCH(59,_自动清单!$E$5:$E$604,0))&amp;"","")&lt;&gt;"",IFERROR(INDEX(电梯资料!$AB$5:$AB$604,MATCH(59,_自动清单!$E$5:$E$604,0))&amp;"","")&lt;&gt;"")," ｜ ","")&amp;IF(IFERROR(INDEX(电梯资料!$AB$5:$AB$604,MATCH(59,_自动清单!$E$5:$E$604,0))&amp;"","")&lt;&gt;"","校验 "&amp;IFERROR(INDEX(电梯资料!$AB$5:$AB$604,MATCH(59,_自动清单!$E$5:$E$604,0))&amp;"",""),"")))</f>
        <v/>
      </c>
    </row>
    <row r="128" customFormat="false" ht="15" hidden="false" customHeight="false" outlineLevel="0" collapsed="false">
      <c r="A128" s="29" t="str">
        <f aca="false">IF(60&gt;_自动清单!$E$604,"",60)</f>
        <v/>
      </c>
      <c r="B128" s="16" t="str">
        <f aca="false">IFERROR(INDEX(电梯资料!$C$5:$C$604,MATCH(60,_自动清单!$E$5:$E$604,0))&amp;"","")</f>
        <v/>
      </c>
      <c r="C128" s="16" t="str">
        <f aca="false">IFERROR(INDEX(电梯资料!$D$5:$D$604,MATCH(60,_自动清单!$E$5:$E$604,0))&amp;"","")</f>
        <v/>
      </c>
      <c r="D128" s="53" t="str">
        <f aca="false">IFERROR(INDEX(电梯资料!$Q$5:$Q$604,MATCH(60,_自动清单!$E$5:$E$604,0))&amp;"","")</f>
        <v/>
      </c>
      <c r="E128" s="53" t="str">
        <f aca="false">IFERROR(INDEX(电梯资料!$R$5:$R$604,MATCH(60,_自动清单!$E$5:$E$604,0))&amp;"","")</f>
        <v/>
      </c>
      <c r="F128" s="53" t="str">
        <f aca="false">IFERROR(INDEX(电梯资料!$W$5:$W$604,MATCH(60,_自动清单!$E$5:$E$604,0))&amp;"","")</f>
        <v/>
      </c>
      <c r="G128" s="54" t="str">
        <f aca="false">IFERROR(INDEX(电梯资料!$T$5:$T$604,MATCH(60,_自动清单!$E$5:$E$604,0)),"")</f>
        <v/>
      </c>
      <c r="H128" s="54" t="str">
        <f aca="false">IFERROR(INDEX(电梯资料!$U$5:$U$604,MATCH(60,_自动清单!$E$5:$E$604,0)),"")</f>
        <v/>
      </c>
      <c r="I128" s="54" t="str">
        <f aca="false">IFERROR(INDEX(电梯资料!$V$5:$V$604,MATCH(60,_自动清单!$E$5:$E$604,0)),"")</f>
        <v/>
      </c>
      <c r="J128" s="58" t="str">
        <f aca="false">IF(COUNT($G128:$I128)=0,"",MIN($G128:$I128))</f>
        <v/>
      </c>
      <c r="K128" s="55" t="str">
        <f aca="true">IF(N($J128)=0,"",$J128-TODAY())</f>
        <v/>
      </c>
      <c r="L128" s="56" t="str">
        <f aca="false">IF($A128="","",TRIM(IF(IFERROR(INDEX(电梯资料!$AA$5:$AA$604,MATCH(60,_自动清单!$E$5:$E$604,0))&amp;"","")&lt;&gt;"","年检 "&amp;IFERROR(INDEX(电梯资料!$AA$5:$AA$604,MATCH(60,_自动清单!$E$5:$E$604,0))&amp;"",""),"")&amp;IF(AND(IFERROR(INDEX(电梯资料!$AA$5:$AA$604,MATCH(60,_自动清单!$E$5:$E$604,0))&amp;"","")&lt;&gt;"",IFERROR(INDEX(电梯资料!$AB$5:$AB$604,MATCH(60,_自动清单!$E$5:$E$604,0))&amp;"","")&lt;&gt;"")," ｜ ","")&amp;IF(IFERROR(INDEX(电梯资料!$AB$5:$AB$604,MATCH(60,_自动清单!$E$5:$E$604,0))&amp;"","")&lt;&gt;"","校验 "&amp;IFERROR(INDEX(电梯资料!$AB$5:$AB$604,MATCH(60,_自动清单!$E$5:$E$604,0))&amp;"",""),"")))</f>
        <v/>
      </c>
    </row>
    <row r="129" customFormat="false" ht="15" hidden="false" customHeight="false" outlineLevel="0" collapsed="false">
      <c r="A129" s="29" t="str">
        <f aca="false">IF(61&gt;_自动清单!$E$604,"",61)</f>
        <v/>
      </c>
      <c r="B129" s="16" t="str">
        <f aca="false">IFERROR(INDEX(电梯资料!$C$5:$C$604,MATCH(61,_自动清单!$E$5:$E$604,0))&amp;"","")</f>
        <v/>
      </c>
      <c r="C129" s="16" t="str">
        <f aca="false">IFERROR(INDEX(电梯资料!$D$5:$D$604,MATCH(61,_自动清单!$E$5:$E$604,0))&amp;"","")</f>
        <v/>
      </c>
      <c r="D129" s="53" t="str">
        <f aca="false">IFERROR(INDEX(电梯资料!$Q$5:$Q$604,MATCH(61,_自动清单!$E$5:$E$604,0))&amp;"","")</f>
        <v/>
      </c>
      <c r="E129" s="53" t="str">
        <f aca="false">IFERROR(INDEX(电梯资料!$R$5:$R$604,MATCH(61,_自动清单!$E$5:$E$604,0))&amp;"","")</f>
        <v/>
      </c>
      <c r="F129" s="53" t="str">
        <f aca="false">IFERROR(INDEX(电梯资料!$W$5:$W$604,MATCH(61,_自动清单!$E$5:$E$604,0))&amp;"","")</f>
        <v/>
      </c>
      <c r="G129" s="54" t="str">
        <f aca="false">IFERROR(INDEX(电梯资料!$T$5:$T$604,MATCH(61,_自动清单!$E$5:$E$604,0)),"")</f>
        <v/>
      </c>
      <c r="H129" s="54" t="str">
        <f aca="false">IFERROR(INDEX(电梯资料!$U$5:$U$604,MATCH(61,_自动清单!$E$5:$E$604,0)),"")</f>
        <v/>
      </c>
      <c r="I129" s="54" t="str">
        <f aca="false">IFERROR(INDEX(电梯资料!$V$5:$V$604,MATCH(61,_自动清单!$E$5:$E$604,0)),"")</f>
        <v/>
      </c>
      <c r="J129" s="58" t="str">
        <f aca="false">IF(COUNT($G129:$I129)=0,"",MIN($G129:$I129))</f>
        <v/>
      </c>
      <c r="K129" s="55" t="str">
        <f aca="true">IF(N($J129)=0,"",$J129-TODAY())</f>
        <v/>
      </c>
      <c r="L129" s="56" t="str">
        <f aca="false">IF($A129="","",TRIM(IF(IFERROR(INDEX(电梯资料!$AA$5:$AA$604,MATCH(61,_自动清单!$E$5:$E$604,0))&amp;"","")&lt;&gt;"","年检 "&amp;IFERROR(INDEX(电梯资料!$AA$5:$AA$604,MATCH(61,_自动清单!$E$5:$E$604,0))&amp;"",""),"")&amp;IF(AND(IFERROR(INDEX(电梯资料!$AA$5:$AA$604,MATCH(61,_自动清单!$E$5:$E$604,0))&amp;"","")&lt;&gt;"",IFERROR(INDEX(电梯资料!$AB$5:$AB$604,MATCH(61,_自动清单!$E$5:$E$604,0))&amp;"","")&lt;&gt;"")," ｜ ","")&amp;IF(IFERROR(INDEX(电梯资料!$AB$5:$AB$604,MATCH(61,_自动清单!$E$5:$E$604,0))&amp;"","")&lt;&gt;"","校验 "&amp;IFERROR(INDEX(电梯资料!$AB$5:$AB$604,MATCH(61,_自动清单!$E$5:$E$604,0))&amp;"",""),"")))</f>
        <v/>
      </c>
    </row>
    <row r="130" customFormat="false" ht="15" hidden="false" customHeight="false" outlineLevel="0" collapsed="false">
      <c r="A130" s="29" t="str">
        <f aca="false">IF(62&gt;_自动清单!$E$604,"",62)</f>
        <v/>
      </c>
      <c r="B130" s="16" t="str">
        <f aca="false">IFERROR(INDEX(电梯资料!$C$5:$C$604,MATCH(62,_自动清单!$E$5:$E$604,0))&amp;"","")</f>
        <v/>
      </c>
      <c r="C130" s="16" t="str">
        <f aca="false">IFERROR(INDEX(电梯资料!$D$5:$D$604,MATCH(62,_自动清单!$E$5:$E$604,0))&amp;"","")</f>
        <v/>
      </c>
      <c r="D130" s="53" t="str">
        <f aca="false">IFERROR(INDEX(电梯资料!$Q$5:$Q$604,MATCH(62,_自动清单!$E$5:$E$604,0))&amp;"","")</f>
        <v/>
      </c>
      <c r="E130" s="53" t="str">
        <f aca="false">IFERROR(INDEX(电梯资料!$R$5:$R$604,MATCH(62,_自动清单!$E$5:$E$604,0))&amp;"","")</f>
        <v/>
      </c>
      <c r="F130" s="53" t="str">
        <f aca="false">IFERROR(INDEX(电梯资料!$W$5:$W$604,MATCH(62,_自动清单!$E$5:$E$604,0))&amp;"","")</f>
        <v/>
      </c>
      <c r="G130" s="54" t="str">
        <f aca="false">IFERROR(INDEX(电梯资料!$T$5:$T$604,MATCH(62,_自动清单!$E$5:$E$604,0)),"")</f>
        <v/>
      </c>
      <c r="H130" s="54" t="str">
        <f aca="false">IFERROR(INDEX(电梯资料!$U$5:$U$604,MATCH(62,_自动清单!$E$5:$E$604,0)),"")</f>
        <v/>
      </c>
      <c r="I130" s="54" t="str">
        <f aca="false">IFERROR(INDEX(电梯资料!$V$5:$V$604,MATCH(62,_自动清单!$E$5:$E$604,0)),"")</f>
        <v/>
      </c>
      <c r="J130" s="58" t="str">
        <f aca="false">IF(COUNT($G130:$I130)=0,"",MIN($G130:$I130))</f>
        <v/>
      </c>
      <c r="K130" s="55" t="str">
        <f aca="true">IF(N($J130)=0,"",$J130-TODAY())</f>
        <v/>
      </c>
      <c r="L130" s="56" t="str">
        <f aca="false">IF($A130="","",TRIM(IF(IFERROR(INDEX(电梯资料!$AA$5:$AA$604,MATCH(62,_自动清单!$E$5:$E$604,0))&amp;"","")&lt;&gt;"","年检 "&amp;IFERROR(INDEX(电梯资料!$AA$5:$AA$604,MATCH(62,_自动清单!$E$5:$E$604,0))&amp;"",""),"")&amp;IF(AND(IFERROR(INDEX(电梯资料!$AA$5:$AA$604,MATCH(62,_自动清单!$E$5:$E$604,0))&amp;"","")&lt;&gt;"",IFERROR(INDEX(电梯资料!$AB$5:$AB$604,MATCH(62,_自动清单!$E$5:$E$604,0))&amp;"","")&lt;&gt;"")," ｜ ","")&amp;IF(IFERROR(INDEX(电梯资料!$AB$5:$AB$604,MATCH(62,_自动清单!$E$5:$E$604,0))&amp;"","")&lt;&gt;"","校验 "&amp;IFERROR(INDEX(电梯资料!$AB$5:$AB$604,MATCH(62,_自动清单!$E$5:$E$604,0))&amp;"",""),"")))</f>
        <v/>
      </c>
    </row>
    <row r="131" customFormat="false" ht="15" hidden="false" customHeight="false" outlineLevel="0" collapsed="false">
      <c r="A131" s="29" t="str">
        <f aca="false">IF(63&gt;_自动清单!$E$604,"",63)</f>
        <v/>
      </c>
      <c r="B131" s="16" t="str">
        <f aca="false">IFERROR(INDEX(电梯资料!$C$5:$C$604,MATCH(63,_自动清单!$E$5:$E$604,0))&amp;"","")</f>
        <v/>
      </c>
      <c r="C131" s="16" t="str">
        <f aca="false">IFERROR(INDEX(电梯资料!$D$5:$D$604,MATCH(63,_自动清单!$E$5:$E$604,0))&amp;"","")</f>
        <v/>
      </c>
      <c r="D131" s="53" t="str">
        <f aca="false">IFERROR(INDEX(电梯资料!$Q$5:$Q$604,MATCH(63,_自动清单!$E$5:$E$604,0))&amp;"","")</f>
        <v/>
      </c>
      <c r="E131" s="53" t="str">
        <f aca="false">IFERROR(INDEX(电梯资料!$R$5:$R$604,MATCH(63,_自动清单!$E$5:$E$604,0))&amp;"","")</f>
        <v/>
      </c>
      <c r="F131" s="53" t="str">
        <f aca="false">IFERROR(INDEX(电梯资料!$W$5:$W$604,MATCH(63,_自动清单!$E$5:$E$604,0))&amp;"","")</f>
        <v/>
      </c>
      <c r="G131" s="54" t="str">
        <f aca="false">IFERROR(INDEX(电梯资料!$T$5:$T$604,MATCH(63,_自动清单!$E$5:$E$604,0)),"")</f>
        <v/>
      </c>
      <c r="H131" s="54" t="str">
        <f aca="false">IFERROR(INDEX(电梯资料!$U$5:$U$604,MATCH(63,_自动清单!$E$5:$E$604,0)),"")</f>
        <v/>
      </c>
      <c r="I131" s="54" t="str">
        <f aca="false">IFERROR(INDEX(电梯资料!$V$5:$V$604,MATCH(63,_自动清单!$E$5:$E$604,0)),"")</f>
        <v/>
      </c>
      <c r="J131" s="58" t="str">
        <f aca="false">IF(COUNT($G131:$I131)=0,"",MIN($G131:$I131))</f>
        <v/>
      </c>
      <c r="K131" s="55" t="str">
        <f aca="true">IF(N($J131)=0,"",$J131-TODAY())</f>
        <v/>
      </c>
      <c r="L131" s="56" t="str">
        <f aca="false">IF($A131="","",TRIM(IF(IFERROR(INDEX(电梯资料!$AA$5:$AA$604,MATCH(63,_自动清单!$E$5:$E$604,0))&amp;"","")&lt;&gt;"","年检 "&amp;IFERROR(INDEX(电梯资料!$AA$5:$AA$604,MATCH(63,_自动清单!$E$5:$E$604,0))&amp;"",""),"")&amp;IF(AND(IFERROR(INDEX(电梯资料!$AA$5:$AA$604,MATCH(63,_自动清单!$E$5:$E$604,0))&amp;"","")&lt;&gt;"",IFERROR(INDEX(电梯资料!$AB$5:$AB$604,MATCH(63,_自动清单!$E$5:$E$604,0))&amp;"","")&lt;&gt;"")," ｜ ","")&amp;IF(IFERROR(INDEX(电梯资料!$AB$5:$AB$604,MATCH(63,_自动清单!$E$5:$E$604,0))&amp;"","")&lt;&gt;"","校验 "&amp;IFERROR(INDEX(电梯资料!$AB$5:$AB$604,MATCH(63,_自动清单!$E$5:$E$604,0))&amp;"",""),"")))</f>
        <v/>
      </c>
    </row>
    <row r="132" customFormat="false" ht="15" hidden="false" customHeight="false" outlineLevel="0" collapsed="false">
      <c r="A132" s="29" t="str">
        <f aca="false">IF(64&gt;_自动清单!$E$604,"",64)</f>
        <v/>
      </c>
      <c r="B132" s="16" t="str">
        <f aca="false">IFERROR(INDEX(电梯资料!$C$5:$C$604,MATCH(64,_自动清单!$E$5:$E$604,0))&amp;"","")</f>
        <v/>
      </c>
      <c r="C132" s="16" t="str">
        <f aca="false">IFERROR(INDEX(电梯资料!$D$5:$D$604,MATCH(64,_自动清单!$E$5:$E$604,0))&amp;"","")</f>
        <v/>
      </c>
      <c r="D132" s="53" t="str">
        <f aca="false">IFERROR(INDEX(电梯资料!$Q$5:$Q$604,MATCH(64,_自动清单!$E$5:$E$604,0))&amp;"","")</f>
        <v/>
      </c>
      <c r="E132" s="53" t="str">
        <f aca="false">IFERROR(INDEX(电梯资料!$R$5:$R$604,MATCH(64,_自动清单!$E$5:$E$604,0))&amp;"","")</f>
        <v/>
      </c>
      <c r="F132" s="53" t="str">
        <f aca="false">IFERROR(INDEX(电梯资料!$W$5:$W$604,MATCH(64,_自动清单!$E$5:$E$604,0))&amp;"","")</f>
        <v/>
      </c>
      <c r="G132" s="54" t="str">
        <f aca="false">IFERROR(INDEX(电梯资料!$T$5:$T$604,MATCH(64,_自动清单!$E$5:$E$604,0)),"")</f>
        <v/>
      </c>
      <c r="H132" s="54" t="str">
        <f aca="false">IFERROR(INDEX(电梯资料!$U$5:$U$604,MATCH(64,_自动清单!$E$5:$E$604,0)),"")</f>
        <v/>
      </c>
      <c r="I132" s="54" t="str">
        <f aca="false">IFERROR(INDEX(电梯资料!$V$5:$V$604,MATCH(64,_自动清单!$E$5:$E$604,0)),"")</f>
        <v/>
      </c>
      <c r="J132" s="58" t="str">
        <f aca="false">IF(COUNT($G132:$I132)=0,"",MIN($G132:$I132))</f>
        <v/>
      </c>
      <c r="K132" s="55" t="str">
        <f aca="true">IF(N($J132)=0,"",$J132-TODAY())</f>
        <v/>
      </c>
      <c r="L132" s="56" t="str">
        <f aca="false">IF($A132="","",TRIM(IF(IFERROR(INDEX(电梯资料!$AA$5:$AA$604,MATCH(64,_自动清单!$E$5:$E$604,0))&amp;"","")&lt;&gt;"","年检 "&amp;IFERROR(INDEX(电梯资料!$AA$5:$AA$604,MATCH(64,_自动清单!$E$5:$E$604,0))&amp;"",""),"")&amp;IF(AND(IFERROR(INDEX(电梯资料!$AA$5:$AA$604,MATCH(64,_自动清单!$E$5:$E$604,0))&amp;"","")&lt;&gt;"",IFERROR(INDEX(电梯资料!$AB$5:$AB$604,MATCH(64,_自动清单!$E$5:$E$604,0))&amp;"","")&lt;&gt;"")," ｜ ","")&amp;IF(IFERROR(INDEX(电梯资料!$AB$5:$AB$604,MATCH(64,_自动清单!$E$5:$E$604,0))&amp;"","")&lt;&gt;"","校验 "&amp;IFERROR(INDEX(电梯资料!$AB$5:$AB$604,MATCH(64,_自动清单!$E$5:$E$604,0))&amp;"",""),"")))</f>
        <v/>
      </c>
    </row>
    <row r="133" customFormat="false" ht="15" hidden="false" customHeight="false" outlineLevel="0" collapsed="false">
      <c r="A133" s="29" t="str">
        <f aca="false">IF(65&gt;_自动清单!$E$604,"",65)</f>
        <v/>
      </c>
      <c r="B133" s="16" t="str">
        <f aca="false">IFERROR(INDEX(电梯资料!$C$5:$C$604,MATCH(65,_自动清单!$E$5:$E$604,0))&amp;"","")</f>
        <v/>
      </c>
      <c r="C133" s="16" t="str">
        <f aca="false">IFERROR(INDEX(电梯资料!$D$5:$D$604,MATCH(65,_自动清单!$E$5:$E$604,0))&amp;"","")</f>
        <v/>
      </c>
      <c r="D133" s="53" t="str">
        <f aca="false">IFERROR(INDEX(电梯资料!$Q$5:$Q$604,MATCH(65,_自动清单!$E$5:$E$604,0))&amp;"","")</f>
        <v/>
      </c>
      <c r="E133" s="53" t="str">
        <f aca="false">IFERROR(INDEX(电梯资料!$R$5:$R$604,MATCH(65,_自动清单!$E$5:$E$604,0))&amp;"","")</f>
        <v/>
      </c>
      <c r="F133" s="53" t="str">
        <f aca="false">IFERROR(INDEX(电梯资料!$W$5:$W$604,MATCH(65,_自动清单!$E$5:$E$604,0))&amp;"","")</f>
        <v/>
      </c>
      <c r="G133" s="54" t="str">
        <f aca="false">IFERROR(INDEX(电梯资料!$T$5:$T$604,MATCH(65,_自动清单!$E$5:$E$604,0)),"")</f>
        <v/>
      </c>
      <c r="H133" s="54" t="str">
        <f aca="false">IFERROR(INDEX(电梯资料!$U$5:$U$604,MATCH(65,_自动清单!$E$5:$E$604,0)),"")</f>
        <v/>
      </c>
      <c r="I133" s="54" t="str">
        <f aca="false">IFERROR(INDEX(电梯资料!$V$5:$V$604,MATCH(65,_自动清单!$E$5:$E$604,0)),"")</f>
        <v/>
      </c>
      <c r="J133" s="58" t="str">
        <f aca="false">IF(COUNT($G133:$I133)=0,"",MIN($G133:$I133))</f>
        <v/>
      </c>
      <c r="K133" s="55" t="str">
        <f aca="true">IF(N($J133)=0,"",$J133-TODAY())</f>
        <v/>
      </c>
      <c r="L133" s="56" t="str">
        <f aca="false">IF($A133="","",TRIM(IF(IFERROR(INDEX(电梯资料!$AA$5:$AA$604,MATCH(65,_自动清单!$E$5:$E$604,0))&amp;"","")&lt;&gt;"","年检 "&amp;IFERROR(INDEX(电梯资料!$AA$5:$AA$604,MATCH(65,_自动清单!$E$5:$E$604,0))&amp;"",""),"")&amp;IF(AND(IFERROR(INDEX(电梯资料!$AA$5:$AA$604,MATCH(65,_自动清单!$E$5:$E$604,0))&amp;"","")&lt;&gt;"",IFERROR(INDEX(电梯资料!$AB$5:$AB$604,MATCH(65,_自动清单!$E$5:$E$604,0))&amp;"","")&lt;&gt;"")," ｜ ","")&amp;IF(IFERROR(INDEX(电梯资料!$AB$5:$AB$604,MATCH(65,_自动清单!$E$5:$E$604,0))&amp;"","")&lt;&gt;"","校验 "&amp;IFERROR(INDEX(电梯资料!$AB$5:$AB$604,MATCH(65,_自动清单!$E$5:$E$604,0))&amp;"",""),"")))</f>
        <v/>
      </c>
    </row>
    <row r="134" customFormat="false" ht="15" hidden="false" customHeight="false" outlineLevel="0" collapsed="false">
      <c r="A134" s="29" t="str">
        <f aca="false">IF(66&gt;_自动清单!$E$604,"",66)</f>
        <v/>
      </c>
      <c r="B134" s="16" t="str">
        <f aca="false">IFERROR(INDEX(电梯资料!$C$5:$C$604,MATCH(66,_自动清单!$E$5:$E$604,0))&amp;"","")</f>
        <v/>
      </c>
      <c r="C134" s="16" t="str">
        <f aca="false">IFERROR(INDEX(电梯资料!$D$5:$D$604,MATCH(66,_自动清单!$E$5:$E$604,0))&amp;"","")</f>
        <v/>
      </c>
      <c r="D134" s="53" t="str">
        <f aca="false">IFERROR(INDEX(电梯资料!$Q$5:$Q$604,MATCH(66,_自动清单!$E$5:$E$604,0))&amp;"","")</f>
        <v/>
      </c>
      <c r="E134" s="53" t="str">
        <f aca="false">IFERROR(INDEX(电梯资料!$R$5:$R$604,MATCH(66,_自动清单!$E$5:$E$604,0))&amp;"","")</f>
        <v/>
      </c>
      <c r="F134" s="53" t="str">
        <f aca="false">IFERROR(INDEX(电梯资料!$W$5:$W$604,MATCH(66,_自动清单!$E$5:$E$604,0))&amp;"","")</f>
        <v/>
      </c>
      <c r="G134" s="54" t="str">
        <f aca="false">IFERROR(INDEX(电梯资料!$T$5:$T$604,MATCH(66,_自动清单!$E$5:$E$604,0)),"")</f>
        <v/>
      </c>
      <c r="H134" s="54" t="str">
        <f aca="false">IFERROR(INDEX(电梯资料!$U$5:$U$604,MATCH(66,_自动清单!$E$5:$E$604,0)),"")</f>
        <v/>
      </c>
      <c r="I134" s="54" t="str">
        <f aca="false">IFERROR(INDEX(电梯资料!$V$5:$V$604,MATCH(66,_自动清单!$E$5:$E$604,0)),"")</f>
        <v/>
      </c>
      <c r="J134" s="58" t="str">
        <f aca="false">IF(COUNT($G134:$I134)=0,"",MIN($G134:$I134))</f>
        <v/>
      </c>
      <c r="K134" s="55" t="str">
        <f aca="true">IF(N($J134)=0,"",$J134-TODAY())</f>
        <v/>
      </c>
      <c r="L134" s="56" t="str">
        <f aca="false">IF($A134="","",TRIM(IF(IFERROR(INDEX(电梯资料!$AA$5:$AA$604,MATCH(66,_自动清单!$E$5:$E$604,0))&amp;"","")&lt;&gt;"","年检 "&amp;IFERROR(INDEX(电梯资料!$AA$5:$AA$604,MATCH(66,_自动清单!$E$5:$E$604,0))&amp;"",""),"")&amp;IF(AND(IFERROR(INDEX(电梯资料!$AA$5:$AA$604,MATCH(66,_自动清单!$E$5:$E$604,0))&amp;"","")&lt;&gt;"",IFERROR(INDEX(电梯资料!$AB$5:$AB$604,MATCH(66,_自动清单!$E$5:$E$604,0))&amp;"","")&lt;&gt;"")," ｜ ","")&amp;IF(IFERROR(INDEX(电梯资料!$AB$5:$AB$604,MATCH(66,_自动清单!$E$5:$E$604,0))&amp;"","")&lt;&gt;"","校验 "&amp;IFERROR(INDEX(电梯资料!$AB$5:$AB$604,MATCH(66,_自动清单!$E$5:$E$604,0))&amp;"",""),"")))</f>
        <v/>
      </c>
    </row>
    <row r="135" customFormat="false" ht="15" hidden="false" customHeight="false" outlineLevel="0" collapsed="false">
      <c r="A135" s="29" t="str">
        <f aca="false">IF(67&gt;_自动清单!$E$604,"",67)</f>
        <v/>
      </c>
      <c r="B135" s="16" t="str">
        <f aca="false">IFERROR(INDEX(电梯资料!$C$5:$C$604,MATCH(67,_自动清单!$E$5:$E$604,0))&amp;"","")</f>
        <v/>
      </c>
      <c r="C135" s="16" t="str">
        <f aca="false">IFERROR(INDEX(电梯资料!$D$5:$D$604,MATCH(67,_自动清单!$E$5:$E$604,0))&amp;"","")</f>
        <v/>
      </c>
      <c r="D135" s="53" t="str">
        <f aca="false">IFERROR(INDEX(电梯资料!$Q$5:$Q$604,MATCH(67,_自动清单!$E$5:$E$604,0))&amp;"","")</f>
        <v/>
      </c>
      <c r="E135" s="53" t="str">
        <f aca="false">IFERROR(INDEX(电梯资料!$R$5:$R$604,MATCH(67,_自动清单!$E$5:$E$604,0))&amp;"","")</f>
        <v/>
      </c>
      <c r="F135" s="53" t="str">
        <f aca="false">IFERROR(INDEX(电梯资料!$W$5:$W$604,MATCH(67,_自动清单!$E$5:$E$604,0))&amp;"","")</f>
        <v/>
      </c>
      <c r="G135" s="54" t="str">
        <f aca="false">IFERROR(INDEX(电梯资料!$T$5:$T$604,MATCH(67,_自动清单!$E$5:$E$604,0)),"")</f>
        <v/>
      </c>
      <c r="H135" s="54" t="str">
        <f aca="false">IFERROR(INDEX(电梯资料!$U$5:$U$604,MATCH(67,_自动清单!$E$5:$E$604,0)),"")</f>
        <v/>
      </c>
      <c r="I135" s="54" t="str">
        <f aca="false">IFERROR(INDEX(电梯资料!$V$5:$V$604,MATCH(67,_自动清单!$E$5:$E$604,0)),"")</f>
        <v/>
      </c>
      <c r="J135" s="58" t="str">
        <f aca="false">IF(COUNT($G135:$I135)=0,"",MIN($G135:$I135))</f>
        <v/>
      </c>
      <c r="K135" s="55" t="str">
        <f aca="true">IF(N($J135)=0,"",$J135-TODAY())</f>
        <v/>
      </c>
      <c r="L135" s="56" t="str">
        <f aca="false">IF($A135="","",TRIM(IF(IFERROR(INDEX(电梯资料!$AA$5:$AA$604,MATCH(67,_自动清单!$E$5:$E$604,0))&amp;"","")&lt;&gt;"","年检 "&amp;IFERROR(INDEX(电梯资料!$AA$5:$AA$604,MATCH(67,_自动清单!$E$5:$E$604,0))&amp;"",""),"")&amp;IF(AND(IFERROR(INDEX(电梯资料!$AA$5:$AA$604,MATCH(67,_自动清单!$E$5:$E$604,0))&amp;"","")&lt;&gt;"",IFERROR(INDEX(电梯资料!$AB$5:$AB$604,MATCH(67,_自动清单!$E$5:$E$604,0))&amp;"","")&lt;&gt;"")," ｜ ","")&amp;IF(IFERROR(INDEX(电梯资料!$AB$5:$AB$604,MATCH(67,_自动清单!$E$5:$E$604,0))&amp;"","")&lt;&gt;"","校验 "&amp;IFERROR(INDEX(电梯资料!$AB$5:$AB$604,MATCH(67,_自动清单!$E$5:$E$604,0))&amp;"",""),"")))</f>
        <v/>
      </c>
    </row>
    <row r="136" customFormat="false" ht="15" hidden="false" customHeight="false" outlineLevel="0" collapsed="false">
      <c r="A136" s="29" t="str">
        <f aca="false">IF(68&gt;_自动清单!$E$604,"",68)</f>
        <v/>
      </c>
      <c r="B136" s="16" t="str">
        <f aca="false">IFERROR(INDEX(电梯资料!$C$5:$C$604,MATCH(68,_自动清单!$E$5:$E$604,0))&amp;"","")</f>
        <v/>
      </c>
      <c r="C136" s="16" t="str">
        <f aca="false">IFERROR(INDEX(电梯资料!$D$5:$D$604,MATCH(68,_自动清单!$E$5:$E$604,0))&amp;"","")</f>
        <v/>
      </c>
      <c r="D136" s="53" t="str">
        <f aca="false">IFERROR(INDEX(电梯资料!$Q$5:$Q$604,MATCH(68,_自动清单!$E$5:$E$604,0))&amp;"","")</f>
        <v/>
      </c>
      <c r="E136" s="53" t="str">
        <f aca="false">IFERROR(INDEX(电梯资料!$R$5:$R$604,MATCH(68,_自动清单!$E$5:$E$604,0))&amp;"","")</f>
        <v/>
      </c>
      <c r="F136" s="53" t="str">
        <f aca="false">IFERROR(INDEX(电梯资料!$W$5:$W$604,MATCH(68,_自动清单!$E$5:$E$604,0))&amp;"","")</f>
        <v/>
      </c>
      <c r="G136" s="54" t="str">
        <f aca="false">IFERROR(INDEX(电梯资料!$T$5:$T$604,MATCH(68,_自动清单!$E$5:$E$604,0)),"")</f>
        <v/>
      </c>
      <c r="H136" s="54" t="str">
        <f aca="false">IFERROR(INDEX(电梯资料!$U$5:$U$604,MATCH(68,_自动清单!$E$5:$E$604,0)),"")</f>
        <v/>
      </c>
      <c r="I136" s="54" t="str">
        <f aca="false">IFERROR(INDEX(电梯资料!$V$5:$V$604,MATCH(68,_自动清单!$E$5:$E$604,0)),"")</f>
        <v/>
      </c>
      <c r="J136" s="58" t="str">
        <f aca="false">IF(COUNT($G136:$I136)=0,"",MIN($G136:$I136))</f>
        <v/>
      </c>
      <c r="K136" s="55" t="str">
        <f aca="true">IF(N($J136)=0,"",$J136-TODAY())</f>
        <v/>
      </c>
      <c r="L136" s="56" t="str">
        <f aca="false">IF($A136="","",TRIM(IF(IFERROR(INDEX(电梯资料!$AA$5:$AA$604,MATCH(68,_自动清单!$E$5:$E$604,0))&amp;"","")&lt;&gt;"","年检 "&amp;IFERROR(INDEX(电梯资料!$AA$5:$AA$604,MATCH(68,_自动清单!$E$5:$E$604,0))&amp;"",""),"")&amp;IF(AND(IFERROR(INDEX(电梯资料!$AA$5:$AA$604,MATCH(68,_自动清单!$E$5:$E$604,0))&amp;"","")&lt;&gt;"",IFERROR(INDEX(电梯资料!$AB$5:$AB$604,MATCH(68,_自动清单!$E$5:$E$604,0))&amp;"","")&lt;&gt;"")," ｜ ","")&amp;IF(IFERROR(INDEX(电梯资料!$AB$5:$AB$604,MATCH(68,_自动清单!$E$5:$E$604,0))&amp;"","")&lt;&gt;"","校验 "&amp;IFERROR(INDEX(电梯资料!$AB$5:$AB$604,MATCH(68,_自动清单!$E$5:$E$604,0))&amp;"",""),"")))</f>
        <v/>
      </c>
    </row>
    <row r="137" customFormat="false" ht="15" hidden="false" customHeight="false" outlineLevel="0" collapsed="false">
      <c r="A137" s="29" t="str">
        <f aca="false">IF(69&gt;_自动清单!$E$604,"",69)</f>
        <v/>
      </c>
      <c r="B137" s="16" t="str">
        <f aca="false">IFERROR(INDEX(电梯资料!$C$5:$C$604,MATCH(69,_自动清单!$E$5:$E$604,0))&amp;"","")</f>
        <v/>
      </c>
      <c r="C137" s="16" t="str">
        <f aca="false">IFERROR(INDEX(电梯资料!$D$5:$D$604,MATCH(69,_自动清单!$E$5:$E$604,0))&amp;"","")</f>
        <v/>
      </c>
      <c r="D137" s="53" t="str">
        <f aca="false">IFERROR(INDEX(电梯资料!$Q$5:$Q$604,MATCH(69,_自动清单!$E$5:$E$604,0))&amp;"","")</f>
        <v/>
      </c>
      <c r="E137" s="53" t="str">
        <f aca="false">IFERROR(INDEX(电梯资料!$R$5:$R$604,MATCH(69,_自动清单!$E$5:$E$604,0))&amp;"","")</f>
        <v/>
      </c>
      <c r="F137" s="53" t="str">
        <f aca="false">IFERROR(INDEX(电梯资料!$W$5:$W$604,MATCH(69,_自动清单!$E$5:$E$604,0))&amp;"","")</f>
        <v/>
      </c>
      <c r="G137" s="54" t="str">
        <f aca="false">IFERROR(INDEX(电梯资料!$T$5:$T$604,MATCH(69,_自动清单!$E$5:$E$604,0)),"")</f>
        <v/>
      </c>
      <c r="H137" s="54" t="str">
        <f aca="false">IFERROR(INDEX(电梯资料!$U$5:$U$604,MATCH(69,_自动清单!$E$5:$E$604,0)),"")</f>
        <v/>
      </c>
      <c r="I137" s="54" t="str">
        <f aca="false">IFERROR(INDEX(电梯资料!$V$5:$V$604,MATCH(69,_自动清单!$E$5:$E$604,0)),"")</f>
        <v/>
      </c>
      <c r="J137" s="58" t="str">
        <f aca="false">IF(COUNT($G137:$I137)=0,"",MIN($G137:$I137))</f>
        <v/>
      </c>
      <c r="K137" s="55" t="str">
        <f aca="true">IF(N($J137)=0,"",$J137-TODAY())</f>
        <v/>
      </c>
      <c r="L137" s="56" t="str">
        <f aca="false">IF($A137="","",TRIM(IF(IFERROR(INDEX(电梯资料!$AA$5:$AA$604,MATCH(69,_自动清单!$E$5:$E$604,0))&amp;"","")&lt;&gt;"","年检 "&amp;IFERROR(INDEX(电梯资料!$AA$5:$AA$604,MATCH(69,_自动清单!$E$5:$E$604,0))&amp;"",""),"")&amp;IF(AND(IFERROR(INDEX(电梯资料!$AA$5:$AA$604,MATCH(69,_自动清单!$E$5:$E$604,0))&amp;"","")&lt;&gt;"",IFERROR(INDEX(电梯资料!$AB$5:$AB$604,MATCH(69,_自动清单!$E$5:$E$604,0))&amp;"","")&lt;&gt;"")," ｜ ","")&amp;IF(IFERROR(INDEX(电梯资料!$AB$5:$AB$604,MATCH(69,_自动清单!$E$5:$E$604,0))&amp;"","")&lt;&gt;"","校验 "&amp;IFERROR(INDEX(电梯资料!$AB$5:$AB$604,MATCH(69,_自动清单!$E$5:$E$604,0))&amp;"",""),"")))</f>
        <v/>
      </c>
    </row>
    <row r="138" customFormat="false" ht="15" hidden="false" customHeight="false" outlineLevel="0" collapsed="false">
      <c r="A138" s="29" t="str">
        <f aca="false">IF(70&gt;_自动清单!$E$604,"",70)</f>
        <v/>
      </c>
      <c r="B138" s="16" t="str">
        <f aca="false">IFERROR(INDEX(电梯资料!$C$5:$C$604,MATCH(70,_自动清单!$E$5:$E$604,0))&amp;"","")</f>
        <v/>
      </c>
      <c r="C138" s="16" t="str">
        <f aca="false">IFERROR(INDEX(电梯资料!$D$5:$D$604,MATCH(70,_自动清单!$E$5:$E$604,0))&amp;"","")</f>
        <v/>
      </c>
      <c r="D138" s="53" t="str">
        <f aca="false">IFERROR(INDEX(电梯资料!$Q$5:$Q$604,MATCH(70,_自动清单!$E$5:$E$604,0))&amp;"","")</f>
        <v/>
      </c>
      <c r="E138" s="53" t="str">
        <f aca="false">IFERROR(INDEX(电梯资料!$R$5:$R$604,MATCH(70,_自动清单!$E$5:$E$604,0))&amp;"","")</f>
        <v/>
      </c>
      <c r="F138" s="53" t="str">
        <f aca="false">IFERROR(INDEX(电梯资料!$W$5:$W$604,MATCH(70,_自动清单!$E$5:$E$604,0))&amp;"","")</f>
        <v/>
      </c>
      <c r="G138" s="54" t="str">
        <f aca="false">IFERROR(INDEX(电梯资料!$T$5:$T$604,MATCH(70,_自动清单!$E$5:$E$604,0)),"")</f>
        <v/>
      </c>
      <c r="H138" s="54" t="str">
        <f aca="false">IFERROR(INDEX(电梯资料!$U$5:$U$604,MATCH(70,_自动清单!$E$5:$E$604,0)),"")</f>
        <v/>
      </c>
      <c r="I138" s="54" t="str">
        <f aca="false">IFERROR(INDEX(电梯资料!$V$5:$V$604,MATCH(70,_自动清单!$E$5:$E$604,0)),"")</f>
        <v/>
      </c>
      <c r="J138" s="58" t="str">
        <f aca="false">IF(COUNT($G138:$I138)=0,"",MIN($G138:$I138))</f>
        <v/>
      </c>
      <c r="K138" s="55" t="str">
        <f aca="true">IF(N($J138)=0,"",$J138-TODAY())</f>
        <v/>
      </c>
      <c r="L138" s="56" t="str">
        <f aca="false">IF($A138="","",TRIM(IF(IFERROR(INDEX(电梯资料!$AA$5:$AA$604,MATCH(70,_自动清单!$E$5:$E$604,0))&amp;"","")&lt;&gt;"","年检 "&amp;IFERROR(INDEX(电梯资料!$AA$5:$AA$604,MATCH(70,_自动清单!$E$5:$E$604,0))&amp;"",""),"")&amp;IF(AND(IFERROR(INDEX(电梯资料!$AA$5:$AA$604,MATCH(70,_自动清单!$E$5:$E$604,0))&amp;"","")&lt;&gt;"",IFERROR(INDEX(电梯资料!$AB$5:$AB$604,MATCH(70,_自动清单!$E$5:$E$604,0))&amp;"","")&lt;&gt;"")," ｜ ","")&amp;IF(IFERROR(INDEX(电梯资料!$AB$5:$AB$604,MATCH(70,_自动清单!$E$5:$E$604,0))&amp;"","")&lt;&gt;"","校验 "&amp;IFERROR(INDEX(电梯资料!$AB$5:$AB$604,MATCH(70,_自动清单!$E$5:$E$604,0))&amp;"",""),"")))</f>
        <v/>
      </c>
    </row>
    <row r="139" customFormat="false" ht="15" hidden="false" customHeight="false" outlineLevel="0" collapsed="false">
      <c r="A139" s="29" t="str">
        <f aca="false">IF(71&gt;_自动清单!$E$604,"",71)</f>
        <v/>
      </c>
      <c r="B139" s="16" t="str">
        <f aca="false">IFERROR(INDEX(电梯资料!$C$5:$C$604,MATCH(71,_自动清单!$E$5:$E$604,0))&amp;"","")</f>
        <v/>
      </c>
      <c r="C139" s="16" t="str">
        <f aca="false">IFERROR(INDEX(电梯资料!$D$5:$D$604,MATCH(71,_自动清单!$E$5:$E$604,0))&amp;"","")</f>
        <v/>
      </c>
      <c r="D139" s="53" t="str">
        <f aca="false">IFERROR(INDEX(电梯资料!$Q$5:$Q$604,MATCH(71,_自动清单!$E$5:$E$604,0))&amp;"","")</f>
        <v/>
      </c>
      <c r="E139" s="53" t="str">
        <f aca="false">IFERROR(INDEX(电梯资料!$R$5:$R$604,MATCH(71,_自动清单!$E$5:$E$604,0))&amp;"","")</f>
        <v/>
      </c>
      <c r="F139" s="53" t="str">
        <f aca="false">IFERROR(INDEX(电梯资料!$W$5:$W$604,MATCH(71,_自动清单!$E$5:$E$604,0))&amp;"","")</f>
        <v/>
      </c>
      <c r="G139" s="54" t="str">
        <f aca="false">IFERROR(INDEX(电梯资料!$T$5:$T$604,MATCH(71,_自动清单!$E$5:$E$604,0)),"")</f>
        <v/>
      </c>
      <c r="H139" s="54" t="str">
        <f aca="false">IFERROR(INDEX(电梯资料!$U$5:$U$604,MATCH(71,_自动清单!$E$5:$E$604,0)),"")</f>
        <v/>
      </c>
      <c r="I139" s="54" t="str">
        <f aca="false">IFERROR(INDEX(电梯资料!$V$5:$V$604,MATCH(71,_自动清单!$E$5:$E$604,0)),"")</f>
        <v/>
      </c>
      <c r="J139" s="58" t="str">
        <f aca="false">IF(COUNT($G139:$I139)=0,"",MIN($G139:$I139))</f>
        <v/>
      </c>
      <c r="K139" s="55" t="str">
        <f aca="true">IF(N($J139)=0,"",$J139-TODAY())</f>
        <v/>
      </c>
      <c r="L139" s="56" t="str">
        <f aca="false">IF($A139="","",TRIM(IF(IFERROR(INDEX(电梯资料!$AA$5:$AA$604,MATCH(71,_自动清单!$E$5:$E$604,0))&amp;"","")&lt;&gt;"","年检 "&amp;IFERROR(INDEX(电梯资料!$AA$5:$AA$604,MATCH(71,_自动清单!$E$5:$E$604,0))&amp;"",""),"")&amp;IF(AND(IFERROR(INDEX(电梯资料!$AA$5:$AA$604,MATCH(71,_自动清单!$E$5:$E$604,0))&amp;"","")&lt;&gt;"",IFERROR(INDEX(电梯资料!$AB$5:$AB$604,MATCH(71,_自动清单!$E$5:$E$604,0))&amp;"","")&lt;&gt;"")," ｜ ","")&amp;IF(IFERROR(INDEX(电梯资料!$AB$5:$AB$604,MATCH(71,_自动清单!$E$5:$E$604,0))&amp;"","")&lt;&gt;"","校验 "&amp;IFERROR(INDEX(电梯资料!$AB$5:$AB$604,MATCH(71,_自动清单!$E$5:$E$604,0))&amp;"",""),"")))</f>
        <v/>
      </c>
    </row>
    <row r="140" customFormat="false" ht="15" hidden="false" customHeight="false" outlineLevel="0" collapsed="false">
      <c r="A140" s="29" t="str">
        <f aca="false">IF(72&gt;_自动清单!$E$604,"",72)</f>
        <v/>
      </c>
      <c r="B140" s="16" t="str">
        <f aca="false">IFERROR(INDEX(电梯资料!$C$5:$C$604,MATCH(72,_自动清单!$E$5:$E$604,0))&amp;"","")</f>
        <v/>
      </c>
      <c r="C140" s="16" t="str">
        <f aca="false">IFERROR(INDEX(电梯资料!$D$5:$D$604,MATCH(72,_自动清单!$E$5:$E$604,0))&amp;"","")</f>
        <v/>
      </c>
      <c r="D140" s="53" t="str">
        <f aca="false">IFERROR(INDEX(电梯资料!$Q$5:$Q$604,MATCH(72,_自动清单!$E$5:$E$604,0))&amp;"","")</f>
        <v/>
      </c>
      <c r="E140" s="53" t="str">
        <f aca="false">IFERROR(INDEX(电梯资料!$R$5:$R$604,MATCH(72,_自动清单!$E$5:$E$604,0))&amp;"","")</f>
        <v/>
      </c>
      <c r="F140" s="53" t="str">
        <f aca="false">IFERROR(INDEX(电梯资料!$W$5:$W$604,MATCH(72,_自动清单!$E$5:$E$604,0))&amp;"","")</f>
        <v/>
      </c>
      <c r="G140" s="54" t="str">
        <f aca="false">IFERROR(INDEX(电梯资料!$T$5:$T$604,MATCH(72,_自动清单!$E$5:$E$604,0)),"")</f>
        <v/>
      </c>
      <c r="H140" s="54" t="str">
        <f aca="false">IFERROR(INDEX(电梯资料!$U$5:$U$604,MATCH(72,_自动清单!$E$5:$E$604,0)),"")</f>
        <v/>
      </c>
      <c r="I140" s="54" t="str">
        <f aca="false">IFERROR(INDEX(电梯资料!$V$5:$V$604,MATCH(72,_自动清单!$E$5:$E$604,0)),"")</f>
        <v/>
      </c>
      <c r="J140" s="58" t="str">
        <f aca="false">IF(COUNT($G140:$I140)=0,"",MIN($G140:$I140))</f>
        <v/>
      </c>
      <c r="K140" s="55" t="str">
        <f aca="true">IF(N($J140)=0,"",$J140-TODAY())</f>
        <v/>
      </c>
      <c r="L140" s="56" t="str">
        <f aca="false">IF($A140="","",TRIM(IF(IFERROR(INDEX(电梯资料!$AA$5:$AA$604,MATCH(72,_自动清单!$E$5:$E$604,0))&amp;"","")&lt;&gt;"","年检 "&amp;IFERROR(INDEX(电梯资料!$AA$5:$AA$604,MATCH(72,_自动清单!$E$5:$E$604,0))&amp;"",""),"")&amp;IF(AND(IFERROR(INDEX(电梯资料!$AA$5:$AA$604,MATCH(72,_自动清单!$E$5:$E$604,0))&amp;"","")&lt;&gt;"",IFERROR(INDEX(电梯资料!$AB$5:$AB$604,MATCH(72,_自动清单!$E$5:$E$604,0))&amp;"","")&lt;&gt;"")," ｜ ","")&amp;IF(IFERROR(INDEX(电梯资料!$AB$5:$AB$604,MATCH(72,_自动清单!$E$5:$E$604,0))&amp;"","")&lt;&gt;"","校验 "&amp;IFERROR(INDEX(电梯资料!$AB$5:$AB$604,MATCH(72,_自动清单!$E$5:$E$604,0))&amp;"",""),"")))</f>
        <v/>
      </c>
    </row>
    <row r="141" customFormat="false" ht="15" hidden="false" customHeight="false" outlineLevel="0" collapsed="false">
      <c r="A141" s="29" t="str">
        <f aca="false">IF(73&gt;_自动清单!$E$604,"",73)</f>
        <v/>
      </c>
      <c r="B141" s="16" t="str">
        <f aca="false">IFERROR(INDEX(电梯资料!$C$5:$C$604,MATCH(73,_自动清单!$E$5:$E$604,0))&amp;"","")</f>
        <v/>
      </c>
      <c r="C141" s="16" t="str">
        <f aca="false">IFERROR(INDEX(电梯资料!$D$5:$D$604,MATCH(73,_自动清单!$E$5:$E$604,0))&amp;"","")</f>
        <v/>
      </c>
      <c r="D141" s="53" t="str">
        <f aca="false">IFERROR(INDEX(电梯资料!$Q$5:$Q$604,MATCH(73,_自动清单!$E$5:$E$604,0))&amp;"","")</f>
        <v/>
      </c>
      <c r="E141" s="53" t="str">
        <f aca="false">IFERROR(INDEX(电梯资料!$R$5:$R$604,MATCH(73,_自动清单!$E$5:$E$604,0))&amp;"","")</f>
        <v/>
      </c>
      <c r="F141" s="53" t="str">
        <f aca="false">IFERROR(INDEX(电梯资料!$W$5:$W$604,MATCH(73,_自动清单!$E$5:$E$604,0))&amp;"","")</f>
        <v/>
      </c>
      <c r="G141" s="54" t="str">
        <f aca="false">IFERROR(INDEX(电梯资料!$T$5:$T$604,MATCH(73,_自动清单!$E$5:$E$604,0)),"")</f>
        <v/>
      </c>
      <c r="H141" s="54" t="str">
        <f aca="false">IFERROR(INDEX(电梯资料!$U$5:$U$604,MATCH(73,_自动清单!$E$5:$E$604,0)),"")</f>
        <v/>
      </c>
      <c r="I141" s="54" t="str">
        <f aca="false">IFERROR(INDEX(电梯资料!$V$5:$V$604,MATCH(73,_自动清单!$E$5:$E$604,0)),"")</f>
        <v/>
      </c>
      <c r="J141" s="58" t="str">
        <f aca="false">IF(COUNT($G141:$I141)=0,"",MIN($G141:$I141))</f>
        <v/>
      </c>
      <c r="K141" s="55" t="str">
        <f aca="true">IF(N($J141)=0,"",$J141-TODAY())</f>
        <v/>
      </c>
      <c r="L141" s="56" t="str">
        <f aca="false">IF($A141="","",TRIM(IF(IFERROR(INDEX(电梯资料!$AA$5:$AA$604,MATCH(73,_自动清单!$E$5:$E$604,0))&amp;"","")&lt;&gt;"","年检 "&amp;IFERROR(INDEX(电梯资料!$AA$5:$AA$604,MATCH(73,_自动清单!$E$5:$E$604,0))&amp;"",""),"")&amp;IF(AND(IFERROR(INDEX(电梯资料!$AA$5:$AA$604,MATCH(73,_自动清单!$E$5:$E$604,0))&amp;"","")&lt;&gt;"",IFERROR(INDEX(电梯资料!$AB$5:$AB$604,MATCH(73,_自动清单!$E$5:$E$604,0))&amp;"","")&lt;&gt;"")," ｜ ","")&amp;IF(IFERROR(INDEX(电梯资料!$AB$5:$AB$604,MATCH(73,_自动清单!$E$5:$E$604,0))&amp;"","")&lt;&gt;"","校验 "&amp;IFERROR(INDEX(电梯资料!$AB$5:$AB$604,MATCH(73,_自动清单!$E$5:$E$604,0))&amp;"",""),"")))</f>
        <v/>
      </c>
    </row>
    <row r="142" customFormat="false" ht="15" hidden="false" customHeight="false" outlineLevel="0" collapsed="false">
      <c r="A142" s="29" t="str">
        <f aca="false">IF(74&gt;_自动清单!$E$604,"",74)</f>
        <v/>
      </c>
      <c r="B142" s="16" t="str">
        <f aca="false">IFERROR(INDEX(电梯资料!$C$5:$C$604,MATCH(74,_自动清单!$E$5:$E$604,0))&amp;"","")</f>
        <v/>
      </c>
      <c r="C142" s="16" t="str">
        <f aca="false">IFERROR(INDEX(电梯资料!$D$5:$D$604,MATCH(74,_自动清单!$E$5:$E$604,0))&amp;"","")</f>
        <v/>
      </c>
      <c r="D142" s="53" t="str">
        <f aca="false">IFERROR(INDEX(电梯资料!$Q$5:$Q$604,MATCH(74,_自动清单!$E$5:$E$604,0))&amp;"","")</f>
        <v/>
      </c>
      <c r="E142" s="53" t="str">
        <f aca="false">IFERROR(INDEX(电梯资料!$R$5:$R$604,MATCH(74,_自动清单!$E$5:$E$604,0))&amp;"","")</f>
        <v/>
      </c>
      <c r="F142" s="53" t="str">
        <f aca="false">IFERROR(INDEX(电梯资料!$W$5:$W$604,MATCH(74,_自动清单!$E$5:$E$604,0))&amp;"","")</f>
        <v/>
      </c>
      <c r="G142" s="54" t="str">
        <f aca="false">IFERROR(INDEX(电梯资料!$T$5:$T$604,MATCH(74,_自动清单!$E$5:$E$604,0)),"")</f>
        <v/>
      </c>
      <c r="H142" s="54" t="str">
        <f aca="false">IFERROR(INDEX(电梯资料!$U$5:$U$604,MATCH(74,_自动清单!$E$5:$E$604,0)),"")</f>
        <v/>
      </c>
      <c r="I142" s="54" t="str">
        <f aca="false">IFERROR(INDEX(电梯资料!$V$5:$V$604,MATCH(74,_自动清单!$E$5:$E$604,0)),"")</f>
        <v/>
      </c>
      <c r="J142" s="58" t="str">
        <f aca="false">IF(COUNT($G142:$I142)=0,"",MIN($G142:$I142))</f>
        <v/>
      </c>
      <c r="K142" s="55" t="str">
        <f aca="true">IF(N($J142)=0,"",$J142-TODAY())</f>
        <v/>
      </c>
      <c r="L142" s="56" t="str">
        <f aca="false">IF($A142="","",TRIM(IF(IFERROR(INDEX(电梯资料!$AA$5:$AA$604,MATCH(74,_自动清单!$E$5:$E$604,0))&amp;"","")&lt;&gt;"","年检 "&amp;IFERROR(INDEX(电梯资料!$AA$5:$AA$604,MATCH(74,_自动清单!$E$5:$E$604,0))&amp;"",""),"")&amp;IF(AND(IFERROR(INDEX(电梯资料!$AA$5:$AA$604,MATCH(74,_自动清单!$E$5:$E$604,0))&amp;"","")&lt;&gt;"",IFERROR(INDEX(电梯资料!$AB$5:$AB$604,MATCH(74,_自动清单!$E$5:$E$604,0))&amp;"","")&lt;&gt;"")," ｜ ","")&amp;IF(IFERROR(INDEX(电梯资料!$AB$5:$AB$604,MATCH(74,_自动清单!$E$5:$E$604,0))&amp;"","")&lt;&gt;"","校验 "&amp;IFERROR(INDEX(电梯资料!$AB$5:$AB$604,MATCH(74,_自动清单!$E$5:$E$604,0))&amp;"",""),"")))</f>
        <v/>
      </c>
    </row>
    <row r="143" customFormat="false" ht="15" hidden="false" customHeight="false" outlineLevel="0" collapsed="false">
      <c r="A143" s="29" t="str">
        <f aca="false">IF(75&gt;_自动清单!$E$604,"",75)</f>
        <v/>
      </c>
      <c r="B143" s="16" t="str">
        <f aca="false">IFERROR(INDEX(电梯资料!$C$5:$C$604,MATCH(75,_自动清单!$E$5:$E$604,0))&amp;"","")</f>
        <v/>
      </c>
      <c r="C143" s="16" t="str">
        <f aca="false">IFERROR(INDEX(电梯资料!$D$5:$D$604,MATCH(75,_自动清单!$E$5:$E$604,0))&amp;"","")</f>
        <v/>
      </c>
      <c r="D143" s="53" t="str">
        <f aca="false">IFERROR(INDEX(电梯资料!$Q$5:$Q$604,MATCH(75,_自动清单!$E$5:$E$604,0))&amp;"","")</f>
        <v/>
      </c>
      <c r="E143" s="53" t="str">
        <f aca="false">IFERROR(INDEX(电梯资料!$R$5:$R$604,MATCH(75,_自动清单!$E$5:$E$604,0))&amp;"","")</f>
        <v/>
      </c>
      <c r="F143" s="53" t="str">
        <f aca="false">IFERROR(INDEX(电梯资料!$W$5:$W$604,MATCH(75,_自动清单!$E$5:$E$604,0))&amp;"","")</f>
        <v/>
      </c>
      <c r="G143" s="54" t="str">
        <f aca="false">IFERROR(INDEX(电梯资料!$T$5:$T$604,MATCH(75,_自动清单!$E$5:$E$604,0)),"")</f>
        <v/>
      </c>
      <c r="H143" s="54" t="str">
        <f aca="false">IFERROR(INDEX(电梯资料!$U$5:$U$604,MATCH(75,_自动清单!$E$5:$E$604,0)),"")</f>
        <v/>
      </c>
      <c r="I143" s="54" t="str">
        <f aca="false">IFERROR(INDEX(电梯资料!$V$5:$V$604,MATCH(75,_自动清单!$E$5:$E$604,0)),"")</f>
        <v/>
      </c>
      <c r="J143" s="58" t="str">
        <f aca="false">IF(COUNT($G143:$I143)=0,"",MIN($G143:$I143))</f>
        <v/>
      </c>
      <c r="K143" s="55" t="str">
        <f aca="true">IF(N($J143)=0,"",$J143-TODAY())</f>
        <v/>
      </c>
      <c r="L143" s="56" t="str">
        <f aca="false">IF($A143="","",TRIM(IF(IFERROR(INDEX(电梯资料!$AA$5:$AA$604,MATCH(75,_自动清单!$E$5:$E$604,0))&amp;"","")&lt;&gt;"","年检 "&amp;IFERROR(INDEX(电梯资料!$AA$5:$AA$604,MATCH(75,_自动清单!$E$5:$E$604,0))&amp;"",""),"")&amp;IF(AND(IFERROR(INDEX(电梯资料!$AA$5:$AA$604,MATCH(75,_自动清单!$E$5:$E$604,0))&amp;"","")&lt;&gt;"",IFERROR(INDEX(电梯资料!$AB$5:$AB$604,MATCH(75,_自动清单!$E$5:$E$604,0))&amp;"","")&lt;&gt;"")," ｜ ","")&amp;IF(IFERROR(INDEX(电梯资料!$AB$5:$AB$604,MATCH(75,_自动清单!$E$5:$E$604,0))&amp;"","")&lt;&gt;"","校验 "&amp;IFERROR(INDEX(电梯资料!$AB$5:$AB$604,MATCH(75,_自动清单!$E$5:$E$604,0))&amp;"",""),"")))</f>
        <v/>
      </c>
    </row>
    <row r="144" customFormat="false" ht="15" hidden="false" customHeight="false" outlineLevel="0" collapsed="false">
      <c r="A144" s="29" t="str">
        <f aca="false">IF(76&gt;_自动清单!$E$604,"",76)</f>
        <v/>
      </c>
      <c r="B144" s="16" t="str">
        <f aca="false">IFERROR(INDEX(电梯资料!$C$5:$C$604,MATCH(76,_自动清单!$E$5:$E$604,0))&amp;"","")</f>
        <v/>
      </c>
      <c r="C144" s="16" t="str">
        <f aca="false">IFERROR(INDEX(电梯资料!$D$5:$D$604,MATCH(76,_自动清单!$E$5:$E$604,0))&amp;"","")</f>
        <v/>
      </c>
      <c r="D144" s="53" t="str">
        <f aca="false">IFERROR(INDEX(电梯资料!$Q$5:$Q$604,MATCH(76,_自动清单!$E$5:$E$604,0))&amp;"","")</f>
        <v/>
      </c>
      <c r="E144" s="53" t="str">
        <f aca="false">IFERROR(INDEX(电梯资料!$R$5:$R$604,MATCH(76,_自动清单!$E$5:$E$604,0))&amp;"","")</f>
        <v/>
      </c>
      <c r="F144" s="53" t="str">
        <f aca="false">IFERROR(INDEX(电梯资料!$W$5:$W$604,MATCH(76,_自动清单!$E$5:$E$604,0))&amp;"","")</f>
        <v/>
      </c>
      <c r="G144" s="54" t="str">
        <f aca="false">IFERROR(INDEX(电梯资料!$T$5:$T$604,MATCH(76,_自动清单!$E$5:$E$604,0)),"")</f>
        <v/>
      </c>
      <c r="H144" s="54" t="str">
        <f aca="false">IFERROR(INDEX(电梯资料!$U$5:$U$604,MATCH(76,_自动清单!$E$5:$E$604,0)),"")</f>
        <v/>
      </c>
      <c r="I144" s="54" t="str">
        <f aca="false">IFERROR(INDEX(电梯资料!$V$5:$V$604,MATCH(76,_自动清单!$E$5:$E$604,0)),"")</f>
        <v/>
      </c>
      <c r="J144" s="58" t="str">
        <f aca="false">IF(COUNT($G144:$I144)=0,"",MIN($G144:$I144))</f>
        <v/>
      </c>
      <c r="K144" s="55" t="str">
        <f aca="true">IF(N($J144)=0,"",$J144-TODAY())</f>
        <v/>
      </c>
      <c r="L144" s="56" t="str">
        <f aca="false">IF($A144="","",TRIM(IF(IFERROR(INDEX(电梯资料!$AA$5:$AA$604,MATCH(76,_自动清单!$E$5:$E$604,0))&amp;"","")&lt;&gt;"","年检 "&amp;IFERROR(INDEX(电梯资料!$AA$5:$AA$604,MATCH(76,_自动清单!$E$5:$E$604,0))&amp;"",""),"")&amp;IF(AND(IFERROR(INDEX(电梯资料!$AA$5:$AA$604,MATCH(76,_自动清单!$E$5:$E$604,0))&amp;"","")&lt;&gt;"",IFERROR(INDEX(电梯资料!$AB$5:$AB$604,MATCH(76,_自动清单!$E$5:$E$604,0))&amp;"","")&lt;&gt;"")," ｜ ","")&amp;IF(IFERROR(INDEX(电梯资料!$AB$5:$AB$604,MATCH(76,_自动清单!$E$5:$E$604,0))&amp;"","")&lt;&gt;"","校验 "&amp;IFERROR(INDEX(电梯资料!$AB$5:$AB$604,MATCH(76,_自动清单!$E$5:$E$604,0))&amp;"",""),"")))</f>
        <v/>
      </c>
    </row>
    <row r="145" customFormat="false" ht="15" hidden="false" customHeight="false" outlineLevel="0" collapsed="false">
      <c r="A145" s="29" t="str">
        <f aca="false">IF(77&gt;_自动清单!$E$604,"",77)</f>
        <v/>
      </c>
      <c r="B145" s="16" t="str">
        <f aca="false">IFERROR(INDEX(电梯资料!$C$5:$C$604,MATCH(77,_自动清单!$E$5:$E$604,0))&amp;"","")</f>
        <v/>
      </c>
      <c r="C145" s="16" t="str">
        <f aca="false">IFERROR(INDEX(电梯资料!$D$5:$D$604,MATCH(77,_自动清单!$E$5:$E$604,0))&amp;"","")</f>
        <v/>
      </c>
      <c r="D145" s="53" t="str">
        <f aca="false">IFERROR(INDEX(电梯资料!$Q$5:$Q$604,MATCH(77,_自动清单!$E$5:$E$604,0))&amp;"","")</f>
        <v/>
      </c>
      <c r="E145" s="53" t="str">
        <f aca="false">IFERROR(INDEX(电梯资料!$R$5:$R$604,MATCH(77,_自动清单!$E$5:$E$604,0))&amp;"","")</f>
        <v/>
      </c>
      <c r="F145" s="53" t="str">
        <f aca="false">IFERROR(INDEX(电梯资料!$W$5:$W$604,MATCH(77,_自动清单!$E$5:$E$604,0))&amp;"","")</f>
        <v/>
      </c>
      <c r="G145" s="54" t="str">
        <f aca="false">IFERROR(INDEX(电梯资料!$T$5:$T$604,MATCH(77,_自动清单!$E$5:$E$604,0)),"")</f>
        <v/>
      </c>
      <c r="H145" s="54" t="str">
        <f aca="false">IFERROR(INDEX(电梯资料!$U$5:$U$604,MATCH(77,_自动清单!$E$5:$E$604,0)),"")</f>
        <v/>
      </c>
      <c r="I145" s="54" t="str">
        <f aca="false">IFERROR(INDEX(电梯资料!$V$5:$V$604,MATCH(77,_自动清单!$E$5:$E$604,0)),"")</f>
        <v/>
      </c>
      <c r="J145" s="58" t="str">
        <f aca="false">IF(COUNT($G145:$I145)=0,"",MIN($G145:$I145))</f>
        <v/>
      </c>
      <c r="K145" s="55" t="str">
        <f aca="true">IF(N($J145)=0,"",$J145-TODAY())</f>
        <v/>
      </c>
      <c r="L145" s="56" t="str">
        <f aca="false">IF($A145="","",TRIM(IF(IFERROR(INDEX(电梯资料!$AA$5:$AA$604,MATCH(77,_自动清单!$E$5:$E$604,0))&amp;"","")&lt;&gt;"","年检 "&amp;IFERROR(INDEX(电梯资料!$AA$5:$AA$604,MATCH(77,_自动清单!$E$5:$E$604,0))&amp;"",""),"")&amp;IF(AND(IFERROR(INDEX(电梯资料!$AA$5:$AA$604,MATCH(77,_自动清单!$E$5:$E$604,0))&amp;"","")&lt;&gt;"",IFERROR(INDEX(电梯资料!$AB$5:$AB$604,MATCH(77,_自动清单!$E$5:$E$604,0))&amp;"","")&lt;&gt;"")," ｜ ","")&amp;IF(IFERROR(INDEX(电梯资料!$AB$5:$AB$604,MATCH(77,_自动清单!$E$5:$E$604,0))&amp;"","")&lt;&gt;"","校验 "&amp;IFERROR(INDEX(电梯资料!$AB$5:$AB$604,MATCH(77,_自动清单!$E$5:$E$604,0))&amp;"",""),"")))</f>
        <v/>
      </c>
    </row>
    <row r="146" customFormat="false" ht="15" hidden="false" customHeight="false" outlineLevel="0" collapsed="false">
      <c r="A146" s="29" t="str">
        <f aca="false">IF(78&gt;_自动清单!$E$604,"",78)</f>
        <v/>
      </c>
      <c r="B146" s="16" t="str">
        <f aca="false">IFERROR(INDEX(电梯资料!$C$5:$C$604,MATCH(78,_自动清单!$E$5:$E$604,0))&amp;"","")</f>
        <v/>
      </c>
      <c r="C146" s="16" t="str">
        <f aca="false">IFERROR(INDEX(电梯资料!$D$5:$D$604,MATCH(78,_自动清单!$E$5:$E$604,0))&amp;"","")</f>
        <v/>
      </c>
      <c r="D146" s="53" t="str">
        <f aca="false">IFERROR(INDEX(电梯资料!$Q$5:$Q$604,MATCH(78,_自动清单!$E$5:$E$604,0))&amp;"","")</f>
        <v/>
      </c>
      <c r="E146" s="53" t="str">
        <f aca="false">IFERROR(INDEX(电梯资料!$R$5:$R$604,MATCH(78,_自动清单!$E$5:$E$604,0))&amp;"","")</f>
        <v/>
      </c>
      <c r="F146" s="53" t="str">
        <f aca="false">IFERROR(INDEX(电梯资料!$W$5:$W$604,MATCH(78,_自动清单!$E$5:$E$604,0))&amp;"","")</f>
        <v/>
      </c>
      <c r="G146" s="54" t="str">
        <f aca="false">IFERROR(INDEX(电梯资料!$T$5:$T$604,MATCH(78,_自动清单!$E$5:$E$604,0)),"")</f>
        <v/>
      </c>
      <c r="H146" s="54" t="str">
        <f aca="false">IFERROR(INDEX(电梯资料!$U$5:$U$604,MATCH(78,_自动清单!$E$5:$E$604,0)),"")</f>
        <v/>
      </c>
      <c r="I146" s="54" t="str">
        <f aca="false">IFERROR(INDEX(电梯资料!$V$5:$V$604,MATCH(78,_自动清单!$E$5:$E$604,0)),"")</f>
        <v/>
      </c>
      <c r="J146" s="58" t="str">
        <f aca="false">IF(COUNT($G146:$I146)=0,"",MIN($G146:$I146))</f>
        <v/>
      </c>
      <c r="K146" s="55" t="str">
        <f aca="true">IF(N($J146)=0,"",$J146-TODAY())</f>
        <v/>
      </c>
      <c r="L146" s="56" t="str">
        <f aca="false">IF($A146="","",TRIM(IF(IFERROR(INDEX(电梯资料!$AA$5:$AA$604,MATCH(78,_自动清单!$E$5:$E$604,0))&amp;"","")&lt;&gt;"","年检 "&amp;IFERROR(INDEX(电梯资料!$AA$5:$AA$604,MATCH(78,_自动清单!$E$5:$E$604,0))&amp;"",""),"")&amp;IF(AND(IFERROR(INDEX(电梯资料!$AA$5:$AA$604,MATCH(78,_自动清单!$E$5:$E$604,0))&amp;"","")&lt;&gt;"",IFERROR(INDEX(电梯资料!$AB$5:$AB$604,MATCH(78,_自动清单!$E$5:$E$604,0))&amp;"","")&lt;&gt;"")," ｜ ","")&amp;IF(IFERROR(INDEX(电梯资料!$AB$5:$AB$604,MATCH(78,_自动清单!$E$5:$E$604,0))&amp;"","")&lt;&gt;"","校验 "&amp;IFERROR(INDEX(电梯资料!$AB$5:$AB$604,MATCH(78,_自动清单!$E$5:$E$604,0))&amp;"",""),"")))</f>
        <v/>
      </c>
    </row>
    <row r="147" customFormat="false" ht="15" hidden="false" customHeight="false" outlineLevel="0" collapsed="false">
      <c r="A147" s="29" t="str">
        <f aca="false">IF(79&gt;_自动清单!$E$604,"",79)</f>
        <v/>
      </c>
      <c r="B147" s="16" t="str">
        <f aca="false">IFERROR(INDEX(电梯资料!$C$5:$C$604,MATCH(79,_自动清单!$E$5:$E$604,0))&amp;"","")</f>
        <v/>
      </c>
      <c r="C147" s="16" t="str">
        <f aca="false">IFERROR(INDEX(电梯资料!$D$5:$D$604,MATCH(79,_自动清单!$E$5:$E$604,0))&amp;"","")</f>
        <v/>
      </c>
      <c r="D147" s="53" t="str">
        <f aca="false">IFERROR(INDEX(电梯资料!$Q$5:$Q$604,MATCH(79,_自动清单!$E$5:$E$604,0))&amp;"","")</f>
        <v/>
      </c>
      <c r="E147" s="53" t="str">
        <f aca="false">IFERROR(INDEX(电梯资料!$R$5:$R$604,MATCH(79,_自动清单!$E$5:$E$604,0))&amp;"","")</f>
        <v/>
      </c>
      <c r="F147" s="53" t="str">
        <f aca="false">IFERROR(INDEX(电梯资料!$W$5:$W$604,MATCH(79,_自动清单!$E$5:$E$604,0))&amp;"","")</f>
        <v/>
      </c>
      <c r="G147" s="54" t="str">
        <f aca="false">IFERROR(INDEX(电梯资料!$T$5:$T$604,MATCH(79,_自动清单!$E$5:$E$604,0)),"")</f>
        <v/>
      </c>
      <c r="H147" s="54" t="str">
        <f aca="false">IFERROR(INDEX(电梯资料!$U$5:$U$604,MATCH(79,_自动清单!$E$5:$E$604,0)),"")</f>
        <v/>
      </c>
      <c r="I147" s="54" t="str">
        <f aca="false">IFERROR(INDEX(电梯资料!$V$5:$V$604,MATCH(79,_自动清单!$E$5:$E$604,0)),"")</f>
        <v/>
      </c>
      <c r="J147" s="58" t="str">
        <f aca="false">IF(COUNT($G147:$I147)=0,"",MIN($G147:$I147))</f>
        <v/>
      </c>
      <c r="K147" s="55" t="str">
        <f aca="true">IF(N($J147)=0,"",$J147-TODAY())</f>
        <v/>
      </c>
      <c r="L147" s="56" t="str">
        <f aca="false">IF($A147="","",TRIM(IF(IFERROR(INDEX(电梯资料!$AA$5:$AA$604,MATCH(79,_自动清单!$E$5:$E$604,0))&amp;"","")&lt;&gt;"","年检 "&amp;IFERROR(INDEX(电梯资料!$AA$5:$AA$604,MATCH(79,_自动清单!$E$5:$E$604,0))&amp;"",""),"")&amp;IF(AND(IFERROR(INDEX(电梯资料!$AA$5:$AA$604,MATCH(79,_自动清单!$E$5:$E$604,0))&amp;"","")&lt;&gt;"",IFERROR(INDEX(电梯资料!$AB$5:$AB$604,MATCH(79,_自动清单!$E$5:$E$604,0))&amp;"","")&lt;&gt;"")," ｜ ","")&amp;IF(IFERROR(INDEX(电梯资料!$AB$5:$AB$604,MATCH(79,_自动清单!$E$5:$E$604,0))&amp;"","")&lt;&gt;"","校验 "&amp;IFERROR(INDEX(电梯资料!$AB$5:$AB$604,MATCH(79,_自动清单!$E$5:$E$604,0))&amp;"",""),"")))</f>
        <v/>
      </c>
    </row>
    <row r="148" customFormat="false" ht="15" hidden="false" customHeight="false" outlineLevel="0" collapsed="false">
      <c r="A148" s="29" t="str">
        <f aca="false">IF(80&gt;_自动清单!$E$604,"",80)</f>
        <v/>
      </c>
      <c r="B148" s="16" t="str">
        <f aca="false">IFERROR(INDEX(电梯资料!$C$5:$C$604,MATCH(80,_自动清单!$E$5:$E$604,0))&amp;"","")</f>
        <v/>
      </c>
      <c r="C148" s="16" t="str">
        <f aca="false">IFERROR(INDEX(电梯资料!$D$5:$D$604,MATCH(80,_自动清单!$E$5:$E$604,0))&amp;"","")</f>
        <v/>
      </c>
      <c r="D148" s="53" t="str">
        <f aca="false">IFERROR(INDEX(电梯资料!$Q$5:$Q$604,MATCH(80,_自动清单!$E$5:$E$604,0))&amp;"","")</f>
        <v/>
      </c>
      <c r="E148" s="53" t="str">
        <f aca="false">IFERROR(INDEX(电梯资料!$R$5:$R$604,MATCH(80,_自动清单!$E$5:$E$604,0))&amp;"","")</f>
        <v/>
      </c>
      <c r="F148" s="53" t="str">
        <f aca="false">IFERROR(INDEX(电梯资料!$W$5:$W$604,MATCH(80,_自动清单!$E$5:$E$604,0))&amp;"","")</f>
        <v/>
      </c>
      <c r="G148" s="54" t="str">
        <f aca="false">IFERROR(INDEX(电梯资料!$T$5:$T$604,MATCH(80,_自动清单!$E$5:$E$604,0)),"")</f>
        <v/>
      </c>
      <c r="H148" s="54" t="str">
        <f aca="false">IFERROR(INDEX(电梯资料!$U$5:$U$604,MATCH(80,_自动清单!$E$5:$E$604,0)),"")</f>
        <v/>
      </c>
      <c r="I148" s="54" t="str">
        <f aca="false">IFERROR(INDEX(电梯资料!$V$5:$V$604,MATCH(80,_自动清单!$E$5:$E$604,0)),"")</f>
        <v/>
      </c>
      <c r="J148" s="58" t="str">
        <f aca="false">IF(COUNT($G148:$I148)=0,"",MIN($G148:$I148))</f>
        <v/>
      </c>
      <c r="K148" s="55" t="str">
        <f aca="true">IF(N($J148)=0,"",$J148-TODAY())</f>
        <v/>
      </c>
      <c r="L148" s="56" t="str">
        <f aca="false">IF($A148="","",TRIM(IF(IFERROR(INDEX(电梯资料!$AA$5:$AA$604,MATCH(80,_自动清单!$E$5:$E$604,0))&amp;"","")&lt;&gt;"","年检 "&amp;IFERROR(INDEX(电梯资料!$AA$5:$AA$604,MATCH(80,_自动清单!$E$5:$E$604,0))&amp;"",""),"")&amp;IF(AND(IFERROR(INDEX(电梯资料!$AA$5:$AA$604,MATCH(80,_自动清单!$E$5:$E$604,0))&amp;"","")&lt;&gt;"",IFERROR(INDEX(电梯资料!$AB$5:$AB$604,MATCH(80,_自动清单!$E$5:$E$604,0))&amp;"","")&lt;&gt;"")," ｜ ","")&amp;IF(IFERROR(INDEX(电梯资料!$AB$5:$AB$604,MATCH(80,_自动清单!$E$5:$E$604,0))&amp;"","")&lt;&gt;"","校验 "&amp;IFERROR(INDEX(电梯资料!$AB$5:$AB$604,MATCH(80,_自动清单!$E$5:$E$604,0))&amp;"",""),"")))</f>
        <v/>
      </c>
    </row>
    <row r="150" customFormat="false" ht="15" hidden="false" customHeight="false" outlineLevel="0" collapsed="false">
      <c r="A150" s="17" t="str">
        <f aca="false">" ③ 免保（安装免保 / 技术免保 / 质保期内）到期该转收费 —— 共 "&amp;_自动清单!$H$604&amp;" 台（这里最多列 50 台）"</f>
        <v> ③ 免保（安装免保 / 技术免保 / 质保期内）到期该转收费 —— 共 4 台（这里最多列 50 台）</v>
      </c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</row>
    <row r="151" customFormat="false" ht="25.5" hidden="false" customHeight="true" outlineLevel="0" collapsed="false">
      <c r="A151" s="52" t="s">
        <v>199</v>
      </c>
      <c r="B151" s="52" t="s">
        <v>519</v>
      </c>
      <c r="C151" s="52" t="s">
        <v>520</v>
      </c>
      <c r="D151" s="52" t="s">
        <v>215</v>
      </c>
      <c r="E151" s="52" t="s">
        <v>216</v>
      </c>
      <c r="F151" s="52" t="s">
        <v>123</v>
      </c>
      <c r="G151" s="52" t="s">
        <v>224</v>
      </c>
      <c r="H151" s="52" t="s">
        <v>545</v>
      </c>
      <c r="I151" s="52" t="s">
        <v>536</v>
      </c>
      <c r="J151" s="52" t="s">
        <v>221</v>
      </c>
      <c r="K151" s="52" t="s">
        <v>551</v>
      </c>
      <c r="L151" s="52"/>
    </row>
    <row r="152" customFormat="false" ht="15" hidden="false" customHeight="false" outlineLevel="0" collapsed="false">
      <c r="A152" s="29" t="n">
        <f aca="false">IF(1&gt;_自动清单!$H$604,"",1)</f>
        <v>1</v>
      </c>
      <c r="B152" s="16" t="str">
        <f aca="false">IFERROR(INDEX(电梯资料!$C$5:$C$604,MATCH(1,_自动清单!$H$5:$H$604,0))&amp;"","")</f>
        <v>河南长江人民艺术剧院有限责任公司</v>
      </c>
      <c r="C152" s="16" t="str">
        <f aca="false">IFERROR(INDEX(电梯资料!$D$5:$D$604,MATCH(1,_自动清单!$H$5:$H$604,0))&amp;"","")</f>
        <v>长江人艺D8小剧场</v>
      </c>
      <c r="D152" s="53" t="str">
        <f aca="false">IFERROR(INDEX(电梯资料!$Q$5:$Q$604,MATCH(1,_自动清单!$H$5:$H$604,0))&amp;"","")</f>
        <v>F09193</v>
      </c>
      <c r="E152" s="53" t="str">
        <f aca="false">IFERROR(INDEX(电梯资料!$R$5:$R$604,MATCH(1,_自动清单!$H$5:$H$604,0))&amp;"","")</f>
        <v>3#客</v>
      </c>
      <c r="F152" s="53" t="str">
        <f aca="false">IFERROR(INDEX(电梯资料!$Y$5:$Y$604,MATCH(1,_自动清单!$H$5:$H$604,0))&amp;"","")</f>
        <v>安装免保</v>
      </c>
      <c r="G152" s="54" t="n">
        <f aca="false">IFERROR(INDEX(电梯资料!$Z$5:$Z$604,MATCH(1,_自动清单!$H$5:$H$604,0)),"")</f>
        <v>46356</v>
      </c>
      <c r="H152" s="55" t="n">
        <f aca="true">IF(N($G152)=0,"",$G152-TODAY())</f>
        <v>70</v>
      </c>
      <c r="I152" s="56" t="str">
        <f aca="false">IFERROR(INDEX(电梯资料!$AC$5:$AC$604,MATCH(1,_自动清单!$H$5:$H$604,0))&amp;"","")</f>
        <v>免保中</v>
      </c>
      <c r="J152" s="53" t="str">
        <f aca="false">IFERROR(INDEX(电梯资料!$W$5:$W$604,MATCH(1,_自动清单!$H$5:$H$604,0))&amp;"","")</f>
        <v>赵明</v>
      </c>
      <c r="K152" s="30" t="str">
        <f aca="false">IFERROR(INDEX(电梯资料!$AD$5:$AD$604,MATCH(1,_自动清单!$H$5:$H$604,0))&amp;"","")</f>
        <v>新装整机免保一年</v>
      </c>
      <c r="L152" s="35"/>
    </row>
    <row r="153" customFormat="false" ht="26.85" hidden="false" customHeight="false" outlineLevel="0" collapsed="false">
      <c r="A153" s="29" t="n">
        <f aca="false">IF(2&gt;_自动清单!$H$604,"",2)</f>
        <v>2</v>
      </c>
      <c r="B153" s="16" t="str">
        <f aca="false">IFERROR(INDEX(电梯资料!$C$5:$C$604,MATCH(2,_自动清单!$H$5:$H$604,0))&amp;"","")</f>
        <v>河南南远电缆科技有限公司</v>
      </c>
      <c r="C153" s="16" t="str">
        <f aca="false">IFERROR(INDEX(电梯资料!$D$5:$D$604,MATCH(2,_自动清单!$H$5:$H$604,0))&amp;"","")</f>
        <v>南远电缆</v>
      </c>
      <c r="D153" s="53" t="str">
        <f aca="false">IFERROR(INDEX(电梯资料!$Q$5:$Q$604,MATCH(2,_自动清单!$H$5:$H$604,0))&amp;"","")</f>
        <v>BLTSY22K/20366</v>
      </c>
      <c r="E153" s="53" t="str">
        <f aca="false">IFERROR(INDEX(电梯资料!$R$5:$R$604,MATCH(2,_自动清单!$H$5:$H$604,0))&amp;"","")</f>
        <v>L1#客梯</v>
      </c>
      <c r="F153" s="53" t="str">
        <f aca="false">IFERROR(INDEX(电梯资料!$Y$5:$Y$604,MATCH(2,_自动清单!$H$5:$H$604,0))&amp;"","")</f>
        <v>技术免保</v>
      </c>
      <c r="G153" s="54" t="n">
        <f aca="false">IFERROR(INDEX(电梯资料!$Z$5:$Z$604,MATCH(2,_自动清单!$H$5:$H$604,0)),"")</f>
        <v>46326</v>
      </c>
      <c r="H153" s="55" t="n">
        <f aca="true">IF(N($G153)=0,"",$G153-TODAY())</f>
        <v>40</v>
      </c>
      <c r="I153" s="56" t="str">
        <f aca="false">IFERROR(INDEX(电梯资料!$AC$5:$AC$604,MATCH(2,_自动清单!$H$5:$H$604,0))&amp;"","")</f>
        <v>免保还剩 40 天</v>
      </c>
      <c r="J153" s="53" t="str">
        <f aca="false">IFERROR(INDEX(电梯资料!$W$5:$W$604,MATCH(2,_自动清单!$H$5:$H$604,0))&amp;"","")</f>
        <v>刘洋</v>
      </c>
      <c r="K153" s="30" t="str">
        <f aca="false">IFERROR(INDEX(电梯资料!$AD$5:$AD$604,MATCH(2,_自动清单!$H$5:$H$604,0))&amp;"","")</f>
        <v>厂家质量问题，技术免保到 10 月底</v>
      </c>
      <c r="L153" s="35"/>
    </row>
    <row r="154" customFormat="false" ht="15" hidden="false" customHeight="false" outlineLevel="0" collapsed="false">
      <c r="A154" s="29" t="n">
        <f aca="false">IF(3&gt;_自动清单!$H$604,"",3)</f>
        <v>3</v>
      </c>
      <c r="B154" s="16" t="str">
        <f aca="false">IFERROR(INDEX(电梯资料!$C$5:$C$604,MATCH(3,_自动清单!$H$5:$H$604,0))&amp;"","")</f>
        <v>河南尊品益定意食品有限公司</v>
      </c>
      <c r="C154" s="16" t="str">
        <f aca="false">IFERROR(INDEX(电梯资料!$D$5:$D$604,MATCH(3,_自动清单!$H$5:$H$604,0))&amp;"","")</f>
        <v>意康意厂房</v>
      </c>
      <c r="D154" s="53" t="str">
        <f aca="false">IFERROR(INDEX(电梯资料!$Q$5:$Q$604,MATCH(3,_自动清单!$H$5:$H$604,0))&amp;"","")</f>
        <v>18K001875</v>
      </c>
      <c r="E154" s="53" t="str">
        <f aca="false">IFERROR(INDEX(电梯资料!$R$5:$R$604,MATCH(3,_自动清单!$H$5:$H$604,0))&amp;"","")</f>
        <v>1#客</v>
      </c>
      <c r="F154" s="53" t="str">
        <f aca="false">IFERROR(INDEX(电梯资料!$Y$5:$Y$604,MATCH(3,_自动清单!$H$5:$H$604,0))&amp;"","")</f>
        <v>质保期内</v>
      </c>
      <c r="G154" s="54" t="n">
        <f aca="false">IFERROR(INDEX(电梯资料!$Z$5:$Z$604,MATCH(3,_自动清单!$H$5:$H$604,0)),"")</f>
        <v>46387</v>
      </c>
      <c r="H154" s="55" t="n">
        <f aca="true">IF(N($G154)=0,"",$G154-TODAY())</f>
        <v>101</v>
      </c>
      <c r="I154" s="56" t="str">
        <f aca="false">IFERROR(INDEX(电梯资料!$AC$5:$AC$604,MATCH(3,_自动清单!$H$5:$H$604,0))&amp;"","")</f>
        <v>免保中</v>
      </c>
      <c r="J154" s="53" t="str">
        <f aca="false">IFERROR(INDEX(电梯资料!$W$5:$W$604,MATCH(3,_自动清单!$H$5:$H$604,0))&amp;"","")</f>
        <v>陈磊</v>
      </c>
      <c r="K154" s="30" t="str">
        <f aca="false">IFERROR(INDEX(电梯资料!$AD$5:$AD$604,MATCH(3,_自动清单!$H$5:$H$604,0))&amp;"","")</f>
        <v>整机质保未满</v>
      </c>
      <c r="L154" s="35"/>
    </row>
    <row r="155" customFormat="false" ht="15" hidden="false" customHeight="false" outlineLevel="0" collapsed="false">
      <c r="A155" s="29" t="n">
        <f aca="false">IF(4&gt;_自动清单!$H$604,"",4)</f>
        <v>4</v>
      </c>
      <c r="B155" s="16" t="str">
        <f aca="false">IFERROR(INDEX(电梯资料!$C$5:$C$604,MATCH(4,_自动清单!$H$5:$H$604,0))&amp;"","")</f>
        <v>河南光谷义神新材料孵化器有限公司</v>
      </c>
      <c r="C155" s="16" t="str">
        <f aca="false">IFERROR(INDEX(电梯资料!$D$5:$D$604,MATCH(4,_自动清单!$H$5:$H$604,0))&amp;"","")</f>
        <v>永和云居</v>
      </c>
      <c r="D155" s="53" t="str">
        <f aca="false">IFERROR(INDEX(电梯资料!$Q$5:$Q$604,MATCH(4,_自动清单!$H$5:$H$604,0))&amp;"","")</f>
        <v>19278033006</v>
      </c>
      <c r="E155" s="53" t="str">
        <f aca="false">IFERROR(INDEX(电梯资料!$R$5:$R$604,MATCH(4,_自动清单!$H$5:$H$604,0))&amp;"","")</f>
        <v>3号楼2#梯</v>
      </c>
      <c r="F155" s="53" t="str">
        <f aca="false">IFERROR(INDEX(电梯资料!$Y$5:$Y$604,MATCH(4,_自动清单!$H$5:$H$604,0))&amp;"","")</f>
        <v>技术免保</v>
      </c>
      <c r="G155" s="54" t="n">
        <f aca="false">IFERROR(INDEX(电梯资料!$Z$5:$Z$604,MATCH(4,_自动清单!$H$5:$H$604,0)),"")</f>
        <v>46295</v>
      </c>
      <c r="H155" s="55" t="n">
        <f aca="true">IF(N($G155)=0,"",$G155-TODAY())</f>
        <v>9</v>
      </c>
      <c r="I155" s="56" t="str">
        <f aca="false">IFERROR(INDEX(电梯资料!$AC$5:$AC$604,MATCH(4,_自动清单!$H$5:$H$604,0))&amp;"","")</f>
        <v>免保还剩 9 天</v>
      </c>
      <c r="J155" s="53" t="str">
        <f aca="false">IFERROR(INDEX(电梯资料!$W$5:$W$604,MATCH(4,_自动清单!$H$5:$H$604,0))&amp;"","")</f>
        <v>张建国</v>
      </c>
      <c r="K155" s="30" t="str">
        <f aca="false">IFERROR(INDEX(电梯资料!$AD$5:$AD$604,MATCH(4,_自动清单!$H$5:$H$604,0))&amp;"","")</f>
        <v>厂家技术免保，9 月底到期转收费</v>
      </c>
      <c r="L155" s="35"/>
    </row>
    <row r="156" customFormat="false" ht="15" hidden="false" customHeight="false" outlineLevel="0" collapsed="false">
      <c r="A156" s="29" t="str">
        <f aca="false">IF(5&gt;_自动清单!$H$604,"",5)</f>
        <v/>
      </c>
      <c r="B156" s="16" t="str">
        <f aca="false">IFERROR(INDEX(电梯资料!$C$5:$C$604,MATCH(5,_自动清单!$H$5:$H$604,0))&amp;"","")</f>
        <v/>
      </c>
      <c r="C156" s="16" t="str">
        <f aca="false">IFERROR(INDEX(电梯资料!$D$5:$D$604,MATCH(5,_自动清单!$H$5:$H$604,0))&amp;"","")</f>
        <v/>
      </c>
      <c r="D156" s="53" t="str">
        <f aca="false">IFERROR(INDEX(电梯资料!$Q$5:$Q$604,MATCH(5,_自动清单!$H$5:$H$604,0))&amp;"","")</f>
        <v/>
      </c>
      <c r="E156" s="53" t="str">
        <f aca="false">IFERROR(INDEX(电梯资料!$R$5:$R$604,MATCH(5,_自动清单!$H$5:$H$604,0))&amp;"","")</f>
        <v/>
      </c>
      <c r="F156" s="53" t="str">
        <f aca="false">IFERROR(INDEX(电梯资料!$Y$5:$Y$604,MATCH(5,_自动清单!$H$5:$H$604,0))&amp;"","")</f>
        <v/>
      </c>
      <c r="G156" s="54" t="str">
        <f aca="false">IFERROR(INDEX(电梯资料!$Z$5:$Z$604,MATCH(5,_自动清单!$H$5:$H$604,0)),"")</f>
        <v/>
      </c>
      <c r="H156" s="55" t="str">
        <f aca="true">IF(N($G156)=0,"",$G156-TODAY())</f>
        <v/>
      </c>
      <c r="I156" s="56" t="str">
        <f aca="false">IFERROR(INDEX(电梯资料!$AC$5:$AC$604,MATCH(5,_自动清单!$H$5:$H$604,0))&amp;"","")</f>
        <v/>
      </c>
      <c r="J156" s="53" t="str">
        <f aca="false">IFERROR(INDEX(电梯资料!$W$5:$W$604,MATCH(5,_自动清单!$H$5:$H$604,0))&amp;"","")</f>
        <v/>
      </c>
      <c r="K156" s="30" t="str">
        <f aca="false">IFERROR(INDEX(电梯资料!$AD$5:$AD$604,MATCH(5,_自动清单!$H$5:$H$604,0))&amp;"","")</f>
        <v/>
      </c>
      <c r="L156" s="35"/>
    </row>
    <row r="157" customFormat="false" ht="15" hidden="false" customHeight="false" outlineLevel="0" collapsed="false">
      <c r="A157" s="29" t="str">
        <f aca="false">IF(6&gt;_自动清单!$H$604,"",6)</f>
        <v/>
      </c>
      <c r="B157" s="16" t="str">
        <f aca="false">IFERROR(INDEX(电梯资料!$C$5:$C$604,MATCH(6,_自动清单!$H$5:$H$604,0))&amp;"","")</f>
        <v/>
      </c>
      <c r="C157" s="16" t="str">
        <f aca="false">IFERROR(INDEX(电梯资料!$D$5:$D$604,MATCH(6,_自动清单!$H$5:$H$604,0))&amp;"","")</f>
        <v/>
      </c>
      <c r="D157" s="53" t="str">
        <f aca="false">IFERROR(INDEX(电梯资料!$Q$5:$Q$604,MATCH(6,_自动清单!$H$5:$H$604,0))&amp;"","")</f>
        <v/>
      </c>
      <c r="E157" s="53" t="str">
        <f aca="false">IFERROR(INDEX(电梯资料!$R$5:$R$604,MATCH(6,_自动清单!$H$5:$H$604,0))&amp;"","")</f>
        <v/>
      </c>
      <c r="F157" s="53" t="str">
        <f aca="false">IFERROR(INDEX(电梯资料!$Y$5:$Y$604,MATCH(6,_自动清单!$H$5:$H$604,0))&amp;"","")</f>
        <v/>
      </c>
      <c r="G157" s="54" t="str">
        <f aca="false">IFERROR(INDEX(电梯资料!$Z$5:$Z$604,MATCH(6,_自动清单!$H$5:$H$604,0)),"")</f>
        <v/>
      </c>
      <c r="H157" s="55" t="str">
        <f aca="true">IF(N($G157)=0,"",$G157-TODAY())</f>
        <v/>
      </c>
      <c r="I157" s="56" t="str">
        <f aca="false">IFERROR(INDEX(电梯资料!$AC$5:$AC$604,MATCH(6,_自动清单!$H$5:$H$604,0))&amp;"","")</f>
        <v/>
      </c>
      <c r="J157" s="53" t="str">
        <f aca="false">IFERROR(INDEX(电梯资料!$W$5:$W$604,MATCH(6,_自动清单!$H$5:$H$604,0))&amp;"","")</f>
        <v/>
      </c>
      <c r="K157" s="30" t="str">
        <f aca="false">IFERROR(INDEX(电梯资料!$AD$5:$AD$604,MATCH(6,_自动清单!$H$5:$H$604,0))&amp;"","")</f>
        <v/>
      </c>
      <c r="L157" s="35"/>
    </row>
    <row r="158" customFormat="false" ht="15" hidden="false" customHeight="false" outlineLevel="0" collapsed="false">
      <c r="A158" s="29" t="str">
        <f aca="false">IF(7&gt;_自动清单!$H$604,"",7)</f>
        <v/>
      </c>
      <c r="B158" s="16" t="str">
        <f aca="false">IFERROR(INDEX(电梯资料!$C$5:$C$604,MATCH(7,_自动清单!$H$5:$H$604,0))&amp;"","")</f>
        <v/>
      </c>
      <c r="C158" s="16" t="str">
        <f aca="false">IFERROR(INDEX(电梯资料!$D$5:$D$604,MATCH(7,_自动清单!$H$5:$H$604,0))&amp;"","")</f>
        <v/>
      </c>
      <c r="D158" s="53" t="str">
        <f aca="false">IFERROR(INDEX(电梯资料!$Q$5:$Q$604,MATCH(7,_自动清单!$H$5:$H$604,0))&amp;"","")</f>
        <v/>
      </c>
      <c r="E158" s="53" t="str">
        <f aca="false">IFERROR(INDEX(电梯资料!$R$5:$R$604,MATCH(7,_自动清单!$H$5:$H$604,0))&amp;"","")</f>
        <v/>
      </c>
      <c r="F158" s="53" t="str">
        <f aca="false">IFERROR(INDEX(电梯资料!$Y$5:$Y$604,MATCH(7,_自动清单!$H$5:$H$604,0))&amp;"","")</f>
        <v/>
      </c>
      <c r="G158" s="54" t="str">
        <f aca="false">IFERROR(INDEX(电梯资料!$Z$5:$Z$604,MATCH(7,_自动清单!$H$5:$H$604,0)),"")</f>
        <v/>
      </c>
      <c r="H158" s="55" t="str">
        <f aca="true">IF(N($G158)=0,"",$G158-TODAY())</f>
        <v/>
      </c>
      <c r="I158" s="56" t="str">
        <f aca="false">IFERROR(INDEX(电梯资料!$AC$5:$AC$604,MATCH(7,_自动清单!$H$5:$H$604,0))&amp;"","")</f>
        <v/>
      </c>
      <c r="J158" s="53" t="str">
        <f aca="false">IFERROR(INDEX(电梯资料!$W$5:$W$604,MATCH(7,_自动清单!$H$5:$H$604,0))&amp;"","")</f>
        <v/>
      </c>
      <c r="K158" s="30" t="str">
        <f aca="false">IFERROR(INDEX(电梯资料!$AD$5:$AD$604,MATCH(7,_自动清单!$H$5:$H$604,0))&amp;"","")</f>
        <v/>
      </c>
      <c r="L158" s="35"/>
    </row>
    <row r="159" customFormat="false" ht="15" hidden="false" customHeight="false" outlineLevel="0" collapsed="false">
      <c r="A159" s="29" t="str">
        <f aca="false">IF(8&gt;_自动清单!$H$604,"",8)</f>
        <v/>
      </c>
      <c r="B159" s="16" t="str">
        <f aca="false">IFERROR(INDEX(电梯资料!$C$5:$C$604,MATCH(8,_自动清单!$H$5:$H$604,0))&amp;"","")</f>
        <v/>
      </c>
      <c r="C159" s="16" t="str">
        <f aca="false">IFERROR(INDEX(电梯资料!$D$5:$D$604,MATCH(8,_自动清单!$H$5:$H$604,0))&amp;"","")</f>
        <v/>
      </c>
      <c r="D159" s="53" t="str">
        <f aca="false">IFERROR(INDEX(电梯资料!$Q$5:$Q$604,MATCH(8,_自动清单!$H$5:$H$604,0))&amp;"","")</f>
        <v/>
      </c>
      <c r="E159" s="53" t="str">
        <f aca="false">IFERROR(INDEX(电梯资料!$R$5:$R$604,MATCH(8,_自动清单!$H$5:$H$604,0))&amp;"","")</f>
        <v/>
      </c>
      <c r="F159" s="53" t="str">
        <f aca="false">IFERROR(INDEX(电梯资料!$Y$5:$Y$604,MATCH(8,_自动清单!$H$5:$H$604,0))&amp;"","")</f>
        <v/>
      </c>
      <c r="G159" s="54" t="str">
        <f aca="false">IFERROR(INDEX(电梯资料!$Z$5:$Z$604,MATCH(8,_自动清单!$H$5:$H$604,0)),"")</f>
        <v/>
      </c>
      <c r="H159" s="55" t="str">
        <f aca="true">IF(N($G159)=0,"",$G159-TODAY())</f>
        <v/>
      </c>
      <c r="I159" s="56" t="str">
        <f aca="false">IFERROR(INDEX(电梯资料!$AC$5:$AC$604,MATCH(8,_自动清单!$H$5:$H$604,0))&amp;"","")</f>
        <v/>
      </c>
      <c r="J159" s="53" t="str">
        <f aca="false">IFERROR(INDEX(电梯资料!$W$5:$W$604,MATCH(8,_自动清单!$H$5:$H$604,0))&amp;"","")</f>
        <v/>
      </c>
      <c r="K159" s="30" t="str">
        <f aca="false">IFERROR(INDEX(电梯资料!$AD$5:$AD$604,MATCH(8,_自动清单!$H$5:$H$604,0))&amp;"","")</f>
        <v/>
      </c>
      <c r="L159" s="35"/>
    </row>
    <row r="160" customFormat="false" ht="15" hidden="false" customHeight="false" outlineLevel="0" collapsed="false">
      <c r="A160" s="29" t="str">
        <f aca="false">IF(9&gt;_自动清单!$H$604,"",9)</f>
        <v/>
      </c>
      <c r="B160" s="16" t="str">
        <f aca="false">IFERROR(INDEX(电梯资料!$C$5:$C$604,MATCH(9,_自动清单!$H$5:$H$604,0))&amp;"","")</f>
        <v/>
      </c>
      <c r="C160" s="16" t="str">
        <f aca="false">IFERROR(INDEX(电梯资料!$D$5:$D$604,MATCH(9,_自动清单!$H$5:$H$604,0))&amp;"","")</f>
        <v/>
      </c>
      <c r="D160" s="53" t="str">
        <f aca="false">IFERROR(INDEX(电梯资料!$Q$5:$Q$604,MATCH(9,_自动清单!$H$5:$H$604,0))&amp;"","")</f>
        <v/>
      </c>
      <c r="E160" s="53" t="str">
        <f aca="false">IFERROR(INDEX(电梯资料!$R$5:$R$604,MATCH(9,_自动清单!$H$5:$H$604,0))&amp;"","")</f>
        <v/>
      </c>
      <c r="F160" s="53" t="str">
        <f aca="false">IFERROR(INDEX(电梯资料!$Y$5:$Y$604,MATCH(9,_自动清单!$H$5:$H$604,0))&amp;"","")</f>
        <v/>
      </c>
      <c r="G160" s="54" t="str">
        <f aca="false">IFERROR(INDEX(电梯资料!$Z$5:$Z$604,MATCH(9,_自动清单!$H$5:$H$604,0)),"")</f>
        <v/>
      </c>
      <c r="H160" s="55" t="str">
        <f aca="true">IF(N($G160)=0,"",$G160-TODAY())</f>
        <v/>
      </c>
      <c r="I160" s="56" t="str">
        <f aca="false">IFERROR(INDEX(电梯资料!$AC$5:$AC$604,MATCH(9,_自动清单!$H$5:$H$604,0))&amp;"","")</f>
        <v/>
      </c>
      <c r="J160" s="53" t="str">
        <f aca="false">IFERROR(INDEX(电梯资料!$W$5:$W$604,MATCH(9,_自动清单!$H$5:$H$604,0))&amp;"","")</f>
        <v/>
      </c>
      <c r="K160" s="30" t="str">
        <f aca="false">IFERROR(INDEX(电梯资料!$AD$5:$AD$604,MATCH(9,_自动清单!$H$5:$H$604,0))&amp;"","")</f>
        <v/>
      </c>
      <c r="L160" s="35"/>
    </row>
    <row r="161" customFormat="false" ht="15" hidden="false" customHeight="false" outlineLevel="0" collapsed="false">
      <c r="A161" s="29" t="str">
        <f aca="false">IF(10&gt;_自动清单!$H$604,"",10)</f>
        <v/>
      </c>
      <c r="B161" s="16" t="str">
        <f aca="false">IFERROR(INDEX(电梯资料!$C$5:$C$604,MATCH(10,_自动清单!$H$5:$H$604,0))&amp;"","")</f>
        <v/>
      </c>
      <c r="C161" s="16" t="str">
        <f aca="false">IFERROR(INDEX(电梯资料!$D$5:$D$604,MATCH(10,_自动清单!$H$5:$H$604,0))&amp;"","")</f>
        <v/>
      </c>
      <c r="D161" s="53" t="str">
        <f aca="false">IFERROR(INDEX(电梯资料!$Q$5:$Q$604,MATCH(10,_自动清单!$H$5:$H$604,0))&amp;"","")</f>
        <v/>
      </c>
      <c r="E161" s="53" t="str">
        <f aca="false">IFERROR(INDEX(电梯资料!$R$5:$R$604,MATCH(10,_自动清单!$H$5:$H$604,0))&amp;"","")</f>
        <v/>
      </c>
      <c r="F161" s="53" t="str">
        <f aca="false">IFERROR(INDEX(电梯资料!$Y$5:$Y$604,MATCH(10,_自动清单!$H$5:$H$604,0))&amp;"","")</f>
        <v/>
      </c>
      <c r="G161" s="54" t="str">
        <f aca="false">IFERROR(INDEX(电梯资料!$Z$5:$Z$604,MATCH(10,_自动清单!$H$5:$H$604,0)),"")</f>
        <v/>
      </c>
      <c r="H161" s="55" t="str">
        <f aca="true">IF(N($G161)=0,"",$G161-TODAY())</f>
        <v/>
      </c>
      <c r="I161" s="56" t="str">
        <f aca="false">IFERROR(INDEX(电梯资料!$AC$5:$AC$604,MATCH(10,_自动清单!$H$5:$H$604,0))&amp;"","")</f>
        <v/>
      </c>
      <c r="J161" s="53" t="str">
        <f aca="false">IFERROR(INDEX(电梯资料!$W$5:$W$604,MATCH(10,_自动清单!$H$5:$H$604,0))&amp;"","")</f>
        <v/>
      </c>
      <c r="K161" s="30" t="str">
        <f aca="false">IFERROR(INDEX(电梯资料!$AD$5:$AD$604,MATCH(10,_自动清单!$H$5:$H$604,0))&amp;"","")</f>
        <v/>
      </c>
      <c r="L161" s="35"/>
    </row>
    <row r="162" customFormat="false" ht="15" hidden="false" customHeight="false" outlineLevel="0" collapsed="false">
      <c r="A162" s="29" t="str">
        <f aca="false">IF(11&gt;_自动清单!$H$604,"",11)</f>
        <v/>
      </c>
      <c r="B162" s="16" t="str">
        <f aca="false">IFERROR(INDEX(电梯资料!$C$5:$C$604,MATCH(11,_自动清单!$H$5:$H$604,0))&amp;"","")</f>
        <v/>
      </c>
      <c r="C162" s="16" t="str">
        <f aca="false">IFERROR(INDEX(电梯资料!$D$5:$D$604,MATCH(11,_自动清单!$H$5:$H$604,0))&amp;"","")</f>
        <v/>
      </c>
      <c r="D162" s="53" t="str">
        <f aca="false">IFERROR(INDEX(电梯资料!$Q$5:$Q$604,MATCH(11,_自动清单!$H$5:$H$604,0))&amp;"","")</f>
        <v/>
      </c>
      <c r="E162" s="53" t="str">
        <f aca="false">IFERROR(INDEX(电梯资料!$R$5:$R$604,MATCH(11,_自动清单!$H$5:$H$604,0))&amp;"","")</f>
        <v/>
      </c>
      <c r="F162" s="53" t="str">
        <f aca="false">IFERROR(INDEX(电梯资料!$Y$5:$Y$604,MATCH(11,_自动清单!$H$5:$H$604,0))&amp;"","")</f>
        <v/>
      </c>
      <c r="G162" s="54" t="str">
        <f aca="false">IFERROR(INDEX(电梯资料!$Z$5:$Z$604,MATCH(11,_自动清单!$H$5:$H$604,0)),"")</f>
        <v/>
      </c>
      <c r="H162" s="55" t="str">
        <f aca="true">IF(N($G162)=0,"",$G162-TODAY())</f>
        <v/>
      </c>
      <c r="I162" s="56" t="str">
        <f aca="false">IFERROR(INDEX(电梯资料!$AC$5:$AC$604,MATCH(11,_自动清单!$H$5:$H$604,0))&amp;"","")</f>
        <v/>
      </c>
      <c r="J162" s="53" t="str">
        <f aca="false">IFERROR(INDEX(电梯资料!$W$5:$W$604,MATCH(11,_自动清单!$H$5:$H$604,0))&amp;"","")</f>
        <v/>
      </c>
      <c r="K162" s="30" t="str">
        <f aca="false">IFERROR(INDEX(电梯资料!$AD$5:$AD$604,MATCH(11,_自动清单!$H$5:$H$604,0))&amp;"","")</f>
        <v/>
      </c>
      <c r="L162" s="35"/>
    </row>
    <row r="163" customFormat="false" ht="15" hidden="false" customHeight="false" outlineLevel="0" collapsed="false">
      <c r="A163" s="29" t="str">
        <f aca="false">IF(12&gt;_自动清单!$H$604,"",12)</f>
        <v/>
      </c>
      <c r="B163" s="16" t="str">
        <f aca="false">IFERROR(INDEX(电梯资料!$C$5:$C$604,MATCH(12,_自动清单!$H$5:$H$604,0))&amp;"","")</f>
        <v/>
      </c>
      <c r="C163" s="16" t="str">
        <f aca="false">IFERROR(INDEX(电梯资料!$D$5:$D$604,MATCH(12,_自动清单!$H$5:$H$604,0))&amp;"","")</f>
        <v/>
      </c>
      <c r="D163" s="53" t="str">
        <f aca="false">IFERROR(INDEX(电梯资料!$Q$5:$Q$604,MATCH(12,_自动清单!$H$5:$H$604,0))&amp;"","")</f>
        <v/>
      </c>
      <c r="E163" s="53" t="str">
        <f aca="false">IFERROR(INDEX(电梯资料!$R$5:$R$604,MATCH(12,_自动清单!$H$5:$H$604,0))&amp;"","")</f>
        <v/>
      </c>
      <c r="F163" s="53" t="str">
        <f aca="false">IFERROR(INDEX(电梯资料!$Y$5:$Y$604,MATCH(12,_自动清单!$H$5:$H$604,0))&amp;"","")</f>
        <v/>
      </c>
      <c r="G163" s="54" t="str">
        <f aca="false">IFERROR(INDEX(电梯资料!$Z$5:$Z$604,MATCH(12,_自动清单!$H$5:$H$604,0)),"")</f>
        <v/>
      </c>
      <c r="H163" s="55" t="str">
        <f aca="true">IF(N($G163)=0,"",$G163-TODAY())</f>
        <v/>
      </c>
      <c r="I163" s="56" t="str">
        <f aca="false">IFERROR(INDEX(电梯资料!$AC$5:$AC$604,MATCH(12,_自动清单!$H$5:$H$604,0))&amp;"","")</f>
        <v/>
      </c>
      <c r="J163" s="53" t="str">
        <f aca="false">IFERROR(INDEX(电梯资料!$W$5:$W$604,MATCH(12,_自动清单!$H$5:$H$604,0))&amp;"","")</f>
        <v/>
      </c>
      <c r="K163" s="30" t="str">
        <f aca="false">IFERROR(INDEX(电梯资料!$AD$5:$AD$604,MATCH(12,_自动清单!$H$5:$H$604,0))&amp;"","")</f>
        <v/>
      </c>
      <c r="L163" s="35"/>
    </row>
    <row r="164" customFormat="false" ht="15" hidden="false" customHeight="false" outlineLevel="0" collapsed="false">
      <c r="A164" s="29" t="str">
        <f aca="false">IF(13&gt;_自动清单!$H$604,"",13)</f>
        <v/>
      </c>
      <c r="B164" s="16" t="str">
        <f aca="false">IFERROR(INDEX(电梯资料!$C$5:$C$604,MATCH(13,_自动清单!$H$5:$H$604,0))&amp;"","")</f>
        <v/>
      </c>
      <c r="C164" s="16" t="str">
        <f aca="false">IFERROR(INDEX(电梯资料!$D$5:$D$604,MATCH(13,_自动清单!$H$5:$H$604,0))&amp;"","")</f>
        <v/>
      </c>
      <c r="D164" s="53" t="str">
        <f aca="false">IFERROR(INDEX(电梯资料!$Q$5:$Q$604,MATCH(13,_自动清单!$H$5:$H$604,0))&amp;"","")</f>
        <v/>
      </c>
      <c r="E164" s="53" t="str">
        <f aca="false">IFERROR(INDEX(电梯资料!$R$5:$R$604,MATCH(13,_自动清单!$H$5:$H$604,0))&amp;"","")</f>
        <v/>
      </c>
      <c r="F164" s="53" t="str">
        <f aca="false">IFERROR(INDEX(电梯资料!$Y$5:$Y$604,MATCH(13,_自动清单!$H$5:$H$604,0))&amp;"","")</f>
        <v/>
      </c>
      <c r="G164" s="54" t="str">
        <f aca="false">IFERROR(INDEX(电梯资料!$Z$5:$Z$604,MATCH(13,_自动清单!$H$5:$H$604,0)),"")</f>
        <v/>
      </c>
      <c r="H164" s="55" t="str">
        <f aca="true">IF(N($G164)=0,"",$G164-TODAY())</f>
        <v/>
      </c>
      <c r="I164" s="56" t="str">
        <f aca="false">IFERROR(INDEX(电梯资料!$AC$5:$AC$604,MATCH(13,_自动清单!$H$5:$H$604,0))&amp;"","")</f>
        <v/>
      </c>
      <c r="J164" s="53" t="str">
        <f aca="false">IFERROR(INDEX(电梯资料!$W$5:$W$604,MATCH(13,_自动清单!$H$5:$H$604,0))&amp;"","")</f>
        <v/>
      </c>
      <c r="K164" s="30" t="str">
        <f aca="false">IFERROR(INDEX(电梯资料!$AD$5:$AD$604,MATCH(13,_自动清单!$H$5:$H$604,0))&amp;"","")</f>
        <v/>
      </c>
      <c r="L164" s="35"/>
    </row>
    <row r="165" customFormat="false" ht="15" hidden="false" customHeight="false" outlineLevel="0" collapsed="false">
      <c r="A165" s="29" t="str">
        <f aca="false">IF(14&gt;_自动清单!$H$604,"",14)</f>
        <v/>
      </c>
      <c r="B165" s="16" t="str">
        <f aca="false">IFERROR(INDEX(电梯资料!$C$5:$C$604,MATCH(14,_自动清单!$H$5:$H$604,0))&amp;"","")</f>
        <v/>
      </c>
      <c r="C165" s="16" t="str">
        <f aca="false">IFERROR(INDEX(电梯资料!$D$5:$D$604,MATCH(14,_自动清单!$H$5:$H$604,0))&amp;"","")</f>
        <v/>
      </c>
      <c r="D165" s="53" t="str">
        <f aca="false">IFERROR(INDEX(电梯资料!$Q$5:$Q$604,MATCH(14,_自动清单!$H$5:$H$604,0))&amp;"","")</f>
        <v/>
      </c>
      <c r="E165" s="53" t="str">
        <f aca="false">IFERROR(INDEX(电梯资料!$R$5:$R$604,MATCH(14,_自动清单!$H$5:$H$604,0))&amp;"","")</f>
        <v/>
      </c>
      <c r="F165" s="53" t="str">
        <f aca="false">IFERROR(INDEX(电梯资料!$Y$5:$Y$604,MATCH(14,_自动清单!$H$5:$H$604,0))&amp;"","")</f>
        <v/>
      </c>
      <c r="G165" s="54" t="str">
        <f aca="false">IFERROR(INDEX(电梯资料!$Z$5:$Z$604,MATCH(14,_自动清单!$H$5:$H$604,0)),"")</f>
        <v/>
      </c>
      <c r="H165" s="55" t="str">
        <f aca="true">IF(N($G165)=0,"",$G165-TODAY())</f>
        <v/>
      </c>
      <c r="I165" s="56" t="str">
        <f aca="false">IFERROR(INDEX(电梯资料!$AC$5:$AC$604,MATCH(14,_自动清单!$H$5:$H$604,0))&amp;"","")</f>
        <v/>
      </c>
      <c r="J165" s="53" t="str">
        <f aca="false">IFERROR(INDEX(电梯资料!$W$5:$W$604,MATCH(14,_自动清单!$H$5:$H$604,0))&amp;"","")</f>
        <v/>
      </c>
      <c r="K165" s="30" t="str">
        <f aca="false">IFERROR(INDEX(电梯资料!$AD$5:$AD$604,MATCH(14,_自动清单!$H$5:$H$604,0))&amp;"","")</f>
        <v/>
      </c>
      <c r="L165" s="35"/>
    </row>
    <row r="166" customFormat="false" ht="15" hidden="false" customHeight="false" outlineLevel="0" collapsed="false">
      <c r="A166" s="29" t="str">
        <f aca="false">IF(15&gt;_自动清单!$H$604,"",15)</f>
        <v/>
      </c>
      <c r="B166" s="16" t="str">
        <f aca="false">IFERROR(INDEX(电梯资料!$C$5:$C$604,MATCH(15,_自动清单!$H$5:$H$604,0))&amp;"","")</f>
        <v/>
      </c>
      <c r="C166" s="16" t="str">
        <f aca="false">IFERROR(INDEX(电梯资料!$D$5:$D$604,MATCH(15,_自动清单!$H$5:$H$604,0))&amp;"","")</f>
        <v/>
      </c>
      <c r="D166" s="53" t="str">
        <f aca="false">IFERROR(INDEX(电梯资料!$Q$5:$Q$604,MATCH(15,_自动清单!$H$5:$H$604,0))&amp;"","")</f>
        <v/>
      </c>
      <c r="E166" s="53" t="str">
        <f aca="false">IFERROR(INDEX(电梯资料!$R$5:$R$604,MATCH(15,_自动清单!$H$5:$H$604,0))&amp;"","")</f>
        <v/>
      </c>
      <c r="F166" s="53" t="str">
        <f aca="false">IFERROR(INDEX(电梯资料!$Y$5:$Y$604,MATCH(15,_自动清单!$H$5:$H$604,0))&amp;"","")</f>
        <v/>
      </c>
      <c r="G166" s="54" t="str">
        <f aca="false">IFERROR(INDEX(电梯资料!$Z$5:$Z$604,MATCH(15,_自动清单!$H$5:$H$604,0)),"")</f>
        <v/>
      </c>
      <c r="H166" s="55" t="str">
        <f aca="true">IF(N($G166)=0,"",$G166-TODAY())</f>
        <v/>
      </c>
      <c r="I166" s="56" t="str">
        <f aca="false">IFERROR(INDEX(电梯资料!$AC$5:$AC$604,MATCH(15,_自动清单!$H$5:$H$604,0))&amp;"","")</f>
        <v/>
      </c>
      <c r="J166" s="53" t="str">
        <f aca="false">IFERROR(INDEX(电梯资料!$W$5:$W$604,MATCH(15,_自动清单!$H$5:$H$604,0))&amp;"","")</f>
        <v/>
      </c>
      <c r="K166" s="30" t="str">
        <f aca="false">IFERROR(INDEX(电梯资料!$AD$5:$AD$604,MATCH(15,_自动清单!$H$5:$H$604,0))&amp;"","")</f>
        <v/>
      </c>
      <c r="L166" s="35"/>
    </row>
    <row r="167" customFormat="false" ht="15" hidden="false" customHeight="false" outlineLevel="0" collapsed="false">
      <c r="A167" s="29" t="str">
        <f aca="false">IF(16&gt;_自动清单!$H$604,"",16)</f>
        <v/>
      </c>
      <c r="B167" s="16" t="str">
        <f aca="false">IFERROR(INDEX(电梯资料!$C$5:$C$604,MATCH(16,_自动清单!$H$5:$H$604,0))&amp;"","")</f>
        <v/>
      </c>
      <c r="C167" s="16" t="str">
        <f aca="false">IFERROR(INDEX(电梯资料!$D$5:$D$604,MATCH(16,_自动清单!$H$5:$H$604,0))&amp;"","")</f>
        <v/>
      </c>
      <c r="D167" s="53" t="str">
        <f aca="false">IFERROR(INDEX(电梯资料!$Q$5:$Q$604,MATCH(16,_自动清单!$H$5:$H$604,0))&amp;"","")</f>
        <v/>
      </c>
      <c r="E167" s="53" t="str">
        <f aca="false">IFERROR(INDEX(电梯资料!$R$5:$R$604,MATCH(16,_自动清单!$H$5:$H$604,0))&amp;"","")</f>
        <v/>
      </c>
      <c r="F167" s="53" t="str">
        <f aca="false">IFERROR(INDEX(电梯资料!$Y$5:$Y$604,MATCH(16,_自动清单!$H$5:$H$604,0))&amp;"","")</f>
        <v/>
      </c>
      <c r="G167" s="54" t="str">
        <f aca="false">IFERROR(INDEX(电梯资料!$Z$5:$Z$604,MATCH(16,_自动清单!$H$5:$H$604,0)),"")</f>
        <v/>
      </c>
      <c r="H167" s="55" t="str">
        <f aca="true">IF(N($G167)=0,"",$G167-TODAY())</f>
        <v/>
      </c>
      <c r="I167" s="56" t="str">
        <f aca="false">IFERROR(INDEX(电梯资料!$AC$5:$AC$604,MATCH(16,_自动清单!$H$5:$H$604,0))&amp;"","")</f>
        <v/>
      </c>
      <c r="J167" s="53" t="str">
        <f aca="false">IFERROR(INDEX(电梯资料!$W$5:$W$604,MATCH(16,_自动清单!$H$5:$H$604,0))&amp;"","")</f>
        <v/>
      </c>
      <c r="K167" s="30" t="str">
        <f aca="false">IFERROR(INDEX(电梯资料!$AD$5:$AD$604,MATCH(16,_自动清单!$H$5:$H$604,0))&amp;"","")</f>
        <v/>
      </c>
      <c r="L167" s="35"/>
    </row>
    <row r="168" customFormat="false" ht="15" hidden="false" customHeight="false" outlineLevel="0" collapsed="false">
      <c r="A168" s="29" t="str">
        <f aca="false">IF(17&gt;_自动清单!$H$604,"",17)</f>
        <v/>
      </c>
      <c r="B168" s="16" t="str">
        <f aca="false">IFERROR(INDEX(电梯资料!$C$5:$C$604,MATCH(17,_自动清单!$H$5:$H$604,0))&amp;"","")</f>
        <v/>
      </c>
      <c r="C168" s="16" t="str">
        <f aca="false">IFERROR(INDEX(电梯资料!$D$5:$D$604,MATCH(17,_自动清单!$H$5:$H$604,0))&amp;"","")</f>
        <v/>
      </c>
      <c r="D168" s="53" t="str">
        <f aca="false">IFERROR(INDEX(电梯资料!$Q$5:$Q$604,MATCH(17,_自动清单!$H$5:$H$604,0))&amp;"","")</f>
        <v/>
      </c>
      <c r="E168" s="53" t="str">
        <f aca="false">IFERROR(INDEX(电梯资料!$R$5:$R$604,MATCH(17,_自动清单!$H$5:$H$604,0))&amp;"","")</f>
        <v/>
      </c>
      <c r="F168" s="53" t="str">
        <f aca="false">IFERROR(INDEX(电梯资料!$Y$5:$Y$604,MATCH(17,_自动清单!$H$5:$H$604,0))&amp;"","")</f>
        <v/>
      </c>
      <c r="G168" s="54" t="str">
        <f aca="false">IFERROR(INDEX(电梯资料!$Z$5:$Z$604,MATCH(17,_自动清单!$H$5:$H$604,0)),"")</f>
        <v/>
      </c>
      <c r="H168" s="55" t="str">
        <f aca="true">IF(N($G168)=0,"",$G168-TODAY())</f>
        <v/>
      </c>
      <c r="I168" s="56" t="str">
        <f aca="false">IFERROR(INDEX(电梯资料!$AC$5:$AC$604,MATCH(17,_自动清单!$H$5:$H$604,0))&amp;"","")</f>
        <v/>
      </c>
      <c r="J168" s="53" t="str">
        <f aca="false">IFERROR(INDEX(电梯资料!$W$5:$W$604,MATCH(17,_自动清单!$H$5:$H$604,0))&amp;"","")</f>
        <v/>
      </c>
      <c r="K168" s="30" t="str">
        <f aca="false">IFERROR(INDEX(电梯资料!$AD$5:$AD$604,MATCH(17,_自动清单!$H$5:$H$604,0))&amp;"","")</f>
        <v/>
      </c>
      <c r="L168" s="35"/>
    </row>
    <row r="169" customFormat="false" ht="15" hidden="false" customHeight="false" outlineLevel="0" collapsed="false">
      <c r="A169" s="29" t="str">
        <f aca="false">IF(18&gt;_自动清单!$H$604,"",18)</f>
        <v/>
      </c>
      <c r="B169" s="16" t="str">
        <f aca="false">IFERROR(INDEX(电梯资料!$C$5:$C$604,MATCH(18,_自动清单!$H$5:$H$604,0))&amp;"","")</f>
        <v/>
      </c>
      <c r="C169" s="16" t="str">
        <f aca="false">IFERROR(INDEX(电梯资料!$D$5:$D$604,MATCH(18,_自动清单!$H$5:$H$604,0))&amp;"","")</f>
        <v/>
      </c>
      <c r="D169" s="53" t="str">
        <f aca="false">IFERROR(INDEX(电梯资料!$Q$5:$Q$604,MATCH(18,_自动清单!$H$5:$H$604,0))&amp;"","")</f>
        <v/>
      </c>
      <c r="E169" s="53" t="str">
        <f aca="false">IFERROR(INDEX(电梯资料!$R$5:$R$604,MATCH(18,_自动清单!$H$5:$H$604,0))&amp;"","")</f>
        <v/>
      </c>
      <c r="F169" s="53" t="str">
        <f aca="false">IFERROR(INDEX(电梯资料!$Y$5:$Y$604,MATCH(18,_自动清单!$H$5:$H$604,0))&amp;"","")</f>
        <v/>
      </c>
      <c r="G169" s="54" t="str">
        <f aca="false">IFERROR(INDEX(电梯资料!$Z$5:$Z$604,MATCH(18,_自动清单!$H$5:$H$604,0)),"")</f>
        <v/>
      </c>
      <c r="H169" s="55" t="str">
        <f aca="true">IF(N($G169)=0,"",$G169-TODAY())</f>
        <v/>
      </c>
      <c r="I169" s="56" t="str">
        <f aca="false">IFERROR(INDEX(电梯资料!$AC$5:$AC$604,MATCH(18,_自动清单!$H$5:$H$604,0))&amp;"","")</f>
        <v/>
      </c>
      <c r="J169" s="53" t="str">
        <f aca="false">IFERROR(INDEX(电梯资料!$W$5:$W$604,MATCH(18,_自动清单!$H$5:$H$604,0))&amp;"","")</f>
        <v/>
      </c>
      <c r="K169" s="30" t="str">
        <f aca="false">IFERROR(INDEX(电梯资料!$AD$5:$AD$604,MATCH(18,_自动清单!$H$5:$H$604,0))&amp;"","")</f>
        <v/>
      </c>
      <c r="L169" s="35"/>
    </row>
    <row r="170" customFormat="false" ht="15" hidden="false" customHeight="false" outlineLevel="0" collapsed="false">
      <c r="A170" s="29" t="str">
        <f aca="false">IF(19&gt;_自动清单!$H$604,"",19)</f>
        <v/>
      </c>
      <c r="B170" s="16" t="str">
        <f aca="false">IFERROR(INDEX(电梯资料!$C$5:$C$604,MATCH(19,_自动清单!$H$5:$H$604,0))&amp;"","")</f>
        <v/>
      </c>
      <c r="C170" s="16" t="str">
        <f aca="false">IFERROR(INDEX(电梯资料!$D$5:$D$604,MATCH(19,_自动清单!$H$5:$H$604,0))&amp;"","")</f>
        <v/>
      </c>
      <c r="D170" s="53" t="str">
        <f aca="false">IFERROR(INDEX(电梯资料!$Q$5:$Q$604,MATCH(19,_自动清单!$H$5:$H$604,0))&amp;"","")</f>
        <v/>
      </c>
      <c r="E170" s="53" t="str">
        <f aca="false">IFERROR(INDEX(电梯资料!$R$5:$R$604,MATCH(19,_自动清单!$H$5:$H$604,0))&amp;"","")</f>
        <v/>
      </c>
      <c r="F170" s="53" t="str">
        <f aca="false">IFERROR(INDEX(电梯资料!$Y$5:$Y$604,MATCH(19,_自动清单!$H$5:$H$604,0))&amp;"","")</f>
        <v/>
      </c>
      <c r="G170" s="54" t="str">
        <f aca="false">IFERROR(INDEX(电梯资料!$Z$5:$Z$604,MATCH(19,_自动清单!$H$5:$H$604,0)),"")</f>
        <v/>
      </c>
      <c r="H170" s="55" t="str">
        <f aca="true">IF(N($G170)=0,"",$G170-TODAY())</f>
        <v/>
      </c>
      <c r="I170" s="56" t="str">
        <f aca="false">IFERROR(INDEX(电梯资料!$AC$5:$AC$604,MATCH(19,_自动清单!$H$5:$H$604,0))&amp;"","")</f>
        <v/>
      </c>
      <c r="J170" s="53" t="str">
        <f aca="false">IFERROR(INDEX(电梯资料!$W$5:$W$604,MATCH(19,_自动清单!$H$5:$H$604,0))&amp;"","")</f>
        <v/>
      </c>
      <c r="K170" s="30" t="str">
        <f aca="false">IFERROR(INDEX(电梯资料!$AD$5:$AD$604,MATCH(19,_自动清单!$H$5:$H$604,0))&amp;"","")</f>
        <v/>
      </c>
      <c r="L170" s="35"/>
    </row>
    <row r="171" customFormat="false" ht="15" hidden="false" customHeight="false" outlineLevel="0" collapsed="false">
      <c r="A171" s="29" t="str">
        <f aca="false">IF(20&gt;_自动清单!$H$604,"",20)</f>
        <v/>
      </c>
      <c r="B171" s="16" t="str">
        <f aca="false">IFERROR(INDEX(电梯资料!$C$5:$C$604,MATCH(20,_自动清单!$H$5:$H$604,0))&amp;"","")</f>
        <v/>
      </c>
      <c r="C171" s="16" t="str">
        <f aca="false">IFERROR(INDEX(电梯资料!$D$5:$D$604,MATCH(20,_自动清单!$H$5:$H$604,0))&amp;"","")</f>
        <v/>
      </c>
      <c r="D171" s="53" t="str">
        <f aca="false">IFERROR(INDEX(电梯资料!$Q$5:$Q$604,MATCH(20,_自动清单!$H$5:$H$604,0))&amp;"","")</f>
        <v/>
      </c>
      <c r="E171" s="53" t="str">
        <f aca="false">IFERROR(INDEX(电梯资料!$R$5:$R$604,MATCH(20,_自动清单!$H$5:$H$604,0))&amp;"","")</f>
        <v/>
      </c>
      <c r="F171" s="53" t="str">
        <f aca="false">IFERROR(INDEX(电梯资料!$Y$5:$Y$604,MATCH(20,_自动清单!$H$5:$H$604,0))&amp;"","")</f>
        <v/>
      </c>
      <c r="G171" s="54" t="str">
        <f aca="false">IFERROR(INDEX(电梯资料!$Z$5:$Z$604,MATCH(20,_自动清单!$H$5:$H$604,0)),"")</f>
        <v/>
      </c>
      <c r="H171" s="55" t="str">
        <f aca="true">IF(N($G171)=0,"",$G171-TODAY())</f>
        <v/>
      </c>
      <c r="I171" s="56" t="str">
        <f aca="false">IFERROR(INDEX(电梯资料!$AC$5:$AC$604,MATCH(20,_自动清单!$H$5:$H$604,0))&amp;"","")</f>
        <v/>
      </c>
      <c r="J171" s="53" t="str">
        <f aca="false">IFERROR(INDEX(电梯资料!$W$5:$W$604,MATCH(20,_自动清单!$H$5:$H$604,0))&amp;"","")</f>
        <v/>
      </c>
      <c r="K171" s="30" t="str">
        <f aca="false">IFERROR(INDEX(电梯资料!$AD$5:$AD$604,MATCH(20,_自动清单!$H$5:$H$604,0))&amp;"","")</f>
        <v/>
      </c>
      <c r="L171" s="35"/>
    </row>
    <row r="172" customFormat="false" ht="15" hidden="false" customHeight="false" outlineLevel="0" collapsed="false">
      <c r="A172" s="29" t="str">
        <f aca="false">IF(21&gt;_自动清单!$H$604,"",21)</f>
        <v/>
      </c>
      <c r="B172" s="16" t="str">
        <f aca="false">IFERROR(INDEX(电梯资料!$C$5:$C$604,MATCH(21,_自动清单!$H$5:$H$604,0))&amp;"","")</f>
        <v/>
      </c>
      <c r="C172" s="16" t="str">
        <f aca="false">IFERROR(INDEX(电梯资料!$D$5:$D$604,MATCH(21,_自动清单!$H$5:$H$604,0))&amp;"","")</f>
        <v/>
      </c>
      <c r="D172" s="53" t="str">
        <f aca="false">IFERROR(INDEX(电梯资料!$Q$5:$Q$604,MATCH(21,_自动清单!$H$5:$H$604,0))&amp;"","")</f>
        <v/>
      </c>
      <c r="E172" s="53" t="str">
        <f aca="false">IFERROR(INDEX(电梯资料!$R$5:$R$604,MATCH(21,_自动清单!$H$5:$H$604,0))&amp;"","")</f>
        <v/>
      </c>
      <c r="F172" s="53" t="str">
        <f aca="false">IFERROR(INDEX(电梯资料!$Y$5:$Y$604,MATCH(21,_自动清单!$H$5:$H$604,0))&amp;"","")</f>
        <v/>
      </c>
      <c r="G172" s="54" t="str">
        <f aca="false">IFERROR(INDEX(电梯资料!$Z$5:$Z$604,MATCH(21,_自动清单!$H$5:$H$604,0)),"")</f>
        <v/>
      </c>
      <c r="H172" s="55" t="str">
        <f aca="true">IF(N($G172)=0,"",$G172-TODAY())</f>
        <v/>
      </c>
      <c r="I172" s="56" t="str">
        <f aca="false">IFERROR(INDEX(电梯资料!$AC$5:$AC$604,MATCH(21,_自动清单!$H$5:$H$604,0))&amp;"","")</f>
        <v/>
      </c>
      <c r="J172" s="53" t="str">
        <f aca="false">IFERROR(INDEX(电梯资料!$W$5:$W$604,MATCH(21,_自动清单!$H$5:$H$604,0))&amp;"","")</f>
        <v/>
      </c>
      <c r="K172" s="30" t="str">
        <f aca="false">IFERROR(INDEX(电梯资料!$AD$5:$AD$604,MATCH(21,_自动清单!$H$5:$H$604,0))&amp;"","")</f>
        <v/>
      </c>
      <c r="L172" s="35"/>
    </row>
    <row r="173" customFormat="false" ht="15" hidden="false" customHeight="false" outlineLevel="0" collapsed="false">
      <c r="A173" s="29" t="str">
        <f aca="false">IF(22&gt;_自动清单!$H$604,"",22)</f>
        <v/>
      </c>
      <c r="B173" s="16" t="str">
        <f aca="false">IFERROR(INDEX(电梯资料!$C$5:$C$604,MATCH(22,_自动清单!$H$5:$H$604,0))&amp;"","")</f>
        <v/>
      </c>
      <c r="C173" s="16" t="str">
        <f aca="false">IFERROR(INDEX(电梯资料!$D$5:$D$604,MATCH(22,_自动清单!$H$5:$H$604,0))&amp;"","")</f>
        <v/>
      </c>
      <c r="D173" s="53" t="str">
        <f aca="false">IFERROR(INDEX(电梯资料!$Q$5:$Q$604,MATCH(22,_自动清单!$H$5:$H$604,0))&amp;"","")</f>
        <v/>
      </c>
      <c r="E173" s="53" t="str">
        <f aca="false">IFERROR(INDEX(电梯资料!$R$5:$R$604,MATCH(22,_自动清单!$H$5:$H$604,0))&amp;"","")</f>
        <v/>
      </c>
      <c r="F173" s="53" t="str">
        <f aca="false">IFERROR(INDEX(电梯资料!$Y$5:$Y$604,MATCH(22,_自动清单!$H$5:$H$604,0))&amp;"","")</f>
        <v/>
      </c>
      <c r="G173" s="54" t="str">
        <f aca="false">IFERROR(INDEX(电梯资料!$Z$5:$Z$604,MATCH(22,_自动清单!$H$5:$H$604,0)),"")</f>
        <v/>
      </c>
      <c r="H173" s="55" t="str">
        <f aca="true">IF(N($G173)=0,"",$G173-TODAY())</f>
        <v/>
      </c>
      <c r="I173" s="56" t="str">
        <f aca="false">IFERROR(INDEX(电梯资料!$AC$5:$AC$604,MATCH(22,_自动清单!$H$5:$H$604,0))&amp;"","")</f>
        <v/>
      </c>
      <c r="J173" s="53" t="str">
        <f aca="false">IFERROR(INDEX(电梯资料!$W$5:$W$604,MATCH(22,_自动清单!$H$5:$H$604,0))&amp;"","")</f>
        <v/>
      </c>
      <c r="K173" s="30" t="str">
        <f aca="false">IFERROR(INDEX(电梯资料!$AD$5:$AD$604,MATCH(22,_自动清单!$H$5:$H$604,0))&amp;"","")</f>
        <v/>
      </c>
      <c r="L173" s="35"/>
    </row>
    <row r="174" customFormat="false" ht="15" hidden="false" customHeight="false" outlineLevel="0" collapsed="false">
      <c r="A174" s="29" t="str">
        <f aca="false">IF(23&gt;_自动清单!$H$604,"",23)</f>
        <v/>
      </c>
      <c r="B174" s="16" t="str">
        <f aca="false">IFERROR(INDEX(电梯资料!$C$5:$C$604,MATCH(23,_自动清单!$H$5:$H$604,0))&amp;"","")</f>
        <v/>
      </c>
      <c r="C174" s="16" t="str">
        <f aca="false">IFERROR(INDEX(电梯资料!$D$5:$D$604,MATCH(23,_自动清单!$H$5:$H$604,0))&amp;"","")</f>
        <v/>
      </c>
      <c r="D174" s="53" t="str">
        <f aca="false">IFERROR(INDEX(电梯资料!$Q$5:$Q$604,MATCH(23,_自动清单!$H$5:$H$604,0))&amp;"","")</f>
        <v/>
      </c>
      <c r="E174" s="53" t="str">
        <f aca="false">IFERROR(INDEX(电梯资料!$R$5:$R$604,MATCH(23,_自动清单!$H$5:$H$604,0))&amp;"","")</f>
        <v/>
      </c>
      <c r="F174" s="53" t="str">
        <f aca="false">IFERROR(INDEX(电梯资料!$Y$5:$Y$604,MATCH(23,_自动清单!$H$5:$H$604,0))&amp;"","")</f>
        <v/>
      </c>
      <c r="G174" s="54" t="str">
        <f aca="false">IFERROR(INDEX(电梯资料!$Z$5:$Z$604,MATCH(23,_自动清单!$H$5:$H$604,0)),"")</f>
        <v/>
      </c>
      <c r="H174" s="55" t="str">
        <f aca="true">IF(N($G174)=0,"",$G174-TODAY())</f>
        <v/>
      </c>
      <c r="I174" s="56" t="str">
        <f aca="false">IFERROR(INDEX(电梯资料!$AC$5:$AC$604,MATCH(23,_自动清单!$H$5:$H$604,0))&amp;"","")</f>
        <v/>
      </c>
      <c r="J174" s="53" t="str">
        <f aca="false">IFERROR(INDEX(电梯资料!$W$5:$W$604,MATCH(23,_自动清单!$H$5:$H$604,0))&amp;"","")</f>
        <v/>
      </c>
      <c r="K174" s="30" t="str">
        <f aca="false">IFERROR(INDEX(电梯资料!$AD$5:$AD$604,MATCH(23,_自动清单!$H$5:$H$604,0))&amp;"","")</f>
        <v/>
      </c>
      <c r="L174" s="35"/>
    </row>
    <row r="175" customFormat="false" ht="15" hidden="false" customHeight="false" outlineLevel="0" collapsed="false">
      <c r="A175" s="29" t="str">
        <f aca="false">IF(24&gt;_自动清单!$H$604,"",24)</f>
        <v/>
      </c>
      <c r="B175" s="16" t="str">
        <f aca="false">IFERROR(INDEX(电梯资料!$C$5:$C$604,MATCH(24,_自动清单!$H$5:$H$604,0))&amp;"","")</f>
        <v/>
      </c>
      <c r="C175" s="16" t="str">
        <f aca="false">IFERROR(INDEX(电梯资料!$D$5:$D$604,MATCH(24,_自动清单!$H$5:$H$604,0))&amp;"","")</f>
        <v/>
      </c>
      <c r="D175" s="53" t="str">
        <f aca="false">IFERROR(INDEX(电梯资料!$Q$5:$Q$604,MATCH(24,_自动清单!$H$5:$H$604,0))&amp;"","")</f>
        <v/>
      </c>
      <c r="E175" s="53" t="str">
        <f aca="false">IFERROR(INDEX(电梯资料!$R$5:$R$604,MATCH(24,_自动清单!$H$5:$H$604,0))&amp;"","")</f>
        <v/>
      </c>
      <c r="F175" s="53" t="str">
        <f aca="false">IFERROR(INDEX(电梯资料!$Y$5:$Y$604,MATCH(24,_自动清单!$H$5:$H$604,0))&amp;"","")</f>
        <v/>
      </c>
      <c r="G175" s="54" t="str">
        <f aca="false">IFERROR(INDEX(电梯资料!$Z$5:$Z$604,MATCH(24,_自动清单!$H$5:$H$604,0)),"")</f>
        <v/>
      </c>
      <c r="H175" s="55" t="str">
        <f aca="true">IF(N($G175)=0,"",$G175-TODAY())</f>
        <v/>
      </c>
      <c r="I175" s="56" t="str">
        <f aca="false">IFERROR(INDEX(电梯资料!$AC$5:$AC$604,MATCH(24,_自动清单!$H$5:$H$604,0))&amp;"","")</f>
        <v/>
      </c>
      <c r="J175" s="53" t="str">
        <f aca="false">IFERROR(INDEX(电梯资料!$W$5:$W$604,MATCH(24,_自动清单!$H$5:$H$604,0))&amp;"","")</f>
        <v/>
      </c>
      <c r="K175" s="30" t="str">
        <f aca="false">IFERROR(INDEX(电梯资料!$AD$5:$AD$604,MATCH(24,_自动清单!$H$5:$H$604,0))&amp;"","")</f>
        <v/>
      </c>
      <c r="L175" s="35"/>
    </row>
    <row r="176" customFormat="false" ht="15" hidden="false" customHeight="false" outlineLevel="0" collapsed="false">
      <c r="A176" s="29" t="str">
        <f aca="false">IF(25&gt;_自动清单!$H$604,"",25)</f>
        <v/>
      </c>
      <c r="B176" s="16" t="str">
        <f aca="false">IFERROR(INDEX(电梯资料!$C$5:$C$604,MATCH(25,_自动清单!$H$5:$H$604,0))&amp;"","")</f>
        <v/>
      </c>
      <c r="C176" s="16" t="str">
        <f aca="false">IFERROR(INDEX(电梯资料!$D$5:$D$604,MATCH(25,_自动清单!$H$5:$H$604,0))&amp;"","")</f>
        <v/>
      </c>
      <c r="D176" s="53" t="str">
        <f aca="false">IFERROR(INDEX(电梯资料!$Q$5:$Q$604,MATCH(25,_自动清单!$H$5:$H$604,0))&amp;"","")</f>
        <v/>
      </c>
      <c r="E176" s="53" t="str">
        <f aca="false">IFERROR(INDEX(电梯资料!$R$5:$R$604,MATCH(25,_自动清单!$H$5:$H$604,0))&amp;"","")</f>
        <v/>
      </c>
      <c r="F176" s="53" t="str">
        <f aca="false">IFERROR(INDEX(电梯资料!$Y$5:$Y$604,MATCH(25,_自动清单!$H$5:$H$604,0))&amp;"","")</f>
        <v/>
      </c>
      <c r="G176" s="54" t="str">
        <f aca="false">IFERROR(INDEX(电梯资料!$Z$5:$Z$604,MATCH(25,_自动清单!$H$5:$H$604,0)),"")</f>
        <v/>
      </c>
      <c r="H176" s="55" t="str">
        <f aca="true">IF(N($G176)=0,"",$G176-TODAY())</f>
        <v/>
      </c>
      <c r="I176" s="56" t="str">
        <f aca="false">IFERROR(INDEX(电梯资料!$AC$5:$AC$604,MATCH(25,_自动清单!$H$5:$H$604,0))&amp;"","")</f>
        <v/>
      </c>
      <c r="J176" s="53" t="str">
        <f aca="false">IFERROR(INDEX(电梯资料!$W$5:$W$604,MATCH(25,_自动清单!$H$5:$H$604,0))&amp;"","")</f>
        <v/>
      </c>
      <c r="K176" s="30" t="str">
        <f aca="false">IFERROR(INDEX(电梯资料!$AD$5:$AD$604,MATCH(25,_自动清单!$H$5:$H$604,0))&amp;"","")</f>
        <v/>
      </c>
      <c r="L176" s="35"/>
    </row>
    <row r="177" customFormat="false" ht="15" hidden="false" customHeight="false" outlineLevel="0" collapsed="false">
      <c r="A177" s="29" t="str">
        <f aca="false">IF(26&gt;_自动清单!$H$604,"",26)</f>
        <v/>
      </c>
      <c r="B177" s="16" t="str">
        <f aca="false">IFERROR(INDEX(电梯资料!$C$5:$C$604,MATCH(26,_自动清单!$H$5:$H$604,0))&amp;"","")</f>
        <v/>
      </c>
      <c r="C177" s="16" t="str">
        <f aca="false">IFERROR(INDEX(电梯资料!$D$5:$D$604,MATCH(26,_自动清单!$H$5:$H$604,0))&amp;"","")</f>
        <v/>
      </c>
      <c r="D177" s="53" t="str">
        <f aca="false">IFERROR(INDEX(电梯资料!$Q$5:$Q$604,MATCH(26,_自动清单!$H$5:$H$604,0))&amp;"","")</f>
        <v/>
      </c>
      <c r="E177" s="53" t="str">
        <f aca="false">IFERROR(INDEX(电梯资料!$R$5:$R$604,MATCH(26,_自动清单!$H$5:$H$604,0))&amp;"","")</f>
        <v/>
      </c>
      <c r="F177" s="53" t="str">
        <f aca="false">IFERROR(INDEX(电梯资料!$Y$5:$Y$604,MATCH(26,_自动清单!$H$5:$H$604,0))&amp;"","")</f>
        <v/>
      </c>
      <c r="G177" s="54" t="str">
        <f aca="false">IFERROR(INDEX(电梯资料!$Z$5:$Z$604,MATCH(26,_自动清单!$H$5:$H$604,0)),"")</f>
        <v/>
      </c>
      <c r="H177" s="55" t="str">
        <f aca="true">IF(N($G177)=0,"",$G177-TODAY())</f>
        <v/>
      </c>
      <c r="I177" s="56" t="str">
        <f aca="false">IFERROR(INDEX(电梯资料!$AC$5:$AC$604,MATCH(26,_自动清单!$H$5:$H$604,0))&amp;"","")</f>
        <v/>
      </c>
      <c r="J177" s="53" t="str">
        <f aca="false">IFERROR(INDEX(电梯资料!$W$5:$W$604,MATCH(26,_自动清单!$H$5:$H$604,0))&amp;"","")</f>
        <v/>
      </c>
      <c r="K177" s="30" t="str">
        <f aca="false">IFERROR(INDEX(电梯资料!$AD$5:$AD$604,MATCH(26,_自动清单!$H$5:$H$604,0))&amp;"","")</f>
        <v/>
      </c>
      <c r="L177" s="35"/>
    </row>
    <row r="178" customFormat="false" ht="15" hidden="false" customHeight="false" outlineLevel="0" collapsed="false">
      <c r="A178" s="29" t="str">
        <f aca="false">IF(27&gt;_自动清单!$H$604,"",27)</f>
        <v/>
      </c>
      <c r="B178" s="16" t="str">
        <f aca="false">IFERROR(INDEX(电梯资料!$C$5:$C$604,MATCH(27,_自动清单!$H$5:$H$604,0))&amp;"","")</f>
        <v/>
      </c>
      <c r="C178" s="16" t="str">
        <f aca="false">IFERROR(INDEX(电梯资料!$D$5:$D$604,MATCH(27,_自动清单!$H$5:$H$604,0))&amp;"","")</f>
        <v/>
      </c>
      <c r="D178" s="53" t="str">
        <f aca="false">IFERROR(INDEX(电梯资料!$Q$5:$Q$604,MATCH(27,_自动清单!$H$5:$H$604,0))&amp;"","")</f>
        <v/>
      </c>
      <c r="E178" s="53" t="str">
        <f aca="false">IFERROR(INDEX(电梯资料!$R$5:$R$604,MATCH(27,_自动清单!$H$5:$H$604,0))&amp;"","")</f>
        <v/>
      </c>
      <c r="F178" s="53" t="str">
        <f aca="false">IFERROR(INDEX(电梯资料!$Y$5:$Y$604,MATCH(27,_自动清单!$H$5:$H$604,0))&amp;"","")</f>
        <v/>
      </c>
      <c r="G178" s="54" t="str">
        <f aca="false">IFERROR(INDEX(电梯资料!$Z$5:$Z$604,MATCH(27,_自动清单!$H$5:$H$604,0)),"")</f>
        <v/>
      </c>
      <c r="H178" s="55" t="str">
        <f aca="true">IF(N($G178)=0,"",$G178-TODAY())</f>
        <v/>
      </c>
      <c r="I178" s="56" t="str">
        <f aca="false">IFERROR(INDEX(电梯资料!$AC$5:$AC$604,MATCH(27,_自动清单!$H$5:$H$604,0))&amp;"","")</f>
        <v/>
      </c>
      <c r="J178" s="53" t="str">
        <f aca="false">IFERROR(INDEX(电梯资料!$W$5:$W$604,MATCH(27,_自动清单!$H$5:$H$604,0))&amp;"","")</f>
        <v/>
      </c>
      <c r="K178" s="30" t="str">
        <f aca="false">IFERROR(INDEX(电梯资料!$AD$5:$AD$604,MATCH(27,_自动清单!$H$5:$H$604,0))&amp;"","")</f>
        <v/>
      </c>
      <c r="L178" s="35"/>
    </row>
    <row r="179" customFormat="false" ht="15" hidden="false" customHeight="false" outlineLevel="0" collapsed="false">
      <c r="A179" s="29" t="str">
        <f aca="false">IF(28&gt;_自动清单!$H$604,"",28)</f>
        <v/>
      </c>
      <c r="B179" s="16" t="str">
        <f aca="false">IFERROR(INDEX(电梯资料!$C$5:$C$604,MATCH(28,_自动清单!$H$5:$H$604,0))&amp;"","")</f>
        <v/>
      </c>
      <c r="C179" s="16" t="str">
        <f aca="false">IFERROR(INDEX(电梯资料!$D$5:$D$604,MATCH(28,_自动清单!$H$5:$H$604,0))&amp;"","")</f>
        <v/>
      </c>
      <c r="D179" s="53" t="str">
        <f aca="false">IFERROR(INDEX(电梯资料!$Q$5:$Q$604,MATCH(28,_自动清单!$H$5:$H$604,0))&amp;"","")</f>
        <v/>
      </c>
      <c r="E179" s="53" t="str">
        <f aca="false">IFERROR(INDEX(电梯资料!$R$5:$R$604,MATCH(28,_自动清单!$H$5:$H$604,0))&amp;"","")</f>
        <v/>
      </c>
      <c r="F179" s="53" t="str">
        <f aca="false">IFERROR(INDEX(电梯资料!$Y$5:$Y$604,MATCH(28,_自动清单!$H$5:$H$604,0))&amp;"","")</f>
        <v/>
      </c>
      <c r="G179" s="54" t="str">
        <f aca="false">IFERROR(INDEX(电梯资料!$Z$5:$Z$604,MATCH(28,_自动清单!$H$5:$H$604,0)),"")</f>
        <v/>
      </c>
      <c r="H179" s="55" t="str">
        <f aca="true">IF(N($G179)=0,"",$G179-TODAY())</f>
        <v/>
      </c>
      <c r="I179" s="56" t="str">
        <f aca="false">IFERROR(INDEX(电梯资料!$AC$5:$AC$604,MATCH(28,_自动清单!$H$5:$H$604,0))&amp;"","")</f>
        <v/>
      </c>
      <c r="J179" s="53" t="str">
        <f aca="false">IFERROR(INDEX(电梯资料!$W$5:$W$604,MATCH(28,_自动清单!$H$5:$H$604,0))&amp;"","")</f>
        <v/>
      </c>
      <c r="K179" s="30" t="str">
        <f aca="false">IFERROR(INDEX(电梯资料!$AD$5:$AD$604,MATCH(28,_自动清单!$H$5:$H$604,0))&amp;"","")</f>
        <v/>
      </c>
      <c r="L179" s="35"/>
    </row>
    <row r="180" customFormat="false" ht="15" hidden="false" customHeight="false" outlineLevel="0" collapsed="false">
      <c r="A180" s="29" t="str">
        <f aca="false">IF(29&gt;_自动清单!$H$604,"",29)</f>
        <v/>
      </c>
      <c r="B180" s="16" t="str">
        <f aca="false">IFERROR(INDEX(电梯资料!$C$5:$C$604,MATCH(29,_自动清单!$H$5:$H$604,0))&amp;"","")</f>
        <v/>
      </c>
      <c r="C180" s="16" t="str">
        <f aca="false">IFERROR(INDEX(电梯资料!$D$5:$D$604,MATCH(29,_自动清单!$H$5:$H$604,0))&amp;"","")</f>
        <v/>
      </c>
      <c r="D180" s="53" t="str">
        <f aca="false">IFERROR(INDEX(电梯资料!$Q$5:$Q$604,MATCH(29,_自动清单!$H$5:$H$604,0))&amp;"","")</f>
        <v/>
      </c>
      <c r="E180" s="53" t="str">
        <f aca="false">IFERROR(INDEX(电梯资料!$R$5:$R$604,MATCH(29,_自动清单!$H$5:$H$604,0))&amp;"","")</f>
        <v/>
      </c>
      <c r="F180" s="53" t="str">
        <f aca="false">IFERROR(INDEX(电梯资料!$Y$5:$Y$604,MATCH(29,_自动清单!$H$5:$H$604,0))&amp;"","")</f>
        <v/>
      </c>
      <c r="G180" s="54" t="str">
        <f aca="false">IFERROR(INDEX(电梯资料!$Z$5:$Z$604,MATCH(29,_自动清单!$H$5:$H$604,0)),"")</f>
        <v/>
      </c>
      <c r="H180" s="55" t="str">
        <f aca="true">IF(N($G180)=0,"",$G180-TODAY())</f>
        <v/>
      </c>
      <c r="I180" s="56" t="str">
        <f aca="false">IFERROR(INDEX(电梯资料!$AC$5:$AC$604,MATCH(29,_自动清单!$H$5:$H$604,0))&amp;"","")</f>
        <v/>
      </c>
      <c r="J180" s="53" t="str">
        <f aca="false">IFERROR(INDEX(电梯资料!$W$5:$W$604,MATCH(29,_自动清单!$H$5:$H$604,0))&amp;"","")</f>
        <v/>
      </c>
      <c r="K180" s="30" t="str">
        <f aca="false">IFERROR(INDEX(电梯资料!$AD$5:$AD$604,MATCH(29,_自动清单!$H$5:$H$604,0))&amp;"","")</f>
        <v/>
      </c>
      <c r="L180" s="35"/>
    </row>
    <row r="181" customFormat="false" ht="15" hidden="false" customHeight="false" outlineLevel="0" collapsed="false">
      <c r="A181" s="29" t="str">
        <f aca="false">IF(30&gt;_自动清单!$H$604,"",30)</f>
        <v/>
      </c>
      <c r="B181" s="16" t="str">
        <f aca="false">IFERROR(INDEX(电梯资料!$C$5:$C$604,MATCH(30,_自动清单!$H$5:$H$604,0))&amp;"","")</f>
        <v/>
      </c>
      <c r="C181" s="16" t="str">
        <f aca="false">IFERROR(INDEX(电梯资料!$D$5:$D$604,MATCH(30,_自动清单!$H$5:$H$604,0))&amp;"","")</f>
        <v/>
      </c>
      <c r="D181" s="53" t="str">
        <f aca="false">IFERROR(INDEX(电梯资料!$Q$5:$Q$604,MATCH(30,_自动清单!$H$5:$H$604,0))&amp;"","")</f>
        <v/>
      </c>
      <c r="E181" s="53" t="str">
        <f aca="false">IFERROR(INDEX(电梯资料!$R$5:$R$604,MATCH(30,_自动清单!$H$5:$H$604,0))&amp;"","")</f>
        <v/>
      </c>
      <c r="F181" s="53" t="str">
        <f aca="false">IFERROR(INDEX(电梯资料!$Y$5:$Y$604,MATCH(30,_自动清单!$H$5:$H$604,0))&amp;"","")</f>
        <v/>
      </c>
      <c r="G181" s="54" t="str">
        <f aca="false">IFERROR(INDEX(电梯资料!$Z$5:$Z$604,MATCH(30,_自动清单!$H$5:$H$604,0)),"")</f>
        <v/>
      </c>
      <c r="H181" s="55" t="str">
        <f aca="true">IF(N($G181)=0,"",$G181-TODAY())</f>
        <v/>
      </c>
      <c r="I181" s="56" t="str">
        <f aca="false">IFERROR(INDEX(电梯资料!$AC$5:$AC$604,MATCH(30,_自动清单!$H$5:$H$604,0))&amp;"","")</f>
        <v/>
      </c>
      <c r="J181" s="53" t="str">
        <f aca="false">IFERROR(INDEX(电梯资料!$W$5:$W$604,MATCH(30,_自动清单!$H$5:$H$604,0))&amp;"","")</f>
        <v/>
      </c>
      <c r="K181" s="30" t="str">
        <f aca="false">IFERROR(INDEX(电梯资料!$AD$5:$AD$604,MATCH(30,_自动清单!$H$5:$H$604,0))&amp;"","")</f>
        <v/>
      </c>
      <c r="L181" s="35"/>
    </row>
    <row r="182" customFormat="false" ht="15" hidden="false" customHeight="false" outlineLevel="0" collapsed="false">
      <c r="A182" s="29" t="str">
        <f aca="false">IF(31&gt;_自动清单!$H$604,"",31)</f>
        <v/>
      </c>
      <c r="B182" s="16" t="str">
        <f aca="false">IFERROR(INDEX(电梯资料!$C$5:$C$604,MATCH(31,_自动清单!$H$5:$H$604,0))&amp;"","")</f>
        <v/>
      </c>
      <c r="C182" s="16" t="str">
        <f aca="false">IFERROR(INDEX(电梯资料!$D$5:$D$604,MATCH(31,_自动清单!$H$5:$H$604,0))&amp;"","")</f>
        <v/>
      </c>
      <c r="D182" s="53" t="str">
        <f aca="false">IFERROR(INDEX(电梯资料!$Q$5:$Q$604,MATCH(31,_自动清单!$H$5:$H$604,0))&amp;"","")</f>
        <v/>
      </c>
      <c r="E182" s="53" t="str">
        <f aca="false">IFERROR(INDEX(电梯资料!$R$5:$R$604,MATCH(31,_自动清单!$H$5:$H$604,0))&amp;"","")</f>
        <v/>
      </c>
      <c r="F182" s="53" t="str">
        <f aca="false">IFERROR(INDEX(电梯资料!$Y$5:$Y$604,MATCH(31,_自动清单!$H$5:$H$604,0))&amp;"","")</f>
        <v/>
      </c>
      <c r="G182" s="54" t="str">
        <f aca="false">IFERROR(INDEX(电梯资料!$Z$5:$Z$604,MATCH(31,_自动清单!$H$5:$H$604,0)),"")</f>
        <v/>
      </c>
      <c r="H182" s="55" t="str">
        <f aca="true">IF(N($G182)=0,"",$G182-TODAY())</f>
        <v/>
      </c>
      <c r="I182" s="56" t="str">
        <f aca="false">IFERROR(INDEX(电梯资料!$AC$5:$AC$604,MATCH(31,_自动清单!$H$5:$H$604,0))&amp;"","")</f>
        <v/>
      </c>
      <c r="J182" s="53" t="str">
        <f aca="false">IFERROR(INDEX(电梯资料!$W$5:$W$604,MATCH(31,_自动清单!$H$5:$H$604,0))&amp;"","")</f>
        <v/>
      </c>
      <c r="K182" s="30" t="str">
        <f aca="false">IFERROR(INDEX(电梯资料!$AD$5:$AD$604,MATCH(31,_自动清单!$H$5:$H$604,0))&amp;"","")</f>
        <v/>
      </c>
      <c r="L182" s="35"/>
    </row>
    <row r="183" customFormat="false" ht="15" hidden="false" customHeight="false" outlineLevel="0" collapsed="false">
      <c r="A183" s="29" t="str">
        <f aca="false">IF(32&gt;_自动清单!$H$604,"",32)</f>
        <v/>
      </c>
      <c r="B183" s="16" t="str">
        <f aca="false">IFERROR(INDEX(电梯资料!$C$5:$C$604,MATCH(32,_自动清单!$H$5:$H$604,0))&amp;"","")</f>
        <v/>
      </c>
      <c r="C183" s="16" t="str">
        <f aca="false">IFERROR(INDEX(电梯资料!$D$5:$D$604,MATCH(32,_自动清单!$H$5:$H$604,0))&amp;"","")</f>
        <v/>
      </c>
      <c r="D183" s="53" t="str">
        <f aca="false">IFERROR(INDEX(电梯资料!$Q$5:$Q$604,MATCH(32,_自动清单!$H$5:$H$604,0))&amp;"","")</f>
        <v/>
      </c>
      <c r="E183" s="53" t="str">
        <f aca="false">IFERROR(INDEX(电梯资料!$R$5:$R$604,MATCH(32,_自动清单!$H$5:$H$604,0))&amp;"","")</f>
        <v/>
      </c>
      <c r="F183" s="53" t="str">
        <f aca="false">IFERROR(INDEX(电梯资料!$Y$5:$Y$604,MATCH(32,_自动清单!$H$5:$H$604,0))&amp;"","")</f>
        <v/>
      </c>
      <c r="G183" s="54" t="str">
        <f aca="false">IFERROR(INDEX(电梯资料!$Z$5:$Z$604,MATCH(32,_自动清单!$H$5:$H$604,0)),"")</f>
        <v/>
      </c>
      <c r="H183" s="55" t="str">
        <f aca="true">IF(N($G183)=0,"",$G183-TODAY())</f>
        <v/>
      </c>
      <c r="I183" s="56" t="str">
        <f aca="false">IFERROR(INDEX(电梯资料!$AC$5:$AC$604,MATCH(32,_自动清单!$H$5:$H$604,0))&amp;"","")</f>
        <v/>
      </c>
      <c r="J183" s="53" t="str">
        <f aca="false">IFERROR(INDEX(电梯资料!$W$5:$W$604,MATCH(32,_自动清单!$H$5:$H$604,0))&amp;"","")</f>
        <v/>
      </c>
      <c r="K183" s="30" t="str">
        <f aca="false">IFERROR(INDEX(电梯资料!$AD$5:$AD$604,MATCH(32,_自动清单!$H$5:$H$604,0))&amp;"","")</f>
        <v/>
      </c>
      <c r="L183" s="35"/>
    </row>
    <row r="184" customFormat="false" ht="15" hidden="false" customHeight="false" outlineLevel="0" collapsed="false">
      <c r="A184" s="29" t="str">
        <f aca="false">IF(33&gt;_自动清单!$H$604,"",33)</f>
        <v/>
      </c>
      <c r="B184" s="16" t="str">
        <f aca="false">IFERROR(INDEX(电梯资料!$C$5:$C$604,MATCH(33,_自动清单!$H$5:$H$604,0))&amp;"","")</f>
        <v/>
      </c>
      <c r="C184" s="16" t="str">
        <f aca="false">IFERROR(INDEX(电梯资料!$D$5:$D$604,MATCH(33,_自动清单!$H$5:$H$604,0))&amp;"","")</f>
        <v/>
      </c>
      <c r="D184" s="53" t="str">
        <f aca="false">IFERROR(INDEX(电梯资料!$Q$5:$Q$604,MATCH(33,_自动清单!$H$5:$H$604,0))&amp;"","")</f>
        <v/>
      </c>
      <c r="E184" s="53" t="str">
        <f aca="false">IFERROR(INDEX(电梯资料!$R$5:$R$604,MATCH(33,_自动清单!$H$5:$H$604,0))&amp;"","")</f>
        <v/>
      </c>
      <c r="F184" s="53" t="str">
        <f aca="false">IFERROR(INDEX(电梯资料!$Y$5:$Y$604,MATCH(33,_自动清单!$H$5:$H$604,0))&amp;"","")</f>
        <v/>
      </c>
      <c r="G184" s="54" t="str">
        <f aca="false">IFERROR(INDEX(电梯资料!$Z$5:$Z$604,MATCH(33,_自动清单!$H$5:$H$604,0)),"")</f>
        <v/>
      </c>
      <c r="H184" s="55" t="str">
        <f aca="true">IF(N($G184)=0,"",$G184-TODAY())</f>
        <v/>
      </c>
      <c r="I184" s="56" t="str">
        <f aca="false">IFERROR(INDEX(电梯资料!$AC$5:$AC$604,MATCH(33,_自动清单!$H$5:$H$604,0))&amp;"","")</f>
        <v/>
      </c>
      <c r="J184" s="53" t="str">
        <f aca="false">IFERROR(INDEX(电梯资料!$W$5:$W$604,MATCH(33,_自动清单!$H$5:$H$604,0))&amp;"","")</f>
        <v/>
      </c>
      <c r="K184" s="30" t="str">
        <f aca="false">IFERROR(INDEX(电梯资料!$AD$5:$AD$604,MATCH(33,_自动清单!$H$5:$H$604,0))&amp;"","")</f>
        <v/>
      </c>
      <c r="L184" s="35"/>
    </row>
    <row r="185" customFormat="false" ht="15" hidden="false" customHeight="false" outlineLevel="0" collapsed="false">
      <c r="A185" s="29" t="str">
        <f aca="false">IF(34&gt;_自动清单!$H$604,"",34)</f>
        <v/>
      </c>
      <c r="B185" s="16" t="str">
        <f aca="false">IFERROR(INDEX(电梯资料!$C$5:$C$604,MATCH(34,_自动清单!$H$5:$H$604,0))&amp;"","")</f>
        <v/>
      </c>
      <c r="C185" s="16" t="str">
        <f aca="false">IFERROR(INDEX(电梯资料!$D$5:$D$604,MATCH(34,_自动清单!$H$5:$H$604,0))&amp;"","")</f>
        <v/>
      </c>
      <c r="D185" s="53" t="str">
        <f aca="false">IFERROR(INDEX(电梯资料!$Q$5:$Q$604,MATCH(34,_自动清单!$H$5:$H$604,0))&amp;"","")</f>
        <v/>
      </c>
      <c r="E185" s="53" t="str">
        <f aca="false">IFERROR(INDEX(电梯资料!$R$5:$R$604,MATCH(34,_自动清单!$H$5:$H$604,0))&amp;"","")</f>
        <v/>
      </c>
      <c r="F185" s="53" t="str">
        <f aca="false">IFERROR(INDEX(电梯资料!$Y$5:$Y$604,MATCH(34,_自动清单!$H$5:$H$604,0))&amp;"","")</f>
        <v/>
      </c>
      <c r="G185" s="54" t="str">
        <f aca="false">IFERROR(INDEX(电梯资料!$Z$5:$Z$604,MATCH(34,_自动清单!$H$5:$H$604,0)),"")</f>
        <v/>
      </c>
      <c r="H185" s="55" t="str">
        <f aca="true">IF(N($G185)=0,"",$G185-TODAY())</f>
        <v/>
      </c>
      <c r="I185" s="56" t="str">
        <f aca="false">IFERROR(INDEX(电梯资料!$AC$5:$AC$604,MATCH(34,_自动清单!$H$5:$H$604,0))&amp;"","")</f>
        <v/>
      </c>
      <c r="J185" s="53" t="str">
        <f aca="false">IFERROR(INDEX(电梯资料!$W$5:$W$604,MATCH(34,_自动清单!$H$5:$H$604,0))&amp;"","")</f>
        <v/>
      </c>
      <c r="K185" s="30" t="str">
        <f aca="false">IFERROR(INDEX(电梯资料!$AD$5:$AD$604,MATCH(34,_自动清单!$H$5:$H$604,0))&amp;"","")</f>
        <v/>
      </c>
      <c r="L185" s="35"/>
    </row>
    <row r="186" customFormat="false" ht="15" hidden="false" customHeight="false" outlineLevel="0" collapsed="false">
      <c r="A186" s="29" t="str">
        <f aca="false">IF(35&gt;_自动清单!$H$604,"",35)</f>
        <v/>
      </c>
      <c r="B186" s="16" t="str">
        <f aca="false">IFERROR(INDEX(电梯资料!$C$5:$C$604,MATCH(35,_自动清单!$H$5:$H$604,0))&amp;"","")</f>
        <v/>
      </c>
      <c r="C186" s="16" t="str">
        <f aca="false">IFERROR(INDEX(电梯资料!$D$5:$D$604,MATCH(35,_自动清单!$H$5:$H$604,0))&amp;"","")</f>
        <v/>
      </c>
      <c r="D186" s="53" t="str">
        <f aca="false">IFERROR(INDEX(电梯资料!$Q$5:$Q$604,MATCH(35,_自动清单!$H$5:$H$604,0))&amp;"","")</f>
        <v/>
      </c>
      <c r="E186" s="53" t="str">
        <f aca="false">IFERROR(INDEX(电梯资料!$R$5:$R$604,MATCH(35,_自动清单!$H$5:$H$604,0))&amp;"","")</f>
        <v/>
      </c>
      <c r="F186" s="53" t="str">
        <f aca="false">IFERROR(INDEX(电梯资料!$Y$5:$Y$604,MATCH(35,_自动清单!$H$5:$H$604,0))&amp;"","")</f>
        <v/>
      </c>
      <c r="G186" s="54" t="str">
        <f aca="false">IFERROR(INDEX(电梯资料!$Z$5:$Z$604,MATCH(35,_自动清单!$H$5:$H$604,0)),"")</f>
        <v/>
      </c>
      <c r="H186" s="55" t="str">
        <f aca="true">IF(N($G186)=0,"",$G186-TODAY())</f>
        <v/>
      </c>
      <c r="I186" s="56" t="str">
        <f aca="false">IFERROR(INDEX(电梯资料!$AC$5:$AC$604,MATCH(35,_自动清单!$H$5:$H$604,0))&amp;"","")</f>
        <v/>
      </c>
      <c r="J186" s="53" t="str">
        <f aca="false">IFERROR(INDEX(电梯资料!$W$5:$W$604,MATCH(35,_自动清单!$H$5:$H$604,0))&amp;"","")</f>
        <v/>
      </c>
      <c r="K186" s="30" t="str">
        <f aca="false">IFERROR(INDEX(电梯资料!$AD$5:$AD$604,MATCH(35,_自动清单!$H$5:$H$604,0))&amp;"","")</f>
        <v/>
      </c>
      <c r="L186" s="35"/>
    </row>
    <row r="187" customFormat="false" ht="15" hidden="false" customHeight="false" outlineLevel="0" collapsed="false">
      <c r="A187" s="29" t="str">
        <f aca="false">IF(36&gt;_自动清单!$H$604,"",36)</f>
        <v/>
      </c>
      <c r="B187" s="16" t="str">
        <f aca="false">IFERROR(INDEX(电梯资料!$C$5:$C$604,MATCH(36,_自动清单!$H$5:$H$604,0))&amp;"","")</f>
        <v/>
      </c>
      <c r="C187" s="16" t="str">
        <f aca="false">IFERROR(INDEX(电梯资料!$D$5:$D$604,MATCH(36,_自动清单!$H$5:$H$604,0))&amp;"","")</f>
        <v/>
      </c>
      <c r="D187" s="53" t="str">
        <f aca="false">IFERROR(INDEX(电梯资料!$Q$5:$Q$604,MATCH(36,_自动清单!$H$5:$H$604,0))&amp;"","")</f>
        <v/>
      </c>
      <c r="E187" s="53" t="str">
        <f aca="false">IFERROR(INDEX(电梯资料!$R$5:$R$604,MATCH(36,_自动清单!$H$5:$H$604,0))&amp;"","")</f>
        <v/>
      </c>
      <c r="F187" s="53" t="str">
        <f aca="false">IFERROR(INDEX(电梯资料!$Y$5:$Y$604,MATCH(36,_自动清单!$H$5:$H$604,0))&amp;"","")</f>
        <v/>
      </c>
      <c r="G187" s="54" t="str">
        <f aca="false">IFERROR(INDEX(电梯资料!$Z$5:$Z$604,MATCH(36,_自动清单!$H$5:$H$604,0)),"")</f>
        <v/>
      </c>
      <c r="H187" s="55" t="str">
        <f aca="true">IF(N($G187)=0,"",$G187-TODAY())</f>
        <v/>
      </c>
      <c r="I187" s="56" t="str">
        <f aca="false">IFERROR(INDEX(电梯资料!$AC$5:$AC$604,MATCH(36,_自动清单!$H$5:$H$604,0))&amp;"","")</f>
        <v/>
      </c>
      <c r="J187" s="53" t="str">
        <f aca="false">IFERROR(INDEX(电梯资料!$W$5:$W$604,MATCH(36,_自动清单!$H$5:$H$604,0))&amp;"","")</f>
        <v/>
      </c>
      <c r="K187" s="30" t="str">
        <f aca="false">IFERROR(INDEX(电梯资料!$AD$5:$AD$604,MATCH(36,_自动清单!$H$5:$H$604,0))&amp;"","")</f>
        <v/>
      </c>
      <c r="L187" s="35"/>
    </row>
    <row r="188" customFormat="false" ht="15" hidden="false" customHeight="false" outlineLevel="0" collapsed="false">
      <c r="A188" s="29" t="str">
        <f aca="false">IF(37&gt;_自动清单!$H$604,"",37)</f>
        <v/>
      </c>
      <c r="B188" s="16" t="str">
        <f aca="false">IFERROR(INDEX(电梯资料!$C$5:$C$604,MATCH(37,_自动清单!$H$5:$H$604,0))&amp;"","")</f>
        <v/>
      </c>
      <c r="C188" s="16" t="str">
        <f aca="false">IFERROR(INDEX(电梯资料!$D$5:$D$604,MATCH(37,_自动清单!$H$5:$H$604,0))&amp;"","")</f>
        <v/>
      </c>
      <c r="D188" s="53" t="str">
        <f aca="false">IFERROR(INDEX(电梯资料!$Q$5:$Q$604,MATCH(37,_自动清单!$H$5:$H$604,0))&amp;"","")</f>
        <v/>
      </c>
      <c r="E188" s="53" t="str">
        <f aca="false">IFERROR(INDEX(电梯资料!$R$5:$R$604,MATCH(37,_自动清单!$H$5:$H$604,0))&amp;"","")</f>
        <v/>
      </c>
      <c r="F188" s="53" t="str">
        <f aca="false">IFERROR(INDEX(电梯资料!$Y$5:$Y$604,MATCH(37,_自动清单!$H$5:$H$604,0))&amp;"","")</f>
        <v/>
      </c>
      <c r="G188" s="54" t="str">
        <f aca="false">IFERROR(INDEX(电梯资料!$Z$5:$Z$604,MATCH(37,_自动清单!$H$5:$H$604,0)),"")</f>
        <v/>
      </c>
      <c r="H188" s="55" t="str">
        <f aca="true">IF(N($G188)=0,"",$G188-TODAY())</f>
        <v/>
      </c>
      <c r="I188" s="56" t="str">
        <f aca="false">IFERROR(INDEX(电梯资料!$AC$5:$AC$604,MATCH(37,_自动清单!$H$5:$H$604,0))&amp;"","")</f>
        <v/>
      </c>
      <c r="J188" s="53" t="str">
        <f aca="false">IFERROR(INDEX(电梯资料!$W$5:$W$604,MATCH(37,_自动清单!$H$5:$H$604,0))&amp;"","")</f>
        <v/>
      </c>
      <c r="K188" s="30" t="str">
        <f aca="false">IFERROR(INDEX(电梯资料!$AD$5:$AD$604,MATCH(37,_自动清单!$H$5:$H$604,0))&amp;"","")</f>
        <v/>
      </c>
      <c r="L188" s="35"/>
    </row>
    <row r="189" customFormat="false" ht="15" hidden="false" customHeight="false" outlineLevel="0" collapsed="false">
      <c r="A189" s="29" t="str">
        <f aca="false">IF(38&gt;_自动清单!$H$604,"",38)</f>
        <v/>
      </c>
      <c r="B189" s="16" t="str">
        <f aca="false">IFERROR(INDEX(电梯资料!$C$5:$C$604,MATCH(38,_自动清单!$H$5:$H$604,0))&amp;"","")</f>
        <v/>
      </c>
      <c r="C189" s="16" t="str">
        <f aca="false">IFERROR(INDEX(电梯资料!$D$5:$D$604,MATCH(38,_自动清单!$H$5:$H$604,0))&amp;"","")</f>
        <v/>
      </c>
      <c r="D189" s="53" t="str">
        <f aca="false">IFERROR(INDEX(电梯资料!$Q$5:$Q$604,MATCH(38,_自动清单!$H$5:$H$604,0))&amp;"","")</f>
        <v/>
      </c>
      <c r="E189" s="53" t="str">
        <f aca="false">IFERROR(INDEX(电梯资料!$R$5:$R$604,MATCH(38,_自动清单!$H$5:$H$604,0))&amp;"","")</f>
        <v/>
      </c>
      <c r="F189" s="53" t="str">
        <f aca="false">IFERROR(INDEX(电梯资料!$Y$5:$Y$604,MATCH(38,_自动清单!$H$5:$H$604,0))&amp;"","")</f>
        <v/>
      </c>
      <c r="G189" s="54" t="str">
        <f aca="false">IFERROR(INDEX(电梯资料!$Z$5:$Z$604,MATCH(38,_自动清单!$H$5:$H$604,0)),"")</f>
        <v/>
      </c>
      <c r="H189" s="55" t="str">
        <f aca="true">IF(N($G189)=0,"",$G189-TODAY())</f>
        <v/>
      </c>
      <c r="I189" s="56" t="str">
        <f aca="false">IFERROR(INDEX(电梯资料!$AC$5:$AC$604,MATCH(38,_自动清单!$H$5:$H$604,0))&amp;"","")</f>
        <v/>
      </c>
      <c r="J189" s="53" t="str">
        <f aca="false">IFERROR(INDEX(电梯资料!$W$5:$W$604,MATCH(38,_自动清单!$H$5:$H$604,0))&amp;"","")</f>
        <v/>
      </c>
      <c r="K189" s="30" t="str">
        <f aca="false">IFERROR(INDEX(电梯资料!$AD$5:$AD$604,MATCH(38,_自动清单!$H$5:$H$604,0))&amp;"","")</f>
        <v/>
      </c>
      <c r="L189" s="35"/>
    </row>
    <row r="190" customFormat="false" ht="15" hidden="false" customHeight="false" outlineLevel="0" collapsed="false">
      <c r="A190" s="29" t="str">
        <f aca="false">IF(39&gt;_自动清单!$H$604,"",39)</f>
        <v/>
      </c>
      <c r="B190" s="16" t="str">
        <f aca="false">IFERROR(INDEX(电梯资料!$C$5:$C$604,MATCH(39,_自动清单!$H$5:$H$604,0))&amp;"","")</f>
        <v/>
      </c>
      <c r="C190" s="16" t="str">
        <f aca="false">IFERROR(INDEX(电梯资料!$D$5:$D$604,MATCH(39,_自动清单!$H$5:$H$604,0))&amp;"","")</f>
        <v/>
      </c>
      <c r="D190" s="53" t="str">
        <f aca="false">IFERROR(INDEX(电梯资料!$Q$5:$Q$604,MATCH(39,_自动清单!$H$5:$H$604,0))&amp;"","")</f>
        <v/>
      </c>
      <c r="E190" s="53" t="str">
        <f aca="false">IFERROR(INDEX(电梯资料!$R$5:$R$604,MATCH(39,_自动清单!$H$5:$H$604,0))&amp;"","")</f>
        <v/>
      </c>
      <c r="F190" s="53" t="str">
        <f aca="false">IFERROR(INDEX(电梯资料!$Y$5:$Y$604,MATCH(39,_自动清单!$H$5:$H$604,0))&amp;"","")</f>
        <v/>
      </c>
      <c r="G190" s="54" t="str">
        <f aca="false">IFERROR(INDEX(电梯资料!$Z$5:$Z$604,MATCH(39,_自动清单!$H$5:$H$604,0)),"")</f>
        <v/>
      </c>
      <c r="H190" s="55" t="str">
        <f aca="true">IF(N($G190)=0,"",$G190-TODAY())</f>
        <v/>
      </c>
      <c r="I190" s="56" t="str">
        <f aca="false">IFERROR(INDEX(电梯资料!$AC$5:$AC$604,MATCH(39,_自动清单!$H$5:$H$604,0))&amp;"","")</f>
        <v/>
      </c>
      <c r="J190" s="53" t="str">
        <f aca="false">IFERROR(INDEX(电梯资料!$W$5:$W$604,MATCH(39,_自动清单!$H$5:$H$604,0))&amp;"","")</f>
        <v/>
      </c>
      <c r="K190" s="30" t="str">
        <f aca="false">IFERROR(INDEX(电梯资料!$AD$5:$AD$604,MATCH(39,_自动清单!$H$5:$H$604,0))&amp;"","")</f>
        <v/>
      </c>
      <c r="L190" s="35"/>
    </row>
    <row r="191" customFormat="false" ht="15" hidden="false" customHeight="false" outlineLevel="0" collapsed="false">
      <c r="A191" s="29" t="str">
        <f aca="false">IF(40&gt;_自动清单!$H$604,"",40)</f>
        <v/>
      </c>
      <c r="B191" s="16" t="str">
        <f aca="false">IFERROR(INDEX(电梯资料!$C$5:$C$604,MATCH(40,_自动清单!$H$5:$H$604,0))&amp;"","")</f>
        <v/>
      </c>
      <c r="C191" s="16" t="str">
        <f aca="false">IFERROR(INDEX(电梯资料!$D$5:$D$604,MATCH(40,_自动清单!$H$5:$H$604,0))&amp;"","")</f>
        <v/>
      </c>
      <c r="D191" s="53" t="str">
        <f aca="false">IFERROR(INDEX(电梯资料!$Q$5:$Q$604,MATCH(40,_自动清单!$H$5:$H$604,0))&amp;"","")</f>
        <v/>
      </c>
      <c r="E191" s="53" t="str">
        <f aca="false">IFERROR(INDEX(电梯资料!$R$5:$R$604,MATCH(40,_自动清单!$H$5:$H$604,0))&amp;"","")</f>
        <v/>
      </c>
      <c r="F191" s="53" t="str">
        <f aca="false">IFERROR(INDEX(电梯资料!$Y$5:$Y$604,MATCH(40,_自动清单!$H$5:$H$604,0))&amp;"","")</f>
        <v/>
      </c>
      <c r="G191" s="54" t="str">
        <f aca="false">IFERROR(INDEX(电梯资料!$Z$5:$Z$604,MATCH(40,_自动清单!$H$5:$H$604,0)),"")</f>
        <v/>
      </c>
      <c r="H191" s="55" t="str">
        <f aca="true">IF(N($G191)=0,"",$G191-TODAY())</f>
        <v/>
      </c>
      <c r="I191" s="56" t="str">
        <f aca="false">IFERROR(INDEX(电梯资料!$AC$5:$AC$604,MATCH(40,_自动清单!$H$5:$H$604,0))&amp;"","")</f>
        <v/>
      </c>
      <c r="J191" s="53" t="str">
        <f aca="false">IFERROR(INDEX(电梯资料!$W$5:$W$604,MATCH(40,_自动清单!$H$5:$H$604,0))&amp;"","")</f>
        <v/>
      </c>
      <c r="K191" s="30" t="str">
        <f aca="false">IFERROR(INDEX(电梯资料!$AD$5:$AD$604,MATCH(40,_自动清单!$H$5:$H$604,0))&amp;"","")</f>
        <v/>
      </c>
      <c r="L191" s="35"/>
    </row>
    <row r="192" customFormat="false" ht="15" hidden="false" customHeight="false" outlineLevel="0" collapsed="false">
      <c r="A192" s="29" t="str">
        <f aca="false">IF(41&gt;_自动清单!$H$604,"",41)</f>
        <v/>
      </c>
      <c r="B192" s="16" t="str">
        <f aca="false">IFERROR(INDEX(电梯资料!$C$5:$C$604,MATCH(41,_自动清单!$H$5:$H$604,0))&amp;"","")</f>
        <v/>
      </c>
      <c r="C192" s="16" t="str">
        <f aca="false">IFERROR(INDEX(电梯资料!$D$5:$D$604,MATCH(41,_自动清单!$H$5:$H$604,0))&amp;"","")</f>
        <v/>
      </c>
      <c r="D192" s="53" t="str">
        <f aca="false">IFERROR(INDEX(电梯资料!$Q$5:$Q$604,MATCH(41,_自动清单!$H$5:$H$604,0))&amp;"","")</f>
        <v/>
      </c>
      <c r="E192" s="53" t="str">
        <f aca="false">IFERROR(INDEX(电梯资料!$R$5:$R$604,MATCH(41,_自动清单!$H$5:$H$604,0))&amp;"","")</f>
        <v/>
      </c>
      <c r="F192" s="53" t="str">
        <f aca="false">IFERROR(INDEX(电梯资料!$Y$5:$Y$604,MATCH(41,_自动清单!$H$5:$H$604,0))&amp;"","")</f>
        <v/>
      </c>
      <c r="G192" s="54" t="str">
        <f aca="false">IFERROR(INDEX(电梯资料!$Z$5:$Z$604,MATCH(41,_自动清单!$H$5:$H$604,0)),"")</f>
        <v/>
      </c>
      <c r="H192" s="55" t="str">
        <f aca="true">IF(N($G192)=0,"",$G192-TODAY())</f>
        <v/>
      </c>
      <c r="I192" s="56" t="str">
        <f aca="false">IFERROR(INDEX(电梯资料!$AC$5:$AC$604,MATCH(41,_自动清单!$H$5:$H$604,0))&amp;"","")</f>
        <v/>
      </c>
      <c r="J192" s="53" t="str">
        <f aca="false">IFERROR(INDEX(电梯资料!$W$5:$W$604,MATCH(41,_自动清单!$H$5:$H$604,0))&amp;"","")</f>
        <v/>
      </c>
      <c r="K192" s="30" t="str">
        <f aca="false">IFERROR(INDEX(电梯资料!$AD$5:$AD$604,MATCH(41,_自动清单!$H$5:$H$604,0))&amp;"","")</f>
        <v/>
      </c>
      <c r="L192" s="35"/>
    </row>
    <row r="193" customFormat="false" ht="15" hidden="false" customHeight="false" outlineLevel="0" collapsed="false">
      <c r="A193" s="29" t="str">
        <f aca="false">IF(42&gt;_自动清单!$H$604,"",42)</f>
        <v/>
      </c>
      <c r="B193" s="16" t="str">
        <f aca="false">IFERROR(INDEX(电梯资料!$C$5:$C$604,MATCH(42,_自动清单!$H$5:$H$604,0))&amp;"","")</f>
        <v/>
      </c>
      <c r="C193" s="16" t="str">
        <f aca="false">IFERROR(INDEX(电梯资料!$D$5:$D$604,MATCH(42,_自动清单!$H$5:$H$604,0))&amp;"","")</f>
        <v/>
      </c>
      <c r="D193" s="53" t="str">
        <f aca="false">IFERROR(INDEX(电梯资料!$Q$5:$Q$604,MATCH(42,_自动清单!$H$5:$H$604,0))&amp;"","")</f>
        <v/>
      </c>
      <c r="E193" s="53" t="str">
        <f aca="false">IFERROR(INDEX(电梯资料!$R$5:$R$604,MATCH(42,_自动清单!$H$5:$H$604,0))&amp;"","")</f>
        <v/>
      </c>
      <c r="F193" s="53" t="str">
        <f aca="false">IFERROR(INDEX(电梯资料!$Y$5:$Y$604,MATCH(42,_自动清单!$H$5:$H$604,0))&amp;"","")</f>
        <v/>
      </c>
      <c r="G193" s="54" t="str">
        <f aca="false">IFERROR(INDEX(电梯资料!$Z$5:$Z$604,MATCH(42,_自动清单!$H$5:$H$604,0)),"")</f>
        <v/>
      </c>
      <c r="H193" s="55" t="str">
        <f aca="true">IF(N($G193)=0,"",$G193-TODAY())</f>
        <v/>
      </c>
      <c r="I193" s="56" t="str">
        <f aca="false">IFERROR(INDEX(电梯资料!$AC$5:$AC$604,MATCH(42,_自动清单!$H$5:$H$604,0))&amp;"","")</f>
        <v/>
      </c>
      <c r="J193" s="53" t="str">
        <f aca="false">IFERROR(INDEX(电梯资料!$W$5:$W$604,MATCH(42,_自动清单!$H$5:$H$604,0))&amp;"","")</f>
        <v/>
      </c>
      <c r="K193" s="30" t="str">
        <f aca="false">IFERROR(INDEX(电梯资料!$AD$5:$AD$604,MATCH(42,_自动清单!$H$5:$H$604,0))&amp;"","")</f>
        <v/>
      </c>
      <c r="L193" s="35"/>
    </row>
    <row r="194" customFormat="false" ht="15" hidden="false" customHeight="false" outlineLevel="0" collapsed="false">
      <c r="A194" s="29" t="str">
        <f aca="false">IF(43&gt;_自动清单!$H$604,"",43)</f>
        <v/>
      </c>
      <c r="B194" s="16" t="str">
        <f aca="false">IFERROR(INDEX(电梯资料!$C$5:$C$604,MATCH(43,_自动清单!$H$5:$H$604,0))&amp;"","")</f>
        <v/>
      </c>
      <c r="C194" s="16" t="str">
        <f aca="false">IFERROR(INDEX(电梯资料!$D$5:$D$604,MATCH(43,_自动清单!$H$5:$H$604,0))&amp;"","")</f>
        <v/>
      </c>
      <c r="D194" s="53" t="str">
        <f aca="false">IFERROR(INDEX(电梯资料!$Q$5:$Q$604,MATCH(43,_自动清单!$H$5:$H$604,0))&amp;"","")</f>
        <v/>
      </c>
      <c r="E194" s="53" t="str">
        <f aca="false">IFERROR(INDEX(电梯资料!$R$5:$R$604,MATCH(43,_自动清单!$H$5:$H$604,0))&amp;"","")</f>
        <v/>
      </c>
      <c r="F194" s="53" t="str">
        <f aca="false">IFERROR(INDEX(电梯资料!$Y$5:$Y$604,MATCH(43,_自动清单!$H$5:$H$604,0))&amp;"","")</f>
        <v/>
      </c>
      <c r="G194" s="54" t="str">
        <f aca="false">IFERROR(INDEX(电梯资料!$Z$5:$Z$604,MATCH(43,_自动清单!$H$5:$H$604,0)),"")</f>
        <v/>
      </c>
      <c r="H194" s="55" t="str">
        <f aca="true">IF(N($G194)=0,"",$G194-TODAY())</f>
        <v/>
      </c>
      <c r="I194" s="56" t="str">
        <f aca="false">IFERROR(INDEX(电梯资料!$AC$5:$AC$604,MATCH(43,_自动清单!$H$5:$H$604,0))&amp;"","")</f>
        <v/>
      </c>
      <c r="J194" s="53" t="str">
        <f aca="false">IFERROR(INDEX(电梯资料!$W$5:$W$604,MATCH(43,_自动清单!$H$5:$H$604,0))&amp;"","")</f>
        <v/>
      </c>
      <c r="K194" s="30" t="str">
        <f aca="false">IFERROR(INDEX(电梯资料!$AD$5:$AD$604,MATCH(43,_自动清单!$H$5:$H$604,0))&amp;"","")</f>
        <v/>
      </c>
      <c r="L194" s="35"/>
    </row>
    <row r="195" customFormat="false" ht="15" hidden="false" customHeight="false" outlineLevel="0" collapsed="false">
      <c r="A195" s="29" t="str">
        <f aca="false">IF(44&gt;_自动清单!$H$604,"",44)</f>
        <v/>
      </c>
      <c r="B195" s="16" t="str">
        <f aca="false">IFERROR(INDEX(电梯资料!$C$5:$C$604,MATCH(44,_自动清单!$H$5:$H$604,0))&amp;"","")</f>
        <v/>
      </c>
      <c r="C195" s="16" t="str">
        <f aca="false">IFERROR(INDEX(电梯资料!$D$5:$D$604,MATCH(44,_自动清单!$H$5:$H$604,0))&amp;"","")</f>
        <v/>
      </c>
      <c r="D195" s="53" t="str">
        <f aca="false">IFERROR(INDEX(电梯资料!$Q$5:$Q$604,MATCH(44,_自动清单!$H$5:$H$604,0))&amp;"","")</f>
        <v/>
      </c>
      <c r="E195" s="53" t="str">
        <f aca="false">IFERROR(INDEX(电梯资料!$R$5:$R$604,MATCH(44,_自动清单!$H$5:$H$604,0))&amp;"","")</f>
        <v/>
      </c>
      <c r="F195" s="53" t="str">
        <f aca="false">IFERROR(INDEX(电梯资料!$Y$5:$Y$604,MATCH(44,_自动清单!$H$5:$H$604,0))&amp;"","")</f>
        <v/>
      </c>
      <c r="G195" s="54" t="str">
        <f aca="false">IFERROR(INDEX(电梯资料!$Z$5:$Z$604,MATCH(44,_自动清单!$H$5:$H$604,0)),"")</f>
        <v/>
      </c>
      <c r="H195" s="55" t="str">
        <f aca="true">IF(N($G195)=0,"",$G195-TODAY())</f>
        <v/>
      </c>
      <c r="I195" s="56" t="str">
        <f aca="false">IFERROR(INDEX(电梯资料!$AC$5:$AC$604,MATCH(44,_自动清单!$H$5:$H$604,0))&amp;"","")</f>
        <v/>
      </c>
      <c r="J195" s="53" t="str">
        <f aca="false">IFERROR(INDEX(电梯资料!$W$5:$W$604,MATCH(44,_自动清单!$H$5:$H$604,0))&amp;"","")</f>
        <v/>
      </c>
      <c r="K195" s="30" t="str">
        <f aca="false">IFERROR(INDEX(电梯资料!$AD$5:$AD$604,MATCH(44,_自动清单!$H$5:$H$604,0))&amp;"","")</f>
        <v/>
      </c>
      <c r="L195" s="35"/>
    </row>
    <row r="196" customFormat="false" ht="15" hidden="false" customHeight="false" outlineLevel="0" collapsed="false">
      <c r="A196" s="29" t="str">
        <f aca="false">IF(45&gt;_自动清单!$H$604,"",45)</f>
        <v/>
      </c>
      <c r="B196" s="16" t="str">
        <f aca="false">IFERROR(INDEX(电梯资料!$C$5:$C$604,MATCH(45,_自动清单!$H$5:$H$604,0))&amp;"","")</f>
        <v/>
      </c>
      <c r="C196" s="16" t="str">
        <f aca="false">IFERROR(INDEX(电梯资料!$D$5:$D$604,MATCH(45,_自动清单!$H$5:$H$604,0))&amp;"","")</f>
        <v/>
      </c>
      <c r="D196" s="53" t="str">
        <f aca="false">IFERROR(INDEX(电梯资料!$Q$5:$Q$604,MATCH(45,_自动清单!$H$5:$H$604,0))&amp;"","")</f>
        <v/>
      </c>
      <c r="E196" s="53" t="str">
        <f aca="false">IFERROR(INDEX(电梯资料!$R$5:$R$604,MATCH(45,_自动清单!$H$5:$H$604,0))&amp;"","")</f>
        <v/>
      </c>
      <c r="F196" s="53" t="str">
        <f aca="false">IFERROR(INDEX(电梯资料!$Y$5:$Y$604,MATCH(45,_自动清单!$H$5:$H$604,0))&amp;"","")</f>
        <v/>
      </c>
      <c r="G196" s="54" t="str">
        <f aca="false">IFERROR(INDEX(电梯资料!$Z$5:$Z$604,MATCH(45,_自动清单!$H$5:$H$604,0)),"")</f>
        <v/>
      </c>
      <c r="H196" s="55" t="str">
        <f aca="true">IF(N($G196)=0,"",$G196-TODAY())</f>
        <v/>
      </c>
      <c r="I196" s="56" t="str">
        <f aca="false">IFERROR(INDEX(电梯资料!$AC$5:$AC$604,MATCH(45,_自动清单!$H$5:$H$604,0))&amp;"","")</f>
        <v/>
      </c>
      <c r="J196" s="53" t="str">
        <f aca="false">IFERROR(INDEX(电梯资料!$W$5:$W$604,MATCH(45,_自动清单!$H$5:$H$604,0))&amp;"","")</f>
        <v/>
      </c>
      <c r="K196" s="30" t="str">
        <f aca="false">IFERROR(INDEX(电梯资料!$AD$5:$AD$604,MATCH(45,_自动清单!$H$5:$H$604,0))&amp;"","")</f>
        <v/>
      </c>
      <c r="L196" s="35"/>
    </row>
    <row r="197" customFormat="false" ht="15" hidden="false" customHeight="false" outlineLevel="0" collapsed="false">
      <c r="A197" s="29" t="str">
        <f aca="false">IF(46&gt;_自动清单!$H$604,"",46)</f>
        <v/>
      </c>
      <c r="B197" s="16" t="str">
        <f aca="false">IFERROR(INDEX(电梯资料!$C$5:$C$604,MATCH(46,_自动清单!$H$5:$H$604,0))&amp;"","")</f>
        <v/>
      </c>
      <c r="C197" s="16" t="str">
        <f aca="false">IFERROR(INDEX(电梯资料!$D$5:$D$604,MATCH(46,_自动清单!$H$5:$H$604,0))&amp;"","")</f>
        <v/>
      </c>
      <c r="D197" s="53" t="str">
        <f aca="false">IFERROR(INDEX(电梯资料!$Q$5:$Q$604,MATCH(46,_自动清单!$H$5:$H$604,0))&amp;"","")</f>
        <v/>
      </c>
      <c r="E197" s="53" t="str">
        <f aca="false">IFERROR(INDEX(电梯资料!$R$5:$R$604,MATCH(46,_自动清单!$H$5:$H$604,0))&amp;"","")</f>
        <v/>
      </c>
      <c r="F197" s="53" t="str">
        <f aca="false">IFERROR(INDEX(电梯资料!$Y$5:$Y$604,MATCH(46,_自动清单!$H$5:$H$604,0))&amp;"","")</f>
        <v/>
      </c>
      <c r="G197" s="54" t="str">
        <f aca="false">IFERROR(INDEX(电梯资料!$Z$5:$Z$604,MATCH(46,_自动清单!$H$5:$H$604,0)),"")</f>
        <v/>
      </c>
      <c r="H197" s="55" t="str">
        <f aca="true">IF(N($G197)=0,"",$G197-TODAY())</f>
        <v/>
      </c>
      <c r="I197" s="56" t="str">
        <f aca="false">IFERROR(INDEX(电梯资料!$AC$5:$AC$604,MATCH(46,_自动清单!$H$5:$H$604,0))&amp;"","")</f>
        <v/>
      </c>
      <c r="J197" s="53" t="str">
        <f aca="false">IFERROR(INDEX(电梯资料!$W$5:$W$604,MATCH(46,_自动清单!$H$5:$H$604,0))&amp;"","")</f>
        <v/>
      </c>
      <c r="K197" s="30" t="str">
        <f aca="false">IFERROR(INDEX(电梯资料!$AD$5:$AD$604,MATCH(46,_自动清单!$H$5:$H$604,0))&amp;"","")</f>
        <v/>
      </c>
      <c r="L197" s="35"/>
    </row>
    <row r="198" customFormat="false" ht="15" hidden="false" customHeight="false" outlineLevel="0" collapsed="false">
      <c r="A198" s="29" t="str">
        <f aca="false">IF(47&gt;_自动清单!$H$604,"",47)</f>
        <v/>
      </c>
      <c r="B198" s="16" t="str">
        <f aca="false">IFERROR(INDEX(电梯资料!$C$5:$C$604,MATCH(47,_自动清单!$H$5:$H$604,0))&amp;"","")</f>
        <v/>
      </c>
      <c r="C198" s="16" t="str">
        <f aca="false">IFERROR(INDEX(电梯资料!$D$5:$D$604,MATCH(47,_自动清单!$H$5:$H$604,0))&amp;"","")</f>
        <v/>
      </c>
      <c r="D198" s="53" t="str">
        <f aca="false">IFERROR(INDEX(电梯资料!$Q$5:$Q$604,MATCH(47,_自动清单!$H$5:$H$604,0))&amp;"","")</f>
        <v/>
      </c>
      <c r="E198" s="53" t="str">
        <f aca="false">IFERROR(INDEX(电梯资料!$R$5:$R$604,MATCH(47,_自动清单!$H$5:$H$604,0))&amp;"","")</f>
        <v/>
      </c>
      <c r="F198" s="53" t="str">
        <f aca="false">IFERROR(INDEX(电梯资料!$Y$5:$Y$604,MATCH(47,_自动清单!$H$5:$H$604,0))&amp;"","")</f>
        <v/>
      </c>
      <c r="G198" s="54" t="str">
        <f aca="false">IFERROR(INDEX(电梯资料!$Z$5:$Z$604,MATCH(47,_自动清单!$H$5:$H$604,0)),"")</f>
        <v/>
      </c>
      <c r="H198" s="55" t="str">
        <f aca="true">IF(N($G198)=0,"",$G198-TODAY())</f>
        <v/>
      </c>
      <c r="I198" s="56" t="str">
        <f aca="false">IFERROR(INDEX(电梯资料!$AC$5:$AC$604,MATCH(47,_自动清单!$H$5:$H$604,0))&amp;"","")</f>
        <v/>
      </c>
      <c r="J198" s="53" t="str">
        <f aca="false">IFERROR(INDEX(电梯资料!$W$5:$W$604,MATCH(47,_自动清单!$H$5:$H$604,0))&amp;"","")</f>
        <v/>
      </c>
      <c r="K198" s="30" t="str">
        <f aca="false">IFERROR(INDEX(电梯资料!$AD$5:$AD$604,MATCH(47,_自动清单!$H$5:$H$604,0))&amp;"","")</f>
        <v/>
      </c>
      <c r="L198" s="35"/>
    </row>
    <row r="199" customFormat="false" ht="15" hidden="false" customHeight="false" outlineLevel="0" collapsed="false">
      <c r="A199" s="29" t="str">
        <f aca="false">IF(48&gt;_自动清单!$H$604,"",48)</f>
        <v/>
      </c>
      <c r="B199" s="16" t="str">
        <f aca="false">IFERROR(INDEX(电梯资料!$C$5:$C$604,MATCH(48,_自动清单!$H$5:$H$604,0))&amp;"","")</f>
        <v/>
      </c>
      <c r="C199" s="16" t="str">
        <f aca="false">IFERROR(INDEX(电梯资料!$D$5:$D$604,MATCH(48,_自动清单!$H$5:$H$604,0))&amp;"","")</f>
        <v/>
      </c>
      <c r="D199" s="53" t="str">
        <f aca="false">IFERROR(INDEX(电梯资料!$Q$5:$Q$604,MATCH(48,_自动清单!$H$5:$H$604,0))&amp;"","")</f>
        <v/>
      </c>
      <c r="E199" s="53" t="str">
        <f aca="false">IFERROR(INDEX(电梯资料!$R$5:$R$604,MATCH(48,_自动清单!$H$5:$H$604,0))&amp;"","")</f>
        <v/>
      </c>
      <c r="F199" s="53" t="str">
        <f aca="false">IFERROR(INDEX(电梯资料!$Y$5:$Y$604,MATCH(48,_自动清单!$H$5:$H$604,0))&amp;"","")</f>
        <v/>
      </c>
      <c r="G199" s="54" t="str">
        <f aca="false">IFERROR(INDEX(电梯资料!$Z$5:$Z$604,MATCH(48,_自动清单!$H$5:$H$604,0)),"")</f>
        <v/>
      </c>
      <c r="H199" s="55" t="str">
        <f aca="true">IF(N($G199)=0,"",$G199-TODAY())</f>
        <v/>
      </c>
      <c r="I199" s="56" t="str">
        <f aca="false">IFERROR(INDEX(电梯资料!$AC$5:$AC$604,MATCH(48,_自动清单!$H$5:$H$604,0))&amp;"","")</f>
        <v/>
      </c>
      <c r="J199" s="53" t="str">
        <f aca="false">IFERROR(INDEX(电梯资料!$W$5:$W$604,MATCH(48,_自动清单!$H$5:$H$604,0))&amp;"","")</f>
        <v/>
      </c>
      <c r="K199" s="30" t="str">
        <f aca="false">IFERROR(INDEX(电梯资料!$AD$5:$AD$604,MATCH(48,_自动清单!$H$5:$H$604,0))&amp;"","")</f>
        <v/>
      </c>
      <c r="L199" s="35"/>
    </row>
    <row r="200" customFormat="false" ht="15" hidden="false" customHeight="false" outlineLevel="0" collapsed="false">
      <c r="A200" s="29" t="str">
        <f aca="false">IF(49&gt;_自动清单!$H$604,"",49)</f>
        <v/>
      </c>
      <c r="B200" s="16" t="str">
        <f aca="false">IFERROR(INDEX(电梯资料!$C$5:$C$604,MATCH(49,_自动清单!$H$5:$H$604,0))&amp;"","")</f>
        <v/>
      </c>
      <c r="C200" s="16" t="str">
        <f aca="false">IFERROR(INDEX(电梯资料!$D$5:$D$604,MATCH(49,_自动清单!$H$5:$H$604,0))&amp;"","")</f>
        <v/>
      </c>
      <c r="D200" s="53" t="str">
        <f aca="false">IFERROR(INDEX(电梯资料!$Q$5:$Q$604,MATCH(49,_自动清单!$H$5:$H$604,0))&amp;"","")</f>
        <v/>
      </c>
      <c r="E200" s="53" t="str">
        <f aca="false">IFERROR(INDEX(电梯资料!$R$5:$R$604,MATCH(49,_自动清单!$H$5:$H$604,0))&amp;"","")</f>
        <v/>
      </c>
      <c r="F200" s="53" t="str">
        <f aca="false">IFERROR(INDEX(电梯资料!$Y$5:$Y$604,MATCH(49,_自动清单!$H$5:$H$604,0))&amp;"","")</f>
        <v/>
      </c>
      <c r="G200" s="54" t="str">
        <f aca="false">IFERROR(INDEX(电梯资料!$Z$5:$Z$604,MATCH(49,_自动清单!$H$5:$H$604,0)),"")</f>
        <v/>
      </c>
      <c r="H200" s="55" t="str">
        <f aca="true">IF(N($G200)=0,"",$G200-TODAY())</f>
        <v/>
      </c>
      <c r="I200" s="56" t="str">
        <f aca="false">IFERROR(INDEX(电梯资料!$AC$5:$AC$604,MATCH(49,_自动清单!$H$5:$H$604,0))&amp;"","")</f>
        <v/>
      </c>
      <c r="J200" s="53" t="str">
        <f aca="false">IFERROR(INDEX(电梯资料!$W$5:$W$604,MATCH(49,_自动清单!$H$5:$H$604,0))&amp;"","")</f>
        <v/>
      </c>
      <c r="K200" s="30" t="str">
        <f aca="false">IFERROR(INDEX(电梯资料!$AD$5:$AD$604,MATCH(49,_自动清单!$H$5:$H$604,0))&amp;"","")</f>
        <v/>
      </c>
      <c r="L200" s="35"/>
    </row>
    <row r="201" customFormat="false" ht="15" hidden="false" customHeight="false" outlineLevel="0" collapsed="false">
      <c r="A201" s="29" t="str">
        <f aca="false">IF(50&gt;_自动清单!$H$604,"",50)</f>
        <v/>
      </c>
      <c r="B201" s="16" t="str">
        <f aca="false">IFERROR(INDEX(电梯资料!$C$5:$C$604,MATCH(50,_自动清单!$H$5:$H$604,0))&amp;"","")</f>
        <v/>
      </c>
      <c r="C201" s="16" t="str">
        <f aca="false">IFERROR(INDEX(电梯资料!$D$5:$D$604,MATCH(50,_自动清单!$H$5:$H$604,0))&amp;"","")</f>
        <v/>
      </c>
      <c r="D201" s="53" t="str">
        <f aca="false">IFERROR(INDEX(电梯资料!$Q$5:$Q$604,MATCH(50,_自动清单!$H$5:$H$604,0))&amp;"","")</f>
        <v/>
      </c>
      <c r="E201" s="53" t="str">
        <f aca="false">IFERROR(INDEX(电梯资料!$R$5:$R$604,MATCH(50,_自动清单!$H$5:$H$604,0))&amp;"","")</f>
        <v/>
      </c>
      <c r="F201" s="53" t="str">
        <f aca="false">IFERROR(INDEX(电梯资料!$Y$5:$Y$604,MATCH(50,_自动清单!$H$5:$H$604,0))&amp;"","")</f>
        <v/>
      </c>
      <c r="G201" s="54" t="str">
        <f aca="false">IFERROR(INDEX(电梯资料!$Z$5:$Z$604,MATCH(50,_自动清单!$H$5:$H$604,0)),"")</f>
        <v/>
      </c>
      <c r="H201" s="55" t="str">
        <f aca="true">IF(N($G201)=0,"",$G201-TODAY())</f>
        <v/>
      </c>
      <c r="I201" s="56" t="str">
        <f aca="false">IFERROR(INDEX(电梯资料!$AC$5:$AC$604,MATCH(50,_自动清单!$H$5:$H$604,0))&amp;"","")</f>
        <v/>
      </c>
      <c r="J201" s="53" t="str">
        <f aca="false">IFERROR(INDEX(电梯资料!$W$5:$W$604,MATCH(50,_自动清单!$H$5:$H$604,0))&amp;"","")</f>
        <v/>
      </c>
      <c r="K201" s="30" t="str">
        <f aca="false">IFERROR(INDEX(电梯资料!$AD$5:$AD$604,MATCH(50,_自动清单!$H$5:$H$604,0))&amp;"","")</f>
        <v/>
      </c>
      <c r="L201" s="35"/>
    </row>
    <row r="203" customFormat="false" ht="15" hidden="false" customHeight="false" outlineLevel="0" collapsed="false">
      <c r="A203" s="17" t="str">
        <f aca="false">" ④ 欠款账龄预警 —— 还有欠款的项目共 "&amp;_自动清单!$K$304&amp;" 个（这里最多列 60 个）"</f>
        <v> ④ 欠款账龄预警 —— 还有欠款的项目共 8 个（这里最多列 60 个）</v>
      </c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</row>
    <row r="204" customFormat="false" ht="25.5" hidden="false" customHeight="true" outlineLevel="0" collapsed="false">
      <c r="A204" s="52" t="s">
        <v>199</v>
      </c>
      <c r="B204" s="52" t="s">
        <v>519</v>
      </c>
      <c r="C204" s="52" t="s">
        <v>520</v>
      </c>
      <c r="D204" s="52" t="s">
        <v>124</v>
      </c>
      <c r="E204" s="52" t="s">
        <v>521</v>
      </c>
      <c r="F204" s="52" t="s">
        <v>534</v>
      </c>
      <c r="G204" s="52" t="s">
        <v>532</v>
      </c>
      <c r="H204" s="52" t="s">
        <v>533</v>
      </c>
      <c r="I204" s="52" t="s">
        <v>535</v>
      </c>
      <c r="J204" s="52" t="s">
        <v>536</v>
      </c>
      <c r="K204" s="52" t="s">
        <v>391</v>
      </c>
      <c r="L204" s="52"/>
    </row>
    <row r="205" customFormat="false" ht="15" hidden="false" customHeight="false" outlineLevel="0" collapsed="false">
      <c r="A205" s="29" t="n">
        <f aca="false">IF(1&gt;_自动清单!$K$304,"",1)</f>
        <v>1</v>
      </c>
      <c r="B205" s="16" t="str">
        <f aca="false">IFERROR(INDEX(应收对账!$B$5:$B$304,MATCH(1,_自动清单!$K$5:$K$304,0))&amp;"","")</f>
        <v>河南中意联机电工程有限公司</v>
      </c>
      <c r="C205" s="16" t="str">
        <f aca="false">IFERROR(INDEX(应收对账!$C$5:$C$304,MATCH(1,_自动清单!$K$5:$K$304,0))&amp;"","")</f>
        <v>滨江苑一期</v>
      </c>
      <c r="D205" s="53" t="str">
        <f aca="false">IFERROR(INDEX(应收对账!$E$5:$E$304,MATCH(1,_自动清单!$K$5:$K$304,0))&amp;"","")</f>
        <v>已签已回</v>
      </c>
      <c r="E205" s="54" t="n">
        <f aca="false">IFERROR(INDEX(应收对账!$F$5:$F$304,MATCH(1,_自动清单!$K$5:$K$304,0)),"")</f>
        <v>46387</v>
      </c>
      <c r="F205" s="48" t="n">
        <f aca="false">IFERROR(INDEX(应收对账!$T$5:$T$304,MATCH(1,_自动清单!$K$5:$K$304,0)),"")</f>
        <v>1800</v>
      </c>
      <c r="G205" s="57" t="n">
        <f aca="false">IFERROR(INDEX(应收对账!$R$5:$R$304,MATCH(1,_自动清单!$K$5:$K$304,0)),"")</f>
        <v>0</v>
      </c>
      <c r="H205" s="57" t="n">
        <f aca="false">IFERROR(INDEX(应收对账!$S$5:$S$304,MATCH(1,_自动清单!$K$5:$K$304,0)),"")</f>
        <v>1800</v>
      </c>
      <c r="I205" s="55" t="n">
        <f aca="false">IFERROR(INDEX(应收对账!$U$5:$U$304,MATCH(1,_自动清单!$K$5:$K$304,0)),"")</f>
        <v>78</v>
      </c>
      <c r="J205" s="56" t="str">
        <f aca="false">IFERROR(INDEX(应收对账!$V$5:$V$304,MATCH(1,_自动清单!$K$5:$K$304,0))&amp;"","")</f>
        <v>欠款未清</v>
      </c>
      <c r="K205" s="30" t="str">
        <f aca="false">IFERROR(INDEX(应收对账!$W$5:$W$304,MATCH(1,_自动清单!$K$5:$K$304,0))&amp;"","")</f>
        <v/>
      </c>
      <c r="L205" s="35"/>
    </row>
    <row r="206" customFormat="false" ht="15" hidden="false" customHeight="false" outlineLevel="0" collapsed="false">
      <c r="A206" s="29" t="n">
        <f aca="false">IF(2&gt;_自动清单!$K$304,"",2)</f>
        <v>2</v>
      </c>
      <c r="B206" s="16" t="str">
        <f aca="false">IFERROR(INDEX(应收对账!$B$5:$B$304,MATCH(2,_自动清单!$K$5:$K$304,0))&amp;"","")</f>
        <v>河南明海定慧商业管理有限公司</v>
      </c>
      <c r="C206" s="16" t="str">
        <f aca="false">IFERROR(INDEX(应收对账!$C$5:$C$304,MATCH(2,_自动清单!$K$5:$K$304,0))&amp;"","")</f>
        <v>六渡桥</v>
      </c>
      <c r="D206" s="53" t="str">
        <f aca="false">IFERROR(INDEX(应收对账!$E$5:$E$304,MATCH(2,_自动清单!$K$5:$K$304,0))&amp;"","")</f>
        <v>已签未回</v>
      </c>
      <c r="E206" s="54" t="n">
        <f aca="false">IFERROR(INDEX(应收对账!$F$5:$F$304,MATCH(2,_自动清单!$K$5:$K$304,0)),"")</f>
        <v>46446</v>
      </c>
      <c r="F206" s="48" t="n">
        <f aca="false">IFERROR(INDEX(应收对账!$T$5:$T$304,MATCH(2,_自动清单!$K$5:$K$304,0)),"")</f>
        <v>1050</v>
      </c>
      <c r="G206" s="57" t="n">
        <f aca="false">IFERROR(INDEX(应收对账!$R$5:$R$304,MATCH(2,_自动清单!$K$5:$K$304,0)),"")</f>
        <v>0</v>
      </c>
      <c r="H206" s="57" t="n">
        <f aca="false">IFERROR(INDEX(应收对账!$S$5:$S$304,MATCH(2,_自动清单!$K$5:$K$304,0)),"")</f>
        <v>1050</v>
      </c>
      <c r="I206" s="55" t="n">
        <f aca="false">IFERROR(INDEX(应收对账!$U$5:$U$304,MATCH(2,_自动清单!$K$5:$K$304,0)),"")</f>
        <v>16</v>
      </c>
      <c r="J206" s="56" t="str">
        <f aca="false">IFERROR(INDEX(应收对账!$V$5:$V$304,MATCH(2,_自动清单!$K$5:$K$304,0))&amp;"","")</f>
        <v>欠款未清 ▲合同未回</v>
      </c>
      <c r="K206" s="30" t="str">
        <f aca="false">IFERROR(INDEX(应收对账!$W$5:$W$304,MATCH(2,_自动清单!$K$5:$K$304,0))&amp;"","")</f>
        <v/>
      </c>
      <c r="L206" s="35"/>
    </row>
    <row r="207" customFormat="false" ht="15" hidden="false" customHeight="false" outlineLevel="0" collapsed="false">
      <c r="A207" s="29" t="n">
        <f aca="false">IF(3&gt;_自动清单!$K$304,"",3)</f>
        <v>3</v>
      </c>
      <c r="B207" s="16" t="str">
        <f aca="false">IFERROR(INDEX(应收对账!$B$5:$B$304,MATCH(3,_自动清单!$K$5:$K$304,0))&amp;"","")</f>
        <v>河南华茂医院有限公司</v>
      </c>
      <c r="C207" s="16" t="str">
        <f aca="false">IFERROR(INDEX(应收对账!$C$5:$C$304,MATCH(3,_自动清单!$K$5:$K$304,0))&amp;"","")</f>
        <v>圣爱医院</v>
      </c>
      <c r="D207" s="53" t="str">
        <f aca="false">IFERROR(INDEX(应收对账!$E$5:$E$304,MATCH(3,_自动清单!$K$5:$K$304,0))&amp;"","")</f>
        <v>已签已回</v>
      </c>
      <c r="E207" s="54" t="n">
        <f aca="false">IFERROR(INDEX(应收对账!$F$5:$F$304,MATCH(3,_自动清单!$K$5:$K$304,0)),"")</f>
        <v>46203</v>
      </c>
      <c r="F207" s="48" t="n">
        <f aca="false">IFERROR(INDEX(应收对账!$T$5:$T$304,MATCH(3,_自动清单!$K$5:$K$304,0)),"")</f>
        <v>4800</v>
      </c>
      <c r="G207" s="57" t="n">
        <f aca="false">IFERROR(INDEX(应收对账!$R$5:$R$304,MATCH(3,_自动清单!$K$5:$K$304,0)),"")</f>
        <v>4800</v>
      </c>
      <c r="H207" s="57" t="n">
        <f aca="false">IFERROR(INDEX(应收对账!$S$5:$S$304,MATCH(3,_自动清单!$K$5:$K$304,0)),"")</f>
        <v>0</v>
      </c>
      <c r="I207" s="55" t="n">
        <f aca="false">IFERROR(INDEX(应收对账!$U$5:$U$304,MATCH(3,_自动清单!$K$5:$K$304,0)),"")</f>
        <v>78</v>
      </c>
      <c r="J207" s="56" t="str">
        <f aca="false">IFERROR(INDEX(应收对账!$V$5:$V$304,MATCH(3,_自动清单!$K$5:$K$304,0))&amp;"","")</f>
        <v>欠款未清 ▲合同已到期</v>
      </c>
      <c r="K207" s="30" t="str">
        <f aca="false">IFERROR(INDEX(应收对账!$W$5:$W$304,MATCH(3,_自动清单!$K$5:$K$304,0))&amp;"","")</f>
        <v/>
      </c>
      <c r="L207" s="35"/>
    </row>
    <row r="208" customFormat="false" ht="15" hidden="false" customHeight="false" outlineLevel="0" collapsed="false">
      <c r="A208" s="29" t="n">
        <f aca="false">IF(4&gt;_自动清单!$K$304,"",4)</f>
        <v>4</v>
      </c>
      <c r="B208" s="16" t="str">
        <f aca="false">IFERROR(INDEX(应收对账!$B$5:$B$304,MATCH(4,_自动清单!$K$5:$K$304,0))&amp;"","")</f>
        <v>河南长江人民艺术剧院有限责任公司</v>
      </c>
      <c r="C208" s="16" t="str">
        <f aca="false">IFERROR(INDEX(应收对账!$C$5:$C$304,MATCH(4,_自动清单!$K$5:$K$304,0))&amp;"","")</f>
        <v>长江人艺D8小剧场</v>
      </c>
      <c r="D208" s="53" t="str">
        <f aca="false">IFERROR(INDEX(应收对账!$E$5:$E$304,MATCH(4,_自动清单!$K$5:$K$304,0))&amp;"","")</f>
        <v>未签</v>
      </c>
      <c r="E208" s="54" t="n">
        <f aca="false">IFERROR(INDEX(应收对账!$F$5:$F$304,MATCH(4,_自动清单!$K$5:$K$304,0)),"")</f>
        <v>46538</v>
      </c>
      <c r="F208" s="48" t="n">
        <f aca="false">IFERROR(INDEX(应收对账!$T$5:$T$304,MATCH(4,_自动清单!$K$5:$K$304,0)),"")</f>
        <v>5400</v>
      </c>
      <c r="G208" s="57" t="n">
        <f aca="false">IFERROR(INDEX(应收对账!$R$5:$R$304,MATCH(4,_自动清单!$K$5:$K$304,0)),"")</f>
        <v>0</v>
      </c>
      <c r="H208" s="57" t="n">
        <f aca="false">IFERROR(INDEX(应收对账!$S$5:$S$304,MATCH(4,_自动清单!$K$5:$K$304,0)),"")</f>
        <v>5400</v>
      </c>
      <c r="I208" s="55" t="n">
        <f aca="false">IFERROR(INDEX(应收对账!$U$5:$U$304,MATCH(4,_自动清单!$K$5:$K$304,0)),"")</f>
        <v>103</v>
      </c>
      <c r="J208" s="56" t="str">
        <f aca="false">IFERROR(INDEX(应收对账!$V$5:$V$304,MATCH(4,_自动清单!$K$5:$K$304,0))&amp;"","")</f>
        <v>▲欠款拖了 103 天 ▲合同未回</v>
      </c>
      <c r="K208" s="30" t="str">
        <f aca="false">IFERROR(INDEX(应收对账!$W$5:$W$304,MATCH(4,_自动清单!$K$5:$K$304,0))&amp;"","")</f>
        <v/>
      </c>
      <c r="L208" s="35"/>
    </row>
    <row r="209" customFormat="false" ht="15" hidden="false" customHeight="false" outlineLevel="0" collapsed="false">
      <c r="A209" s="29" t="n">
        <f aca="false">IF(5&gt;_自动清单!$K$304,"",5)</f>
        <v>5</v>
      </c>
      <c r="B209" s="16" t="str">
        <f aca="false">IFERROR(INDEX(应收对账!$B$5:$B$304,MATCH(5,_自动清单!$K$5:$K$304,0))&amp;"","")</f>
        <v>金禧永航集团有限公司</v>
      </c>
      <c r="C209" s="16" t="str">
        <f aca="false">IFERROR(INDEX(应收对账!$C$5:$C$304,MATCH(5,_自动清单!$K$5:$K$304,0))&amp;"","")</f>
        <v>金禧西北路291号</v>
      </c>
      <c r="D209" s="53" t="str">
        <f aca="false">IFERROR(INDEX(应收对账!$E$5:$E$304,MATCH(5,_自动清单!$K$5:$K$304,0))&amp;"","")</f>
        <v>续签中</v>
      </c>
      <c r="E209" s="54" t="n">
        <f aca="false">IFERROR(INDEX(应收对账!$F$5:$F$304,MATCH(5,_自动清单!$K$5:$K$304,0)),"")</f>
        <v>46295</v>
      </c>
      <c r="F209" s="48" t="n">
        <f aca="false">IFERROR(INDEX(应收对账!$T$5:$T$304,MATCH(5,_自动清单!$K$5:$K$304,0)),"")</f>
        <v>500</v>
      </c>
      <c r="G209" s="57" t="n">
        <f aca="false">IFERROR(INDEX(应收对账!$R$5:$R$304,MATCH(5,_自动清单!$K$5:$K$304,0)),"")</f>
        <v>0</v>
      </c>
      <c r="H209" s="57" t="n">
        <f aca="false">IFERROR(INDEX(应收对账!$S$5:$S$304,MATCH(5,_自动清单!$K$5:$K$304,0)),"")</f>
        <v>500</v>
      </c>
      <c r="I209" s="55" t="n">
        <f aca="false">IFERROR(INDEX(应收对账!$U$5:$U$304,MATCH(5,_自动清单!$K$5:$K$304,0)),"")</f>
        <v>193</v>
      </c>
      <c r="J209" s="56" t="str">
        <f aca="false">IFERROR(INDEX(应收对账!$V$5:$V$304,MATCH(5,_自动清单!$K$5:$K$304,0))&amp;"","")</f>
        <v>▲欠款拖了 193 天 ▲合同未回</v>
      </c>
      <c r="K209" s="30" t="str">
        <f aca="false">IFERROR(INDEX(应收对账!$W$5:$W$304,MATCH(5,_自动清单!$K$5:$K$304,0))&amp;"","")</f>
        <v/>
      </c>
      <c r="L209" s="35"/>
    </row>
    <row r="210" customFormat="false" ht="15" hidden="false" customHeight="false" outlineLevel="0" collapsed="false">
      <c r="A210" s="29" t="n">
        <f aca="false">IF(6&gt;_自动清单!$K$304,"",6)</f>
        <v>6</v>
      </c>
      <c r="B210" s="16" t="str">
        <f aca="false">IFERROR(INDEX(应收对账!$B$5:$B$304,MATCH(6,_自动清单!$K$5:$K$304,0))&amp;"","")</f>
        <v>河南南远电缆科技有限公司</v>
      </c>
      <c r="C210" s="16" t="str">
        <f aca="false">IFERROR(INDEX(应收对账!$C$5:$C$304,MATCH(6,_自动清单!$K$5:$K$304,0))&amp;"","")</f>
        <v>南远电缆</v>
      </c>
      <c r="D210" s="53" t="str">
        <f aca="false">IFERROR(INDEX(应收对账!$E$5:$E$304,MATCH(6,_自动清单!$K$5:$K$304,0))&amp;"","")</f>
        <v>已签已回</v>
      </c>
      <c r="E210" s="54" t="n">
        <f aca="false">IFERROR(INDEX(应收对账!$F$5:$F$304,MATCH(6,_自动清单!$K$5:$K$304,0)),"")</f>
        <v>46387</v>
      </c>
      <c r="F210" s="48" t="n">
        <f aca="false">IFERROR(INDEX(应收对账!$T$5:$T$304,MATCH(6,_自动清单!$K$5:$K$304,0)),"")</f>
        <v>5700</v>
      </c>
      <c r="G210" s="57" t="n">
        <f aca="false">IFERROR(INDEX(应收对账!$R$5:$R$304,MATCH(6,_自动清单!$K$5:$K$304,0)),"")</f>
        <v>2400</v>
      </c>
      <c r="H210" s="57" t="n">
        <f aca="false">IFERROR(INDEX(应收对账!$S$5:$S$304,MATCH(6,_自动清单!$K$5:$K$304,0)),"")</f>
        <v>3300</v>
      </c>
      <c r="I210" s="55" t="n">
        <f aca="false">IFERROR(INDEX(应收对账!$U$5:$U$304,MATCH(6,_自动清单!$K$5:$K$304,0)),"")</f>
        <v>254</v>
      </c>
      <c r="J210" s="56" t="str">
        <f aca="false">IFERROR(INDEX(应收对账!$V$5:$V$304,MATCH(6,_自动清单!$K$5:$K$304,0))&amp;"","")</f>
        <v>▲欠款拖了 254 天</v>
      </c>
      <c r="K210" s="30" t="str">
        <f aca="false">IFERROR(INDEX(应收对账!$W$5:$W$304,MATCH(6,_自动清单!$K$5:$K$304,0))&amp;"","")</f>
        <v/>
      </c>
      <c r="L210" s="35"/>
    </row>
    <row r="211" customFormat="false" ht="15" hidden="false" customHeight="false" outlineLevel="0" collapsed="false">
      <c r="A211" s="29" t="n">
        <f aca="false">IF(7&gt;_自动清单!$K$304,"",7)</f>
        <v>7</v>
      </c>
      <c r="B211" s="16" t="str">
        <f aca="false">IFERROR(INDEX(应收对账!$B$5:$B$304,MATCH(7,_自动清单!$K$5:$K$304,0))&amp;"","")</f>
        <v>河南尊品益定意食品有限公司</v>
      </c>
      <c r="C211" s="16" t="str">
        <f aca="false">IFERROR(INDEX(应收对账!$C$5:$C$304,MATCH(7,_自动清单!$K$5:$K$304,0))&amp;"","")</f>
        <v>意康意厂房</v>
      </c>
      <c r="D211" s="53" t="str">
        <f aca="false">IFERROR(INDEX(应收对账!$E$5:$E$304,MATCH(7,_自动清单!$K$5:$K$304,0))&amp;"","")</f>
        <v>已签已回</v>
      </c>
      <c r="E211" s="54" t="n">
        <f aca="false">IFERROR(INDEX(应收对账!$F$5:$F$304,MATCH(7,_自动清单!$K$5:$K$304,0)),"")</f>
        <v>46387</v>
      </c>
      <c r="F211" s="48" t="n">
        <f aca="false">IFERROR(INDEX(应收对账!$T$5:$T$304,MATCH(7,_自动清单!$K$5:$K$304,0)),"")</f>
        <v>1200</v>
      </c>
      <c r="G211" s="57" t="n">
        <f aca="false">IFERROR(INDEX(应收对账!$R$5:$R$304,MATCH(7,_自动清单!$K$5:$K$304,0)),"")</f>
        <v>0</v>
      </c>
      <c r="H211" s="57" t="n">
        <f aca="false">IFERROR(INDEX(应收对账!$S$5:$S$304,MATCH(7,_自动清单!$K$5:$K$304,0)),"")</f>
        <v>1200</v>
      </c>
      <c r="I211" s="55" t="n">
        <f aca="false">IFERROR(INDEX(应收对账!$U$5:$U$304,MATCH(7,_自动清单!$K$5:$K$304,0)),"")</f>
        <v>19</v>
      </c>
      <c r="J211" s="56" t="str">
        <f aca="false">IFERROR(INDEX(应收对账!$V$5:$V$304,MATCH(7,_自动清单!$K$5:$K$304,0))&amp;"","")</f>
        <v>欠款未清</v>
      </c>
      <c r="K211" s="30" t="str">
        <f aca="false">IFERROR(INDEX(应收对账!$W$5:$W$304,MATCH(7,_自动清单!$K$5:$K$304,0))&amp;"","")</f>
        <v/>
      </c>
      <c r="L211" s="35"/>
    </row>
    <row r="212" customFormat="false" ht="15" hidden="false" customHeight="false" outlineLevel="0" collapsed="false">
      <c r="A212" s="29" t="n">
        <f aca="false">IF(8&gt;_自动清单!$K$304,"",8)</f>
        <v>8</v>
      </c>
      <c r="B212" s="16" t="str">
        <f aca="false">IFERROR(INDEX(应收对账!$B$5:$B$304,MATCH(8,_自动清单!$K$5:$K$304,0))&amp;"","")</f>
        <v>河南光谷义神新材料孵化器有限公司</v>
      </c>
      <c r="C212" s="16" t="str">
        <f aca="false">IFERROR(INDEX(应收对账!$C$5:$C$304,MATCH(8,_自动清单!$K$5:$K$304,0))&amp;"","")</f>
        <v>永和云居</v>
      </c>
      <c r="D212" s="53" t="str">
        <f aca="false">IFERROR(INDEX(应收对账!$E$5:$E$304,MATCH(8,_自动清单!$K$5:$K$304,0))&amp;"","")</f>
        <v>已签未回</v>
      </c>
      <c r="E212" s="54" t="n">
        <f aca="false">IFERROR(INDEX(应收对账!$F$5:$F$304,MATCH(8,_自动清单!$K$5:$K$304,0)),"")</f>
        <v>46387</v>
      </c>
      <c r="F212" s="48" t="n">
        <f aca="false">IFERROR(INDEX(应收对账!$T$5:$T$304,MATCH(8,_自动清单!$K$5:$K$304,0)),"")</f>
        <v>24200</v>
      </c>
      <c r="G212" s="57" t="n">
        <f aca="false">IFERROR(INDEX(应收对账!$R$5:$R$304,MATCH(8,_自动清单!$K$5:$K$304,0)),"")</f>
        <v>0</v>
      </c>
      <c r="H212" s="57" t="n">
        <f aca="false">IFERROR(INDEX(应收对账!$S$5:$S$304,MATCH(8,_自动清单!$K$5:$K$304,0)),"")</f>
        <v>24200</v>
      </c>
      <c r="I212" s="55" t="n">
        <f aca="false">IFERROR(INDEX(应收对账!$U$5:$U$304,MATCH(8,_自动清单!$K$5:$K$304,0)),"")</f>
        <v>255</v>
      </c>
      <c r="J212" s="56" t="str">
        <f aca="false">IFERROR(INDEX(应收对账!$V$5:$V$304,MATCH(8,_自动清单!$K$5:$K$304,0))&amp;"","")</f>
        <v>▲欠款拖了 255 天 ▲合同未回</v>
      </c>
      <c r="K212" s="30" t="str">
        <f aca="false">IFERROR(INDEX(应收对账!$W$5:$W$304,MATCH(8,_自动清单!$K$5:$K$304,0))&amp;"","")</f>
        <v/>
      </c>
      <c r="L212" s="35"/>
    </row>
    <row r="213" customFormat="false" ht="15" hidden="false" customHeight="false" outlineLevel="0" collapsed="false">
      <c r="A213" s="29" t="str">
        <f aca="false">IF(9&gt;_自动清单!$K$304,"",9)</f>
        <v/>
      </c>
      <c r="B213" s="16" t="str">
        <f aca="false">IFERROR(INDEX(应收对账!$B$5:$B$304,MATCH(9,_自动清单!$K$5:$K$304,0))&amp;"","")</f>
        <v/>
      </c>
      <c r="C213" s="16" t="str">
        <f aca="false">IFERROR(INDEX(应收对账!$C$5:$C$304,MATCH(9,_自动清单!$K$5:$K$304,0))&amp;"","")</f>
        <v/>
      </c>
      <c r="D213" s="53" t="str">
        <f aca="false">IFERROR(INDEX(应收对账!$E$5:$E$304,MATCH(9,_自动清单!$K$5:$K$304,0))&amp;"","")</f>
        <v/>
      </c>
      <c r="E213" s="54" t="str">
        <f aca="false">IFERROR(INDEX(应收对账!$F$5:$F$304,MATCH(9,_自动清单!$K$5:$K$304,0)),"")</f>
        <v/>
      </c>
      <c r="F213" s="48" t="str">
        <f aca="false">IFERROR(INDEX(应收对账!$T$5:$T$304,MATCH(9,_自动清单!$K$5:$K$304,0)),"")</f>
        <v/>
      </c>
      <c r="G213" s="57" t="str">
        <f aca="false">IFERROR(INDEX(应收对账!$R$5:$R$304,MATCH(9,_自动清单!$K$5:$K$304,0)),"")</f>
        <v/>
      </c>
      <c r="H213" s="57" t="str">
        <f aca="false">IFERROR(INDEX(应收对账!$S$5:$S$304,MATCH(9,_自动清单!$K$5:$K$304,0)),"")</f>
        <v/>
      </c>
      <c r="I213" s="55" t="str">
        <f aca="false">IFERROR(INDEX(应收对账!$U$5:$U$304,MATCH(9,_自动清单!$K$5:$K$304,0)),"")</f>
        <v/>
      </c>
      <c r="J213" s="56" t="str">
        <f aca="false">IFERROR(INDEX(应收对账!$V$5:$V$304,MATCH(9,_自动清单!$K$5:$K$304,0))&amp;"","")</f>
        <v/>
      </c>
      <c r="K213" s="30" t="str">
        <f aca="false">IFERROR(INDEX(应收对账!$W$5:$W$304,MATCH(9,_自动清单!$K$5:$K$304,0))&amp;"","")</f>
        <v/>
      </c>
      <c r="L213" s="35"/>
    </row>
    <row r="214" customFormat="false" ht="15" hidden="false" customHeight="false" outlineLevel="0" collapsed="false">
      <c r="A214" s="29" t="str">
        <f aca="false">IF(10&gt;_自动清单!$K$304,"",10)</f>
        <v/>
      </c>
      <c r="B214" s="16" t="str">
        <f aca="false">IFERROR(INDEX(应收对账!$B$5:$B$304,MATCH(10,_自动清单!$K$5:$K$304,0))&amp;"","")</f>
        <v/>
      </c>
      <c r="C214" s="16" t="str">
        <f aca="false">IFERROR(INDEX(应收对账!$C$5:$C$304,MATCH(10,_自动清单!$K$5:$K$304,0))&amp;"","")</f>
        <v/>
      </c>
      <c r="D214" s="53" t="str">
        <f aca="false">IFERROR(INDEX(应收对账!$E$5:$E$304,MATCH(10,_自动清单!$K$5:$K$304,0))&amp;"","")</f>
        <v/>
      </c>
      <c r="E214" s="54" t="str">
        <f aca="false">IFERROR(INDEX(应收对账!$F$5:$F$304,MATCH(10,_自动清单!$K$5:$K$304,0)),"")</f>
        <v/>
      </c>
      <c r="F214" s="48" t="str">
        <f aca="false">IFERROR(INDEX(应收对账!$T$5:$T$304,MATCH(10,_自动清单!$K$5:$K$304,0)),"")</f>
        <v/>
      </c>
      <c r="G214" s="57" t="str">
        <f aca="false">IFERROR(INDEX(应收对账!$R$5:$R$304,MATCH(10,_自动清单!$K$5:$K$304,0)),"")</f>
        <v/>
      </c>
      <c r="H214" s="57" t="str">
        <f aca="false">IFERROR(INDEX(应收对账!$S$5:$S$304,MATCH(10,_自动清单!$K$5:$K$304,0)),"")</f>
        <v/>
      </c>
      <c r="I214" s="55" t="str">
        <f aca="false">IFERROR(INDEX(应收对账!$U$5:$U$304,MATCH(10,_自动清单!$K$5:$K$304,0)),"")</f>
        <v/>
      </c>
      <c r="J214" s="56" t="str">
        <f aca="false">IFERROR(INDEX(应收对账!$V$5:$V$304,MATCH(10,_自动清单!$K$5:$K$304,0))&amp;"","")</f>
        <v/>
      </c>
      <c r="K214" s="30" t="str">
        <f aca="false">IFERROR(INDEX(应收对账!$W$5:$W$304,MATCH(10,_自动清单!$K$5:$K$304,0))&amp;"","")</f>
        <v/>
      </c>
      <c r="L214" s="35"/>
    </row>
    <row r="215" customFormat="false" ht="15" hidden="false" customHeight="false" outlineLevel="0" collapsed="false">
      <c r="A215" s="29" t="str">
        <f aca="false">IF(11&gt;_自动清单!$K$304,"",11)</f>
        <v/>
      </c>
      <c r="B215" s="16" t="str">
        <f aca="false">IFERROR(INDEX(应收对账!$B$5:$B$304,MATCH(11,_自动清单!$K$5:$K$304,0))&amp;"","")</f>
        <v/>
      </c>
      <c r="C215" s="16" t="str">
        <f aca="false">IFERROR(INDEX(应收对账!$C$5:$C$304,MATCH(11,_自动清单!$K$5:$K$304,0))&amp;"","")</f>
        <v/>
      </c>
      <c r="D215" s="53" t="str">
        <f aca="false">IFERROR(INDEX(应收对账!$E$5:$E$304,MATCH(11,_自动清单!$K$5:$K$304,0))&amp;"","")</f>
        <v/>
      </c>
      <c r="E215" s="54" t="str">
        <f aca="false">IFERROR(INDEX(应收对账!$F$5:$F$304,MATCH(11,_自动清单!$K$5:$K$304,0)),"")</f>
        <v/>
      </c>
      <c r="F215" s="48" t="str">
        <f aca="false">IFERROR(INDEX(应收对账!$T$5:$T$304,MATCH(11,_自动清单!$K$5:$K$304,0)),"")</f>
        <v/>
      </c>
      <c r="G215" s="57" t="str">
        <f aca="false">IFERROR(INDEX(应收对账!$R$5:$R$304,MATCH(11,_自动清单!$K$5:$K$304,0)),"")</f>
        <v/>
      </c>
      <c r="H215" s="57" t="str">
        <f aca="false">IFERROR(INDEX(应收对账!$S$5:$S$304,MATCH(11,_自动清单!$K$5:$K$304,0)),"")</f>
        <v/>
      </c>
      <c r="I215" s="55" t="str">
        <f aca="false">IFERROR(INDEX(应收对账!$U$5:$U$304,MATCH(11,_自动清单!$K$5:$K$304,0)),"")</f>
        <v/>
      </c>
      <c r="J215" s="56" t="str">
        <f aca="false">IFERROR(INDEX(应收对账!$V$5:$V$304,MATCH(11,_自动清单!$K$5:$K$304,0))&amp;"","")</f>
        <v/>
      </c>
      <c r="K215" s="30" t="str">
        <f aca="false">IFERROR(INDEX(应收对账!$W$5:$W$304,MATCH(11,_自动清单!$K$5:$K$304,0))&amp;"","")</f>
        <v/>
      </c>
      <c r="L215" s="35"/>
    </row>
    <row r="216" customFormat="false" ht="15" hidden="false" customHeight="false" outlineLevel="0" collapsed="false">
      <c r="A216" s="29" t="str">
        <f aca="false">IF(12&gt;_自动清单!$K$304,"",12)</f>
        <v/>
      </c>
      <c r="B216" s="16" t="str">
        <f aca="false">IFERROR(INDEX(应收对账!$B$5:$B$304,MATCH(12,_自动清单!$K$5:$K$304,0))&amp;"","")</f>
        <v/>
      </c>
      <c r="C216" s="16" t="str">
        <f aca="false">IFERROR(INDEX(应收对账!$C$5:$C$304,MATCH(12,_自动清单!$K$5:$K$304,0))&amp;"","")</f>
        <v/>
      </c>
      <c r="D216" s="53" t="str">
        <f aca="false">IFERROR(INDEX(应收对账!$E$5:$E$304,MATCH(12,_自动清单!$K$5:$K$304,0))&amp;"","")</f>
        <v/>
      </c>
      <c r="E216" s="54" t="str">
        <f aca="false">IFERROR(INDEX(应收对账!$F$5:$F$304,MATCH(12,_自动清单!$K$5:$K$304,0)),"")</f>
        <v/>
      </c>
      <c r="F216" s="48" t="str">
        <f aca="false">IFERROR(INDEX(应收对账!$T$5:$T$304,MATCH(12,_自动清单!$K$5:$K$304,0)),"")</f>
        <v/>
      </c>
      <c r="G216" s="57" t="str">
        <f aca="false">IFERROR(INDEX(应收对账!$R$5:$R$304,MATCH(12,_自动清单!$K$5:$K$304,0)),"")</f>
        <v/>
      </c>
      <c r="H216" s="57" t="str">
        <f aca="false">IFERROR(INDEX(应收对账!$S$5:$S$304,MATCH(12,_自动清单!$K$5:$K$304,0)),"")</f>
        <v/>
      </c>
      <c r="I216" s="55" t="str">
        <f aca="false">IFERROR(INDEX(应收对账!$U$5:$U$304,MATCH(12,_自动清单!$K$5:$K$304,0)),"")</f>
        <v/>
      </c>
      <c r="J216" s="56" t="str">
        <f aca="false">IFERROR(INDEX(应收对账!$V$5:$V$304,MATCH(12,_自动清单!$K$5:$K$304,0))&amp;"","")</f>
        <v/>
      </c>
      <c r="K216" s="30" t="str">
        <f aca="false">IFERROR(INDEX(应收对账!$W$5:$W$304,MATCH(12,_自动清单!$K$5:$K$304,0))&amp;"","")</f>
        <v/>
      </c>
      <c r="L216" s="35"/>
    </row>
    <row r="217" customFormat="false" ht="15" hidden="false" customHeight="false" outlineLevel="0" collapsed="false">
      <c r="A217" s="29" t="str">
        <f aca="false">IF(13&gt;_自动清单!$K$304,"",13)</f>
        <v/>
      </c>
      <c r="B217" s="16" t="str">
        <f aca="false">IFERROR(INDEX(应收对账!$B$5:$B$304,MATCH(13,_自动清单!$K$5:$K$304,0))&amp;"","")</f>
        <v/>
      </c>
      <c r="C217" s="16" t="str">
        <f aca="false">IFERROR(INDEX(应收对账!$C$5:$C$304,MATCH(13,_自动清单!$K$5:$K$304,0))&amp;"","")</f>
        <v/>
      </c>
      <c r="D217" s="53" t="str">
        <f aca="false">IFERROR(INDEX(应收对账!$E$5:$E$304,MATCH(13,_自动清单!$K$5:$K$304,0))&amp;"","")</f>
        <v/>
      </c>
      <c r="E217" s="54" t="str">
        <f aca="false">IFERROR(INDEX(应收对账!$F$5:$F$304,MATCH(13,_自动清单!$K$5:$K$304,0)),"")</f>
        <v/>
      </c>
      <c r="F217" s="48" t="str">
        <f aca="false">IFERROR(INDEX(应收对账!$T$5:$T$304,MATCH(13,_自动清单!$K$5:$K$304,0)),"")</f>
        <v/>
      </c>
      <c r="G217" s="57" t="str">
        <f aca="false">IFERROR(INDEX(应收对账!$R$5:$R$304,MATCH(13,_自动清单!$K$5:$K$304,0)),"")</f>
        <v/>
      </c>
      <c r="H217" s="57" t="str">
        <f aca="false">IFERROR(INDEX(应收对账!$S$5:$S$304,MATCH(13,_自动清单!$K$5:$K$304,0)),"")</f>
        <v/>
      </c>
      <c r="I217" s="55" t="str">
        <f aca="false">IFERROR(INDEX(应收对账!$U$5:$U$304,MATCH(13,_自动清单!$K$5:$K$304,0)),"")</f>
        <v/>
      </c>
      <c r="J217" s="56" t="str">
        <f aca="false">IFERROR(INDEX(应收对账!$V$5:$V$304,MATCH(13,_自动清单!$K$5:$K$304,0))&amp;"","")</f>
        <v/>
      </c>
      <c r="K217" s="30" t="str">
        <f aca="false">IFERROR(INDEX(应收对账!$W$5:$W$304,MATCH(13,_自动清单!$K$5:$K$304,0))&amp;"","")</f>
        <v/>
      </c>
      <c r="L217" s="35"/>
    </row>
    <row r="218" customFormat="false" ht="15" hidden="false" customHeight="false" outlineLevel="0" collapsed="false">
      <c r="A218" s="29" t="str">
        <f aca="false">IF(14&gt;_自动清单!$K$304,"",14)</f>
        <v/>
      </c>
      <c r="B218" s="16" t="str">
        <f aca="false">IFERROR(INDEX(应收对账!$B$5:$B$304,MATCH(14,_自动清单!$K$5:$K$304,0))&amp;"","")</f>
        <v/>
      </c>
      <c r="C218" s="16" t="str">
        <f aca="false">IFERROR(INDEX(应收对账!$C$5:$C$304,MATCH(14,_自动清单!$K$5:$K$304,0))&amp;"","")</f>
        <v/>
      </c>
      <c r="D218" s="53" t="str">
        <f aca="false">IFERROR(INDEX(应收对账!$E$5:$E$304,MATCH(14,_自动清单!$K$5:$K$304,0))&amp;"","")</f>
        <v/>
      </c>
      <c r="E218" s="54" t="str">
        <f aca="false">IFERROR(INDEX(应收对账!$F$5:$F$304,MATCH(14,_自动清单!$K$5:$K$304,0)),"")</f>
        <v/>
      </c>
      <c r="F218" s="48" t="str">
        <f aca="false">IFERROR(INDEX(应收对账!$T$5:$T$304,MATCH(14,_自动清单!$K$5:$K$304,0)),"")</f>
        <v/>
      </c>
      <c r="G218" s="57" t="str">
        <f aca="false">IFERROR(INDEX(应收对账!$R$5:$R$304,MATCH(14,_自动清单!$K$5:$K$304,0)),"")</f>
        <v/>
      </c>
      <c r="H218" s="57" t="str">
        <f aca="false">IFERROR(INDEX(应收对账!$S$5:$S$304,MATCH(14,_自动清单!$K$5:$K$304,0)),"")</f>
        <v/>
      </c>
      <c r="I218" s="55" t="str">
        <f aca="false">IFERROR(INDEX(应收对账!$U$5:$U$304,MATCH(14,_自动清单!$K$5:$K$304,0)),"")</f>
        <v/>
      </c>
      <c r="J218" s="56" t="str">
        <f aca="false">IFERROR(INDEX(应收对账!$V$5:$V$304,MATCH(14,_自动清单!$K$5:$K$304,0))&amp;"","")</f>
        <v/>
      </c>
      <c r="K218" s="30" t="str">
        <f aca="false">IFERROR(INDEX(应收对账!$W$5:$W$304,MATCH(14,_自动清单!$K$5:$K$304,0))&amp;"","")</f>
        <v/>
      </c>
      <c r="L218" s="35"/>
    </row>
    <row r="219" customFormat="false" ht="15" hidden="false" customHeight="false" outlineLevel="0" collapsed="false">
      <c r="A219" s="29" t="str">
        <f aca="false">IF(15&gt;_自动清单!$K$304,"",15)</f>
        <v/>
      </c>
      <c r="B219" s="16" t="str">
        <f aca="false">IFERROR(INDEX(应收对账!$B$5:$B$304,MATCH(15,_自动清单!$K$5:$K$304,0))&amp;"","")</f>
        <v/>
      </c>
      <c r="C219" s="16" t="str">
        <f aca="false">IFERROR(INDEX(应收对账!$C$5:$C$304,MATCH(15,_自动清单!$K$5:$K$304,0))&amp;"","")</f>
        <v/>
      </c>
      <c r="D219" s="53" t="str">
        <f aca="false">IFERROR(INDEX(应收对账!$E$5:$E$304,MATCH(15,_自动清单!$K$5:$K$304,0))&amp;"","")</f>
        <v/>
      </c>
      <c r="E219" s="54" t="str">
        <f aca="false">IFERROR(INDEX(应收对账!$F$5:$F$304,MATCH(15,_自动清单!$K$5:$K$304,0)),"")</f>
        <v/>
      </c>
      <c r="F219" s="48" t="str">
        <f aca="false">IFERROR(INDEX(应收对账!$T$5:$T$304,MATCH(15,_自动清单!$K$5:$K$304,0)),"")</f>
        <v/>
      </c>
      <c r="G219" s="57" t="str">
        <f aca="false">IFERROR(INDEX(应收对账!$R$5:$R$304,MATCH(15,_自动清单!$K$5:$K$304,0)),"")</f>
        <v/>
      </c>
      <c r="H219" s="57" t="str">
        <f aca="false">IFERROR(INDEX(应收对账!$S$5:$S$304,MATCH(15,_自动清单!$K$5:$K$304,0)),"")</f>
        <v/>
      </c>
      <c r="I219" s="55" t="str">
        <f aca="false">IFERROR(INDEX(应收对账!$U$5:$U$304,MATCH(15,_自动清单!$K$5:$K$304,0)),"")</f>
        <v/>
      </c>
      <c r="J219" s="56" t="str">
        <f aca="false">IFERROR(INDEX(应收对账!$V$5:$V$304,MATCH(15,_自动清单!$K$5:$K$304,0))&amp;"","")</f>
        <v/>
      </c>
      <c r="K219" s="30" t="str">
        <f aca="false">IFERROR(INDEX(应收对账!$W$5:$W$304,MATCH(15,_自动清单!$K$5:$K$304,0))&amp;"","")</f>
        <v/>
      </c>
      <c r="L219" s="35"/>
    </row>
    <row r="220" customFormat="false" ht="15" hidden="false" customHeight="false" outlineLevel="0" collapsed="false">
      <c r="A220" s="29" t="str">
        <f aca="false">IF(16&gt;_自动清单!$K$304,"",16)</f>
        <v/>
      </c>
      <c r="B220" s="16" t="str">
        <f aca="false">IFERROR(INDEX(应收对账!$B$5:$B$304,MATCH(16,_自动清单!$K$5:$K$304,0))&amp;"","")</f>
        <v/>
      </c>
      <c r="C220" s="16" t="str">
        <f aca="false">IFERROR(INDEX(应收对账!$C$5:$C$304,MATCH(16,_自动清单!$K$5:$K$304,0))&amp;"","")</f>
        <v/>
      </c>
      <c r="D220" s="53" t="str">
        <f aca="false">IFERROR(INDEX(应收对账!$E$5:$E$304,MATCH(16,_自动清单!$K$5:$K$304,0))&amp;"","")</f>
        <v/>
      </c>
      <c r="E220" s="54" t="str">
        <f aca="false">IFERROR(INDEX(应收对账!$F$5:$F$304,MATCH(16,_自动清单!$K$5:$K$304,0)),"")</f>
        <v/>
      </c>
      <c r="F220" s="48" t="str">
        <f aca="false">IFERROR(INDEX(应收对账!$T$5:$T$304,MATCH(16,_自动清单!$K$5:$K$304,0)),"")</f>
        <v/>
      </c>
      <c r="G220" s="57" t="str">
        <f aca="false">IFERROR(INDEX(应收对账!$R$5:$R$304,MATCH(16,_自动清单!$K$5:$K$304,0)),"")</f>
        <v/>
      </c>
      <c r="H220" s="57" t="str">
        <f aca="false">IFERROR(INDEX(应收对账!$S$5:$S$304,MATCH(16,_自动清单!$K$5:$K$304,0)),"")</f>
        <v/>
      </c>
      <c r="I220" s="55" t="str">
        <f aca="false">IFERROR(INDEX(应收对账!$U$5:$U$304,MATCH(16,_自动清单!$K$5:$K$304,0)),"")</f>
        <v/>
      </c>
      <c r="J220" s="56" t="str">
        <f aca="false">IFERROR(INDEX(应收对账!$V$5:$V$304,MATCH(16,_自动清单!$K$5:$K$304,0))&amp;"","")</f>
        <v/>
      </c>
      <c r="K220" s="30" t="str">
        <f aca="false">IFERROR(INDEX(应收对账!$W$5:$W$304,MATCH(16,_自动清单!$K$5:$K$304,0))&amp;"","")</f>
        <v/>
      </c>
      <c r="L220" s="35"/>
    </row>
    <row r="221" customFormat="false" ht="15" hidden="false" customHeight="false" outlineLevel="0" collapsed="false">
      <c r="A221" s="29" t="str">
        <f aca="false">IF(17&gt;_自动清单!$K$304,"",17)</f>
        <v/>
      </c>
      <c r="B221" s="16" t="str">
        <f aca="false">IFERROR(INDEX(应收对账!$B$5:$B$304,MATCH(17,_自动清单!$K$5:$K$304,0))&amp;"","")</f>
        <v/>
      </c>
      <c r="C221" s="16" t="str">
        <f aca="false">IFERROR(INDEX(应收对账!$C$5:$C$304,MATCH(17,_自动清单!$K$5:$K$304,0))&amp;"","")</f>
        <v/>
      </c>
      <c r="D221" s="53" t="str">
        <f aca="false">IFERROR(INDEX(应收对账!$E$5:$E$304,MATCH(17,_自动清单!$K$5:$K$304,0))&amp;"","")</f>
        <v/>
      </c>
      <c r="E221" s="54" t="str">
        <f aca="false">IFERROR(INDEX(应收对账!$F$5:$F$304,MATCH(17,_自动清单!$K$5:$K$304,0)),"")</f>
        <v/>
      </c>
      <c r="F221" s="48" t="str">
        <f aca="false">IFERROR(INDEX(应收对账!$T$5:$T$304,MATCH(17,_自动清单!$K$5:$K$304,0)),"")</f>
        <v/>
      </c>
      <c r="G221" s="57" t="str">
        <f aca="false">IFERROR(INDEX(应收对账!$R$5:$R$304,MATCH(17,_自动清单!$K$5:$K$304,0)),"")</f>
        <v/>
      </c>
      <c r="H221" s="57" t="str">
        <f aca="false">IFERROR(INDEX(应收对账!$S$5:$S$304,MATCH(17,_自动清单!$K$5:$K$304,0)),"")</f>
        <v/>
      </c>
      <c r="I221" s="55" t="str">
        <f aca="false">IFERROR(INDEX(应收对账!$U$5:$U$304,MATCH(17,_自动清单!$K$5:$K$304,0)),"")</f>
        <v/>
      </c>
      <c r="J221" s="56" t="str">
        <f aca="false">IFERROR(INDEX(应收对账!$V$5:$V$304,MATCH(17,_自动清单!$K$5:$K$304,0))&amp;"","")</f>
        <v/>
      </c>
      <c r="K221" s="30" t="str">
        <f aca="false">IFERROR(INDEX(应收对账!$W$5:$W$304,MATCH(17,_自动清单!$K$5:$K$304,0))&amp;"","")</f>
        <v/>
      </c>
      <c r="L221" s="35"/>
    </row>
    <row r="222" customFormat="false" ht="15" hidden="false" customHeight="false" outlineLevel="0" collapsed="false">
      <c r="A222" s="29" t="str">
        <f aca="false">IF(18&gt;_自动清单!$K$304,"",18)</f>
        <v/>
      </c>
      <c r="B222" s="16" t="str">
        <f aca="false">IFERROR(INDEX(应收对账!$B$5:$B$304,MATCH(18,_自动清单!$K$5:$K$304,0))&amp;"","")</f>
        <v/>
      </c>
      <c r="C222" s="16" t="str">
        <f aca="false">IFERROR(INDEX(应收对账!$C$5:$C$304,MATCH(18,_自动清单!$K$5:$K$304,0))&amp;"","")</f>
        <v/>
      </c>
      <c r="D222" s="53" t="str">
        <f aca="false">IFERROR(INDEX(应收对账!$E$5:$E$304,MATCH(18,_自动清单!$K$5:$K$304,0))&amp;"","")</f>
        <v/>
      </c>
      <c r="E222" s="54" t="str">
        <f aca="false">IFERROR(INDEX(应收对账!$F$5:$F$304,MATCH(18,_自动清单!$K$5:$K$304,0)),"")</f>
        <v/>
      </c>
      <c r="F222" s="48" t="str">
        <f aca="false">IFERROR(INDEX(应收对账!$T$5:$T$304,MATCH(18,_自动清单!$K$5:$K$304,0)),"")</f>
        <v/>
      </c>
      <c r="G222" s="57" t="str">
        <f aca="false">IFERROR(INDEX(应收对账!$R$5:$R$304,MATCH(18,_自动清单!$K$5:$K$304,0)),"")</f>
        <v/>
      </c>
      <c r="H222" s="57" t="str">
        <f aca="false">IFERROR(INDEX(应收对账!$S$5:$S$304,MATCH(18,_自动清单!$K$5:$K$304,0)),"")</f>
        <v/>
      </c>
      <c r="I222" s="55" t="str">
        <f aca="false">IFERROR(INDEX(应收对账!$U$5:$U$304,MATCH(18,_自动清单!$K$5:$K$304,0)),"")</f>
        <v/>
      </c>
      <c r="J222" s="56" t="str">
        <f aca="false">IFERROR(INDEX(应收对账!$V$5:$V$304,MATCH(18,_自动清单!$K$5:$K$304,0))&amp;"","")</f>
        <v/>
      </c>
      <c r="K222" s="30" t="str">
        <f aca="false">IFERROR(INDEX(应收对账!$W$5:$W$304,MATCH(18,_自动清单!$K$5:$K$304,0))&amp;"","")</f>
        <v/>
      </c>
      <c r="L222" s="35"/>
    </row>
    <row r="223" customFormat="false" ht="15" hidden="false" customHeight="false" outlineLevel="0" collapsed="false">
      <c r="A223" s="29" t="str">
        <f aca="false">IF(19&gt;_自动清单!$K$304,"",19)</f>
        <v/>
      </c>
      <c r="B223" s="16" t="str">
        <f aca="false">IFERROR(INDEX(应收对账!$B$5:$B$304,MATCH(19,_自动清单!$K$5:$K$304,0))&amp;"","")</f>
        <v/>
      </c>
      <c r="C223" s="16" t="str">
        <f aca="false">IFERROR(INDEX(应收对账!$C$5:$C$304,MATCH(19,_自动清单!$K$5:$K$304,0))&amp;"","")</f>
        <v/>
      </c>
      <c r="D223" s="53" t="str">
        <f aca="false">IFERROR(INDEX(应收对账!$E$5:$E$304,MATCH(19,_自动清单!$K$5:$K$304,0))&amp;"","")</f>
        <v/>
      </c>
      <c r="E223" s="54" t="str">
        <f aca="false">IFERROR(INDEX(应收对账!$F$5:$F$304,MATCH(19,_自动清单!$K$5:$K$304,0)),"")</f>
        <v/>
      </c>
      <c r="F223" s="48" t="str">
        <f aca="false">IFERROR(INDEX(应收对账!$T$5:$T$304,MATCH(19,_自动清单!$K$5:$K$304,0)),"")</f>
        <v/>
      </c>
      <c r="G223" s="57" t="str">
        <f aca="false">IFERROR(INDEX(应收对账!$R$5:$R$304,MATCH(19,_自动清单!$K$5:$K$304,0)),"")</f>
        <v/>
      </c>
      <c r="H223" s="57" t="str">
        <f aca="false">IFERROR(INDEX(应收对账!$S$5:$S$304,MATCH(19,_自动清单!$K$5:$K$304,0)),"")</f>
        <v/>
      </c>
      <c r="I223" s="55" t="str">
        <f aca="false">IFERROR(INDEX(应收对账!$U$5:$U$304,MATCH(19,_自动清单!$K$5:$K$304,0)),"")</f>
        <v/>
      </c>
      <c r="J223" s="56" t="str">
        <f aca="false">IFERROR(INDEX(应收对账!$V$5:$V$304,MATCH(19,_自动清单!$K$5:$K$304,0))&amp;"","")</f>
        <v/>
      </c>
      <c r="K223" s="30" t="str">
        <f aca="false">IFERROR(INDEX(应收对账!$W$5:$W$304,MATCH(19,_自动清单!$K$5:$K$304,0))&amp;"","")</f>
        <v/>
      </c>
      <c r="L223" s="35"/>
    </row>
    <row r="224" customFormat="false" ht="15" hidden="false" customHeight="false" outlineLevel="0" collapsed="false">
      <c r="A224" s="29" t="str">
        <f aca="false">IF(20&gt;_自动清单!$K$304,"",20)</f>
        <v/>
      </c>
      <c r="B224" s="16" t="str">
        <f aca="false">IFERROR(INDEX(应收对账!$B$5:$B$304,MATCH(20,_自动清单!$K$5:$K$304,0))&amp;"","")</f>
        <v/>
      </c>
      <c r="C224" s="16" t="str">
        <f aca="false">IFERROR(INDEX(应收对账!$C$5:$C$304,MATCH(20,_自动清单!$K$5:$K$304,0))&amp;"","")</f>
        <v/>
      </c>
      <c r="D224" s="53" t="str">
        <f aca="false">IFERROR(INDEX(应收对账!$E$5:$E$304,MATCH(20,_自动清单!$K$5:$K$304,0))&amp;"","")</f>
        <v/>
      </c>
      <c r="E224" s="54" t="str">
        <f aca="false">IFERROR(INDEX(应收对账!$F$5:$F$304,MATCH(20,_自动清单!$K$5:$K$304,0)),"")</f>
        <v/>
      </c>
      <c r="F224" s="48" t="str">
        <f aca="false">IFERROR(INDEX(应收对账!$T$5:$T$304,MATCH(20,_自动清单!$K$5:$K$304,0)),"")</f>
        <v/>
      </c>
      <c r="G224" s="57" t="str">
        <f aca="false">IFERROR(INDEX(应收对账!$R$5:$R$304,MATCH(20,_自动清单!$K$5:$K$304,0)),"")</f>
        <v/>
      </c>
      <c r="H224" s="57" t="str">
        <f aca="false">IFERROR(INDEX(应收对账!$S$5:$S$304,MATCH(20,_自动清单!$K$5:$K$304,0)),"")</f>
        <v/>
      </c>
      <c r="I224" s="55" t="str">
        <f aca="false">IFERROR(INDEX(应收对账!$U$5:$U$304,MATCH(20,_自动清单!$K$5:$K$304,0)),"")</f>
        <v/>
      </c>
      <c r="J224" s="56" t="str">
        <f aca="false">IFERROR(INDEX(应收对账!$V$5:$V$304,MATCH(20,_自动清单!$K$5:$K$304,0))&amp;"","")</f>
        <v/>
      </c>
      <c r="K224" s="30" t="str">
        <f aca="false">IFERROR(INDEX(应收对账!$W$5:$W$304,MATCH(20,_自动清单!$K$5:$K$304,0))&amp;"","")</f>
        <v/>
      </c>
      <c r="L224" s="35"/>
    </row>
    <row r="225" customFormat="false" ht="15" hidden="false" customHeight="false" outlineLevel="0" collapsed="false">
      <c r="A225" s="29" t="str">
        <f aca="false">IF(21&gt;_自动清单!$K$304,"",21)</f>
        <v/>
      </c>
      <c r="B225" s="16" t="str">
        <f aca="false">IFERROR(INDEX(应收对账!$B$5:$B$304,MATCH(21,_自动清单!$K$5:$K$304,0))&amp;"","")</f>
        <v/>
      </c>
      <c r="C225" s="16" t="str">
        <f aca="false">IFERROR(INDEX(应收对账!$C$5:$C$304,MATCH(21,_自动清单!$K$5:$K$304,0))&amp;"","")</f>
        <v/>
      </c>
      <c r="D225" s="53" t="str">
        <f aca="false">IFERROR(INDEX(应收对账!$E$5:$E$304,MATCH(21,_自动清单!$K$5:$K$304,0))&amp;"","")</f>
        <v/>
      </c>
      <c r="E225" s="54" t="str">
        <f aca="false">IFERROR(INDEX(应收对账!$F$5:$F$304,MATCH(21,_自动清单!$K$5:$K$304,0)),"")</f>
        <v/>
      </c>
      <c r="F225" s="48" t="str">
        <f aca="false">IFERROR(INDEX(应收对账!$T$5:$T$304,MATCH(21,_自动清单!$K$5:$K$304,0)),"")</f>
        <v/>
      </c>
      <c r="G225" s="57" t="str">
        <f aca="false">IFERROR(INDEX(应收对账!$R$5:$R$304,MATCH(21,_自动清单!$K$5:$K$304,0)),"")</f>
        <v/>
      </c>
      <c r="H225" s="57" t="str">
        <f aca="false">IFERROR(INDEX(应收对账!$S$5:$S$304,MATCH(21,_自动清单!$K$5:$K$304,0)),"")</f>
        <v/>
      </c>
      <c r="I225" s="55" t="str">
        <f aca="false">IFERROR(INDEX(应收对账!$U$5:$U$304,MATCH(21,_自动清单!$K$5:$K$304,0)),"")</f>
        <v/>
      </c>
      <c r="J225" s="56" t="str">
        <f aca="false">IFERROR(INDEX(应收对账!$V$5:$V$304,MATCH(21,_自动清单!$K$5:$K$304,0))&amp;"","")</f>
        <v/>
      </c>
      <c r="K225" s="30" t="str">
        <f aca="false">IFERROR(INDEX(应收对账!$W$5:$W$304,MATCH(21,_自动清单!$K$5:$K$304,0))&amp;"","")</f>
        <v/>
      </c>
      <c r="L225" s="35"/>
    </row>
    <row r="226" customFormat="false" ht="15" hidden="false" customHeight="false" outlineLevel="0" collapsed="false">
      <c r="A226" s="29" t="str">
        <f aca="false">IF(22&gt;_自动清单!$K$304,"",22)</f>
        <v/>
      </c>
      <c r="B226" s="16" t="str">
        <f aca="false">IFERROR(INDEX(应收对账!$B$5:$B$304,MATCH(22,_自动清单!$K$5:$K$304,0))&amp;"","")</f>
        <v/>
      </c>
      <c r="C226" s="16" t="str">
        <f aca="false">IFERROR(INDEX(应收对账!$C$5:$C$304,MATCH(22,_自动清单!$K$5:$K$304,0))&amp;"","")</f>
        <v/>
      </c>
      <c r="D226" s="53" t="str">
        <f aca="false">IFERROR(INDEX(应收对账!$E$5:$E$304,MATCH(22,_自动清单!$K$5:$K$304,0))&amp;"","")</f>
        <v/>
      </c>
      <c r="E226" s="54" t="str">
        <f aca="false">IFERROR(INDEX(应收对账!$F$5:$F$304,MATCH(22,_自动清单!$K$5:$K$304,0)),"")</f>
        <v/>
      </c>
      <c r="F226" s="48" t="str">
        <f aca="false">IFERROR(INDEX(应收对账!$T$5:$T$304,MATCH(22,_自动清单!$K$5:$K$304,0)),"")</f>
        <v/>
      </c>
      <c r="G226" s="57" t="str">
        <f aca="false">IFERROR(INDEX(应收对账!$R$5:$R$304,MATCH(22,_自动清单!$K$5:$K$304,0)),"")</f>
        <v/>
      </c>
      <c r="H226" s="57" t="str">
        <f aca="false">IFERROR(INDEX(应收对账!$S$5:$S$304,MATCH(22,_自动清单!$K$5:$K$304,0)),"")</f>
        <v/>
      </c>
      <c r="I226" s="55" t="str">
        <f aca="false">IFERROR(INDEX(应收对账!$U$5:$U$304,MATCH(22,_自动清单!$K$5:$K$304,0)),"")</f>
        <v/>
      </c>
      <c r="J226" s="56" t="str">
        <f aca="false">IFERROR(INDEX(应收对账!$V$5:$V$304,MATCH(22,_自动清单!$K$5:$K$304,0))&amp;"","")</f>
        <v/>
      </c>
      <c r="K226" s="30" t="str">
        <f aca="false">IFERROR(INDEX(应收对账!$W$5:$W$304,MATCH(22,_自动清单!$K$5:$K$304,0))&amp;"","")</f>
        <v/>
      </c>
      <c r="L226" s="35"/>
    </row>
    <row r="227" customFormat="false" ht="15" hidden="false" customHeight="false" outlineLevel="0" collapsed="false">
      <c r="A227" s="29" t="str">
        <f aca="false">IF(23&gt;_自动清单!$K$304,"",23)</f>
        <v/>
      </c>
      <c r="B227" s="16" t="str">
        <f aca="false">IFERROR(INDEX(应收对账!$B$5:$B$304,MATCH(23,_自动清单!$K$5:$K$304,0))&amp;"","")</f>
        <v/>
      </c>
      <c r="C227" s="16" t="str">
        <f aca="false">IFERROR(INDEX(应收对账!$C$5:$C$304,MATCH(23,_自动清单!$K$5:$K$304,0))&amp;"","")</f>
        <v/>
      </c>
      <c r="D227" s="53" t="str">
        <f aca="false">IFERROR(INDEX(应收对账!$E$5:$E$304,MATCH(23,_自动清单!$K$5:$K$304,0))&amp;"","")</f>
        <v/>
      </c>
      <c r="E227" s="54" t="str">
        <f aca="false">IFERROR(INDEX(应收对账!$F$5:$F$304,MATCH(23,_自动清单!$K$5:$K$304,0)),"")</f>
        <v/>
      </c>
      <c r="F227" s="48" t="str">
        <f aca="false">IFERROR(INDEX(应收对账!$T$5:$T$304,MATCH(23,_自动清单!$K$5:$K$304,0)),"")</f>
        <v/>
      </c>
      <c r="G227" s="57" t="str">
        <f aca="false">IFERROR(INDEX(应收对账!$R$5:$R$304,MATCH(23,_自动清单!$K$5:$K$304,0)),"")</f>
        <v/>
      </c>
      <c r="H227" s="57" t="str">
        <f aca="false">IFERROR(INDEX(应收对账!$S$5:$S$304,MATCH(23,_自动清单!$K$5:$K$304,0)),"")</f>
        <v/>
      </c>
      <c r="I227" s="55" t="str">
        <f aca="false">IFERROR(INDEX(应收对账!$U$5:$U$304,MATCH(23,_自动清单!$K$5:$K$304,0)),"")</f>
        <v/>
      </c>
      <c r="J227" s="56" t="str">
        <f aca="false">IFERROR(INDEX(应收对账!$V$5:$V$304,MATCH(23,_自动清单!$K$5:$K$304,0))&amp;"","")</f>
        <v/>
      </c>
      <c r="K227" s="30" t="str">
        <f aca="false">IFERROR(INDEX(应收对账!$W$5:$W$304,MATCH(23,_自动清单!$K$5:$K$304,0))&amp;"","")</f>
        <v/>
      </c>
      <c r="L227" s="35"/>
    </row>
    <row r="228" customFormat="false" ht="15" hidden="false" customHeight="false" outlineLevel="0" collapsed="false">
      <c r="A228" s="29" t="str">
        <f aca="false">IF(24&gt;_自动清单!$K$304,"",24)</f>
        <v/>
      </c>
      <c r="B228" s="16" t="str">
        <f aca="false">IFERROR(INDEX(应收对账!$B$5:$B$304,MATCH(24,_自动清单!$K$5:$K$304,0))&amp;"","")</f>
        <v/>
      </c>
      <c r="C228" s="16" t="str">
        <f aca="false">IFERROR(INDEX(应收对账!$C$5:$C$304,MATCH(24,_自动清单!$K$5:$K$304,0))&amp;"","")</f>
        <v/>
      </c>
      <c r="D228" s="53" t="str">
        <f aca="false">IFERROR(INDEX(应收对账!$E$5:$E$304,MATCH(24,_自动清单!$K$5:$K$304,0))&amp;"","")</f>
        <v/>
      </c>
      <c r="E228" s="54" t="str">
        <f aca="false">IFERROR(INDEX(应收对账!$F$5:$F$304,MATCH(24,_自动清单!$K$5:$K$304,0)),"")</f>
        <v/>
      </c>
      <c r="F228" s="48" t="str">
        <f aca="false">IFERROR(INDEX(应收对账!$T$5:$T$304,MATCH(24,_自动清单!$K$5:$K$304,0)),"")</f>
        <v/>
      </c>
      <c r="G228" s="57" t="str">
        <f aca="false">IFERROR(INDEX(应收对账!$R$5:$R$304,MATCH(24,_自动清单!$K$5:$K$304,0)),"")</f>
        <v/>
      </c>
      <c r="H228" s="57" t="str">
        <f aca="false">IFERROR(INDEX(应收对账!$S$5:$S$304,MATCH(24,_自动清单!$K$5:$K$304,0)),"")</f>
        <v/>
      </c>
      <c r="I228" s="55" t="str">
        <f aca="false">IFERROR(INDEX(应收对账!$U$5:$U$304,MATCH(24,_自动清单!$K$5:$K$304,0)),"")</f>
        <v/>
      </c>
      <c r="J228" s="56" t="str">
        <f aca="false">IFERROR(INDEX(应收对账!$V$5:$V$304,MATCH(24,_自动清单!$K$5:$K$304,0))&amp;"","")</f>
        <v/>
      </c>
      <c r="K228" s="30" t="str">
        <f aca="false">IFERROR(INDEX(应收对账!$W$5:$W$304,MATCH(24,_自动清单!$K$5:$K$304,0))&amp;"","")</f>
        <v/>
      </c>
      <c r="L228" s="35"/>
    </row>
    <row r="229" customFormat="false" ht="15" hidden="false" customHeight="false" outlineLevel="0" collapsed="false">
      <c r="A229" s="29" t="str">
        <f aca="false">IF(25&gt;_自动清单!$K$304,"",25)</f>
        <v/>
      </c>
      <c r="B229" s="16" t="str">
        <f aca="false">IFERROR(INDEX(应收对账!$B$5:$B$304,MATCH(25,_自动清单!$K$5:$K$304,0))&amp;"","")</f>
        <v/>
      </c>
      <c r="C229" s="16" t="str">
        <f aca="false">IFERROR(INDEX(应收对账!$C$5:$C$304,MATCH(25,_自动清单!$K$5:$K$304,0))&amp;"","")</f>
        <v/>
      </c>
      <c r="D229" s="53" t="str">
        <f aca="false">IFERROR(INDEX(应收对账!$E$5:$E$304,MATCH(25,_自动清单!$K$5:$K$304,0))&amp;"","")</f>
        <v/>
      </c>
      <c r="E229" s="54" t="str">
        <f aca="false">IFERROR(INDEX(应收对账!$F$5:$F$304,MATCH(25,_自动清单!$K$5:$K$304,0)),"")</f>
        <v/>
      </c>
      <c r="F229" s="48" t="str">
        <f aca="false">IFERROR(INDEX(应收对账!$T$5:$T$304,MATCH(25,_自动清单!$K$5:$K$304,0)),"")</f>
        <v/>
      </c>
      <c r="G229" s="57" t="str">
        <f aca="false">IFERROR(INDEX(应收对账!$R$5:$R$304,MATCH(25,_自动清单!$K$5:$K$304,0)),"")</f>
        <v/>
      </c>
      <c r="H229" s="57" t="str">
        <f aca="false">IFERROR(INDEX(应收对账!$S$5:$S$304,MATCH(25,_自动清单!$K$5:$K$304,0)),"")</f>
        <v/>
      </c>
      <c r="I229" s="55" t="str">
        <f aca="false">IFERROR(INDEX(应收对账!$U$5:$U$304,MATCH(25,_自动清单!$K$5:$K$304,0)),"")</f>
        <v/>
      </c>
      <c r="J229" s="56" t="str">
        <f aca="false">IFERROR(INDEX(应收对账!$V$5:$V$304,MATCH(25,_自动清单!$K$5:$K$304,0))&amp;"","")</f>
        <v/>
      </c>
      <c r="K229" s="30" t="str">
        <f aca="false">IFERROR(INDEX(应收对账!$W$5:$W$304,MATCH(25,_自动清单!$K$5:$K$304,0))&amp;"","")</f>
        <v/>
      </c>
      <c r="L229" s="35"/>
    </row>
    <row r="230" customFormat="false" ht="15" hidden="false" customHeight="false" outlineLevel="0" collapsed="false">
      <c r="A230" s="29" t="str">
        <f aca="false">IF(26&gt;_自动清单!$K$304,"",26)</f>
        <v/>
      </c>
      <c r="B230" s="16" t="str">
        <f aca="false">IFERROR(INDEX(应收对账!$B$5:$B$304,MATCH(26,_自动清单!$K$5:$K$304,0))&amp;"","")</f>
        <v/>
      </c>
      <c r="C230" s="16" t="str">
        <f aca="false">IFERROR(INDEX(应收对账!$C$5:$C$304,MATCH(26,_自动清单!$K$5:$K$304,0))&amp;"","")</f>
        <v/>
      </c>
      <c r="D230" s="53" t="str">
        <f aca="false">IFERROR(INDEX(应收对账!$E$5:$E$304,MATCH(26,_自动清单!$K$5:$K$304,0))&amp;"","")</f>
        <v/>
      </c>
      <c r="E230" s="54" t="str">
        <f aca="false">IFERROR(INDEX(应收对账!$F$5:$F$304,MATCH(26,_自动清单!$K$5:$K$304,0)),"")</f>
        <v/>
      </c>
      <c r="F230" s="48" t="str">
        <f aca="false">IFERROR(INDEX(应收对账!$T$5:$T$304,MATCH(26,_自动清单!$K$5:$K$304,0)),"")</f>
        <v/>
      </c>
      <c r="G230" s="57" t="str">
        <f aca="false">IFERROR(INDEX(应收对账!$R$5:$R$304,MATCH(26,_自动清单!$K$5:$K$304,0)),"")</f>
        <v/>
      </c>
      <c r="H230" s="57" t="str">
        <f aca="false">IFERROR(INDEX(应收对账!$S$5:$S$304,MATCH(26,_自动清单!$K$5:$K$304,0)),"")</f>
        <v/>
      </c>
      <c r="I230" s="55" t="str">
        <f aca="false">IFERROR(INDEX(应收对账!$U$5:$U$304,MATCH(26,_自动清单!$K$5:$K$304,0)),"")</f>
        <v/>
      </c>
      <c r="J230" s="56" t="str">
        <f aca="false">IFERROR(INDEX(应收对账!$V$5:$V$304,MATCH(26,_自动清单!$K$5:$K$304,0))&amp;"","")</f>
        <v/>
      </c>
      <c r="K230" s="30" t="str">
        <f aca="false">IFERROR(INDEX(应收对账!$W$5:$W$304,MATCH(26,_自动清单!$K$5:$K$304,0))&amp;"","")</f>
        <v/>
      </c>
      <c r="L230" s="35"/>
    </row>
    <row r="231" customFormat="false" ht="15" hidden="false" customHeight="false" outlineLevel="0" collapsed="false">
      <c r="A231" s="29" t="str">
        <f aca="false">IF(27&gt;_自动清单!$K$304,"",27)</f>
        <v/>
      </c>
      <c r="B231" s="16" t="str">
        <f aca="false">IFERROR(INDEX(应收对账!$B$5:$B$304,MATCH(27,_自动清单!$K$5:$K$304,0))&amp;"","")</f>
        <v/>
      </c>
      <c r="C231" s="16" t="str">
        <f aca="false">IFERROR(INDEX(应收对账!$C$5:$C$304,MATCH(27,_自动清单!$K$5:$K$304,0))&amp;"","")</f>
        <v/>
      </c>
      <c r="D231" s="53" t="str">
        <f aca="false">IFERROR(INDEX(应收对账!$E$5:$E$304,MATCH(27,_自动清单!$K$5:$K$304,0))&amp;"","")</f>
        <v/>
      </c>
      <c r="E231" s="54" t="str">
        <f aca="false">IFERROR(INDEX(应收对账!$F$5:$F$304,MATCH(27,_自动清单!$K$5:$K$304,0)),"")</f>
        <v/>
      </c>
      <c r="F231" s="48" t="str">
        <f aca="false">IFERROR(INDEX(应收对账!$T$5:$T$304,MATCH(27,_自动清单!$K$5:$K$304,0)),"")</f>
        <v/>
      </c>
      <c r="G231" s="57" t="str">
        <f aca="false">IFERROR(INDEX(应收对账!$R$5:$R$304,MATCH(27,_自动清单!$K$5:$K$304,0)),"")</f>
        <v/>
      </c>
      <c r="H231" s="57" t="str">
        <f aca="false">IFERROR(INDEX(应收对账!$S$5:$S$304,MATCH(27,_自动清单!$K$5:$K$304,0)),"")</f>
        <v/>
      </c>
      <c r="I231" s="55" t="str">
        <f aca="false">IFERROR(INDEX(应收对账!$U$5:$U$304,MATCH(27,_自动清单!$K$5:$K$304,0)),"")</f>
        <v/>
      </c>
      <c r="J231" s="56" t="str">
        <f aca="false">IFERROR(INDEX(应收对账!$V$5:$V$304,MATCH(27,_自动清单!$K$5:$K$304,0))&amp;"","")</f>
        <v/>
      </c>
      <c r="K231" s="30" t="str">
        <f aca="false">IFERROR(INDEX(应收对账!$W$5:$W$304,MATCH(27,_自动清单!$K$5:$K$304,0))&amp;"","")</f>
        <v/>
      </c>
      <c r="L231" s="35"/>
    </row>
    <row r="232" customFormat="false" ht="15" hidden="false" customHeight="false" outlineLevel="0" collapsed="false">
      <c r="A232" s="29" t="str">
        <f aca="false">IF(28&gt;_自动清单!$K$304,"",28)</f>
        <v/>
      </c>
      <c r="B232" s="16" t="str">
        <f aca="false">IFERROR(INDEX(应收对账!$B$5:$B$304,MATCH(28,_自动清单!$K$5:$K$304,0))&amp;"","")</f>
        <v/>
      </c>
      <c r="C232" s="16" t="str">
        <f aca="false">IFERROR(INDEX(应收对账!$C$5:$C$304,MATCH(28,_自动清单!$K$5:$K$304,0))&amp;"","")</f>
        <v/>
      </c>
      <c r="D232" s="53" t="str">
        <f aca="false">IFERROR(INDEX(应收对账!$E$5:$E$304,MATCH(28,_自动清单!$K$5:$K$304,0))&amp;"","")</f>
        <v/>
      </c>
      <c r="E232" s="54" t="str">
        <f aca="false">IFERROR(INDEX(应收对账!$F$5:$F$304,MATCH(28,_自动清单!$K$5:$K$304,0)),"")</f>
        <v/>
      </c>
      <c r="F232" s="48" t="str">
        <f aca="false">IFERROR(INDEX(应收对账!$T$5:$T$304,MATCH(28,_自动清单!$K$5:$K$304,0)),"")</f>
        <v/>
      </c>
      <c r="G232" s="57" t="str">
        <f aca="false">IFERROR(INDEX(应收对账!$R$5:$R$304,MATCH(28,_自动清单!$K$5:$K$304,0)),"")</f>
        <v/>
      </c>
      <c r="H232" s="57" t="str">
        <f aca="false">IFERROR(INDEX(应收对账!$S$5:$S$304,MATCH(28,_自动清单!$K$5:$K$304,0)),"")</f>
        <v/>
      </c>
      <c r="I232" s="55" t="str">
        <f aca="false">IFERROR(INDEX(应收对账!$U$5:$U$304,MATCH(28,_自动清单!$K$5:$K$304,0)),"")</f>
        <v/>
      </c>
      <c r="J232" s="56" t="str">
        <f aca="false">IFERROR(INDEX(应收对账!$V$5:$V$304,MATCH(28,_自动清单!$K$5:$K$304,0))&amp;"","")</f>
        <v/>
      </c>
      <c r="K232" s="30" t="str">
        <f aca="false">IFERROR(INDEX(应收对账!$W$5:$W$304,MATCH(28,_自动清单!$K$5:$K$304,0))&amp;"","")</f>
        <v/>
      </c>
      <c r="L232" s="35"/>
    </row>
    <row r="233" customFormat="false" ht="15" hidden="false" customHeight="false" outlineLevel="0" collapsed="false">
      <c r="A233" s="29" t="str">
        <f aca="false">IF(29&gt;_自动清单!$K$304,"",29)</f>
        <v/>
      </c>
      <c r="B233" s="16" t="str">
        <f aca="false">IFERROR(INDEX(应收对账!$B$5:$B$304,MATCH(29,_自动清单!$K$5:$K$304,0))&amp;"","")</f>
        <v/>
      </c>
      <c r="C233" s="16" t="str">
        <f aca="false">IFERROR(INDEX(应收对账!$C$5:$C$304,MATCH(29,_自动清单!$K$5:$K$304,0))&amp;"","")</f>
        <v/>
      </c>
      <c r="D233" s="53" t="str">
        <f aca="false">IFERROR(INDEX(应收对账!$E$5:$E$304,MATCH(29,_自动清单!$K$5:$K$304,0))&amp;"","")</f>
        <v/>
      </c>
      <c r="E233" s="54" t="str">
        <f aca="false">IFERROR(INDEX(应收对账!$F$5:$F$304,MATCH(29,_自动清单!$K$5:$K$304,0)),"")</f>
        <v/>
      </c>
      <c r="F233" s="48" t="str">
        <f aca="false">IFERROR(INDEX(应收对账!$T$5:$T$304,MATCH(29,_自动清单!$K$5:$K$304,0)),"")</f>
        <v/>
      </c>
      <c r="G233" s="57" t="str">
        <f aca="false">IFERROR(INDEX(应收对账!$R$5:$R$304,MATCH(29,_自动清单!$K$5:$K$304,0)),"")</f>
        <v/>
      </c>
      <c r="H233" s="57" t="str">
        <f aca="false">IFERROR(INDEX(应收对账!$S$5:$S$304,MATCH(29,_自动清单!$K$5:$K$304,0)),"")</f>
        <v/>
      </c>
      <c r="I233" s="55" t="str">
        <f aca="false">IFERROR(INDEX(应收对账!$U$5:$U$304,MATCH(29,_自动清单!$K$5:$K$304,0)),"")</f>
        <v/>
      </c>
      <c r="J233" s="56" t="str">
        <f aca="false">IFERROR(INDEX(应收对账!$V$5:$V$304,MATCH(29,_自动清单!$K$5:$K$304,0))&amp;"","")</f>
        <v/>
      </c>
      <c r="K233" s="30" t="str">
        <f aca="false">IFERROR(INDEX(应收对账!$W$5:$W$304,MATCH(29,_自动清单!$K$5:$K$304,0))&amp;"","")</f>
        <v/>
      </c>
      <c r="L233" s="35"/>
    </row>
    <row r="234" customFormat="false" ht="15" hidden="false" customHeight="false" outlineLevel="0" collapsed="false">
      <c r="A234" s="29" t="str">
        <f aca="false">IF(30&gt;_自动清单!$K$304,"",30)</f>
        <v/>
      </c>
      <c r="B234" s="16" t="str">
        <f aca="false">IFERROR(INDEX(应收对账!$B$5:$B$304,MATCH(30,_自动清单!$K$5:$K$304,0))&amp;"","")</f>
        <v/>
      </c>
      <c r="C234" s="16" t="str">
        <f aca="false">IFERROR(INDEX(应收对账!$C$5:$C$304,MATCH(30,_自动清单!$K$5:$K$304,0))&amp;"","")</f>
        <v/>
      </c>
      <c r="D234" s="53" t="str">
        <f aca="false">IFERROR(INDEX(应收对账!$E$5:$E$304,MATCH(30,_自动清单!$K$5:$K$304,0))&amp;"","")</f>
        <v/>
      </c>
      <c r="E234" s="54" t="str">
        <f aca="false">IFERROR(INDEX(应收对账!$F$5:$F$304,MATCH(30,_自动清单!$K$5:$K$304,0)),"")</f>
        <v/>
      </c>
      <c r="F234" s="48" t="str">
        <f aca="false">IFERROR(INDEX(应收对账!$T$5:$T$304,MATCH(30,_自动清单!$K$5:$K$304,0)),"")</f>
        <v/>
      </c>
      <c r="G234" s="57" t="str">
        <f aca="false">IFERROR(INDEX(应收对账!$R$5:$R$304,MATCH(30,_自动清单!$K$5:$K$304,0)),"")</f>
        <v/>
      </c>
      <c r="H234" s="57" t="str">
        <f aca="false">IFERROR(INDEX(应收对账!$S$5:$S$304,MATCH(30,_自动清单!$K$5:$K$304,0)),"")</f>
        <v/>
      </c>
      <c r="I234" s="55" t="str">
        <f aca="false">IFERROR(INDEX(应收对账!$U$5:$U$304,MATCH(30,_自动清单!$K$5:$K$304,0)),"")</f>
        <v/>
      </c>
      <c r="J234" s="56" t="str">
        <f aca="false">IFERROR(INDEX(应收对账!$V$5:$V$304,MATCH(30,_自动清单!$K$5:$K$304,0))&amp;"","")</f>
        <v/>
      </c>
      <c r="K234" s="30" t="str">
        <f aca="false">IFERROR(INDEX(应收对账!$W$5:$W$304,MATCH(30,_自动清单!$K$5:$K$304,0))&amp;"","")</f>
        <v/>
      </c>
      <c r="L234" s="35"/>
    </row>
    <row r="235" customFormat="false" ht="15" hidden="false" customHeight="false" outlineLevel="0" collapsed="false">
      <c r="A235" s="29" t="str">
        <f aca="false">IF(31&gt;_自动清单!$K$304,"",31)</f>
        <v/>
      </c>
      <c r="B235" s="16" t="str">
        <f aca="false">IFERROR(INDEX(应收对账!$B$5:$B$304,MATCH(31,_自动清单!$K$5:$K$304,0))&amp;"","")</f>
        <v/>
      </c>
      <c r="C235" s="16" t="str">
        <f aca="false">IFERROR(INDEX(应收对账!$C$5:$C$304,MATCH(31,_自动清单!$K$5:$K$304,0))&amp;"","")</f>
        <v/>
      </c>
      <c r="D235" s="53" t="str">
        <f aca="false">IFERROR(INDEX(应收对账!$E$5:$E$304,MATCH(31,_自动清单!$K$5:$K$304,0))&amp;"","")</f>
        <v/>
      </c>
      <c r="E235" s="54" t="str">
        <f aca="false">IFERROR(INDEX(应收对账!$F$5:$F$304,MATCH(31,_自动清单!$K$5:$K$304,0)),"")</f>
        <v/>
      </c>
      <c r="F235" s="48" t="str">
        <f aca="false">IFERROR(INDEX(应收对账!$T$5:$T$304,MATCH(31,_自动清单!$K$5:$K$304,0)),"")</f>
        <v/>
      </c>
      <c r="G235" s="57" t="str">
        <f aca="false">IFERROR(INDEX(应收对账!$R$5:$R$304,MATCH(31,_自动清单!$K$5:$K$304,0)),"")</f>
        <v/>
      </c>
      <c r="H235" s="57" t="str">
        <f aca="false">IFERROR(INDEX(应收对账!$S$5:$S$304,MATCH(31,_自动清单!$K$5:$K$304,0)),"")</f>
        <v/>
      </c>
      <c r="I235" s="55" t="str">
        <f aca="false">IFERROR(INDEX(应收对账!$U$5:$U$304,MATCH(31,_自动清单!$K$5:$K$304,0)),"")</f>
        <v/>
      </c>
      <c r="J235" s="56" t="str">
        <f aca="false">IFERROR(INDEX(应收对账!$V$5:$V$304,MATCH(31,_自动清单!$K$5:$K$304,0))&amp;"","")</f>
        <v/>
      </c>
      <c r="K235" s="30" t="str">
        <f aca="false">IFERROR(INDEX(应收对账!$W$5:$W$304,MATCH(31,_自动清单!$K$5:$K$304,0))&amp;"","")</f>
        <v/>
      </c>
      <c r="L235" s="35"/>
    </row>
    <row r="236" customFormat="false" ht="15" hidden="false" customHeight="false" outlineLevel="0" collapsed="false">
      <c r="A236" s="29" t="str">
        <f aca="false">IF(32&gt;_自动清单!$K$304,"",32)</f>
        <v/>
      </c>
      <c r="B236" s="16" t="str">
        <f aca="false">IFERROR(INDEX(应收对账!$B$5:$B$304,MATCH(32,_自动清单!$K$5:$K$304,0))&amp;"","")</f>
        <v/>
      </c>
      <c r="C236" s="16" t="str">
        <f aca="false">IFERROR(INDEX(应收对账!$C$5:$C$304,MATCH(32,_自动清单!$K$5:$K$304,0))&amp;"","")</f>
        <v/>
      </c>
      <c r="D236" s="53" t="str">
        <f aca="false">IFERROR(INDEX(应收对账!$E$5:$E$304,MATCH(32,_自动清单!$K$5:$K$304,0))&amp;"","")</f>
        <v/>
      </c>
      <c r="E236" s="54" t="str">
        <f aca="false">IFERROR(INDEX(应收对账!$F$5:$F$304,MATCH(32,_自动清单!$K$5:$K$304,0)),"")</f>
        <v/>
      </c>
      <c r="F236" s="48" t="str">
        <f aca="false">IFERROR(INDEX(应收对账!$T$5:$T$304,MATCH(32,_自动清单!$K$5:$K$304,0)),"")</f>
        <v/>
      </c>
      <c r="G236" s="57" t="str">
        <f aca="false">IFERROR(INDEX(应收对账!$R$5:$R$304,MATCH(32,_自动清单!$K$5:$K$304,0)),"")</f>
        <v/>
      </c>
      <c r="H236" s="57" t="str">
        <f aca="false">IFERROR(INDEX(应收对账!$S$5:$S$304,MATCH(32,_自动清单!$K$5:$K$304,0)),"")</f>
        <v/>
      </c>
      <c r="I236" s="55" t="str">
        <f aca="false">IFERROR(INDEX(应收对账!$U$5:$U$304,MATCH(32,_自动清单!$K$5:$K$304,0)),"")</f>
        <v/>
      </c>
      <c r="J236" s="56" t="str">
        <f aca="false">IFERROR(INDEX(应收对账!$V$5:$V$304,MATCH(32,_自动清单!$K$5:$K$304,0))&amp;"","")</f>
        <v/>
      </c>
      <c r="K236" s="30" t="str">
        <f aca="false">IFERROR(INDEX(应收对账!$W$5:$W$304,MATCH(32,_自动清单!$K$5:$K$304,0))&amp;"","")</f>
        <v/>
      </c>
      <c r="L236" s="35"/>
    </row>
    <row r="237" customFormat="false" ht="15" hidden="false" customHeight="false" outlineLevel="0" collapsed="false">
      <c r="A237" s="29" t="str">
        <f aca="false">IF(33&gt;_自动清单!$K$304,"",33)</f>
        <v/>
      </c>
      <c r="B237" s="16" t="str">
        <f aca="false">IFERROR(INDEX(应收对账!$B$5:$B$304,MATCH(33,_自动清单!$K$5:$K$304,0))&amp;"","")</f>
        <v/>
      </c>
      <c r="C237" s="16" t="str">
        <f aca="false">IFERROR(INDEX(应收对账!$C$5:$C$304,MATCH(33,_自动清单!$K$5:$K$304,0))&amp;"","")</f>
        <v/>
      </c>
      <c r="D237" s="53" t="str">
        <f aca="false">IFERROR(INDEX(应收对账!$E$5:$E$304,MATCH(33,_自动清单!$K$5:$K$304,0))&amp;"","")</f>
        <v/>
      </c>
      <c r="E237" s="54" t="str">
        <f aca="false">IFERROR(INDEX(应收对账!$F$5:$F$304,MATCH(33,_自动清单!$K$5:$K$304,0)),"")</f>
        <v/>
      </c>
      <c r="F237" s="48" t="str">
        <f aca="false">IFERROR(INDEX(应收对账!$T$5:$T$304,MATCH(33,_自动清单!$K$5:$K$304,0)),"")</f>
        <v/>
      </c>
      <c r="G237" s="57" t="str">
        <f aca="false">IFERROR(INDEX(应收对账!$R$5:$R$304,MATCH(33,_自动清单!$K$5:$K$304,0)),"")</f>
        <v/>
      </c>
      <c r="H237" s="57" t="str">
        <f aca="false">IFERROR(INDEX(应收对账!$S$5:$S$304,MATCH(33,_自动清单!$K$5:$K$304,0)),"")</f>
        <v/>
      </c>
      <c r="I237" s="55" t="str">
        <f aca="false">IFERROR(INDEX(应收对账!$U$5:$U$304,MATCH(33,_自动清单!$K$5:$K$304,0)),"")</f>
        <v/>
      </c>
      <c r="J237" s="56" t="str">
        <f aca="false">IFERROR(INDEX(应收对账!$V$5:$V$304,MATCH(33,_自动清单!$K$5:$K$304,0))&amp;"","")</f>
        <v/>
      </c>
      <c r="K237" s="30" t="str">
        <f aca="false">IFERROR(INDEX(应收对账!$W$5:$W$304,MATCH(33,_自动清单!$K$5:$K$304,0))&amp;"","")</f>
        <v/>
      </c>
      <c r="L237" s="35"/>
    </row>
    <row r="238" customFormat="false" ht="15" hidden="false" customHeight="false" outlineLevel="0" collapsed="false">
      <c r="A238" s="29" t="str">
        <f aca="false">IF(34&gt;_自动清单!$K$304,"",34)</f>
        <v/>
      </c>
      <c r="B238" s="16" t="str">
        <f aca="false">IFERROR(INDEX(应收对账!$B$5:$B$304,MATCH(34,_自动清单!$K$5:$K$304,0))&amp;"","")</f>
        <v/>
      </c>
      <c r="C238" s="16" t="str">
        <f aca="false">IFERROR(INDEX(应收对账!$C$5:$C$304,MATCH(34,_自动清单!$K$5:$K$304,0))&amp;"","")</f>
        <v/>
      </c>
      <c r="D238" s="53" t="str">
        <f aca="false">IFERROR(INDEX(应收对账!$E$5:$E$304,MATCH(34,_自动清单!$K$5:$K$304,0))&amp;"","")</f>
        <v/>
      </c>
      <c r="E238" s="54" t="str">
        <f aca="false">IFERROR(INDEX(应收对账!$F$5:$F$304,MATCH(34,_自动清单!$K$5:$K$304,0)),"")</f>
        <v/>
      </c>
      <c r="F238" s="48" t="str">
        <f aca="false">IFERROR(INDEX(应收对账!$T$5:$T$304,MATCH(34,_自动清单!$K$5:$K$304,0)),"")</f>
        <v/>
      </c>
      <c r="G238" s="57" t="str">
        <f aca="false">IFERROR(INDEX(应收对账!$R$5:$R$304,MATCH(34,_自动清单!$K$5:$K$304,0)),"")</f>
        <v/>
      </c>
      <c r="H238" s="57" t="str">
        <f aca="false">IFERROR(INDEX(应收对账!$S$5:$S$304,MATCH(34,_自动清单!$K$5:$K$304,0)),"")</f>
        <v/>
      </c>
      <c r="I238" s="55" t="str">
        <f aca="false">IFERROR(INDEX(应收对账!$U$5:$U$304,MATCH(34,_自动清单!$K$5:$K$304,0)),"")</f>
        <v/>
      </c>
      <c r="J238" s="56" t="str">
        <f aca="false">IFERROR(INDEX(应收对账!$V$5:$V$304,MATCH(34,_自动清单!$K$5:$K$304,0))&amp;"","")</f>
        <v/>
      </c>
      <c r="K238" s="30" t="str">
        <f aca="false">IFERROR(INDEX(应收对账!$W$5:$W$304,MATCH(34,_自动清单!$K$5:$K$304,0))&amp;"","")</f>
        <v/>
      </c>
      <c r="L238" s="35"/>
    </row>
    <row r="239" customFormat="false" ht="15" hidden="false" customHeight="false" outlineLevel="0" collapsed="false">
      <c r="A239" s="29" t="str">
        <f aca="false">IF(35&gt;_自动清单!$K$304,"",35)</f>
        <v/>
      </c>
      <c r="B239" s="16" t="str">
        <f aca="false">IFERROR(INDEX(应收对账!$B$5:$B$304,MATCH(35,_自动清单!$K$5:$K$304,0))&amp;"","")</f>
        <v/>
      </c>
      <c r="C239" s="16" t="str">
        <f aca="false">IFERROR(INDEX(应收对账!$C$5:$C$304,MATCH(35,_自动清单!$K$5:$K$304,0))&amp;"","")</f>
        <v/>
      </c>
      <c r="D239" s="53" t="str">
        <f aca="false">IFERROR(INDEX(应收对账!$E$5:$E$304,MATCH(35,_自动清单!$K$5:$K$304,0))&amp;"","")</f>
        <v/>
      </c>
      <c r="E239" s="54" t="str">
        <f aca="false">IFERROR(INDEX(应收对账!$F$5:$F$304,MATCH(35,_自动清单!$K$5:$K$304,0)),"")</f>
        <v/>
      </c>
      <c r="F239" s="48" t="str">
        <f aca="false">IFERROR(INDEX(应收对账!$T$5:$T$304,MATCH(35,_自动清单!$K$5:$K$304,0)),"")</f>
        <v/>
      </c>
      <c r="G239" s="57" t="str">
        <f aca="false">IFERROR(INDEX(应收对账!$R$5:$R$304,MATCH(35,_自动清单!$K$5:$K$304,0)),"")</f>
        <v/>
      </c>
      <c r="H239" s="57" t="str">
        <f aca="false">IFERROR(INDEX(应收对账!$S$5:$S$304,MATCH(35,_自动清单!$K$5:$K$304,0)),"")</f>
        <v/>
      </c>
      <c r="I239" s="55" t="str">
        <f aca="false">IFERROR(INDEX(应收对账!$U$5:$U$304,MATCH(35,_自动清单!$K$5:$K$304,0)),"")</f>
        <v/>
      </c>
      <c r="J239" s="56" t="str">
        <f aca="false">IFERROR(INDEX(应收对账!$V$5:$V$304,MATCH(35,_自动清单!$K$5:$K$304,0))&amp;"","")</f>
        <v/>
      </c>
      <c r="K239" s="30" t="str">
        <f aca="false">IFERROR(INDEX(应收对账!$W$5:$W$304,MATCH(35,_自动清单!$K$5:$K$304,0))&amp;"","")</f>
        <v/>
      </c>
      <c r="L239" s="35"/>
    </row>
    <row r="240" customFormat="false" ht="15" hidden="false" customHeight="false" outlineLevel="0" collapsed="false">
      <c r="A240" s="29" t="str">
        <f aca="false">IF(36&gt;_自动清单!$K$304,"",36)</f>
        <v/>
      </c>
      <c r="B240" s="16" t="str">
        <f aca="false">IFERROR(INDEX(应收对账!$B$5:$B$304,MATCH(36,_自动清单!$K$5:$K$304,0))&amp;"","")</f>
        <v/>
      </c>
      <c r="C240" s="16" t="str">
        <f aca="false">IFERROR(INDEX(应收对账!$C$5:$C$304,MATCH(36,_自动清单!$K$5:$K$304,0))&amp;"","")</f>
        <v/>
      </c>
      <c r="D240" s="53" t="str">
        <f aca="false">IFERROR(INDEX(应收对账!$E$5:$E$304,MATCH(36,_自动清单!$K$5:$K$304,0))&amp;"","")</f>
        <v/>
      </c>
      <c r="E240" s="54" t="str">
        <f aca="false">IFERROR(INDEX(应收对账!$F$5:$F$304,MATCH(36,_自动清单!$K$5:$K$304,0)),"")</f>
        <v/>
      </c>
      <c r="F240" s="48" t="str">
        <f aca="false">IFERROR(INDEX(应收对账!$T$5:$T$304,MATCH(36,_自动清单!$K$5:$K$304,0)),"")</f>
        <v/>
      </c>
      <c r="G240" s="57" t="str">
        <f aca="false">IFERROR(INDEX(应收对账!$R$5:$R$304,MATCH(36,_自动清单!$K$5:$K$304,0)),"")</f>
        <v/>
      </c>
      <c r="H240" s="57" t="str">
        <f aca="false">IFERROR(INDEX(应收对账!$S$5:$S$304,MATCH(36,_自动清单!$K$5:$K$304,0)),"")</f>
        <v/>
      </c>
      <c r="I240" s="55" t="str">
        <f aca="false">IFERROR(INDEX(应收对账!$U$5:$U$304,MATCH(36,_自动清单!$K$5:$K$304,0)),"")</f>
        <v/>
      </c>
      <c r="J240" s="56" t="str">
        <f aca="false">IFERROR(INDEX(应收对账!$V$5:$V$304,MATCH(36,_自动清单!$K$5:$K$304,0))&amp;"","")</f>
        <v/>
      </c>
      <c r="K240" s="30" t="str">
        <f aca="false">IFERROR(INDEX(应收对账!$W$5:$W$304,MATCH(36,_自动清单!$K$5:$K$304,0))&amp;"","")</f>
        <v/>
      </c>
      <c r="L240" s="35"/>
    </row>
    <row r="241" customFormat="false" ht="15" hidden="false" customHeight="false" outlineLevel="0" collapsed="false">
      <c r="A241" s="29" t="str">
        <f aca="false">IF(37&gt;_自动清单!$K$304,"",37)</f>
        <v/>
      </c>
      <c r="B241" s="16" t="str">
        <f aca="false">IFERROR(INDEX(应收对账!$B$5:$B$304,MATCH(37,_自动清单!$K$5:$K$304,0))&amp;"","")</f>
        <v/>
      </c>
      <c r="C241" s="16" t="str">
        <f aca="false">IFERROR(INDEX(应收对账!$C$5:$C$304,MATCH(37,_自动清单!$K$5:$K$304,0))&amp;"","")</f>
        <v/>
      </c>
      <c r="D241" s="53" t="str">
        <f aca="false">IFERROR(INDEX(应收对账!$E$5:$E$304,MATCH(37,_自动清单!$K$5:$K$304,0))&amp;"","")</f>
        <v/>
      </c>
      <c r="E241" s="54" t="str">
        <f aca="false">IFERROR(INDEX(应收对账!$F$5:$F$304,MATCH(37,_自动清单!$K$5:$K$304,0)),"")</f>
        <v/>
      </c>
      <c r="F241" s="48" t="str">
        <f aca="false">IFERROR(INDEX(应收对账!$T$5:$T$304,MATCH(37,_自动清单!$K$5:$K$304,0)),"")</f>
        <v/>
      </c>
      <c r="G241" s="57" t="str">
        <f aca="false">IFERROR(INDEX(应收对账!$R$5:$R$304,MATCH(37,_自动清单!$K$5:$K$304,0)),"")</f>
        <v/>
      </c>
      <c r="H241" s="57" t="str">
        <f aca="false">IFERROR(INDEX(应收对账!$S$5:$S$304,MATCH(37,_自动清单!$K$5:$K$304,0)),"")</f>
        <v/>
      </c>
      <c r="I241" s="55" t="str">
        <f aca="false">IFERROR(INDEX(应收对账!$U$5:$U$304,MATCH(37,_自动清单!$K$5:$K$304,0)),"")</f>
        <v/>
      </c>
      <c r="J241" s="56" t="str">
        <f aca="false">IFERROR(INDEX(应收对账!$V$5:$V$304,MATCH(37,_自动清单!$K$5:$K$304,0))&amp;"","")</f>
        <v/>
      </c>
      <c r="K241" s="30" t="str">
        <f aca="false">IFERROR(INDEX(应收对账!$W$5:$W$304,MATCH(37,_自动清单!$K$5:$K$304,0))&amp;"","")</f>
        <v/>
      </c>
      <c r="L241" s="35"/>
    </row>
    <row r="242" customFormat="false" ht="15" hidden="false" customHeight="false" outlineLevel="0" collapsed="false">
      <c r="A242" s="29" t="str">
        <f aca="false">IF(38&gt;_自动清单!$K$304,"",38)</f>
        <v/>
      </c>
      <c r="B242" s="16" t="str">
        <f aca="false">IFERROR(INDEX(应收对账!$B$5:$B$304,MATCH(38,_自动清单!$K$5:$K$304,0))&amp;"","")</f>
        <v/>
      </c>
      <c r="C242" s="16" t="str">
        <f aca="false">IFERROR(INDEX(应收对账!$C$5:$C$304,MATCH(38,_自动清单!$K$5:$K$304,0))&amp;"","")</f>
        <v/>
      </c>
      <c r="D242" s="53" t="str">
        <f aca="false">IFERROR(INDEX(应收对账!$E$5:$E$304,MATCH(38,_自动清单!$K$5:$K$304,0))&amp;"","")</f>
        <v/>
      </c>
      <c r="E242" s="54" t="str">
        <f aca="false">IFERROR(INDEX(应收对账!$F$5:$F$304,MATCH(38,_自动清单!$K$5:$K$304,0)),"")</f>
        <v/>
      </c>
      <c r="F242" s="48" t="str">
        <f aca="false">IFERROR(INDEX(应收对账!$T$5:$T$304,MATCH(38,_自动清单!$K$5:$K$304,0)),"")</f>
        <v/>
      </c>
      <c r="G242" s="57" t="str">
        <f aca="false">IFERROR(INDEX(应收对账!$R$5:$R$304,MATCH(38,_自动清单!$K$5:$K$304,0)),"")</f>
        <v/>
      </c>
      <c r="H242" s="57" t="str">
        <f aca="false">IFERROR(INDEX(应收对账!$S$5:$S$304,MATCH(38,_自动清单!$K$5:$K$304,0)),"")</f>
        <v/>
      </c>
      <c r="I242" s="55" t="str">
        <f aca="false">IFERROR(INDEX(应收对账!$U$5:$U$304,MATCH(38,_自动清单!$K$5:$K$304,0)),"")</f>
        <v/>
      </c>
      <c r="J242" s="56" t="str">
        <f aca="false">IFERROR(INDEX(应收对账!$V$5:$V$304,MATCH(38,_自动清单!$K$5:$K$304,0))&amp;"","")</f>
        <v/>
      </c>
      <c r="K242" s="30" t="str">
        <f aca="false">IFERROR(INDEX(应收对账!$W$5:$W$304,MATCH(38,_自动清单!$K$5:$K$304,0))&amp;"","")</f>
        <v/>
      </c>
      <c r="L242" s="35"/>
    </row>
    <row r="243" customFormat="false" ht="15" hidden="false" customHeight="false" outlineLevel="0" collapsed="false">
      <c r="A243" s="29" t="str">
        <f aca="false">IF(39&gt;_自动清单!$K$304,"",39)</f>
        <v/>
      </c>
      <c r="B243" s="16" t="str">
        <f aca="false">IFERROR(INDEX(应收对账!$B$5:$B$304,MATCH(39,_自动清单!$K$5:$K$304,0))&amp;"","")</f>
        <v/>
      </c>
      <c r="C243" s="16" t="str">
        <f aca="false">IFERROR(INDEX(应收对账!$C$5:$C$304,MATCH(39,_自动清单!$K$5:$K$304,0))&amp;"","")</f>
        <v/>
      </c>
      <c r="D243" s="53" t="str">
        <f aca="false">IFERROR(INDEX(应收对账!$E$5:$E$304,MATCH(39,_自动清单!$K$5:$K$304,0))&amp;"","")</f>
        <v/>
      </c>
      <c r="E243" s="54" t="str">
        <f aca="false">IFERROR(INDEX(应收对账!$F$5:$F$304,MATCH(39,_自动清单!$K$5:$K$304,0)),"")</f>
        <v/>
      </c>
      <c r="F243" s="48" t="str">
        <f aca="false">IFERROR(INDEX(应收对账!$T$5:$T$304,MATCH(39,_自动清单!$K$5:$K$304,0)),"")</f>
        <v/>
      </c>
      <c r="G243" s="57" t="str">
        <f aca="false">IFERROR(INDEX(应收对账!$R$5:$R$304,MATCH(39,_自动清单!$K$5:$K$304,0)),"")</f>
        <v/>
      </c>
      <c r="H243" s="57" t="str">
        <f aca="false">IFERROR(INDEX(应收对账!$S$5:$S$304,MATCH(39,_自动清单!$K$5:$K$304,0)),"")</f>
        <v/>
      </c>
      <c r="I243" s="55" t="str">
        <f aca="false">IFERROR(INDEX(应收对账!$U$5:$U$304,MATCH(39,_自动清单!$K$5:$K$304,0)),"")</f>
        <v/>
      </c>
      <c r="J243" s="56" t="str">
        <f aca="false">IFERROR(INDEX(应收对账!$V$5:$V$304,MATCH(39,_自动清单!$K$5:$K$304,0))&amp;"","")</f>
        <v/>
      </c>
      <c r="K243" s="30" t="str">
        <f aca="false">IFERROR(INDEX(应收对账!$W$5:$W$304,MATCH(39,_自动清单!$K$5:$K$304,0))&amp;"","")</f>
        <v/>
      </c>
      <c r="L243" s="35"/>
    </row>
    <row r="244" customFormat="false" ht="15" hidden="false" customHeight="false" outlineLevel="0" collapsed="false">
      <c r="A244" s="29" t="str">
        <f aca="false">IF(40&gt;_自动清单!$K$304,"",40)</f>
        <v/>
      </c>
      <c r="B244" s="16" t="str">
        <f aca="false">IFERROR(INDEX(应收对账!$B$5:$B$304,MATCH(40,_自动清单!$K$5:$K$304,0))&amp;"","")</f>
        <v/>
      </c>
      <c r="C244" s="16" t="str">
        <f aca="false">IFERROR(INDEX(应收对账!$C$5:$C$304,MATCH(40,_自动清单!$K$5:$K$304,0))&amp;"","")</f>
        <v/>
      </c>
      <c r="D244" s="53" t="str">
        <f aca="false">IFERROR(INDEX(应收对账!$E$5:$E$304,MATCH(40,_自动清单!$K$5:$K$304,0))&amp;"","")</f>
        <v/>
      </c>
      <c r="E244" s="54" t="str">
        <f aca="false">IFERROR(INDEX(应收对账!$F$5:$F$304,MATCH(40,_自动清单!$K$5:$K$304,0)),"")</f>
        <v/>
      </c>
      <c r="F244" s="48" t="str">
        <f aca="false">IFERROR(INDEX(应收对账!$T$5:$T$304,MATCH(40,_自动清单!$K$5:$K$304,0)),"")</f>
        <v/>
      </c>
      <c r="G244" s="57" t="str">
        <f aca="false">IFERROR(INDEX(应收对账!$R$5:$R$304,MATCH(40,_自动清单!$K$5:$K$304,0)),"")</f>
        <v/>
      </c>
      <c r="H244" s="57" t="str">
        <f aca="false">IFERROR(INDEX(应收对账!$S$5:$S$304,MATCH(40,_自动清单!$K$5:$K$304,0)),"")</f>
        <v/>
      </c>
      <c r="I244" s="55" t="str">
        <f aca="false">IFERROR(INDEX(应收对账!$U$5:$U$304,MATCH(40,_自动清单!$K$5:$K$304,0)),"")</f>
        <v/>
      </c>
      <c r="J244" s="56" t="str">
        <f aca="false">IFERROR(INDEX(应收对账!$V$5:$V$304,MATCH(40,_自动清单!$K$5:$K$304,0))&amp;"","")</f>
        <v/>
      </c>
      <c r="K244" s="30" t="str">
        <f aca="false">IFERROR(INDEX(应收对账!$W$5:$W$304,MATCH(40,_自动清单!$K$5:$K$304,0))&amp;"","")</f>
        <v/>
      </c>
      <c r="L244" s="35"/>
    </row>
    <row r="245" customFormat="false" ht="15" hidden="false" customHeight="false" outlineLevel="0" collapsed="false">
      <c r="A245" s="29" t="str">
        <f aca="false">IF(41&gt;_自动清单!$K$304,"",41)</f>
        <v/>
      </c>
      <c r="B245" s="16" t="str">
        <f aca="false">IFERROR(INDEX(应收对账!$B$5:$B$304,MATCH(41,_自动清单!$K$5:$K$304,0))&amp;"","")</f>
        <v/>
      </c>
      <c r="C245" s="16" t="str">
        <f aca="false">IFERROR(INDEX(应收对账!$C$5:$C$304,MATCH(41,_自动清单!$K$5:$K$304,0))&amp;"","")</f>
        <v/>
      </c>
      <c r="D245" s="53" t="str">
        <f aca="false">IFERROR(INDEX(应收对账!$E$5:$E$304,MATCH(41,_自动清单!$K$5:$K$304,0))&amp;"","")</f>
        <v/>
      </c>
      <c r="E245" s="54" t="str">
        <f aca="false">IFERROR(INDEX(应收对账!$F$5:$F$304,MATCH(41,_自动清单!$K$5:$K$304,0)),"")</f>
        <v/>
      </c>
      <c r="F245" s="48" t="str">
        <f aca="false">IFERROR(INDEX(应收对账!$T$5:$T$304,MATCH(41,_自动清单!$K$5:$K$304,0)),"")</f>
        <v/>
      </c>
      <c r="G245" s="57" t="str">
        <f aca="false">IFERROR(INDEX(应收对账!$R$5:$R$304,MATCH(41,_自动清单!$K$5:$K$304,0)),"")</f>
        <v/>
      </c>
      <c r="H245" s="57" t="str">
        <f aca="false">IFERROR(INDEX(应收对账!$S$5:$S$304,MATCH(41,_自动清单!$K$5:$K$304,0)),"")</f>
        <v/>
      </c>
      <c r="I245" s="55" t="str">
        <f aca="false">IFERROR(INDEX(应收对账!$U$5:$U$304,MATCH(41,_自动清单!$K$5:$K$304,0)),"")</f>
        <v/>
      </c>
      <c r="J245" s="56" t="str">
        <f aca="false">IFERROR(INDEX(应收对账!$V$5:$V$304,MATCH(41,_自动清单!$K$5:$K$304,0))&amp;"","")</f>
        <v/>
      </c>
      <c r="K245" s="30" t="str">
        <f aca="false">IFERROR(INDEX(应收对账!$W$5:$W$304,MATCH(41,_自动清单!$K$5:$K$304,0))&amp;"","")</f>
        <v/>
      </c>
      <c r="L245" s="35"/>
    </row>
    <row r="246" customFormat="false" ht="15" hidden="false" customHeight="false" outlineLevel="0" collapsed="false">
      <c r="A246" s="29" t="str">
        <f aca="false">IF(42&gt;_自动清单!$K$304,"",42)</f>
        <v/>
      </c>
      <c r="B246" s="16" t="str">
        <f aca="false">IFERROR(INDEX(应收对账!$B$5:$B$304,MATCH(42,_自动清单!$K$5:$K$304,0))&amp;"","")</f>
        <v/>
      </c>
      <c r="C246" s="16" t="str">
        <f aca="false">IFERROR(INDEX(应收对账!$C$5:$C$304,MATCH(42,_自动清单!$K$5:$K$304,0))&amp;"","")</f>
        <v/>
      </c>
      <c r="D246" s="53" t="str">
        <f aca="false">IFERROR(INDEX(应收对账!$E$5:$E$304,MATCH(42,_自动清单!$K$5:$K$304,0))&amp;"","")</f>
        <v/>
      </c>
      <c r="E246" s="54" t="str">
        <f aca="false">IFERROR(INDEX(应收对账!$F$5:$F$304,MATCH(42,_自动清单!$K$5:$K$304,0)),"")</f>
        <v/>
      </c>
      <c r="F246" s="48" t="str">
        <f aca="false">IFERROR(INDEX(应收对账!$T$5:$T$304,MATCH(42,_自动清单!$K$5:$K$304,0)),"")</f>
        <v/>
      </c>
      <c r="G246" s="57" t="str">
        <f aca="false">IFERROR(INDEX(应收对账!$R$5:$R$304,MATCH(42,_自动清单!$K$5:$K$304,0)),"")</f>
        <v/>
      </c>
      <c r="H246" s="57" t="str">
        <f aca="false">IFERROR(INDEX(应收对账!$S$5:$S$304,MATCH(42,_自动清单!$K$5:$K$304,0)),"")</f>
        <v/>
      </c>
      <c r="I246" s="55" t="str">
        <f aca="false">IFERROR(INDEX(应收对账!$U$5:$U$304,MATCH(42,_自动清单!$K$5:$K$304,0)),"")</f>
        <v/>
      </c>
      <c r="J246" s="56" t="str">
        <f aca="false">IFERROR(INDEX(应收对账!$V$5:$V$304,MATCH(42,_自动清单!$K$5:$K$304,0))&amp;"","")</f>
        <v/>
      </c>
      <c r="K246" s="30" t="str">
        <f aca="false">IFERROR(INDEX(应收对账!$W$5:$W$304,MATCH(42,_自动清单!$K$5:$K$304,0))&amp;"","")</f>
        <v/>
      </c>
      <c r="L246" s="35"/>
    </row>
    <row r="247" customFormat="false" ht="15" hidden="false" customHeight="false" outlineLevel="0" collapsed="false">
      <c r="A247" s="29" t="str">
        <f aca="false">IF(43&gt;_自动清单!$K$304,"",43)</f>
        <v/>
      </c>
      <c r="B247" s="16" t="str">
        <f aca="false">IFERROR(INDEX(应收对账!$B$5:$B$304,MATCH(43,_自动清单!$K$5:$K$304,0))&amp;"","")</f>
        <v/>
      </c>
      <c r="C247" s="16" t="str">
        <f aca="false">IFERROR(INDEX(应收对账!$C$5:$C$304,MATCH(43,_自动清单!$K$5:$K$304,0))&amp;"","")</f>
        <v/>
      </c>
      <c r="D247" s="53" t="str">
        <f aca="false">IFERROR(INDEX(应收对账!$E$5:$E$304,MATCH(43,_自动清单!$K$5:$K$304,0))&amp;"","")</f>
        <v/>
      </c>
      <c r="E247" s="54" t="str">
        <f aca="false">IFERROR(INDEX(应收对账!$F$5:$F$304,MATCH(43,_自动清单!$K$5:$K$304,0)),"")</f>
        <v/>
      </c>
      <c r="F247" s="48" t="str">
        <f aca="false">IFERROR(INDEX(应收对账!$T$5:$T$304,MATCH(43,_自动清单!$K$5:$K$304,0)),"")</f>
        <v/>
      </c>
      <c r="G247" s="57" t="str">
        <f aca="false">IFERROR(INDEX(应收对账!$R$5:$R$304,MATCH(43,_自动清单!$K$5:$K$304,0)),"")</f>
        <v/>
      </c>
      <c r="H247" s="57" t="str">
        <f aca="false">IFERROR(INDEX(应收对账!$S$5:$S$304,MATCH(43,_自动清单!$K$5:$K$304,0)),"")</f>
        <v/>
      </c>
      <c r="I247" s="55" t="str">
        <f aca="false">IFERROR(INDEX(应收对账!$U$5:$U$304,MATCH(43,_自动清单!$K$5:$K$304,0)),"")</f>
        <v/>
      </c>
      <c r="J247" s="56" t="str">
        <f aca="false">IFERROR(INDEX(应收对账!$V$5:$V$304,MATCH(43,_自动清单!$K$5:$K$304,0))&amp;"","")</f>
        <v/>
      </c>
      <c r="K247" s="30" t="str">
        <f aca="false">IFERROR(INDEX(应收对账!$W$5:$W$304,MATCH(43,_自动清单!$K$5:$K$304,0))&amp;"","")</f>
        <v/>
      </c>
      <c r="L247" s="35"/>
    </row>
    <row r="248" customFormat="false" ht="15" hidden="false" customHeight="false" outlineLevel="0" collapsed="false">
      <c r="A248" s="29" t="str">
        <f aca="false">IF(44&gt;_自动清单!$K$304,"",44)</f>
        <v/>
      </c>
      <c r="B248" s="16" t="str">
        <f aca="false">IFERROR(INDEX(应收对账!$B$5:$B$304,MATCH(44,_自动清单!$K$5:$K$304,0))&amp;"","")</f>
        <v/>
      </c>
      <c r="C248" s="16" t="str">
        <f aca="false">IFERROR(INDEX(应收对账!$C$5:$C$304,MATCH(44,_自动清单!$K$5:$K$304,0))&amp;"","")</f>
        <v/>
      </c>
      <c r="D248" s="53" t="str">
        <f aca="false">IFERROR(INDEX(应收对账!$E$5:$E$304,MATCH(44,_自动清单!$K$5:$K$304,0))&amp;"","")</f>
        <v/>
      </c>
      <c r="E248" s="54" t="str">
        <f aca="false">IFERROR(INDEX(应收对账!$F$5:$F$304,MATCH(44,_自动清单!$K$5:$K$304,0)),"")</f>
        <v/>
      </c>
      <c r="F248" s="48" t="str">
        <f aca="false">IFERROR(INDEX(应收对账!$T$5:$T$304,MATCH(44,_自动清单!$K$5:$K$304,0)),"")</f>
        <v/>
      </c>
      <c r="G248" s="57" t="str">
        <f aca="false">IFERROR(INDEX(应收对账!$R$5:$R$304,MATCH(44,_自动清单!$K$5:$K$304,0)),"")</f>
        <v/>
      </c>
      <c r="H248" s="57" t="str">
        <f aca="false">IFERROR(INDEX(应收对账!$S$5:$S$304,MATCH(44,_自动清单!$K$5:$K$304,0)),"")</f>
        <v/>
      </c>
      <c r="I248" s="55" t="str">
        <f aca="false">IFERROR(INDEX(应收对账!$U$5:$U$304,MATCH(44,_自动清单!$K$5:$K$304,0)),"")</f>
        <v/>
      </c>
      <c r="J248" s="56" t="str">
        <f aca="false">IFERROR(INDEX(应收对账!$V$5:$V$304,MATCH(44,_自动清单!$K$5:$K$304,0))&amp;"","")</f>
        <v/>
      </c>
      <c r="K248" s="30" t="str">
        <f aca="false">IFERROR(INDEX(应收对账!$W$5:$W$304,MATCH(44,_自动清单!$K$5:$K$304,0))&amp;"","")</f>
        <v/>
      </c>
      <c r="L248" s="35"/>
    </row>
    <row r="249" customFormat="false" ht="15" hidden="false" customHeight="false" outlineLevel="0" collapsed="false">
      <c r="A249" s="29" t="str">
        <f aca="false">IF(45&gt;_自动清单!$K$304,"",45)</f>
        <v/>
      </c>
      <c r="B249" s="16" t="str">
        <f aca="false">IFERROR(INDEX(应收对账!$B$5:$B$304,MATCH(45,_自动清单!$K$5:$K$304,0))&amp;"","")</f>
        <v/>
      </c>
      <c r="C249" s="16" t="str">
        <f aca="false">IFERROR(INDEX(应收对账!$C$5:$C$304,MATCH(45,_自动清单!$K$5:$K$304,0))&amp;"","")</f>
        <v/>
      </c>
      <c r="D249" s="53" t="str">
        <f aca="false">IFERROR(INDEX(应收对账!$E$5:$E$304,MATCH(45,_自动清单!$K$5:$K$304,0))&amp;"","")</f>
        <v/>
      </c>
      <c r="E249" s="54" t="str">
        <f aca="false">IFERROR(INDEX(应收对账!$F$5:$F$304,MATCH(45,_自动清单!$K$5:$K$304,0)),"")</f>
        <v/>
      </c>
      <c r="F249" s="48" t="str">
        <f aca="false">IFERROR(INDEX(应收对账!$T$5:$T$304,MATCH(45,_自动清单!$K$5:$K$304,0)),"")</f>
        <v/>
      </c>
      <c r="G249" s="57" t="str">
        <f aca="false">IFERROR(INDEX(应收对账!$R$5:$R$304,MATCH(45,_自动清单!$K$5:$K$304,0)),"")</f>
        <v/>
      </c>
      <c r="H249" s="57" t="str">
        <f aca="false">IFERROR(INDEX(应收对账!$S$5:$S$304,MATCH(45,_自动清单!$K$5:$K$304,0)),"")</f>
        <v/>
      </c>
      <c r="I249" s="55" t="str">
        <f aca="false">IFERROR(INDEX(应收对账!$U$5:$U$304,MATCH(45,_自动清单!$K$5:$K$304,0)),"")</f>
        <v/>
      </c>
      <c r="J249" s="56" t="str">
        <f aca="false">IFERROR(INDEX(应收对账!$V$5:$V$304,MATCH(45,_自动清单!$K$5:$K$304,0))&amp;"","")</f>
        <v/>
      </c>
      <c r="K249" s="30" t="str">
        <f aca="false">IFERROR(INDEX(应收对账!$W$5:$W$304,MATCH(45,_自动清单!$K$5:$K$304,0))&amp;"","")</f>
        <v/>
      </c>
      <c r="L249" s="35"/>
    </row>
    <row r="250" customFormat="false" ht="15" hidden="false" customHeight="false" outlineLevel="0" collapsed="false">
      <c r="A250" s="29" t="str">
        <f aca="false">IF(46&gt;_自动清单!$K$304,"",46)</f>
        <v/>
      </c>
      <c r="B250" s="16" t="str">
        <f aca="false">IFERROR(INDEX(应收对账!$B$5:$B$304,MATCH(46,_自动清单!$K$5:$K$304,0))&amp;"","")</f>
        <v/>
      </c>
      <c r="C250" s="16" t="str">
        <f aca="false">IFERROR(INDEX(应收对账!$C$5:$C$304,MATCH(46,_自动清单!$K$5:$K$304,0))&amp;"","")</f>
        <v/>
      </c>
      <c r="D250" s="53" t="str">
        <f aca="false">IFERROR(INDEX(应收对账!$E$5:$E$304,MATCH(46,_自动清单!$K$5:$K$304,0))&amp;"","")</f>
        <v/>
      </c>
      <c r="E250" s="54" t="str">
        <f aca="false">IFERROR(INDEX(应收对账!$F$5:$F$304,MATCH(46,_自动清单!$K$5:$K$304,0)),"")</f>
        <v/>
      </c>
      <c r="F250" s="48" t="str">
        <f aca="false">IFERROR(INDEX(应收对账!$T$5:$T$304,MATCH(46,_自动清单!$K$5:$K$304,0)),"")</f>
        <v/>
      </c>
      <c r="G250" s="57" t="str">
        <f aca="false">IFERROR(INDEX(应收对账!$R$5:$R$304,MATCH(46,_自动清单!$K$5:$K$304,0)),"")</f>
        <v/>
      </c>
      <c r="H250" s="57" t="str">
        <f aca="false">IFERROR(INDEX(应收对账!$S$5:$S$304,MATCH(46,_自动清单!$K$5:$K$304,0)),"")</f>
        <v/>
      </c>
      <c r="I250" s="55" t="str">
        <f aca="false">IFERROR(INDEX(应收对账!$U$5:$U$304,MATCH(46,_自动清单!$K$5:$K$304,0)),"")</f>
        <v/>
      </c>
      <c r="J250" s="56" t="str">
        <f aca="false">IFERROR(INDEX(应收对账!$V$5:$V$304,MATCH(46,_自动清单!$K$5:$K$304,0))&amp;"","")</f>
        <v/>
      </c>
      <c r="K250" s="30" t="str">
        <f aca="false">IFERROR(INDEX(应收对账!$W$5:$W$304,MATCH(46,_自动清单!$K$5:$K$304,0))&amp;"","")</f>
        <v/>
      </c>
      <c r="L250" s="35"/>
    </row>
    <row r="251" customFormat="false" ht="15" hidden="false" customHeight="false" outlineLevel="0" collapsed="false">
      <c r="A251" s="29" t="str">
        <f aca="false">IF(47&gt;_自动清单!$K$304,"",47)</f>
        <v/>
      </c>
      <c r="B251" s="16" t="str">
        <f aca="false">IFERROR(INDEX(应收对账!$B$5:$B$304,MATCH(47,_自动清单!$K$5:$K$304,0))&amp;"","")</f>
        <v/>
      </c>
      <c r="C251" s="16" t="str">
        <f aca="false">IFERROR(INDEX(应收对账!$C$5:$C$304,MATCH(47,_自动清单!$K$5:$K$304,0))&amp;"","")</f>
        <v/>
      </c>
      <c r="D251" s="53" t="str">
        <f aca="false">IFERROR(INDEX(应收对账!$E$5:$E$304,MATCH(47,_自动清单!$K$5:$K$304,0))&amp;"","")</f>
        <v/>
      </c>
      <c r="E251" s="54" t="str">
        <f aca="false">IFERROR(INDEX(应收对账!$F$5:$F$304,MATCH(47,_自动清单!$K$5:$K$304,0)),"")</f>
        <v/>
      </c>
      <c r="F251" s="48" t="str">
        <f aca="false">IFERROR(INDEX(应收对账!$T$5:$T$304,MATCH(47,_自动清单!$K$5:$K$304,0)),"")</f>
        <v/>
      </c>
      <c r="G251" s="57" t="str">
        <f aca="false">IFERROR(INDEX(应收对账!$R$5:$R$304,MATCH(47,_自动清单!$K$5:$K$304,0)),"")</f>
        <v/>
      </c>
      <c r="H251" s="57" t="str">
        <f aca="false">IFERROR(INDEX(应收对账!$S$5:$S$304,MATCH(47,_自动清单!$K$5:$K$304,0)),"")</f>
        <v/>
      </c>
      <c r="I251" s="55" t="str">
        <f aca="false">IFERROR(INDEX(应收对账!$U$5:$U$304,MATCH(47,_自动清单!$K$5:$K$304,0)),"")</f>
        <v/>
      </c>
      <c r="J251" s="56" t="str">
        <f aca="false">IFERROR(INDEX(应收对账!$V$5:$V$304,MATCH(47,_自动清单!$K$5:$K$304,0))&amp;"","")</f>
        <v/>
      </c>
      <c r="K251" s="30" t="str">
        <f aca="false">IFERROR(INDEX(应收对账!$W$5:$W$304,MATCH(47,_自动清单!$K$5:$K$304,0))&amp;"","")</f>
        <v/>
      </c>
      <c r="L251" s="35"/>
    </row>
    <row r="252" customFormat="false" ht="15" hidden="false" customHeight="false" outlineLevel="0" collapsed="false">
      <c r="A252" s="29" t="str">
        <f aca="false">IF(48&gt;_自动清单!$K$304,"",48)</f>
        <v/>
      </c>
      <c r="B252" s="16" t="str">
        <f aca="false">IFERROR(INDEX(应收对账!$B$5:$B$304,MATCH(48,_自动清单!$K$5:$K$304,0))&amp;"","")</f>
        <v/>
      </c>
      <c r="C252" s="16" t="str">
        <f aca="false">IFERROR(INDEX(应收对账!$C$5:$C$304,MATCH(48,_自动清单!$K$5:$K$304,0))&amp;"","")</f>
        <v/>
      </c>
      <c r="D252" s="53" t="str">
        <f aca="false">IFERROR(INDEX(应收对账!$E$5:$E$304,MATCH(48,_自动清单!$K$5:$K$304,0))&amp;"","")</f>
        <v/>
      </c>
      <c r="E252" s="54" t="str">
        <f aca="false">IFERROR(INDEX(应收对账!$F$5:$F$304,MATCH(48,_自动清单!$K$5:$K$304,0)),"")</f>
        <v/>
      </c>
      <c r="F252" s="48" t="str">
        <f aca="false">IFERROR(INDEX(应收对账!$T$5:$T$304,MATCH(48,_自动清单!$K$5:$K$304,0)),"")</f>
        <v/>
      </c>
      <c r="G252" s="57" t="str">
        <f aca="false">IFERROR(INDEX(应收对账!$R$5:$R$304,MATCH(48,_自动清单!$K$5:$K$304,0)),"")</f>
        <v/>
      </c>
      <c r="H252" s="57" t="str">
        <f aca="false">IFERROR(INDEX(应收对账!$S$5:$S$304,MATCH(48,_自动清单!$K$5:$K$304,0)),"")</f>
        <v/>
      </c>
      <c r="I252" s="55" t="str">
        <f aca="false">IFERROR(INDEX(应收对账!$U$5:$U$304,MATCH(48,_自动清单!$K$5:$K$304,0)),"")</f>
        <v/>
      </c>
      <c r="J252" s="56" t="str">
        <f aca="false">IFERROR(INDEX(应收对账!$V$5:$V$304,MATCH(48,_自动清单!$K$5:$K$304,0))&amp;"","")</f>
        <v/>
      </c>
      <c r="K252" s="30" t="str">
        <f aca="false">IFERROR(INDEX(应收对账!$W$5:$W$304,MATCH(48,_自动清单!$K$5:$K$304,0))&amp;"","")</f>
        <v/>
      </c>
      <c r="L252" s="35"/>
    </row>
    <row r="253" customFormat="false" ht="15" hidden="false" customHeight="false" outlineLevel="0" collapsed="false">
      <c r="A253" s="29" t="str">
        <f aca="false">IF(49&gt;_自动清单!$K$304,"",49)</f>
        <v/>
      </c>
      <c r="B253" s="16" t="str">
        <f aca="false">IFERROR(INDEX(应收对账!$B$5:$B$304,MATCH(49,_自动清单!$K$5:$K$304,0))&amp;"","")</f>
        <v/>
      </c>
      <c r="C253" s="16" t="str">
        <f aca="false">IFERROR(INDEX(应收对账!$C$5:$C$304,MATCH(49,_自动清单!$K$5:$K$304,0))&amp;"","")</f>
        <v/>
      </c>
      <c r="D253" s="53" t="str">
        <f aca="false">IFERROR(INDEX(应收对账!$E$5:$E$304,MATCH(49,_自动清单!$K$5:$K$304,0))&amp;"","")</f>
        <v/>
      </c>
      <c r="E253" s="54" t="str">
        <f aca="false">IFERROR(INDEX(应收对账!$F$5:$F$304,MATCH(49,_自动清单!$K$5:$K$304,0)),"")</f>
        <v/>
      </c>
      <c r="F253" s="48" t="str">
        <f aca="false">IFERROR(INDEX(应收对账!$T$5:$T$304,MATCH(49,_自动清单!$K$5:$K$304,0)),"")</f>
        <v/>
      </c>
      <c r="G253" s="57" t="str">
        <f aca="false">IFERROR(INDEX(应收对账!$R$5:$R$304,MATCH(49,_自动清单!$K$5:$K$304,0)),"")</f>
        <v/>
      </c>
      <c r="H253" s="57" t="str">
        <f aca="false">IFERROR(INDEX(应收对账!$S$5:$S$304,MATCH(49,_自动清单!$K$5:$K$304,0)),"")</f>
        <v/>
      </c>
      <c r="I253" s="55" t="str">
        <f aca="false">IFERROR(INDEX(应收对账!$U$5:$U$304,MATCH(49,_自动清单!$K$5:$K$304,0)),"")</f>
        <v/>
      </c>
      <c r="J253" s="56" t="str">
        <f aca="false">IFERROR(INDEX(应收对账!$V$5:$V$304,MATCH(49,_自动清单!$K$5:$K$304,0))&amp;"","")</f>
        <v/>
      </c>
      <c r="K253" s="30" t="str">
        <f aca="false">IFERROR(INDEX(应收对账!$W$5:$W$304,MATCH(49,_自动清单!$K$5:$K$304,0))&amp;"","")</f>
        <v/>
      </c>
      <c r="L253" s="35"/>
    </row>
    <row r="254" customFormat="false" ht="15" hidden="false" customHeight="false" outlineLevel="0" collapsed="false">
      <c r="A254" s="29" t="str">
        <f aca="false">IF(50&gt;_自动清单!$K$304,"",50)</f>
        <v/>
      </c>
      <c r="B254" s="16" t="str">
        <f aca="false">IFERROR(INDEX(应收对账!$B$5:$B$304,MATCH(50,_自动清单!$K$5:$K$304,0))&amp;"","")</f>
        <v/>
      </c>
      <c r="C254" s="16" t="str">
        <f aca="false">IFERROR(INDEX(应收对账!$C$5:$C$304,MATCH(50,_自动清单!$K$5:$K$304,0))&amp;"","")</f>
        <v/>
      </c>
      <c r="D254" s="53" t="str">
        <f aca="false">IFERROR(INDEX(应收对账!$E$5:$E$304,MATCH(50,_自动清单!$K$5:$K$304,0))&amp;"","")</f>
        <v/>
      </c>
      <c r="E254" s="54" t="str">
        <f aca="false">IFERROR(INDEX(应收对账!$F$5:$F$304,MATCH(50,_自动清单!$K$5:$K$304,0)),"")</f>
        <v/>
      </c>
      <c r="F254" s="48" t="str">
        <f aca="false">IFERROR(INDEX(应收对账!$T$5:$T$304,MATCH(50,_自动清单!$K$5:$K$304,0)),"")</f>
        <v/>
      </c>
      <c r="G254" s="57" t="str">
        <f aca="false">IFERROR(INDEX(应收对账!$R$5:$R$304,MATCH(50,_自动清单!$K$5:$K$304,0)),"")</f>
        <v/>
      </c>
      <c r="H254" s="57" t="str">
        <f aca="false">IFERROR(INDEX(应收对账!$S$5:$S$304,MATCH(50,_自动清单!$K$5:$K$304,0)),"")</f>
        <v/>
      </c>
      <c r="I254" s="55" t="str">
        <f aca="false">IFERROR(INDEX(应收对账!$U$5:$U$304,MATCH(50,_自动清单!$K$5:$K$304,0)),"")</f>
        <v/>
      </c>
      <c r="J254" s="56" t="str">
        <f aca="false">IFERROR(INDEX(应收对账!$V$5:$V$304,MATCH(50,_自动清单!$K$5:$K$304,0))&amp;"","")</f>
        <v/>
      </c>
      <c r="K254" s="30" t="str">
        <f aca="false">IFERROR(INDEX(应收对账!$W$5:$W$304,MATCH(50,_自动清单!$K$5:$K$304,0))&amp;"","")</f>
        <v/>
      </c>
      <c r="L254" s="35"/>
    </row>
    <row r="255" customFormat="false" ht="15" hidden="false" customHeight="false" outlineLevel="0" collapsed="false">
      <c r="A255" s="29" t="str">
        <f aca="false">IF(51&gt;_自动清单!$K$304,"",51)</f>
        <v/>
      </c>
      <c r="B255" s="16" t="str">
        <f aca="false">IFERROR(INDEX(应收对账!$B$5:$B$304,MATCH(51,_自动清单!$K$5:$K$304,0))&amp;"","")</f>
        <v/>
      </c>
      <c r="C255" s="16" t="str">
        <f aca="false">IFERROR(INDEX(应收对账!$C$5:$C$304,MATCH(51,_自动清单!$K$5:$K$304,0))&amp;"","")</f>
        <v/>
      </c>
      <c r="D255" s="53" t="str">
        <f aca="false">IFERROR(INDEX(应收对账!$E$5:$E$304,MATCH(51,_自动清单!$K$5:$K$304,0))&amp;"","")</f>
        <v/>
      </c>
      <c r="E255" s="54" t="str">
        <f aca="false">IFERROR(INDEX(应收对账!$F$5:$F$304,MATCH(51,_自动清单!$K$5:$K$304,0)),"")</f>
        <v/>
      </c>
      <c r="F255" s="48" t="str">
        <f aca="false">IFERROR(INDEX(应收对账!$T$5:$T$304,MATCH(51,_自动清单!$K$5:$K$304,0)),"")</f>
        <v/>
      </c>
      <c r="G255" s="57" t="str">
        <f aca="false">IFERROR(INDEX(应收对账!$R$5:$R$304,MATCH(51,_自动清单!$K$5:$K$304,0)),"")</f>
        <v/>
      </c>
      <c r="H255" s="57" t="str">
        <f aca="false">IFERROR(INDEX(应收对账!$S$5:$S$304,MATCH(51,_自动清单!$K$5:$K$304,0)),"")</f>
        <v/>
      </c>
      <c r="I255" s="55" t="str">
        <f aca="false">IFERROR(INDEX(应收对账!$U$5:$U$304,MATCH(51,_自动清单!$K$5:$K$304,0)),"")</f>
        <v/>
      </c>
      <c r="J255" s="56" t="str">
        <f aca="false">IFERROR(INDEX(应收对账!$V$5:$V$304,MATCH(51,_自动清单!$K$5:$K$304,0))&amp;"","")</f>
        <v/>
      </c>
      <c r="K255" s="30" t="str">
        <f aca="false">IFERROR(INDEX(应收对账!$W$5:$W$304,MATCH(51,_自动清单!$K$5:$K$304,0))&amp;"","")</f>
        <v/>
      </c>
      <c r="L255" s="35"/>
    </row>
    <row r="256" customFormat="false" ht="15" hidden="false" customHeight="false" outlineLevel="0" collapsed="false">
      <c r="A256" s="29" t="str">
        <f aca="false">IF(52&gt;_自动清单!$K$304,"",52)</f>
        <v/>
      </c>
      <c r="B256" s="16" t="str">
        <f aca="false">IFERROR(INDEX(应收对账!$B$5:$B$304,MATCH(52,_自动清单!$K$5:$K$304,0))&amp;"","")</f>
        <v/>
      </c>
      <c r="C256" s="16" t="str">
        <f aca="false">IFERROR(INDEX(应收对账!$C$5:$C$304,MATCH(52,_自动清单!$K$5:$K$304,0))&amp;"","")</f>
        <v/>
      </c>
      <c r="D256" s="53" t="str">
        <f aca="false">IFERROR(INDEX(应收对账!$E$5:$E$304,MATCH(52,_自动清单!$K$5:$K$304,0))&amp;"","")</f>
        <v/>
      </c>
      <c r="E256" s="54" t="str">
        <f aca="false">IFERROR(INDEX(应收对账!$F$5:$F$304,MATCH(52,_自动清单!$K$5:$K$304,0)),"")</f>
        <v/>
      </c>
      <c r="F256" s="48" t="str">
        <f aca="false">IFERROR(INDEX(应收对账!$T$5:$T$304,MATCH(52,_自动清单!$K$5:$K$304,0)),"")</f>
        <v/>
      </c>
      <c r="G256" s="57" t="str">
        <f aca="false">IFERROR(INDEX(应收对账!$R$5:$R$304,MATCH(52,_自动清单!$K$5:$K$304,0)),"")</f>
        <v/>
      </c>
      <c r="H256" s="57" t="str">
        <f aca="false">IFERROR(INDEX(应收对账!$S$5:$S$304,MATCH(52,_自动清单!$K$5:$K$304,0)),"")</f>
        <v/>
      </c>
      <c r="I256" s="55" t="str">
        <f aca="false">IFERROR(INDEX(应收对账!$U$5:$U$304,MATCH(52,_自动清单!$K$5:$K$304,0)),"")</f>
        <v/>
      </c>
      <c r="J256" s="56" t="str">
        <f aca="false">IFERROR(INDEX(应收对账!$V$5:$V$304,MATCH(52,_自动清单!$K$5:$K$304,0))&amp;"","")</f>
        <v/>
      </c>
      <c r="K256" s="30" t="str">
        <f aca="false">IFERROR(INDEX(应收对账!$W$5:$W$304,MATCH(52,_自动清单!$K$5:$K$304,0))&amp;"","")</f>
        <v/>
      </c>
      <c r="L256" s="35"/>
    </row>
    <row r="257" customFormat="false" ht="15" hidden="false" customHeight="false" outlineLevel="0" collapsed="false">
      <c r="A257" s="29" t="str">
        <f aca="false">IF(53&gt;_自动清单!$K$304,"",53)</f>
        <v/>
      </c>
      <c r="B257" s="16" t="str">
        <f aca="false">IFERROR(INDEX(应收对账!$B$5:$B$304,MATCH(53,_自动清单!$K$5:$K$304,0))&amp;"","")</f>
        <v/>
      </c>
      <c r="C257" s="16" t="str">
        <f aca="false">IFERROR(INDEX(应收对账!$C$5:$C$304,MATCH(53,_自动清单!$K$5:$K$304,0))&amp;"","")</f>
        <v/>
      </c>
      <c r="D257" s="53" t="str">
        <f aca="false">IFERROR(INDEX(应收对账!$E$5:$E$304,MATCH(53,_自动清单!$K$5:$K$304,0))&amp;"","")</f>
        <v/>
      </c>
      <c r="E257" s="54" t="str">
        <f aca="false">IFERROR(INDEX(应收对账!$F$5:$F$304,MATCH(53,_自动清单!$K$5:$K$304,0)),"")</f>
        <v/>
      </c>
      <c r="F257" s="48" t="str">
        <f aca="false">IFERROR(INDEX(应收对账!$T$5:$T$304,MATCH(53,_自动清单!$K$5:$K$304,0)),"")</f>
        <v/>
      </c>
      <c r="G257" s="57" t="str">
        <f aca="false">IFERROR(INDEX(应收对账!$R$5:$R$304,MATCH(53,_自动清单!$K$5:$K$304,0)),"")</f>
        <v/>
      </c>
      <c r="H257" s="57" t="str">
        <f aca="false">IFERROR(INDEX(应收对账!$S$5:$S$304,MATCH(53,_自动清单!$K$5:$K$304,0)),"")</f>
        <v/>
      </c>
      <c r="I257" s="55" t="str">
        <f aca="false">IFERROR(INDEX(应收对账!$U$5:$U$304,MATCH(53,_自动清单!$K$5:$K$304,0)),"")</f>
        <v/>
      </c>
      <c r="J257" s="56" t="str">
        <f aca="false">IFERROR(INDEX(应收对账!$V$5:$V$304,MATCH(53,_自动清单!$K$5:$K$304,0))&amp;"","")</f>
        <v/>
      </c>
      <c r="K257" s="30" t="str">
        <f aca="false">IFERROR(INDEX(应收对账!$W$5:$W$304,MATCH(53,_自动清单!$K$5:$K$304,0))&amp;"","")</f>
        <v/>
      </c>
      <c r="L257" s="35"/>
    </row>
    <row r="258" customFormat="false" ht="15" hidden="false" customHeight="false" outlineLevel="0" collapsed="false">
      <c r="A258" s="29" t="str">
        <f aca="false">IF(54&gt;_自动清单!$K$304,"",54)</f>
        <v/>
      </c>
      <c r="B258" s="16" t="str">
        <f aca="false">IFERROR(INDEX(应收对账!$B$5:$B$304,MATCH(54,_自动清单!$K$5:$K$304,0))&amp;"","")</f>
        <v/>
      </c>
      <c r="C258" s="16" t="str">
        <f aca="false">IFERROR(INDEX(应收对账!$C$5:$C$304,MATCH(54,_自动清单!$K$5:$K$304,0))&amp;"","")</f>
        <v/>
      </c>
      <c r="D258" s="53" t="str">
        <f aca="false">IFERROR(INDEX(应收对账!$E$5:$E$304,MATCH(54,_自动清单!$K$5:$K$304,0))&amp;"","")</f>
        <v/>
      </c>
      <c r="E258" s="54" t="str">
        <f aca="false">IFERROR(INDEX(应收对账!$F$5:$F$304,MATCH(54,_自动清单!$K$5:$K$304,0)),"")</f>
        <v/>
      </c>
      <c r="F258" s="48" t="str">
        <f aca="false">IFERROR(INDEX(应收对账!$T$5:$T$304,MATCH(54,_自动清单!$K$5:$K$304,0)),"")</f>
        <v/>
      </c>
      <c r="G258" s="57" t="str">
        <f aca="false">IFERROR(INDEX(应收对账!$R$5:$R$304,MATCH(54,_自动清单!$K$5:$K$304,0)),"")</f>
        <v/>
      </c>
      <c r="H258" s="57" t="str">
        <f aca="false">IFERROR(INDEX(应收对账!$S$5:$S$304,MATCH(54,_自动清单!$K$5:$K$304,0)),"")</f>
        <v/>
      </c>
      <c r="I258" s="55" t="str">
        <f aca="false">IFERROR(INDEX(应收对账!$U$5:$U$304,MATCH(54,_自动清单!$K$5:$K$304,0)),"")</f>
        <v/>
      </c>
      <c r="J258" s="56" t="str">
        <f aca="false">IFERROR(INDEX(应收对账!$V$5:$V$304,MATCH(54,_自动清单!$K$5:$K$304,0))&amp;"","")</f>
        <v/>
      </c>
      <c r="K258" s="30" t="str">
        <f aca="false">IFERROR(INDEX(应收对账!$W$5:$W$304,MATCH(54,_自动清单!$K$5:$K$304,0))&amp;"","")</f>
        <v/>
      </c>
      <c r="L258" s="35"/>
    </row>
    <row r="259" customFormat="false" ht="15" hidden="false" customHeight="false" outlineLevel="0" collapsed="false">
      <c r="A259" s="29" t="str">
        <f aca="false">IF(55&gt;_自动清单!$K$304,"",55)</f>
        <v/>
      </c>
      <c r="B259" s="16" t="str">
        <f aca="false">IFERROR(INDEX(应收对账!$B$5:$B$304,MATCH(55,_自动清单!$K$5:$K$304,0))&amp;"","")</f>
        <v/>
      </c>
      <c r="C259" s="16" t="str">
        <f aca="false">IFERROR(INDEX(应收对账!$C$5:$C$304,MATCH(55,_自动清单!$K$5:$K$304,0))&amp;"","")</f>
        <v/>
      </c>
      <c r="D259" s="53" t="str">
        <f aca="false">IFERROR(INDEX(应收对账!$E$5:$E$304,MATCH(55,_自动清单!$K$5:$K$304,0))&amp;"","")</f>
        <v/>
      </c>
      <c r="E259" s="54" t="str">
        <f aca="false">IFERROR(INDEX(应收对账!$F$5:$F$304,MATCH(55,_自动清单!$K$5:$K$304,0)),"")</f>
        <v/>
      </c>
      <c r="F259" s="48" t="str">
        <f aca="false">IFERROR(INDEX(应收对账!$T$5:$T$304,MATCH(55,_自动清单!$K$5:$K$304,0)),"")</f>
        <v/>
      </c>
      <c r="G259" s="57" t="str">
        <f aca="false">IFERROR(INDEX(应收对账!$R$5:$R$304,MATCH(55,_自动清单!$K$5:$K$304,0)),"")</f>
        <v/>
      </c>
      <c r="H259" s="57" t="str">
        <f aca="false">IFERROR(INDEX(应收对账!$S$5:$S$304,MATCH(55,_自动清单!$K$5:$K$304,0)),"")</f>
        <v/>
      </c>
      <c r="I259" s="55" t="str">
        <f aca="false">IFERROR(INDEX(应收对账!$U$5:$U$304,MATCH(55,_自动清单!$K$5:$K$304,0)),"")</f>
        <v/>
      </c>
      <c r="J259" s="56" t="str">
        <f aca="false">IFERROR(INDEX(应收对账!$V$5:$V$304,MATCH(55,_自动清单!$K$5:$K$304,0))&amp;"","")</f>
        <v/>
      </c>
      <c r="K259" s="30" t="str">
        <f aca="false">IFERROR(INDEX(应收对账!$W$5:$W$304,MATCH(55,_自动清单!$K$5:$K$304,0))&amp;"","")</f>
        <v/>
      </c>
      <c r="L259" s="35"/>
    </row>
    <row r="260" customFormat="false" ht="15" hidden="false" customHeight="false" outlineLevel="0" collapsed="false">
      <c r="A260" s="29" t="str">
        <f aca="false">IF(56&gt;_自动清单!$K$304,"",56)</f>
        <v/>
      </c>
      <c r="B260" s="16" t="str">
        <f aca="false">IFERROR(INDEX(应收对账!$B$5:$B$304,MATCH(56,_自动清单!$K$5:$K$304,0))&amp;"","")</f>
        <v/>
      </c>
      <c r="C260" s="16" t="str">
        <f aca="false">IFERROR(INDEX(应收对账!$C$5:$C$304,MATCH(56,_自动清单!$K$5:$K$304,0))&amp;"","")</f>
        <v/>
      </c>
      <c r="D260" s="53" t="str">
        <f aca="false">IFERROR(INDEX(应收对账!$E$5:$E$304,MATCH(56,_自动清单!$K$5:$K$304,0))&amp;"","")</f>
        <v/>
      </c>
      <c r="E260" s="54" t="str">
        <f aca="false">IFERROR(INDEX(应收对账!$F$5:$F$304,MATCH(56,_自动清单!$K$5:$K$304,0)),"")</f>
        <v/>
      </c>
      <c r="F260" s="48" t="str">
        <f aca="false">IFERROR(INDEX(应收对账!$T$5:$T$304,MATCH(56,_自动清单!$K$5:$K$304,0)),"")</f>
        <v/>
      </c>
      <c r="G260" s="57" t="str">
        <f aca="false">IFERROR(INDEX(应收对账!$R$5:$R$304,MATCH(56,_自动清单!$K$5:$K$304,0)),"")</f>
        <v/>
      </c>
      <c r="H260" s="57" t="str">
        <f aca="false">IFERROR(INDEX(应收对账!$S$5:$S$304,MATCH(56,_自动清单!$K$5:$K$304,0)),"")</f>
        <v/>
      </c>
      <c r="I260" s="55" t="str">
        <f aca="false">IFERROR(INDEX(应收对账!$U$5:$U$304,MATCH(56,_自动清单!$K$5:$K$304,0)),"")</f>
        <v/>
      </c>
      <c r="J260" s="56" t="str">
        <f aca="false">IFERROR(INDEX(应收对账!$V$5:$V$304,MATCH(56,_自动清单!$K$5:$K$304,0))&amp;"","")</f>
        <v/>
      </c>
      <c r="K260" s="30" t="str">
        <f aca="false">IFERROR(INDEX(应收对账!$W$5:$W$304,MATCH(56,_自动清单!$K$5:$K$304,0))&amp;"","")</f>
        <v/>
      </c>
      <c r="L260" s="35"/>
    </row>
    <row r="261" customFormat="false" ht="15" hidden="false" customHeight="false" outlineLevel="0" collapsed="false">
      <c r="A261" s="29" t="str">
        <f aca="false">IF(57&gt;_自动清单!$K$304,"",57)</f>
        <v/>
      </c>
      <c r="B261" s="16" t="str">
        <f aca="false">IFERROR(INDEX(应收对账!$B$5:$B$304,MATCH(57,_自动清单!$K$5:$K$304,0))&amp;"","")</f>
        <v/>
      </c>
      <c r="C261" s="16" t="str">
        <f aca="false">IFERROR(INDEX(应收对账!$C$5:$C$304,MATCH(57,_自动清单!$K$5:$K$304,0))&amp;"","")</f>
        <v/>
      </c>
      <c r="D261" s="53" t="str">
        <f aca="false">IFERROR(INDEX(应收对账!$E$5:$E$304,MATCH(57,_自动清单!$K$5:$K$304,0))&amp;"","")</f>
        <v/>
      </c>
      <c r="E261" s="54" t="str">
        <f aca="false">IFERROR(INDEX(应收对账!$F$5:$F$304,MATCH(57,_自动清单!$K$5:$K$304,0)),"")</f>
        <v/>
      </c>
      <c r="F261" s="48" t="str">
        <f aca="false">IFERROR(INDEX(应收对账!$T$5:$T$304,MATCH(57,_自动清单!$K$5:$K$304,0)),"")</f>
        <v/>
      </c>
      <c r="G261" s="57" t="str">
        <f aca="false">IFERROR(INDEX(应收对账!$R$5:$R$304,MATCH(57,_自动清单!$K$5:$K$304,0)),"")</f>
        <v/>
      </c>
      <c r="H261" s="57" t="str">
        <f aca="false">IFERROR(INDEX(应收对账!$S$5:$S$304,MATCH(57,_自动清单!$K$5:$K$304,0)),"")</f>
        <v/>
      </c>
      <c r="I261" s="55" t="str">
        <f aca="false">IFERROR(INDEX(应收对账!$U$5:$U$304,MATCH(57,_自动清单!$K$5:$K$304,0)),"")</f>
        <v/>
      </c>
      <c r="J261" s="56" t="str">
        <f aca="false">IFERROR(INDEX(应收对账!$V$5:$V$304,MATCH(57,_自动清单!$K$5:$K$304,0))&amp;"","")</f>
        <v/>
      </c>
      <c r="K261" s="30" t="str">
        <f aca="false">IFERROR(INDEX(应收对账!$W$5:$W$304,MATCH(57,_自动清单!$K$5:$K$304,0))&amp;"","")</f>
        <v/>
      </c>
      <c r="L261" s="35"/>
    </row>
    <row r="262" customFormat="false" ht="15" hidden="false" customHeight="false" outlineLevel="0" collapsed="false">
      <c r="A262" s="29" t="str">
        <f aca="false">IF(58&gt;_自动清单!$K$304,"",58)</f>
        <v/>
      </c>
      <c r="B262" s="16" t="str">
        <f aca="false">IFERROR(INDEX(应收对账!$B$5:$B$304,MATCH(58,_自动清单!$K$5:$K$304,0))&amp;"","")</f>
        <v/>
      </c>
      <c r="C262" s="16" t="str">
        <f aca="false">IFERROR(INDEX(应收对账!$C$5:$C$304,MATCH(58,_自动清单!$K$5:$K$304,0))&amp;"","")</f>
        <v/>
      </c>
      <c r="D262" s="53" t="str">
        <f aca="false">IFERROR(INDEX(应收对账!$E$5:$E$304,MATCH(58,_自动清单!$K$5:$K$304,0))&amp;"","")</f>
        <v/>
      </c>
      <c r="E262" s="54" t="str">
        <f aca="false">IFERROR(INDEX(应收对账!$F$5:$F$304,MATCH(58,_自动清单!$K$5:$K$304,0)),"")</f>
        <v/>
      </c>
      <c r="F262" s="48" t="str">
        <f aca="false">IFERROR(INDEX(应收对账!$T$5:$T$304,MATCH(58,_自动清单!$K$5:$K$304,0)),"")</f>
        <v/>
      </c>
      <c r="G262" s="57" t="str">
        <f aca="false">IFERROR(INDEX(应收对账!$R$5:$R$304,MATCH(58,_自动清单!$K$5:$K$304,0)),"")</f>
        <v/>
      </c>
      <c r="H262" s="57" t="str">
        <f aca="false">IFERROR(INDEX(应收对账!$S$5:$S$304,MATCH(58,_自动清单!$K$5:$K$304,0)),"")</f>
        <v/>
      </c>
      <c r="I262" s="55" t="str">
        <f aca="false">IFERROR(INDEX(应收对账!$U$5:$U$304,MATCH(58,_自动清单!$K$5:$K$304,0)),"")</f>
        <v/>
      </c>
      <c r="J262" s="56" t="str">
        <f aca="false">IFERROR(INDEX(应收对账!$V$5:$V$304,MATCH(58,_自动清单!$K$5:$K$304,0))&amp;"","")</f>
        <v/>
      </c>
      <c r="K262" s="30" t="str">
        <f aca="false">IFERROR(INDEX(应收对账!$W$5:$W$304,MATCH(58,_自动清单!$K$5:$K$304,0))&amp;"","")</f>
        <v/>
      </c>
      <c r="L262" s="35"/>
    </row>
    <row r="263" customFormat="false" ht="15" hidden="false" customHeight="false" outlineLevel="0" collapsed="false">
      <c r="A263" s="29" t="str">
        <f aca="false">IF(59&gt;_自动清单!$K$304,"",59)</f>
        <v/>
      </c>
      <c r="B263" s="16" t="str">
        <f aca="false">IFERROR(INDEX(应收对账!$B$5:$B$304,MATCH(59,_自动清单!$K$5:$K$304,0))&amp;"","")</f>
        <v/>
      </c>
      <c r="C263" s="16" t="str">
        <f aca="false">IFERROR(INDEX(应收对账!$C$5:$C$304,MATCH(59,_自动清单!$K$5:$K$304,0))&amp;"","")</f>
        <v/>
      </c>
      <c r="D263" s="53" t="str">
        <f aca="false">IFERROR(INDEX(应收对账!$E$5:$E$304,MATCH(59,_自动清单!$K$5:$K$304,0))&amp;"","")</f>
        <v/>
      </c>
      <c r="E263" s="54" t="str">
        <f aca="false">IFERROR(INDEX(应收对账!$F$5:$F$304,MATCH(59,_自动清单!$K$5:$K$304,0)),"")</f>
        <v/>
      </c>
      <c r="F263" s="48" t="str">
        <f aca="false">IFERROR(INDEX(应收对账!$T$5:$T$304,MATCH(59,_自动清单!$K$5:$K$304,0)),"")</f>
        <v/>
      </c>
      <c r="G263" s="57" t="str">
        <f aca="false">IFERROR(INDEX(应收对账!$R$5:$R$304,MATCH(59,_自动清单!$K$5:$K$304,0)),"")</f>
        <v/>
      </c>
      <c r="H263" s="57" t="str">
        <f aca="false">IFERROR(INDEX(应收对账!$S$5:$S$304,MATCH(59,_自动清单!$K$5:$K$304,0)),"")</f>
        <v/>
      </c>
      <c r="I263" s="55" t="str">
        <f aca="false">IFERROR(INDEX(应收对账!$U$5:$U$304,MATCH(59,_自动清单!$K$5:$K$304,0)),"")</f>
        <v/>
      </c>
      <c r="J263" s="56" t="str">
        <f aca="false">IFERROR(INDEX(应收对账!$V$5:$V$304,MATCH(59,_自动清单!$K$5:$K$304,0))&amp;"","")</f>
        <v/>
      </c>
      <c r="K263" s="30" t="str">
        <f aca="false">IFERROR(INDEX(应收对账!$W$5:$W$304,MATCH(59,_自动清单!$K$5:$K$304,0))&amp;"","")</f>
        <v/>
      </c>
      <c r="L263" s="35"/>
    </row>
    <row r="264" customFormat="false" ht="15" hidden="false" customHeight="false" outlineLevel="0" collapsed="false">
      <c r="A264" s="29" t="str">
        <f aca="false">IF(60&gt;_自动清单!$K$304,"",60)</f>
        <v/>
      </c>
      <c r="B264" s="16" t="str">
        <f aca="false">IFERROR(INDEX(应收对账!$B$5:$B$304,MATCH(60,_自动清单!$K$5:$K$304,0))&amp;"","")</f>
        <v/>
      </c>
      <c r="C264" s="16" t="str">
        <f aca="false">IFERROR(INDEX(应收对账!$C$5:$C$304,MATCH(60,_自动清单!$K$5:$K$304,0))&amp;"","")</f>
        <v/>
      </c>
      <c r="D264" s="53" t="str">
        <f aca="false">IFERROR(INDEX(应收对账!$E$5:$E$304,MATCH(60,_自动清单!$K$5:$K$304,0))&amp;"","")</f>
        <v/>
      </c>
      <c r="E264" s="54" t="str">
        <f aca="false">IFERROR(INDEX(应收对账!$F$5:$F$304,MATCH(60,_自动清单!$K$5:$K$304,0)),"")</f>
        <v/>
      </c>
      <c r="F264" s="48" t="str">
        <f aca="false">IFERROR(INDEX(应收对账!$T$5:$T$304,MATCH(60,_自动清单!$K$5:$K$304,0)),"")</f>
        <v/>
      </c>
      <c r="G264" s="57" t="str">
        <f aca="false">IFERROR(INDEX(应收对账!$R$5:$R$304,MATCH(60,_自动清单!$K$5:$K$304,0)),"")</f>
        <v/>
      </c>
      <c r="H264" s="57" t="str">
        <f aca="false">IFERROR(INDEX(应收对账!$S$5:$S$304,MATCH(60,_自动清单!$K$5:$K$304,0)),"")</f>
        <v/>
      </c>
      <c r="I264" s="55" t="str">
        <f aca="false">IFERROR(INDEX(应收对账!$U$5:$U$304,MATCH(60,_自动清单!$K$5:$K$304,0)),"")</f>
        <v/>
      </c>
      <c r="J264" s="56" t="str">
        <f aca="false">IFERROR(INDEX(应收对账!$V$5:$V$304,MATCH(60,_自动清单!$K$5:$K$304,0))&amp;"","")</f>
        <v/>
      </c>
      <c r="K264" s="30" t="str">
        <f aca="false">IFERROR(INDEX(应收对账!$W$5:$W$304,MATCH(60,_自动清单!$K$5:$K$304,0))&amp;"","")</f>
        <v/>
      </c>
      <c r="L264" s="35"/>
    </row>
    <row r="265" customFormat="false" ht="15" hidden="false" customHeight="false" outlineLevel="0" collapsed="false">
      <c r="E265" s="26" t="s">
        <v>552</v>
      </c>
      <c r="F265" s="36" t="n">
        <f aca="false">ROUND(SUM($F$205:$F$264),2)</f>
        <v>44650</v>
      </c>
      <c r="G265" s="36" t="n">
        <f aca="false">ROUND(SUM($G$205:$G$264),2)</f>
        <v>7200</v>
      </c>
      <c r="H265" s="36" t="n">
        <f aca="false">ROUND(SUM($H$205:$H$264),2)</f>
        <v>37450</v>
      </c>
    </row>
  </sheetData>
  <mergeCells count="6">
    <mergeCell ref="A1:L1"/>
    <mergeCell ref="A2:L2"/>
    <mergeCell ref="A4:L4"/>
    <mergeCell ref="A67:L67"/>
    <mergeCell ref="A150:L150"/>
    <mergeCell ref="A203:L20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K158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5"/>
    <col collapsed="false" customWidth="true" hidden="false" outlineLevel="0" max="11" min="9" style="0" width="16"/>
  </cols>
  <sheetData>
    <row r="1" customFormat="false" ht="30" hidden="false" customHeight="true" outlineLevel="0" collapsed="false">
      <c r="A1" s="45" t="s">
        <v>553</v>
      </c>
      <c r="B1" s="45"/>
      <c r="C1" s="45"/>
      <c r="D1" s="45"/>
      <c r="E1" s="45"/>
      <c r="F1" s="45"/>
      <c r="G1" s="45"/>
      <c r="H1" s="45"/>
      <c r="I1" s="45"/>
      <c r="J1" s="45"/>
      <c r="K1" s="45"/>
    </row>
    <row r="2" customFormat="false" ht="46.5" hidden="false" customHeight="true" outlineLevel="0" collapsed="false">
      <c r="A2" s="2" t="s">
        <v>554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true" outlineLevel="0" collapsed="false">
      <c r="A4" s="17" t="s">
        <v>555</v>
      </c>
      <c r="B4" s="17"/>
      <c r="C4" s="17"/>
      <c r="D4" s="17"/>
      <c r="E4" s="17"/>
      <c r="F4" s="17"/>
      <c r="G4" s="17"/>
      <c r="H4" s="17"/>
      <c r="I4" s="17"/>
      <c r="J4" s="17"/>
      <c r="K4" s="17"/>
    </row>
    <row r="5" customFormat="false" ht="27.75" hidden="false" customHeight="true" outlineLevel="0" collapsed="false">
      <c r="A5" s="46" t="s">
        <v>556</v>
      </c>
      <c r="B5" s="46" t="s">
        <v>557</v>
      </c>
      <c r="C5" s="46" t="s">
        <v>524</v>
      </c>
      <c r="D5" s="46" t="s">
        <v>525</v>
      </c>
      <c r="E5" s="46" t="s">
        <v>422</v>
      </c>
      <c r="F5" s="46" t="s">
        <v>558</v>
      </c>
      <c r="G5" s="46" t="s">
        <v>529</v>
      </c>
      <c r="H5" s="46" t="s">
        <v>530</v>
      </c>
      <c r="I5" s="46" t="s">
        <v>531</v>
      </c>
      <c r="J5" s="46" t="s">
        <v>559</v>
      </c>
      <c r="K5" s="46" t="s">
        <v>560</v>
      </c>
    </row>
    <row r="6" customFormat="false" ht="15" hidden="false" customHeight="false" outlineLevel="0" collapsed="false">
      <c r="A6" s="15" t="str">
        <f aca="false">管理年度&amp;"年01月"</f>
        <v>2026年01月</v>
      </c>
      <c r="B6" s="57" t="n">
        <f aca="false">ROUND(SUMIFS(应收金额,应收日期,"&gt;="&amp;DATE(管理年度,1,1),应收日期,"&lt;"&amp;DATE(管理年度,2,1)),2)</f>
        <v>34650</v>
      </c>
      <c r="C6" s="57" t="n">
        <f aca="false">ROUND(SUMIFS(应收金额,应收日期,"&gt;="&amp;DATE(管理年度,1,1),应收日期,"&lt;"&amp;DATE(管理年度,2,1),应收款别,"合同款"),2)</f>
        <v>34650</v>
      </c>
      <c r="D6" s="57" t="n">
        <f aca="false">ROUND($B6-$C6,2)</f>
        <v>0</v>
      </c>
      <c r="E6" s="57" t="n">
        <f aca="false">ROUND(SUMIFS(应收开票额,应收开票日,"&gt;="&amp;DATE(管理年度,1,1),应收开票日,"&lt;"&amp;DATE(管理年度,2,1)),2)</f>
        <v>34650</v>
      </c>
      <c r="F6" s="57" t="n">
        <f aca="false">ROUND(SUMIFS(收款金额,收款日期,"&gt;="&amp;DATE(管理年度,1,1),收款日期,"&lt;"&amp;DATE(管理年度,2,1)),2)</f>
        <v>0</v>
      </c>
      <c r="G6" s="57" t="n">
        <f aca="false">ROUND(SUMIFS(收款金额,收款日期,"&gt;="&amp;DATE(管理年度,1,1),收款日期,"&lt;"&amp;DATE(管理年度,2,1),收款归类,"发票"),2)</f>
        <v>0</v>
      </c>
      <c r="H6" s="57" t="n">
        <f aca="false">ROUND(SUMIFS(收款金额,收款日期,"&gt;="&amp;DATE(管理年度,1,1),收款日期,"&lt;"&amp;DATE(管理年度,2,1),收款归类,"收据"),2)</f>
        <v>0</v>
      </c>
      <c r="I6" s="57" t="n">
        <f aca="false">ROUND(SUMIFS(收款金额,收款日期,"&gt;="&amp;DATE(管理年度,1,1),收款日期,"&lt;"&amp;DATE(管理年度,2,1),收款归类,"现金无票"),2)</f>
        <v>0</v>
      </c>
      <c r="J6" s="57" t="n">
        <f aca="false">ROUND($B6-$F6,2)</f>
        <v>34650</v>
      </c>
      <c r="K6" s="48" t="n">
        <f aca="false">ROUND(应收对账!$H$3+SUM($B$6:$B6)-SUM($F$6:$F6),2)</f>
        <v>40650</v>
      </c>
    </row>
    <row r="7" customFormat="false" ht="15" hidden="false" customHeight="false" outlineLevel="0" collapsed="false">
      <c r="A7" s="15" t="str">
        <f aca="false">管理年度&amp;"年02月"</f>
        <v>2026年02月</v>
      </c>
      <c r="B7" s="57" t="n">
        <f aca="false">ROUND(SUMIFS(应收金额,应收日期,"&gt;="&amp;DATE(管理年度,2,1),应收日期,"&lt;"&amp;DATE(管理年度,3,1)),2)</f>
        <v>3000</v>
      </c>
      <c r="C7" s="57" t="n">
        <f aca="false">ROUND(SUMIFS(应收金额,应收日期,"&gt;="&amp;DATE(管理年度,2,1),应收日期,"&lt;"&amp;DATE(管理年度,3,1),应收款别,"合同款"),2)</f>
        <v>3000</v>
      </c>
      <c r="D7" s="57" t="n">
        <f aca="false">ROUND($B7-$C7,2)</f>
        <v>0</v>
      </c>
      <c r="E7" s="57" t="n">
        <f aca="false">ROUND(SUMIFS(应收开票额,应收开票日,"&gt;="&amp;DATE(管理年度,2,1),应收开票日,"&lt;"&amp;DATE(管理年度,3,1)),2)</f>
        <v>3000</v>
      </c>
      <c r="F7" s="57" t="n">
        <f aca="false">ROUND(SUMIFS(收款金额,收款日期,"&gt;="&amp;DATE(管理年度,2,1),收款日期,"&lt;"&amp;DATE(管理年度,3,1)),2)</f>
        <v>13650</v>
      </c>
      <c r="G7" s="57" t="n">
        <f aca="false">ROUND(SUMIFS(收款金额,收款日期,"&gt;="&amp;DATE(管理年度,2,1),收款日期,"&lt;"&amp;DATE(管理年度,3,1),收款归类,"发票"),2)</f>
        <v>13650</v>
      </c>
      <c r="H7" s="57" t="n">
        <f aca="false">ROUND(SUMIFS(收款金额,收款日期,"&gt;="&amp;DATE(管理年度,2,1),收款日期,"&lt;"&amp;DATE(管理年度,3,1),收款归类,"收据"),2)</f>
        <v>0</v>
      </c>
      <c r="I7" s="57" t="n">
        <f aca="false">ROUND(SUMIFS(收款金额,收款日期,"&gt;="&amp;DATE(管理年度,2,1),收款日期,"&lt;"&amp;DATE(管理年度,3,1),收款归类,"现金无票"),2)</f>
        <v>0</v>
      </c>
      <c r="J7" s="57" t="n">
        <f aca="false">ROUND($B7-$F7,2)</f>
        <v>-10650</v>
      </c>
      <c r="K7" s="48" t="n">
        <f aca="false">ROUND(应收对账!$H$3+SUM($B$6:$B7)-SUM($F$6:$F7),2)</f>
        <v>30000</v>
      </c>
    </row>
    <row r="8" customFormat="false" ht="15" hidden="false" customHeight="false" outlineLevel="0" collapsed="false">
      <c r="A8" s="15" t="str">
        <f aca="false">管理年度&amp;"年03月"</f>
        <v>2026年03月</v>
      </c>
      <c r="B8" s="57" t="n">
        <f aca="false">ROUND(SUMIFS(应收金额,应收日期,"&gt;="&amp;DATE(管理年度,3,1),应收日期,"&lt;"&amp;DATE(管理年度,4,1)),2)</f>
        <v>3350</v>
      </c>
      <c r="C8" s="57" t="n">
        <f aca="false">ROUND(SUMIFS(应收金额,应收日期,"&gt;="&amp;DATE(管理年度,3,1),应收日期,"&lt;"&amp;DATE(管理年度,4,1),应收款别,"合同款"),2)</f>
        <v>1050</v>
      </c>
      <c r="D8" s="57" t="n">
        <f aca="false">ROUND($B8-$C8,2)</f>
        <v>2300</v>
      </c>
      <c r="E8" s="57" t="n">
        <f aca="false">ROUND(SUMIFS(应收开票额,应收开票日,"&gt;="&amp;DATE(管理年度,3,1),应收开票日,"&lt;"&amp;DATE(管理年度,4,1)),2)</f>
        <v>2850</v>
      </c>
      <c r="F8" s="57" t="n">
        <f aca="false">ROUND(SUMIFS(收款金额,收款日期,"&gt;="&amp;DATE(管理年度,3,1),收款日期,"&lt;"&amp;DATE(管理年度,4,1)),2)</f>
        <v>13200</v>
      </c>
      <c r="G8" s="57" t="n">
        <f aca="false">ROUND(SUMIFS(收款金额,收款日期,"&gt;="&amp;DATE(管理年度,3,1),收款日期,"&lt;"&amp;DATE(管理年度,4,1),收款归类,"发票"),2)</f>
        <v>13200</v>
      </c>
      <c r="H8" s="57" t="n">
        <f aca="false">ROUND(SUMIFS(收款金额,收款日期,"&gt;="&amp;DATE(管理年度,3,1),收款日期,"&lt;"&amp;DATE(管理年度,4,1),收款归类,"收据"),2)</f>
        <v>0</v>
      </c>
      <c r="I8" s="57" t="n">
        <f aca="false">ROUND(SUMIFS(收款金额,收款日期,"&gt;="&amp;DATE(管理年度,3,1),收款日期,"&lt;"&amp;DATE(管理年度,4,1),收款归类,"现金无票"),2)</f>
        <v>0</v>
      </c>
      <c r="J8" s="57" t="n">
        <f aca="false">ROUND($B8-$F8,2)</f>
        <v>-9850</v>
      </c>
      <c r="K8" s="48" t="n">
        <f aca="false">ROUND(应收对账!$H$3+SUM($B$6:$B8)-SUM($F$6:$F8),2)</f>
        <v>20150</v>
      </c>
    </row>
    <row r="9" customFormat="false" ht="15" hidden="false" customHeight="false" outlineLevel="0" collapsed="false">
      <c r="A9" s="15" t="str">
        <f aca="false">管理年度&amp;"年04月"</f>
        <v>2026年04月</v>
      </c>
      <c r="B9" s="57" t="n">
        <f aca="false">ROUND(SUMIFS(应收金额,应收日期,"&gt;="&amp;DATE(管理年度,4,1),应收日期,"&lt;"&amp;DATE(管理年度,5,1)),2)</f>
        <v>10050</v>
      </c>
      <c r="C9" s="57" t="n">
        <f aca="false">ROUND(SUMIFS(应收金额,应收日期,"&gt;="&amp;DATE(管理年度,4,1),应收日期,"&lt;"&amp;DATE(管理年度,5,1),应收款别,"合同款"),2)</f>
        <v>9450</v>
      </c>
      <c r="D9" s="57" t="n">
        <f aca="false">ROUND($B9-$C9,2)</f>
        <v>600</v>
      </c>
      <c r="E9" s="57" t="n">
        <f aca="false">ROUND(SUMIFS(应收开票额,应收开票日,"&gt;="&amp;DATE(管理年度,4,1),应收开票日,"&lt;"&amp;DATE(管理年度,5,1)),2)</f>
        <v>10050</v>
      </c>
      <c r="F9" s="57" t="n">
        <f aca="false">ROUND(SUMIFS(收款金额,收款日期,"&gt;="&amp;DATE(管理年度,4,1),收款日期,"&lt;"&amp;DATE(管理年度,5,1)),2)</f>
        <v>1050</v>
      </c>
      <c r="G9" s="57" t="n">
        <f aca="false">ROUND(SUMIFS(收款金额,收款日期,"&gt;="&amp;DATE(管理年度,4,1),收款日期,"&lt;"&amp;DATE(管理年度,5,1),收款归类,"发票"),2)</f>
        <v>1050</v>
      </c>
      <c r="H9" s="57" t="n">
        <f aca="false">ROUND(SUMIFS(收款金额,收款日期,"&gt;="&amp;DATE(管理年度,4,1),收款日期,"&lt;"&amp;DATE(管理年度,5,1),收款归类,"收据"),2)</f>
        <v>0</v>
      </c>
      <c r="I9" s="57" t="n">
        <f aca="false">ROUND(SUMIFS(收款金额,收款日期,"&gt;="&amp;DATE(管理年度,4,1),收款日期,"&lt;"&amp;DATE(管理年度,5,1),收款归类,"现金无票"),2)</f>
        <v>0</v>
      </c>
      <c r="J9" s="57" t="n">
        <f aca="false">ROUND($B9-$F9,2)</f>
        <v>9000</v>
      </c>
      <c r="K9" s="48" t="n">
        <f aca="false">ROUND(应收对账!$H$3+SUM($B$6:$B9)-SUM($F$6:$F9),2)</f>
        <v>29150</v>
      </c>
    </row>
    <row r="10" customFormat="false" ht="15" hidden="false" customHeight="false" outlineLevel="0" collapsed="false">
      <c r="A10" s="15" t="str">
        <f aca="false">管理年度&amp;"年05月"</f>
        <v>2026年05月</v>
      </c>
      <c r="B10" s="57" t="n">
        <f aca="false">ROUND(SUMIFS(应收金额,应收日期,"&gt;="&amp;DATE(管理年度,5,1),应收日期,"&lt;"&amp;DATE(管理年度,6,1)),2)</f>
        <v>2600</v>
      </c>
      <c r="C10" s="57" t="n">
        <f aca="false">ROUND(SUMIFS(应收金额,应收日期,"&gt;="&amp;DATE(管理年度,5,1),应收日期,"&lt;"&amp;DATE(管理年度,6,1),应收款别,"合同款"),2)</f>
        <v>0</v>
      </c>
      <c r="D10" s="57" t="n">
        <f aca="false">ROUND($B10-$C10,2)</f>
        <v>2600</v>
      </c>
      <c r="E10" s="57" t="n">
        <f aca="false">ROUND(SUMIFS(应收开票额,应收开票日,"&gt;="&amp;DATE(管理年度,5,1),应收开票日,"&lt;"&amp;DATE(管理年度,6,1)),2)</f>
        <v>2600</v>
      </c>
      <c r="F10" s="57" t="n">
        <f aca="false">ROUND(SUMIFS(收款金额,收款日期,"&gt;="&amp;DATE(管理年度,5,1),收款日期,"&lt;"&amp;DATE(管理年度,6,1)),2)</f>
        <v>12650</v>
      </c>
      <c r="G10" s="57" t="n">
        <f aca="false">ROUND(SUMIFS(收款金额,收款日期,"&gt;="&amp;DATE(管理年度,5,1),收款日期,"&lt;"&amp;DATE(管理年度,6,1),收款归类,"发票"),2)</f>
        <v>12650</v>
      </c>
      <c r="H10" s="57" t="n">
        <f aca="false">ROUND(SUMIFS(收款金额,收款日期,"&gt;="&amp;DATE(管理年度,5,1),收款日期,"&lt;"&amp;DATE(管理年度,6,1),收款归类,"收据"),2)</f>
        <v>0</v>
      </c>
      <c r="I10" s="57" t="n">
        <f aca="false">ROUND(SUMIFS(收款金额,收款日期,"&gt;="&amp;DATE(管理年度,5,1),收款日期,"&lt;"&amp;DATE(管理年度,6,1),收款归类,"现金无票"),2)</f>
        <v>0</v>
      </c>
      <c r="J10" s="57" t="n">
        <f aca="false">ROUND($B10-$F10,2)</f>
        <v>-10050</v>
      </c>
      <c r="K10" s="48" t="n">
        <f aca="false">ROUND(应收对账!$H$3+SUM($B$6:$B10)-SUM($F$6:$F10),2)</f>
        <v>19100</v>
      </c>
    </row>
    <row r="11" customFormat="false" ht="15" hidden="false" customHeight="false" outlineLevel="0" collapsed="false">
      <c r="A11" s="15" t="str">
        <f aca="false">管理年度&amp;"年06月"</f>
        <v>2026年06月</v>
      </c>
      <c r="B11" s="57" t="n">
        <f aca="false">ROUND(SUMIFS(应收金额,应收日期,"&gt;="&amp;DATE(管理年度,6,1),应收日期,"&lt;"&amp;DATE(管理年度,7,1)),2)</f>
        <v>6450</v>
      </c>
      <c r="C11" s="57" t="n">
        <f aca="false">ROUND(SUMIFS(应收金额,应收日期,"&gt;="&amp;DATE(管理年度,6,1),应收日期,"&lt;"&amp;DATE(管理年度,7,1),应收款别,"合同款"),2)</f>
        <v>6450</v>
      </c>
      <c r="D11" s="57" t="n">
        <f aca="false">ROUND($B11-$C11,2)</f>
        <v>0</v>
      </c>
      <c r="E11" s="57" t="n">
        <f aca="false">ROUND(SUMIFS(应收开票额,应收开票日,"&gt;="&amp;DATE(管理年度,6,1),应收开票日,"&lt;"&amp;DATE(管理年度,7,1)),2)</f>
        <v>1050</v>
      </c>
      <c r="F11" s="57" t="n">
        <f aca="false">ROUND(SUMIFS(收款金额,收款日期,"&gt;="&amp;DATE(管理年度,6,1),收款日期,"&lt;"&amp;DATE(管理年度,7,1)),2)</f>
        <v>1000</v>
      </c>
      <c r="G11" s="57" t="n">
        <f aca="false">ROUND(SUMIFS(收款金额,收款日期,"&gt;="&amp;DATE(管理年度,6,1),收款日期,"&lt;"&amp;DATE(管理年度,7,1),收款归类,"发票"),2)</f>
        <v>0</v>
      </c>
      <c r="H11" s="57" t="n">
        <f aca="false">ROUND(SUMIFS(收款金额,收款日期,"&gt;="&amp;DATE(管理年度,6,1),收款日期,"&lt;"&amp;DATE(管理年度,7,1),收款归类,"收据"),2)</f>
        <v>1000</v>
      </c>
      <c r="I11" s="57" t="n">
        <f aca="false">ROUND(SUMIFS(收款金额,收款日期,"&gt;="&amp;DATE(管理年度,6,1),收款日期,"&lt;"&amp;DATE(管理年度,7,1),收款归类,"现金无票"),2)</f>
        <v>0</v>
      </c>
      <c r="J11" s="57" t="n">
        <f aca="false">ROUND($B11-$F11,2)</f>
        <v>5450</v>
      </c>
      <c r="K11" s="48" t="n">
        <f aca="false">ROUND(应收对账!$H$3+SUM($B$6:$B11)-SUM($F$6:$F11),2)</f>
        <v>24550</v>
      </c>
    </row>
    <row r="12" customFormat="false" ht="15" hidden="false" customHeight="false" outlineLevel="0" collapsed="false">
      <c r="A12" s="15" t="str">
        <f aca="false">管理年度&amp;"年07月"</f>
        <v>2026年07月</v>
      </c>
      <c r="B12" s="57" t="n">
        <f aca="false">ROUND(SUMIFS(应收金额,应收日期,"&gt;="&amp;DATE(管理年度,7,1),应收日期,"&lt;"&amp;DATE(管理年度,8,1)),2)</f>
        <v>26250</v>
      </c>
      <c r="C12" s="57" t="n">
        <f aca="false">ROUND(SUMIFS(应收金额,应收日期,"&gt;="&amp;DATE(管理年度,7,1),应收日期,"&lt;"&amp;DATE(管理年度,8,1),应收款别,"合同款"),2)</f>
        <v>26250</v>
      </c>
      <c r="D12" s="57" t="n">
        <f aca="false">ROUND($B12-$C12,2)</f>
        <v>0</v>
      </c>
      <c r="E12" s="57" t="n">
        <f aca="false">ROUND(SUMIFS(应收开票额,应收开票日,"&gt;="&amp;DATE(管理年度,7,1),应收开票日,"&lt;"&amp;DATE(管理年度,8,1)),2)</f>
        <v>11850</v>
      </c>
      <c r="F12" s="57" t="n">
        <f aca="false">ROUND(SUMIFS(收款金额,收款日期,"&gt;="&amp;DATE(管理年度,7,1),收款日期,"&lt;"&amp;DATE(管理年度,8,1)),2)</f>
        <v>9050</v>
      </c>
      <c r="G12" s="57" t="n">
        <f aca="false">ROUND(SUMIFS(收款金额,收款日期,"&gt;="&amp;DATE(管理年度,7,1),收款日期,"&lt;"&amp;DATE(管理年度,8,1),收款归类,"发票"),2)</f>
        <v>9050</v>
      </c>
      <c r="H12" s="57" t="n">
        <f aca="false">ROUND(SUMIFS(收款金额,收款日期,"&gt;="&amp;DATE(管理年度,7,1),收款日期,"&lt;"&amp;DATE(管理年度,8,1),收款归类,"收据"),2)</f>
        <v>0</v>
      </c>
      <c r="I12" s="57" t="n">
        <f aca="false">ROUND(SUMIFS(收款金额,收款日期,"&gt;="&amp;DATE(管理年度,7,1),收款日期,"&lt;"&amp;DATE(管理年度,8,1),收款归类,"现金无票"),2)</f>
        <v>0</v>
      </c>
      <c r="J12" s="57" t="n">
        <f aca="false">ROUND($B12-$F12,2)</f>
        <v>17200</v>
      </c>
      <c r="K12" s="48" t="n">
        <f aca="false">ROUND(应收对账!$H$3+SUM($B$6:$B12)-SUM($F$6:$F12),2)</f>
        <v>41750</v>
      </c>
    </row>
    <row r="13" customFormat="false" ht="15" hidden="false" customHeight="false" outlineLevel="0" collapsed="false">
      <c r="A13" s="15" t="str">
        <f aca="false">管理年度&amp;"年08月"</f>
        <v>2026年08月</v>
      </c>
      <c r="B13" s="57" t="n">
        <f aca="false">ROUND(SUMIFS(应收金额,应收日期,"&gt;="&amp;DATE(管理年度,8,1),应收日期,"&lt;"&amp;DATE(管理年度,9,1)),2)</f>
        <v>11300</v>
      </c>
      <c r="C13" s="57" t="n">
        <f aca="false">ROUND(SUMIFS(应收金额,应收日期,"&gt;="&amp;DATE(管理年度,8,1),应收日期,"&lt;"&amp;DATE(管理年度,9,1),应收款别,"合同款"),2)</f>
        <v>0</v>
      </c>
      <c r="D13" s="57" t="n">
        <f aca="false">ROUND($B13-$C13,2)</f>
        <v>11300</v>
      </c>
      <c r="E13" s="57" t="n">
        <f aca="false">ROUND(SUMIFS(应收开票额,应收开票日,"&gt;="&amp;DATE(管理年度,8,1),应收开票日,"&lt;"&amp;DATE(管理年度,9,1)),2)</f>
        <v>0</v>
      </c>
      <c r="F13" s="57" t="n">
        <f aca="false">ROUND(SUMIFS(收款金额,收款日期,"&gt;="&amp;DATE(管理年度,8,1),收款日期,"&lt;"&amp;DATE(管理年度,9,1)),2)</f>
        <v>7050</v>
      </c>
      <c r="G13" s="57" t="n">
        <f aca="false">ROUND(SUMIFS(收款金额,收款日期,"&gt;="&amp;DATE(管理年度,8,1),收款日期,"&lt;"&amp;DATE(管理年度,9,1),收款归类,"发票"),2)</f>
        <v>7050</v>
      </c>
      <c r="H13" s="57" t="n">
        <f aca="false">ROUND(SUMIFS(收款金额,收款日期,"&gt;="&amp;DATE(管理年度,8,1),收款日期,"&lt;"&amp;DATE(管理年度,9,1),收款归类,"收据"),2)</f>
        <v>0</v>
      </c>
      <c r="I13" s="57" t="n">
        <f aca="false">ROUND(SUMIFS(收款金额,收款日期,"&gt;="&amp;DATE(管理年度,8,1),收款日期,"&lt;"&amp;DATE(管理年度,9,1),收款归类,"现金无票"),2)</f>
        <v>0</v>
      </c>
      <c r="J13" s="57" t="n">
        <f aca="false">ROUND($B13-$F13,2)</f>
        <v>4250</v>
      </c>
      <c r="K13" s="48" t="n">
        <f aca="false">ROUND(应收对账!$H$3+SUM($B$6:$B13)-SUM($F$6:$F13),2)</f>
        <v>46000</v>
      </c>
    </row>
    <row r="14" customFormat="false" ht="15" hidden="false" customHeight="false" outlineLevel="0" collapsed="false">
      <c r="A14" s="15" t="str">
        <f aca="false">管理年度&amp;"年09月"</f>
        <v>2026年09月</v>
      </c>
      <c r="B14" s="57" t="n">
        <f aca="false">ROUND(SUMIFS(应收金额,应收日期,"&gt;="&amp;DATE(管理年度,9,1),应收日期,"&lt;"&amp;DATE(管理年度,10,1)),2)</f>
        <v>2250</v>
      </c>
      <c r="C14" s="57" t="n">
        <f aca="false">ROUND(SUMIFS(应收金额,应收日期,"&gt;="&amp;DATE(管理年度,9,1),应收日期,"&lt;"&amp;DATE(管理年度,10,1),应收款别,"合同款"),2)</f>
        <v>1050</v>
      </c>
      <c r="D14" s="57" t="n">
        <f aca="false">ROUND($B14-$C14,2)</f>
        <v>1200</v>
      </c>
      <c r="E14" s="57" t="n">
        <f aca="false">ROUND(SUMIFS(应收开票额,应收开票日,"&gt;="&amp;DATE(管理年度,9,1),应收开票日,"&lt;"&amp;DATE(管理年度,10,1)),2)</f>
        <v>0</v>
      </c>
      <c r="F14" s="57" t="n">
        <f aca="false">ROUND(SUMIFS(收款金额,收款日期,"&gt;="&amp;DATE(管理年度,9,1),收款日期,"&lt;"&amp;DATE(管理年度,10,1)),2)</f>
        <v>3600</v>
      </c>
      <c r="G14" s="57" t="n">
        <f aca="false">ROUND(SUMIFS(收款金额,收款日期,"&gt;="&amp;DATE(管理年度,9,1),收款日期,"&lt;"&amp;DATE(管理年度,10,1),收款归类,"发票"),2)</f>
        <v>0</v>
      </c>
      <c r="H14" s="57" t="n">
        <f aca="false">ROUND(SUMIFS(收款金额,收款日期,"&gt;="&amp;DATE(管理年度,9,1),收款日期,"&lt;"&amp;DATE(管理年度,10,1),收款归类,"收据"),2)</f>
        <v>1800</v>
      </c>
      <c r="I14" s="57" t="n">
        <f aca="false">ROUND(SUMIFS(收款金额,收款日期,"&gt;="&amp;DATE(管理年度,9,1),收款日期,"&lt;"&amp;DATE(管理年度,10,1),收款归类,"现金无票"),2)</f>
        <v>1800</v>
      </c>
      <c r="J14" s="57" t="n">
        <f aca="false">ROUND($B14-$F14,2)</f>
        <v>-1350</v>
      </c>
      <c r="K14" s="48" t="n">
        <f aca="false">ROUND(应收对账!$H$3+SUM($B$6:$B14)-SUM($F$6:$F14),2)</f>
        <v>44650</v>
      </c>
    </row>
    <row r="15" customFormat="false" ht="15" hidden="false" customHeight="false" outlineLevel="0" collapsed="false">
      <c r="A15" s="15" t="str">
        <f aca="false">管理年度&amp;"年10月"</f>
        <v>2026年10月</v>
      </c>
      <c r="B15" s="57" t="n">
        <f aca="false">ROUND(SUMIFS(应收金额,应收日期,"&gt;="&amp;DATE(管理年度,10,1),应收日期,"&lt;"&amp;DATE(管理年度,11,1)),2)</f>
        <v>0</v>
      </c>
      <c r="C15" s="57" t="n">
        <f aca="false">ROUND(SUMIFS(应收金额,应收日期,"&gt;="&amp;DATE(管理年度,10,1),应收日期,"&lt;"&amp;DATE(管理年度,11,1),应收款别,"合同款"),2)</f>
        <v>0</v>
      </c>
      <c r="D15" s="57" t="n">
        <f aca="false">ROUND($B15-$C15,2)</f>
        <v>0</v>
      </c>
      <c r="E15" s="57" t="n">
        <f aca="false">ROUND(SUMIFS(应收开票额,应收开票日,"&gt;="&amp;DATE(管理年度,10,1),应收开票日,"&lt;"&amp;DATE(管理年度,11,1)),2)</f>
        <v>0</v>
      </c>
      <c r="F15" s="57" t="n">
        <f aca="false">ROUND(SUMIFS(收款金额,收款日期,"&gt;="&amp;DATE(管理年度,10,1),收款日期,"&lt;"&amp;DATE(管理年度,11,1)),2)</f>
        <v>0</v>
      </c>
      <c r="G15" s="57" t="n">
        <f aca="false">ROUND(SUMIFS(收款金额,收款日期,"&gt;="&amp;DATE(管理年度,10,1),收款日期,"&lt;"&amp;DATE(管理年度,11,1),收款归类,"发票"),2)</f>
        <v>0</v>
      </c>
      <c r="H15" s="57" t="n">
        <f aca="false">ROUND(SUMIFS(收款金额,收款日期,"&gt;="&amp;DATE(管理年度,10,1),收款日期,"&lt;"&amp;DATE(管理年度,11,1),收款归类,"收据"),2)</f>
        <v>0</v>
      </c>
      <c r="I15" s="57" t="n">
        <f aca="false">ROUND(SUMIFS(收款金额,收款日期,"&gt;="&amp;DATE(管理年度,10,1),收款日期,"&lt;"&amp;DATE(管理年度,11,1),收款归类,"现金无票"),2)</f>
        <v>0</v>
      </c>
      <c r="J15" s="57" t="n">
        <f aca="false">ROUND($B15-$F15,2)</f>
        <v>0</v>
      </c>
      <c r="K15" s="48" t="n">
        <f aca="false">ROUND(应收对账!$H$3+SUM($B$6:$B15)-SUM($F$6:$F15),2)</f>
        <v>44650</v>
      </c>
    </row>
    <row r="16" customFormat="false" ht="15" hidden="false" customHeight="false" outlineLevel="0" collapsed="false">
      <c r="A16" s="15" t="str">
        <f aca="false">管理年度&amp;"年11月"</f>
        <v>2026年11月</v>
      </c>
      <c r="B16" s="57" t="n">
        <f aca="false">ROUND(SUMIFS(应收金额,应收日期,"&gt;="&amp;DATE(管理年度,11,1),应收日期,"&lt;"&amp;DATE(管理年度,12,1)),2)</f>
        <v>0</v>
      </c>
      <c r="C16" s="57" t="n">
        <f aca="false">ROUND(SUMIFS(应收金额,应收日期,"&gt;="&amp;DATE(管理年度,11,1),应收日期,"&lt;"&amp;DATE(管理年度,12,1),应收款别,"合同款"),2)</f>
        <v>0</v>
      </c>
      <c r="D16" s="57" t="n">
        <f aca="false">ROUND($B16-$C16,2)</f>
        <v>0</v>
      </c>
      <c r="E16" s="57" t="n">
        <f aca="false">ROUND(SUMIFS(应收开票额,应收开票日,"&gt;="&amp;DATE(管理年度,11,1),应收开票日,"&lt;"&amp;DATE(管理年度,12,1)),2)</f>
        <v>0</v>
      </c>
      <c r="F16" s="57" t="n">
        <f aca="false">ROUND(SUMIFS(收款金额,收款日期,"&gt;="&amp;DATE(管理年度,11,1),收款日期,"&lt;"&amp;DATE(管理年度,12,1)),2)</f>
        <v>0</v>
      </c>
      <c r="G16" s="57" t="n">
        <f aca="false">ROUND(SUMIFS(收款金额,收款日期,"&gt;="&amp;DATE(管理年度,11,1),收款日期,"&lt;"&amp;DATE(管理年度,12,1),收款归类,"发票"),2)</f>
        <v>0</v>
      </c>
      <c r="H16" s="57" t="n">
        <f aca="false">ROUND(SUMIFS(收款金额,收款日期,"&gt;="&amp;DATE(管理年度,11,1),收款日期,"&lt;"&amp;DATE(管理年度,12,1),收款归类,"收据"),2)</f>
        <v>0</v>
      </c>
      <c r="I16" s="57" t="n">
        <f aca="false">ROUND(SUMIFS(收款金额,收款日期,"&gt;="&amp;DATE(管理年度,11,1),收款日期,"&lt;"&amp;DATE(管理年度,12,1),收款归类,"现金无票"),2)</f>
        <v>0</v>
      </c>
      <c r="J16" s="57" t="n">
        <f aca="false">ROUND($B16-$F16,2)</f>
        <v>0</v>
      </c>
      <c r="K16" s="48" t="n">
        <f aca="false">ROUND(应收对账!$H$3+SUM($B$6:$B16)-SUM($F$6:$F16),2)</f>
        <v>44650</v>
      </c>
    </row>
    <row r="17" customFormat="false" ht="15" hidden="false" customHeight="false" outlineLevel="0" collapsed="false">
      <c r="A17" s="15" t="str">
        <f aca="false">管理年度&amp;"年12月"</f>
        <v>2026年12月</v>
      </c>
      <c r="B17" s="57" t="n">
        <f aca="false">ROUND(SUMIFS(应收金额,应收日期,"&gt;="&amp;DATE(管理年度,12,1),应收日期,"&lt;"&amp;DATE(管理年度,13,1)),2)</f>
        <v>0</v>
      </c>
      <c r="C17" s="57" t="n">
        <f aca="false">ROUND(SUMIFS(应收金额,应收日期,"&gt;="&amp;DATE(管理年度,12,1),应收日期,"&lt;"&amp;DATE(管理年度,13,1),应收款别,"合同款"),2)</f>
        <v>0</v>
      </c>
      <c r="D17" s="57" t="n">
        <f aca="false">ROUND($B17-$C17,2)</f>
        <v>0</v>
      </c>
      <c r="E17" s="57" t="n">
        <f aca="false">ROUND(SUMIFS(应收开票额,应收开票日,"&gt;="&amp;DATE(管理年度,12,1),应收开票日,"&lt;"&amp;DATE(管理年度,13,1)),2)</f>
        <v>0</v>
      </c>
      <c r="F17" s="57" t="n">
        <f aca="false">ROUND(SUMIFS(收款金额,收款日期,"&gt;="&amp;DATE(管理年度,12,1),收款日期,"&lt;"&amp;DATE(管理年度,13,1)),2)</f>
        <v>0</v>
      </c>
      <c r="G17" s="57" t="n">
        <f aca="false">ROUND(SUMIFS(收款金额,收款日期,"&gt;="&amp;DATE(管理年度,12,1),收款日期,"&lt;"&amp;DATE(管理年度,13,1),收款归类,"发票"),2)</f>
        <v>0</v>
      </c>
      <c r="H17" s="57" t="n">
        <f aca="false">ROUND(SUMIFS(收款金额,收款日期,"&gt;="&amp;DATE(管理年度,12,1),收款日期,"&lt;"&amp;DATE(管理年度,13,1),收款归类,"收据"),2)</f>
        <v>0</v>
      </c>
      <c r="I17" s="57" t="n">
        <f aca="false">ROUND(SUMIFS(收款金额,收款日期,"&gt;="&amp;DATE(管理年度,12,1),收款日期,"&lt;"&amp;DATE(管理年度,13,1),收款归类,"现金无票"),2)</f>
        <v>0</v>
      </c>
      <c r="J17" s="57" t="n">
        <f aca="false">ROUND($B17-$F17,2)</f>
        <v>0</v>
      </c>
      <c r="K17" s="48" t="n">
        <f aca="false">ROUND(应收对账!$H$3+SUM($B$6:$B17)-SUM($F$6:$F17),2)</f>
        <v>44650</v>
      </c>
    </row>
    <row r="18" customFormat="false" ht="15" hidden="false" customHeight="false" outlineLevel="0" collapsed="false">
      <c r="A18" s="59" t="s">
        <v>561</v>
      </c>
      <c r="B18" s="36" t="n">
        <f aca="false">ROUND(SUM($B$6:$B$17),2)</f>
        <v>99900</v>
      </c>
      <c r="C18" s="36" t="n">
        <f aca="false">ROUND(SUM($C$6:$C$17),2)</f>
        <v>81900</v>
      </c>
      <c r="D18" s="36" t="n">
        <f aca="false">ROUND(SUM($D$6:$D$17),2)</f>
        <v>18000</v>
      </c>
      <c r="E18" s="36" t="n">
        <f aca="false">ROUND(SUM($E$6:$E$17),2)</f>
        <v>66050</v>
      </c>
      <c r="F18" s="36" t="n">
        <f aca="false">ROUND(SUM($F$6:$F$17),2)</f>
        <v>61250</v>
      </c>
      <c r="G18" s="36" t="n">
        <f aca="false">ROUND(SUM($G$6:$G$17),2)</f>
        <v>56650</v>
      </c>
      <c r="H18" s="36" t="n">
        <f aca="false">ROUND(SUM($H$6:$H$17),2)</f>
        <v>2800</v>
      </c>
      <c r="I18" s="36" t="n">
        <f aca="false">ROUND(SUM($I$6:$I$17),2)</f>
        <v>1800</v>
      </c>
      <c r="J18" s="36" t="n">
        <f aca="false">ROUND(SUM($J$6:$J$17),2)</f>
        <v>38650</v>
      </c>
      <c r="K18" s="36" t="n">
        <f aca="false">$K17</f>
        <v>44650</v>
      </c>
    </row>
    <row r="20" customFormat="false" ht="15" hidden="false" customHeight="true" outlineLevel="0" collapsed="false">
      <c r="A20" s="17" t="s">
        <v>562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</row>
    <row r="21" customFormat="false" ht="25.5" hidden="false" customHeight="true" outlineLevel="0" collapsed="false">
      <c r="A21" s="46" t="s">
        <v>126</v>
      </c>
      <c r="B21" s="46" t="s">
        <v>563</v>
      </c>
      <c r="C21" s="46" t="s">
        <v>7</v>
      </c>
      <c r="D21" s="46" t="s">
        <v>526</v>
      </c>
      <c r="E21" s="46" t="s">
        <v>527</v>
      </c>
      <c r="F21" s="46" t="s">
        <v>564</v>
      </c>
      <c r="G21" s="46"/>
      <c r="H21" s="46"/>
      <c r="I21" s="46"/>
      <c r="J21" s="46"/>
      <c r="K21" s="46"/>
    </row>
    <row r="22" customFormat="false" ht="15" hidden="false" customHeight="false" outlineLevel="0" collapsed="false">
      <c r="A22" s="16" t="str">
        <f aca="false">IF(基础资料!$M5="","",基础资料!$M5)</f>
        <v>维保费</v>
      </c>
      <c r="B22" s="53" t="str">
        <f aca="false">IF($A22="","",基础资料!$N5)</f>
        <v>合同款</v>
      </c>
      <c r="C22" s="57" t="n">
        <f aca="false">IF($A22="","",ROUND(SUMIFS(应收金额,应收类别,$A22,应收年度,管理年度),2))</f>
        <v>81900</v>
      </c>
      <c r="D22" s="57" t="n">
        <f aca="false">IF($A22="","",ROUND(SUMIFS(应收开票额,应收类别,$A22,应收开票年度,管理年度),2))</f>
        <v>61050</v>
      </c>
      <c r="E22" s="57" t="n">
        <f aca="false">IF($A22="","",ROUND($C22-$D22,2))</f>
        <v>20850</v>
      </c>
      <c r="F22" s="60" t="n">
        <f aca="false">IF($A22="","",IFERROR($C22/$C$53,""))</f>
        <v>0.81981981981982</v>
      </c>
    </row>
    <row r="23" customFormat="false" ht="15" hidden="false" customHeight="false" outlineLevel="0" collapsed="false">
      <c r="A23" s="16" t="str">
        <f aca="false">IF(基础资料!$M6="","",基础资料!$M6)</f>
        <v>合同维保费(补收)</v>
      </c>
      <c r="B23" s="53" t="str">
        <f aca="false">IF($A23="","",基础资料!$N6)</f>
        <v>合同款</v>
      </c>
      <c r="C23" s="57" t="n">
        <f aca="false">IF($A23="","",ROUND(SUMIFS(应收金额,应收类别,$A23,应收年度,管理年度),2))</f>
        <v>0</v>
      </c>
      <c r="D23" s="57" t="n">
        <f aca="false">IF($A23="","",ROUND(SUMIFS(应收开票额,应收类别,$A23,应收开票年度,管理年度),2))</f>
        <v>0</v>
      </c>
      <c r="E23" s="57" t="n">
        <f aca="false">IF($A23="","",ROUND($C23-$D23,2))</f>
        <v>0</v>
      </c>
      <c r="F23" s="60" t="n">
        <f aca="false">IF($A23="","",IFERROR($C23/$C$53,""))</f>
        <v>0</v>
      </c>
    </row>
    <row r="24" customFormat="false" ht="15" hidden="false" customHeight="false" outlineLevel="0" collapsed="false">
      <c r="A24" s="16" t="str">
        <f aca="false">IF(基础资料!$M7="","",基础资料!$M7)</f>
        <v>维修费</v>
      </c>
      <c r="B24" s="53" t="str">
        <f aca="false">IF($A24="","",基础资料!$N7)</f>
        <v>合同外款</v>
      </c>
      <c r="C24" s="57" t="n">
        <f aca="false">IF($A24="","",ROUND(SUMIFS(应收金额,应收类别,$A24,应收年度,管理年度),2))</f>
        <v>1500</v>
      </c>
      <c r="D24" s="57" t="n">
        <f aca="false">IF($A24="","",ROUND(SUMIFS(应收开票额,应收类别,$A24,应收开票年度,管理年度),2))</f>
        <v>0</v>
      </c>
      <c r="E24" s="57" t="n">
        <f aca="false">IF($A24="","",ROUND($C24-$D24,2))</f>
        <v>1500</v>
      </c>
      <c r="F24" s="60" t="n">
        <f aca="false">IF($A24="","",IFERROR($C24/$C$53,""))</f>
        <v>0.015015015015015</v>
      </c>
    </row>
    <row r="25" customFormat="false" ht="15" hidden="false" customHeight="false" outlineLevel="0" collapsed="false">
      <c r="A25" s="16" t="str">
        <f aca="false">IF(基础资料!$M8="","",基础资料!$M8)</f>
        <v>配件费</v>
      </c>
      <c r="B25" s="53" t="str">
        <f aca="false">IF($A25="","",基础资料!$N8)</f>
        <v>合同外款</v>
      </c>
      <c r="C25" s="57" t="n">
        <f aca="false">IF($A25="","",ROUND(SUMIFS(应收金额,应收类别,$A25,应收年度,管理年度),2))</f>
        <v>2600</v>
      </c>
      <c r="D25" s="57" t="n">
        <f aca="false">IF($A25="","",ROUND(SUMIFS(应收开票额,应收类别,$A25,应收开票年度,管理年度),2))</f>
        <v>2600</v>
      </c>
      <c r="E25" s="57" t="n">
        <f aca="false">IF($A25="","",ROUND($C25-$D25,2))</f>
        <v>0</v>
      </c>
      <c r="F25" s="60" t="n">
        <f aca="false">IF($A25="","",IFERROR($C25/$C$53,""))</f>
        <v>0.026026026026026</v>
      </c>
    </row>
    <row r="26" customFormat="false" ht="15" hidden="false" customHeight="false" outlineLevel="0" collapsed="false">
      <c r="A26" s="16" t="str">
        <f aca="false">IF(基础资料!$M9="","",基础资料!$M9)</f>
        <v>报检费</v>
      </c>
      <c r="B26" s="53" t="str">
        <f aca="false">IF($A26="","",基础资料!$N9)</f>
        <v>合同外款</v>
      </c>
      <c r="C26" s="57" t="n">
        <f aca="false">IF($A26="","",ROUND(SUMIFS(应收金额,应收类别,$A26,应收年度,管理年度),2))</f>
        <v>1800</v>
      </c>
      <c r="D26" s="57" t="n">
        <f aca="false">IF($A26="","",ROUND(SUMIFS(应收开票额,应收类别,$A26,应收开票年度,管理年度),2))</f>
        <v>1800</v>
      </c>
      <c r="E26" s="57" t="n">
        <f aca="false">IF($A26="","",ROUND($C26-$D26,2))</f>
        <v>0</v>
      </c>
      <c r="F26" s="60" t="n">
        <f aca="false">IF($A26="","",IFERROR($C26/$C$53,""))</f>
        <v>0.018018018018018</v>
      </c>
    </row>
    <row r="27" customFormat="false" ht="15" hidden="false" customHeight="false" outlineLevel="0" collapsed="false">
      <c r="A27" s="16" t="str">
        <f aca="false">IF(基础资料!$M10="","",基础资料!$M10)</f>
        <v>年检费</v>
      </c>
      <c r="B27" s="53" t="str">
        <f aca="false">IF($A27="","",基础资料!$N10)</f>
        <v>合同外款</v>
      </c>
      <c r="C27" s="57" t="n">
        <f aca="false">IF($A27="","",ROUND(SUMIFS(应收金额,应收类别,$A27,应收年度,管理年度),2))</f>
        <v>500</v>
      </c>
      <c r="D27" s="57" t="n">
        <f aca="false">IF($A27="","",ROUND(SUMIFS(应收开票额,应收类别,$A27,应收开票年度,管理年度),2))</f>
        <v>0</v>
      </c>
      <c r="E27" s="57" t="n">
        <f aca="false">IF($A27="","",ROUND($C27-$D27,2))</f>
        <v>500</v>
      </c>
      <c r="F27" s="60" t="n">
        <f aca="false">IF($A27="","",IFERROR($C27/$C$53,""))</f>
        <v>0.00500500500500501</v>
      </c>
    </row>
    <row r="28" customFormat="false" ht="15" hidden="false" customHeight="false" outlineLevel="0" collapsed="false">
      <c r="A28" s="16" t="str">
        <f aca="false">IF(基础资料!$M11="","",基础资料!$M11)</f>
        <v>限速器校验费</v>
      </c>
      <c r="B28" s="53" t="str">
        <f aca="false">IF($A28="","",基础资料!$N11)</f>
        <v>合同外款</v>
      </c>
      <c r="C28" s="57" t="n">
        <f aca="false">IF($A28="","",ROUND(SUMIFS(应收金额,应收类别,$A28,应收年度,管理年度),2))</f>
        <v>1200</v>
      </c>
      <c r="D28" s="57" t="n">
        <f aca="false">IF($A28="","",ROUND(SUMIFS(应收开票额,应收类别,$A28,应收开票年度,管理年度),2))</f>
        <v>0</v>
      </c>
      <c r="E28" s="57" t="n">
        <f aca="false">IF($A28="","",ROUND($C28-$D28,2))</f>
        <v>1200</v>
      </c>
      <c r="F28" s="60" t="n">
        <f aca="false">IF($A28="","",IFERROR($C28/$C$53,""))</f>
        <v>0.012012012012012</v>
      </c>
    </row>
    <row r="29" customFormat="false" ht="15" hidden="false" customHeight="false" outlineLevel="0" collapsed="false">
      <c r="A29" s="16" t="str">
        <f aca="false">IF(基础资料!$M12="","",基础资料!$M12)</f>
        <v>载重试验费</v>
      </c>
      <c r="B29" s="53" t="str">
        <f aca="false">IF($A29="","",基础资料!$N12)</f>
        <v>合同外款</v>
      </c>
      <c r="C29" s="57" t="n">
        <f aca="false">IF($A29="","",ROUND(SUMIFS(应收金额,应收类别,$A29,应收年度,管理年度),2))</f>
        <v>0</v>
      </c>
      <c r="D29" s="57" t="n">
        <f aca="false">IF($A29="","",ROUND(SUMIFS(应收开票额,应收类别,$A29,应收开票年度,管理年度),2))</f>
        <v>0</v>
      </c>
      <c r="E29" s="57" t="n">
        <f aca="false">IF($A29="","",ROUND($C29-$D29,2))</f>
        <v>0</v>
      </c>
      <c r="F29" s="60" t="n">
        <f aca="false">IF($A29="","",IFERROR($C29/$C$53,""))</f>
        <v>0</v>
      </c>
    </row>
    <row r="30" customFormat="false" ht="15" hidden="false" customHeight="false" outlineLevel="0" collapsed="false">
      <c r="A30" s="16" t="str">
        <f aca="false">IF(基础资料!$M13="","",基础资料!$M13)</f>
        <v>第三方检测费</v>
      </c>
      <c r="B30" s="53" t="str">
        <f aca="false">IF($A30="","",基础资料!$N13)</f>
        <v>合同外款</v>
      </c>
      <c r="C30" s="57" t="n">
        <f aca="false">IF($A30="","",ROUND(SUMIFS(应收金额,应收类别,$A30,应收年度,管理年度),2))</f>
        <v>0</v>
      </c>
      <c r="D30" s="57" t="n">
        <f aca="false">IF($A30="","",ROUND(SUMIFS(应收开票额,应收类别,$A30,应收开票年度,管理年度),2))</f>
        <v>0</v>
      </c>
      <c r="E30" s="57" t="n">
        <f aca="false">IF($A30="","",ROUND($C30-$D30,2))</f>
        <v>0</v>
      </c>
      <c r="F30" s="60" t="n">
        <f aca="false">IF($A30="","",IFERROR($C30/$C$53,""))</f>
        <v>0</v>
      </c>
    </row>
    <row r="31" customFormat="false" ht="15" hidden="false" customHeight="false" outlineLevel="0" collapsed="false">
      <c r="A31" s="16" t="str">
        <f aca="false">IF(基础资料!$M14="","",基础资料!$M14)</f>
        <v>改造费</v>
      </c>
      <c r="B31" s="53" t="str">
        <f aca="false">IF($A31="","",基础资料!$N14)</f>
        <v>合同外款</v>
      </c>
      <c r="C31" s="57" t="n">
        <f aca="false">IF($A31="","",ROUND(SUMIFS(应收金额,应收类别,$A31,应收年度,管理年度),2))</f>
        <v>9800</v>
      </c>
      <c r="D31" s="57" t="n">
        <f aca="false">IF($A31="","",ROUND(SUMIFS(应收开票额,应收类别,$A31,应收开票年度,管理年度),2))</f>
        <v>0</v>
      </c>
      <c r="E31" s="57" t="n">
        <f aca="false">IF($A31="","",ROUND($C31-$D31,2))</f>
        <v>9800</v>
      </c>
      <c r="F31" s="60" t="n">
        <f aca="false">IF($A31="","",IFERROR($C31/$C$53,""))</f>
        <v>0.0980980980980981</v>
      </c>
    </row>
    <row r="32" customFormat="false" ht="15" hidden="false" customHeight="false" outlineLevel="0" collapsed="false">
      <c r="A32" s="16" t="str">
        <f aca="false">IF(基础资料!$M15="","",基础资料!$M15)</f>
        <v>急修/困人救援</v>
      </c>
      <c r="B32" s="53" t="str">
        <f aca="false">IF($A32="","",基础资料!$N15)</f>
        <v>合同外款</v>
      </c>
      <c r="C32" s="57" t="n">
        <f aca="false">IF($A32="","",ROUND(SUMIFS(应收金额,应收类别,$A32,应收年度,管理年度),2))</f>
        <v>600</v>
      </c>
      <c r="D32" s="57" t="n">
        <f aca="false">IF($A32="","",ROUND(SUMIFS(应收开票额,应收类别,$A32,应收开票年度,管理年度),2))</f>
        <v>600</v>
      </c>
      <c r="E32" s="57" t="n">
        <f aca="false">IF($A32="","",ROUND($C32-$D32,2))</f>
        <v>0</v>
      </c>
      <c r="F32" s="60" t="n">
        <f aca="false">IF($A32="","",IFERROR($C32/$C$53,""))</f>
        <v>0.00600600600600601</v>
      </c>
    </row>
    <row r="33" customFormat="false" ht="15" hidden="false" customHeight="false" outlineLevel="0" collapsed="false">
      <c r="A33" s="16" t="str">
        <f aca="false">IF(基础资料!$M16="","",基础资料!$M16)</f>
        <v>其他</v>
      </c>
      <c r="B33" s="53" t="str">
        <f aca="false">IF($A33="","",基础资料!$N16)</f>
        <v>合同外款</v>
      </c>
      <c r="C33" s="57" t="n">
        <f aca="false">IF($A33="","",ROUND(SUMIFS(应收金额,应收类别,$A33,应收年度,管理年度),2))</f>
        <v>0</v>
      </c>
      <c r="D33" s="57" t="n">
        <f aca="false">IF($A33="","",ROUND(SUMIFS(应收开票额,应收类别,$A33,应收开票年度,管理年度),2))</f>
        <v>0</v>
      </c>
      <c r="E33" s="57" t="n">
        <f aca="false">IF($A33="","",ROUND($C33-$D33,2))</f>
        <v>0</v>
      </c>
      <c r="F33" s="60" t="n">
        <f aca="false">IF($A33="","",IFERROR($C33/$C$53,""))</f>
        <v>0</v>
      </c>
    </row>
    <row r="34" customFormat="false" ht="15" hidden="false" customHeight="false" outlineLevel="0" collapsed="false">
      <c r="A34" s="16" t="str">
        <f aca="false">IF(基础资料!$M17="","",基础资料!$M17)</f>
        <v/>
      </c>
      <c r="B34" s="53" t="str">
        <f aca="false">IF($A34="","",基础资料!$N17)</f>
        <v/>
      </c>
      <c r="C34" s="57" t="str">
        <f aca="false">IF($A34="","",ROUND(SUMIFS(应收金额,应收类别,$A34,应收年度,管理年度),2))</f>
        <v/>
      </c>
      <c r="D34" s="57" t="str">
        <f aca="false">IF($A34="","",ROUND(SUMIFS(应收开票额,应收类别,$A34,应收开票年度,管理年度),2))</f>
        <v/>
      </c>
      <c r="E34" s="57" t="str">
        <f aca="false">IF($A34="","",ROUND($C34-$D34,2))</f>
        <v/>
      </c>
      <c r="F34" s="60" t="str">
        <f aca="false">IF($A34="","",IFERROR($C34/$C$53,""))</f>
        <v/>
      </c>
    </row>
    <row r="35" customFormat="false" ht="15" hidden="false" customHeight="false" outlineLevel="0" collapsed="false">
      <c r="A35" s="16" t="str">
        <f aca="false">IF(基础资料!$M18="","",基础资料!$M18)</f>
        <v/>
      </c>
      <c r="B35" s="53" t="str">
        <f aca="false">IF($A35="","",基础资料!$N18)</f>
        <v/>
      </c>
      <c r="C35" s="57" t="str">
        <f aca="false">IF($A35="","",ROUND(SUMIFS(应收金额,应收类别,$A35,应收年度,管理年度),2))</f>
        <v/>
      </c>
      <c r="D35" s="57" t="str">
        <f aca="false">IF($A35="","",ROUND(SUMIFS(应收开票额,应收类别,$A35,应收开票年度,管理年度),2))</f>
        <v/>
      </c>
      <c r="E35" s="57" t="str">
        <f aca="false">IF($A35="","",ROUND($C35-$D35,2))</f>
        <v/>
      </c>
      <c r="F35" s="60" t="str">
        <f aca="false">IF($A35="","",IFERROR($C35/$C$53,""))</f>
        <v/>
      </c>
    </row>
    <row r="36" customFormat="false" ht="15" hidden="false" customHeight="false" outlineLevel="0" collapsed="false">
      <c r="A36" s="16" t="str">
        <f aca="false">IF(基础资料!$M19="","",基础资料!$M19)</f>
        <v/>
      </c>
      <c r="B36" s="53" t="str">
        <f aca="false">IF($A36="","",基础资料!$N19)</f>
        <v/>
      </c>
      <c r="C36" s="57" t="str">
        <f aca="false">IF($A36="","",ROUND(SUMIFS(应收金额,应收类别,$A36,应收年度,管理年度),2))</f>
        <v/>
      </c>
      <c r="D36" s="57" t="str">
        <f aca="false">IF($A36="","",ROUND(SUMIFS(应收开票额,应收类别,$A36,应收开票年度,管理年度),2))</f>
        <v/>
      </c>
      <c r="E36" s="57" t="str">
        <f aca="false">IF($A36="","",ROUND($C36-$D36,2))</f>
        <v/>
      </c>
      <c r="F36" s="60" t="str">
        <f aca="false">IF($A36="","",IFERROR($C36/$C$53,""))</f>
        <v/>
      </c>
    </row>
    <row r="37" customFormat="false" ht="15" hidden="false" customHeight="false" outlineLevel="0" collapsed="false">
      <c r="A37" s="16" t="str">
        <f aca="false">IF(基础资料!$M20="","",基础资料!$M20)</f>
        <v/>
      </c>
      <c r="B37" s="53" t="str">
        <f aca="false">IF($A37="","",基础资料!$N20)</f>
        <v/>
      </c>
      <c r="C37" s="57" t="str">
        <f aca="false">IF($A37="","",ROUND(SUMIFS(应收金额,应收类别,$A37,应收年度,管理年度),2))</f>
        <v/>
      </c>
      <c r="D37" s="57" t="str">
        <f aca="false">IF($A37="","",ROUND(SUMIFS(应收开票额,应收类别,$A37,应收开票年度,管理年度),2))</f>
        <v/>
      </c>
      <c r="E37" s="57" t="str">
        <f aca="false">IF($A37="","",ROUND($C37-$D37,2))</f>
        <v/>
      </c>
      <c r="F37" s="60" t="str">
        <f aca="false">IF($A37="","",IFERROR($C37/$C$53,""))</f>
        <v/>
      </c>
    </row>
    <row r="38" customFormat="false" ht="15" hidden="false" customHeight="false" outlineLevel="0" collapsed="false">
      <c r="A38" s="16" t="str">
        <f aca="false">IF(基础资料!$M21="","",基础资料!$M21)</f>
        <v/>
      </c>
      <c r="B38" s="53" t="str">
        <f aca="false">IF($A38="","",基础资料!$N21)</f>
        <v/>
      </c>
      <c r="C38" s="57" t="str">
        <f aca="false">IF($A38="","",ROUND(SUMIFS(应收金额,应收类别,$A38,应收年度,管理年度),2))</f>
        <v/>
      </c>
      <c r="D38" s="57" t="str">
        <f aca="false">IF($A38="","",ROUND(SUMIFS(应收开票额,应收类别,$A38,应收开票年度,管理年度),2))</f>
        <v/>
      </c>
      <c r="E38" s="57" t="str">
        <f aca="false">IF($A38="","",ROUND($C38-$D38,2))</f>
        <v/>
      </c>
      <c r="F38" s="60" t="str">
        <f aca="false">IF($A38="","",IFERROR($C38/$C$53,""))</f>
        <v/>
      </c>
    </row>
    <row r="39" customFormat="false" ht="15" hidden="false" customHeight="false" outlineLevel="0" collapsed="false">
      <c r="A39" s="16" t="str">
        <f aca="false">IF(基础资料!$M22="","",基础资料!$M22)</f>
        <v/>
      </c>
      <c r="B39" s="53" t="str">
        <f aca="false">IF($A39="","",基础资料!$N22)</f>
        <v/>
      </c>
      <c r="C39" s="57" t="str">
        <f aca="false">IF($A39="","",ROUND(SUMIFS(应收金额,应收类别,$A39,应收年度,管理年度),2))</f>
        <v/>
      </c>
      <c r="D39" s="57" t="str">
        <f aca="false">IF($A39="","",ROUND(SUMIFS(应收开票额,应收类别,$A39,应收开票年度,管理年度),2))</f>
        <v/>
      </c>
      <c r="E39" s="57" t="str">
        <f aca="false">IF($A39="","",ROUND($C39-$D39,2))</f>
        <v/>
      </c>
      <c r="F39" s="60" t="str">
        <f aca="false">IF($A39="","",IFERROR($C39/$C$53,""))</f>
        <v/>
      </c>
    </row>
    <row r="40" customFormat="false" ht="15" hidden="false" customHeight="false" outlineLevel="0" collapsed="false">
      <c r="A40" s="16" t="str">
        <f aca="false">IF(基础资料!$M23="","",基础资料!$M23)</f>
        <v/>
      </c>
      <c r="B40" s="53" t="str">
        <f aca="false">IF($A40="","",基础资料!$N23)</f>
        <v/>
      </c>
      <c r="C40" s="57" t="str">
        <f aca="false">IF($A40="","",ROUND(SUMIFS(应收金额,应收类别,$A40,应收年度,管理年度),2))</f>
        <v/>
      </c>
      <c r="D40" s="57" t="str">
        <f aca="false">IF($A40="","",ROUND(SUMIFS(应收开票额,应收类别,$A40,应收开票年度,管理年度),2))</f>
        <v/>
      </c>
      <c r="E40" s="57" t="str">
        <f aca="false">IF($A40="","",ROUND($C40-$D40,2))</f>
        <v/>
      </c>
      <c r="F40" s="60" t="str">
        <f aca="false">IF($A40="","",IFERROR($C40/$C$53,""))</f>
        <v/>
      </c>
    </row>
    <row r="41" customFormat="false" ht="15" hidden="false" customHeight="false" outlineLevel="0" collapsed="false">
      <c r="A41" s="16" t="str">
        <f aca="false">IF(基础资料!$M24="","",基础资料!$M24)</f>
        <v/>
      </c>
      <c r="B41" s="53" t="str">
        <f aca="false">IF($A41="","",基础资料!$N24)</f>
        <v/>
      </c>
      <c r="C41" s="57" t="str">
        <f aca="false">IF($A41="","",ROUND(SUMIFS(应收金额,应收类别,$A41,应收年度,管理年度),2))</f>
        <v/>
      </c>
      <c r="D41" s="57" t="str">
        <f aca="false">IF($A41="","",ROUND(SUMIFS(应收开票额,应收类别,$A41,应收开票年度,管理年度),2))</f>
        <v/>
      </c>
      <c r="E41" s="57" t="str">
        <f aca="false">IF($A41="","",ROUND($C41-$D41,2))</f>
        <v/>
      </c>
      <c r="F41" s="60" t="str">
        <f aca="false">IF($A41="","",IFERROR($C41/$C$53,""))</f>
        <v/>
      </c>
    </row>
    <row r="42" customFormat="false" ht="15" hidden="false" customHeight="false" outlineLevel="0" collapsed="false">
      <c r="A42" s="16" t="str">
        <f aca="false">IF(基础资料!$M25="","",基础资料!$M25)</f>
        <v/>
      </c>
      <c r="B42" s="53" t="str">
        <f aca="false">IF($A42="","",基础资料!$N25)</f>
        <v/>
      </c>
      <c r="C42" s="57" t="str">
        <f aca="false">IF($A42="","",ROUND(SUMIFS(应收金额,应收类别,$A42,应收年度,管理年度),2))</f>
        <v/>
      </c>
      <c r="D42" s="57" t="str">
        <f aca="false">IF($A42="","",ROUND(SUMIFS(应收开票额,应收类别,$A42,应收开票年度,管理年度),2))</f>
        <v/>
      </c>
      <c r="E42" s="57" t="str">
        <f aca="false">IF($A42="","",ROUND($C42-$D42,2))</f>
        <v/>
      </c>
      <c r="F42" s="60" t="str">
        <f aca="false">IF($A42="","",IFERROR($C42/$C$53,""))</f>
        <v/>
      </c>
    </row>
    <row r="43" customFormat="false" ht="15" hidden="false" customHeight="false" outlineLevel="0" collapsed="false">
      <c r="A43" s="16" t="str">
        <f aca="false">IF(基础资料!$M26="","",基础资料!$M26)</f>
        <v/>
      </c>
      <c r="B43" s="53" t="str">
        <f aca="false">IF($A43="","",基础资料!$N26)</f>
        <v/>
      </c>
      <c r="C43" s="57" t="str">
        <f aca="false">IF($A43="","",ROUND(SUMIFS(应收金额,应收类别,$A43,应收年度,管理年度),2))</f>
        <v/>
      </c>
      <c r="D43" s="57" t="str">
        <f aca="false">IF($A43="","",ROUND(SUMIFS(应收开票额,应收类别,$A43,应收开票年度,管理年度),2))</f>
        <v/>
      </c>
      <c r="E43" s="57" t="str">
        <f aca="false">IF($A43="","",ROUND($C43-$D43,2))</f>
        <v/>
      </c>
      <c r="F43" s="60" t="str">
        <f aca="false">IF($A43="","",IFERROR($C43/$C$53,""))</f>
        <v/>
      </c>
    </row>
    <row r="44" customFormat="false" ht="15" hidden="false" customHeight="false" outlineLevel="0" collapsed="false">
      <c r="A44" s="16" t="str">
        <f aca="false">IF(基础资料!$M27="","",基础资料!$M27)</f>
        <v/>
      </c>
      <c r="B44" s="53" t="str">
        <f aca="false">IF($A44="","",基础资料!$N27)</f>
        <v/>
      </c>
      <c r="C44" s="57" t="str">
        <f aca="false">IF($A44="","",ROUND(SUMIFS(应收金额,应收类别,$A44,应收年度,管理年度),2))</f>
        <v/>
      </c>
      <c r="D44" s="57" t="str">
        <f aca="false">IF($A44="","",ROUND(SUMIFS(应收开票额,应收类别,$A44,应收开票年度,管理年度),2))</f>
        <v/>
      </c>
      <c r="E44" s="57" t="str">
        <f aca="false">IF($A44="","",ROUND($C44-$D44,2))</f>
        <v/>
      </c>
      <c r="F44" s="60" t="str">
        <f aca="false">IF($A44="","",IFERROR($C44/$C$53,""))</f>
        <v/>
      </c>
    </row>
    <row r="45" customFormat="false" ht="15" hidden="false" customHeight="false" outlineLevel="0" collapsed="false">
      <c r="A45" s="16" t="str">
        <f aca="false">IF(基础资料!$M28="","",基础资料!$M28)</f>
        <v/>
      </c>
      <c r="B45" s="53" t="str">
        <f aca="false">IF($A45="","",基础资料!$N28)</f>
        <v/>
      </c>
      <c r="C45" s="57" t="str">
        <f aca="false">IF($A45="","",ROUND(SUMIFS(应收金额,应收类别,$A45,应收年度,管理年度),2))</f>
        <v/>
      </c>
      <c r="D45" s="57" t="str">
        <f aca="false">IF($A45="","",ROUND(SUMIFS(应收开票额,应收类别,$A45,应收开票年度,管理年度),2))</f>
        <v/>
      </c>
      <c r="E45" s="57" t="str">
        <f aca="false">IF($A45="","",ROUND($C45-$D45,2))</f>
        <v/>
      </c>
      <c r="F45" s="60" t="str">
        <f aca="false">IF($A45="","",IFERROR($C45/$C$53,""))</f>
        <v/>
      </c>
    </row>
    <row r="46" customFormat="false" ht="15" hidden="false" customHeight="false" outlineLevel="0" collapsed="false">
      <c r="A46" s="16" t="str">
        <f aca="false">IF(基础资料!$M29="","",基础资料!$M29)</f>
        <v/>
      </c>
      <c r="B46" s="53" t="str">
        <f aca="false">IF($A46="","",基础资料!$N29)</f>
        <v/>
      </c>
      <c r="C46" s="57" t="str">
        <f aca="false">IF($A46="","",ROUND(SUMIFS(应收金额,应收类别,$A46,应收年度,管理年度),2))</f>
        <v/>
      </c>
      <c r="D46" s="57" t="str">
        <f aca="false">IF($A46="","",ROUND(SUMIFS(应收开票额,应收类别,$A46,应收开票年度,管理年度),2))</f>
        <v/>
      </c>
      <c r="E46" s="57" t="str">
        <f aca="false">IF($A46="","",ROUND($C46-$D46,2))</f>
        <v/>
      </c>
      <c r="F46" s="60" t="str">
        <f aca="false">IF($A46="","",IFERROR($C46/$C$53,""))</f>
        <v/>
      </c>
    </row>
    <row r="47" customFormat="false" ht="15" hidden="false" customHeight="false" outlineLevel="0" collapsed="false">
      <c r="A47" s="16" t="str">
        <f aca="false">IF(基础资料!$M30="","",基础资料!$M30)</f>
        <v/>
      </c>
      <c r="B47" s="53" t="str">
        <f aca="false">IF($A47="","",基础资料!$N30)</f>
        <v/>
      </c>
      <c r="C47" s="57" t="str">
        <f aca="false">IF($A47="","",ROUND(SUMIFS(应收金额,应收类别,$A47,应收年度,管理年度),2))</f>
        <v/>
      </c>
      <c r="D47" s="57" t="str">
        <f aca="false">IF($A47="","",ROUND(SUMIFS(应收开票额,应收类别,$A47,应收开票年度,管理年度),2))</f>
        <v/>
      </c>
      <c r="E47" s="57" t="str">
        <f aca="false">IF($A47="","",ROUND($C47-$D47,2))</f>
        <v/>
      </c>
      <c r="F47" s="60" t="str">
        <f aca="false">IF($A47="","",IFERROR($C47/$C$53,""))</f>
        <v/>
      </c>
    </row>
    <row r="48" customFormat="false" ht="15" hidden="false" customHeight="false" outlineLevel="0" collapsed="false">
      <c r="A48" s="16" t="str">
        <f aca="false">IF(基础资料!$M31="","",基础资料!$M31)</f>
        <v/>
      </c>
      <c r="B48" s="53" t="str">
        <f aca="false">IF($A48="","",基础资料!$N31)</f>
        <v/>
      </c>
      <c r="C48" s="57" t="str">
        <f aca="false">IF($A48="","",ROUND(SUMIFS(应收金额,应收类别,$A48,应收年度,管理年度),2))</f>
        <v/>
      </c>
      <c r="D48" s="57" t="str">
        <f aca="false">IF($A48="","",ROUND(SUMIFS(应收开票额,应收类别,$A48,应收开票年度,管理年度),2))</f>
        <v/>
      </c>
      <c r="E48" s="57" t="str">
        <f aca="false">IF($A48="","",ROUND($C48-$D48,2))</f>
        <v/>
      </c>
      <c r="F48" s="60" t="str">
        <f aca="false">IF($A48="","",IFERROR($C48/$C$53,""))</f>
        <v/>
      </c>
    </row>
    <row r="49" customFormat="false" ht="15" hidden="false" customHeight="false" outlineLevel="0" collapsed="false">
      <c r="A49" s="16" t="str">
        <f aca="false">IF(基础资料!$M32="","",基础资料!$M32)</f>
        <v/>
      </c>
      <c r="B49" s="53" t="str">
        <f aca="false">IF($A49="","",基础资料!$N32)</f>
        <v/>
      </c>
      <c r="C49" s="57" t="str">
        <f aca="false">IF($A49="","",ROUND(SUMIFS(应收金额,应收类别,$A49,应收年度,管理年度),2))</f>
        <v/>
      </c>
      <c r="D49" s="57" t="str">
        <f aca="false">IF($A49="","",ROUND(SUMIFS(应收开票额,应收类别,$A49,应收开票年度,管理年度),2))</f>
        <v/>
      </c>
      <c r="E49" s="57" t="str">
        <f aca="false">IF($A49="","",ROUND($C49-$D49,2))</f>
        <v/>
      </c>
      <c r="F49" s="60" t="str">
        <f aca="false">IF($A49="","",IFERROR($C49/$C$53,""))</f>
        <v/>
      </c>
    </row>
    <row r="50" customFormat="false" ht="15" hidden="false" customHeight="false" outlineLevel="0" collapsed="false">
      <c r="A50" s="16" t="str">
        <f aca="false">IF(基础资料!$M33="","",基础资料!$M33)</f>
        <v/>
      </c>
      <c r="B50" s="53" t="str">
        <f aca="false">IF($A50="","",基础资料!$N33)</f>
        <v/>
      </c>
      <c r="C50" s="57" t="str">
        <f aca="false">IF($A50="","",ROUND(SUMIFS(应收金额,应收类别,$A50,应收年度,管理年度),2))</f>
        <v/>
      </c>
      <c r="D50" s="57" t="str">
        <f aca="false">IF($A50="","",ROUND(SUMIFS(应收开票额,应收类别,$A50,应收开票年度,管理年度),2))</f>
        <v/>
      </c>
      <c r="E50" s="57" t="str">
        <f aca="false">IF($A50="","",ROUND($C50-$D50,2))</f>
        <v/>
      </c>
      <c r="F50" s="60" t="str">
        <f aca="false">IF($A50="","",IFERROR($C50/$C$53,""))</f>
        <v/>
      </c>
    </row>
    <row r="51" customFormat="false" ht="15" hidden="false" customHeight="false" outlineLevel="0" collapsed="false">
      <c r="A51" s="16" t="str">
        <f aca="false">IF(基础资料!$M34="","",基础资料!$M34)</f>
        <v/>
      </c>
      <c r="B51" s="53" t="str">
        <f aca="false">IF($A51="","",基础资料!$N34)</f>
        <v/>
      </c>
      <c r="C51" s="57" t="str">
        <f aca="false">IF($A51="","",ROUND(SUMIFS(应收金额,应收类别,$A51,应收年度,管理年度),2))</f>
        <v/>
      </c>
      <c r="D51" s="57" t="str">
        <f aca="false">IF($A51="","",ROUND(SUMIFS(应收开票额,应收类别,$A51,应收开票年度,管理年度),2))</f>
        <v/>
      </c>
      <c r="E51" s="57" t="str">
        <f aca="false">IF($A51="","",ROUND($C51-$D51,2))</f>
        <v/>
      </c>
      <c r="F51" s="60" t="str">
        <f aca="false">IF($A51="","",IFERROR($C51/$C$53,""))</f>
        <v/>
      </c>
    </row>
    <row r="52" customFormat="false" ht="15" hidden="false" customHeight="true" outlineLevel="0" collapsed="false">
      <c r="A52" s="56" t="s">
        <v>565</v>
      </c>
      <c r="B52" s="56"/>
      <c r="C52" s="10" t="n">
        <f aca="false">ROUND(应收对账!$I$3-SUM($C$22:$C$51),2)</f>
        <v>0</v>
      </c>
      <c r="D52" s="10" t="n">
        <f aca="false">ROUND(应收对账!$L$3-SUM($D$22:$D$51),2)</f>
        <v>0</v>
      </c>
      <c r="E52" s="10" t="n">
        <f aca="false">ROUND($C52-$D52,2)</f>
        <v>0</v>
      </c>
      <c r="F52" s="12"/>
    </row>
    <row r="53" customFormat="false" ht="15" hidden="false" customHeight="false" outlineLevel="0" collapsed="false">
      <c r="A53" s="59" t="s">
        <v>566</v>
      </c>
      <c r="B53" s="59"/>
      <c r="C53" s="36" t="n">
        <f aca="false">ROUND(SUM($C$22:$C$52),2)</f>
        <v>99900</v>
      </c>
      <c r="D53" s="36" t="n">
        <f aca="false">ROUND(SUM($D$22:$D$52),2)</f>
        <v>66050</v>
      </c>
      <c r="E53" s="36" t="n">
        <f aca="false">ROUND(SUM($E$22:$E$52),2)</f>
        <v>33850</v>
      </c>
      <c r="F53" s="61" t="n">
        <f aca="false">IF($C53=0,"",1)</f>
        <v>1</v>
      </c>
    </row>
    <row r="55" customFormat="false" ht="15" hidden="false" customHeight="true" outlineLevel="0" collapsed="false">
      <c r="A55" s="17" t="s">
        <v>567</v>
      </c>
      <c r="B55" s="17"/>
      <c r="C55" s="17"/>
      <c r="D55" s="17"/>
      <c r="E55" s="17"/>
      <c r="F55" s="17"/>
      <c r="G55" s="17"/>
      <c r="H55" s="17"/>
      <c r="I55" s="17"/>
      <c r="J55" s="17"/>
      <c r="K55" s="17"/>
    </row>
    <row r="56" customFormat="false" ht="25.5" hidden="false" customHeight="true" outlineLevel="0" collapsed="false">
      <c r="A56" s="46" t="s">
        <v>542</v>
      </c>
      <c r="B56" s="46" t="s">
        <v>568</v>
      </c>
      <c r="C56" s="46" t="s">
        <v>4</v>
      </c>
      <c r="D56" s="46" t="s">
        <v>569</v>
      </c>
      <c r="E56" s="46" t="s">
        <v>7</v>
      </c>
      <c r="F56" s="46" t="s">
        <v>8</v>
      </c>
      <c r="G56" s="46" t="s">
        <v>534</v>
      </c>
      <c r="H56" s="46"/>
      <c r="I56" s="46"/>
      <c r="J56" s="46"/>
      <c r="K56" s="46"/>
    </row>
    <row r="57" customFormat="false" ht="15" hidden="false" customHeight="false" outlineLevel="0" collapsed="false">
      <c r="A57" s="16" t="str">
        <f aca="false">IF(基础资料!$A5="","",基础资料!$A5)</f>
        <v>漯河许昌</v>
      </c>
      <c r="B57" s="62" t="n">
        <f aca="false">IF($A57="","",COUNTIF(合同片区,$A57))</f>
        <v>1</v>
      </c>
      <c r="C57" s="62" t="n">
        <f aca="false">IF($A57="","",SUMIF(合同片区,$A57,合同台量))</f>
        <v>1</v>
      </c>
      <c r="D57" s="57" t="n">
        <f aca="false">IF($A57="","",ROUND(SUMIF(合同片区,$A57,维保合同!$L$5:$L$304),2))</f>
        <v>4200</v>
      </c>
      <c r="E57" s="57" t="n">
        <f aca="false">IF($A57="","",ROUND(SUMIF(合同片区,$A57,维保合同!$T$5:$T$304),2))</f>
        <v>3150</v>
      </c>
      <c r="F57" s="57" t="n">
        <f aca="false">IF($A57="","",ROUND(SUMIF(合同片区,$A57,维保合同!$U$5:$U$304),2))</f>
        <v>2100</v>
      </c>
      <c r="G57" s="41" t="n">
        <f aca="false">IF($A57="","",ROUND(SUMIF(合同片区,$A57,维保合同!$V$5:$V$304),2))</f>
        <v>1050</v>
      </c>
    </row>
    <row r="58" customFormat="false" ht="15" hidden="false" customHeight="false" outlineLevel="0" collapsed="false">
      <c r="A58" s="16" t="str">
        <f aca="false">IF(基础资料!$A6="","",基础资料!$A6)</f>
        <v>开封商丘周口</v>
      </c>
      <c r="B58" s="62" t="n">
        <f aca="false">IF($A58="","",COUNTIF(合同片区,$A58))</f>
        <v>1</v>
      </c>
      <c r="C58" s="62" t="n">
        <f aca="false">IF($A58="","",SUMIF(合同片区,$A58,合同台量))</f>
        <v>2</v>
      </c>
      <c r="D58" s="57" t="n">
        <f aca="false">IF($A58="","",ROUND(SUMIF(合同片区,$A58,维保合同!$L$5:$L$304),2))</f>
        <v>9600</v>
      </c>
      <c r="E58" s="57" t="n">
        <f aca="false">IF($A58="","",ROUND(SUMIF(合同片区,$A58,维保合同!$T$5:$T$304),2))</f>
        <v>10200</v>
      </c>
      <c r="F58" s="57" t="n">
        <f aca="false">IF($A58="","",ROUND(SUMIF(合同片区,$A58,维保合同!$U$5:$U$304),2))</f>
        <v>5400</v>
      </c>
      <c r="G58" s="41" t="n">
        <f aca="false">IF($A58="","",ROUND(SUMIF(合同片区,$A58,维保合同!$V$5:$V$304),2))</f>
        <v>4800</v>
      </c>
    </row>
    <row r="59" customFormat="false" ht="15" hidden="false" customHeight="false" outlineLevel="0" collapsed="false">
      <c r="A59" s="16" t="str">
        <f aca="false">IF(基础资料!$A7="","",基础资料!$A7)</f>
        <v>鹤壁新乡</v>
      </c>
      <c r="B59" s="62" t="n">
        <f aca="false">IF($A59="","",COUNTIF(合同片区,$A59))</f>
        <v>1</v>
      </c>
      <c r="C59" s="62" t="n">
        <f aca="false">IF($A59="","",SUMIF(合同片区,$A59,合同台量))</f>
        <v>1</v>
      </c>
      <c r="D59" s="57" t="n">
        <f aca="false">IF($A59="","",ROUND(SUMIF(合同片区,$A59,维保合同!$L$5:$L$304),2))</f>
        <v>4800</v>
      </c>
      <c r="E59" s="57" t="n">
        <f aca="false">IF($A59="","",ROUND(SUMIF(合同片区,$A59,维保合同!$T$5:$T$304),2))</f>
        <v>2900</v>
      </c>
      <c r="F59" s="57" t="n">
        <f aca="false">IF($A59="","",ROUND(SUMIF(合同片区,$A59,维保合同!$U$5:$U$304),2))</f>
        <v>3400</v>
      </c>
      <c r="G59" s="41" t="n">
        <f aca="false">IF($A59="","",ROUND(SUMIF(合同片区,$A59,维保合同!$V$5:$V$304),2))</f>
        <v>500</v>
      </c>
    </row>
    <row r="60" customFormat="false" ht="15" hidden="false" customHeight="false" outlineLevel="0" collapsed="false">
      <c r="A60" s="16" t="str">
        <f aca="false">IF(基础资料!$A8="","",基础资料!$A8)</f>
        <v>信阳驻马店</v>
      </c>
      <c r="B60" s="62" t="n">
        <f aca="false">IF($A60="","",COUNTIF(合同片区,$A60))</f>
        <v>1</v>
      </c>
      <c r="C60" s="62" t="n">
        <f aca="false">IF($A60="","",SUMIF(合同片区,$A60,合同台量))</f>
        <v>1</v>
      </c>
      <c r="D60" s="57" t="n">
        <f aca="false">IF($A60="","",ROUND(SUMIF(合同片区,$A60,维保合同!$L$5:$L$304),2))</f>
        <v>3000</v>
      </c>
      <c r="E60" s="57" t="n">
        <f aca="false">IF($A60="","",ROUND(SUMIF(合同片区,$A60,维保合同!$T$5:$T$304),2))</f>
        <v>3000</v>
      </c>
      <c r="F60" s="57" t="n">
        <f aca="false">IF($A60="","",ROUND(SUMIF(合同片区,$A60,维保合同!$U$5:$U$304),2))</f>
        <v>3000</v>
      </c>
      <c r="G60" s="41" t="n">
        <f aca="false">IF($A60="","",ROUND(SUMIF(合同片区,$A60,维保合同!$V$5:$V$304),2))</f>
        <v>0</v>
      </c>
    </row>
    <row r="61" customFormat="false" ht="15" hidden="false" customHeight="false" outlineLevel="0" collapsed="false">
      <c r="A61" s="16" t="str">
        <f aca="false">IF(基础资料!$A9="","",基础资料!$A9)</f>
        <v>平顶山郑州</v>
      </c>
      <c r="B61" s="62" t="n">
        <f aca="false">IF($A61="","",COUNTIF(合同片区,$A61))</f>
        <v>3</v>
      </c>
      <c r="C61" s="62" t="n">
        <f aca="false">IF($A61="","",SUMIF(合同片区,$A61,合同台量))</f>
        <v>4</v>
      </c>
      <c r="D61" s="57" t="n">
        <f aca="false">IF($A61="","",ROUND(SUMIF(合同片区,$A61,维保合同!$L$5:$L$304),2))</f>
        <v>16200</v>
      </c>
      <c r="E61" s="57" t="n">
        <f aca="false">IF($A61="","",ROUND(SUMIF(合同片区,$A61,维保合同!$T$5:$T$304),2))</f>
        <v>17000</v>
      </c>
      <c r="F61" s="57" t="n">
        <f aca="false">IF($A61="","",ROUND(SUMIF(合同片区,$A61,维保合同!$U$5:$U$304),2))</f>
        <v>9800</v>
      </c>
      <c r="G61" s="41" t="n">
        <f aca="false">IF($A61="","",ROUND(SUMIF(合同片区,$A61,维保合同!$V$5:$V$304),2))</f>
        <v>7200</v>
      </c>
    </row>
    <row r="62" customFormat="false" ht="15" hidden="false" customHeight="false" outlineLevel="0" collapsed="false">
      <c r="A62" s="16" t="str">
        <f aca="false">IF(基础资料!$A10="","",基础资料!$A10)</f>
        <v>洛阳三门峡</v>
      </c>
      <c r="B62" s="62" t="n">
        <f aca="false">IF($A62="","",COUNTIF(合同片区,$A62))</f>
        <v>1</v>
      </c>
      <c r="C62" s="62" t="n">
        <f aca="false">IF($A62="","",SUMIF(合同片区,$A62,合同台量))</f>
        <v>5</v>
      </c>
      <c r="D62" s="57" t="n">
        <f aca="false">IF($A62="","",ROUND(SUMIF(合同片区,$A62,维保合同!$L$5:$L$304),2))</f>
        <v>21000</v>
      </c>
      <c r="E62" s="57" t="n">
        <f aca="false">IF($A62="","",ROUND(SUMIF(合同片区,$A62,维保合同!$T$5:$T$304),2))</f>
        <v>16950</v>
      </c>
      <c r="F62" s="57" t="n">
        <f aca="false">IF($A62="","",ROUND(SUMIF(合同片区,$A62,维保合同!$U$5:$U$304),2))</f>
        <v>15750</v>
      </c>
      <c r="G62" s="41" t="n">
        <f aca="false">IF($A62="","",ROUND(SUMIF(合同片区,$A62,维保合同!$V$5:$V$304),2))</f>
        <v>1200</v>
      </c>
    </row>
    <row r="63" customFormat="false" ht="15" hidden="false" customHeight="false" outlineLevel="0" collapsed="false">
      <c r="A63" s="16" t="str">
        <f aca="false">IF(基础资料!$A11="","",基础资料!$A11)</f>
        <v>南阳</v>
      </c>
      <c r="B63" s="62" t="n">
        <f aca="false">IF($A63="","",COUNTIF(合同片区,$A63))</f>
        <v>1</v>
      </c>
      <c r="C63" s="62" t="n">
        <f aca="false">IF($A63="","",SUMIF(合同片区,$A63,合同台量))</f>
        <v>2</v>
      </c>
      <c r="D63" s="57" t="n">
        <f aca="false">IF($A63="","",ROUND(SUMIF(合同片区,$A63,维保合同!$L$5:$L$304),2))</f>
        <v>8400</v>
      </c>
      <c r="E63" s="57" t="n">
        <f aca="false">IF($A63="","",ROUND(SUMIF(合同片区,$A63,维保合同!$T$5:$T$304),2))</f>
        <v>9900</v>
      </c>
      <c r="F63" s="57" t="n">
        <f aca="false">IF($A63="","",ROUND(SUMIF(合同片区,$A63,维保合同!$U$5:$U$304),2))</f>
        <v>6000</v>
      </c>
      <c r="G63" s="41" t="n">
        <f aca="false">IF($A63="","",ROUND(SUMIF(合同片区,$A63,维保合同!$V$5:$V$304),2))</f>
        <v>5700</v>
      </c>
    </row>
    <row r="64" customFormat="false" ht="15" hidden="false" customHeight="false" outlineLevel="0" collapsed="false">
      <c r="A64" s="16" t="str">
        <f aca="false">IF(基础资料!$A12="","",基础资料!$A12)</f>
        <v>安阳濮阳</v>
      </c>
      <c r="B64" s="62" t="n">
        <f aca="false">IF($A64="","",COUNTIF(合同片区,$A64))</f>
        <v>1</v>
      </c>
      <c r="C64" s="62" t="n">
        <f aca="false">IF($A64="","",SUMIF(合同片区,$A64,合同台量))</f>
        <v>6</v>
      </c>
      <c r="D64" s="57" t="n">
        <f aca="false">IF($A64="","",ROUND(SUMIF(合同片区,$A64,维保合同!$L$5:$L$304),2))</f>
        <v>25200</v>
      </c>
      <c r="E64" s="57" t="n">
        <f aca="false">IF($A64="","",ROUND(SUMIF(合同片区,$A64,维保合同!$T$5:$T$304),2))</f>
        <v>36800</v>
      </c>
      <c r="F64" s="57" t="n">
        <f aca="false">IF($A64="","",ROUND(SUMIF(合同片区,$A64,维保合同!$U$5:$U$304),2))</f>
        <v>15800</v>
      </c>
      <c r="G64" s="41" t="n">
        <f aca="false">IF($A64="","",ROUND(SUMIF(合同片区,$A64,维保合同!$V$5:$V$304),2))</f>
        <v>24200</v>
      </c>
    </row>
    <row r="65" customFormat="false" ht="15" hidden="false" customHeight="false" outlineLevel="0" collapsed="false">
      <c r="A65" s="16" t="str">
        <f aca="false">IF(基础资料!$A13="","",基础资料!$A13)</f>
        <v>焦作济源</v>
      </c>
      <c r="B65" s="62" t="n">
        <f aca="false">IF($A65="","",COUNTIF(合同片区,$A65))</f>
        <v>0</v>
      </c>
      <c r="C65" s="62" t="n">
        <f aca="false">IF($A65="","",SUMIF(合同片区,$A65,合同台量))</f>
        <v>0</v>
      </c>
      <c r="D65" s="57" t="n">
        <f aca="false">IF($A65="","",ROUND(SUMIF(合同片区,$A65,维保合同!$L$5:$L$304),2))</f>
        <v>0</v>
      </c>
      <c r="E65" s="57" t="n">
        <f aca="false">IF($A65="","",ROUND(SUMIF(合同片区,$A65,维保合同!$T$5:$T$304),2))</f>
        <v>0</v>
      </c>
      <c r="F65" s="57" t="n">
        <f aca="false">IF($A65="","",ROUND(SUMIF(合同片区,$A65,维保合同!$U$5:$U$304),2))</f>
        <v>0</v>
      </c>
      <c r="G65" s="41" t="n">
        <f aca="false">IF($A65="","",ROUND(SUMIF(合同片区,$A65,维保合同!$V$5:$V$304),2))</f>
        <v>0</v>
      </c>
    </row>
    <row r="66" customFormat="false" ht="15" hidden="false" customHeight="false" outlineLevel="0" collapsed="false">
      <c r="A66" s="16" t="str">
        <f aca="false">IF(基础资料!$A14="","",基础资料!$A14)</f>
        <v/>
      </c>
      <c r="B66" s="62" t="str">
        <f aca="false">IF($A66="","",COUNTIF(合同片区,$A66))</f>
        <v/>
      </c>
      <c r="C66" s="62" t="str">
        <f aca="false">IF($A66="","",SUMIF(合同片区,$A66,合同台量))</f>
        <v/>
      </c>
      <c r="D66" s="57" t="str">
        <f aca="false">IF($A66="","",ROUND(SUMIF(合同片区,$A66,维保合同!$L$5:$L$304),2))</f>
        <v/>
      </c>
      <c r="E66" s="57" t="str">
        <f aca="false">IF($A66="","",ROUND(SUMIF(合同片区,$A66,维保合同!$T$5:$T$304),2))</f>
        <v/>
      </c>
      <c r="F66" s="57" t="str">
        <f aca="false">IF($A66="","",ROUND(SUMIF(合同片区,$A66,维保合同!$U$5:$U$304),2))</f>
        <v/>
      </c>
      <c r="G66" s="41" t="str">
        <f aca="false">IF($A66="","",ROUND(SUMIF(合同片区,$A66,维保合同!$V$5:$V$304),2))</f>
        <v/>
      </c>
    </row>
    <row r="67" customFormat="false" ht="15" hidden="false" customHeight="false" outlineLevel="0" collapsed="false">
      <c r="A67" s="16" t="str">
        <f aca="false">IF(基础资料!$A15="","",基础资料!$A15)</f>
        <v/>
      </c>
      <c r="B67" s="62" t="str">
        <f aca="false">IF($A67="","",COUNTIF(合同片区,$A67))</f>
        <v/>
      </c>
      <c r="C67" s="62" t="str">
        <f aca="false">IF($A67="","",SUMIF(合同片区,$A67,合同台量))</f>
        <v/>
      </c>
      <c r="D67" s="57" t="str">
        <f aca="false">IF($A67="","",ROUND(SUMIF(合同片区,$A67,维保合同!$L$5:$L$304),2))</f>
        <v/>
      </c>
      <c r="E67" s="57" t="str">
        <f aca="false">IF($A67="","",ROUND(SUMIF(合同片区,$A67,维保合同!$T$5:$T$304),2))</f>
        <v/>
      </c>
      <c r="F67" s="57" t="str">
        <f aca="false">IF($A67="","",ROUND(SUMIF(合同片区,$A67,维保合同!$U$5:$U$304),2))</f>
        <v/>
      </c>
      <c r="G67" s="41" t="str">
        <f aca="false">IF($A67="","",ROUND(SUMIF(合同片区,$A67,维保合同!$V$5:$V$304),2))</f>
        <v/>
      </c>
    </row>
    <row r="68" customFormat="false" ht="15" hidden="false" customHeight="false" outlineLevel="0" collapsed="false">
      <c r="A68" s="16" t="str">
        <f aca="false">IF(基础资料!$A16="","",基础资料!$A16)</f>
        <v/>
      </c>
      <c r="B68" s="62" t="str">
        <f aca="false">IF($A68="","",COUNTIF(合同片区,$A68))</f>
        <v/>
      </c>
      <c r="C68" s="62" t="str">
        <f aca="false">IF($A68="","",SUMIF(合同片区,$A68,合同台量))</f>
        <v/>
      </c>
      <c r="D68" s="57" t="str">
        <f aca="false">IF($A68="","",ROUND(SUMIF(合同片区,$A68,维保合同!$L$5:$L$304),2))</f>
        <v/>
      </c>
      <c r="E68" s="57" t="str">
        <f aca="false">IF($A68="","",ROUND(SUMIF(合同片区,$A68,维保合同!$T$5:$T$304),2))</f>
        <v/>
      </c>
      <c r="F68" s="57" t="str">
        <f aca="false">IF($A68="","",ROUND(SUMIF(合同片区,$A68,维保合同!$U$5:$U$304),2))</f>
        <v/>
      </c>
      <c r="G68" s="41" t="str">
        <f aca="false">IF($A68="","",ROUND(SUMIF(合同片区,$A68,维保合同!$V$5:$V$304),2))</f>
        <v/>
      </c>
    </row>
    <row r="69" customFormat="false" ht="15" hidden="false" customHeight="false" outlineLevel="0" collapsed="false">
      <c r="A69" s="16" t="str">
        <f aca="false">IF(基础资料!$A17="","",基础资料!$A17)</f>
        <v/>
      </c>
      <c r="B69" s="62" t="str">
        <f aca="false">IF($A69="","",COUNTIF(合同片区,$A69))</f>
        <v/>
      </c>
      <c r="C69" s="62" t="str">
        <f aca="false">IF($A69="","",SUMIF(合同片区,$A69,合同台量))</f>
        <v/>
      </c>
      <c r="D69" s="57" t="str">
        <f aca="false">IF($A69="","",ROUND(SUMIF(合同片区,$A69,维保合同!$L$5:$L$304),2))</f>
        <v/>
      </c>
      <c r="E69" s="57" t="str">
        <f aca="false">IF($A69="","",ROUND(SUMIF(合同片区,$A69,维保合同!$T$5:$T$304),2))</f>
        <v/>
      </c>
      <c r="F69" s="57" t="str">
        <f aca="false">IF($A69="","",ROUND(SUMIF(合同片区,$A69,维保合同!$U$5:$U$304),2))</f>
        <v/>
      </c>
      <c r="G69" s="41" t="str">
        <f aca="false">IF($A69="","",ROUND(SUMIF(合同片区,$A69,维保合同!$V$5:$V$304),2))</f>
        <v/>
      </c>
    </row>
    <row r="70" customFormat="false" ht="15" hidden="false" customHeight="false" outlineLevel="0" collapsed="false">
      <c r="A70" s="16" t="str">
        <f aca="false">IF(基础资料!$A18="","",基础资料!$A18)</f>
        <v/>
      </c>
      <c r="B70" s="62" t="str">
        <f aca="false">IF($A70="","",COUNTIF(合同片区,$A70))</f>
        <v/>
      </c>
      <c r="C70" s="62" t="str">
        <f aca="false">IF($A70="","",SUMIF(合同片区,$A70,合同台量))</f>
        <v/>
      </c>
      <c r="D70" s="57" t="str">
        <f aca="false">IF($A70="","",ROUND(SUMIF(合同片区,$A70,维保合同!$L$5:$L$304),2))</f>
        <v/>
      </c>
      <c r="E70" s="57" t="str">
        <f aca="false">IF($A70="","",ROUND(SUMIF(合同片区,$A70,维保合同!$T$5:$T$304),2))</f>
        <v/>
      </c>
      <c r="F70" s="57" t="str">
        <f aca="false">IF($A70="","",ROUND(SUMIF(合同片区,$A70,维保合同!$U$5:$U$304),2))</f>
        <v/>
      </c>
      <c r="G70" s="41" t="str">
        <f aca="false">IF($A70="","",ROUND(SUMIF(合同片区,$A70,维保合同!$V$5:$V$304),2))</f>
        <v/>
      </c>
    </row>
    <row r="71" customFormat="false" ht="15" hidden="false" customHeight="false" outlineLevel="0" collapsed="false">
      <c r="A71" s="16" t="str">
        <f aca="false">IF(基础资料!$A19="","",基础资料!$A19)</f>
        <v/>
      </c>
      <c r="B71" s="62" t="str">
        <f aca="false">IF($A71="","",COUNTIF(合同片区,$A71))</f>
        <v/>
      </c>
      <c r="C71" s="62" t="str">
        <f aca="false">IF($A71="","",SUMIF(合同片区,$A71,合同台量))</f>
        <v/>
      </c>
      <c r="D71" s="57" t="str">
        <f aca="false">IF($A71="","",ROUND(SUMIF(合同片区,$A71,维保合同!$L$5:$L$304),2))</f>
        <v/>
      </c>
      <c r="E71" s="57" t="str">
        <f aca="false">IF($A71="","",ROUND(SUMIF(合同片区,$A71,维保合同!$T$5:$T$304),2))</f>
        <v/>
      </c>
      <c r="F71" s="57" t="str">
        <f aca="false">IF($A71="","",ROUND(SUMIF(合同片区,$A71,维保合同!$U$5:$U$304),2))</f>
        <v/>
      </c>
      <c r="G71" s="41" t="str">
        <f aca="false">IF($A71="","",ROUND(SUMIF(合同片区,$A71,维保合同!$V$5:$V$304),2))</f>
        <v/>
      </c>
    </row>
    <row r="72" customFormat="false" ht="15" hidden="false" customHeight="false" outlineLevel="0" collapsed="false">
      <c r="A72" s="16" t="str">
        <f aca="false">IF(基础资料!$A20="","",基础资料!$A20)</f>
        <v/>
      </c>
      <c r="B72" s="62" t="str">
        <f aca="false">IF($A72="","",COUNTIF(合同片区,$A72))</f>
        <v/>
      </c>
      <c r="C72" s="62" t="str">
        <f aca="false">IF($A72="","",SUMIF(合同片区,$A72,合同台量))</f>
        <v/>
      </c>
      <c r="D72" s="57" t="str">
        <f aca="false">IF($A72="","",ROUND(SUMIF(合同片区,$A72,维保合同!$L$5:$L$304),2))</f>
        <v/>
      </c>
      <c r="E72" s="57" t="str">
        <f aca="false">IF($A72="","",ROUND(SUMIF(合同片区,$A72,维保合同!$T$5:$T$304),2))</f>
        <v/>
      </c>
      <c r="F72" s="57" t="str">
        <f aca="false">IF($A72="","",ROUND(SUMIF(合同片区,$A72,维保合同!$U$5:$U$304),2))</f>
        <v/>
      </c>
      <c r="G72" s="41" t="str">
        <f aca="false">IF($A72="","",ROUND(SUMIF(合同片区,$A72,维保合同!$V$5:$V$304),2))</f>
        <v/>
      </c>
    </row>
    <row r="73" customFormat="false" ht="15" hidden="false" customHeight="false" outlineLevel="0" collapsed="false">
      <c r="A73" s="16" t="str">
        <f aca="false">IF(基础资料!$A21="","",基础资料!$A21)</f>
        <v/>
      </c>
      <c r="B73" s="62" t="str">
        <f aca="false">IF($A73="","",COUNTIF(合同片区,$A73))</f>
        <v/>
      </c>
      <c r="C73" s="62" t="str">
        <f aca="false">IF($A73="","",SUMIF(合同片区,$A73,合同台量))</f>
        <v/>
      </c>
      <c r="D73" s="57" t="str">
        <f aca="false">IF($A73="","",ROUND(SUMIF(合同片区,$A73,维保合同!$L$5:$L$304),2))</f>
        <v/>
      </c>
      <c r="E73" s="57" t="str">
        <f aca="false">IF($A73="","",ROUND(SUMIF(合同片区,$A73,维保合同!$T$5:$T$304),2))</f>
        <v/>
      </c>
      <c r="F73" s="57" t="str">
        <f aca="false">IF($A73="","",ROUND(SUMIF(合同片区,$A73,维保合同!$U$5:$U$304),2))</f>
        <v/>
      </c>
      <c r="G73" s="41" t="str">
        <f aca="false">IF($A73="","",ROUND(SUMIF(合同片区,$A73,维保合同!$V$5:$V$304),2))</f>
        <v/>
      </c>
    </row>
    <row r="74" customFormat="false" ht="15" hidden="false" customHeight="false" outlineLevel="0" collapsed="false">
      <c r="A74" s="16" t="str">
        <f aca="false">IF(基础资料!$A22="","",基础资料!$A22)</f>
        <v/>
      </c>
      <c r="B74" s="62" t="str">
        <f aca="false">IF($A74="","",COUNTIF(合同片区,$A74))</f>
        <v/>
      </c>
      <c r="C74" s="62" t="str">
        <f aca="false">IF($A74="","",SUMIF(合同片区,$A74,合同台量))</f>
        <v/>
      </c>
      <c r="D74" s="57" t="str">
        <f aca="false">IF($A74="","",ROUND(SUMIF(合同片区,$A74,维保合同!$L$5:$L$304),2))</f>
        <v/>
      </c>
      <c r="E74" s="57" t="str">
        <f aca="false">IF($A74="","",ROUND(SUMIF(合同片区,$A74,维保合同!$T$5:$T$304),2))</f>
        <v/>
      </c>
      <c r="F74" s="57" t="str">
        <f aca="false">IF($A74="","",ROUND(SUMIF(合同片区,$A74,维保合同!$U$5:$U$304),2))</f>
        <v/>
      </c>
      <c r="G74" s="41" t="str">
        <f aca="false">IF($A74="","",ROUND(SUMIF(合同片区,$A74,维保合同!$V$5:$V$304),2))</f>
        <v/>
      </c>
    </row>
    <row r="75" customFormat="false" ht="15" hidden="false" customHeight="false" outlineLevel="0" collapsed="false">
      <c r="A75" s="16" t="str">
        <f aca="false">IF(基础资料!$A23="","",基础资料!$A23)</f>
        <v/>
      </c>
      <c r="B75" s="62" t="str">
        <f aca="false">IF($A75="","",COUNTIF(合同片区,$A75))</f>
        <v/>
      </c>
      <c r="C75" s="62" t="str">
        <f aca="false">IF($A75="","",SUMIF(合同片区,$A75,合同台量))</f>
        <v/>
      </c>
      <c r="D75" s="57" t="str">
        <f aca="false">IF($A75="","",ROUND(SUMIF(合同片区,$A75,维保合同!$L$5:$L$304),2))</f>
        <v/>
      </c>
      <c r="E75" s="57" t="str">
        <f aca="false">IF($A75="","",ROUND(SUMIF(合同片区,$A75,维保合同!$T$5:$T$304),2))</f>
        <v/>
      </c>
      <c r="F75" s="57" t="str">
        <f aca="false">IF($A75="","",ROUND(SUMIF(合同片区,$A75,维保合同!$U$5:$U$304),2))</f>
        <v/>
      </c>
      <c r="G75" s="41" t="str">
        <f aca="false">IF($A75="","",ROUND(SUMIF(合同片区,$A75,维保合同!$V$5:$V$304),2))</f>
        <v/>
      </c>
    </row>
    <row r="76" customFormat="false" ht="15" hidden="false" customHeight="false" outlineLevel="0" collapsed="false">
      <c r="A76" s="16" t="str">
        <f aca="false">IF(基础资料!$A24="","",基础资料!$A24)</f>
        <v/>
      </c>
      <c r="B76" s="62" t="str">
        <f aca="false">IF($A76="","",COUNTIF(合同片区,$A76))</f>
        <v/>
      </c>
      <c r="C76" s="62" t="str">
        <f aca="false">IF($A76="","",SUMIF(合同片区,$A76,合同台量))</f>
        <v/>
      </c>
      <c r="D76" s="57" t="str">
        <f aca="false">IF($A76="","",ROUND(SUMIF(合同片区,$A76,维保合同!$L$5:$L$304),2))</f>
        <v/>
      </c>
      <c r="E76" s="57" t="str">
        <f aca="false">IF($A76="","",ROUND(SUMIF(合同片区,$A76,维保合同!$T$5:$T$304),2))</f>
        <v/>
      </c>
      <c r="F76" s="57" t="str">
        <f aca="false">IF($A76="","",ROUND(SUMIF(合同片区,$A76,维保合同!$U$5:$U$304),2))</f>
        <v/>
      </c>
      <c r="G76" s="41" t="str">
        <f aca="false">IF($A76="","",ROUND(SUMIF(合同片区,$A76,维保合同!$V$5:$V$304),2))</f>
        <v/>
      </c>
    </row>
    <row r="77" customFormat="false" ht="15" hidden="false" customHeight="false" outlineLevel="0" collapsed="false">
      <c r="A77" s="16" t="str">
        <f aca="false">IF(基础资料!$A25="","",基础资料!$A25)</f>
        <v/>
      </c>
      <c r="B77" s="62" t="str">
        <f aca="false">IF($A77="","",COUNTIF(合同片区,$A77))</f>
        <v/>
      </c>
      <c r="C77" s="62" t="str">
        <f aca="false">IF($A77="","",SUMIF(合同片区,$A77,合同台量))</f>
        <v/>
      </c>
      <c r="D77" s="57" t="str">
        <f aca="false">IF($A77="","",ROUND(SUMIF(合同片区,$A77,维保合同!$L$5:$L$304),2))</f>
        <v/>
      </c>
      <c r="E77" s="57" t="str">
        <f aca="false">IF($A77="","",ROUND(SUMIF(合同片区,$A77,维保合同!$T$5:$T$304),2))</f>
        <v/>
      </c>
      <c r="F77" s="57" t="str">
        <f aca="false">IF($A77="","",ROUND(SUMIF(合同片区,$A77,维保合同!$U$5:$U$304),2))</f>
        <v/>
      </c>
      <c r="G77" s="41" t="str">
        <f aca="false">IF($A77="","",ROUND(SUMIF(合同片区,$A77,维保合同!$V$5:$V$304),2))</f>
        <v/>
      </c>
    </row>
    <row r="78" customFormat="false" ht="15" hidden="false" customHeight="false" outlineLevel="0" collapsed="false">
      <c r="A78" s="16" t="str">
        <f aca="false">IF(基础资料!$A26="","",基础资料!$A26)</f>
        <v/>
      </c>
      <c r="B78" s="62" t="str">
        <f aca="false">IF($A78="","",COUNTIF(合同片区,$A78))</f>
        <v/>
      </c>
      <c r="C78" s="62" t="str">
        <f aca="false">IF($A78="","",SUMIF(合同片区,$A78,合同台量))</f>
        <v/>
      </c>
      <c r="D78" s="57" t="str">
        <f aca="false">IF($A78="","",ROUND(SUMIF(合同片区,$A78,维保合同!$L$5:$L$304),2))</f>
        <v/>
      </c>
      <c r="E78" s="57" t="str">
        <f aca="false">IF($A78="","",ROUND(SUMIF(合同片区,$A78,维保合同!$T$5:$T$304),2))</f>
        <v/>
      </c>
      <c r="F78" s="57" t="str">
        <f aca="false">IF($A78="","",ROUND(SUMIF(合同片区,$A78,维保合同!$U$5:$U$304),2))</f>
        <v/>
      </c>
      <c r="G78" s="41" t="str">
        <f aca="false">IF($A78="","",ROUND(SUMIF(合同片区,$A78,维保合同!$V$5:$V$304),2))</f>
        <v/>
      </c>
    </row>
    <row r="79" customFormat="false" ht="15" hidden="false" customHeight="false" outlineLevel="0" collapsed="false">
      <c r="A79" s="16" t="str">
        <f aca="false">IF(基础资料!$A27="","",基础资料!$A27)</f>
        <v/>
      </c>
      <c r="B79" s="62" t="str">
        <f aca="false">IF($A79="","",COUNTIF(合同片区,$A79))</f>
        <v/>
      </c>
      <c r="C79" s="62" t="str">
        <f aca="false">IF($A79="","",SUMIF(合同片区,$A79,合同台量))</f>
        <v/>
      </c>
      <c r="D79" s="57" t="str">
        <f aca="false">IF($A79="","",ROUND(SUMIF(合同片区,$A79,维保合同!$L$5:$L$304),2))</f>
        <v/>
      </c>
      <c r="E79" s="57" t="str">
        <f aca="false">IF($A79="","",ROUND(SUMIF(合同片区,$A79,维保合同!$T$5:$T$304),2))</f>
        <v/>
      </c>
      <c r="F79" s="57" t="str">
        <f aca="false">IF($A79="","",ROUND(SUMIF(合同片区,$A79,维保合同!$U$5:$U$304),2))</f>
        <v/>
      </c>
      <c r="G79" s="41" t="str">
        <f aca="false">IF($A79="","",ROUND(SUMIF(合同片区,$A79,维保合同!$V$5:$V$304),2))</f>
        <v/>
      </c>
    </row>
    <row r="80" customFormat="false" ht="15" hidden="false" customHeight="false" outlineLevel="0" collapsed="false">
      <c r="A80" s="16" t="str">
        <f aca="false">IF(基础资料!$A28="","",基础资料!$A28)</f>
        <v/>
      </c>
      <c r="B80" s="62" t="str">
        <f aca="false">IF($A80="","",COUNTIF(合同片区,$A80))</f>
        <v/>
      </c>
      <c r="C80" s="62" t="str">
        <f aca="false">IF($A80="","",SUMIF(合同片区,$A80,合同台量))</f>
        <v/>
      </c>
      <c r="D80" s="57" t="str">
        <f aca="false">IF($A80="","",ROUND(SUMIF(合同片区,$A80,维保合同!$L$5:$L$304),2))</f>
        <v/>
      </c>
      <c r="E80" s="57" t="str">
        <f aca="false">IF($A80="","",ROUND(SUMIF(合同片区,$A80,维保合同!$T$5:$T$304),2))</f>
        <v/>
      </c>
      <c r="F80" s="57" t="str">
        <f aca="false">IF($A80="","",ROUND(SUMIF(合同片区,$A80,维保合同!$U$5:$U$304),2))</f>
        <v/>
      </c>
      <c r="G80" s="41" t="str">
        <f aca="false">IF($A80="","",ROUND(SUMIF(合同片区,$A80,维保合同!$V$5:$V$304),2))</f>
        <v/>
      </c>
    </row>
    <row r="81" customFormat="false" ht="15" hidden="false" customHeight="false" outlineLevel="0" collapsed="false">
      <c r="A81" s="16" t="str">
        <f aca="false">IF(基础资料!$A29="","",基础资料!$A29)</f>
        <v/>
      </c>
      <c r="B81" s="62" t="str">
        <f aca="false">IF($A81="","",COUNTIF(合同片区,$A81))</f>
        <v/>
      </c>
      <c r="C81" s="62" t="str">
        <f aca="false">IF($A81="","",SUMIF(合同片区,$A81,合同台量))</f>
        <v/>
      </c>
      <c r="D81" s="57" t="str">
        <f aca="false">IF($A81="","",ROUND(SUMIF(合同片区,$A81,维保合同!$L$5:$L$304),2))</f>
        <v/>
      </c>
      <c r="E81" s="57" t="str">
        <f aca="false">IF($A81="","",ROUND(SUMIF(合同片区,$A81,维保合同!$T$5:$T$304),2))</f>
        <v/>
      </c>
      <c r="F81" s="57" t="str">
        <f aca="false">IF($A81="","",ROUND(SUMIF(合同片区,$A81,维保合同!$U$5:$U$304),2))</f>
        <v/>
      </c>
      <c r="G81" s="41" t="str">
        <f aca="false">IF($A81="","",ROUND(SUMIF(合同片区,$A81,维保合同!$V$5:$V$304),2))</f>
        <v/>
      </c>
    </row>
    <row r="82" customFormat="false" ht="15" hidden="false" customHeight="false" outlineLevel="0" collapsed="false">
      <c r="A82" s="16" t="str">
        <f aca="false">IF(基础资料!$A30="","",基础资料!$A30)</f>
        <v/>
      </c>
      <c r="B82" s="62" t="str">
        <f aca="false">IF($A82="","",COUNTIF(合同片区,$A82))</f>
        <v/>
      </c>
      <c r="C82" s="62" t="str">
        <f aca="false">IF($A82="","",SUMIF(合同片区,$A82,合同台量))</f>
        <v/>
      </c>
      <c r="D82" s="57" t="str">
        <f aca="false">IF($A82="","",ROUND(SUMIF(合同片区,$A82,维保合同!$L$5:$L$304),2))</f>
        <v/>
      </c>
      <c r="E82" s="57" t="str">
        <f aca="false">IF($A82="","",ROUND(SUMIF(合同片区,$A82,维保合同!$T$5:$T$304),2))</f>
        <v/>
      </c>
      <c r="F82" s="57" t="str">
        <f aca="false">IF($A82="","",ROUND(SUMIF(合同片区,$A82,维保合同!$U$5:$U$304),2))</f>
        <v/>
      </c>
      <c r="G82" s="41" t="str">
        <f aca="false">IF($A82="","",ROUND(SUMIF(合同片区,$A82,维保合同!$V$5:$V$304),2))</f>
        <v/>
      </c>
    </row>
    <row r="83" customFormat="false" ht="15" hidden="false" customHeight="false" outlineLevel="0" collapsed="false">
      <c r="A83" s="16" t="str">
        <f aca="false">IF(基础资料!$A31="","",基础资料!$A31)</f>
        <v/>
      </c>
      <c r="B83" s="62" t="str">
        <f aca="false">IF($A83="","",COUNTIF(合同片区,$A83))</f>
        <v/>
      </c>
      <c r="C83" s="62" t="str">
        <f aca="false">IF($A83="","",SUMIF(合同片区,$A83,合同台量))</f>
        <v/>
      </c>
      <c r="D83" s="57" t="str">
        <f aca="false">IF($A83="","",ROUND(SUMIF(合同片区,$A83,维保合同!$L$5:$L$304),2))</f>
        <v/>
      </c>
      <c r="E83" s="57" t="str">
        <f aca="false">IF($A83="","",ROUND(SUMIF(合同片区,$A83,维保合同!$T$5:$T$304),2))</f>
        <v/>
      </c>
      <c r="F83" s="57" t="str">
        <f aca="false">IF($A83="","",ROUND(SUMIF(合同片区,$A83,维保合同!$U$5:$U$304),2))</f>
        <v/>
      </c>
      <c r="G83" s="41" t="str">
        <f aca="false">IF($A83="","",ROUND(SUMIF(合同片区,$A83,维保合同!$V$5:$V$304),2))</f>
        <v/>
      </c>
    </row>
    <row r="84" customFormat="false" ht="15" hidden="false" customHeight="false" outlineLevel="0" collapsed="false">
      <c r="A84" s="16" t="str">
        <f aca="false">IF(基础资料!$A32="","",基础资料!$A32)</f>
        <v/>
      </c>
      <c r="B84" s="62" t="str">
        <f aca="false">IF($A84="","",COUNTIF(合同片区,$A84))</f>
        <v/>
      </c>
      <c r="C84" s="62" t="str">
        <f aca="false">IF($A84="","",SUMIF(合同片区,$A84,合同台量))</f>
        <v/>
      </c>
      <c r="D84" s="57" t="str">
        <f aca="false">IF($A84="","",ROUND(SUMIF(合同片区,$A84,维保合同!$L$5:$L$304),2))</f>
        <v/>
      </c>
      <c r="E84" s="57" t="str">
        <f aca="false">IF($A84="","",ROUND(SUMIF(合同片区,$A84,维保合同!$T$5:$T$304),2))</f>
        <v/>
      </c>
      <c r="F84" s="57" t="str">
        <f aca="false">IF($A84="","",ROUND(SUMIF(合同片区,$A84,维保合同!$U$5:$U$304),2))</f>
        <v/>
      </c>
      <c r="G84" s="41" t="str">
        <f aca="false">IF($A84="","",ROUND(SUMIF(合同片区,$A84,维保合同!$V$5:$V$304),2))</f>
        <v/>
      </c>
    </row>
    <row r="85" customFormat="false" ht="15" hidden="false" customHeight="false" outlineLevel="0" collapsed="false">
      <c r="A85" s="16" t="str">
        <f aca="false">IF(基础资料!$A33="","",基础资料!$A33)</f>
        <v/>
      </c>
      <c r="B85" s="62" t="str">
        <f aca="false">IF($A85="","",COUNTIF(合同片区,$A85))</f>
        <v/>
      </c>
      <c r="C85" s="62" t="str">
        <f aca="false">IF($A85="","",SUMIF(合同片区,$A85,合同台量))</f>
        <v/>
      </c>
      <c r="D85" s="57" t="str">
        <f aca="false">IF($A85="","",ROUND(SUMIF(合同片区,$A85,维保合同!$L$5:$L$304),2))</f>
        <v/>
      </c>
      <c r="E85" s="57" t="str">
        <f aca="false">IF($A85="","",ROUND(SUMIF(合同片区,$A85,维保合同!$T$5:$T$304),2))</f>
        <v/>
      </c>
      <c r="F85" s="57" t="str">
        <f aca="false">IF($A85="","",ROUND(SUMIF(合同片区,$A85,维保合同!$U$5:$U$304),2))</f>
        <v/>
      </c>
      <c r="G85" s="41" t="str">
        <f aca="false">IF($A85="","",ROUND(SUMIF(合同片区,$A85,维保合同!$V$5:$V$304),2))</f>
        <v/>
      </c>
    </row>
    <row r="86" customFormat="false" ht="15" hidden="false" customHeight="false" outlineLevel="0" collapsed="false">
      <c r="A86" s="16" t="str">
        <f aca="false">IF(基础资料!$A34="","",基础资料!$A34)</f>
        <v/>
      </c>
      <c r="B86" s="62" t="str">
        <f aca="false">IF($A86="","",COUNTIF(合同片区,$A86))</f>
        <v/>
      </c>
      <c r="C86" s="62" t="str">
        <f aca="false">IF($A86="","",SUMIF(合同片区,$A86,合同台量))</f>
        <v/>
      </c>
      <c r="D86" s="57" t="str">
        <f aca="false">IF($A86="","",ROUND(SUMIF(合同片区,$A86,维保合同!$L$5:$L$304),2))</f>
        <v/>
      </c>
      <c r="E86" s="57" t="str">
        <f aca="false">IF($A86="","",ROUND(SUMIF(合同片区,$A86,维保合同!$T$5:$T$304),2))</f>
        <v/>
      </c>
      <c r="F86" s="57" t="str">
        <f aca="false">IF($A86="","",ROUND(SUMIF(合同片区,$A86,维保合同!$U$5:$U$304),2))</f>
        <v/>
      </c>
      <c r="G86" s="41" t="str">
        <f aca="false">IF($A86="","",ROUND(SUMIF(合同片区,$A86,维保合同!$V$5:$V$304),2))</f>
        <v/>
      </c>
    </row>
    <row r="87" customFormat="false" ht="15" hidden="false" customHeight="false" outlineLevel="0" collapsed="false">
      <c r="A87" s="56" t="s">
        <v>570</v>
      </c>
      <c r="B87" s="7" t="n">
        <f aca="false">COUNTIF(合同键,"?*")-SUM($B$57:$B$86)</f>
        <v>0</v>
      </c>
      <c r="C87" s="7" t="n">
        <f aca="false">ROUND(维保合同!$K$3-SUM($C$57:$C$86),2)</f>
        <v>0</v>
      </c>
      <c r="D87" s="10" t="n">
        <f aca="false">ROUND(维保合同!$L$3-SUM($D$57:$D$86),2)</f>
        <v>0</v>
      </c>
      <c r="E87" s="10" t="n">
        <f aca="false">ROUND(维保合同!$T$3-SUM($E$57:$E$86),2)</f>
        <v>0</v>
      </c>
      <c r="F87" s="10" t="n">
        <f aca="false">ROUND(维保合同!$U$3-SUM($F$57:$F$86),2)</f>
        <v>0</v>
      </c>
      <c r="G87" s="10" t="n">
        <f aca="false">ROUND(维保合同!$V$3-SUM($G$57:$G$86),2)</f>
        <v>0</v>
      </c>
    </row>
    <row r="88" customFormat="false" ht="15" hidden="false" customHeight="false" outlineLevel="0" collapsed="false">
      <c r="A88" s="59" t="s">
        <v>566</v>
      </c>
      <c r="B88" s="28" t="n">
        <f aca="false">ROUND(SUM($B$57:$B$87),2)</f>
        <v>10</v>
      </c>
      <c r="C88" s="28" t="n">
        <f aca="false">ROUND(SUM($C$57:$C$87),2)</f>
        <v>22</v>
      </c>
      <c r="D88" s="36" t="n">
        <f aca="false">ROUND(SUM($D$57:$D$87),2)</f>
        <v>92400</v>
      </c>
      <c r="E88" s="36" t="n">
        <f aca="false">ROUND(SUM($E$57:$E$87),2)</f>
        <v>99900</v>
      </c>
      <c r="F88" s="36" t="n">
        <f aca="false">ROUND(SUM($F$57:$F$87),2)</f>
        <v>61250</v>
      </c>
      <c r="G88" s="36" t="n">
        <f aca="false">ROUND(SUM($G$57:$G$87),2)</f>
        <v>44650</v>
      </c>
    </row>
    <row r="90" customFormat="false" ht="15" hidden="false" customHeight="true" outlineLevel="0" collapsed="false">
      <c r="A90" s="17" t="s">
        <v>571</v>
      </c>
      <c r="B90" s="17"/>
      <c r="C90" s="17"/>
      <c r="D90" s="17"/>
      <c r="E90" s="17"/>
      <c r="F90" s="17"/>
      <c r="G90" s="17"/>
      <c r="H90" s="17"/>
      <c r="I90" s="17"/>
      <c r="J90" s="17"/>
      <c r="K90" s="17"/>
    </row>
    <row r="91" customFormat="false" ht="25.5" hidden="false" customHeight="true" outlineLevel="0" collapsed="false">
      <c r="A91" s="46" t="s">
        <v>128</v>
      </c>
      <c r="B91" s="46" t="s">
        <v>572</v>
      </c>
      <c r="C91" s="46" t="s">
        <v>573</v>
      </c>
      <c r="D91" s="46" t="s">
        <v>564</v>
      </c>
      <c r="E91" s="46"/>
      <c r="F91" s="46"/>
      <c r="G91" s="46"/>
      <c r="H91" s="46"/>
      <c r="I91" s="46"/>
      <c r="J91" s="46"/>
      <c r="K91" s="46"/>
    </row>
    <row r="92" customFormat="false" ht="15" hidden="false" customHeight="false" outlineLevel="0" collapsed="false">
      <c r="A92" s="16" t="str">
        <f aca="false">IF(基础资料!$P5="","",基础资料!$P5)</f>
        <v>增值税专用发票</v>
      </c>
      <c r="B92" s="53" t="str">
        <f aca="false">IF($A92="","",基础资料!$Q5)</f>
        <v>发票</v>
      </c>
      <c r="C92" s="57" t="n">
        <f aca="false">IF($A92="","",ROUND(SUMIFS(收款金额,收款票据,$A92,收款年度,管理年度),2))</f>
        <v>38750</v>
      </c>
      <c r="D92" s="60" t="n">
        <f aca="false">IF($A92="","",IFERROR($C92/$C$123,""))</f>
        <v>0.63265306122449</v>
      </c>
    </row>
    <row r="93" customFormat="false" ht="15" hidden="false" customHeight="false" outlineLevel="0" collapsed="false">
      <c r="A93" s="16" t="str">
        <f aca="false">IF(基础资料!$P6="","",基础资料!$P6)</f>
        <v>增值税普通发票</v>
      </c>
      <c r="B93" s="53" t="str">
        <f aca="false">IF($A93="","",基础资料!$Q6)</f>
        <v>发票</v>
      </c>
      <c r="C93" s="57" t="n">
        <f aca="false">IF($A93="","",ROUND(SUMIFS(收款金额,收款票据,$A93,收款年度,管理年度),2))</f>
        <v>14000</v>
      </c>
      <c r="D93" s="60" t="n">
        <f aca="false">IF($A93="","",IFERROR($C93/$C$123,""))</f>
        <v>0.228571428571429</v>
      </c>
    </row>
    <row r="94" customFormat="false" ht="15" hidden="false" customHeight="false" outlineLevel="0" collapsed="false">
      <c r="A94" s="16" t="str">
        <f aca="false">IF(基础资料!$P7="","",基础资料!$P7)</f>
        <v>电子发票</v>
      </c>
      <c r="B94" s="53" t="str">
        <f aca="false">IF($A94="","",基础资料!$Q7)</f>
        <v>发票</v>
      </c>
      <c r="C94" s="57" t="n">
        <f aca="false">IF($A94="","",ROUND(SUMIFS(收款金额,收款票据,$A94,收款年度,管理年度),2))</f>
        <v>3900</v>
      </c>
      <c r="D94" s="60" t="n">
        <f aca="false">IF($A94="","",IFERROR($C94/$C$123,""))</f>
        <v>0.0636734693877551</v>
      </c>
    </row>
    <row r="95" customFormat="false" ht="15" hidden="false" customHeight="false" outlineLevel="0" collapsed="false">
      <c r="A95" s="16" t="str">
        <f aca="false">IF(基础资料!$P8="","",基础资料!$P8)</f>
        <v>收据</v>
      </c>
      <c r="B95" s="53" t="str">
        <f aca="false">IF($A95="","",基础资料!$Q8)</f>
        <v>收据</v>
      </c>
      <c r="C95" s="57" t="n">
        <f aca="false">IF($A95="","",ROUND(SUMIFS(收款金额,收款票据,$A95,收款年度,管理年度),2))</f>
        <v>2800</v>
      </c>
      <c r="D95" s="60" t="n">
        <f aca="false">IF($A95="","",IFERROR($C95/$C$123,""))</f>
        <v>0.0457142857142857</v>
      </c>
    </row>
    <row r="96" customFormat="false" ht="15" hidden="false" customHeight="false" outlineLevel="0" collapsed="false">
      <c r="A96" s="16" t="str">
        <f aca="false">IF(基础资料!$P9="","",基础资料!$P9)</f>
        <v>无票</v>
      </c>
      <c r="B96" s="53" t="str">
        <f aca="false">IF($A96="","",基础资料!$Q9)</f>
        <v>现金无票</v>
      </c>
      <c r="C96" s="57" t="n">
        <f aca="false">IF($A96="","",ROUND(SUMIFS(收款金额,收款票据,$A96,收款年度,管理年度),2))</f>
        <v>1800</v>
      </c>
      <c r="D96" s="60" t="n">
        <f aca="false">IF($A96="","",IFERROR($C96/$C$123,""))</f>
        <v>0.0293877551020408</v>
      </c>
    </row>
    <row r="97" customFormat="false" ht="15" hidden="false" customHeight="false" outlineLevel="0" collapsed="false">
      <c r="A97" s="16" t="str">
        <f aca="false">IF(基础资料!$P10="","",基础资料!$P10)</f>
        <v/>
      </c>
      <c r="B97" s="53" t="str">
        <f aca="false">IF($A97="","",基础资料!$Q10)</f>
        <v/>
      </c>
      <c r="C97" s="57" t="str">
        <f aca="false">IF($A97="","",ROUND(SUMIFS(收款金额,收款票据,$A97,收款年度,管理年度),2))</f>
        <v/>
      </c>
      <c r="D97" s="60" t="str">
        <f aca="false">IF($A97="","",IFERROR($C97/$C$123,""))</f>
        <v/>
      </c>
    </row>
    <row r="98" customFormat="false" ht="15" hidden="false" customHeight="false" outlineLevel="0" collapsed="false">
      <c r="A98" s="16" t="str">
        <f aca="false">IF(基础资料!$P11="","",基础资料!$P11)</f>
        <v/>
      </c>
      <c r="B98" s="53" t="str">
        <f aca="false">IF($A98="","",基础资料!$Q11)</f>
        <v/>
      </c>
      <c r="C98" s="57" t="str">
        <f aca="false">IF($A98="","",ROUND(SUMIFS(收款金额,收款票据,$A98,收款年度,管理年度),2))</f>
        <v/>
      </c>
      <c r="D98" s="60" t="str">
        <f aca="false">IF($A98="","",IFERROR($C98/$C$123,""))</f>
        <v/>
      </c>
    </row>
    <row r="99" customFormat="false" ht="15" hidden="false" customHeight="false" outlineLevel="0" collapsed="false">
      <c r="A99" s="16" t="str">
        <f aca="false">IF(基础资料!$P12="","",基础资料!$P12)</f>
        <v/>
      </c>
      <c r="B99" s="53" t="str">
        <f aca="false">IF($A99="","",基础资料!$Q12)</f>
        <v/>
      </c>
      <c r="C99" s="57" t="str">
        <f aca="false">IF($A99="","",ROUND(SUMIFS(收款金额,收款票据,$A99,收款年度,管理年度),2))</f>
        <v/>
      </c>
      <c r="D99" s="60" t="str">
        <f aca="false">IF($A99="","",IFERROR($C99/$C$123,""))</f>
        <v/>
      </c>
    </row>
    <row r="100" customFormat="false" ht="15" hidden="false" customHeight="false" outlineLevel="0" collapsed="false">
      <c r="A100" s="16" t="str">
        <f aca="false">IF(基础资料!$P13="","",基础资料!$P13)</f>
        <v/>
      </c>
      <c r="B100" s="53" t="str">
        <f aca="false">IF($A100="","",基础资料!$Q13)</f>
        <v/>
      </c>
      <c r="C100" s="57" t="str">
        <f aca="false">IF($A100="","",ROUND(SUMIFS(收款金额,收款票据,$A100,收款年度,管理年度),2))</f>
        <v/>
      </c>
      <c r="D100" s="60" t="str">
        <f aca="false">IF($A100="","",IFERROR($C100/$C$123,""))</f>
        <v/>
      </c>
    </row>
    <row r="101" customFormat="false" ht="15" hidden="false" customHeight="false" outlineLevel="0" collapsed="false">
      <c r="A101" s="16" t="str">
        <f aca="false">IF(基础资料!$P14="","",基础资料!$P14)</f>
        <v/>
      </c>
      <c r="B101" s="53" t="str">
        <f aca="false">IF($A101="","",基础资料!$Q14)</f>
        <v/>
      </c>
      <c r="C101" s="57" t="str">
        <f aca="false">IF($A101="","",ROUND(SUMIFS(收款金额,收款票据,$A101,收款年度,管理年度),2))</f>
        <v/>
      </c>
      <c r="D101" s="60" t="str">
        <f aca="false">IF($A101="","",IFERROR($C101/$C$123,""))</f>
        <v/>
      </c>
    </row>
    <row r="102" customFormat="false" ht="15" hidden="false" customHeight="false" outlineLevel="0" collapsed="false">
      <c r="A102" s="16" t="str">
        <f aca="false">IF(基础资料!$P15="","",基础资料!$P15)</f>
        <v/>
      </c>
      <c r="B102" s="53" t="str">
        <f aca="false">IF($A102="","",基础资料!$Q15)</f>
        <v/>
      </c>
      <c r="C102" s="57" t="str">
        <f aca="false">IF($A102="","",ROUND(SUMIFS(收款金额,收款票据,$A102,收款年度,管理年度),2))</f>
        <v/>
      </c>
      <c r="D102" s="60" t="str">
        <f aca="false">IF($A102="","",IFERROR($C102/$C$123,""))</f>
        <v/>
      </c>
    </row>
    <row r="103" customFormat="false" ht="15" hidden="false" customHeight="false" outlineLevel="0" collapsed="false">
      <c r="A103" s="16" t="str">
        <f aca="false">IF(基础资料!$P16="","",基础资料!$P16)</f>
        <v/>
      </c>
      <c r="B103" s="53" t="str">
        <f aca="false">IF($A103="","",基础资料!$Q16)</f>
        <v/>
      </c>
      <c r="C103" s="57" t="str">
        <f aca="false">IF($A103="","",ROUND(SUMIFS(收款金额,收款票据,$A103,收款年度,管理年度),2))</f>
        <v/>
      </c>
      <c r="D103" s="60" t="str">
        <f aca="false">IF($A103="","",IFERROR($C103/$C$123,""))</f>
        <v/>
      </c>
    </row>
    <row r="104" customFormat="false" ht="15" hidden="false" customHeight="false" outlineLevel="0" collapsed="false">
      <c r="A104" s="16" t="str">
        <f aca="false">IF(基础资料!$P17="","",基础资料!$P17)</f>
        <v/>
      </c>
      <c r="B104" s="53" t="str">
        <f aca="false">IF($A104="","",基础资料!$Q17)</f>
        <v/>
      </c>
      <c r="C104" s="57" t="str">
        <f aca="false">IF($A104="","",ROUND(SUMIFS(收款金额,收款票据,$A104,收款年度,管理年度),2))</f>
        <v/>
      </c>
      <c r="D104" s="60" t="str">
        <f aca="false">IF($A104="","",IFERROR($C104/$C$123,""))</f>
        <v/>
      </c>
    </row>
    <row r="105" customFormat="false" ht="15" hidden="false" customHeight="false" outlineLevel="0" collapsed="false">
      <c r="A105" s="16" t="str">
        <f aca="false">IF(基础资料!$P18="","",基础资料!$P18)</f>
        <v/>
      </c>
      <c r="B105" s="53" t="str">
        <f aca="false">IF($A105="","",基础资料!$Q18)</f>
        <v/>
      </c>
      <c r="C105" s="57" t="str">
        <f aca="false">IF($A105="","",ROUND(SUMIFS(收款金额,收款票据,$A105,收款年度,管理年度),2))</f>
        <v/>
      </c>
      <c r="D105" s="60" t="str">
        <f aca="false">IF($A105="","",IFERROR($C105/$C$123,""))</f>
        <v/>
      </c>
    </row>
    <row r="106" customFormat="false" ht="15" hidden="false" customHeight="false" outlineLevel="0" collapsed="false">
      <c r="A106" s="16" t="str">
        <f aca="false">IF(基础资料!$P19="","",基础资料!$P19)</f>
        <v/>
      </c>
      <c r="B106" s="53" t="str">
        <f aca="false">IF($A106="","",基础资料!$Q19)</f>
        <v/>
      </c>
      <c r="C106" s="57" t="str">
        <f aca="false">IF($A106="","",ROUND(SUMIFS(收款金额,收款票据,$A106,收款年度,管理年度),2))</f>
        <v/>
      </c>
      <c r="D106" s="60" t="str">
        <f aca="false">IF($A106="","",IFERROR($C106/$C$123,""))</f>
        <v/>
      </c>
    </row>
    <row r="107" customFormat="false" ht="15" hidden="false" customHeight="false" outlineLevel="0" collapsed="false">
      <c r="A107" s="16" t="str">
        <f aca="false">IF(基础资料!$P20="","",基础资料!$P20)</f>
        <v/>
      </c>
      <c r="B107" s="53" t="str">
        <f aca="false">IF($A107="","",基础资料!$Q20)</f>
        <v/>
      </c>
      <c r="C107" s="57" t="str">
        <f aca="false">IF($A107="","",ROUND(SUMIFS(收款金额,收款票据,$A107,收款年度,管理年度),2))</f>
        <v/>
      </c>
      <c r="D107" s="60" t="str">
        <f aca="false">IF($A107="","",IFERROR($C107/$C$123,""))</f>
        <v/>
      </c>
    </row>
    <row r="108" customFormat="false" ht="15" hidden="false" customHeight="false" outlineLevel="0" collapsed="false">
      <c r="A108" s="16" t="str">
        <f aca="false">IF(基础资料!$P21="","",基础资料!$P21)</f>
        <v/>
      </c>
      <c r="B108" s="53" t="str">
        <f aca="false">IF($A108="","",基础资料!$Q21)</f>
        <v/>
      </c>
      <c r="C108" s="57" t="str">
        <f aca="false">IF($A108="","",ROUND(SUMIFS(收款金额,收款票据,$A108,收款年度,管理年度),2))</f>
        <v/>
      </c>
      <c r="D108" s="60" t="str">
        <f aca="false">IF($A108="","",IFERROR($C108/$C$123,""))</f>
        <v/>
      </c>
    </row>
    <row r="109" customFormat="false" ht="15" hidden="false" customHeight="false" outlineLevel="0" collapsed="false">
      <c r="A109" s="16" t="str">
        <f aca="false">IF(基础资料!$P22="","",基础资料!$P22)</f>
        <v/>
      </c>
      <c r="B109" s="53" t="str">
        <f aca="false">IF($A109="","",基础资料!$Q22)</f>
        <v/>
      </c>
      <c r="C109" s="57" t="str">
        <f aca="false">IF($A109="","",ROUND(SUMIFS(收款金额,收款票据,$A109,收款年度,管理年度),2))</f>
        <v/>
      </c>
      <c r="D109" s="60" t="str">
        <f aca="false">IF($A109="","",IFERROR($C109/$C$123,""))</f>
        <v/>
      </c>
    </row>
    <row r="110" customFormat="false" ht="15" hidden="false" customHeight="false" outlineLevel="0" collapsed="false">
      <c r="A110" s="16" t="str">
        <f aca="false">IF(基础资料!$P23="","",基础资料!$P23)</f>
        <v/>
      </c>
      <c r="B110" s="53" t="str">
        <f aca="false">IF($A110="","",基础资料!$Q23)</f>
        <v/>
      </c>
      <c r="C110" s="57" t="str">
        <f aca="false">IF($A110="","",ROUND(SUMIFS(收款金额,收款票据,$A110,收款年度,管理年度),2))</f>
        <v/>
      </c>
      <c r="D110" s="60" t="str">
        <f aca="false">IF($A110="","",IFERROR($C110/$C$123,""))</f>
        <v/>
      </c>
    </row>
    <row r="111" customFormat="false" ht="15" hidden="false" customHeight="false" outlineLevel="0" collapsed="false">
      <c r="A111" s="16" t="str">
        <f aca="false">IF(基础资料!$P24="","",基础资料!$P24)</f>
        <v/>
      </c>
      <c r="B111" s="53" t="str">
        <f aca="false">IF($A111="","",基础资料!$Q24)</f>
        <v/>
      </c>
      <c r="C111" s="57" t="str">
        <f aca="false">IF($A111="","",ROUND(SUMIFS(收款金额,收款票据,$A111,收款年度,管理年度),2))</f>
        <v/>
      </c>
      <c r="D111" s="60" t="str">
        <f aca="false">IF($A111="","",IFERROR($C111/$C$123,""))</f>
        <v/>
      </c>
    </row>
    <row r="112" customFormat="false" ht="15" hidden="false" customHeight="false" outlineLevel="0" collapsed="false">
      <c r="A112" s="16" t="str">
        <f aca="false">IF(基础资料!$P25="","",基础资料!$P25)</f>
        <v/>
      </c>
      <c r="B112" s="53" t="str">
        <f aca="false">IF($A112="","",基础资料!$Q25)</f>
        <v/>
      </c>
      <c r="C112" s="57" t="str">
        <f aca="false">IF($A112="","",ROUND(SUMIFS(收款金额,收款票据,$A112,收款年度,管理年度),2))</f>
        <v/>
      </c>
      <c r="D112" s="60" t="str">
        <f aca="false">IF($A112="","",IFERROR($C112/$C$123,""))</f>
        <v/>
      </c>
    </row>
    <row r="113" customFormat="false" ht="15" hidden="false" customHeight="false" outlineLevel="0" collapsed="false">
      <c r="A113" s="16" t="str">
        <f aca="false">IF(基础资料!$P26="","",基础资料!$P26)</f>
        <v/>
      </c>
      <c r="B113" s="53" t="str">
        <f aca="false">IF($A113="","",基础资料!$Q26)</f>
        <v/>
      </c>
      <c r="C113" s="57" t="str">
        <f aca="false">IF($A113="","",ROUND(SUMIFS(收款金额,收款票据,$A113,收款年度,管理年度),2))</f>
        <v/>
      </c>
      <c r="D113" s="60" t="str">
        <f aca="false">IF($A113="","",IFERROR($C113/$C$123,""))</f>
        <v/>
      </c>
    </row>
    <row r="114" customFormat="false" ht="15" hidden="false" customHeight="false" outlineLevel="0" collapsed="false">
      <c r="A114" s="16" t="str">
        <f aca="false">IF(基础资料!$P27="","",基础资料!$P27)</f>
        <v/>
      </c>
      <c r="B114" s="53" t="str">
        <f aca="false">IF($A114="","",基础资料!$Q27)</f>
        <v/>
      </c>
      <c r="C114" s="57" t="str">
        <f aca="false">IF($A114="","",ROUND(SUMIFS(收款金额,收款票据,$A114,收款年度,管理年度),2))</f>
        <v/>
      </c>
      <c r="D114" s="60" t="str">
        <f aca="false">IF($A114="","",IFERROR($C114/$C$123,""))</f>
        <v/>
      </c>
    </row>
    <row r="115" customFormat="false" ht="15" hidden="false" customHeight="false" outlineLevel="0" collapsed="false">
      <c r="A115" s="16" t="str">
        <f aca="false">IF(基础资料!$P28="","",基础资料!$P28)</f>
        <v/>
      </c>
      <c r="B115" s="53" t="str">
        <f aca="false">IF($A115="","",基础资料!$Q28)</f>
        <v/>
      </c>
      <c r="C115" s="57" t="str">
        <f aca="false">IF($A115="","",ROUND(SUMIFS(收款金额,收款票据,$A115,收款年度,管理年度),2))</f>
        <v/>
      </c>
      <c r="D115" s="60" t="str">
        <f aca="false">IF($A115="","",IFERROR($C115/$C$123,""))</f>
        <v/>
      </c>
    </row>
    <row r="116" customFormat="false" ht="15" hidden="false" customHeight="false" outlineLevel="0" collapsed="false">
      <c r="A116" s="16" t="str">
        <f aca="false">IF(基础资料!$P29="","",基础资料!$P29)</f>
        <v/>
      </c>
      <c r="B116" s="53" t="str">
        <f aca="false">IF($A116="","",基础资料!$Q29)</f>
        <v/>
      </c>
      <c r="C116" s="57" t="str">
        <f aca="false">IF($A116="","",ROUND(SUMIFS(收款金额,收款票据,$A116,收款年度,管理年度),2))</f>
        <v/>
      </c>
      <c r="D116" s="60" t="str">
        <f aca="false">IF($A116="","",IFERROR($C116/$C$123,""))</f>
        <v/>
      </c>
    </row>
    <row r="117" customFormat="false" ht="15" hidden="false" customHeight="false" outlineLevel="0" collapsed="false">
      <c r="A117" s="16" t="str">
        <f aca="false">IF(基础资料!$P30="","",基础资料!$P30)</f>
        <v/>
      </c>
      <c r="B117" s="53" t="str">
        <f aca="false">IF($A117="","",基础资料!$Q30)</f>
        <v/>
      </c>
      <c r="C117" s="57" t="str">
        <f aca="false">IF($A117="","",ROUND(SUMIFS(收款金额,收款票据,$A117,收款年度,管理年度),2))</f>
        <v/>
      </c>
      <c r="D117" s="60" t="str">
        <f aca="false">IF($A117="","",IFERROR($C117/$C$123,""))</f>
        <v/>
      </c>
    </row>
    <row r="118" customFormat="false" ht="15" hidden="false" customHeight="false" outlineLevel="0" collapsed="false">
      <c r="A118" s="16" t="str">
        <f aca="false">IF(基础资料!$P31="","",基础资料!$P31)</f>
        <v/>
      </c>
      <c r="B118" s="53" t="str">
        <f aca="false">IF($A118="","",基础资料!$Q31)</f>
        <v/>
      </c>
      <c r="C118" s="57" t="str">
        <f aca="false">IF($A118="","",ROUND(SUMIFS(收款金额,收款票据,$A118,收款年度,管理年度),2))</f>
        <v/>
      </c>
      <c r="D118" s="60" t="str">
        <f aca="false">IF($A118="","",IFERROR($C118/$C$123,""))</f>
        <v/>
      </c>
    </row>
    <row r="119" customFormat="false" ht="15" hidden="false" customHeight="false" outlineLevel="0" collapsed="false">
      <c r="A119" s="16" t="str">
        <f aca="false">IF(基础资料!$P32="","",基础资料!$P32)</f>
        <v/>
      </c>
      <c r="B119" s="53" t="str">
        <f aca="false">IF($A119="","",基础资料!$Q32)</f>
        <v/>
      </c>
      <c r="C119" s="57" t="str">
        <f aca="false">IF($A119="","",ROUND(SUMIFS(收款金额,收款票据,$A119,收款年度,管理年度),2))</f>
        <v/>
      </c>
      <c r="D119" s="60" t="str">
        <f aca="false">IF($A119="","",IFERROR($C119/$C$123,""))</f>
        <v/>
      </c>
    </row>
    <row r="120" customFormat="false" ht="15" hidden="false" customHeight="false" outlineLevel="0" collapsed="false">
      <c r="A120" s="16" t="str">
        <f aca="false">IF(基础资料!$P33="","",基础资料!$P33)</f>
        <v/>
      </c>
      <c r="B120" s="53" t="str">
        <f aca="false">IF($A120="","",基础资料!$Q33)</f>
        <v/>
      </c>
      <c r="C120" s="57" t="str">
        <f aca="false">IF($A120="","",ROUND(SUMIFS(收款金额,收款票据,$A120,收款年度,管理年度),2))</f>
        <v/>
      </c>
      <c r="D120" s="60" t="str">
        <f aca="false">IF($A120="","",IFERROR($C120/$C$123,""))</f>
        <v/>
      </c>
    </row>
    <row r="121" customFormat="false" ht="15" hidden="false" customHeight="false" outlineLevel="0" collapsed="false">
      <c r="A121" s="16" t="str">
        <f aca="false">IF(基础资料!$P34="","",基础资料!$P34)</f>
        <v/>
      </c>
      <c r="B121" s="53" t="str">
        <f aca="false">IF($A121="","",基础资料!$Q34)</f>
        <v/>
      </c>
      <c r="C121" s="57" t="str">
        <f aca="false">IF($A121="","",ROUND(SUMIFS(收款金额,收款票据,$A121,收款年度,管理年度),2))</f>
        <v/>
      </c>
      <c r="D121" s="60" t="str">
        <f aca="false">IF($A121="","",IFERROR($C121/$C$123,""))</f>
        <v/>
      </c>
    </row>
    <row r="122" customFormat="false" ht="15" hidden="false" customHeight="false" outlineLevel="0" collapsed="false">
      <c r="A122" s="56" t="s">
        <v>574</v>
      </c>
      <c r="B122" s="12"/>
      <c r="C122" s="10" t="n">
        <f aca="false">ROUND(应收对账!$N$3-SUM($C$92:$C$121),2)</f>
        <v>0</v>
      </c>
      <c r="D122" s="12"/>
    </row>
    <row r="123" customFormat="false" ht="15" hidden="false" customHeight="false" outlineLevel="0" collapsed="false">
      <c r="A123" s="59" t="s">
        <v>566</v>
      </c>
      <c r="B123" s="59"/>
      <c r="C123" s="36" t="n">
        <f aca="false">ROUND(SUM($C$92:$C$122),2)</f>
        <v>61250</v>
      </c>
      <c r="D123" s="61" t="n">
        <f aca="false">IF($C123=0,"",1)</f>
        <v>1</v>
      </c>
    </row>
    <row r="125" customFormat="false" ht="15" hidden="false" customHeight="true" outlineLevel="0" collapsed="false">
      <c r="A125" s="17" t="s">
        <v>575</v>
      </c>
      <c r="B125" s="17"/>
      <c r="C125" s="17"/>
      <c r="D125" s="17"/>
      <c r="E125" s="17"/>
      <c r="F125" s="17"/>
      <c r="G125" s="17"/>
      <c r="H125" s="17"/>
      <c r="I125" s="17"/>
      <c r="J125" s="17"/>
      <c r="K125" s="17"/>
    </row>
    <row r="126" customFormat="false" ht="25.5" hidden="false" customHeight="true" outlineLevel="0" collapsed="false">
      <c r="A126" s="46" t="s">
        <v>130</v>
      </c>
      <c r="B126" s="46" t="s">
        <v>573</v>
      </c>
      <c r="C126" s="46" t="s">
        <v>564</v>
      </c>
      <c r="D126" s="46"/>
      <c r="E126" s="46"/>
      <c r="F126" s="46"/>
      <c r="G126" s="46"/>
      <c r="H126" s="46"/>
      <c r="I126" s="46"/>
      <c r="J126" s="46"/>
      <c r="K126" s="46"/>
    </row>
    <row r="127" customFormat="false" ht="15" hidden="false" customHeight="false" outlineLevel="0" collapsed="false">
      <c r="A127" s="16" t="str">
        <f aca="false">IF(基础资料!$S5="","",基础资料!$S5)</f>
        <v>银行转账</v>
      </c>
      <c r="B127" s="57" t="n">
        <f aca="false">IF($A127="","",ROUND(SUMIFS(收款金额,收款方式,$A127,收款年度,管理年度),2))</f>
        <v>49750</v>
      </c>
      <c r="C127" s="60" t="n">
        <f aca="false">IF($A127="","",IFERROR($B127/$B$158,""))</f>
        <v>0.812244897959184</v>
      </c>
    </row>
    <row r="128" customFormat="false" ht="15" hidden="false" customHeight="false" outlineLevel="0" collapsed="false">
      <c r="A128" s="16" t="str">
        <f aca="false">IF(基础资料!$S6="","",基础资料!$S6)</f>
        <v>现金</v>
      </c>
      <c r="B128" s="57" t="n">
        <f aca="false">IF($A128="","",ROUND(SUMIFS(收款金额,收款方式,$A128,收款年度,管理年度),2))</f>
        <v>3400</v>
      </c>
      <c r="C128" s="60" t="n">
        <f aca="false">IF($A128="","",IFERROR($B128/$B$158,""))</f>
        <v>0.0555102040816327</v>
      </c>
    </row>
    <row r="129" customFormat="false" ht="15" hidden="false" customHeight="false" outlineLevel="0" collapsed="false">
      <c r="A129" s="16" t="str">
        <f aca="false">IF(基础资料!$S7="","",基础资料!$S7)</f>
        <v>微信</v>
      </c>
      <c r="B129" s="57" t="n">
        <f aca="false">IF($A129="","",ROUND(SUMIFS(收款金额,收款方式,$A129,收款年度,管理年度),2))</f>
        <v>2850</v>
      </c>
      <c r="C129" s="60" t="n">
        <f aca="false">IF($A129="","",IFERROR($B129/$B$158,""))</f>
        <v>0.046530612244898</v>
      </c>
    </row>
    <row r="130" customFormat="false" ht="15" hidden="false" customHeight="false" outlineLevel="0" collapsed="false">
      <c r="A130" s="16" t="str">
        <f aca="false">IF(基础资料!$S8="","",基础资料!$S8)</f>
        <v>支付宝</v>
      </c>
      <c r="B130" s="57" t="n">
        <f aca="false">IF($A130="","",ROUND(SUMIFS(收款金额,收款方式,$A130,收款年度,管理年度),2))</f>
        <v>0</v>
      </c>
      <c r="C130" s="60" t="n">
        <f aca="false">IF($A130="","",IFERROR($B130/$B$158,""))</f>
        <v>0</v>
      </c>
    </row>
    <row r="131" customFormat="false" ht="15" hidden="false" customHeight="false" outlineLevel="0" collapsed="false">
      <c r="A131" s="16" t="str">
        <f aca="false">IF(基础资料!$S9="","",基础资料!$S9)</f>
        <v>承兑汇票</v>
      </c>
      <c r="B131" s="57" t="n">
        <f aca="false">IF($A131="","",ROUND(SUMIFS(收款金额,收款方式,$A131,收款年度,管理年度),2))</f>
        <v>5250</v>
      </c>
      <c r="C131" s="60" t="n">
        <f aca="false">IF($A131="","",IFERROR($B131/$B$158,""))</f>
        <v>0.0857142857142857</v>
      </c>
    </row>
    <row r="132" customFormat="false" ht="15" hidden="false" customHeight="false" outlineLevel="0" collapsed="false">
      <c r="A132" s="16" t="str">
        <f aca="false">IF(基础资料!$S10="","",基础资料!$S10)</f>
        <v>抵扣/冲账</v>
      </c>
      <c r="B132" s="57" t="n">
        <f aca="false">IF($A132="","",ROUND(SUMIFS(收款金额,收款方式,$A132,收款年度,管理年度),2))</f>
        <v>0</v>
      </c>
      <c r="C132" s="60" t="n">
        <f aca="false">IF($A132="","",IFERROR($B132/$B$158,""))</f>
        <v>0</v>
      </c>
    </row>
    <row r="133" customFormat="false" ht="15" hidden="false" customHeight="false" outlineLevel="0" collapsed="false">
      <c r="A133" s="16" t="str">
        <f aca="false">IF(基础资料!$S11="","",基础资料!$S11)</f>
        <v/>
      </c>
      <c r="B133" s="57" t="str">
        <f aca="false">IF($A133="","",ROUND(SUMIFS(收款金额,收款方式,$A133,收款年度,管理年度),2))</f>
        <v/>
      </c>
      <c r="C133" s="60" t="str">
        <f aca="false">IF($A133="","",IFERROR($B133/$B$158,""))</f>
        <v/>
      </c>
    </row>
    <row r="134" customFormat="false" ht="15" hidden="false" customHeight="false" outlineLevel="0" collapsed="false">
      <c r="A134" s="16" t="str">
        <f aca="false">IF(基础资料!$S12="","",基础资料!$S12)</f>
        <v/>
      </c>
      <c r="B134" s="57" t="str">
        <f aca="false">IF($A134="","",ROUND(SUMIFS(收款金额,收款方式,$A134,收款年度,管理年度),2))</f>
        <v/>
      </c>
      <c r="C134" s="60" t="str">
        <f aca="false">IF($A134="","",IFERROR($B134/$B$158,""))</f>
        <v/>
      </c>
    </row>
    <row r="135" customFormat="false" ht="15" hidden="false" customHeight="false" outlineLevel="0" collapsed="false">
      <c r="A135" s="16" t="str">
        <f aca="false">IF(基础资料!$S13="","",基础资料!$S13)</f>
        <v/>
      </c>
      <c r="B135" s="57" t="str">
        <f aca="false">IF($A135="","",ROUND(SUMIFS(收款金额,收款方式,$A135,收款年度,管理年度),2))</f>
        <v/>
      </c>
      <c r="C135" s="60" t="str">
        <f aca="false">IF($A135="","",IFERROR($B135/$B$158,""))</f>
        <v/>
      </c>
    </row>
    <row r="136" customFormat="false" ht="15" hidden="false" customHeight="false" outlineLevel="0" collapsed="false">
      <c r="A136" s="16" t="str">
        <f aca="false">IF(基础资料!$S14="","",基础资料!$S14)</f>
        <v/>
      </c>
      <c r="B136" s="57" t="str">
        <f aca="false">IF($A136="","",ROUND(SUMIFS(收款金额,收款方式,$A136,收款年度,管理年度),2))</f>
        <v/>
      </c>
      <c r="C136" s="60" t="str">
        <f aca="false">IF($A136="","",IFERROR($B136/$B$158,""))</f>
        <v/>
      </c>
    </row>
    <row r="137" customFormat="false" ht="15" hidden="false" customHeight="false" outlineLevel="0" collapsed="false">
      <c r="A137" s="16" t="str">
        <f aca="false">IF(基础资料!$S15="","",基础资料!$S15)</f>
        <v/>
      </c>
      <c r="B137" s="57" t="str">
        <f aca="false">IF($A137="","",ROUND(SUMIFS(收款金额,收款方式,$A137,收款年度,管理年度),2))</f>
        <v/>
      </c>
      <c r="C137" s="60" t="str">
        <f aca="false">IF($A137="","",IFERROR($B137/$B$158,""))</f>
        <v/>
      </c>
    </row>
    <row r="138" customFormat="false" ht="15" hidden="false" customHeight="false" outlineLevel="0" collapsed="false">
      <c r="A138" s="16" t="str">
        <f aca="false">IF(基础资料!$S16="","",基础资料!$S16)</f>
        <v/>
      </c>
      <c r="B138" s="57" t="str">
        <f aca="false">IF($A138="","",ROUND(SUMIFS(收款金额,收款方式,$A138,收款年度,管理年度),2))</f>
        <v/>
      </c>
      <c r="C138" s="60" t="str">
        <f aca="false">IF($A138="","",IFERROR($B138/$B$158,""))</f>
        <v/>
      </c>
    </row>
    <row r="139" customFormat="false" ht="15" hidden="false" customHeight="false" outlineLevel="0" collapsed="false">
      <c r="A139" s="16" t="str">
        <f aca="false">IF(基础资料!$S17="","",基础资料!$S17)</f>
        <v/>
      </c>
      <c r="B139" s="57" t="str">
        <f aca="false">IF($A139="","",ROUND(SUMIFS(收款金额,收款方式,$A139,收款年度,管理年度),2))</f>
        <v/>
      </c>
      <c r="C139" s="60" t="str">
        <f aca="false">IF($A139="","",IFERROR($B139/$B$158,""))</f>
        <v/>
      </c>
    </row>
    <row r="140" customFormat="false" ht="15" hidden="false" customHeight="false" outlineLevel="0" collapsed="false">
      <c r="A140" s="16" t="str">
        <f aca="false">IF(基础资料!$S18="","",基础资料!$S18)</f>
        <v/>
      </c>
      <c r="B140" s="57" t="str">
        <f aca="false">IF($A140="","",ROUND(SUMIFS(收款金额,收款方式,$A140,收款年度,管理年度),2))</f>
        <v/>
      </c>
      <c r="C140" s="60" t="str">
        <f aca="false">IF($A140="","",IFERROR($B140/$B$158,""))</f>
        <v/>
      </c>
    </row>
    <row r="141" customFormat="false" ht="15" hidden="false" customHeight="false" outlineLevel="0" collapsed="false">
      <c r="A141" s="16" t="str">
        <f aca="false">IF(基础资料!$S19="","",基础资料!$S19)</f>
        <v/>
      </c>
      <c r="B141" s="57" t="str">
        <f aca="false">IF($A141="","",ROUND(SUMIFS(收款金额,收款方式,$A141,收款年度,管理年度),2))</f>
        <v/>
      </c>
      <c r="C141" s="60" t="str">
        <f aca="false">IF($A141="","",IFERROR($B141/$B$158,""))</f>
        <v/>
      </c>
    </row>
    <row r="142" customFormat="false" ht="15" hidden="false" customHeight="false" outlineLevel="0" collapsed="false">
      <c r="A142" s="16" t="str">
        <f aca="false">IF(基础资料!$S20="","",基础资料!$S20)</f>
        <v/>
      </c>
      <c r="B142" s="57" t="str">
        <f aca="false">IF($A142="","",ROUND(SUMIFS(收款金额,收款方式,$A142,收款年度,管理年度),2))</f>
        <v/>
      </c>
      <c r="C142" s="60" t="str">
        <f aca="false">IF($A142="","",IFERROR($B142/$B$158,""))</f>
        <v/>
      </c>
    </row>
    <row r="143" customFormat="false" ht="15" hidden="false" customHeight="false" outlineLevel="0" collapsed="false">
      <c r="A143" s="16" t="str">
        <f aca="false">IF(基础资料!$S21="","",基础资料!$S21)</f>
        <v/>
      </c>
      <c r="B143" s="57" t="str">
        <f aca="false">IF($A143="","",ROUND(SUMIFS(收款金额,收款方式,$A143,收款年度,管理年度),2))</f>
        <v/>
      </c>
      <c r="C143" s="60" t="str">
        <f aca="false">IF($A143="","",IFERROR($B143/$B$158,""))</f>
        <v/>
      </c>
    </row>
    <row r="144" customFormat="false" ht="15" hidden="false" customHeight="false" outlineLevel="0" collapsed="false">
      <c r="A144" s="16" t="str">
        <f aca="false">IF(基础资料!$S22="","",基础资料!$S22)</f>
        <v/>
      </c>
      <c r="B144" s="57" t="str">
        <f aca="false">IF($A144="","",ROUND(SUMIFS(收款金额,收款方式,$A144,收款年度,管理年度),2))</f>
        <v/>
      </c>
      <c r="C144" s="60" t="str">
        <f aca="false">IF($A144="","",IFERROR($B144/$B$158,""))</f>
        <v/>
      </c>
    </row>
    <row r="145" customFormat="false" ht="15" hidden="false" customHeight="false" outlineLevel="0" collapsed="false">
      <c r="A145" s="16" t="str">
        <f aca="false">IF(基础资料!$S23="","",基础资料!$S23)</f>
        <v/>
      </c>
      <c r="B145" s="57" t="str">
        <f aca="false">IF($A145="","",ROUND(SUMIFS(收款金额,收款方式,$A145,收款年度,管理年度),2))</f>
        <v/>
      </c>
      <c r="C145" s="60" t="str">
        <f aca="false">IF($A145="","",IFERROR($B145/$B$158,""))</f>
        <v/>
      </c>
    </row>
    <row r="146" customFormat="false" ht="15" hidden="false" customHeight="false" outlineLevel="0" collapsed="false">
      <c r="A146" s="16" t="str">
        <f aca="false">IF(基础资料!$S24="","",基础资料!$S24)</f>
        <v/>
      </c>
      <c r="B146" s="57" t="str">
        <f aca="false">IF($A146="","",ROUND(SUMIFS(收款金额,收款方式,$A146,收款年度,管理年度),2))</f>
        <v/>
      </c>
      <c r="C146" s="60" t="str">
        <f aca="false">IF($A146="","",IFERROR($B146/$B$158,""))</f>
        <v/>
      </c>
    </row>
    <row r="147" customFormat="false" ht="15" hidden="false" customHeight="false" outlineLevel="0" collapsed="false">
      <c r="A147" s="16" t="str">
        <f aca="false">IF(基础资料!$S25="","",基础资料!$S25)</f>
        <v/>
      </c>
      <c r="B147" s="57" t="str">
        <f aca="false">IF($A147="","",ROUND(SUMIFS(收款金额,收款方式,$A147,收款年度,管理年度),2))</f>
        <v/>
      </c>
      <c r="C147" s="60" t="str">
        <f aca="false">IF($A147="","",IFERROR($B147/$B$158,""))</f>
        <v/>
      </c>
    </row>
    <row r="148" customFormat="false" ht="15" hidden="false" customHeight="false" outlineLevel="0" collapsed="false">
      <c r="A148" s="16" t="str">
        <f aca="false">IF(基础资料!$S26="","",基础资料!$S26)</f>
        <v/>
      </c>
      <c r="B148" s="57" t="str">
        <f aca="false">IF($A148="","",ROUND(SUMIFS(收款金额,收款方式,$A148,收款年度,管理年度),2))</f>
        <v/>
      </c>
      <c r="C148" s="60" t="str">
        <f aca="false">IF($A148="","",IFERROR($B148/$B$158,""))</f>
        <v/>
      </c>
    </row>
    <row r="149" customFormat="false" ht="15" hidden="false" customHeight="false" outlineLevel="0" collapsed="false">
      <c r="A149" s="16" t="str">
        <f aca="false">IF(基础资料!$S27="","",基础资料!$S27)</f>
        <v/>
      </c>
      <c r="B149" s="57" t="str">
        <f aca="false">IF($A149="","",ROUND(SUMIFS(收款金额,收款方式,$A149,收款年度,管理年度),2))</f>
        <v/>
      </c>
      <c r="C149" s="60" t="str">
        <f aca="false">IF($A149="","",IFERROR($B149/$B$158,""))</f>
        <v/>
      </c>
    </row>
    <row r="150" customFormat="false" ht="15" hidden="false" customHeight="false" outlineLevel="0" collapsed="false">
      <c r="A150" s="16" t="str">
        <f aca="false">IF(基础资料!$S28="","",基础资料!$S28)</f>
        <v/>
      </c>
      <c r="B150" s="57" t="str">
        <f aca="false">IF($A150="","",ROUND(SUMIFS(收款金额,收款方式,$A150,收款年度,管理年度),2))</f>
        <v/>
      </c>
      <c r="C150" s="60" t="str">
        <f aca="false">IF($A150="","",IFERROR($B150/$B$158,""))</f>
        <v/>
      </c>
    </row>
    <row r="151" customFormat="false" ht="15" hidden="false" customHeight="false" outlineLevel="0" collapsed="false">
      <c r="A151" s="16" t="str">
        <f aca="false">IF(基础资料!$S29="","",基础资料!$S29)</f>
        <v/>
      </c>
      <c r="B151" s="57" t="str">
        <f aca="false">IF($A151="","",ROUND(SUMIFS(收款金额,收款方式,$A151,收款年度,管理年度),2))</f>
        <v/>
      </c>
      <c r="C151" s="60" t="str">
        <f aca="false">IF($A151="","",IFERROR($B151/$B$158,""))</f>
        <v/>
      </c>
    </row>
    <row r="152" customFormat="false" ht="15" hidden="false" customHeight="false" outlineLevel="0" collapsed="false">
      <c r="A152" s="16" t="str">
        <f aca="false">IF(基础资料!$S30="","",基础资料!$S30)</f>
        <v/>
      </c>
      <c r="B152" s="57" t="str">
        <f aca="false">IF($A152="","",ROUND(SUMIFS(收款金额,收款方式,$A152,收款年度,管理年度),2))</f>
        <v/>
      </c>
      <c r="C152" s="60" t="str">
        <f aca="false">IF($A152="","",IFERROR($B152/$B$158,""))</f>
        <v/>
      </c>
    </row>
    <row r="153" customFormat="false" ht="15" hidden="false" customHeight="false" outlineLevel="0" collapsed="false">
      <c r="A153" s="16" t="str">
        <f aca="false">IF(基础资料!$S31="","",基础资料!$S31)</f>
        <v/>
      </c>
      <c r="B153" s="57" t="str">
        <f aca="false">IF($A153="","",ROUND(SUMIFS(收款金额,收款方式,$A153,收款年度,管理年度),2))</f>
        <v/>
      </c>
      <c r="C153" s="60" t="str">
        <f aca="false">IF($A153="","",IFERROR($B153/$B$158,""))</f>
        <v/>
      </c>
    </row>
    <row r="154" customFormat="false" ht="15" hidden="false" customHeight="false" outlineLevel="0" collapsed="false">
      <c r="A154" s="16" t="str">
        <f aca="false">IF(基础资料!$S32="","",基础资料!$S32)</f>
        <v/>
      </c>
      <c r="B154" s="57" t="str">
        <f aca="false">IF($A154="","",ROUND(SUMIFS(收款金额,收款方式,$A154,收款年度,管理年度),2))</f>
        <v/>
      </c>
      <c r="C154" s="60" t="str">
        <f aca="false">IF($A154="","",IFERROR($B154/$B$158,""))</f>
        <v/>
      </c>
    </row>
    <row r="155" customFormat="false" ht="15" hidden="false" customHeight="false" outlineLevel="0" collapsed="false">
      <c r="A155" s="16" t="str">
        <f aca="false">IF(基础资料!$S33="","",基础资料!$S33)</f>
        <v/>
      </c>
      <c r="B155" s="57" t="str">
        <f aca="false">IF($A155="","",ROUND(SUMIFS(收款金额,收款方式,$A155,收款年度,管理年度),2))</f>
        <v/>
      </c>
      <c r="C155" s="60" t="str">
        <f aca="false">IF($A155="","",IFERROR($B155/$B$158,""))</f>
        <v/>
      </c>
    </row>
    <row r="156" customFormat="false" ht="15" hidden="false" customHeight="false" outlineLevel="0" collapsed="false">
      <c r="A156" s="16" t="str">
        <f aca="false">IF(基础资料!$S34="","",基础资料!$S34)</f>
        <v/>
      </c>
      <c r="B156" s="57" t="str">
        <f aca="false">IF($A156="","",ROUND(SUMIFS(收款金额,收款方式,$A156,收款年度,管理年度),2))</f>
        <v/>
      </c>
      <c r="C156" s="60" t="str">
        <f aca="false">IF($A156="","",IFERROR($B156/$B$158,""))</f>
        <v/>
      </c>
    </row>
    <row r="157" customFormat="false" ht="15" hidden="false" customHeight="false" outlineLevel="0" collapsed="false">
      <c r="A157" s="56" t="s">
        <v>574</v>
      </c>
      <c r="B157" s="10" t="n">
        <f aca="false">ROUND(应收对账!$N$3-SUM($B$127:$B$156),2)</f>
        <v>0</v>
      </c>
      <c r="C157" s="12"/>
    </row>
    <row r="158" customFormat="false" ht="15" hidden="false" customHeight="false" outlineLevel="0" collapsed="false">
      <c r="A158" s="59" t="s">
        <v>566</v>
      </c>
      <c r="B158" s="36" t="n">
        <f aca="false">ROUND(SUM($B$127:$B$157),2)</f>
        <v>61250</v>
      </c>
      <c r="C158" s="61" t="n">
        <f aca="false">IF($B158=0,"",1)</f>
        <v>1</v>
      </c>
    </row>
  </sheetData>
  <mergeCells count="8">
    <mergeCell ref="A1:K1"/>
    <mergeCell ref="A2:K2"/>
    <mergeCell ref="A4:K4"/>
    <mergeCell ref="A20:K20"/>
    <mergeCell ref="A52:B52"/>
    <mergeCell ref="A55:K55"/>
    <mergeCell ref="A90:K90"/>
    <mergeCell ref="A125:K1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G33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62"/>
  </cols>
  <sheetData>
    <row r="1" customFormat="false" ht="30" hidden="false" customHeight="true" outlineLevel="0" collapsed="false">
      <c r="A1" s="63" t="s">
        <v>576</v>
      </c>
      <c r="B1" s="63"/>
      <c r="C1" s="63"/>
      <c r="D1" s="63"/>
      <c r="E1" s="63"/>
      <c r="F1" s="63"/>
      <c r="G1" s="63"/>
    </row>
    <row r="2" customFormat="false" ht="33.75" hidden="false" customHeight="true" outlineLevel="0" collapsed="false">
      <c r="A2" s="64" t="s">
        <v>577</v>
      </c>
      <c r="B2" s="64"/>
      <c r="C2" s="64"/>
      <c r="D2" s="64"/>
      <c r="E2" s="64"/>
      <c r="F2" s="64"/>
      <c r="G2" s="64"/>
    </row>
    <row r="4" customFormat="false" ht="27.75" hidden="false" customHeight="true" outlineLevel="0" collapsed="false">
      <c r="A4" s="65" t="s">
        <v>199</v>
      </c>
      <c r="B4" s="65" t="s">
        <v>578</v>
      </c>
      <c r="C4" s="65" t="s">
        <v>579</v>
      </c>
      <c r="D4" s="65" t="s">
        <v>580</v>
      </c>
      <c r="E4" s="65" t="s">
        <v>581</v>
      </c>
      <c r="F4" s="65" t="s">
        <v>582</v>
      </c>
      <c r="G4" s="65" t="s">
        <v>583</v>
      </c>
    </row>
    <row r="5" customFormat="false" ht="25.35" hidden="false" customHeight="false" outlineLevel="0" collapsed="false">
      <c r="A5" s="29" t="n">
        <v>1</v>
      </c>
      <c r="B5" s="16" t="s">
        <v>584</v>
      </c>
      <c r="C5" s="57" t="n">
        <f aca="false">应收对账!$I$3</f>
        <v>99900</v>
      </c>
      <c r="D5" s="57" t="n">
        <f aca="false">ROUND(SUMIF(应收年度,管理年度,应收金额),2)</f>
        <v>99900</v>
      </c>
      <c r="E5" s="41" t="n">
        <f aca="false">ROUND($C5-$D5,2)</f>
        <v>0</v>
      </c>
      <c r="F5" s="66" t="str">
        <f aca="false">IF(ABS($E5)&lt;0.005,"✔ 平","★ 差 "&amp;TEXT($E5,"#,##0.00"))</f>
        <v>✔ 平</v>
      </c>
      <c r="G5" s="67" t="s">
        <v>585</v>
      </c>
    </row>
    <row r="6" customFormat="false" ht="15" hidden="false" customHeight="false" outlineLevel="0" collapsed="false">
      <c r="A6" s="29" t="n">
        <v>2</v>
      </c>
      <c r="B6" s="16" t="s">
        <v>586</v>
      </c>
      <c r="C6" s="57" t="n">
        <f aca="false">应收对账!$N$3</f>
        <v>61250</v>
      </c>
      <c r="D6" s="57" t="n">
        <f aca="false">ROUND(SUMIF(收款年度,管理年度,收款金额),2)</f>
        <v>61250</v>
      </c>
      <c r="E6" s="41" t="n">
        <f aca="false">ROUND($C6-$D6,2)</f>
        <v>0</v>
      </c>
      <c r="F6" s="66" t="str">
        <f aca="false">IF(ABS($E6)&lt;0.005,"✔ 平","★ 差 "&amp;TEXT($E6,"#,##0.00"))</f>
        <v>✔ 平</v>
      </c>
      <c r="G6" s="67" t="s">
        <v>587</v>
      </c>
    </row>
    <row r="7" customFormat="false" ht="15" hidden="false" customHeight="false" outlineLevel="0" collapsed="false">
      <c r="A7" s="29" t="n">
        <v>3</v>
      </c>
      <c r="B7" s="16" t="s">
        <v>588</v>
      </c>
      <c r="C7" s="57" t="n">
        <f aca="false">应收对账!$H$3</f>
        <v>6000</v>
      </c>
      <c r="D7" s="57" t="n">
        <f aca="false">ROUND(SUMIF(应收年度,"&lt;"&amp;管理年度,应收金额)-SUMIF(收款年度,"&lt;"&amp;管理年度,收款金额),2)</f>
        <v>6000</v>
      </c>
      <c r="E7" s="41" t="n">
        <f aca="false">ROUND($C7-$D7,2)</f>
        <v>0</v>
      </c>
      <c r="F7" s="66" t="str">
        <f aca="false">IF(ABS($E7)&lt;0.005,"✔ 平","★ 差 "&amp;TEXT($E7,"#,##0.00"))</f>
        <v>✔ 平</v>
      </c>
      <c r="G7" s="67" t="s">
        <v>589</v>
      </c>
    </row>
    <row r="8" customFormat="false" ht="15" hidden="false" customHeight="false" outlineLevel="0" collapsed="false">
      <c r="A8" s="29" t="n">
        <v>4</v>
      </c>
      <c r="B8" s="16" t="s">
        <v>590</v>
      </c>
      <c r="C8" s="57" t="n">
        <f aca="false">应收对账!$T$3</f>
        <v>44650</v>
      </c>
      <c r="D8" s="57" t="n">
        <f aca="false">ROUND(SUM(应收金额)-SUM(收款金额),2)</f>
        <v>44650</v>
      </c>
      <c r="E8" s="41" t="n">
        <f aca="false">ROUND($C8-$D8,2)</f>
        <v>0</v>
      </c>
      <c r="F8" s="66" t="str">
        <f aca="false">IF(ABS($E8)&lt;0.005,"✔ 平","★ 差 "&amp;TEXT($E8,"#,##0.00"))</f>
        <v>✔ 平</v>
      </c>
      <c r="G8" s="67" t="s">
        <v>591</v>
      </c>
    </row>
    <row r="9" customFormat="false" ht="15" hidden="false" customHeight="false" outlineLevel="0" collapsed="false">
      <c r="A9" s="29" t="n">
        <v>5</v>
      </c>
      <c r="B9" s="16" t="s">
        <v>592</v>
      </c>
      <c r="C9" s="57" t="n">
        <f aca="false">ROUND(应收对账!$H$3+应收对账!$I$3-应收对账!$N$3+ROUND(SUM(应收对账!$Z$5:$Z$304),2),2)</f>
        <v>44650</v>
      </c>
      <c r="D9" s="57" t="n">
        <f aca="false">应收对账!$T$3</f>
        <v>44650</v>
      </c>
      <c r="E9" s="41" t="n">
        <f aca="false">ROUND($C9-$D9,2)</f>
        <v>0</v>
      </c>
      <c r="F9" s="66" t="str">
        <f aca="false">IF(ABS($E9)&lt;0.005,"✔ 平","★ 差 "&amp;TEXT($E9,"#,##0.00"))</f>
        <v>✔ 平</v>
      </c>
      <c r="G9" s="67" t="s">
        <v>593</v>
      </c>
    </row>
    <row r="10" customFormat="false" ht="15" hidden="false" customHeight="false" outlineLevel="0" collapsed="false">
      <c r="A10" s="29" t="n">
        <v>6</v>
      </c>
      <c r="B10" s="16" t="s">
        <v>594</v>
      </c>
      <c r="C10" s="57" t="n">
        <f aca="false">ROUND(应收对账!$R$3+应收对账!$S$3,2)</f>
        <v>44650</v>
      </c>
      <c r="D10" s="57" t="n">
        <f aca="false">ROUND(SUMIF(对账欠款,"&gt;0"),2)</f>
        <v>44650</v>
      </c>
      <c r="E10" s="41" t="n">
        <f aca="false">ROUND($C10-$D10,2)</f>
        <v>0</v>
      </c>
      <c r="F10" s="66" t="str">
        <f aca="false">IF(ABS($E10)&lt;0.005,"✔ 平","★ 差 "&amp;TEXT($E10,"#,##0.00"))</f>
        <v>✔ 平</v>
      </c>
      <c r="G10" s="67" t="s">
        <v>595</v>
      </c>
    </row>
    <row r="11" customFormat="false" ht="15" hidden="false" customHeight="false" outlineLevel="0" collapsed="false">
      <c r="A11" s="29" t="n">
        <v>7</v>
      </c>
      <c r="B11" s="16" t="s">
        <v>596</v>
      </c>
      <c r="C11" s="57" t="n">
        <f aca="false">ROUND(应收对账!$J$3+应收对账!$K$3,2)</f>
        <v>99900</v>
      </c>
      <c r="D11" s="57" t="n">
        <f aca="false">应收对账!$I$3</f>
        <v>99900</v>
      </c>
      <c r="E11" s="41" t="n">
        <f aca="false">ROUND($C11-$D11,2)</f>
        <v>0</v>
      </c>
      <c r="F11" s="66" t="str">
        <f aca="false">IF(ABS($E11)&lt;0.005,"✔ 平","★ 差 "&amp;TEXT($E11,"#,##0.00"))</f>
        <v>✔ 平</v>
      </c>
      <c r="G11" s="67" t="s">
        <v>597</v>
      </c>
    </row>
    <row r="12" customFormat="false" ht="15" hidden="false" customHeight="false" outlineLevel="0" collapsed="false">
      <c r="A12" s="29" t="n">
        <v>8</v>
      </c>
      <c r="B12" s="16" t="s">
        <v>598</v>
      </c>
      <c r="C12" s="57" t="n">
        <f aca="false">ROUND(应收对账!$O$3+应收对账!$P$3+应收对账!$Q$3,2)</f>
        <v>61250</v>
      </c>
      <c r="D12" s="57" t="n">
        <f aca="false">应收对账!$N$3</f>
        <v>61250</v>
      </c>
      <c r="E12" s="41" t="n">
        <f aca="false">ROUND($C12-$D12,2)</f>
        <v>0</v>
      </c>
      <c r="F12" s="66" t="str">
        <f aca="false">IF(ABS($E12)&lt;0.005,"✔ 平","★ 差 "&amp;TEXT($E12,"#,##0.00"))</f>
        <v>✔ 平</v>
      </c>
      <c r="G12" s="67" t="s">
        <v>599</v>
      </c>
    </row>
    <row r="13" customFormat="false" ht="15" hidden="false" customHeight="false" outlineLevel="0" collapsed="false">
      <c r="A13" s="29" t="n">
        <v>9</v>
      </c>
      <c r="B13" s="16" t="s">
        <v>600</v>
      </c>
      <c r="C13" s="57" t="n">
        <f aca="false">应收登记!$Q$3</f>
        <v>44650</v>
      </c>
      <c r="D13" s="57" t="n">
        <f aca="false">ROUND(SUMIF(对账欠款,"&gt;0"),2)</f>
        <v>44650</v>
      </c>
      <c r="E13" s="41" t="n">
        <f aca="false">ROUND($C13-$D13,2)</f>
        <v>0</v>
      </c>
      <c r="F13" s="66" t="str">
        <f aca="false">IF(ABS($E13)&lt;0.005,"✔ 平","★ 差 "&amp;TEXT($E13,"#,##0.00"))</f>
        <v>✔ 平</v>
      </c>
      <c r="G13" s="67" t="s">
        <v>601</v>
      </c>
    </row>
    <row r="14" customFormat="false" ht="15" hidden="false" customHeight="false" outlineLevel="0" collapsed="false">
      <c r="A14" s="29" t="n">
        <v>10</v>
      </c>
      <c r="B14" s="16" t="s">
        <v>602</v>
      </c>
      <c r="C14" s="57" t="n">
        <f aca="false">COUNTIF(应收对账!$X$5:$X$304,"★*")</f>
        <v>0</v>
      </c>
      <c r="D14" s="57" t="n">
        <f aca="false">0</f>
        <v>0</v>
      </c>
      <c r="E14" s="41" t="n">
        <f aca="false">ROUND($C14-$D14,2)</f>
        <v>0</v>
      </c>
      <c r="F14" s="66" t="str">
        <f aca="false">IF(ABS($E14)&lt;0.005,"✔ 平","★ 差 "&amp;TEXT($E14,"#,##0.00"))</f>
        <v>✔ 平</v>
      </c>
      <c r="G14" s="67" t="s">
        <v>603</v>
      </c>
    </row>
    <row r="15" customFormat="false" ht="15" hidden="false" customHeight="false" outlineLevel="0" collapsed="false">
      <c r="A15" s="29" t="n">
        <v>11</v>
      </c>
      <c r="B15" s="16" t="s">
        <v>604</v>
      </c>
      <c r="C15" s="57" t="n">
        <f aca="false">COUNTIF(应收登记!$T$5:$T$1504,"★*")</f>
        <v>0</v>
      </c>
      <c r="D15" s="57" t="n">
        <f aca="false">0</f>
        <v>0</v>
      </c>
      <c r="E15" s="41" t="n">
        <f aca="false">ROUND($C15-$D15,2)</f>
        <v>0</v>
      </c>
      <c r="F15" s="66" t="str">
        <f aca="false">IF(ABS($E15)&lt;0.005,"✔ 平","★ 差 "&amp;TEXT($E15,"#,##0.00"))</f>
        <v>✔ 平</v>
      </c>
      <c r="G15" s="67" t="s">
        <v>605</v>
      </c>
    </row>
    <row r="16" customFormat="false" ht="15" hidden="false" customHeight="false" outlineLevel="0" collapsed="false">
      <c r="A16" s="29" t="n">
        <v>12</v>
      </c>
      <c r="B16" s="16" t="s">
        <v>606</v>
      </c>
      <c r="C16" s="57" t="n">
        <f aca="false">COUNTIF(收款登记!$O$5:$O$2004,"★*")</f>
        <v>0</v>
      </c>
      <c r="D16" s="57" t="n">
        <f aca="false">0</f>
        <v>0</v>
      </c>
      <c r="E16" s="41" t="n">
        <f aca="false">ROUND($C16-$D16,2)</f>
        <v>0</v>
      </c>
      <c r="F16" s="66" t="str">
        <f aca="false">IF(ABS($E16)&lt;0.005,"✔ 平","★ 差 "&amp;TEXT($E16,"#,##0.00"))</f>
        <v>✔ 平</v>
      </c>
      <c r="G16" s="67" t="s">
        <v>607</v>
      </c>
    </row>
    <row r="17" customFormat="false" ht="15" hidden="false" customHeight="false" outlineLevel="0" collapsed="false">
      <c r="A17" s="29" t="n">
        <v>13</v>
      </c>
      <c r="B17" s="16" t="s">
        <v>608</v>
      </c>
      <c r="C17" s="57" t="n">
        <f aca="false">COUNTIF(电梯资料!$AE$5:$AE$604,"★*")</f>
        <v>0</v>
      </c>
      <c r="D17" s="57" t="n">
        <f aca="false">0</f>
        <v>0</v>
      </c>
      <c r="E17" s="41" t="n">
        <f aca="false">ROUND($C17-$D17,2)</f>
        <v>0</v>
      </c>
      <c r="F17" s="66" t="str">
        <f aca="false">IF(ABS($E17)&lt;0.005,"✔ 平","★ 差 "&amp;TEXT($E17,"#,##0.00"))</f>
        <v>✔ 平</v>
      </c>
      <c r="G17" s="67" t="s">
        <v>609</v>
      </c>
    </row>
    <row r="18" customFormat="false" ht="15" hidden="false" customHeight="false" outlineLevel="0" collapsed="false">
      <c r="A18" s="29" t="n">
        <v>14</v>
      </c>
      <c r="B18" s="16" t="s">
        <v>610</v>
      </c>
      <c r="C18" s="57" t="n">
        <f aca="false">COUNTIF(维保合同!$X$5:$X$304,"★*")</f>
        <v>0</v>
      </c>
      <c r="D18" s="57" t="n">
        <f aca="false">0</f>
        <v>0</v>
      </c>
      <c r="E18" s="41" t="n">
        <f aca="false">ROUND($C18-$D18,2)</f>
        <v>0</v>
      </c>
      <c r="F18" s="66" t="str">
        <f aca="false">IF(ABS($E18)&lt;0.005,"✔ 平","★ 差 "&amp;TEXT($E18,"#,##0.00"))</f>
        <v>✔ 平</v>
      </c>
      <c r="G18" s="67" t="s">
        <v>611</v>
      </c>
    </row>
    <row r="19" customFormat="false" ht="15" hidden="false" customHeight="false" outlineLevel="0" collapsed="false">
      <c r="A19" s="29" t="n">
        <v>15</v>
      </c>
      <c r="B19" s="16" t="s">
        <v>612</v>
      </c>
      <c r="C19" s="57" t="n">
        <f aca="false">月度汇总!$B$18</f>
        <v>99900</v>
      </c>
      <c r="D19" s="57" t="n">
        <f aca="false">应收对账!$I$3</f>
        <v>99900</v>
      </c>
      <c r="E19" s="41" t="n">
        <f aca="false">ROUND($C19-$D19,2)</f>
        <v>0</v>
      </c>
      <c r="F19" s="66" t="str">
        <f aca="false">IF(ABS($E19)&lt;0.005,"✔ 平","★ 差 "&amp;TEXT($E19,"#,##0.00"))</f>
        <v>✔ 平</v>
      </c>
      <c r="G19" s="67" t="s">
        <v>613</v>
      </c>
    </row>
    <row r="20" customFormat="false" ht="15" hidden="false" customHeight="false" outlineLevel="0" collapsed="false">
      <c r="A20" s="29" t="n">
        <v>16</v>
      </c>
      <c r="B20" s="16" t="s">
        <v>614</v>
      </c>
      <c r="C20" s="57" t="n">
        <f aca="false">月度汇总!$F$18</f>
        <v>61250</v>
      </c>
      <c r="D20" s="57" t="n">
        <f aca="false">应收对账!$N$3</f>
        <v>61250</v>
      </c>
      <c r="E20" s="41" t="n">
        <f aca="false">ROUND($C20-$D20,2)</f>
        <v>0</v>
      </c>
      <c r="F20" s="66" t="str">
        <f aca="false">IF(ABS($E20)&lt;0.005,"✔ 平","★ 差 "&amp;TEXT($E20,"#,##0.00"))</f>
        <v>✔ 平</v>
      </c>
      <c r="G20" s="67" t="s">
        <v>615</v>
      </c>
    </row>
    <row r="21" customFormat="false" ht="15" hidden="false" customHeight="false" outlineLevel="0" collapsed="false">
      <c r="A21" s="29" t="n">
        <v>17</v>
      </c>
      <c r="B21" s="16" t="s">
        <v>616</v>
      </c>
      <c r="C21" s="57" t="n">
        <f aca="false">月度汇总!$C$53</f>
        <v>99900</v>
      </c>
      <c r="D21" s="57" t="n">
        <f aca="false">应收对账!$I$3</f>
        <v>99900</v>
      </c>
      <c r="E21" s="41" t="n">
        <f aca="false">ROUND($C21-$D21,2)</f>
        <v>0</v>
      </c>
      <c r="F21" s="66" t="str">
        <f aca="false">IF(ABS($E21)&lt;0.005,"✔ 平","★ 差 "&amp;TEXT($E21,"#,##0.00"))</f>
        <v>✔ 平</v>
      </c>
      <c r="G21" s="67" t="s">
        <v>617</v>
      </c>
    </row>
    <row r="22" customFormat="false" ht="15" hidden="false" customHeight="false" outlineLevel="0" collapsed="false">
      <c r="A22" s="29" t="n">
        <v>18</v>
      </c>
      <c r="B22" s="16" t="s">
        <v>618</v>
      </c>
      <c r="C22" s="57" t="n">
        <f aca="false">月度汇总!$C$123</f>
        <v>61250</v>
      </c>
      <c r="D22" s="57" t="n">
        <f aca="false">应收对账!$N$3</f>
        <v>61250</v>
      </c>
      <c r="E22" s="41" t="n">
        <f aca="false">ROUND($C22-$D22,2)</f>
        <v>0</v>
      </c>
      <c r="F22" s="66" t="str">
        <f aca="false">IF(ABS($E22)&lt;0.005,"✔ 平","★ 差 "&amp;TEXT($E22,"#,##0.00"))</f>
        <v>✔ 平</v>
      </c>
      <c r="G22" s="67" t="s">
        <v>615</v>
      </c>
    </row>
    <row r="23" customFormat="false" ht="15" hidden="false" customHeight="false" outlineLevel="0" collapsed="false">
      <c r="A23" s="29" t="n">
        <v>19</v>
      </c>
      <c r="B23" s="16" t="s">
        <v>619</v>
      </c>
      <c r="C23" s="57" t="n">
        <f aca="false">月度汇总!$B$158</f>
        <v>61250</v>
      </c>
      <c r="D23" s="57" t="n">
        <f aca="false">应收对账!$N$3</f>
        <v>61250</v>
      </c>
      <c r="E23" s="41" t="n">
        <f aca="false">ROUND($C23-$D23,2)</f>
        <v>0</v>
      </c>
      <c r="F23" s="66" t="str">
        <f aca="false">IF(ABS($E23)&lt;0.005,"✔ 平","★ 差 "&amp;TEXT($E23,"#,##0.00"))</f>
        <v>✔ 平</v>
      </c>
      <c r="G23" s="67" t="s">
        <v>615</v>
      </c>
    </row>
    <row r="24" customFormat="false" ht="15" hidden="false" customHeight="false" outlineLevel="0" collapsed="false">
      <c r="A24" s="29" t="n">
        <v>20</v>
      </c>
      <c r="B24" s="16" t="s">
        <v>620</v>
      </c>
      <c r="C24" s="57" t="n">
        <f aca="false">月度汇总!$K$17</f>
        <v>44650</v>
      </c>
      <c r="D24" s="57" t="n">
        <f aca="false">ROUND(应收对账!$T$3-ROUND(SUM(应收对账!$Z$5:$Z$304),2),2)</f>
        <v>44650</v>
      </c>
      <c r="E24" s="41" t="n">
        <f aca="false">ROUND($C24-$D24,2)</f>
        <v>0</v>
      </c>
      <c r="F24" s="66" t="str">
        <f aca="false">IF(ABS($E24)&lt;0.005,"✔ 平","★ 差 "&amp;TEXT($E24,"#,##0.00"))</f>
        <v>✔ 平</v>
      </c>
      <c r="G24" s="67" t="s">
        <v>621</v>
      </c>
    </row>
    <row r="25" customFormat="false" ht="15" hidden="false" customHeight="false" outlineLevel="0" collapsed="false">
      <c r="A25" s="29" t="n">
        <v>21</v>
      </c>
      <c r="B25" s="16" t="s">
        <v>622</v>
      </c>
      <c r="C25" s="57" t="n">
        <f aca="false">维保合同!$T$3</f>
        <v>99900</v>
      </c>
      <c r="D25" s="57" t="n">
        <f aca="false">应收对账!$I$3</f>
        <v>99900</v>
      </c>
      <c r="E25" s="41" t="n">
        <f aca="false">ROUND($C25-$D25,2)</f>
        <v>0</v>
      </c>
      <c r="F25" s="66" t="str">
        <f aca="false">IF(ABS($E25)&lt;0.005,"✔ 平","★ 差 "&amp;TEXT($E25,"#,##0.00"))</f>
        <v>✔ 平</v>
      </c>
      <c r="G25" s="67" t="s">
        <v>623</v>
      </c>
    </row>
    <row r="26" customFormat="false" ht="15" hidden="false" customHeight="false" outlineLevel="0" collapsed="false">
      <c r="A26" s="29" t="n">
        <v>22</v>
      </c>
      <c r="B26" s="16" t="s">
        <v>624</v>
      </c>
      <c r="C26" s="57" t="n">
        <f aca="false">维保合同!$V$3</f>
        <v>44650</v>
      </c>
      <c r="D26" s="57" t="n">
        <f aca="false">应收对账!$T$3</f>
        <v>44650</v>
      </c>
      <c r="E26" s="41" t="n">
        <f aca="false">ROUND($C26-$D26,2)</f>
        <v>0</v>
      </c>
      <c r="F26" s="66" t="str">
        <f aca="false">IF(ABS($E26)&lt;0.005,"✔ 平","★ 差 "&amp;TEXT($E26,"#,##0.00"))</f>
        <v>✔ 平</v>
      </c>
      <c r="G26" s="67" t="s">
        <v>615</v>
      </c>
    </row>
    <row r="27" customFormat="false" ht="15" hidden="false" customHeight="false" outlineLevel="0" collapsed="false">
      <c r="A27" s="29" t="n">
        <v>23</v>
      </c>
      <c r="B27" s="16" t="s">
        <v>625</v>
      </c>
      <c r="C27" s="57" t="n">
        <f aca="false">月度汇总!$G$88</f>
        <v>44650</v>
      </c>
      <c r="D27" s="57" t="n">
        <f aca="false">维保合同!$V$3</f>
        <v>44650</v>
      </c>
      <c r="E27" s="41" t="n">
        <f aca="false">ROUND($C27-$D27,2)</f>
        <v>0</v>
      </c>
      <c r="F27" s="66" t="str">
        <f aca="false">IF(ABS($E27)&lt;0.005,"✔ 平","★ 差 "&amp;TEXT($E27,"#,##0.00"))</f>
        <v>✔ 平</v>
      </c>
      <c r="G27" s="67" t="s">
        <v>626</v>
      </c>
    </row>
    <row r="28" customFormat="false" ht="25.35" hidden="false" customHeight="false" outlineLevel="0" collapsed="false">
      <c r="A28" s="29" t="n">
        <v>24</v>
      </c>
      <c r="B28" s="16" t="s">
        <v>627</v>
      </c>
      <c r="C28" s="57" t="n">
        <f aca="false">电梯资料!$P$3</f>
        <v>22</v>
      </c>
      <c r="D28" s="57" t="n">
        <f aca="false">维保合同!$K$3</f>
        <v>22</v>
      </c>
      <c r="E28" s="41" t="n">
        <f aca="false">ROUND($C28-$D28,2)</f>
        <v>0</v>
      </c>
      <c r="F28" s="66" t="str">
        <f aca="false">IF(ABS($E28)&lt;0.005,"✔ 平","★ 差 "&amp;TEXT($E28,"#,##0.00"))</f>
        <v>✔ 平</v>
      </c>
      <c r="G28" s="67" t="s">
        <v>628</v>
      </c>
    </row>
    <row r="29" customFormat="false" ht="15" hidden="false" customHeight="false" outlineLevel="0" collapsed="false">
      <c r="A29" s="29" t="n">
        <v>25</v>
      </c>
      <c r="B29" s="16" t="s">
        <v>629</v>
      </c>
      <c r="C29" s="62" t="n">
        <f aca="false">_自动清单!$B$304</f>
        <v>5</v>
      </c>
      <c r="D29" s="62" t="n">
        <v>60</v>
      </c>
      <c r="E29" s="68" t="n">
        <f aca="false">$D29-$C29</f>
        <v>55</v>
      </c>
      <c r="F29" s="66" t="str">
        <f aca="false">IF($C29&lt;=$D29,"✔ 装得下","★ 超出 "&amp;TEXT($C29-$D29,"0")&amp;" 条")</f>
        <v>✔ 装得下</v>
      </c>
      <c r="G29" s="67" t="s">
        <v>630</v>
      </c>
    </row>
    <row r="30" customFormat="false" ht="15" hidden="false" customHeight="false" outlineLevel="0" collapsed="false">
      <c r="A30" s="29" t="n">
        <v>26</v>
      </c>
      <c r="B30" s="16" t="s">
        <v>631</v>
      </c>
      <c r="C30" s="62" t="n">
        <f aca="false">_自动清单!$E$604</f>
        <v>5</v>
      </c>
      <c r="D30" s="62" t="n">
        <v>80</v>
      </c>
      <c r="E30" s="68" t="n">
        <f aca="false">$D30-$C30</f>
        <v>75</v>
      </c>
      <c r="F30" s="66" t="str">
        <f aca="false">IF($C30&lt;=$D30,"✔ 装得下","★ 超出 "&amp;TEXT($C30-$D30,"0")&amp;" 条")</f>
        <v>✔ 装得下</v>
      </c>
      <c r="G30" s="67" t="s">
        <v>630</v>
      </c>
    </row>
    <row r="31" customFormat="false" ht="15" hidden="false" customHeight="false" outlineLevel="0" collapsed="false">
      <c r="A31" s="29" t="n">
        <v>27</v>
      </c>
      <c r="B31" s="16" t="s">
        <v>632</v>
      </c>
      <c r="C31" s="62" t="n">
        <f aca="false">_自动清单!$H$604</f>
        <v>4</v>
      </c>
      <c r="D31" s="62" t="n">
        <v>50</v>
      </c>
      <c r="E31" s="68" t="n">
        <f aca="false">$D31-$C31</f>
        <v>46</v>
      </c>
      <c r="F31" s="66" t="str">
        <f aca="false">IF($C31&lt;=$D31,"✔ 装得下","★ 超出 "&amp;TEXT($C31-$D31,"0")&amp;" 条")</f>
        <v>✔ 装得下</v>
      </c>
      <c r="G31" s="67" t="s">
        <v>630</v>
      </c>
    </row>
    <row r="32" customFormat="false" ht="15" hidden="false" customHeight="false" outlineLevel="0" collapsed="false">
      <c r="A32" s="29" t="n">
        <v>28</v>
      </c>
      <c r="B32" s="16" t="s">
        <v>633</v>
      </c>
      <c r="C32" s="62" t="n">
        <f aca="false">_自动清单!$K$304</f>
        <v>8</v>
      </c>
      <c r="D32" s="62" t="n">
        <v>60</v>
      </c>
      <c r="E32" s="68" t="n">
        <f aca="false">$D32-$C32</f>
        <v>52</v>
      </c>
      <c r="F32" s="66" t="str">
        <f aca="false">IF($C32&lt;=$D32,"✔ 装得下","★ 超出 "&amp;TEXT($C32-$D32,"0")&amp;" 条")</f>
        <v>✔ 装得下</v>
      </c>
      <c r="G32" s="67" t="s">
        <v>630</v>
      </c>
    </row>
    <row r="33" customFormat="false" ht="25.5" hidden="false" customHeight="true" outlineLevel="0" collapsed="false">
      <c r="A33" s="59"/>
      <c r="B33" s="69" t="str">
        <f aca="false">" 合计 28 项，通过 "&amp;COUNTIF($F$5:$F$32,"✔*")&amp;" 项，不平 "&amp;COUNTIF($F$5:$F$32,"★*")&amp;" 项 "</f>
        <v> 合计 28 项，通过 28 项，不平 0 项 </v>
      </c>
      <c r="C33" s="69"/>
      <c r="D33" s="69"/>
      <c r="E33" s="69"/>
      <c r="F33" s="70" t="str">
        <f aca="false">IF(COUNTIF($F$5:$F$32,"★*")=0,"✔ 全平","★ 有不平")</f>
        <v>✔ 全平</v>
      </c>
      <c r="G33" s="59"/>
    </row>
  </sheetData>
  <mergeCells count="3">
    <mergeCell ref="A1:G1"/>
    <mergeCell ref="A2:G2"/>
    <mergeCell ref="B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false"/>
  </sheetPr>
  <dimension ref="A1:K60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5" min="4" style="0" width="14"/>
    <col collapsed="false" customWidth="true" hidden="false" outlineLevel="0" max="8" min="7" style="0" width="14"/>
    <col collapsed="false" customWidth="true" hidden="false" outlineLevel="0" max="11" min="10" style="0" width="14"/>
  </cols>
  <sheetData>
    <row r="1" customFormat="false" ht="61.15" hidden="false" customHeight="false" outlineLevel="0" collapsed="false">
      <c r="A1" s="22" t="s">
        <v>634</v>
      </c>
    </row>
    <row r="4" customFormat="false" ht="15" hidden="false" customHeight="false" outlineLevel="0" collapsed="false">
      <c r="A4" s="4" t="s">
        <v>635</v>
      </c>
      <c r="B4" s="4" t="s">
        <v>636</v>
      </c>
      <c r="D4" s="4" t="s">
        <v>637</v>
      </c>
      <c r="E4" s="4" t="s">
        <v>636</v>
      </c>
      <c r="G4" s="4" t="s">
        <v>638</v>
      </c>
      <c r="H4" s="4" t="s">
        <v>636</v>
      </c>
      <c r="J4" s="4" t="s">
        <v>639</v>
      </c>
      <c r="K4" s="4" t="s">
        <v>636</v>
      </c>
    </row>
    <row r="5" customFormat="false" ht="15" hidden="false" customHeight="false" outlineLevel="0" collapsed="false">
      <c r="A5" s="71" t="n">
        <f aca="false">IF(维保合同!$C5="",0,IF(OR(维保合同!$Q5&lt;&gt;"",维保合同!$R5&lt;&gt;""),1,0))</f>
        <v>0</v>
      </c>
      <c r="B5" s="71" t="n">
        <f aca="false">SUM($A$5:$A5)</f>
        <v>0</v>
      </c>
      <c r="D5" s="71" t="n">
        <f aca="false">IF(电梯资料!$C5="",0,IF(OR(电梯资料!$AA5&lt;&gt;"",电梯资料!$AB5&lt;&gt;""),1,0))</f>
        <v>1</v>
      </c>
      <c r="E5" s="71" t="n">
        <f aca="false">SUM($D$5:$D5)</f>
        <v>1</v>
      </c>
      <c r="G5" s="71" t="n">
        <f aca="false">IF(电梯资料!$C5="",0,IF(OR(电梯资料!$Y5="安装免保",电梯资料!$Y5="技术免保",电梯资料!$Y5="质保期内"),1,0))</f>
        <v>0</v>
      </c>
      <c r="H5" s="71" t="n">
        <f aca="false">SUM($G$5:$G5)</f>
        <v>0</v>
      </c>
      <c r="J5" s="71" t="n">
        <f aca="false">IF(应收对账!$Y5="",0,IF(应收对账!$T5&gt;0.01,1,0))</f>
        <v>1</v>
      </c>
      <c r="K5" s="71" t="n">
        <f aca="false">SUM($J$5:$J5)</f>
        <v>1</v>
      </c>
    </row>
    <row r="6" customFormat="false" ht="15" hidden="false" customHeight="false" outlineLevel="0" collapsed="false">
      <c r="A6" s="71" t="n">
        <f aca="false">IF(维保合同!$C6="",0,IF(OR(维保合同!$Q6&lt;&gt;"",维保合同!$R6&lt;&gt;""),1,0))</f>
        <v>1</v>
      </c>
      <c r="B6" s="71" t="n">
        <f aca="false">SUM($A$5:$A6)</f>
        <v>1</v>
      </c>
      <c r="D6" s="71" t="n">
        <f aca="false">IF(电梯资料!$C6="",0,IF(OR(电梯资料!$AA6&lt;&gt;"",电梯资料!$AB6&lt;&gt;""),1,0))</f>
        <v>1</v>
      </c>
      <c r="E6" s="71" t="n">
        <f aca="false">SUM($D$5:$D6)</f>
        <v>2</v>
      </c>
      <c r="G6" s="71" t="n">
        <f aca="false">IF(电梯资料!$C6="",0,IF(OR(电梯资料!$Y6="安装免保",电梯资料!$Y6="技术免保",电梯资料!$Y6="质保期内"),1,0))</f>
        <v>0</v>
      </c>
      <c r="H6" s="71" t="n">
        <f aca="false">SUM($G$5:$G6)</f>
        <v>0</v>
      </c>
      <c r="J6" s="71" t="n">
        <f aca="false">IF(应收对账!$Y6="",0,IF(应收对账!$T6&gt;0.01,1,0))</f>
        <v>1</v>
      </c>
      <c r="K6" s="71" t="n">
        <f aca="false">SUM($J$5:$J6)</f>
        <v>2</v>
      </c>
    </row>
    <row r="7" customFormat="false" ht="15" hidden="false" customHeight="false" outlineLevel="0" collapsed="false">
      <c r="A7" s="71" t="n">
        <f aca="false">IF(维保合同!$C7="",0,IF(OR(维保合同!$Q7&lt;&gt;"",维保合同!$R7&lt;&gt;""),1,0))</f>
        <v>1</v>
      </c>
      <c r="B7" s="71" t="n">
        <f aca="false">SUM($A$5:$A7)</f>
        <v>2</v>
      </c>
      <c r="D7" s="71" t="n">
        <f aca="false">IF(电梯资料!$C7="",0,IF(OR(电梯资料!$AA7&lt;&gt;"",电梯资料!$AB7&lt;&gt;""),1,0))</f>
        <v>0</v>
      </c>
      <c r="E7" s="71" t="n">
        <f aca="false">SUM($D$5:$D7)</f>
        <v>2</v>
      </c>
      <c r="G7" s="71" t="n">
        <f aca="false">IF(电梯资料!$C7="",0,IF(OR(电梯资料!$Y7="安装免保",电梯资料!$Y7="技术免保",电梯资料!$Y7="质保期内"),1,0))</f>
        <v>0</v>
      </c>
      <c r="H7" s="71" t="n">
        <f aca="false">SUM($G$5:$G7)</f>
        <v>0</v>
      </c>
      <c r="J7" s="71" t="n">
        <f aca="false">IF(应收对账!$Y7="",0,IF(应收对账!$T7&gt;0.01,1,0))</f>
        <v>1</v>
      </c>
      <c r="K7" s="71" t="n">
        <f aca="false">SUM($J$5:$J7)</f>
        <v>3</v>
      </c>
    </row>
    <row r="8" customFormat="false" ht="15" hidden="false" customHeight="false" outlineLevel="0" collapsed="false">
      <c r="A8" s="71" t="n">
        <f aca="false">IF(维保合同!$C8="",0,IF(OR(维保合同!$Q8&lt;&gt;"",维保合同!$R8&lt;&gt;""),1,0))</f>
        <v>1</v>
      </c>
      <c r="B8" s="71" t="n">
        <f aca="false">SUM($A$5:$A8)</f>
        <v>3</v>
      </c>
      <c r="D8" s="71" t="n">
        <f aca="false">IF(电梯资料!$C8="",0,IF(OR(电梯资料!$AA8&lt;&gt;"",电梯资料!$AB8&lt;&gt;""),1,0))</f>
        <v>0</v>
      </c>
      <c r="E8" s="71" t="n">
        <f aca="false">SUM($D$5:$D8)</f>
        <v>2</v>
      </c>
      <c r="G8" s="71" t="n">
        <f aca="false">IF(电梯资料!$C8="",0,IF(OR(电梯资料!$Y8="安装免保",电梯资料!$Y8="技术免保",电梯资料!$Y8="质保期内"),1,0))</f>
        <v>0</v>
      </c>
      <c r="H8" s="71" t="n">
        <f aca="false">SUM($G$5:$G8)</f>
        <v>0</v>
      </c>
      <c r="J8" s="71" t="n">
        <f aca="false">IF(应收对账!$Y8="",0,IF(应收对账!$T8&gt;0.01,1,0))</f>
        <v>1</v>
      </c>
      <c r="K8" s="71" t="n">
        <f aca="false">SUM($J$5:$J8)</f>
        <v>4</v>
      </c>
    </row>
    <row r="9" customFormat="false" ht="15" hidden="false" customHeight="false" outlineLevel="0" collapsed="false">
      <c r="A9" s="71" t="n">
        <f aca="false">IF(维保合同!$C9="",0,IF(OR(维保合同!$Q9&lt;&gt;"",维保合同!$R9&lt;&gt;""),1,0))</f>
        <v>0</v>
      </c>
      <c r="B9" s="71" t="n">
        <f aca="false">SUM($A$5:$A9)</f>
        <v>3</v>
      </c>
      <c r="D9" s="71" t="n">
        <f aca="false">IF(电梯资料!$C9="",0,IF(OR(电梯资料!$AA9&lt;&gt;"",电梯资料!$AB9&lt;&gt;""),1,0))</f>
        <v>0</v>
      </c>
      <c r="E9" s="71" t="n">
        <f aca="false">SUM($D$5:$D9)</f>
        <v>2</v>
      </c>
      <c r="G9" s="71" t="n">
        <f aca="false">IF(电梯资料!$C9="",0,IF(OR(电梯资料!$Y9="安装免保",电梯资料!$Y9="技术免保",电梯资料!$Y9="质保期内"),1,0))</f>
        <v>1</v>
      </c>
      <c r="H9" s="71" t="n">
        <f aca="false">SUM($G$5:$G9)</f>
        <v>1</v>
      </c>
      <c r="J9" s="71" t="n">
        <f aca="false">IF(应收对账!$Y9="",0,IF(应收对账!$T9&gt;0.01,1,0))</f>
        <v>0</v>
      </c>
      <c r="K9" s="71" t="n">
        <f aca="false">SUM($J$5:$J9)</f>
        <v>4</v>
      </c>
    </row>
    <row r="10" customFormat="false" ht="15" hidden="false" customHeight="false" outlineLevel="0" collapsed="false">
      <c r="A10" s="71" t="n">
        <f aca="false">IF(维保合同!$C10="",0,IF(OR(维保合同!$Q10&lt;&gt;"",维保合同!$R10&lt;&gt;""),1,0))</f>
        <v>1</v>
      </c>
      <c r="B10" s="71" t="n">
        <f aca="false">SUM($A$5:$A10)</f>
        <v>4</v>
      </c>
      <c r="D10" s="71" t="n">
        <f aca="false">IF(电梯资料!$C10="",0,IF(OR(电梯资料!$AA10&lt;&gt;"",电梯资料!$AB10&lt;&gt;""),1,0))</f>
        <v>0</v>
      </c>
      <c r="E10" s="71" t="n">
        <f aca="false">SUM($D$5:$D10)</f>
        <v>2</v>
      </c>
      <c r="G10" s="71" t="n">
        <f aca="false">IF(电梯资料!$C10="",0,IF(OR(电梯资料!$Y10="安装免保",电梯资料!$Y10="技术免保",电梯资料!$Y10="质保期内"),1,0))</f>
        <v>0</v>
      </c>
      <c r="H10" s="71" t="n">
        <f aca="false">SUM($G$5:$G10)</f>
        <v>1</v>
      </c>
      <c r="J10" s="71" t="n">
        <f aca="false">IF(应收对账!$Y10="",0,IF(应收对账!$T10&gt;0.01,1,0))</f>
        <v>1</v>
      </c>
      <c r="K10" s="71" t="n">
        <f aca="false">SUM($J$5:$J10)</f>
        <v>5</v>
      </c>
    </row>
    <row r="11" customFormat="false" ht="15" hidden="false" customHeight="false" outlineLevel="0" collapsed="false">
      <c r="A11" s="71" t="n">
        <f aca="false">IF(维保合同!$C11="",0,IF(OR(维保合同!$Q11&lt;&gt;"",维保合同!$R11&lt;&gt;""),1,0))</f>
        <v>0</v>
      </c>
      <c r="B11" s="71" t="n">
        <f aca="false">SUM($A$5:$A11)</f>
        <v>4</v>
      </c>
      <c r="D11" s="71" t="n">
        <f aca="false">IF(电梯资料!$C11="",0,IF(OR(电梯资料!$AA11&lt;&gt;"",电梯资料!$AB11&lt;&gt;""),1,0))</f>
        <v>0</v>
      </c>
      <c r="E11" s="71" t="n">
        <f aca="false">SUM($D$5:$D11)</f>
        <v>2</v>
      </c>
      <c r="G11" s="71" t="n">
        <f aca="false">IF(电梯资料!$C11="",0,IF(OR(电梯资料!$Y11="安装免保",电梯资料!$Y11="技术免保",电梯资料!$Y11="质保期内"),1,0))</f>
        <v>0</v>
      </c>
      <c r="H11" s="71" t="n">
        <f aca="false">SUM($G$5:$G11)</f>
        <v>1</v>
      </c>
      <c r="J11" s="71" t="n">
        <f aca="false">IF(应收对账!$Y11="",0,IF(应收对账!$T11&gt;0.01,1,0))</f>
        <v>1</v>
      </c>
      <c r="K11" s="71" t="n">
        <f aca="false">SUM($J$5:$J11)</f>
        <v>6</v>
      </c>
    </row>
    <row r="12" customFormat="false" ht="15" hidden="false" customHeight="false" outlineLevel="0" collapsed="false">
      <c r="A12" s="71" t="n">
        <f aca="false">IF(维保合同!$C12="",0,IF(OR(维保合同!$Q12&lt;&gt;"",维保合同!$R12&lt;&gt;""),1,0))</f>
        <v>0</v>
      </c>
      <c r="B12" s="71" t="n">
        <f aca="false">SUM($A$5:$A12)</f>
        <v>4</v>
      </c>
      <c r="D12" s="71" t="n">
        <f aca="false">IF(电梯资料!$C12="",0,IF(OR(电梯资料!$AA12&lt;&gt;"",电梯资料!$AB12&lt;&gt;""),1,0))</f>
        <v>1</v>
      </c>
      <c r="E12" s="71" t="n">
        <f aca="false">SUM($D$5:$D12)</f>
        <v>3</v>
      </c>
      <c r="G12" s="71" t="n">
        <f aca="false">IF(电梯资料!$C12="",0,IF(OR(电梯资料!$Y12="安装免保",电梯资料!$Y12="技术免保",电梯资料!$Y12="质保期内"),1,0))</f>
        <v>0</v>
      </c>
      <c r="H12" s="71" t="n">
        <f aca="false">SUM($G$5:$G12)</f>
        <v>1</v>
      </c>
      <c r="J12" s="71" t="n">
        <f aca="false">IF(应收对账!$Y12="",0,IF(应收对账!$T12&gt;0.01,1,0))</f>
        <v>0</v>
      </c>
      <c r="K12" s="71" t="n">
        <f aca="false">SUM($J$5:$J12)</f>
        <v>6</v>
      </c>
    </row>
    <row r="13" customFormat="false" ht="15" hidden="false" customHeight="false" outlineLevel="0" collapsed="false">
      <c r="A13" s="71" t="n">
        <f aca="false">IF(维保合同!$C13="",0,IF(OR(维保合同!$Q13&lt;&gt;"",维保合同!$R13&lt;&gt;""),1,0))</f>
        <v>0</v>
      </c>
      <c r="B13" s="71" t="n">
        <f aca="false">SUM($A$5:$A13)</f>
        <v>4</v>
      </c>
      <c r="D13" s="71" t="n">
        <f aca="false">IF(电梯资料!$C13="",0,IF(OR(电梯资料!$AA13&lt;&gt;"",电梯资料!$AB13&lt;&gt;""),1,0))</f>
        <v>0</v>
      </c>
      <c r="E13" s="71" t="n">
        <f aca="false">SUM($D$5:$D13)</f>
        <v>3</v>
      </c>
      <c r="G13" s="71" t="n">
        <f aca="false">IF(电梯资料!$C13="",0,IF(OR(电梯资料!$Y13="安装免保",电梯资料!$Y13="技术免保",电梯资料!$Y13="质保期内"),1,0))</f>
        <v>0</v>
      </c>
      <c r="H13" s="71" t="n">
        <f aca="false">SUM($G$5:$G13)</f>
        <v>1</v>
      </c>
      <c r="J13" s="71" t="n">
        <f aca="false">IF(应收对账!$Y13="",0,IF(应收对账!$T13&gt;0.01,1,0))</f>
        <v>1</v>
      </c>
      <c r="K13" s="71" t="n">
        <f aca="false">SUM($J$5:$J13)</f>
        <v>7</v>
      </c>
    </row>
    <row r="14" customFormat="false" ht="15" hidden="false" customHeight="false" outlineLevel="0" collapsed="false">
      <c r="A14" s="71" t="n">
        <f aca="false">IF(维保合同!$C14="",0,IF(OR(维保合同!$Q14&lt;&gt;"",维保合同!$R14&lt;&gt;""),1,0))</f>
        <v>1</v>
      </c>
      <c r="B14" s="71" t="n">
        <f aca="false">SUM($A$5:$A14)</f>
        <v>5</v>
      </c>
      <c r="D14" s="71" t="n">
        <f aca="false">IF(电梯资料!$C14="",0,IF(OR(电梯资料!$AA14&lt;&gt;"",电梯资料!$AB14&lt;&gt;""),1,0))</f>
        <v>0</v>
      </c>
      <c r="E14" s="71" t="n">
        <f aca="false">SUM($D$5:$D14)</f>
        <v>3</v>
      </c>
      <c r="G14" s="71" t="n">
        <f aca="false">IF(电梯资料!$C14="",0,IF(OR(电梯资料!$Y14="安装免保",电梯资料!$Y14="技术免保",电梯资料!$Y14="质保期内"),1,0))</f>
        <v>1</v>
      </c>
      <c r="H14" s="71" t="n">
        <f aca="false">SUM($G$5:$G14)</f>
        <v>2</v>
      </c>
      <c r="J14" s="71" t="n">
        <f aca="false">IF(应收对账!$Y14="",0,IF(应收对账!$T14&gt;0.01,1,0))</f>
        <v>1</v>
      </c>
      <c r="K14" s="71" t="n">
        <f aca="false">SUM($J$5:$J14)</f>
        <v>8</v>
      </c>
    </row>
    <row r="15" customFormat="false" ht="15" hidden="false" customHeight="false" outlineLevel="0" collapsed="false">
      <c r="A15" s="71" t="n">
        <f aca="false">IF(维保合同!$C15="",0,IF(OR(维保合同!$Q15&lt;&gt;"",维保合同!$R15&lt;&gt;""),1,0))</f>
        <v>0</v>
      </c>
      <c r="B15" s="71" t="n">
        <f aca="false">SUM($A$5:$A15)</f>
        <v>5</v>
      </c>
      <c r="D15" s="71" t="n">
        <f aca="false">IF(电梯资料!$C15="",0,IF(OR(电梯资料!$AA15&lt;&gt;"",电梯资料!$AB15&lt;&gt;""),1,0))</f>
        <v>1</v>
      </c>
      <c r="E15" s="71" t="n">
        <f aca="false">SUM($D$5:$D15)</f>
        <v>4</v>
      </c>
      <c r="G15" s="71" t="n">
        <f aca="false">IF(电梯资料!$C15="",0,IF(OR(电梯资料!$Y15="安装免保",电梯资料!$Y15="技术免保",电梯资料!$Y15="质保期内"),1,0))</f>
        <v>0</v>
      </c>
      <c r="H15" s="71" t="n">
        <f aca="false">SUM($G$5:$G15)</f>
        <v>2</v>
      </c>
      <c r="J15" s="71" t="n">
        <f aca="false">IF(应收对账!$Y15="",0,IF(应收对账!$T15&gt;0.01,1,0))</f>
        <v>0</v>
      </c>
      <c r="K15" s="71" t="n">
        <f aca="false">SUM($J$5:$J15)</f>
        <v>8</v>
      </c>
    </row>
    <row r="16" customFormat="false" ht="15" hidden="false" customHeight="false" outlineLevel="0" collapsed="false">
      <c r="A16" s="71" t="n">
        <f aca="false">IF(维保合同!$C16="",0,IF(OR(维保合同!$Q16&lt;&gt;"",维保合同!$R16&lt;&gt;""),1,0))</f>
        <v>0</v>
      </c>
      <c r="B16" s="71" t="n">
        <f aca="false">SUM($A$5:$A16)</f>
        <v>5</v>
      </c>
      <c r="D16" s="71" t="n">
        <f aca="false">IF(电梯资料!$C16="",0,IF(OR(电梯资料!$AA16&lt;&gt;"",电梯资料!$AB16&lt;&gt;""),1,0))</f>
        <v>0</v>
      </c>
      <c r="E16" s="71" t="n">
        <f aca="false">SUM($D$5:$D16)</f>
        <v>4</v>
      </c>
      <c r="G16" s="71" t="n">
        <f aca="false">IF(电梯资料!$C16="",0,IF(OR(电梯资料!$Y16="安装免保",电梯资料!$Y16="技术免保",电梯资料!$Y16="质保期内"),1,0))</f>
        <v>0</v>
      </c>
      <c r="H16" s="71" t="n">
        <f aca="false">SUM($G$5:$G16)</f>
        <v>2</v>
      </c>
      <c r="J16" s="71" t="n">
        <f aca="false">IF(应收对账!$Y16="",0,IF(应收对账!$T16&gt;0.01,1,0))</f>
        <v>0</v>
      </c>
      <c r="K16" s="71" t="n">
        <f aca="false">SUM($J$5:$J16)</f>
        <v>8</v>
      </c>
    </row>
    <row r="17" customFormat="false" ht="15" hidden="false" customHeight="false" outlineLevel="0" collapsed="false">
      <c r="A17" s="71" t="n">
        <f aca="false">IF(维保合同!$C17="",0,IF(OR(维保合同!$Q17&lt;&gt;"",维保合同!$R17&lt;&gt;""),1,0))</f>
        <v>0</v>
      </c>
      <c r="B17" s="71" t="n">
        <f aca="false">SUM($A$5:$A17)</f>
        <v>5</v>
      </c>
      <c r="D17" s="71" t="n">
        <f aca="false">IF(电梯资料!$C17="",0,IF(OR(电梯资料!$AA17&lt;&gt;"",电梯资料!$AB17&lt;&gt;""),1,0))</f>
        <v>0</v>
      </c>
      <c r="E17" s="71" t="n">
        <f aca="false">SUM($D$5:$D17)</f>
        <v>4</v>
      </c>
      <c r="G17" s="71" t="n">
        <f aca="false">IF(电梯资料!$C17="",0,IF(OR(电梯资料!$Y17="安装免保",电梯资料!$Y17="技术免保",电梯资料!$Y17="质保期内"),1,0))</f>
        <v>0</v>
      </c>
      <c r="H17" s="71" t="n">
        <f aca="false">SUM($G$5:$G17)</f>
        <v>2</v>
      </c>
      <c r="J17" s="71" t="n">
        <f aca="false">IF(应收对账!$Y17="",0,IF(应收对账!$T17&gt;0.01,1,0))</f>
        <v>0</v>
      </c>
      <c r="K17" s="71" t="n">
        <f aca="false">SUM($J$5:$J17)</f>
        <v>8</v>
      </c>
    </row>
    <row r="18" customFormat="false" ht="15" hidden="false" customHeight="false" outlineLevel="0" collapsed="false">
      <c r="A18" s="71" t="n">
        <f aca="false">IF(维保合同!$C18="",0,IF(OR(维保合同!$Q18&lt;&gt;"",维保合同!$R18&lt;&gt;""),1,0))</f>
        <v>0</v>
      </c>
      <c r="B18" s="71" t="n">
        <f aca="false">SUM($A$5:$A18)</f>
        <v>5</v>
      </c>
      <c r="D18" s="71" t="n">
        <f aca="false">IF(电梯资料!$C18="",0,IF(OR(电梯资料!$AA18&lt;&gt;"",电梯资料!$AB18&lt;&gt;""),1,0))</f>
        <v>0</v>
      </c>
      <c r="E18" s="71" t="n">
        <f aca="false">SUM($D$5:$D18)</f>
        <v>4</v>
      </c>
      <c r="G18" s="71" t="n">
        <f aca="false">IF(电梯资料!$C18="",0,IF(OR(电梯资料!$Y18="安装免保",电梯资料!$Y18="技术免保",电梯资料!$Y18="质保期内"),1,0))</f>
        <v>0</v>
      </c>
      <c r="H18" s="71" t="n">
        <f aca="false">SUM($G$5:$G18)</f>
        <v>2</v>
      </c>
      <c r="J18" s="71" t="n">
        <f aca="false">IF(应收对账!$Y18="",0,IF(应收对账!$T18&gt;0.01,1,0))</f>
        <v>0</v>
      </c>
      <c r="K18" s="71" t="n">
        <f aca="false">SUM($J$5:$J18)</f>
        <v>8</v>
      </c>
    </row>
    <row r="19" customFormat="false" ht="15" hidden="false" customHeight="false" outlineLevel="0" collapsed="false">
      <c r="A19" s="71" t="n">
        <f aca="false">IF(维保合同!$C19="",0,IF(OR(维保合同!$Q19&lt;&gt;"",维保合同!$R19&lt;&gt;""),1,0))</f>
        <v>0</v>
      </c>
      <c r="B19" s="71" t="n">
        <f aca="false">SUM($A$5:$A19)</f>
        <v>5</v>
      </c>
      <c r="D19" s="71" t="n">
        <f aca="false">IF(电梯资料!$C19="",0,IF(OR(电梯资料!$AA19&lt;&gt;"",电梯资料!$AB19&lt;&gt;""),1,0))</f>
        <v>0</v>
      </c>
      <c r="E19" s="71" t="n">
        <f aca="false">SUM($D$5:$D19)</f>
        <v>4</v>
      </c>
      <c r="G19" s="71" t="n">
        <f aca="false">IF(电梯资料!$C19="",0,IF(OR(电梯资料!$Y19="安装免保",电梯资料!$Y19="技术免保",电梯资料!$Y19="质保期内"),1,0))</f>
        <v>0</v>
      </c>
      <c r="H19" s="71" t="n">
        <f aca="false">SUM($G$5:$G19)</f>
        <v>2</v>
      </c>
      <c r="J19" s="71" t="n">
        <f aca="false">IF(应收对账!$Y19="",0,IF(应收对账!$T19&gt;0.01,1,0))</f>
        <v>0</v>
      </c>
      <c r="K19" s="71" t="n">
        <f aca="false">SUM($J$5:$J19)</f>
        <v>8</v>
      </c>
    </row>
    <row r="20" customFormat="false" ht="15" hidden="false" customHeight="false" outlineLevel="0" collapsed="false">
      <c r="A20" s="71" t="n">
        <f aca="false">IF(维保合同!$C20="",0,IF(OR(维保合同!$Q20&lt;&gt;"",维保合同!$R20&lt;&gt;""),1,0))</f>
        <v>0</v>
      </c>
      <c r="B20" s="71" t="n">
        <f aca="false">SUM($A$5:$A20)</f>
        <v>5</v>
      </c>
      <c r="D20" s="71" t="n">
        <f aca="false">IF(电梯资料!$C20="",0,IF(OR(电梯资料!$AA20&lt;&gt;"",电梯资料!$AB20&lt;&gt;""),1,0))</f>
        <v>0</v>
      </c>
      <c r="E20" s="71" t="n">
        <f aca="false">SUM($D$5:$D20)</f>
        <v>4</v>
      </c>
      <c r="G20" s="71" t="n">
        <f aca="false">IF(电梯资料!$C20="",0,IF(OR(电梯资料!$Y20="安装免保",电梯资料!$Y20="技术免保",电梯资料!$Y20="质保期内"),1,0))</f>
        <v>1</v>
      </c>
      <c r="H20" s="71" t="n">
        <f aca="false">SUM($G$5:$G20)</f>
        <v>3</v>
      </c>
      <c r="J20" s="71" t="n">
        <f aca="false">IF(应收对账!$Y20="",0,IF(应收对账!$T20&gt;0.01,1,0))</f>
        <v>0</v>
      </c>
      <c r="K20" s="71" t="n">
        <f aca="false">SUM($J$5:$J20)</f>
        <v>8</v>
      </c>
    </row>
    <row r="21" customFormat="false" ht="15" hidden="false" customHeight="false" outlineLevel="0" collapsed="false">
      <c r="A21" s="71" t="n">
        <f aca="false">IF(维保合同!$C21="",0,IF(OR(维保合同!$Q21&lt;&gt;"",维保合同!$R21&lt;&gt;""),1,0))</f>
        <v>0</v>
      </c>
      <c r="B21" s="71" t="n">
        <f aca="false">SUM($A$5:$A21)</f>
        <v>5</v>
      </c>
      <c r="D21" s="71" t="n">
        <f aca="false">IF(电梯资料!$C21="",0,IF(OR(电梯资料!$AA21&lt;&gt;"",电梯资料!$AB21&lt;&gt;""),1,0))</f>
        <v>1</v>
      </c>
      <c r="E21" s="71" t="n">
        <f aca="false">SUM($D$5:$D21)</f>
        <v>5</v>
      </c>
      <c r="G21" s="71" t="n">
        <f aca="false">IF(电梯资料!$C21="",0,IF(OR(电梯资料!$Y21="安装免保",电梯资料!$Y21="技术免保",电梯资料!$Y21="质保期内"),1,0))</f>
        <v>0</v>
      </c>
      <c r="H21" s="71" t="n">
        <f aca="false">SUM($G$5:$G21)</f>
        <v>3</v>
      </c>
      <c r="J21" s="71" t="n">
        <f aca="false">IF(应收对账!$Y21="",0,IF(应收对账!$T21&gt;0.01,1,0))</f>
        <v>0</v>
      </c>
      <c r="K21" s="71" t="n">
        <f aca="false">SUM($J$5:$J21)</f>
        <v>8</v>
      </c>
    </row>
    <row r="22" customFormat="false" ht="15" hidden="false" customHeight="false" outlineLevel="0" collapsed="false">
      <c r="A22" s="71" t="n">
        <f aca="false">IF(维保合同!$C22="",0,IF(OR(维保合同!$Q22&lt;&gt;"",维保合同!$R22&lt;&gt;""),1,0))</f>
        <v>0</v>
      </c>
      <c r="B22" s="71" t="n">
        <f aca="false">SUM($A$5:$A22)</f>
        <v>5</v>
      </c>
      <c r="D22" s="71" t="n">
        <f aca="false">IF(电梯资料!$C22="",0,IF(OR(电梯资料!$AA22&lt;&gt;"",电梯资料!$AB22&lt;&gt;""),1,0))</f>
        <v>0</v>
      </c>
      <c r="E22" s="71" t="n">
        <f aca="false">SUM($D$5:$D22)</f>
        <v>5</v>
      </c>
      <c r="G22" s="71" t="n">
        <f aca="false">IF(电梯资料!$C22="",0,IF(OR(电梯资料!$Y22="安装免保",电梯资料!$Y22="技术免保",电梯资料!$Y22="质保期内"),1,0))</f>
        <v>0</v>
      </c>
      <c r="H22" s="71" t="n">
        <f aca="false">SUM($G$5:$G22)</f>
        <v>3</v>
      </c>
      <c r="J22" s="71" t="n">
        <f aca="false">IF(应收对账!$Y22="",0,IF(应收对账!$T22&gt;0.01,1,0))</f>
        <v>0</v>
      </c>
      <c r="K22" s="71" t="n">
        <f aca="false">SUM($J$5:$J22)</f>
        <v>8</v>
      </c>
    </row>
    <row r="23" customFormat="false" ht="15" hidden="false" customHeight="false" outlineLevel="0" collapsed="false">
      <c r="A23" s="71" t="n">
        <f aca="false">IF(维保合同!$C23="",0,IF(OR(维保合同!$Q23&lt;&gt;"",维保合同!$R23&lt;&gt;""),1,0))</f>
        <v>0</v>
      </c>
      <c r="B23" s="71" t="n">
        <f aca="false">SUM($A$5:$A23)</f>
        <v>5</v>
      </c>
      <c r="D23" s="71" t="n">
        <f aca="false">IF(电梯资料!$C23="",0,IF(OR(电梯资料!$AA23&lt;&gt;"",电梯资料!$AB23&lt;&gt;""),1,0))</f>
        <v>0</v>
      </c>
      <c r="E23" s="71" t="n">
        <f aca="false">SUM($D$5:$D23)</f>
        <v>5</v>
      </c>
      <c r="G23" s="71" t="n">
        <f aca="false">IF(电梯资料!$C23="",0,IF(OR(电梯资料!$Y23="安装免保",电梯资料!$Y23="技术免保",电梯资料!$Y23="质保期内"),1,0))</f>
        <v>0</v>
      </c>
      <c r="H23" s="71" t="n">
        <f aca="false">SUM($G$5:$G23)</f>
        <v>3</v>
      </c>
      <c r="J23" s="71" t="n">
        <f aca="false">IF(应收对账!$Y23="",0,IF(应收对账!$T23&gt;0.01,1,0))</f>
        <v>0</v>
      </c>
      <c r="K23" s="71" t="n">
        <f aca="false">SUM($J$5:$J23)</f>
        <v>8</v>
      </c>
    </row>
    <row r="24" customFormat="false" ht="15" hidden="false" customHeight="false" outlineLevel="0" collapsed="false">
      <c r="A24" s="71" t="n">
        <f aca="false">IF(维保合同!$C24="",0,IF(OR(维保合同!$Q24&lt;&gt;"",维保合同!$R24&lt;&gt;""),1,0))</f>
        <v>0</v>
      </c>
      <c r="B24" s="71" t="n">
        <f aca="false">SUM($A$5:$A24)</f>
        <v>5</v>
      </c>
      <c r="D24" s="71" t="n">
        <f aca="false">IF(电梯资料!$C24="",0,IF(OR(电梯资料!$AA24&lt;&gt;"",电梯资料!$AB24&lt;&gt;""),1,0))</f>
        <v>0</v>
      </c>
      <c r="E24" s="71" t="n">
        <f aca="false">SUM($D$5:$D24)</f>
        <v>5</v>
      </c>
      <c r="G24" s="71" t="n">
        <f aca="false">IF(电梯资料!$C24="",0,IF(OR(电梯资料!$Y24="安装免保",电梯资料!$Y24="技术免保",电梯资料!$Y24="质保期内"),1,0))</f>
        <v>0</v>
      </c>
      <c r="H24" s="71" t="n">
        <f aca="false">SUM($G$5:$G24)</f>
        <v>3</v>
      </c>
      <c r="J24" s="71" t="n">
        <f aca="false">IF(应收对账!$Y24="",0,IF(应收对账!$T24&gt;0.01,1,0))</f>
        <v>0</v>
      </c>
      <c r="K24" s="71" t="n">
        <f aca="false">SUM($J$5:$J24)</f>
        <v>8</v>
      </c>
    </row>
    <row r="25" customFormat="false" ht="15" hidden="false" customHeight="false" outlineLevel="0" collapsed="false">
      <c r="A25" s="71" t="n">
        <f aca="false">IF(维保合同!$C25="",0,IF(OR(维保合同!$Q25&lt;&gt;"",维保合同!$R25&lt;&gt;""),1,0))</f>
        <v>0</v>
      </c>
      <c r="B25" s="71" t="n">
        <f aca="false">SUM($A$5:$A25)</f>
        <v>5</v>
      </c>
      <c r="D25" s="71" t="n">
        <f aca="false">IF(电梯资料!$C25="",0,IF(OR(电梯资料!$AA25&lt;&gt;"",电梯资料!$AB25&lt;&gt;""),1,0))</f>
        <v>0</v>
      </c>
      <c r="E25" s="71" t="n">
        <f aca="false">SUM($D$5:$D25)</f>
        <v>5</v>
      </c>
      <c r="G25" s="71" t="n">
        <f aca="false">IF(电梯资料!$C25="",0,IF(OR(电梯资料!$Y25="安装免保",电梯资料!$Y25="技术免保",电梯资料!$Y25="质保期内"),1,0))</f>
        <v>0</v>
      </c>
      <c r="H25" s="71" t="n">
        <f aca="false">SUM($G$5:$G25)</f>
        <v>3</v>
      </c>
      <c r="J25" s="71" t="n">
        <f aca="false">IF(应收对账!$Y25="",0,IF(应收对账!$T25&gt;0.01,1,0))</f>
        <v>0</v>
      </c>
      <c r="K25" s="71" t="n">
        <f aca="false">SUM($J$5:$J25)</f>
        <v>8</v>
      </c>
    </row>
    <row r="26" customFormat="false" ht="15" hidden="false" customHeight="false" outlineLevel="0" collapsed="false">
      <c r="A26" s="71" t="n">
        <f aca="false">IF(维保合同!$C26="",0,IF(OR(维保合同!$Q26&lt;&gt;"",维保合同!$R26&lt;&gt;""),1,0))</f>
        <v>0</v>
      </c>
      <c r="B26" s="71" t="n">
        <f aca="false">SUM($A$5:$A26)</f>
        <v>5</v>
      </c>
      <c r="D26" s="71" t="n">
        <f aca="false">IF(电梯资料!$C26="",0,IF(OR(电梯资料!$AA26&lt;&gt;"",电梯资料!$AB26&lt;&gt;""),1,0))</f>
        <v>0</v>
      </c>
      <c r="E26" s="71" t="n">
        <f aca="false">SUM($D$5:$D26)</f>
        <v>5</v>
      </c>
      <c r="G26" s="71" t="n">
        <f aca="false">IF(电梯资料!$C26="",0,IF(OR(电梯资料!$Y26="安装免保",电梯资料!$Y26="技术免保",电梯资料!$Y26="质保期内"),1,0))</f>
        <v>1</v>
      </c>
      <c r="H26" s="71" t="n">
        <f aca="false">SUM($G$5:$G26)</f>
        <v>4</v>
      </c>
      <c r="J26" s="71" t="n">
        <f aca="false">IF(应收对账!$Y26="",0,IF(应收对账!$T26&gt;0.01,1,0))</f>
        <v>0</v>
      </c>
      <c r="K26" s="71" t="n">
        <f aca="false">SUM($J$5:$J26)</f>
        <v>8</v>
      </c>
    </row>
    <row r="27" customFormat="false" ht="15" hidden="false" customHeight="false" outlineLevel="0" collapsed="false">
      <c r="A27" s="71" t="n">
        <f aca="false">IF(维保合同!$C27="",0,IF(OR(维保合同!$Q27&lt;&gt;"",维保合同!$R27&lt;&gt;""),1,0))</f>
        <v>0</v>
      </c>
      <c r="B27" s="71" t="n">
        <f aca="false">SUM($A$5:$A27)</f>
        <v>5</v>
      </c>
      <c r="D27" s="71" t="n">
        <f aca="false">IF(电梯资料!$C27="",0,IF(OR(电梯资料!$AA27&lt;&gt;"",电梯资料!$AB27&lt;&gt;""),1,0))</f>
        <v>0</v>
      </c>
      <c r="E27" s="71" t="n">
        <f aca="false">SUM($D$5:$D27)</f>
        <v>5</v>
      </c>
      <c r="G27" s="71" t="n">
        <f aca="false">IF(电梯资料!$C27="",0,IF(OR(电梯资料!$Y27="安装免保",电梯资料!$Y27="技术免保",电梯资料!$Y27="质保期内"),1,0))</f>
        <v>0</v>
      </c>
      <c r="H27" s="71" t="n">
        <f aca="false">SUM($G$5:$G27)</f>
        <v>4</v>
      </c>
      <c r="J27" s="71" t="n">
        <f aca="false">IF(应收对账!$Y27="",0,IF(应收对账!$T27&gt;0.01,1,0))</f>
        <v>0</v>
      </c>
      <c r="K27" s="71" t="n">
        <f aca="false">SUM($J$5:$J27)</f>
        <v>8</v>
      </c>
    </row>
    <row r="28" customFormat="false" ht="15" hidden="false" customHeight="false" outlineLevel="0" collapsed="false">
      <c r="A28" s="71" t="n">
        <f aca="false">IF(维保合同!$C28="",0,IF(OR(维保合同!$Q28&lt;&gt;"",维保合同!$R28&lt;&gt;""),1,0))</f>
        <v>0</v>
      </c>
      <c r="B28" s="71" t="n">
        <f aca="false">SUM($A$5:$A28)</f>
        <v>5</v>
      </c>
      <c r="D28" s="71" t="n">
        <f aca="false">IF(电梯资料!$C28="",0,IF(OR(电梯资料!$AA28&lt;&gt;"",电梯资料!$AB28&lt;&gt;""),1,0))</f>
        <v>0</v>
      </c>
      <c r="E28" s="71" t="n">
        <f aca="false">SUM($D$5:$D28)</f>
        <v>5</v>
      </c>
      <c r="G28" s="71" t="n">
        <f aca="false">IF(电梯资料!$C28="",0,IF(OR(电梯资料!$Y28="安装免保",电梯资料!$Y28="技术免保",电梯资料!$Y28="质保期内"),1,0))</f>
        <v>0</v>
      </c>
      <c r="H28" s="71" t="n">
        <f aca="false">SUM($G$5:$G28)</f>
        <v>4</v>
      </c>
      <c r="J28" s="71" t="n">
        <f aca="false">IF(应收对账!$Y28="",0,IF(应收对账!$T28&gt;0.01,1,0))</f>
        <v>0</v>
      </c>
      <c r="K28" s="71" t="n">
        <f aca="false">SUM($J$5:$J28)</f>
        <v>8</v>
      </c>
    </row>
    <row r="29" customFormat="false" ht="15" hidden="false" customHeight="false" outlineLevel="0" collapsed="false">
      <c r="A29" s="71" t="n">
        <f aca="false">IF(维保合同!$C29="",0,IF(OR(维保合同!$Q29&lt;&gt;"",维保合同!$R29&lt;&gt;""),1,0))</f>
        <v>0</v>
      </c>
      <c r="B29" s="71" t="n">
        <f aca="false">SUM($A$5:$A29)</f>
        <v>5</v>
      </c>
      <c r="D29" s="71" t="n">
        <f aca="false">IF(电梯资料!$C29="",0,IF(OR(电梯资料!$AA29&lt;&gt;"",电梯资料!$AB29&lt;&gt;""),1,0))</f>
        <v>0</v>
      </c>
      <c r="E29" s="71" t="n">
        <f aca="false">SUM($D$5:$D29)</f>
        <v>5</v>
      </c>
      <c r="G29" s="71" t="n">
        <f aca="false">IF(电梯资料!$C29="",0,IF(OR(电梯资料!$Y29="安装免保",电梯资料!$Y29="技术免保",电梯资料!$Y29="质保期内"),1,0))</f>
        <v>0</v>
      </c>
      <c r="H29" s="71" t="n">
        <f aca="false">SUM($G$5:$G29)</f>
        <v>4</v>
      </c>
      <c r="J29" s="71" t="n">
        <f aca="false">IF(应收对账!$Y29="",0,IF(应收对账!$T29&gt;0.01,1,0))</f>
        <v>0</v>
      </c>
      <c r="K29" s="71" t="n">
        <f aca="false">SUM($J$5:$J29)</f>
        <v>8</v>
      </c>
    </row>
    <row r="30" customFormat="false" ht="15" hidden="false" customHeight="false" outlineLevel="0" collapsed="false">
      <c r="A30" s="71" t="n">
        <f aca="false">IF(维保合同!$C30="",0,IF(OR(维保合同!$Q30&lt;&gt;"",维保合同!$R30&lt;&gt;""),1,0))</f>
        <v>0</v>
      </c>
      <c r="B30" s="71" t="n">
        <f aca="false">SUM($A$5:$A30)</f>
        <v>5</v>
      </c>
      <c r="D30" s="71" t="n">
        <f aca="false">IF(电梯资料!$C30="",0,IF(OR(电梯资料!$AA30&lt;&gt;"",电梯资料!$AB30&lt;&gt;""),1,0))</f>
        <v>0</v>
      </c>
      <c r="E30" s="71" t="n">
        <f aca="false">SUM($D$5:$D30)</f>
        <v>5</v>
      </c>
      <c r="G30" s="71" t="n">
        <f aca="false">IF(电梯资料!$C30="",0,IF(OR(电梯资料!$Y30="安装免保",电梯资料!$Y30="技术免保",电梯资料!$Y30="质保期内"),1,0))</f>
        <v>0</v>
      </c>
      <c r="H30" s="71" t="n">
        <f aca="false">SUM($G$5:$G30)</f>
        <v>4</v>
      </c>
      <c r="J30" s="71" t="n">
        <f aca="false">IF(应收对账!$Y30="",0,IF(应收对账!$T30&gt;0.01,1,0))</f>
        <v>0</v>
      </c>
      <c r="K30" s="71" t="n">
        <f aca="false">SUM($J$5:$J30)</f>
        <v>8</v>
      </c>
    </row>
    <row r="31" customFormat="false" ht="15" hidden="false" customHeight="false" outlineLevel="0" collapsed="false">
      <c r="A31" s="71" t="n">
        <f aca="false">IF(维保合同!$C31="",0,IF(OR(维保合同!$Q31&lt;&gt;"",维保合同!$R31&lt;&gt;""),1,0))</f>
        <v>0</v>
      </c>
      <c r="B31" s="71" t="n">
        <f aca="false">SUM($A$5:$A31)</f>
        <v>5</v>
      </c>
      <c r="D31" s="71" t="n">
        <f aca="false">IF(电梯资料!$C31="",0,IF(OR(电梯资料!$AA31&lt;&gt;"",电梯资料!$AB31&lt;&gt;""),1,0))</f>
        <v>0</v>
      </c>
      <c r="E31" s="71" t="n">
        <f aca="false">SUM($D$5:$D31)</f>
        <v>5</v>
      </c>
      <c r="G31" s="71" t="n">
        <f aca="false">IF(电梯资料!$C31="",0,IF(OR(电梯资料!$Y31="安装免保",电梯资料!$Y31="技术免保",电梯资料!$Y31="质保期内"),1,0))</f>
        <v>0</v>
      </c>
      <c r="H31" s="71" t="n">
        <f aca="false">SUM($G$5:$G31)</f>
        <v>4</v>
      </c>
      <c r="J31" s="71" t="n">
        <f aca="false">IF(应收对账!$Y31="",0,IF(应收对账!$T31&gt;0.01,1,0))</f>
        <v>0</v>
      </c>
      <c r="K31" s="71" t="n">
        <f aca="false">SUM($J$5:$J31)</f>
        <v>8</v>
      </c>
    </row>
    <row r="32" customFormat="false" ht="15" hidden="false" customHeight="false" outlineLevel="0" collapsed="false">
      <c r="A32" s="71" t="n">
        <f aca="false">IF(维保合同!$C32="",0,IF(OR(维保合同!$Q32&lt;&gt;"",维保合同!$R32&lt;&gt;""),1,0))</f>
        <v>0</v>
      </c>
      <c r="B32" s="71" t="n">
        <f aca="false">SUM($A$5:$A32)</f>
        <v>5</v>
      </c>
      <c r="D32" s="71" t="n">
        <f aca="false">IF(电梯资料!$C32="",0,IF(OR(电梯资料!$AA32&lt;&gt;"",电梯资料!$AB32&lt;&gt;""),1,0))</f>
        <v>0</v>
      </c>
      <c r="E32" s="71" t="n">
        <f aca="false">SUM($D$5:$D32)</f>
        <v>5</v>
      </c>
      <c r="G32" s="71" t="n">
        <f aca="false">IF(电梯资料!$C32="",0,IF(OR(电梯资料!$Y32="安装免保",电梯资料!$Y32="技术免保",电梯资料!$Y32="质保期内"),1,0))</f>
        <v>0</v>
      </c>
      <c r="H32" s="71" t="n">
        <f aca="false">SUM($G$5:$G32)</f>
        <v>4</v>
      </c>
      <c r="J32" s="71" t="n">
        <f aca="false">IF(应收对账!$Y32="",0,IF(应收对账!$T32&gt;0.01,1,0))</f>
        <v>0</v>
      </c>
      <c r="K32" s="71" t="n">
        <f aca="false">SUM($J$5:$J32)</f>
        <v>8</v>
      </c>
    </row>
    <row r="33" customFormat="false" ht="15" hidden="false" customHeight="false" outlineLevel="0" collapsed="false">
      <c r="A33" s="71" t="n">
        <f aca="false">IF(维保合同!$C33="",0,IF(OR(维保合同!$Q33&lt;&gt;"",维保合同!$R33&lt;&gt;""),1,0))</f>
        <v>0</v>
      </c>
      <c r="B33" s="71" t="n">
        <f aca="false">SUM($A$5:$A33)</f>
        <v>5</v>
      </c>
      <c r="D33" s="71" t="n">
        <f aca="false">IF(电梯资料!$C33="",0,IF(OR(电梯资料!$AA33&lt;&gt;"",电梯资料!$AB33&lt;&gt;""),1,0))</f>
        <v>0</v>
      </c>
      <c r="E33" s="71" t="n">
        <f aca="false">SUM($D$5:$D33)</f>
        <v>5</v>
      </c>
      <c r="G33" s="71" t="n">
        <f aca="false">IF(电梯资料!$C33="",0,IF(OR(电梯资料!$Y33="安装免保",电梯资料!$Y33="技术免保",电梯资料!$Y33="质保期内"),1,0))</f>
        <v>0</v>
      </c>
      <c r="H33" s="71" t="n">
        <f aca="false">SUM($G$5:$G33)</f>
        <v>4</v>
      </c>
      <c r="J33" s="71" t="n">
        <f aca="false">IF(应收对账!$Y33="",0,IF(应收对账!$T33&gt;0.01,1,0))</f>
        <v>0</v>
      </c>
      <c r="K33" s="71" t="n">
        <f aca="false">SUM($J$5:$J33)</f>
        <v>8</v>
      </c>
    </row>
    <row r="34" customFormat="false" ht="15" hidden="false" customHeight="false" outlineLevel="0" collapsed="false">
      <c r="A34" s="71" t="n">
        <f aca="false">IF(维保合同!$C34="",0,IF(OR(维保合同!$Q34&lt;&gt;"",维保合同!$R34&lt;&gt;""),1,0))</f>
        <v>0</v>
      </c>
      <c r="B34" s="71" t="n">
        <f aca="false">SUM($A$5:$A34)</f>
        <v>5</v>
      </c>
      <c r="D34" s="71" t="n">
        <f aca="false">IF(电梯资料!$C34="",0,IF(OR(电梯资料!$AA34&lt;&gt;"",电梯资料!$AB34&lt;&gt;""),1,0))</f>
        <v>0</v>
      </c>
      <c r="E34" s="71" t="n">
        <f aca="false">SUM($D$5:$D34)</f>
        <v>5</v>
      </c>
      <c r="G34" s="71" t="n">
        <f aca="false">IF(电梯资料!$C34="",0,IF(OR(电梯资料!$Y34="安装免保",电梯资料!$Y34="技术免保",电梯资料!$Y34="质保期内"),1,0))</f>
        <v>0</v>
      </c>
      <c r="H34" s="71" t="n">
        <f aca="false">SUM($G$5:$G34)</f>
        <v>4</v>
      </c>
      <c r="J34" s="71" t="n">
        <f aca="false">IF(应收对账!$Y34="",0,IF(应收对账!$T34&gt;0.01,1,0))</f>
        <v>0</v>
      </c>
      <c r="K34" s="71" t="n">
        <f aca="false">SUM($J$5:$J34)</f>
        <v>8</v>
      </c>
    </row>
    <row r="35" customFormat="false" ht="15" hidden="false" customHeight="false" outlineLevel="0" collapsed="false">
      <c r="A35" s="71" t="n">
        <f aca="false">IF(维保合同!$C35="",0,IF(OR(维保合同!$Q35&lt;&gt;"",维保合同!$R35&lt;&gt;""),1,0))</f>
        <v>0</v>
      </c>
      <c r="B35" s="71" t="n">
        <f aca="false">SUM($A$5:$A35)</f>
        <v>5</v>
      </c>
      <c r="D35" s="71" t="n">
        <f aca="false">IF(电梯资料!$C35="",0,IF(OR(电梯资料!$AA35&lt;&gt;"",电梯资料!$AB35&lt;&gt;""),1,0))</f>
        <v>0</v>
      </c>
      <c r="E35" s="71" t="n">
        <f aca="false">SUM($D$5:$D35)</f>
        <v>5</v>
      </c>
      <c r="G35" s="71" t="n">
        <f aca="false">IF(电梯资料!$C35="",0,IF(OR(电梯资料!$Y35="安装免保",电梯资料!$Y35="技术免保",电梯资料!$Y35="质保期内"),1,0))</f>
        <v>0</v>
      </c>
      <c r="H35" s="71" t="n">
        <f aca="false">SUM($G$5:$G35)</f>
        <v>4</v>
      </c>
      <c r="J35" s="71" t="n">
        <f aca="false">IF(应收对账!$Y35="",0,IF(应收对账!$T35&gt;0.01,1,0))</f>
        <v>0</v>
      </c>
      <c r="K35" s="71" t="n">
        <f aca="false">SUM($J$5:$J35)</f>
        <v>8</v>
      </c>
    </row>
    <row r="36" customFormat="false" ht="15" hidden="false" customHeight="false" outlineLevel="0" collapsed="false">
      <c r="A36" s="71" t="n">
        <f aca="false">IF(维保合同!$C36="",0,IF(OR(维保合同!$Q36&lt;&gt;"",维保合同!$R36&lt;&gt;""),1,0))</f>
        <v>0</v>
      </c>
      <c r="B36" s="71" t="n">
        <f aca="false">SUM($A$5:$A36)</f>
        <v>5</v>
      </c>
      <c r="D36" s="71" t="n">
        <f aca="false">IF(电梯资料!$C36="",0,IF(OR(电梯资料!$AA36&lt;&gt;"",电梯资料!$AB36&lt;&gt;""),1,0))</f>
        <v>0</v>
      </c>
      <c r="E36" s="71" t="n">
        <f aca="false">SUM($D$5:$D36)</f>
        <v>5</v>
      </c>
      <c r="G36" s="71" t="n">
        <f aca="false">IF(电梯资料!$C36="",0,IF(OR(电梯资料!$Y36="安装免保",电梯资料!$Y36="技术免保",电梯资料!$Y36="质保期内"),1,0))</f>
        <v>0</v>
      </c>
      <c r="H36" s="71" t="n">
        <f aca="false">SUM($G$5:$G36)</f>
        <v>4</v>
      </c>
      <c r="J36" s="71" t="n">
        <f aca="false">IF(应收对账!$Y36="",0,IF(应收对账!$T36&gt;0.01,1,0))</f>
        <v>0</v>
      </c>
      <c r="K36" s="71" t="n">
        <f aca="false">SUM($J$5:$J36)</f>
        <v>8</v>
      </c>
    </row>
    <row r="37" customFormat="false" ht="15" hidden="false" customHeight="false" outlineLevel="0" collapsed="false">
      <c r="A37" s="71" t="n">
        <f aca="false">IF(维保合同!$C37="",0,IF(OR(维保合同!$Q37&lt;&gt;"",维保合同!$R37&lt;&gt;""),1,0))</f>
        <v>0</v>
      </c>
      <c r="B37" s="71" t="n">
        <f aca="false">SUM($A$5:$A37)</f>
        <v>5</v>
      </c>
      <c r="D37" s="71" t="n">
        <f aca="false">IF(电梯资料!$C37="",0,IF(OR(电梯资料!$AA37&lt;&gt;"",电梯资料!$AB37&lt;&gt;""),1,0))</f>
        <v>0</v>
      </c>
      <c r="E37" s="71" t="n">
        <f aca="false">SUM($D$5:$D37)</f>
        <v>5</v>
      </c>
      <c r="G37" s="71" t="n">
        <f aca="false">IF(电梯资料!$C37="",0,IF(OR(电梯资料!$Y37="安装免保",电梯资料!$Y37="技术免保",电梯资料!$Y37="质保期内"),1,0))</f>
        <v>0</v>
      </c>
      <c r="H37" s="71" t="n">
        <f aca="false">SUM($G$5:$G37)</f>
        <v>4</v>
      </c>
      <c r="J37" s="71" t="n">
        <f aca="false">IF(应收对账!$Y37="",0,IF(应收对账!$T37&gt;0.01,1,0))</f>
        <v>0</v>
      </c>
      <c r="K37" s="71" t="n">
        <f aca="false">SUM($J$5:$J37)</f>
        <v>8</v>
      </c>
    </row>
    <row r="38" customFormat="false" ht="15" hidden="false" customHeight="false" outlineLevel="0" collapsed="false">
      <c r="A38" s="71" t="n">
        <f aca="false">IF(维保合同!$C38="",0,IF(OR(维保合同!$Q38&lt;&gt;"",维保合同!$R38&lt;&gt;""),1,0))</f>
        <v>0</v>
      </c>
      <c r="B38" s="71" t="n">
        <f aca="false">SUM($A$5:$A38)</f>
        <v>5</v>
      </c>
      <c r="D38" s="71" t="n">
        <f aca="false">IF(电梯资料!$C38="",0,IF(OR(电梯资料!$AA38&lt;&gt;"",电梯资料!$AB38&lt;&gt;""),1,0))</f>
        <v>0</v>
      </c>
      <c r="E38" s="71" t="n">
        <f aca="false">SUM($D$5:$D38)</f>
        <v>5</v>
      </c>
      <c r="G38" s="71" t="n">
        <f aca="false">IF(电梯资料!$C38="",0,IF(OR(电梯资料!$Y38="安装免保",电梯资料!$Y38="技术免保",电梯资料!$Y38="质保期内"),1,0))</f>
        <v>0</v>
      </c>
      <c r="H38" s="71" t="n">
        <f aca="false">SUM($G$5:$G38)</f>
        <v>4</v>
      </c>
      <c r="J38" s="71" t="n">
        <f aca="false">IF(应收对账!$Y38="",0,IF(应收对账!$T38&gt;0.01,1,0))</f>
        <v>0</v>
      </c>
      <c r="K38" s="71" t="n">
        <f aca="false">SUM($J$5:$J38)</f>
        <v>8</v>
      </c>
    </row>
    <row r="39" customFormat="false" ht="15" hidden="false" customHeight="false" outlineLevel="0" collapsed="false">
      <c r="A39" s="71" t="n">
        <f aca="false">IF(维保合同!$C39="",0,IF(OR(维保合同!$Q39&lt;&gt;"",维保合同!$R39&lt;&gt;""),1,0))</f>
        <v>0</v>
      </c>
      <c r="B39" s="71" t="n">
        <f aca="false">SUM($A$5:$A39)</f>
        <v>5</v>
      </c>
      <c r="D39" s="71" t="n">
        <f aca="false">IF(电梯资料!$C39="",0,IF(OR(电梯资料!$AA39&lt;&gt;"",电梯资料!$AB39&lt;&gt;""),1,0))</f>
        <v>0</v>
      </c>
      <c r="E39" s="71" t="n">
        <f aca="false">SUM($D$5:$D39)</f>
        <v>5</v>
      </c>
      <c r="G39" s="71" t="n">
        <f aca="false">IF(电梯资料!$C39="",0,IF(OR(电梯资料!$Y39="安装免保",电梯资料!$Y39="技术免保",电梯资料!$Y39="质保期内"),1,0))</f>
        <v>0</v>
      </c>
      <c r="H39" s="71" t="n">
        <f aca="false">SUM($G$5:$G39)</f>
        <v>4</v>
      </c>
      <c r="J39" s="71" t="n">
        <f aca="false">IF(应收对账!$Y39="",0,IF(应收对账!$T39&gt;0.01,1,0))</f>
        <v>0</v>
      </c>
      <c r="K39" s="71" t="n">
        <f aca="false">SUM($J$5:$J39)</f>
        <v>8</v>
      </c>
    </row>
    <row r="40" customFormat="false" ht="15" hidden="false" customHeight="false" outlineLevel="0" collapsed="false">
      <c r="A40" s="71" t="n">
        <f aca="false">IF(维保合同!$C40="",0,IF(OR(维保合同!$Q40&lt;&gt;"",维保合同!$R40&lt;&gt;""),1,0))</f>
        <v>0</v>
      </c>
      <c r="B40" s="71" t="n">
        <f aca="false">SUM($A$5:$A40)</f>
        <v>5</v>
      </c>
      <c r="D40" s="71" t="n">
        <f aca="false">IF(电梯资料!$C40="",0,IF(OR(电梯资料!$AA40&lt;&gt;"",电梯资料!$AB40&lt;&gt;""),1,0))</f>
        <v>0</v>
      </c>
      <c r="E40" s="71" t="n">
        <f aca="false">SUM($D$5:$D40)</f>
        <v>5</v>
      </c>
      <c r="G40" s="71" t="n">
        <f aca="false">IF(电梯资料!$C40="",0,IF(OR(电梯资料!$Y40="安装免保",电梯资料!$Y40="技术免保",电梯资料!$Y40="质保期内"),1,0))</f>
        <v>0</v>
      </c>
      <c r="H40" s="71" t="n">
        <f aca="false">SUM($G$5:$G40)</f>
        <v>4</v>
      </c>
      <c r="J40" s="71" t="n">
        <f aca="false">IF(应收对账!$Y40="",0,IF(应收对账!$T40&gt;0.01,1,0))</f>
        <v>0</v>
      </c>
      <c r="K40" s="71" t="n">
        <f aca="false">SUM($J$5:$J40)</f>
        <v>8</v>
      </c>
    </row>
    <row r="41" customFormat="false" ht="15" hidden="false" customHeight="false" outlineLevel="0" collapsed="false">
      <c r="A41" s="71" t="n">
        <f aca="false">IF(维保合同!$C41="",0,IF(OR(维保合同!$Q41&lt;&gt;"",维保合同!$R41&lt;&gt;""),1,0))</f>
        <v>0</v>
      </c>
      <c r="B41" s="71" t="n">
        <f aca="false">SUM($A$5:$A41)</f>
        <v>5</v>
      </c>
      <c r="D41" s="71" t="n">
        <f aca="false">IF(电梯资料!$C41="",0,IF(OR(电梯资料!$AA41&lt;&gt;"",电梯资料!$AB41&lt;&gt;""),1,0))</f>
        <v>0</v>
      </c>
      <c r="E41" s="71" t="n">
        <f aca="false">SUM($D$5:$D41)</f>
        <v>5</v>
      </c>
      <c r="G41" s="71" t="n">
        <f aca="false">IF(电梯资料!$C41="",0,IF(OR(电梯资料!$Y41="安装免保",电梯资料!$Y41="技术免保",电梯资料!$Y41="质保期内"),1,0))</f>
        <v>0</v>
      </c>
      <c r="H41" s="71" t="n">
        <f aca="false">SUM($G$5:$G41)</f>
        <v>4</v>
      </c>
      <c r="J41" s="71" t="n">
        <f aca="false">IF(应收对账!$Y41="",0,IF(应收对账!$T41&gt;0.01,1,0))</f>
        <v>0</v>
      </c>
      <c r="K41" s="71" t="n">
        <f aca="false">SUM($J$5:$J41)</f>
        <v>8</v>
      </c>
    </row>
    <row r="42" customFormat="false" ht="15" hidden="false" customHeight="false" outlineLevel="0" collapsed="false">
      <c r="A42" s="71" t="n">
        <f aca="false">IF(维保合同!$C42="",0,IF(OR(维保合同!$Q42&lt;&gt;"",维保合同!$R42&lt;&gt;""),1,0))</f>
        <v>0</v>
      </c>
      <c r="B42" s="71" t="n">
        <f aca="false">SUM($A$5:$A42)</f>
        <v>5</v>
      </c>
      <c r="D42" s="71" t="n">
        <f aca="false">IF(电梯资料!$C42="",0,IF(OR(电梯资料!$AA42&lt;&gt;"",电梯资料!$AB42&lt;&gt;""),1,0))</f>
        <v>0</v>
      </c>
      <c r="E42" s="71" t="n">
        <f aca="false">SUM($D$5:$D42)</f>
        <v>5</v>
      </c>
      <c r="G42" s="71" t="n">
        <f aca="false">IF(电梯资料!$C42="",0,IF(OR(电梯资料!$Y42="安装免保",电梯资料!$Y42="技术免保",电梯资料!$Y42="质保期内"),1,0))</f>
        <v>0</v>
      </c>
      <c r="H42" s="71" t="n">
        <f aca="false">SUM($G$5:$G42)</f>
        <v>4</v>
      </c>
      <c r="J42" s="71" t="n">
        <f aca="false">IF(应收对账!$Y42="",0,IF(应收对账!$T42&gt;0.01,1,0))</f>
        <v>0</v>
      </c>
      <c r="K42" s="71" t="n">
        <f aca="false">SUM($J$5:$J42)</f>
        <v>8</v>
      </c>
    </row>
    <row r="43" customFormat="false" ht="15" hidden="false" customHeight="false" outlineLevel="0" collapsed="false">
      <c r="A43" s="71" t="n">
        <f aca="false">IF(维保合同!$C43="",0,IF(OR(维保合同!$Q43&lt;&gt;"",维保合同!$R43&lt;&gt;""),1,0))</f>
        <v>0</v>
      </c>
      <c r="B43" s="71" t="n">
        <f aca="false">SUM($A$5:$A43)</f>
        <v>5</v>
      </c>
      <c r="D43" s="71" t="n">
        <f aca="false">IF(电梯资料!$C43="",0,IF(OR(电梯资料!$AA43&lt;&gt;"",电梯资料!$AB43&lt;&gt;""),1,0))</f>
        <v>0</v>
      </c>
      <c r="E43" s="71" t="n">
        <f aca="false">SUM($D$5:$D43)</f>
        <v>5</v>
      </c>
      <c r="G43" s="71" t="n">
        <f aca="false">IF(电梯资料!$C43="",0,IF(OR(电梯资料!$Y43="安装免保",电梯资料!$Y43="技术免保",电梯资料!$Y43="质保期内"),1,0))</f>
        <v>0</v>
      </c>
      <c r="H43" s="71" t="n">
        <f aca="false">SUM($G$5:$G43)</f>
        <v>4</v>
      </c>
      <c r="J43" s="71" t="n">
        <f aca="false">IF(应收对账!$Y43="",0,IF(应收对账!$T43&gt;0.01,1,0))</f>
        <v>0</v>
      </c>
      <c r="K43" s="71" t="n">
        <f aca="false">SUM($J$5:$J43)</f>
        <v>8</v>
      </c>
    </row>
    <row r="44" customFormat="false" ht="15" hidden="false" customHeight="false" outlineLevel="0" collapsed="false">
      <c r="A44" s="71" t="n">
        <f aca="false">IF(维保合同!$C44="",0,IF(OR(维保合同!$Q44&lt;&gt;"",维保合同!$R44&lt;&gt;""),1,0))</f>
        <v>0</v>
      </c>
      <c r="B44" s="71" t="n">
        <f aca="false">SUM($A$5:$A44)</f>
        <v>5</v>
      </c>
      <c r="D44" s="71" t="n">
        <f aca="false">IF(电梯资料!$C44="",0,IF(OR(电梯资料!$AA44&lt;&gt;"",电梯资料!$AB44&lt;&gt;""),1,0))</f>
        <v>0</v>
      </c>
      <c r="E44" s="71" t="n">
        <f aca="false">SUM($D$5:$D44)</f>
        <v>5</v>
      </c>
      <c r="G44" s="71" t="n">
        <f aca="false">IF(电梯资料!$C44="",0,IF(OR(电梯资料!$Y44="安装免保",电梯资料!$Y44="技术免保",电梯资料!$Y44="质保期内"),1,0))</f>
        <v>0</v>
      </c>
      <c r="H44" s="71" t="n">
        <f aca="false">SUM($G$5:$G44)</f>
        <v>4</v>
      </c>
      <c r="J44" s="71" t="n">
        <f aca="false">IF(应收对账!$Y44="",0,IF(应收对账!$T44&gt;0.01,1,0))</f>
        <v>0</v>
      </c>
      <c r="K44" s="71" t="n">
        <f aca="false">SUM($J$5:$J44)</f>
        <v>8</v>
      </c>
    </row>
    <row r="45" customFormat="false" ht="15" hidden="false" customHeight="false" outlineLevel="0" collapsed="false">
      <c r="A45" s="71" t="n">
        <f aca="false">IF(维保合同!$C45="",0,IF(OR(维保合同!$Q45&lt;&gt;"",维保合同!$R45&lt;&gt;""),1,0))</f>
        <v>0</v>
      </c>
      <c r="B45" s="71" t="n">
        <f aca="false">SUM($A$5:$A45)</f>
        <v>5</v>
      </c>
      <c r="D45" s="71" t="n">
        <f aca="false">IF(电梯资料!$C45="",0,IF(OR(电梯资料!$AA45&lt;&gt;"",电梯资料!$AB45&lt;&gt;""),1,0))</f>
        <v>0</v>
      </c>
      <c r="E45" s="71" t="n">
        <f aca="false">SUM($D$5:$D45)</f>
        <v>5</v>
      </c>
      <c r="G45" s="71" t="n">
        <f aca="false">IF(电梯资料!$C45="",0,IF(OR(电梯资料!$Y45="安装免保",电梯资料!$Y45="技术免保",电梯资料!$Y45="质保期内"),1,0))</f>
        <v>0</v>
      </c>
      <c r="H45" s="71" t="n">
        <f aca="false">SUM($G$5:$G45)</f>
        <v>4</v>
      </c>
      <c r="J45" s="71" t="n">
        <f aca="false">IF(应收对账!$Y45="",0,IF(应收对账!$T45&gt;0.01,1,0))</f>
        <v>0</v>
      </c>
      <c r="K45" s="71" t="n">
        <f aca="false">SUM($J$5:$J45)</f>
        <v>8</v>
      </c>
    </row>
    <row r="46" customFormat="false" ht="15" hidden="false" customHeight="false" outlineLevel="0" collapsed="false">
      <c r="A46" s="71" t="n">
        <f aca="false">IF(维保合同!$C46="",0,IF(OR(维保合同!$Q46&lt;&gt;"",维保合同!$R46&lt;&gt;""),1,0))</f>
        <v>0</v>
      </c>
      <c r="B46" s="71" t="n">
        <f aca="false">SUM($A$5:$A46)</f>
        <v>5</v>
      </c>
      <c r="D46" s="71" t="n">
        <f aca="false">IF(电梯资料!$C46="",0,IF(OR(电梯资料!$AA46&lt;&gt;"",电梯资料!$AB46&lt;&gt;""),1,0))</f>
        <v>0</v>
      </c>
      <c r="E46" s="71" t="n">
        <f aca="false">SUM($D$5:$D46)</f>
        <v>5</v>
      </c>
      <c r="G46" s="71" t="n">
        <f aca="false">IF(电梯资料!$C46="",0,IF(OR(电梯资料!$Y46="安装免保",电梯资料!$Y46="技术免保",电梯资料!$Y46="质保期内"),1,0))</f>
        <v>0</v>
      </c>
      <c r="H46" s="71" t="n">
        <f aca="false">SUM($G$5:$G46)</f>
        <v>4</v>
      </c>
      <c r="J46" s="71" t="n">
        <f aca="false">IF(应收对账!$Y46="",0,IF(应收对账!$T46&gt;0.01,1,0))</f>
        <v>0</v>
      </c>
      <c r="K46" s="71" t="n">
        <f aca="false">SUM($J$5:$J46)</f>
        <v>8</v>
      </c>
    </row>
    <row r="47" customFormat="false" ht="15" hidden="false" customHeight="false" outlineLevel="0" collapsed="false">
      <c r="A47" s="71" t="n">
        <f aca="false">IF(维保合同!$C47="",0,IF(OR(维保合同!$Q47&lt;&gt;"",维保合同!$R47&lt;&gt;""),1,0))</f>
        <v>0</v>
      </c>
      <c r="B47" s="71" t="n">
        <f aca="false">SUM($A$5:$A47)</f>
        <v>5</v>
      </c>
      <c r="D47" s="71" t="n">
        <f aca="false">IF(电梯资料!$C47="",0,IF(OR(电梯资料!$AA47&lt;&gt;"",电梯资料!$AB47&lt;&gt;""),1,0))</f>
        <v>0</v>
      </c>
      <c r="E47" s="71" t="n">
        <f aca="false">SUM($D$5:$D47)</f>
        <v>5</v>
      </c>
      <c r="G47" s="71" t="n">
        <f aca="false">IF(电梯资料!$C47="",0,IF(OR(电梯资料!$Y47="安装免保",电梯资料!$Y47="技术免保",电梯资料!$Y47="质保期内"),1,0))</f>
        <v>0</v>
      </c>
      <c r="H47" s="71" t="n">
        <f aca="false">SUM($G$5:$G47)</f>
        <v>4</v>
      </c>
      <c r="J47" s="71" t="n">
        <f aca="false">IF(应收对账!$Y47="",0,IF(应收对账!$T47&gt;0.01,1,0))</f>
        <v>0</v>
      </c>
      <c r="K47" s="71" t="n">
        <f aca="false">SUM($J$5:$J47)</f>
        <v>8</v>
      </c>
    </row>
    <row r="48" customFormat="false" ht="15" hidden="false" customHeight="false" outlineLevel="0" collapsed="false">
      <c r="A48" s="71" t="n">
        <f aca="false">IF(维保合同!$C48="",0,IF(OR(维保合同!$Q48&lt;&gt;"",维保合同!$R48&lt;&gt;""),1,0))</f>
        <v>0</v>
      </c>
      <c r="B48" s="71" t="n">
        <f aca="false">SUM($A$5:$A48)</f>
        <v>5</v>
      </c>
      <c r="D48" s="71" t="n">
        <f aca="false">IF(电梯资料!$C48="",0,IF(OR(电梯资料!$AA48&lt;&gt;"",电梯资料!$AB48&lt;&gt;""),1,0))</f>
        <v>0</v>
      </c>
      <c r="E48" s="71" t="n">
        <f aca="false">SUM($D$5:$D48)</f>
        <v>5</v>
      </c>
      <c r="G48" s="71" t="n">
        <f aca="false">IF(电梯资料!$C48="",0,IF(OR(电梯资料!$Y48="安装免保",电梯资料!$Y48="技术免保",电梯资料!$Y48="质保期内"),1,0))</f>
        <v>0</v>
      </c>
      <c r="H48" s="71" t="n">
        <f aca="false">SUM($G$5:$G48)</f>
        <v>4</v>
      </c>
      <c r="J48" s="71" t="n">
        <f aca="false">IF(应收对账!$Y48="",0,IF(应收对账!$T48&gt;0.01,1,0))</f>
        <v>0</v>
      </c>
      <c r="K48" s="71" t="n">
        <f aca="false">SUM($J$5:$J48)</f>
        <v>8</v>
      </c>
    </row>
    <row r="49" customFormat="false" ht="15" hidden="false" customHeight="false" outlineLevel="0" collapsed="false">
      <c r="A49" s="71" t="n">
        <f aca="false">IF(维保合同!$C49="",0,IF(OR(维保合同!$Q49&lt;&gt;"",维保合同!$R49&lt;&gt;""),1,0))</f>
        <v>0</v>
      </c>
      <c r="B49" s="71" t="n">
        <f aca="false">SUM($A$5:$A49)</f>
        <v>5</v>
      </c>
      <c r="D49" s="71" t="n">
        <f aca="false">IF(电梯资料!$C49="",0,IF(OR(电梯资料!$AA49&lt;&gt;"",电梯资料!$AB49&lt;&gt;""),1,0))</f>
        <v>0</v>
      </c>
      <c r="E49" s="71" t="n">
        <f aca="false">SUM($D$5:$D49)</f>
        <v>5</v>
      </c>
      <c r="G49" s="71" t="n">
        <f aca="false">IF(电梯资料!$C49="",0,IF(OR(电梯资料!$Y49="安装免保",电梯资料!$Y49="技术免保",电梯资料!$Y49="质保期内"),1,0))</f>
        <v>0</v>
      </c>
      <c r="H49" s="71" t="n">
        <f aca="false">SUM($G$5:$G49)</f>
        <v>4</v>
      </c>
      <c r="J49" s="71" t="n">
        <f aca="false">IF(应收对账!$Y49="",0,IF(应收对账!$T49&gt;0.01,1,0))</f>
        <v>0</v>
      </c>
      <c r="K49" s="71" t="n">
        <f aca="false">SUM($J$5:$J49)</f>
        <v>8</v>
      </c>
    </row>
    <row r="50" customFormat="false" ht="15" hidden="false" customHeight="false" outlineLevel="0" collapsed="false">
      <c r="A50" s="71" t="n">
        <f aca="false">IF(维保合同!$C50="",0,IF(OR(维保合同!$Q50&lt;&gt;"",维保合同!$R50&lt;&gt;""),1,0))</f>
        <v>0</v>
      </c>
      <c r="B50" s="71" t="n">
        <f aca="false">SUM($A$5:$A50)</f>
        <v>5</v>
      </c>
      <c r="D50" s="71" t="n">
        <f aca="false">IF(电梯资料!$C50="",0,IF(OR(电梯资料!$AA50&lt;&gt;"",电梯资料!$AB50&lt;&gt;""),1,0))</f>
        <v>0</v>
      </c>
      <c r="E50" s="71" t="n">
        <f aca="false">SUM($D$5:$D50)</f>
        <v>5</v>
      </c>
      <c r="G50" s="71" t="n">
        <f aca="false">IF(电梯资料!$C50="",0,IF(OR(电梯资料!$Y50="安装免保",电梯资料!$Y50="技术免保",电梯资料!$Y50="质保期内"),1,0))</f>
        <v>0</v>
      </c>
      <c r="H50" s="71" t="n">
        <f aca="false">SUM($G$5:$G50)</f>
        <v>4</v>
      </c>
      <c r="J50" s="71" t="n">
        <f aca="false">IF(应收对账!$Y50="",0,IF(应收对账!$T50&gt;0.01,1,0))</f>
        <v>0</v>
      </c>
      <c r="K50" s="71" t="n">
        <f aca="false">SUM($J$5:$J50)</f>
        <v>8</v>
      </c>
    </row>
    <row r="51" customFormat="false" ht="15" hidden="false" customHeight="false" outlineLevel="0" collapsed="false">
      <c r="A51" s="71" t="n">
        <f aca="false">IF(维保合同!$C51="",0,IF(OR(维保合同!$Q51&lt;&gt;"",维保合同!$R51&lt;&gt;""),1,0))</f>
        <v>0</v>
      </c>
      <c r="B51" s="71" t="n">
        <f aca="false">SUM($A$5:$A51)</f>
        <v>5</v>
      </c>
      <c r="D51" s="71" t="n">
        <f aca="false">IF(电梯资料!$C51="",0,IF(OR(电梯资料!$AA51&lt;&gt;"",电梯资料!$AB51&lt;&gt;""),1,0))</f>
        <v>0</v>
      </c>
      <c r="E51" s="71" t="n">
        <f aca="false">SUM($D$5:$D51)</f>
        <v>5</v>
      </c>
      <c r="G51" s="71" t="n">
        <f aca="false">IF(电梯资料!$C51="",0,IF(OR(电梯资料!$Y51="安装免保",电梯资料!$Y51="技术免保",电梯资料!$Y51="质保期内"),1,0))</f>
        <v>0</v>
      </c>
      <c r="H51" s="71" t="n">
        <f aca="false">SUM($G$5:$G51)</f>
        <v>4</v>
      </c>
      <c r="J51" s="71" t="n">
        <f aca="false">IF(应收对账!$Y51="",0,IF(应收对账!$T51&gt;0.01,1,0))</f>
        <v>0</v>
      </c>
      <c r="K51" s="71" t="n">
        <f aca="false">SUM($J$5:$J51)</f>
        <v>8</v>
      </c>
    </row>
    <row r="52" customFormat="false" ht="15" hidden="false" customHeight="false" outlineLevel="0" collapsed="false">
      <c r="A52" s="71" t="n">
        <f aca="false">IF(维保合同!$C52="",0,IF(OR(维保合同!$Q52&lt;&gt;"",维保合同!$R52&lt;&gt;""),1,0))</f>
        <v>0</v>
      </c>
      <c r="B52" s="71" t="n">
        <f aca="false">SUM($A$5:$A52)</f>
        <v>5</v>
      </c>
      <c r="D52" s="71" t="n">
        <f aca="false">IF(电梯资料!$C52="",0,IF(OR(电梯资料!$AA52&lt;&gt;"",电梯资料!$AB52&lt;&gt;""),1,0))</f>
        <v>0</v>
      </c>
      <c r="E52" s="71" t="n">
        <f aca="false">SUM($D$5:$D52)</f>
        <v>5</v>
      </c>
      <c r="G52" s="71" t="n">
        <f aca="false">IF(电梯资料!$C52="",0,IF(OR(电梯资料!$Y52="安装免保",电梯资料!$Y52="技术免保",电梯资料!$Y52="质保期内"),1,0))</f>
        <v>0</v>
      </c>
      <c r="H52" s="71" t="n">
        <f aca="false">SUM($G$5:$G52)</f>
        <v>4</v>
      </c>
      <c r="J52" s="71" t="n">
        <f aca="false">IF(应收对账!$Y52="",0,IF(应收对账!$T52&gt;0.01,1,0))</f>
        <v>0</v>
      </c>
      <c r="K52" s="71" t="n">
        <f aca="false">SUM($J$5:$J52)</f>
        <v>8</v>
      </c>
    </row>
    <row r="53" customFormat="false" ht="15" hidden="false" customHeight="false" outlineLevel="0" collapsed="false">
      <c r="A53" s="71" t="n">
        <f aca="false">IF(维保合同!$C53="",0,IF(OR(维保合同!$Q53&lt;&gt;"",维保合同!$R53&lt;&gt;""),1,0))</f>
        <v>0</v>
      </c>
      <c r="B53" s="71" t="n">
        <f aca="false">SUM($A$5:$A53)</f>
        <v>5</v>
      </c>
      <c r="D53" s="71" t="n">
        <f aca="false">IF(电梯资料!$C53="",0,IF(OR(电梯资料!$AA53&lt;&gt;"",电梯资料!$AB53&lt;&gt;""),1,0))</f>
        <v>0</v>
      </c>
      <c r="E53" s="71" t="n">
        <f aca="false">SUM($D$5:$D53)</f>
        <v>5</v>
      </c>
      <c r="G53" s="71" t="n">
        <f aca="false">IF(电梯资料!$C53="",0,IF(OR(电梯资料!$Y53="安装免保",电梯资料!$Y53="技术免保",电梯资料!$Y53="质保期内"),1,0))</f>
        <v>0</v>
      </c>
      <c r="H53" s="71" t="n">
        <f aca="false">SUM($G$5:$G53)</f>
        <v>4</v>
      </c>
      <c r="J53" s="71" t="n">
        <f aca="false">IF(应收对账!$Y53="",0,IF(应收对账!$T53&gt;0.01,1,0))</f>
        <v>0</v>
      </c>
      <c r="K53" s="71" t="n">
        <f aca="false">SUM($J$5:$J53)</f>
        <v>8</v>
      </c>
    </row>
    <row r="54" customFormat="false" ht="15" hidden="false" customHeight="false" outlineLevel="0" collapsed="false">
      <c r="A54" s="71" t="n">
        <f aca="false">IF(维保合同!$C54="",0,IF(OR(维保合同!$Q54&lt;&gt;"",维保合同!$R54&lt;&gt;""),1,0))</f>
        <v>0</v>
      </c>
      <c r="B54" s="71" t="n">
        <f aca="false">SUM($A$5:$A54)</f>
        <v>5</v>
      </c>
      <c r="D54" s="71" t="n">
        <f aca="false">IF(电梯资料!$C54="",0,IF(OR(电梯资料!$AA54&lt;&gt;"",电梯资料!$AB54&lt;&gt;""),1,0))</f>
        <v>0</v>
      </c>
      <c r="E54" s="71" t="n">
        <f aca="false">SUM($D$5:$D54)</f>
        <v>5</v>
      </c>
      <c r="G54" s="71" t="n">
        <f aca="false">IF(电梯资料!$C54="",0,IF(OR(电梯资料!$Y54="安装免保",电梯资料!$Y54="技术免保",电梯资料!$Y54="质保期内"),1,0))</f>
        <v>0</v>
      </c>
      <c r="H54" s="71" t="n">
        <f aca="false">SUM($G$5:$G54)</f>
        <v>4</v>
      </c>
      <c r="J54" s="71" t="n">
        <f aca="false">IF(应收对账!$Y54="",0,IF(应收对账!$T54&gt;0.01,1,0))</f>
        <v>0</v>
      </c>
      <c r="K54" s="71" t="n">
        <f aca="false">SUM($J$5:$J54)</f>
        <v>8</v>
      </c>
    </row>
    <row r="55" customFormat="false" ht="15" hidden="false" customHeight="false" outlineLevel="0" collapsed="false">
      <c r="A55" s="71" t="n">
        <f aca="false">IF(维保合同!$C55="",0,IF(OR(维保合同!$Q55&lt;&gt;"",维保合同!$R55&lt;&gt;""),1,0))</f>
        <v>0</v>
      </c>
      <c r="B55" s="71" t="n">
        <f aca="false">SUM($A$5:$A55)</f>
        <v>5</v>
      </c>
      <c r="D55" s="71" t="n">
        <f aca="false">IF(电梯资料!$C55="",0,IF(OR(电梯资料!$AA55&lt;&gt;"",电梯资料!$AB55&lt;&gt;""),1,0))</f>
        <v>0</v>
      </c>
      <c r="E55" s="71" t="n">
        <f aca="false">SUM($D$5:$D55)</f>
        <v>5</v>
      </c>
      <c r="G55" s="71" t="n">
        <f aca="false">IF(电梯资料!$C55="",0,IF(OR(电梯资料!$Y55="安装免保",电梯资料!$Y55="技术免保",电梯资料!$Y55="质保期内"),1,0))</f>
        <v>0</v>
      </c>
      <c r="H55" s="71" t="n">
        <f aca="false">SUM($G$5:$G55)</f>
        <v>4</v>
      </c>
      <c r="J55" s="71" t="n">
        <f aca="false">IF(应收对账!$Y55="",0,IF(应收对账!$T55&gt;0.01,1,0))</f>
        <v>0</v>
      </c>
      <c r="K55" s="71" t="n">
        <f aca="false">SUM($J$5:$J55)</f>
        <v>8</v>
      </c>
    </row>
    <row r="56" customFormat="false" ht="15" hidden="false" customHeight="false" outlineLevel="0" collapsed="false">
      <c r="A56" s="71" t="n">
        <f aca="false">IF(维保合同!$C56="",0,IF(OR(维保合同!$Q56&lt;&gt;"",维保合同!$R56&lt;&gt;""),1,0))</f>
        <v>0</v>
      </c>
      <c r="B56" s="71" t="n">
        <f aca="false">SUM($A$5:$A56)</f>
        <v>5</v>
      </c>
      <c r="D56" s="71" t="n">
        <f aca="false">IF(电梯资料!$C56="",0,IF(OR(电梯资料!$AA56&lt;&gt;"",电梯资料!$AB56&lt;&gt;""),1,0))</f>
        <v>0</v>
      </c>
      <c r="E56" s="71" t="n">
        <f aca="false">SUM($D$5:$D56)</f>
        <v>5</v>
      </c>
      <c r="G56" s="71" t="n">
        <f aca="false">IF(电梯资料!$C56="",0,IF(OR(电梯资料!$Y56="安装免保",电梯资料!$Y56="技术免保",电梯资料!$Y56="质保期内"),1,0))</f>
        <v>0</v>
      </c>
      <c r="H56" s="71" t="n">
        <f aca="false">SUM($G$5:$G56)</f>
        <v>4</v>
      </c>
      <c r="J56" s="71" t="n">
        <f aca="false">IF(应收对账!$Y56="",0,IF(应收对账!$T56&gt;0.01,1,0))</f>
        <v>0</v>
      </c>
      <c r="K56" s="71" t="n">
        <f aca="false">SUM($J$5:$J56)</f>
        <v>8</v>
      </c>
    </row>
    <row r="57" customFormat="false" ht="15" hidden="false" customHeight="false" outlineLevel="0" collapsed="false">
      <c r="A57" s="71" t="n">
        <f aca="false">IF(维保合同!$C57="",0,IF(OR(维保合同!$Q57&lt;&gt;"",维保合同!$R57&lt;&gt;""),1,0))</f>
        <v>0</v>
      </c>
      <c r="B57" s="71" t="n">
        <f aca="false">SUM($A$5:$A57)</f>
        <v>5</v>
      </c>
      <c r="D57" s="71" t="n">
        <f aca="false">IF(电梯资料!$C57="",0,IF(OR(电梯资料!$AA57&lt;&gt;"",电梯资料!$AB57&lt;&gt;""),1,0))</f>
        <v>0</v>
      </c>
      <c r="E57" s="71" t="n">
        <f aca="false">SUM($D$5:$D57)</f>
        <v>5</v>
      </c>
      <c r="G57" s="71" t="n">
        <f aca="false">IF(电梯资料!$C57="",0,IF(OR(电梯资料!$Y57="安装免保",电梯资料!$Y57="技术免保",电梯资料!$Y57="质保期内"),1,0))</f>
        <v>0</v>
      </c>
      <c r="H57" s="71" t="n">
        <f aca="false">SUM($G$5:$G57)</f>
        <v>4</v>
      </c>
      <c r="J57" s="71" t="n">
        <f aca="false">IF(应收对账!$Y57="",0,IF(应收对账!$T57&gt;0.01,1,0))</f>
        <v>0</v>
      </c>
      <c r="K57" s="71" t="n">
        <f aca="false">SUM($J$5:$J57)</f>
        <v>8</v>
      </c>
    </row>
    <row r="58" customFormat="false" ht="15" hidden="false" customHeight="false" outlineLevel="0" collapsed="false">
      <c r="A58" s="71" t="n">
        <f aca="false">IF(维保合同!$C58="",0,IF(OR(维保合同!$Q58&lt;&gt;"",维保合同!$R58&lt;&gt;""),1,0))</f>
        <v>0</v>
      </c>
      <c r="B58" s="71" t="n">
        <f aca="false">SUM($A$5:$A58)</f>
        <v>5</v>
      </c>
      <c r="D58" s="71" t="n">
        <f aca="false">IF(电梯资料!$C58="",0,IF(OR(电梯资料!$AA58&lt;&gt;"",电梯资料!$AB58&lt;&gt;""),1,0))</f>
        <v>0</v>
      </c>
      <c r="E58" s="71" t="n">
        <f aca="false">SUM($D$5:$D58)</f>
        <v>5</v>
      </c>
      <c r="G58" s="71" t="n">
        <f aca="false">IF(电梯资料!$C58="",0,IF(OR(电梯资料!$Y58="安装免保",电梯资料!$Y58="技术免保",电梯资料!$Y58="质保期内"),1,0))</f>
        <v>0</v>
      </c>
      <c r="H58" s="71" t="n">
        <f aca="false">SUM($G$5:$G58)</f>
        <v>4</v>
      </c>
      <c r="J58" s="71" t="n">
        <f aca="false">IF(应收对账!$Y58="",0,IF(应收对账!$T58&gt;0.01,1,0))</f>
        <v>0</v>
      </c>
      <c r="K58" s="71" t="n">
        <f aca="false">SUM($J$5:$J58)</f>
        <v>8</v>
      </c>
    </row>
    <row r="59" customFormat="false" ht="15" hidden="false" customHeight="false" outlineLevel="0" collapsed="false">
      <c r="A59" s="71" t="n">
        <f aca="false">IF(维保合同!$C59="",0,IF(OR(维保合同!$Q59&lt;&gt;"",维保合同!$R59&lt;&gt;""),1,0))</f>
        <v>0</v>
      </c>
      <c r="B59" s="71" t="n">
        <f aca="false">SUM($A$5:$A59)</f>
        <v>5</v>
      </c>
      <c r="D59" s="71" t="n">
        <f aca="false">IF(电梯资料!$C59="",0,IF(OR(电梯资料!$AA59&lt;&gt;"",电梯资料!$AB59&lt;&gt;""),1,0))</f>
        <v>0</v>
      </c>
      <c r="E59" s="71" t="n">
        <f aca="false">SUM($D$5:$D59)</f>
        <v>5</v>
      </c>
      <c r="G59" s="71" t="n">
        <f aca="false">IF(电梯资料!$C59="",0,IF(OR(电梯资料!$Y59="安装免保",电梯资料!$Y59="技术免保",电梯资料!$Y59="质保期内"),1,0))</f>
        <v>0</v>
      </c>
      <c r="H59" s="71" t="n">
        <f aca="false">SUM($G$5:$G59)</f>
        <v>4</v>
      </c>
      <c r="J59" s="71" t="n">
        <f aca="false">IF(应收对账!$Y59="",0,IF(应收对账!$T59&gt;0.01,1,0))</f>
        <v>0</v>
      </c>
      <c r="K59" s="71" t="n">
        <f aca="false">SUM($J$5:$J59)</f>
        <v>8</v>
      </c>
    </row>
    <row r="60" customFormat="false" ht="15" hidden="false" customHeight="false" outlineLevel="0" collapsed="false">
      <c r="A60" s="71" t="n">
        <f aca="false">IF(维保合同!$C60="",0,IF(OR(维保合同!$Q60&lt;&gt;"",维保合同!$R60&lt;&gt;""),1,0))</f>
        <v>0</v>
      </c>
      <c r="B60" s="71" t="n">
        <f aca="false">SUM($A$5:$A60)</f>
        <v>5</v>
      </c>
      <c r="D60" s="71" t="n">
        <f aca="false">IF(电梯资料!$C60="",0,IF(OR(电梯资料!$AA60&lt;&gt;"",电梯资料!$AB60&lt;&gt;""),1,0))</f>
        <v>0</v>
      </c>
      <c r="E60" s="71" t="n">
        <f aca="false">SUM($D$5:$D60)</f>
        <v>5</v>
      </c>
      <c r="G60" s="71" t="n">
        <f aca="false">IF(电梯资料!$C60="",0,IF(OR(电梯资料!$Y60="安装免保",电梯资料!$Y60="技术免保",电梯资料!$Y60="质保期内"),1,0))</f>
        <v>0</v>
      </c>
      <c r="H60" s="71" t="n">
        <f aca="false">SUM($G$5:$G60)</f>
        <v>4</v>
      </c>
      <c r="J60" s="71" t="n">
        <f aca="false">IF(应收对账!$Y60="",0,IF(应收对账!$T60&gt;0.01,1,0))</f>
        <v>0</v>
      </c>
      <c r="K60" s="71" t="n">
        <f aca="false">SUM($J$5:$J60)</f>
        <v>8</v>
      </c>
    </row>
    <row r="61" customFormat="false" ht="15" hidden="false" customHeight="false" outlineLevel="0" collapsed="false">
      <c r="A61" s="71" t="n">
        <f aca="false">IF(维保合同!$C61="",0,IF(OR(维保合同!$Q61&lt;&gt;"",维保合同!$R61&lt;&gt;""),1,0))</f>
        <v>0</v>
      </c>
      <c r="B61" s="71" t="n">
        <f aca="false">SUM($A$5:$A61)</f>
        <v>5</v>
      </c>
      <c r="D61" s="71" t="n">
        <f aca="false">IF(电梯资料!$C61="",0,IF(OR(电梯资料!$AA61&lt;&gt;"",电梯资料!$AB61&lt;&gt;""),1,0))</f>
        <v>0</v>
      </c>
      <c r="E61" s="71" t="n">
        <f aca="false">SUM($D$5:$D61)</f>
        <v>5</v>
      </c>
      <c r="G61" s="71" t="n">
        <f aca="false">IF(电梯资料!$C61="",0,IF(OR(电梯资料!$Y61="安装免保",电梯资料!$Y61="技术免保",电梯资料!$Y61="质保期内"),1,0))</f>
        <v>0</v>
      </c>
      <c r="H61" s="71" t="n">
        <f aca="false">SUM($G$5:$G61)</f>
        <v>4</v>
      </c>
      <c r="J61" s="71" t="n">
        <f aca="false">IF(应收对账!$Y61="",0,IF(应收对账!$T61&gt;0.01,1,0))</f>
        <v>0</v>
      </c>
      <c r="K61" s="71" t="n">
        <f aca="false">SUM($J$5:$J61)</f>
        <v>8</v>
      </c>
    </row>
    <row r="62" customFormat="false" ht="15" hidden="false" customHeight="false" outlineLevel="0" collapsed="false">
      <c r="A62" s="71" t="n">
        <f aca="false">IF(维保合同!$C62="",0,IF(OR(维保合同!$Q62&lt;&gt;"",维保合同!$R62&lt;&gt;""),1,0))</f>
        <v>0</v>
      </c>
      <c r="B62" s="71" t="n">
        <f aca="false">SUM($A$5:$A62)</f>
        <v>5</v>
      </c>
      <c r="D62" s="71" t="n">
        <f aca="false">IF(电梯资料!$C62="",0,IF(OR(电梯资料!$AA62&lt;&gt;"",电梯资料!$AB62&lt;&gt;""),1,0))</f>
        <v>0</v>
      </c>
      <c r="E62" s="71" t="n">
        <f aca="false">SUM($D$5:$D62)</f>
        <v>5</v>
      </c>
      <c r="G62" s="71" t="n">
        <f aca="false">IF(电梯资料!$C62="",0,IF(OR(电梯资料!$Y62="安装免保",电梯资料!$Y62="技术免保",电梯资料!$Y62="质保期内"),1,0))</f>
        <v>0</v>
      </c>
      <c r="H62" s="71" t="n">
        <f aca="false">SUM($G$5:$G62)</f>
        <v>4</v>
      </c>
      <c r="J62" s="71" t="n">
        <f aca="false">IF(应收对账!$Y62="",0,IF(应收对账!$T62&gt;0.01,1,0))</f>
        <v>0</v>
      </c>
      <c r="K62" s="71" t="n">
        <f aca="false">SUM($J$5:$J62)</f>
        <v>8</v>
      </c>
    </row>
    <row r="63" customFormat="false" ht="15" hidden="false" customHeight="false" outlineLevel="0" collapsed="false">
      <c r="A63" s="71" t="n">
        <f aca="false">IF(维保合同!$C63="",0,IF(OR(维保合同!$Q63&lt;&gt;"",维保合同!$R63&lt;&gt;""),1,0))</f>
        <v>0</v>
      </c>
      <c r="B63" s="71" t="n">
        <f aca="false">SUM($A$5:$A63)</f>
        <v>5</v>
      </c>
      <c r="D63" s="71" t="n">
        <f aca="false">IF(电梯资料!$C63="",0,IF(OR(电梯资料!$AA63&lt;&gt;"",电梯资料!$AB63&lt;&gt;""),1,0))</f>
        <v>0</v>
      </c>
      <c r="E63" s="71" t="n">
        <f aca="false">SUM($D$5:$D63)</f>
        <v>5</v>
      </c>
      <c r="G63" s="71" t="n">
        <f aca="false">IF(电梯资料!$C63="",0,IF(OR(电梯资料!$Y63="安装免保",电梯资料!$Y63="技术免保",电梯资料!$Y63="质保期内"),1,0))</f>
        <v>0</v>
      </c>
      <c r="H63" s="71" t="n">
        <f aca="false">SUM($G$5:$G63)</f>
        <v>4</v>
      </c>
      <c r="J63" s="71" t="n">
        <f aca="false">IF(应收对账!$Y63="",0,IF(应收对账!$T63&gt;0.01,1,0))</f>
        <v>0</v>
      </c>
      <c r="K63" s="71" t="n">
        <f aca="false">SUM($J$5:$J63)</f>
        <v>8</v>
      </c>
    </row>
    <row r="64" customFormat="false" ht="15" hidden="false" customHeight="false" outlineLevel="0" collapsed="false">
      <c r="A64" s="71" t="n">
        <f aca="false">IF(维保合同!$C64="",0,IF(OR(维保合同!$Q64&lt;&gt;"",维保合同!$R64&lt;&gt;""),1,0))</f>
        <v>0</v>
      </c>
      <c r="B64" s="71" t="n">
        <f aca="false">SUM($A$5:$A64)</f>
        <v>5</v>
      </c>
      <c r="D64" s="71" t="n">
        <f aca="false">IF(电梯资料!$C64="",0,IF(OR(电梯资料!$AA64&lt;&gt;"",电梯资料!$AB64&lt;&gt;""),1,0))</f>
        <v>0</v>
      </c>
      <c r="E64" s="71" t="n">
        <f aca="false">SUM($D$5:$D64)</f>
        <v>5</v>
      </c>
      <c r="G64" s="71" t="n">
        <f aca="false">IF(电梯资料!$C64="",0,IF(OR(电梯资料!$Y64="安装免保",电梯资料!$Y64="技术免保",电梯资料!$Y64="质保期内"),1,0))</f>
        <v>0</v>
      </c>
      <c r="H64" s="71" t="n">
        <f aca="false">SUM($G$5:$G64)</f>
        <v>4</v>
      </c>
      <c r="J64" s="71" t="n">
        <f aca="false">IF(应收对账!$Y64="",0,IF(应收对账!$T64&gt;0.01,1,0))</f>
        <v>0</v>
      </c>
      <c r="K64" s="71" t="n">
        <f aca="false">SUM($J$5:$J64)</f>
        <v>8</v>
      </c>
    </row>
    <row r="65" customFormat="false" ht="15" hidden="false" customHeight="false" outlineLevel="0" collapsed="false">
      <c r="A65" s="71" t="n">
        <f aca="false">IF(维保合同!$C65="",0,IF(OR(维保合同!$Q65&lt;&gt;"",维保合同!$R65&lt;&gt;""),1,0))</f>
        <v>0</v>
      </c>
      <c r="B65" s="71" t="n">
        <f aca="false">SUM($A$5:$A65)</f>
        <v>5</v>
      </c>
      <c r="D65" s="71" t="n">
        <f aca="false">IF(电梯资料!$C65="",0,IF(OR(电梯资料!$AA65&lt;&gt;"",电梯资料!$AB65&lt;&gt;""),1,0))</f>
        <v>0</v>
      </c>
      <c r="E65" s="71" t="n">
        <f aca="false">SUM($D$5:$D65)</f>
        <v>5</v>
      </c>
      <c r="G65" s="71" t="n">
        <f aca="false">IF(电梯资料!$C65="",0,IF(OR(电梯资料!$Y65="安装免保",电梯资料!$Y65="技术免保",电梯资料!$Y65="质保期内"),1,0))</f>
        <v>0</v>
      </c>
      <c r="H65" s="71" t="n">
        <f aca="false">SUM($G$5:$G65)</f>
        <v>4</v>
      </c>
      <c r="J65" s="71" t="n">
        <f aca="false">IF(应收对账!$Y65="",0,IF(应收对账!$T65&gt;0.01,1,0))</f>
        <v>0</v>
      </c>
      <c r="K65" s="71" t="n">
        <f aca="false">SUM($J$5:$J65)</f>
        <v>8</v>
      </c>
    </row>
    <row r="66" customFormat="false" ht="15" hidden="false" customHeight="false" outlineLevel="0" collapsed="false">
      <c r="A66" s="71" t="n">
        <f aca="false">IF(维保合同!$C66="",0,IF(OR(维保合同!$Q66&lt;&gt;"",维保合同!$R66&lt;&gt;""),1,0))</f>
        <v>0</v>
      </c>
      <c r="B66" s="71" t="n">
        <f aca="false">SUM($A$5:$A66)</f>
        <v>5</v>
      </c>
      <c r="D66" s="71" t="n">
        <f aca="false">IF(电梯资料!$C66="",0,IF(OR(电梯资料!$AA66&lt;&gt;"",电梯资料!$AB66&lt;&gt;""),1,0))</f>
        <v>0</v>
      </c>
      <c r="E66" s="71" t="n">
        <f aca="false">SUM($D$5:$D66)</f>
        <v>5</v>
      </c>
      <c r="G66" s="71" t="n">
        <f aca="false">IF(电梯资料!$C66="",0,IF(OR(电梯资料!$Y66="安装免保",电梯资料!$Y66="技术免保",电梯资料!$Y66="质保期内"),1,0))</f>
        <v>0</v>
      </c>
      <c r="H66" s="71" t="n">
        <f aca="false">SUM($G$5:$G66)</f>
        <v>4</v>
      </c>
      <c r="J66" s="71" t="n">
        <f aca="false">IF(应收对账!$Y66="",0,IF(应收对账!$T66&gt;0.01,1,0))</f>
        <v>0</v>
      </c>
      <c r="K66" s="71" t="n">
        <f aca="false">SUM($J$5:$J66)</f>
        <v>8</v>
      </c>
    </row>
    <row r="67" customFormat="false" ht="15" hidden="false" customHeight="false" outlineLevel="0" collapsed="false">
      <c r="A67" s="71" t="n">
        <f aca="false">IF(维保合同!$C67="",0,IF(OR(维保合同!$Q67&lt;&gt;"",维保合同!$R67&lt;&gt;""),1,0))</f>
        <v>0</v>
      </c>
      <c r="B67" s="71" t="n">
        <f aca="false">SUM($A$5:$A67)</f>
        <v>5</v>
      </c>
      <c r="D67" s="71" t="n">
        <f aca="false">IF(电梯资料!$C67="",0,IF(OR(电梯资料!$AA67&lt;&gt;"",电梯资料!$AB67&lt;&gt;""),1,0))</f>
        <v>0</v>
      </c>
      <c r="E67" s="71" t="n">
        <f aca="false">SUM($D$5:$D67)</f>
        <v>5</v>
      </c>
      <c r="G67" s="71" t="n">
        <f aca="false">IF(电梯资料!$C67="",0,IF(OR(电梯资料!$Y67="安装免保",电梯资料!$Y67="技术免保",电梯资料!$Y67="质保期内"),1,0))</f>
        <v>0</v>
      </c>
      <c r="H67" s="71" t="n">
        <f aca="false">SUM($G$5:$G67)</f>
        <v>4</v>
      </c>
      <c r="J67" s="71" t="n">
        <f aca="false">IF(应收对账!$Y67="",0,IF(应收对账!$T67&gt;0.01,1,0))</f>
        <v>0</v>
      </c>
      <c r="K67" s="71" t="n">
        <f aca="false">SUM($J$5:$J67)</f>
        <v>8</v>
      </c>
    </row>
    <row r="68" customFormat="false" ht="15" hidden="false" customHeight="false" outlineLevel="0" collapsed="false">
      <c r="A68" s="71" t="n">
        <f aca="false">IF(维保合同!$C68="",0,IF(OR(维保合同!$Q68&lt;&gt;"",维保合同!$R68&lt;&gt;""),1,0))</f>
        <v>0</v>
      </c>
      <c r="B68" s="71" t="n">
        <f aca="false">SUM($A$5:$A68)</f>
        <v>5</v>
      </c>
      <c r="D68" s="71" t="n">
        <f aca="false">IF(电梯资料!$C68="",0,IF(OR(电梯资料!$AA68&lt;&gt;"",电梯资料!$AB68&lt;&gt;""),1,0))</f>
        <v>0</v>
      </c>
      <c r="E68" s="71" t="n">
        <f aca="false">SUM($D$5:$D68)</f>
        <v>5</v>
      </c>
      <c r="G68" s="71" t="n">
        <f aca="false">IF(电梯资料!$C68="",0,IF(OR(电梯资料!$Y68="安装免保",电梯资料!$Y68="技术免保",电梯资料!$Y68="质保期内"),1,0))</f>
        <v>0</v>
      </c>
      <c r="H68" s="71" t="n">
        <f aca="false">SUM($G$5:$G68)</f>
        <v>4</v>
      </c>
      <c r="J68" s="71" t="n">
        <f aca="false">IF(应收对账!$Y68="",0,IF(应收对账!$T68&gt;0.01,1,0))</f>
        <v>0</v>
      </c>
      <c r="K68" s="71" t="n">
        <f aca="false">SUM($J$5:$J68)</f>
        <v>8</v>
      </c>
    </row>
    <row r="69" customFormat="false" ht="15" hidden="false" customHeight="false" outlineLevel="0" collapsed="false">
      <c r="A69" s="71" t="n">
        <f aca="false">IF(维保合同!$C69="",0,IF(OR(维保合同!$Q69&lt;&gt;"",维保合同!$R69&lt;&gt;""),1,0))</f>
        <v>0</v>
      </c>
      <c r="B69" s="71" t="n">
        <f aca="false">SUM($A$5:$A69)</f>
        <v>5</v>
      </c>
      <c r="D69" s="71" t="n">
        <f aca="false">IF(电梯资料!$C69="",0,IF(OR(电梯资料!$AA69&lt;&gt;"",电梯资料!$AB69&lt;&gt;""),1,0))</f>
        <v>0</v>
      </c>
      <c r="E69" s="71" t="n">
        <f aca="false">SUM($D$5:$D69)</f>
        <v>5</v>
      </c>
      <c r="G69" s="71" t="n">
        <f aca="false">IF(电梯资料!$C69="",0,IF(OR(电梯资料!$Y69="安装免保",电梯资料!$Y69="技术免保",电梯资料!$Y69="质保期内"),1,0))</f>
        <v>0</v>
      </c>
      <c r="H69" s="71" t="n">
        <f aca="false">SUM($G$5:$G69)</f>
        <v>4</v>
      </c>
      <c r="J69" s="71" t="n">
        <f aca="false">IF(应收对账!$Y69="",0,IF(应收对账!$T69&gt;0.01,1,0))</f>
        <v>0</v>
      </c>
      <c r="K69" s="71" t="n">
        <f aca="false">SUM($J$5:$J69)</f>
        <v>8</v>
      </c>
    </row>
    <row r="70" customFormat="false" ht="15" hidden="false" customHeight="false" outlineLevel="0" collapsed="false">
      <c r="A70" s="71" t="n">
        <f aca="false">IF(维保合同!$C70="",0,IF(OR(维保合同!$Q70&lt;&gt;"",维保合同!$R70&lt;&gt;""),1,0))</f>
        <v>0</v>
      </c>
      <c r="B70" s="71" t="n">
        <f aca="false">SUM($A$5:$A70)</f>
        <v>5</v>
      </c>
      <c r="D70" s="71" t="n">
        <f aca="false">IF(电梯资料!$C70="",0,IF(OR(电梯资料!$AA70&lt;&gt;"",电梯资料!$AB70&lt;&gt;""),1,0))</f>
        <v>0</v>
      </c>
      <c r="E70" s="71" t="n">
        <f aca="false">SUM($D$5:$D70)</f>
        <v>5</v>
      </c>
      <c r="G70" s="71" t="n">
        <f aca="false">IF(电梯资料!$C70="",0,IF(OR(电梯资料!$Y70="安装免保",电梯资料!$Y70="技术免保",电梯资料!$Y70="质保期内"),1,0))</f>
        <v>0</v>
      </c>
      <c r="H70" s="71" t="n">
        <f aca="false">SUM($G$5:$G70)</f>
        <v>4</v>
      </c>
      <c r="J70" s="71" t="n">
        <f aca="false">IF(应收对账!$Y70="",0,IF(应收对账!$T70&gt;0.01,1,0))</f>
        <v>0</v>
      </c>
      <c r="K70" s="71" t="n">
        <f aca="false">SUM($J$5:$J70)</f>
        <v>8</v>
      </c>
    </row>
    <row r="71" customFormat="false" ht="15" hidden="false" customHeight="false" outlineLevel="0" collapsed="false">
      <c r="A71" s="71" t="n">
        <f aca="false">IF(维保合同!$C71="",0,IF(OR(维保合同!$Q71&lt;&gt;"",维保合同!$R71&lt;&gt;""),1,0))</f>
        <v>0</v>
      </c>
      <c r="B71" s="71" t="n">
        <f aca="false">SUM($A$5:$A71)</f>
        <v>5</v>
      </c>
      <c r="D71" s="71" t="n">
        <f aca="false">IF(电梯资料!$C71="",0,IF(OR(电梯资料!$AA71&lt;&gt;"",电梯资料!$AB71&lt;&gt;""),1,0))</f>
        <v>0</v>
      </c>
      <c r="E71" s="71" t="n">
        <f aca="false">SUM($D$5:$D71)</f>
        <v>5</v>
      </c>
      <c r="G71" s="71" t="n">
        <f aca="false">IF(电梯资料!$C71="",0,IF(OR(电梯资料!$Y71="安装免保",电梯资料!$Y71="技术免保",电梯资料!$Y71="质保期内"),1,0))</f>
        <v>0</v>
      </c>
      <c r="H71" s="71" t="n">
        <f aca="false">SUM($G$5:$G71)</f>
        <v>4</v>
      </c>
      <c r="J71" s="71" t="n">
        <f aca="false">IF(应收对账!$Y71="",0,IF(应收对账!$T71&gt;0.01,1,0))</f>
        <v>0</v>
      </c>
      <c r="K71" s="71" t="n">
        <f aca="false">SUM($J$5:$J71)</f>
        <v>8</v>
      </c>
    </row>
    <row r="72" customFormat="false" ht="15" hidden="false" customHeight="false" outlineLevel="0" collapsed="false">
      <c r="A72" s="71" t="n">
        <f aca="false">IF(维保合同!$C72="",0,IF(OR(维保合同!$Q72&lt;&gt;"",维保合同!$R72&lt;&gt;""),1,0))</f>
        <v>0</v>
      </c>
      <c r="B72" s="71" t="n">
        <f aca="false">SUM($A$5:$A72)</f>
        <v>5</v>
      </c>
      <c r="D72" s="71" t="n">
        <f aca="false">IF(电梯资料!$C72="",0,IF(OR(电梯资料!$AA72&lt;&gt;"",电梯资料!$AB72&lt;&gt;""),1,0))</f>
        <v>0</v>
      </c>
      <c r="E72" s="71" t="n">
        <f aca="false">SUM($D$5:$D72)</f>
        <v>5</v>
      </c>
      <c r="G72" s="71" t="n">
        <f aca="false">IF(电梯资料!$C72="",0,IF(OR(电梯资料!$Y72="安装免保",电梯资料!$Y72="技术免保",电梯资料!$Y72="质保期内"),1,0))</f>
        <v>0</v>
      </c>
      <c r="H72" s="71" t="n">
        <f aca="false">SUM($G$5:$G72)</f>
        <v>4</v>
      </c>
      <c r="J72" s="71" t="n">
        <f aca="false">IF(应收对账!$Y72="",0,IF(应收对账!$T72&gt;0.01,1,0))</f>
        <v>0</v>
      </c>
      <c r="K72" s="71" t="n">
        <f aca="false">SUM($J$5:$J72)</f>
        <v>8</v>
      </c>
    </row>
    <row r="73" customFormat="false" ht="15" hidden="false" customHeight="false" outlineLevel="0" collapsed="false">
      <c r="A73" s="71" t="n">
        <f aca="false">IF(维保合同!$C73="",0,IF(OR(维保合同!$Q73&lt;&gt;"",维保合同!$R73&lt;&gt;""),1,0))</f>
        <v>0</v>
      </c>
      <c r="B73" s="71" t="n">
        <f aca="false">SUM($A$5:$A73)</f>
        <v>5</v>
      </c>
      <c r="D73" s="71" t="n">
        <f aca="false">IF(电梯资料!$C73="",0,IF(OR(电梯资料!$AA73&lt;&gt;"",电梯资料!$AB73&lt;&gt;""),1,0))</f>
        <v>0</v>
      </c>
      <c r="E73" s="71" t="n">
        <f aca="false">SUM($D$5:$D73)</f>
        <v>5</v>
      </c>
      <c r="G73" s="71" t="n">
        <f aca="false">IF(电梯资料!$C73="",0,IF(OR(电梯资料!$Y73="安装免保",电梯资料!$Y73="技术免保",电梯资料!$Y73="质保期内"),1,0))</f>
        <v>0</v>
      </c>
      <c r="H73" s="71" t="n">
        <f aca="false">SUM($G$5:$G73)</f>
        <v>4</v>
      </c>
      <c r="J73" s="71" t="n">
        <f aca="false">IF(应收对账!$Y73="",0,IF(应收对账!$T73&gt;0.01,1,0))</f>
        <v>0</v>
      </c>
      <c r="K73" s="71" t="n">
        <f aca="false">SUM($J$5:$J73)</f>
        <v>8</v>
      </c>
    </row>
    <row r="74" customFormat="false" ht="15" hidden="false" customHeight="false" outlineLevel="0" collapsed="false">
      <c r="A74" s="71" t="n">
        <f aca="false">IF(维保合同!$C74="",0,IF(OR(维保合同!$Q74&lt;&gt;"",维保合同!$R74&lt;&gt;""),1,0))</f>
        <v>0</v>
      </c>
      <c r="B74" s="71" t="n">
        <f aca="false">SUM($A$5:$A74)</f>
        <v>5</v>
      </c>
      <c r="D74" s="71" t="n">
        <f aca="false">IF(电梯资料!$C74="",0,IF(OR(电梯资料!$AA74&lt;&gt;"",电梯资料!$AB74&lt;&gt;""),1,0))</f>
        <v>0</v>
      </c>
      <c r="E74" s="71" t="n">
        <f aca="false">SUM($D$5:$D74)</f>
        <v>5</v>
      </c>
      <c r="G74" s="71" t="n">
        <f aca="false">IF(电梯资料!$C74="",0,IF(OR(电梯资料!$Y74="安装免保",电梯资料!$Y74="技术免保",电梯资料!$Y74="质保期内"),1,0))</f>
        <v>0</v>
      </c>
      <c r="H74" s="71" t="n">
        <f aca="false">SUM($G$5:$G74)</f>
        <v>4</v>
      </c>
      <c r="J74" s="71" t="n">
        <f aca="false">IF(应收对账!$Y74="",0,IF(应收对账!$T74&gt;0.01,1,0))</f>
        <v>0</v>
      </c>
      <c r="K74" s="71" t="n">
        <f aca="false">SUM($J$5:$J74)</f>
        <v>8</v>
      </c>
    </row>
    <row r="75" customFormat="false" ht="15" hidden="false" customHeight="false" outlineLevel="0" collapsed="false">
      <c r="A75" s="71" t="n">
        <f aca="false">IF(维保合同!$C75="",0,IF(OR(维保合同!$Q75&lt;&gt;"",维保合同!$R75&lt;&gt;""),1,0))</f>
        <v>0</v>
      </c>
      <c r="B75" s="71" t="n">
        <f aca="false">SUM($A$5:$A75)</f>
        <v>5</v>
      </c>
      <c r="D75" s="71" t="n">
        <f aca="false">IF(电梯资料!$C75="",0,IF(OR(电梯资料!$AA75&lt;&gt;"",电梯资料!$AB75&lt;&gt;""),1,0))</f>
        <v>0</v>
      </c>
      <c r="E75" s="71" t="n">
        <f aca="false">SUM($D$5:$D75)</f>
        <v>5</v>
      </c>
      <c r="G75" s="71" t="n">
        <f aca="false">IF(电梯资料!$C75="",0,IF(OR(电梯资料!$Y75="安装免保",电梯资料!$Y75="技术免保",电梯资料!$Y75="质保期内"),1,0))</f>
        <v>0</v>
      </c>
      <c r="H75" s="71" t="n">
        <f aca="false">SUM($G$5:$G75)</f>
        <v>4</v>
      </c>
      <c r="J75" s="71" t="n">
        <f aca="false">IF(应收对账!$Y75="",0,IF(应收对账!$T75&gt;0.01,1,0))</f>
        <v>0</v>
      </c>
      <c r="K75" s="71" t="n">
        <f aca="false">SUM($J$5:$J75)</f>
        <v>8</v>
      </c>
    </row>
    <row r="76" customFormat="false" ht="15" hidden="false" customHeight="false" outlineLevel="0" collapsed="false">
      <c r="A76" s="71" t="n">
        <f aca="false">IF(维保合同!$C76="",0,IF(OR(维保合同!$Q76&lt;&gt;"",维保合同!$R76&lt;&gt;""),1,0))</f>
        <v>0</v>
      </c>
      <c r="B76" s="71" t="n">
        <f aca="false">SUM($A$5:$A76)</f>
        <v>5</v>
      </c>
      <c r="D76" s="71" t="n">
        <f aca="false">IF(电梯资料!$C76="",0,IF(OR(电梯资料!$AA76&lt;&gt;"",电梯资料!$AB76&lt;&gt;""),1,0))</f>
        <v>0</v>
      </c>
      <c r="E76" s="71" t="n">
        <f aca="false">SUM($D$5:$D76)</f>
        <v>5</v>
      </c>
      <c r="G76" s="71" t="n">
        <f aca="false">IF(电梯资料!$C76="",0,IF(OR(电梯资料!$Y76="安装免保",电梯资料!$Y76="技术免保",电梯资料!$Y76="质保期内"),1,0))</f>
        <v>0</v>
      </c>
      <c r="H76" s="71" t="n">
        <f aca="false">SUM($G$5:$G76)</f>
        <v>4</v>
      </c>
      <c r="J76" s="71" t="n">
        <f aca="false">IF(应收对账!$Y76="",0,IF(应收对账!$T76&gt;0.01,1,0))</f>
        <v>0</v>
      </c>
      <c r="K76" s="71" t="n">
        <f aca="false">SUM($J$5:$J76)</f>
        <v>8</v>
      </c>
    </row>
    <row r="77" customFormat="false" ht="15" hidden="false" customHeight="false" outlineLevel="0" collapsed="false">
      <c r="A77" s="71" t="n">
        <f aca="false">IF(维保合同!$C77="",0,IF(OR(维保合同!$Q77&lt;&gt;"",维保合同!$R77&lt;&gt;""),1,0))</f>
        <v>0</v>
      </c>
      <c r="B77" s="71" t="n">
        <f aca="false">SUM($A$5:$A77)</f>
        <v>5</v>
      </c>
      <c r="D77" s="71" t="n">
        <f aca="false">IF(电梯资料!$C77="",0,IF(OR(电梯资料!$AA77&lt;&gt;"",电梯资料!$AB77&lt;&gt;""),1,0))</f>
        <v>0</v>
      </c>
      <c r="E77" s="71" t="n">
        <f aca="false">SUM($D$5:$D77)</f>
        <v>5</v>
      </c>
      <c r="G77" s="71" t="n">
        <f aca="false">IF(电梯资料!$C77="",0,IF(OR(电梯资料!$Y77="安装免保",电梯资料!$Y77="技术免保",电梯资料!$Y77="质保期内"),1,0))</f>
        <v>0</v>
      </c>
      <c r="H77" s="71" t="n">
        <f aca="false">SUM($G$5:$G77)</f>
        <v>4</v>
      </c>
      <c r="J77" s="71" t="n">
        <f aca="false">IF(应收对账!$Y77="",0,IF(应收对账!$T77&gt;0.01,1,0))</f>
        <v>0</v>
      </c>
      <c r="K77" s="71" t="n">
        <f aca="false">SUM($J$5:$J77)</f>
        <v>8</v>
      </c>
    </row>
    <row r="78" customFormat="false" ht="15" hidden="false" customHeight="false" outlineLevel="0" collapsed="false">
      <c r="A78" s="71" t="n">
        <f aca="false">IF(维保合同!$C78="",0,IF(OR(维保合同!$Q78&lt;&gt;"",维保合同!$R78&lt;&gt;""),1,0))</f>
        <v>0</v>
      </c>
      <c r="B78" s="71" t="n">
        <f aca="false">SUM($A$5:$A78)</f>
        <v>5</v>
      </c>
      <c r="D78" s="71" t="n">
        <f aca="false">IF(电梯资料!$C78="",0,IF(OR(电梯资料!$AA78&lt;&gt;"",电梯资料!$AB78&lt;&gt;""),1,0))</f>
        <v>0</v>
      </c>
      <c r="E78" s="71" t="n">
        <f aca="false">SUM($D$5:$D78)</f>
        <v>5</v>
      </c>
      <c r="G78" s="71" t="n">
        <f aca="false">IF(电梯资料!$C78="",0,IF(OR(电梯资料!$Y78="安装免保",电梯资料!$Y78="技术免保",电梯资料!$Y78="质保期内"),1,0))</f>
        <v>0</v>
      </c>
      <c r="H78" s="71" t="n">
        <f aca="false">SUM($G$5:$G78)</f>
        <v>4</v>
      </c>
      <c r="J78" s="71" t="n">
        <f aca="false">IF(应收对账!$Y78="",0,IF(应收对账!$T78&gt;0.01,1,0))</f>
        <v>0</v>
      </c>
      <c r="K78" s="71" t="n">
        <f aca="false">SUM($J$5:$J78)</f>
        <v>8</v>
      </c>
    </row>
    <row r="79" customFormat="false" ht="15" hidden="false" customHeight="false" outlineLevel="0" collapsed="false">
      <c r="A79" s="71" t="n">
        <f aca="false">IF(维保合同!$C79="",0,IF(OR(维保合同!$Q79&lt;&gt;"",维保合同!$R79&lt;&gt;""),1,0))</f>
        <v>0</v>
      </c>
      <c r="B79" s="71" t="n">
        <f aca="false">SUM($A$5:$A79)</f>
        <v>5</v>
      </c>
      <c r="D79" s="71" t="n">
        <f aca="false">IF(电梯资料!$C79="",0,IF(OR(电梯资料!$AA79&lt;&gt;"",电梯资料!$AB79&lt;&gt;""),1,0))</f>
        <v>0</v>
      </c>
      <c r="E79" s="71" t="n">
        <f aca="false">SUM($D$5:$D79)</f>
        <v>5</v>
      </c>
      <c r="G79" s="71" t="n">
        <f aca="false">IF(电梯资料!$C79="",0,IF(OR(电梯资料!$Y79="安装免保",电梯资料!$Y79="技术免保",电梯资料!$Y79="质保期内"),1,0))</f>
        <v>0</v>
      </c>
      <c r="H79" s="71" t="n">
        <f aca="false">SUM($G$5:$G79)</f>
        <v>4</v>
      </c>
      <c r="J79" s="71" t="n">
        <f aca="false">IF(应收对账!$Y79="",0,IF(应收对账!$T79&gt;0.01,1,0))</f>
        <v>0</v>
      </c>
      <c r="K79" s="71" t="n">
        <f aca="false">SUM($J$5:$J79)</f>
        <v>8</v>
      </c>
    </row>
    <row r="80" customFormat="false" ht="15" hidden="false" customHeight="false" outlineLevel="0" collapsed="false">
      <c r="A80" s="71" t="n">
        <f aca="false">IF(维保合同!$C80="",0,IF(OR(维保合同!$Q80&lt;&gt;"",维保合同!$R80&lt;&gt;""),1,0))</f>
        <v>0</v>
      </c>
      <c r="B80" s="71" t="n">
        <f aca="false">SUM($A$5:$A80)</f>
        <v>5</v>
      </c>
      <c r="D80" s="71" t="n">
        <f aca="false">IF(电梯资料!$C80="",0,IF(OR(电梯资料!$AA80&lt;&gt;"",电梯资料!$AB80&lt;&gt;""),1,0))</f>
        <v>0</v>
      </c>
      <c r="E80" s="71" t="n">
        <f aca="false">SUM($D$5:$D80)</f>
        <v>5</v>
      </c>
      <c r="G80" s="71" t="n">
        <f aca="false">IF(电梯资料!$C80="",0,IF(OR(电梯资料!$Y80="安装免保",电梯资料!$Y80="技术免保",电梯资料!$Y80="质保期内"),1,0))</f>
        <v>0</v>
      </c>
      <c r="H80" s="71" t="n">
        <f aca="false">SUM($G$5:$G80)</f>
        <v>4</v>
      </c>
      <c r="J80" s="71" t="n">
        <f aca="false">IF(应收对账!$Y80="",0,IF(应收对账!$T80&gt;0.01,1,0))</f>
        <v>0</v>
      </c>
      <c r="K80" s="71" t="n">
        <f aca="false">SUM($J$5:$J80)</f>
        <v>8</v>
      </c>
    </row>
    <row r="81" customFormat="false" ht="15" hidden="false" customHeight="false" outlineLevel="0" collapsed="false">
      <c r="A81" s="71" t="n">
        <f aca="false">IF(维保合同!$C81="",0,IF(OR(维保合同!$Q81&lt;&gt;"",维保合同!$R81&lt;&gt;""),1,0))</f>
        <v>0</v>
      </c>
      <c r="B81" s="71" t="n">
        <f aca="false">SUM($A$5:$A81)</f>
        <v>5</v>
      </c>
      <c r="D81" s="71" t="n">
        <f aca="false">IF(电梯资料!$C81="",0,IF(OR(电梯资料!$AA81&lt;&gt;"",电梯资料!$AB81&lt;&gt;""),1,0))</f>
        <v>0</v>
      </c>
      <c r="E81" s="71" t="n">
        <f aca="false">SUM($D$5:$D81)</f>
        <v>5</v>
      </c>
      <c r="G81" s="71" t="n">
        <f aca="false">IF(电梯资料!$C81="",0,IF(OR(电梯资料!$Y81="安装免保",电梯资料!$Y81="技术免保",电梯资料!$Y81="质保期内"),1,0))</f>
        <v>0</v>
      </c>
      <c r="H81" s="71" t="n">
        <f aca="false">SUM($G$5:$G81)</f>
        <v>4</v>
      </c>
      <c r="J81" s="71" t="n">
        <f aca="false">IF(应收对账!$Y81="",0,IF(应收对账!$T81&gt;0.01,1,0))</f>
        <v>0</v>
      </c>
      <c r="K81" s="71" t="n">
        <f aca="false">SUM($J$5:$J81)</f>
        <v>8</v>
      </c>
    </row>
    <row r="82" customFormat="false" ht="15" hidden="false" customHeight="false" outlineLevel="0" collapsed="false">
      <c r="A82" s="71" t="n">
        <f aca="false">IF(维保合同!$C82="",0,IF(OR(维保合同!$Q82&lt;&gt;"",维保合同!$R82&lt;&gt;""),1,0))</f>
        <v>0</v>
      </c>
      <c r="B82" s="71" t="n">
        <f aca="false">SUM($A$5:$A82)</f>
        <v>5</v>
      </c>
      <c r="D82" s="71" t="n">
        <f aca="false">IF(电梯资料!$C82="",0,IF(OR(电梯资料!$AA82&lt;&gt;"",电梯资料!$AB82&lt;&gt;""),1,0))</f>
        <v>0</v>
      </c>
      <c r="E82" s="71" t="n">
        <f aca="false">SUM($D$5:$D82)</f>
        <v>5</v>
      </c>
      <c r="G82" s="71" t="n">
        <f aca="false">IF(电梯资料!$C82="",0,IF(OR(电梯资料!$Y82="安装免保",电梯资料!$Y82="技术免保",电梯资料!$Y82="质保期内"),1,0))</f>
        <v>0</v>
      </c>
      <c r="H82" s="71" t="n">
        <f aca="false">SUM($G$5:$G82)</f>
        <v>4</v>
      </c>
      <c r="J82" s="71" t="n">
        <f aca="false">IF(应收对账!$Y82="",0,IF(应收对账!$T82&gt;0.01,1,0))</f>
        <v>0</v>
      </c>
      <c r="K82" s="71" t="n">
        <f aca="false">SUM($J$5:$J82)</f>
        <v>8</v>
      </c>
    </row>
    <row r="83" customFormat="false" ht="15" hidden="false" customHeight="false" outlineLevel="0" collapsed="false">
      <c r="A83" s="71" t="n">
        <f aca="false">IF(维保合同!$C83="",0,IF(OR(维保合同!$Q83&lt;&gt;"",维保合同!$R83&lt;&gt;""),1,0))</f>
        <v>0</v>
      </c>
      <c r="B83" s="71" t="n">
        <f aca="false">SUM($A$5:$A83)</f>
        <v>5</v>
      </c>
      <c r="D83" s="71" t="n">
        <f aca="false">IF(电梯资料!$C83="",0,IF(OR(电梯资料!$AA83&lt;&gt;"",电梯资料!$AB83&lt;&gt;""),1,0))</f>
        <v>0</v>
      </c>
      <c r="E83" s="71" t="n">
        <f aca="false">SUM($D$5:$D83)</f>
        <v>5</v>
      </c>
      <c r="G83" s="71" t="n">
        <f aca="false">IF(电梯资料!$C83="",0,IF(OR(电梯资料!$Y83="安装免保",电梯资料!$Y83="技术免保",电梯资料!$Y83="质保期内"),1,0))</f>
        <v>0</v>
      </c>
      <c r="H83" s="71" t="n">
        <f aca="false">SUM($G$5:$G83)</f>
        <v>4</v>
      </c>
      <c r="J83" s="71" t="n">
        <f aca="false">IF(应收对账!$Y83="",0,IF(应收对账!$T83&gt;0.01,1,0))</f>
        <v>0</v>
      </c>
      <c r="K83" s="71" t="n">
        <f aca="false">SUM($J$5:$J83)</f>
        <v>8</v>
      </c>
    </row>
    <row r="84" customFormat="false" ht="15" hidden="false" customHeight="false" outlineLevel="0" collapsed="false">
      <c r="A84" s="71" t="n">
        <f aca="false">IF(维保合同!$C84="",0,IF(OR(维保合同!$Q84&lt;&gt;"",维保合同!$R84&lt;&gt;""),1,0))</f>
        <v>0</v>
      </c>
      <c r="B84" s="71" t="n">
        <f aca="false">SUM($A$5:$A84)</f>
        <v>5</v>
      </c>
      <c r="D84" s="71" t="n">
        <f aca="false">IF(电梯资料!$C84="",0,IF(OR(电梯资料!$AA84&lt;&gt;"",电梯资料!$AB84&lt;&gt;""),1,0))</f>
        <v>0</v>
      </c>
      <c r="E84" s="71" t="n">
        <f aca="false">SUM($D$5:$D84)</f>
        <v>5</v>
      </c>
      <c r="G84" s="71" t="n">
        <f aca="false">IF(电梯资料!$C84="",0,IF(OR(电梯资料!$Y84="安装免保",电梯资料!$Y84="技术免保",电梯资料!$Y84="质保期内"),1,0))</f>
        <v>0</v>
      </c>
      <c r="H84" s="71" t="n">
        <f aca="false">SUM($G$5:$G84)</f>
        <v>4</v>
      </c>
      <c r="J84" s="71" t="n">
        <f aca="false">IF(应收对账!$Y84="",0,IF(应收对账!$T84&gt;0.01,1,0))</f>
        <v>0</v>
      </c>
      <c r="K84" s="71" t="n">
        <f aca="false">SUM($J$5:$J84)</f>
        <v>8</v>
      </c>
    </row>
    <row r="85" customFormat="false" ht="15" hidden="false" customHeight="false" outlineLevel="0" collapsed="false">
      <c r="A85" s="71" t="n">
        <f aca="false">IF(维保合同!$C85="",0,IF(OR(维保合同!$Q85&lt;&gt;"",维保合同!$R85&lt;&gt;""),1,0))</f>
        <v>0</v>
      </c>
      <c r="B85" s="71" t="n">
        <f aca="false">SUM($A$5:$A85)</f>
        <v>5</v>
      </c>
      <c r="D85" s="71" t="n">
        <f aca="false">IF(电梯资料!$C85="",0,IF(OR(电梯资料!$AA85&lt;&gt;"",电梯资料!$AB85&lt;&gt;""),1,0))</f>
        <v>0</v>
      </c>
      <c r="E85" s="71" t="n">
        <f aca="false">SUM($D$5:$D85)</f>
        <v>5</v>
      </c>
      <c r="G85" s="71" t="n">
        <f aca="false">IF(电梯资料!$C85="",0,IF(OR(电梯资料!$Y85="安装免保",电梯资料!$Y85="技术免保",电梯资料!$Y85="质保期内"),1,0))</f>
        <v>0</v>
      </c>
      <c r="H85" s="71" t="n">
        <f aca="false">SUM($G$5:$G85)</f>
        <v>4</v>
      </c>
      <c r="J85" s="71" t="n">
        <f aca="false">IF(应收对账!$Y85="",0,IF(应收对账!$T85&gt;0.01,1,0))</f>
        <v>0</v>
      </c>
      <c r="K85" s="71" t="n">
        <f aca="false">SUM($J$5:$J85)</f>
        <v>8</v>
      </c>
    </row>
    <row r="86" customFormat="false" ht="15" hidden="false" customHeight="false" outlineLevel="0" collapsed="false">
      <c r="A86" s="71" t="n">
        <f aca="false">IF(维保合同!$C86="",0,IF(OR(维保合同!$Q86&lt;&gt;"",维保合同!$R86&lt;&gt;""),1,0))</f>
        <v>0</v>
      </c>
      <c r="B86" s="71" t="n">
        <f aca="false">SUM($A$5:$A86)</f>
        <v>5</v>
      </c>
      <c r="D86" s="71" t="n">
        <f aca="false">IF(电梯资料!$C86="",0,IF(OR(电梯资料!$AA86&lt;&gt;"",电梯资料!$AB86&lt;&gt;""),1,0))</f>
        <v>0</v>
      </c>
      <c r="E86" s="71" t="n">
        <f aca="false">SUM($D$5:$D86)</f>
        <v>5</v>
      </c>
      <c r="G86" s="71" t="n">
        <f aca="false">IF(电梯资料!$C86="",0,IF(OR(电梯资料!$Y86="安装免保",电梯资料!$Y86="技术免保",电梯资料!$Y86="质保期内"),1,0))</f>
        <v>0</v>
      </c>
      <c r="H86" s="71" t="n">
        <f aca="false">SUM($G$5:$G86)</f>
        <v>4</v>
      </c>
      <c r="J86" s="71" t="n">
        <f aca="false">IF(应收对账!$Y86="",0,IF(应收对账!$T86&gt;0.01,1,0))</f>
        <v>0</v>
      </c>
      <c r="K86" s="71" t="n">
        <f aca="false">SUM($J$5:$J86)</f>
        <v>8</v>
      </c>
    </row>
    <row r="87" customFormat="false" ht="15" hidden="false" customHeight="false" outlineLevel="0" collapsed="false">
      <c r="A87" s="71" t="n">
        <f aca="false">IF(维保合同!$C87="",0,IF(OR(维保合同!$Q87&lt;&gt;"",维保合同!$R87&lt;&gt;""),1,0))</f>
        <v>0</v>
      </c>
      <c r="B87" s="71" t="n">
        <f aca="false">SUM($A$5:$A87)</f>
        <v>5</v>
      </c>
      <c r="D87" s="71" t="n">
        <f aca="false">IF(电梯资料!$C87="",0,IF(OR(电梯资料!$AA87&lt;&gt;"",电梯资料!$AB87&lt;&gt;""),1,0))</f>
        <v>0</v>
      </c>
      <c r="E87" s="71" t="n">
        <f aca="false">SUM($D$5:$D87)</f>
        <v>5</v>
      </c>
      <c r="G87" s="71" t="n">
        <f aca="false">IF(电梯资料!$C87="",0,IF(OR(电梯资料!$Y87="安装免保",电梯资料!$Y87="技术免保",电梯资料!$Y87="质保期内"),1,0))</f>
        <v>0</v>
      </c>
      <c r="H87" s="71" t="n">
        <f aca="false">SUM($G$5:$G87)</f>
        <v>4</v>
      </c>
      <c r="J87" s="71" t="n">
        <f aca="false">IF(应收对账!$Y87="",0,IF(应收对账!$T87&gt;0.01,1,0))</f>
        <v>0</v>
      </c>
      <c r="K87" s="71" t="n">
        <f aca="false">SUM($J$5:$J87)</f>
        <v>8</v>
      </c>
    </row>
    <row r="88" customFormat="false" ht="15" hidden="false" customHeight="false" outlineLevel="0" collapsed="false">
      <c r="A88" s="71" t="n">
        <f aca="false">IF(维保合同!$C88="",0,IF(OR(维保合同!$Q88&lt;&gt;"",维保合同!$R88&lt;&gt;""),1,0))</f>
        <v>0</v>
      </c>
      <c r="B88" s="71" t="n">
        <f aca="false">SUM($A$5:$A88)</f>
        <v>5</v>
      </c>
      <c r="D88" s="71" t="n">
        <f aca="false">IF(电梯资料!$C88="",0,IF(OR(电梯资料!$AA88&lt;&gt;"",电梯资料!$AB88&lt;&gt;""),1,0))</f>
        <v>0</v>
      </c>
      <c r="E88" s="71" t="n">
        <f aca="false">SUM($D$5:$D88)</f>
        <v>5</v>
      </c>
      <c r="G88" s="71" t="n">
        <f aca="false">IF(电梯资料!$C88="",0,IF(OR(电梯资料!$Y88="安装免保",电梯资料!$Y88="技术免保",电梯资料!$Y88="质保期内"),1,0))</f>
        <v>0</v>
      </c>
      <c r="H88" s="71" t="n">
        <f aca="false">SUM($G$5:$G88)</f>
        <v>4</v>
      </c>
      <c r="J88" s="71" t="n">
        <f aca="false">IF(应收对账!$Y88="",0,IF(应收对账!$T88&gt;0.01,1,0))</f>
        <v>0</v>
      </c>
      <c r="K88" s="71" t="n">
        <f aca="false">SUM($J$5:$J88)</f>
        <v>8</v>
      </c>
    </row>
    <row r="89" customFormat="false" ht="15" hidden="false" customHeight="false" outlineLevel="0" collapsed="false">
      <c r="A89" s="71" t="n">
        <f aca="false">IF(维保合同!$C89="",0,IF(OR(维保合同!$Q89&lt;&gt;"",维保合同!$R89&lt;&gt;""),1,0))</f>
        <v>0</v>
      </c>
      <c r="B89" s="71" t="n">
        <f aca="false">SUM($A$5:$A89)</f>
        <v>5</v>
      </c>
      <c r="D89" s="71" t="n">
        <f aca="false">IF(电梯资料!$C89="",0,IF(OR(电梯资料!$AA89&lt;&gt;"",电梯资料!$AB89&lt;&gt;""),1,0))</f>
        <v>0</v>
      </c>
      <c r="E89" s="71" t="n">
        <f aca="false">SUM($D$5:$D89)</f>
        <v>5</v>
      </c>
      <c r="G89" s="71" t="n">
        <f aca="false">IF(电梯资料!$C89="",0,IF(OR(电梯资料!$Y89="安装免保",电梯资料!$Y89="技术免保",电梯资料!$Y89="质保期内"),1,0))</f>
        <v>0</v>
      </c>
      <c r="H89" s="71" t="n">
        <f aca="false">SUM($G$5:$G89)</f>
        <v>4</v>
      </c>
      <c r="J89" s="71" t="n">
        <f aca="false">IF(应收对账!$Y89="",0,IF(应收对账!$T89&gt;0.01,1,0))</f>
        <v>0</v>
      </c>
      <c r="K89" s="71" t="n">
        <f aca="false">SUM($J$5:$J89)</f>
        <v>8</v>
      </c>
    </row>
    <row r="90" customFormat="false" ht="15" hidden="false" customHeight="false" outlineLevel="0" collapsed="false">
      <c r="A90" s="71" t="n">
        <f aca="false">IF(维保合同!$C90="",0,IF(OR(维保合同!$Q90&lt;&gt;"",维保合同!$R90&lt;&gt;""),1,0))</f>
        <v>0</v>
      </c>
      <c r="B90" s="71" t="n">
        <f aca="false">SUM($A$5:$A90)</f>
        <v>5</v>
      </c>
      <c r="D90" s="71" t="n">
        <f aca="false">IF(电梯资料!$C90="",0,IF(OR(电梯资料!$AA90&lt;&gt;"",电梯资料!$AB90&lt;&gt;""),1,0))</f>
        <v>0</v>
      </c>
      <c r="E90" s="71" t="n">
        <f aca="false">SUM($D$5:$D90)</f>
        <v>5</v>
      </c>
      <c r="G90" s="71" t="n">
        <f aca="false">IF(电梯资料!$C90="",0,IF(OR(电梯资料!$Y90="安装免保",电梯资料!$Y90="技术免保",电梯资料!$Y90="质保期内"),1,0))</f>
        <v>0</v>
      </c>
      <c r="H90" s="71" t="n">
        <f aca="false">SUM($G$5:$G90)</f>
        <v>4</v>
      </c>
      <c r="J90" s="71" t="n">
        <f aca="false">IF(应收对账!$Y90="",0,IF(应收对账!$T90&gt;0.01,1,0))</f>
        <v>0</v>
      </c>
      <c r="K90" s="71" t="n">
        <f aca="false">SUM($J$5:$J90)</f>
        <v>8</v>
      </c>
    </row>
    <row r="91" customFormat="false" ht="15" hidden="false" customHeight="false" outlineLevel="0" collapsed="false">
      <c r="A91" s="71" t="n">
        <f aca="false">IF(维保合同!$C91="",0,IF(OR(维保合同!$Q91&lt;&gt;"",维保合同!$R91&lt;&gt;""),1,0))</f>
        <v>0</v>
      </c>
      <c r="B91" s="71" t="n">
        <f aca="false">SUM($A$5:$A91)</f>
        <v>5</v>
      </c>
      <c r="D91" s="71" t="n">
        <f aca="false">IF(电梯资料!$C91="",0,IF(OR(电梯资料!$AA91&lt;&gt;"",电梯资料!$AB91&lt;&gt;""),1,0))</f>
        <v>0</v>
      </c>
      <c r="E91" s="71" t="n">
        <f aca="false">SUM($D$5:$D91)</f>
        <v>5</v>
      </c>
      <c r="G91" s="71" t="n">
        <f aca="false">IF(电梯资料!$C91="",0,IF(OR(电梯资料!$Y91="安装免保",电梯资料!$Y91="技术免保",电梯资料!$Y91="质保期内"),1,0))</f>
        <v>0</v>
      </c>
      <c r="H91" s="71" t="n">
        <f aca="false">SUM($G$5:$G91)</f>
        <v>4</v>
      </c>
      <c r="J91" s="71" t="n">
        <f aca="false">IF(应收对账!$Y91="",0,IF(应收对账!$T91&gt;0.01,1,0))</f>
        <v>0</v>
      </c>
      <c r="K91" s="71" t="n">
        <f aca="false">SUM($J$5:$J91)</f>
        <v>8</v>
      </c>
    </row>
    <row r="92" customFormat="false" ht="15" hidden="false" customHeight="false" outlineLevel="0" collapsed="false">
      <c r="A92" s="71" t="n">
        <f aca="false">IF(维保合同!$C92="",0,IF(OR(维保合同!$Q92&lt;&gt;"",维保合同!$R92&lt;&gt;""),1,0))</f>
        <v>0</v>
      </c>
      <c r="B92" s="71" t="n">
        <f aca="false">SUM($A$5:$A92)</f>
        <v>5</v>
      </c>
      <c r="D92" s="71" t="n">
        <f aca="false">IF(电梯资料!$C92="",0,IF(OR(电梯资料!$AA92&lt;&gt;"",电梯资料!$AB92&lt;&gt;""),1,0))</f>
        <v>0</v>
      </c>
      <c r="E92" s="71" t="n">
        <f aca="false">SUM($D$5:$D92)</f>
        <v>5</v>
      </c>
      <c r="G92" s="71" t="n">
        <f aca="false">IF(电梯资料!$C92="",0,IF(OR(电梯资料!$Y92="安装免保",电梯资料!$Y92="技术免保",电梯资料!$Y92="质保期内"),1,0))</f>
        <v>0</v>
      </c>
      <c r="H92" s="71" t="n">
        <f aca="false">SUM($G$5:$G92)</f>
        <v>4</v>
      </c>
      <c r="J92" s="71" t="n">
        <f aca="false">IF(应收对账!$Y92="",0,IF(应收对账!$T92&gt;0.01,1,0))</f>
        <v>0</v>
      </c>
      <c r="K92" s="71" t="n">
        <f aca="false">SUM($J$5:$J92)</f>
        <v>8</v>
      </c>
    </row>
    <row r="93" customFormat="false" ht="15" hidden="false" customHeight="false" outlineLevel="0" collapsed="false">
      <c r="A93" s="71" t="n">
        <f aca="false">IF(维保合同!$C93="",0,IF(OR(维保合同!$Q93&lt;&gt;"",维保合同!$R93&lt;&gt;""),1,0))</f>
        <v>0</v>
      </c>
      <c r="B93" s="71" t="n">
        <f aca="false">SUM($A$5:$A93)</f>
        <v>5</v>
      </c>
      <c r="D93" s="71" t="n">
        <f aca="false">IF(电梯资料!$C93="",0,IF(OR(电梯资料!$AA93&lt;&gt;"",电梯资料!$AB93&lt;&gt;""),1,0))</f>
        <v>0</v>
      </c>
      <c r="E93" s="71" t="n">
        <f aca="false">SUM($D$5:$D93)</f>
        <v>5</v>
      </c>
      <c r="G93" s="71" t="n">
        <f aca="false">IF(电梯资料!$C93="",0,IF(OR(电梯资料!$Y93="安装免保",电梯资料!$Y93="技术免保",电梯资料!$Y93="质保期内"),1,0))</f>
        <v>0</v>
      </c>
      <c r="H93" s="71" t="n">
        <f aca="false">SUM($G$5:$G93)</f>
        <v>4</v>
      </c>
      <c r="J93" s="71" t="n">
        <f aca="false">IF(应收对账!$Y93="",0,IF(应收对账!$T93&gt;0.01,1,0))</f>
        <v>0</v>
      </c>
      <c r="K93" s="71" t="n">
        <f aca="false">SUM($J$5:$J93)</f>
        <v>8</v>
      </c>
    </row>
    <row r="94" customFormat="false" ht="15" hidden="false" customHeight="false" outlineLevel="0" collapsed="false">
      <c r="A94" s="71" t="n">
        <f aca="false">IF(维保合同!$C94="",0,IF(OR(维保合同!$Q94&lt;&gt;"",维保合同!$R94&lt;&gt;""),1,0))</f>
        <v>0</v>
      </c>
      <c r="B94" s="71" t="n">
        <f aca="false">SUM($A$5:$A94)</f>
        <v>5</v>
      </c>
      <c r="D94" s="71" t="n">
        <f aca="false">IF(电梯资料!$C94="",0,IF(OR(电梯资料!$AA94&lt;&gt;"",电梯资料!$AB94&lt;&gt;""),1,0))</f>
        <v>0</v>
      </c>
      <c r="E94" s="71" t="n">
        <f aca="false">SUM($D$5:$D94)</f>
        <v>5</v>
      </c>
      <c r="G94" s="71" t="n">
        <f aca="false">IF(电梯资料!$C94="",0,IF(OR(电梯资料!$Y94="安装免保",电梯资料!$Y94="技术免保",电梯资料!$Y94="质保期内"),1,0))</f>
        <v>0</v>
      </c>
      <c r="H94" s="71" t="n">
        <f aca="false">SUM($G$5:$G94)</f>
        <v>4</v>
      </c>
      <c r="J94" s="71" t="n">
        <f aca="false">IF(应收对账!$Y94="",0,IF(应收对账!$T94&gt;0.01,1,0))</f>
        <v>0</v>
      </c>
      <c r="K94" s="71" t="n">
        <f aca="false">SUM($J$5:$J94)</f>
        <v>8</v>
      </c>
    </row>
    <row r="95" customFormat="false" ht="15" hidden="false" customHeight="false" outlineLevel="0" collapsed="false">
      <c r="A95" s="71" t="n">
        <f aca="false">IF(维保合同!$C95="",0,IF(OR(维保合同!$Q95&lt;&gt;"",维保合同!$R95&lt;&gt;""),1,0))</f>
        <v>0</v>
      </c>
      <c r="B95" s="71" t="n">
        <f aca="false">SUM($A$5:$A95)</f>
        <v>5</v>
      </c>
      <c r="D95" s="71" t="n">
        <f aca="false">IF(电梯资料!$C95="",0,IF(OR(电梯资料!$AA95&lt;&gt;"",电梯资料!$AB95&lt;&gt;""),1,0))</f>
        <v>0</v>
      </c>
      <c r="E95" s="71" t="n">
        <f aca="false">SUM($D$5:$D95)</f>
        <v>5</v>
      </c>
      <c r="G95" s="71" t="n">
        <f aca="false">IF(电梯资料!$C95="",0,IF(OR(电梯资料!$Y95="安装免保",电梯资料!$Y95="技术免保",电梯资料!$Y95="质保期内"),1,0))</f>
        <v>0</v>
      </c>
      <c r="H95" s="71" t="n">
        <f aca="false">SUM($G$5:$G95)</f>
        <v>4</v>
      </c>
      <c r="J95" s="71" t="n">
        <f aca="false">IF(应收对账!$Y95="",0,IF(应收对账!$T95&gt;0.01,1,0))</f>
        <v>0</v>
      </c>
      <c r="K95" s="71" t="n">
        <f aca="false">SUM($J$5:$J95)</f>
        <v>8</v>
      </c>
    </row>
    <row r="96" customFormat="false" ht="15" hidden="false" customHeight="false" outlineLevel="0" collapsed="false">
      <c r="A96" s="71" t="n">
        <f aca="false">IF(维保合同!$C96="",0,IF(OR(维保合同!$Q96&lt;&gt;"",维保合同!$R96&lt;&gt;""),1,0))</f>
        <v>0</v>
      </c>
      <c r="B96" s="71" t="n">
        <f aca="false">SUM($A$5:$A96)</f>
        <v>5</v>
      </c>
      <c r="D96" s="71" t="n">
        <f aca="false">IF(电梯资料!$C96="",0,IF(OR(电梯资料!$AA96&lt;&gt;"",电梯资料!$AB96&lt;&gt;""),1,0))</f>
        <v>0</v>
      </c>
      <c r="E96" s="71" t="n">
        <f aca="false">SUM($D$5:$D96)</f>
        <v>5</v>
      </c>
      <c r="G96" s="71" t="n">
        <f aca="false">IF(电梯资料!$C96="",0,IF(OR(电梯资料!$Y96="安装免保",电梯资料!$Y96="技术免保",电梯资料!$Y96="质保期内"),1,0))</f>
        <v>0</v>
      </c>
      <c r="H96" s="71" t="n">
        <f aca="false">SUM($G$5:$G96)</f>
        <v>4</v>
      </c>
      <c r="J96" s="71" t="n">
        <f aca="false">IF(应收对账!$Y96="",0,IF(应收对账!$T96&gt;0.01,1,0))</f>
        <v>0</v>
      </c>
      <c r="K96" s="71" t="n">
        <f aca="false">SUM($J$5:$J96)</f>
        <v>8</v>
      </c>
    </row>
    <row r="97" customFormat="false" ht="15" hidden="false" customHeight="false" outlineLevel="0" collapsed="false">
      <c r="A97" s="71" t="n">
        <f aca="false">IF(维保合同!$C97="",0,IF(OR(维保合同!$Q97&lt;&gt;"",维保合同!$R97&lt;&gt;""),1,0))</f>
        <v>0</v>
      </c>
      <c r="B97" s="71" t="n">
        <f aca="false">SUM($A$5:$A97)</f>
        <v>5</v>
      </c>
      <c r="D97" s="71" t="n">
        <f aca="false">IF(电梯资料!$C97="",0,IF(OR(电梯资料!$AA97&lt;&gt;"",电梯资料!$AB97&lt;&gt;""),1,0))</f>
        <v>0</v>
      </c>
      <c r="E97" s="71" t="n">
        <f aca="false">SUM($D$5:$D97)</f>
        <v>5</v>
      </c>
      <c r="G97" s="71" t="n">
        <f aca="false">IF(电梯资料!$C97="",0,IF(OR(电梯资料!$Y97="安装免保",电梯资料!$Y97="技术免保",电梯资料!$Y97="质保期内"),1,0))</f>
        <v>0</v>
      </c>
      <c r="H97" s="71" t="n">
        <f aca="false">SUM($G$5:$G97)</f>
        <v>4</v>
      </c>
      <c r="J97" s="71" t="n">
        <f aca="false">IF(应收对账!$Y97="",0,IF(应收对账!$T97&gt;0.01,1,0))</f>
        <v>0</v>
      </c>
      <c r="K97" s="71" t="n">
        <f aca="false">SUM($J$5:$J97)</f>
        <v>8</v>
      </c>
    </row>
    <row r="98" customFormat="false" ht="15" hidden="false" customHeight="false" outlineLevel="0" collapsed="false">
      <c r="A98" s="71" t="n">
        <f aca="false">IF(维保合同!$C98="",0,IF(OR(维保合同!$Q98&lt;&gt;"",维保合同!$R98&lt;&gt;""),1,0))</f>
        <v>0</v>
      </c>
      <c r="B98" s="71" t="n">
        <f aca="false">SUM($A$5:$A98)</f>
        <v>5</v>
      </c>
      <c r="D98" s="71" t="n">
        <f aca="false">IF(电梯资料!$C98="",0,IF(OR(电梯资料!$AA98&lt;&gt;"",电梯资料!$AB98&lt;&gt;""),1,0))</f>
        <v>0</v>
      </c>
      <c r="E98" s="71" t="n">
        <f aca="false">SUM($D$5:$D98)</f>
        <v>5</v>
      </c>
      <c r="G98" s="71" t="n">
        <f aca="false">IF(电梯资料!$C98="",0,IF(OR(电梯资料!$Y98="安装免保",电梯资料!$Y98="技术免保",电梯资料!$Y98="质保期内"),1,0))</f>
        <v>0</v>
      </c>
      <c r="H98" s="71" t="n">
        <f aca="false">SUM($G$5:$G98)</f>
        <v>4</v>
      </c>
      <c r="J98" s="71" t="n">
        <f aca="false">IF(应收对账!$Y98="",0,IF(应收对账!$T98&gt;0.01,1,0))</f>
        <v>0</v>
      </c>
      <c r="K98" s="71" t="n">
        <f aca="false">SUM($J$5:$J98)</f>
        <v>8</v>
      </c>
    </row>
    <row r="99" customFormat="false" ht="15" hidden="false" customHeight="false" outlineLevel="0" collapsed="false">
      <c r="A99" s="71" t="n">
        <f aca="false">IF(维保合同!$C99="",0,IF(OR(维保合同!$Q99&lt;&gt;"",维保合同!$R99&lt;&gt;""),1,0))</f>
        <v>0</v>
      </c>
      <c r="B99" s="71" t="n">
        <f aca="false">SUM($A$5:$A99)</f>
        <v>5</v>
      </c>
      <c r="D99" s="71" t="n">
        <f aca="false">IF(电梯资料!$C99="",0,IF(OR(电梯资料!$AA99&lt;&gt;"",电梯资料!$AB99&lt;&gt;""),1,0))</f>
        <v>0</v>
      </c>
      <c r="E99" s="71" t="n">
        <f aca="false">SUM($D$5:$D99)</f>
        <v>5</v>
      </c>
      <c r="G99" s="71" t="n">
        <f aca="false">IF(电梯资料!$C99="",0,IF(OR(电梯资料!$Y99="安装免保",电梯资料!$Y99="技术免保",电梯资料!$Y99="质保期内"),1,0))</f>
        <v>0</v>
      </c>
      <c r="H99" s="71" t="n">
        <f aca="false">SUM($G$5:$G99)</f>
        <v>4</v>
      </c>
      <c r="J99" s="71" t="n">
        <f aca="false">IF(应收对账!$Y99="",0,IF(应收对账!$T99&gt;0.01,1,0))</f>
        <v>0</v>
      </c>
      <c r="K99" s="71" t="n">
        <f aca="false">SUM($J$5:$J99)</f>
        <v>8</v>
      </c>
    </row>
    <row r="100" customFormat="false" ht="15" hidden="false" customHeight="false" outlineLevel="0" collapsed="false">
      <c r="A100" s="71" t="n">
        <f aca="false">IF(维保合同!$C100="",0,IF(OR(维保合同!$Q100&lt;&gt;"",维保合同!$R100&lt;&gt;""),1,0))</f>
        <v>0</v>
      </c>
      <c r="B100" s="71" t="n">
        <f aca="false">SUM($A$5:$A100)</f>
        <v>5</v>
      </c>
      <c r="D100" s="71" t="n">
        <f aca="false">IF(电梯资料!$C100="",0,IF(OR(电梯资料!$AA100&lt;&gt;"",电梯资料!$AB100&lt;&gt;""),1,0))</f>
        <v>0</v>
      </c>
      <c r="E100" s="71" t="n">
        <f aca="false">SUM($D$5:$D100)</f>
        <v>5</v>
      </c>
      <c r="G100" s="71" t="n">
        <f aca="false">IF(电梯资料!$C100="",0,IF(OR(电梯资料!$Y100="安装免保",电梯资料!$Y100="技术免保",电梯资料!$Y100="质保期内"),1,0))</f>
        <v>0</v>
      </c>
      <c r="H100" s="71" t="n">
        <f aca="false">SUM($G$5:$G100)</f>
        <v>4</v>
      </c>
      <c r="J100" s="71" t="n">
        <f aca="false">IF(应收对账!$Y100="",0,IF(应收对账!$T100&gt;0.01,1,0))</f>
        <v>0</v>
      </c>
      <c r="K100" s="71" t="n">
        <f aca="false">SUM($J$5:$J100)</f>
        <v>8</v>
      </c>
    </row>
    <row r="101" customFormat="false" ht="15" hidden="false" customHeight="false" outlineLevel="0" collapsed="false">
      <c r="A101" s="71" t="n">
        <f aca="false">IF(维保合同!$C101="",0,IF(OR(维保合同!$Q101&lt;&gt;"",维保合同!$R101&lt;&gt;""),1,0))</f>
        <v>0</v>
      </c>
      <c r="B101" s="71" t="n">
        <f aca="false">SUM($A$5:$A101)</f>
        <v>5</v>
      </c>
      <c r="D101" s="71" t="n">
        <f aca="false">IF(电梯资料!$C101="",0,IF(OR(电梯资料!$AA101&lt;&gt;"",电梯资料!$AB101&lt;&gt;""),1,0))</f>
        <v>0</v>
      </c>
      <c r="E101" s="71" t="n">
        <f aca="false">SUM($D$5:$D101)</f>
        <v>5</v>
      </c>
      <c r="G101" s="71" t="n">
        <f aca="false">IF(电梯资料!$C101="",0,IF(OR(电梯资料!$Y101="安装免保",电梯资料!$Y101="技术免保",电梯资料!$Y101="质保期内"),1,0))</f>
        <v>0</v>
      </c>
      <c r="H101" s="71" t="n">
        <f aca="false">SUM($G$5:$G101)</f>
        <v>4</v>
      </c>
      <c r="J101" s="71" t="n">
        <f aca="false">IF(应收对账!$Y101="",0,IF(应收对账!$T101&gt;0.01,1,0))</f>
        <v>0</v>
      </c>
      <c r="K101" s="71" t="n">
        <f aca="false">SUM($J$5:$J101)</f>
        <v>8</v>
      </c>
    </row>
    <row r="102" customFormat="false" ht="15" hidden="false" customHeight="false" outlineLevel="0" collapsed="false">
      <c r="A102" s="71" t="n">
        <f aca="false">IF(维保合同!$C102="",0,IF(OR(维保合同!$Q102&lt;&gt;"",维保合同!$R102&lt;&gt;""),1,0))</f>
        <v>0</v>
      </c>
      <c r="B102" s="71" t="n">
        <f aca="false">SUM($A$5:$A102)</f>
        <v>5</v>
      </c>
      <c r="D102" s="71" t="n">
        <f aca="false">IF(电梯资料!$C102="",0,IF(OR(电梯资料!$AA102&lt;&gt;"",电梯资料!$AB102&lt;&gt;""),1,0))</f>
        <v>0</v>
      </c>
      <c r="E102" s="71" t="n">
        <f aca="false">SUM($D$5:$D102)</f>
        <v>5</v>
      </c>
      <c r="G102" s="71" t="n">
        <f aca="false">IF(电梯资料!$C102="",0,IF(OR(电梯资料!$Y102="安装免保",电梯资料!$Y102="技术免保",电梯资料!$Y102="质保期内"),1,0))</f>
        <v>0</v>
      </c>
      <c r="H102" s="71" t="n">
        <f aca="false">SUM($G$5:$G102)</f>
        <v>4</v>
      </c>
      <c r="J102" s="71" t="n">
        <f aca="false">IF(应收对账!$Y102="",0,IF(应收对账!$T102&gt;0.01,1,0))</f>
        <v>0</v>
      </c>
      <c r="K102" s="71" t="n">
        <f aca="false">SUM($J$5:$J102)</f>
        <v>8</v>
      </c>
    </row>
    <row r="103" customFormat="false" ht="15" hidden="false" customHeight="false" outlineLevel="0" collapsed="false">
      <c r="A103" s="71" t="n">
        <f aca="false">IF(维保合同!$C103="",0,IF(OR(维保合同!$Q103&lt;&gt;"",维保合同!$R103&lt;&gt;""),1,0))</f>
        <v>0</v>
      </c>
      <c r="B103" s="71" t="n">
        <f aca="false">SUM($A$5:$A103)</f>
        <v>5</v>
      </c>
      <c r="D103" s="71" t="n">
        <f aca="false">IF(电梯资料!$C103="",0,IF(OR(电梯资料!$AA103&lt;&gt;"",电梯资料!$AB103&lt;&gt;""),1,0))</f>
        <v>0</v>
      </c>
      <c r="E103" s="71" t="n">
        <f aca="false">SUM($D$5:$D103)</f>
        <v>5</v>
      </c>
      <c r="G103" s="71" t="n">
        <f aca="false">IF(电梯资料!$C103="",0,IF(OR(电梯资料!$Y103="安装免保",电梯资料!$Y103="技术免保",电梯资料!$Y103="质保期内"),1,0))</f>
        <v>0</v>
      </c>
      <c r="H103" s="71" t="n">
        <f aca="false">SUM($G$5:$G103)</f>
        <v>4</v>
      </c>
      <c r="J103" s="71" t="n">
        <f aca="false">IF(应收对账!$Y103="",0,IF(应收对账!$T103&gt;0.01,1,0))</f>
        <v>0</v>
      </c>
      <c r="K103" s="71" t="n">
        <f aca="false">SUM($J$5:$J103)</f>
        <v>8</v>
      </c>
    </row>
    <row r="104" customFormat="false" ht="15" hidden="false" customHeight="false" outlineLevel="0" collapsed="false">
      <c r="A104" s="71" t="n">
        <f aca="false">IF(维保合同!$C104="",0,IF(OR(维保合同!$Q104&lt;&gt;"",维保合同!$R104&lt;&gt;""),1,0))</f>
        <v>0</v>
      </c>
      <c r="B104" s="71" t="n">
        <f aca="false">SUM($A$5:$A104)</f>
        <v>5</v>
      </c>
      <c r="D104" s="71" t="n">
        <f aca="false">IF(电梯资料!$C104="",0,IF(OR(电梯资料!$AA104&lt;&gt;"",电梯资料!$AB104&lt;&gt;""),1,0))</f>
        <v>0</v>
      </c>
      <c r="E104" s="71" t="n">
        <f aca="false">SUM($D$5:$D104)</f>
        <v>5</v>
      </c>
      <c r="G104" s="71" t="n">
        <f aca="false">IF(电梯资料!$C104="",0,IF(OR(电梯资料!$Y104="安装免保",电梯资料!$Y104="技术免保",电梯资料!$Y104="质保期内"),1,0))</f>
        <v>0</v>
      </c>
      <c r="H104" s="71" t="n">
        <f aca="false">SUM($G$5:$G104)</f>
        <v>4</v>
      </c>
      <c r="J104" s="71" t="n">
        <f aca="false">IF(应收对账!$Y104="",0,IF(应收对账!$T104&gt;0.01,1,0))</f>
        <v>0</v>
      </c>
      <c r="K104" s="71" t="n">
        <f aca="false">SUM($J$5:$J104)</f>
        <v>8</v>
      </c>
    </row>
    <row r="105" customFormat="false" ht="15" hidden="false" customHeight="false" outlineLevel="0" collapsed="false">
      <c r="A105" s="71" t="n">
        <f aca="false">IF(维保合同!$C105="",0,IF(OR(维保合同!$Q105&lt;&gt;"",维保合同!$R105&lt;&gt;""),1,0))</f>
        <v>0</v>
      </c>
      <c r="B105" s="71" t="n">
        <f aca="false">SUM($A$5:$A105)</f>
        <v>5</v>
      </c>
      <c r="D105" s="71" t="n">
        <f aca="false">IF(电梯资料!$C105="",0,IF(OR(电梯资料!$AA105&lt;&gt;"",电梯资料!$AB105&lt;&gt;""),1,0))</f>
        <v>0</v>
      </c>
      <c r="E105" s="71" t="n">
        <f aca="false">SUM($D$5:$D105)</f>
        <v>5</v>
      </c>
      <c r="G105" s="71" t="n">
        <f aca="false">IF(电梯资料!$C105="",0,IF(OR(电梯资料!$Y105="安装免保",电梯资料!$Y105="技术免保",电梯资料!$Y105="质保期内"),1,0))</f>
        <v>0</v>
      </c>
      <c r="H105" s="71" t="n">
        <f aca="false">SUM($G$5:$G105)</f>
        <v>4</v>
      </c>
      <c r="J105" s="71" t="n">
        <f aca="false">IF(应收对账!$Y105="",0,IF(应收对账!$T105&gt;0.01,1,0))</f>
        <v>0</v>
      </c>
      <c r="K105" s="71" t="n">
        <f aca="false">SUM($J$5:$J105)</f>
        <v>8</v>
      </c>
    </row>
    <row r="106" customFormat="false" ht="15" hidden="false" customHeight="false" outlineLevel="0" collapsed="false">
      <c r="A106" s="71" t="n">
        <f aca="false">IF(维保合同!$C106="",0,IF(OR(维保合同!$Q106&lt;&gt;"",维保合同!$R106&lt;&gt;""),1,0))</f>
        <v>0</v>
      </c>
      <c r="B106" s="71" t="n">
        <f aca="false">SUM($A$5:$A106)</f>
        <v>5</v>
      </c>
      <c r="D106" s="71" t="n">
        <f aca="false">IF(电梯资料!$C106="",0,IF(OR(电梯资料!$AA106&lt;&gt;"",电梯资料!$AB106&lt;&gt;""),1,0))</f>
        <v>0</v>
      </c>
      <c r="E106" s="71" t="n">
        <f aca="false">SUM($D$5:$D106)</f>
        <v>5</v>
      </c>
      <c r="G106" s="71" t="n">
        <f aca="false">IF(电梯资料!$C106="",0,IF(OR(电梯资料!$Y106="安装免保",电梯资料!$Y106="技术免保",电梯资料!$Y106="质保期内"),1,0))</f>
        <v>0</v>
      </c>
      <c r="H106" s="71" t="n">
        <f aca="false">SUM($G$5:$G106)</f>
        <v>4</v>
      </c>
      <c r="J106" s="71" t="n">
        <f aca="false">IF(应收对账!$Y106="",0,IF(应收对账!$T106&gt;0.01,1,0))</f>
        <v>0</v>
      </c>
      <c r="K106" s="71" t="n">
        <f aca="false">SUM($J$5:$J106)</f>
        <v>8</v>
      </c>
    </row>
    <row r="107" customFormat="false" ht="15" hidden="false" customHeight="false" outlineLevel="0" collapsed="false">
      <c r="A107" s="71" t="n">
        <f aca="false">IF(维保合同!$C107="",0,IF(OR(维保合同!$Q107&lt;&gt;"",维保合同!$R107&lt;&gt;""),1,0))</f>
        <v>0</v>
      </c>
      <c r="B107" s="71" t="n">
        <f aca="false">SUM($A$5:$A107)</f>
        <v>5</v>
      </c>
      <c r="D107" s="71" t="n">
        <f aca="false">IF(电梯资料!$C107="",0,IF(OR(电梯资料!$AA107&lt;&gt;"",电梯资料!$AB107&lt;&gt;""),1,0))</f>
        <v>0</v>
      </c>
      <c r="E107" s="71" t="n">
        <f aca="false">SUM($D$5:$D107)</f>
        <v>5</v>
      </c>
      <c r="G107" s="71" t="n">
        <f aca="false">IF(电梯资料!$C107="",0,IF(OR(电梯资料!$Y107="安装免保",电梯资料!$Y107="技术免保",电梯资料!$Y107="质保期内"),1,0))</f>
        <v>0</v>
      </c>
      <c r="H107" s="71" t="n">
        <f aca="false">SUM($G$5:$G107)</f>
        <v>4</v>
      </c>
      <c r="J107" s="71" t="n">
        <f aca="false">IF(应收对账!$Y107="",0,IF(应收对账!$T107&gt;0.01,1,0))</f>
        <v>0</v>
      </c>
      <c r="K107" s="71" t="n">
        <f aca="false">SUM($J$5:$J107)</f>
        <v>8</v>
      </c>
    </row>
    <row r="108" customFormat="false" ht="15" hidden="false" customHeight="false" outlineLevel="0" collapsed="false">
      <c r="A108" s="71" t="n">
        <f aca="false">IF(维保合同!$C108="",0,IF(OR(维保合同!$Q108&lt;&gt;"",维保合同!$R108&lt;&gt;""),1,0))</f>
        <v>0</v>
      </c>
      <c r="B108" s="71" t="n">
        <f aca="false">SUM($A$5:$A108)</f>
        <v>5</v>
      </c>
      <c r="D108" s="71" t="n">
        <f aca="false">IF(电梯资料!$C108="",0,IF(OR(电梯资料!$AA108&lt;&gt;"",电梯资料!$AB108&lt;&gt;""),1,0))</f>
        <v>0</v>
      </c>
      <c r="E108" s="71" t="n">
        <f aca="false">SUM($D$5:$D108)</f>
        <v>5</v>
      </c>
      <c r="G108" s="71" t="n">
        <f aca="false">IF(电梯资料!$C108="",0,IF(OR(电梯资料!$Y108="安装免保",电梯资料!$Y108="技术免保",电梯资料!$Y108="质保期内"),1,0))</f>
        <v>0</v>
      </c>
      <c r="H108" s="71" t="n">
        <f aca="false">SUM($G$5:$G108)</f>
        <v>4</v>
      </c>
      <c r="J108" s="71" t="n">
        <f aca="false">IF(应收对账!$Y108="",0,IF(应收对账!$T108&gt;0.01,1,0))</f>
        <v>0</v>
      </c>
      <c r="K108" s="71" t="n">
        <f aca="false">SUM($J$5:$J108)</f>
        <v>8</v>
      </c>
    </row>
    <row r="109" customFormat="false" ht="15" hidden="false" customHeight="false" outlineLevel="0" collapsed="false">
      <c r="A109" s="71" t="n">
        <f aca="false">IF(维保合同!$C109="",0,IF(OR(维保合同!$Q109&lt;&gt;"",维保合同!$R109&lt;&gt;""),1,0))</f>
        <v>0</v>
      </c>
      <c r="B109" s="71" t="n">
        <f aca="false">SUM($A$5:$A109)</f>
        <v>5</v>
      </c>
      <c r="D109" s="71" t="n">
        <f aca="false">IF(电梯资料!$C109="",0,IF(OR(电梯资料!$AA109&lt;&gt;"",电梯资料!$AB109&lt;&gt;""),1,0))</f>
        <v>0</v>
      </c>
      <c r="E109" s="71" t="n">
        <f aca="false">SUM($D$5:$D109)</f>
        <v>5</v>
      </c>
      <c r="G109" s="71" t="n">
        <f aca="false">IF(电梯资料!$C109="",0,IF(OR(电梯资料!$Y109="安装免保",电梯资料!$Y109="技术免保",电梯资料!$Y109="质保期内"),1,0))</f>
        <v>0</v>
      </c>
      <c r="H109" s="71" t="n">
        <f aca="false">SUM($G$5:$G109)</f>
        <v>4</v>
      </c>
      <c r="J109" s="71" t="n">
        <f aca="false">IF(应收对账!$Y109="",0,IF(应收对账!$T109&gt;0.01,1,0))</f>
        <v>0</v>
      </c>
      <c r="K109" s="71" t="n">
        <f aca="false">SUM($J$5:$J109)</f>
        <v>8</v>
      </c>
    </row>
    <row r="110" customFormat="false" ht="15" hidden="false" customHeight="false" outlineLevel="0" collapsed="false">
      <c r="A110" s="71" t="n">
        <f aca="false">IF(维保合同!$C110="",0,IF(OR(维保合同!$Q110&lt;&gt;"",维保合同!$R110&lt;&gt;""),1,0))</f>
        <v>0</v>
      </c>
      <c r="B110" s="71" t="n">
        <f aca="false">SUM($A$5:$A110)</f>
        <v>5</v>
      </c>
      <c r="D110" s="71" t="n">
        <f aca="false">IF(电梯资料!$C110="",0,IF(OR(电梯资料!$AA110&lt;&gt;"",电梯资料!$AB110&lt;&gt;""),1,0))</f>
        <v>0</v>
      </c>
      <c r="E110" s="71" t="n">
        <f aca="false">SUM($D$5:$D110)</f>
        <v>5</v>
      </c>
      <c r="G110" s="71" t="n">
        <f aca="false">IF(电梯资料!$C110="",0,IF(OR(电梯资料!$Y110="安装免保",电梯资料!$Y110="技术免保",电梯资料!$Y110="质保期内"),1,0))</f>
        <v>0</v>
      </c>
      <c r="H110" s="71" t="n">
        <f aca="false">SUM($G$5:$G110)</f>
        <v>4</v>
      </c>
      <c r="J110" s="71" t="n">
        <f aca="false">IF(应收对账!$Y110="",0,IF(应收对账!$T110&gt;0.01,1,0))</f>
        <v>0</v>
      </c>
      <c r="K110" s="71" t="n">
        <f aca="false">SUM($J$5:$J110)</f>
        <v>8</v>
      </c>
    </row>
    <row r="111" customFormat="false" ht="15" hidden="false" customHeight="false" outlineLevel="0" collapsed="false">
      <c r="A111" s="71" t="n">
        <f aca="false">IF(维保合同!$C111="",0,IF(OR(维保合同!$Q111&lt;&gt;"",维保合同!$R111&lt;&gt;""),1,0))</f>
        <v>0</v>
      </c>
      <c r="B111" s="71" t="n">
        <f aca="false">SUM($A$5:$A111)</f>
        <v>5</v>
      </c>
      <c r="D111" s="71" t="n">
        <f aca="false">IF(电梯资料!$C111="",0,IF(OR(电梯资料!$AA111&lt;&gt;"",电梯资料!$AB111&lt;&gt;""),1,0))</f>
        <v>0</v>
      </c>
      <c r="E111" s="71" t="n">
        <f aca="false">SUM($D$5:$D111)</f>
        <v>5</v>
      </c>
      <c r="G111" s="71" t="n">
        <f aca="false">IF(电梯资料!$C111="",0,IF(OR(电梯资料!$Y111="安装免保",电梯资料!$Y111="技术免保",电梯资料!$Y111="质保期内"),1,0))</f>
        <v>0</v>
      </c>
      <c r="H111" s="71" t="n">
        <f aca="false">SUM($G$5:$G111)</f>
        <v>4</v>
      </c>
      <c r="J111" s="71" t="n">
        <f aca="false">IF(应收对账!$Y111="",0,IF(应收对账!$T111&gt;0.01,1,0))</f>
        <v>0</v>
      </c>
      <c r="K111" s="71" t="n">
        <f aca="false">SUM($J$5:$J111)</f>
        <v>8</v>
      </c>
    </row>
    <row r="112" customFormat="false" ht="15" hidden="false" customHeight="false" outlineLevel="0" collapsed="false">
      <c r="A112" s="71" t="n">
        <f aca="false">IF(维保合同!$C112="",0,IF(OR(维保合同!$Q112&lt;&gt;"",维保合同!$R112&lt;&gt;""),1,0))</f>
        <v>0</v>
      </c>
      <c r="B112" s="71" t="n">
        <f aca="false">SUM($A$5:$A112)</f>
        <v>5</v>
      </c>
      <c r="D112" s="71" t="n">
        <f aca="false">IF(电梯资料!$C112="",0,IF(OR(电梯资料!$AA112&lt;&gt;"",电梯资料!$AB112&lt;&gt;""),1,0))</f>
        <v>0</v>
      </c>
      <c r="E112" s="71" t="n">
        <f aca="false">SUM($D$5:$D112)</f>
        <v>5</v>
      </c>
      <c r="G112" s="71" t="n">
        <f aca="false">IF(电梯资料!$C112="",0,IF(OR(电梯资料!$Y112="安装免保",电梯资料!$Y112="技术免保",电梯资料!$Y112="质保期内"),1,0))</f>
        <v>0</v>
      </c>
      <c r="H112" s="71" t="n">
        <f aca="false">SUM($G$5:$G112)</f>
        <v>4</v>
      </c>
      <c r="J112" s="71" t="n">
        <f aca="false">IF(应收对账!$Y112="",0,IF(应收对账!$T112&gt;0.01,1,0))</f>
        <v>0</v>
      </c>
      <c r="K112" s="71" t="n">
        <f aca="false">SUM($J$5:$J112)</f>
        <v>8</v>
      </c>
    </row>
    <row r="113" customFormat="false" ht="15" hidden="false" customHeight="false" outlineLevel="0" collapsed="false">
      <c r="A113" s="71" t="n">
        <f aca="false">IF(维保合同!$C113="",0,IF(OR(维保合同!$Q113&lt;&gt;"",维保合同!$R113&lt;&gt;""),1,0))</f>
        <v>0</v>
      </c>
      <c r="B113" s="71" t="n">
        <f aca="false">SUM($A$5:$A113)</f>
        <v>5</v>
      </c>
      <c r="D113" s="71" t="n">
        <f aca="false">IF(电梯资料!$C113="",0,IF(OR(电梯资料!$AA113&lt;&gt;"",电梯资料!$AB113&lt;&gt;""),1,0))</f>
        <v>0</v>
      </c>
      <c r="E113" s="71" t="n">
        <f aca="false">SUM($D$5:$D113)</f>
        <v>5</v>
      </c>
      <c r="G113" s="71" t="n">
        <f aca="false">IF(电梯资料!$C113="",0,IF(OR(电梯资料!$Y113="安装免保",电梯资料!$Y113="技术免保",电梯资料!$Y113="质保期内"),1,0))</f>
        <v>0</v>
      </c>
      <c r="H113" s="71" t="n">
        <f aca="false">SUM($G$5:$G113)</f>
        <v>4</v>
      </c>
      <c r="J113" s="71" t="n">
        <f aca="false">IF(应收对账!$Y113="",0,IF(应收对账!$T113&gt;0.01,1,0))</f>
        <v>0</v>
      </c>
      <c r="K113" s="71" t="n">
        <f aca="false">SUM($J$5:$J113)</f>
        <v>8</v>
      </c>
    </row>
    <row r="114" customFormat="false" ht="15" hidden="false" customHeight="false" outlineLevel="0" collapsed="false">
      <c r="A114" s="71" t="n">
        <f aca="false">IF(维保合同!$C114="",0,IF(OR(维保合同!$Q114&lt;&gt;"",维保合同!$R114&lt;&gt;""),1,0))</f>
        <v>0</v>
      </c>
      <c r="B114" s="71" t="n">
        <f aca="false">SUM($A$5:$A114)</f>
        <v>5</v>
      </c>
      <c r="D114" s="71" t="n">
        <f aca="false">IF(电梯资料!$C114="",0,IF(OR(电梯资料!$AA114&lt;&gt;"",电梯资料!$AB114&lt;&gt;""),1,0))</f>
        <v>0</v>
      </c>
      <c r="E114" s="71" t="n">
        <f aca="false">SUM($D$5:$D114)</f>
        <v>5</v>
      </c>
      <c r="G114" s="71" t="n">
        <f aca="false">IF(电梯资料!$C114="",0,IF(OR(电梯资料!$Y114="安装免保",电梯资料!$Y114="技术免保",电梯资料!$Y114="质保期内"),1,0))</f>
        <v>0</v>
      </c>
      <c r="H114" s="71" t="n">
        <f aca="false">SUM($G$5:$G114)</f>
        <v>4</v>
      </c>
      <c r="J114" s="71" t="n">
        <f aca="false">IF(应收对账!$Y114="",0,IF(应收对账!$T114&gt;0.01,1,0))</f>
        <v>0</v>
      </c>
      <c r="K114" s="71" t="n">
        <f aca="false">SUM($J$5:$J114)</f>
        <v>8</v>
      </c>
    </row>
    <row r="115" customFormat="false" ht="15" hidden="false" customHeight="false" outlineLevel="0" collapsed="false">
      <c r="A115" s="71" t="n">
        <f aca="false">IF(维保合同!$C115="",0,IF(OR(维保合同!$Q115&lt;&gt;"",维保合同!$R115&lt;&gt;""),1,0))</f>
        <v>0</v>
      </c>
      <c r="B115" s="71" t="n">
        <f aca="false">SUM($A$5:$A115)</f>
        <v>5</v>
      </c>
      <c r="D115" s="71" t="n">
        <f aca="false">IF(电梯资料!$C115="",0,IF(OR(电梯资料!$AA115&lt;&gt;"",电梯资料!$AB115&lt;&gt;""),1,0))</f>
        <v>0</v>
      </c>
      <c r="E115" s="71" t="n">
        <f aca="false">SUM($D$5:$D115)</f>
        <v>5</v>
      </c>
      <c r="G115" s="71" t="n">
        <f aca="false">IF(电梯资料!$C115="",0,IF(OR(电梯资料!$Y115="安装免保",电梯资料!$Y115="技术免保",电梯资料!$Y115="质保期内"),1,0))</f>
        <v>0</v>
      </c>
      <c r="H115" s="71" t="n">
        <f aca="false">SUM($G$5:$G115)</f>
        <v>4</v>
      </c>
      <c r="J115" s="71" t="n">
        <f aca="false">IF(应收对账!$Y115="",0,IF(应收对账!$T115&gt;0.01,1,0))</f>
        <v>0</v>
      </c>
      <c r="K115" s="71" t="n">
        <f aca="false">SUM($J$5:$J115)</f>
        <v>8</v>
      </c>
    </row>
    <row r="116" customFormat="false" ht="15" hidden="false" customHeight="false" outlineLevel="0" collapsed="false">
      <c r="A116" s="71" t="n">
        <f aca="false">IF(维保合同!$C116="",0,IF(OR(维保合同!$Q116&lt;&gt;"",维保合同!$R116&lt;&gt;""),1,0))</f>
        <v>0</v>
      </c>
      <c r="B116" s="71" t="n">
        <f aca="false">SUM($A$5:$A116)</f>
        <v>5</v>
      </c>
      <c r="D116" s="71" t="n">
        <f aca="false">IF(电梯资料!$C116="",0,IF(OR(电梯资料!$AA116&lt;&gt;"",电梯资料!$AB116&lt;&gt;""),1,0))</f>
        <v>0</v>
      </c>
      <c r="E116" s="71" t="n">
        <f aca="false">SUM($D$5:$D116)</f>
        <v>5</v>
      </c>
      <c r="G116" s="71" t="n">
        <f aca="false">IF(电梯资料!$C116="",0,IF(OR(电梯资料!$Y116="安装免保",电梯资料!$Y116="技术免保",电梯资料!$Y116="质保期内"),1,0))</f>
        <v>0</v>
      </c>
      <c r="H116" s="71" t="n">
        <f aca="false">SUM($G$5:$G116)</f>
        <v>4</v>
      </c>
      <c r="J116" s="71" t="n">
        <f aca="false">IF(应收对账!$Y116="",0,IF(应收对账!$T116&gt;0.01,1,0))</f>
        <v>0</v>
      </c>
      <c r="K116" s="71" t="n">
        <f aca="false">SUM($J$5:$J116)</f>
        <v>8</v>
      </c>
    </row>
    <row r="117" customFormat="false" ht="15" hidden="false" customHeight="false" outlineLevel="0" collapsed="false">
      <c r="A117" s="71" t="n">
        <f aca="false">IF(维保合同!$C117="",0,IF(OR(维保合同!$Q117&lt;&gt;"",维保合同!$R117&lt;&gt;""),1,0))</f>
        <v>0</v>
      </c>
      <c r="B117" s="71" t="n">
        <f aca="false">SUM($A$5:$A117)</f>
        <v>5</v>
      </c>
      <c r="D117" s="71" t="n">
        <f aca="false">IF(电梯资料!$C117="",0,IF(OR(电梯资料!$AA117&lt;&gt;"",电梯资料!$AB117&lt;&gt;""),1,0))</f>
        <v>0</v>
      </c>
      <c r="E117" s="71" t="n">
        <f aca="false">SUM($D$5:$D117)</f>
        <v>5</v>
      </c>
      <c r="G117" s="71" t="n">
        <f aca="false">IF(电梯资料!$C117="",0,IF(OR(电梯资料!$Y117="安装免保",电梯资料!$Y117="技术免保",电梯资料!$Y117="质保期内"),1,0))</f>
        <v>0</v>
      </c>
      <c r="H117" s="71" t="n">
        <f aca="false">SUM($G$5:$G117)</f>
        <v>4</v>
      </c>
      <c r="J117" s="71" t="n">
        <f aca="false">IF(应收对账!$Y117="",0,IF(应收对账!$T117&gt;0.01,1,0))</f>
        <v>0</v>
      </c>
      <c r="K117" s="71" t="n">
        <f aca="false">SUM($J$5:$J117)</f>
        <v>8</v>
      </c>
    </row>
    <row r="118" customFormat="false" ht="15" hidden="false" customHeight="false" outlineLevel="0" collapsed="false">
      <c r="A118" s="71" t="n">
        <f aca="false">IF(维保合同!$C118="",0,IF(OR(维保合同!$Q118&lt;&gt;"",维保合同!$R118&lt;&gt;""),1,0))</f>
        <v>0</v>
      </c>
      <c r="B118" s="71" t="n">
        <f aca="false">SUM($A$5:$A118)</f>
        <v>5</v>
      </c>
      <c r="D118" s="71" t="n">
        <f aca="false">IF(电梯资料!$C118="",0,IF(OR(电梯资料!$AA118&lt;&gt;"",电梯资料!$AB118&lt;&gt;""),1,0))</f>
        <v>0</v>
      </c>
      <c r="E118" s="71" t="n">
        <f aca="false">SUM($D$5:$D118)</f>
        <v>5</v>
      </c>
      <c r="G118" s="71" t="n">
        <f aca="false">IF(电梯资料!$C118="",0,IF(OR(电梯资料!$Y118="安装免保",电梯资料!$Y118="技术免保",电梯资料!$Y118="质保期内"),1,0))</f>
        <v>0</v>
      </c>
      <c r="H118" s="71" t="n">
        <f aca="false">SUM($G$5:$G118)</f>
        <v>4</v>
      </c>
      <c r="J118" s="71" t="n">
        <f aca="false">IF(应收对账!$Y118="",0,IF(应收对账!$T118&gt;0.01,1,0))</f>
        <v>0</v>
      </c>
      <c r="K118" s="71" t="n">
        <f aca="false">SUM($J$5:$J118)</f>
        <v>8</v>
      </c>
    </row>
    <row r="119" customFormat="false" ht="15" hidden="false" customHeight="false" outlineLevel="0" collapsed="false">
      <c r="A119" s="71" t="n">
        <f aca="false">IF(维保合同!$C119="",0,IF(OR(维保合同!$Q119&lt;&gt;"",维保合同!$R119&lt;&gt;""),1,0))</f>
        <v>0</v>
      </c>
      <c r="B119" s="71" t="n">
        <f aca="false">SUM($A$5:$A119)</f>
        <v>5</v>
      </c>
      <c r="D119" s="71" t="n">
        <f aca="false">IF(电梯资料!$C119="",0,IF(OR(电梯资料!$AA119&lt;&gt;"",电梯资料!$AB119&lt;&gt;""),1,0))</f>
        <v>0</v>
      </c>
      <c r="E119" s="71" t="n">
        <f aca="false">SUM($D$5:$D119)</f>
        <v>5</v>
      </c>
      <c r="G119" s="71" t="n">
        <f aca="false">IF(电梯资料!$C119="",0,IF(OR(电梯资料!$Y119="安装免保",电梯资料!$Y119="技术免保",电梯资料!$Y119="质保期内"),1,0))</f>
        <v>0</v>
      </c>
      <c r="H119" s="71" t="n">
        <f aca="false">SUM($G$5:$G119)</f>
        <v>4</v>
      </c>
      <c r="J119" s="71" t="n">
        <f aca="false">IF(应收对账!$Y119="",0,IF(应收对账!$T119&gt;0.01,1,0))</f>
        <v>0</v>
      </c>
      <c r="K119" s="71" t="n">
        <f aca="false">SUM($J$5:$J119)</f>
        <v>8</v>
      </c>
    </row>
    <row r="120" customFormat="false" ht="15" hidden="false" customHeight="false" outlineLevel="0" collapsed="false">
      <c r="A120" s="71" t="n">
        <f aca="false">IF(维保合同!$C120="",0,IF(OR(维保合同!$Q120&lt;&gt;"",维保合同!$R120&lt;&gt;""),1,0))</f>
        <v>0</v>
      </c>
      <c r="B120" s="71" t="n">
        <f aca="false">SUM($A$5:$A120)</f>
        <v>5</v>
      </c>
      <c r="D120" s="71" t="n">
        <f aca="false">IF(电梯资料!$C120="",0,IF(OR(电梯资料!$AA120&lt;&gt;"",电梯资料!$AB120&lt;&gt;""),1,0))</f>
        <v>0</v>
      </c>
      <c r="E120" s="71" t="n">
        <f aca="false">SUM($D$5:$D120)</f>
        <v>5</v>
      </c>
      <c r="G120" s="71" t="n">
        <f aca="false">IF(电梯资料!$C120="",0,IF(OR(电梯资料!$Y120="安装免保",电梯资料!$Y120="技术免保",电梯资料!$Y120="质保期内"),1,0))</f>
        <v>0</v>
      </c>
      <c r="H120" s="71" t="n">
        <f aca="false">SUM($G$5:$G120)</f>
        <v>4</v>
      </c>
      <c r="J120" s="71" t="n">
        <f aca="false">IF(应收对账!$Y120="",0,IF(应收对账!$T120&gt;0.01,1,0))</f>
        <v>0</v>
      </c>
      <c r="K120" s="71" t="n">
        <f aca="false">SUM($J$5:$J120)</f>
        <v>8</v>
      </c>
    </row>
    <row r="121" customFormat="false" ht="15" hidden="false" customHeight="false" outlineLevel="0" collapsed="false">
      <c r="A121" s="71" t="n">
        <f aca="false">IF(维保合同!$C121="",0,IF(OR(维保合同!$Q121&lt;&gt;"",维保合同!$R121&lt;&gt;""),1,0))</f>
        <v>0</v>
      </c>
      <c r="B121" s="71" t="n">
        <f aca="false">SUM($A$5:$A121)</f>
        <v>5</v>
      </c>
      <c r="D121" s="71" t="n">
        <f aca="false">IF(电梯资料!$C121="",0,IF(OR(电梯资料!$AA121&lt;&gt;"",电梯资料!$AB121&lt;&gt;""),1,0))</f>
        <v>0</v>
      </c>
      <c r="E121" s="71" t="n">
        <f aca="false">SUM($D$5:$D121)</f>
        <v>5</v>
      </c>
      <c r="G121" s="71" t="n">
        <f aca="false">IF(电梯资料!$C121="",0,IF(OR(电梯资料!$Y121="安装免保",电梯资料!$Y121="技术免保",电梯资料!$Y121="质保期内"),1,0))</f>
        <v>0</v>
      </c>
      <c r="H121" s="71" t="n">
        <f aca="false">SUM($G$5:$G121)</f>
        <v>4</v>
      </c>
      <c r="J121" s="71" t="n">
        <f aca="false">IF(应收对账!$Y121="",0,IF(应收对账!$T121&gt;0.01,1,0))</f>
        <v>0</v>
      </c>
      <c r="K121" s="71" t="n">
        <f aca="false">SUM($J$5:$J121)</f>
        <v>8</v>
      </c>
    </row>
    <row r="122" customFormat="false" ht="15" hidden="false" customHeight="false" outlineLevel="0" collapsed="false">
      <c r="A122" s="71" t="n">
        <f aca="false">IF(维保合同!$C122="",0,IF(OR(维保合同!$Q122&lt;&gt;"",维保合同!$R122&lt;&gt;""),1,0))</f>
        <v>0</v>
      </c>
      <c r="B122" s="71" t="n">
        <f aca="false">SUM($A$5:$A122)</f>
        <v>5</v>
      </c>
      <c r="D122" s="71" t="n">
        <f aca="false">IF(电梯资料!$C122="",0,IF(OR(电梯资料!$AA122&lt;&gt;"",电梯资料!$AB122&lt;&gt;""),1,0))</f>
        <v>0</v>
      </c>
      <c r="E122" s="71" t="n">
        <f aca="false">SUM($D$5:$D122)</f>
        <v>5</v>
      </c>
      <c r="G122" s="71" t="n">
        <f aca="false">IF(电梯资料!$C122="",0,IF(OR(电梯资料!$Y122="安装免保",电梯资料!$Y122="技术免保",电梯资料!$Y122="质保期内"),1,0))</f>
        <v>0</v>
      </c>
      <c r="H122" s="71" t="n">
        <f aca="false">SUM($G$5:$G122)</f>
        <v>4</v>
      </c>
      <c r="J122" s="71" t="n">
        <f aca="false">IF(应收对账!$Y122="",0,IF(应收对账!$T122&gt;0.01,1,0))</f>
        <v>0</v>
      </c>
      <c r="K122" s="71" t="n">
        <f aca="false">SUM($J$5:$J122)</f>
        <v>8</v>
      </c>
    </row>
    <row r="123" customFormat="false" ht="15" hidden="false" customHeight="false" outlineLevel="0" collapsed="false">
      <c r="A123" s="71" t="n">
        <f aca="false">IF(维保合同!$C123="",0,IF(OR(维保合同!$Q123&lt;&gt;"",维保合同!$R123&lt;&gt;""),1,0))</f>
        <v>0</v>
      </c>
      <c r="B123" s="71" t="n">
        <f aca="false">SUM($A$5:$A123)</f>
        <v>5</v>
      </c>
      <c r="D123" s="71" t="n">
        <f aca="false">IF(电梯资料!$C123="",0,IF(OR(电梯资料!$AA123&lt;&gt;"",电梯资料!$AB123&lt;&gt;""),1,0))</f>
        <v>0</v>
      </c>
      <c r="E123" s="71" t="n">
        <f aca="false">SUM($D$5:$D123)</f>
        <v>5</v>
      </c>
      <c r="G123" s="71" t="n">
        <f aca="false">IF(电梯资料!$C123="",0,IF(OR(电梯资料!$Y123="安装免保",电梯资料!$Y123="技术免保",电梯资料!$Y123="质保期内"),1,0))</f>
        <v>0</v>
      </c>
      <c r="H123" s="71" t="n">
        <f aca="false">SUM($G$5:$G123)</f>
        <v>4</v>
      </c>
      <c r="J123" s="71" t="n">
        <f aca="false">IF(应收对账!$Y123="",0,IF(应收对账!$T123&gt;0.01,1,0))</f>
        <v>0</v>
      </c>
      <c r="K123" s="71" t="n">
        <f aca="false">SUM($J$5:$J123)</f>
        <v>8</v>
      </c>
    </row>
    <row r="124" customFormat="false" ht="15" hidden="false" customHeight="false" outlineLevel="0" collapsed="false">
      <c r="A124" s="71" t="n">
        <f aca="false">IF(维保合同!$C124="",0,IF(OR(维保合同!$Q124&lt;&gt;"",维保合同!$R124&lt;&gt;""),1,0))</f>
        <v>0</v>
      </c>
      <c r="B124" s="71" t="n">
        <f aca="false">SUM($A$5:$A124)</f>
        <v>5</v>
      </c>
      <c r="D124" s="71" t="n">
        <f aca="false">IF(电梯资料!$C124="",0,IF(OR(电梯资料!$AA124&lt;&gt;"",电梯资料!$AB124&lt;&gt;""),1,0))</f>
        <v>0</v>
      </c>
      <c r="E124" s="71" t="n">
        <f aca="false">SUM($D$5:$D124)</f>
        <v>5</v>
      </c>
      <c r="G124" s="71" t="n">
        <f aca="false">IF(电梯资料!$C124="",0,IF(OR(电梯资料!$Y124="安装免保",电梯资料!$Y124="技术免保",电梯资料!$Y124="质保期内"),1,0))</f>
        <v>0</v>
      </c>
      <c r="H124" s="71" t="n">
        <f aca="false">SUM($G$5:$G124)</f>
        <v>4</v>
      </c>
      <c r="J124" s="71" t="n">
        <f aca="false">IF(应收对账!$Y124="",0,IF(应收对账!$T124&gt;0.01,1,0))</f>
        <v>0</v>
      </c>
      <c r="K124" s="71" t="n">
        <f aca="false">SUM($J$5:$J124)</f>
        <v>8</v>
      </c>
    </row>
    <row r="125" customFormat="false" ht="15" hidden="false" customHeight="false" outlineLevel="0" collapsed="false">
      <c r="A125" s="71" t="n">
        <f aca="false">IF(维保合同!$C125="",0,IF(OR(维保合同!$Q125&lt;&gt;"",维保合同!$R125&lt;&gt;""),1,0))</f>
        <v>0</v>
      </c>
      <c r="B125" s="71" t="n">
        <f aca="false">SUM($A$5:$A125)</f>
        <v>5</v>
      </c>
      <c r="D125" s="71" t="n">
        <f aca="false">IF(电梯资料!$C125="",0,IF(OR(电梯资料!$AA125&lt;&gt;"",电梯资料!$AB125&lt;&gt;""),1,0))</f>
        <v>0</v>
      </c>
      <c r="E125" s="71" t="n">
        <f aca="false">SUM($D$5:$D125)</f>
        <v>5</v>
      </c>
      <c r="G125" s="71" t="n">
        <f aca="false">IF(电梯资料!$C125="",0,IF(OR(电梯资料!$Y125="安装免保",电梯资料!$Y125="技术免保",电梯资料!$Y125="质保期内"),1,0))</f>
        <v>0</v>
      </c>
      <c r="H125" s="71" t="n">
        <f aca="false">SUM($G$5:$G125)</f>
        <v>4</v>
      </c>
      <c r="J125" s="71" t="n">
        <f aca="false">IF(应收对账!$Y125="",0,IF(应收对账!$T125&gt;0.01,1,0))</f>
        <v>0</v>
      </c>
      <c r="K125" s="71" t="n">
        <f aca="false">SUM($J$5:$J125)</f>
        <v>8</v>
      </c>
    </row>
    <row r="126" customFormat="false" ht="15" hidden="false" customHeight="false" outlineLevel="0" collapsed="false">
      <c r="A126" s="71" t="n">
        <f aca="false">IF(维保合同!$C126="",0,IF(OR(维保合同!$Q126&lt;&gt;"",维保合同!$R126&lt;&gt;""),1,0))</f>
        <v>0</v>
      </c>
      <c r="B126" s="71" t="n">
        <f aca="false">SUM($A$5:$A126)</f>
        <v>5</v>
      </c>
      <c r="D126" s="71" t="n">
        <f aca="false">IF(电梯资料!$C126="",0,IF(OR(电梯资料!$AA126&lt;&gt;"",电梯资料!$AB126&lt;&gt;""),1,0))</f>
        <v>0</v>
      </c>
      <c r="E126" s="71" t="n">
        <f aca="false">SUM($D$5:$D126)</f>
        <v>5</v>
      </c>
      <c r="G126" s="71" t="n">
        <f aca="false">IF(电梯资料!$C126="",0,IF(OR(电梯资料!$Y126="安装免保",电梯资料!$Y126="技术免保",电梯资料!$Y126="质保期内"),1,0))</f>
        <v>0</v>
      </c>
      <c r="H126" s="71" t="n">
        <f aca="false">SUM($G$5:$G126)</f>
        <v>4</v>
      </c>
      <c r="J126" s="71" t="n">
        <f aca="false">IF(应收对账!$Y126="",0,IF(应收对账!$T126&gt;0.01,1,0))</f>
        <v>0</v>
      </c>
      <c r="K126" s="71" t="n">
        <f aca="false">SUM($J$5:$J126)</f>
        <v>8</v>
      </c>
    </row>
    <row r="127" customFormat="false" ht="15" hidden="false" customHeight="false" outlineLevel="0" collapsed="false">
      <c r="A127" s="71" t="n">
        <f aca="false">IF(维保合同!$C127="",0,IF(OR(维保合同!$Q127&lt;&gt;"",维保合同!$R127&lt;&gt;""),1,0))</f>
        <v>0</v>
      </c>
      <c r="B127" s="71" t="n">
        <f aca="false">SUM($A$5:$A127)</f>
        <v>5</v>
      </c>
      <c r="D127" s="71" t="n">
        <f aca="false">IF(电梯资料!$C127="",0,IF(OR(电梯资料!$AA127&lt;&gt;"",电梯资料!$AB127&lt;&gt;""),1,0))</f>
        <v>0</v>
      </c>
      <c r="E127" s="71" t="n">
        <f aca="false">SUM($D$5:$D127)</f>
        <v>5</v>
      </c>
      <c r="G127" s="71" t="n">
        <f aca="false">IF(电梯资料!$C127="",0,IF(OR(电梯资料!$Y127="安装免保",电梯资料!$Y127="技术免保",电梯资料!$Y127="质保期内"),1,0))</f>
        <v>0</v>
      </c>
      <c r="H127" s="71" t="n">
        <f aca="false">SUM($G$5:$G127)</f>
        <v>4</v>
      </c>
      <c r="J127" s="71" t="n">
        <f aca="false">IF(应收对账!$Y127="",0,IF(应收对账!$T127&gt;0.01,1,0))</f>
        <v>0</v>
      </c>
      <c r="K127" s="71" t="n">
        <f aca="false">SUM($J$5:$J127)</f>
        <v>8</v>
      </c>
    </row>
    <row r="128" customFormat="false" ht="15" hidden="false" customHeight="false" outlineLevel="0" collapsed="false">
      <c r="A128" s="71" t="n">
        <f aca="false">IF(维保合同!$C128="",0,IF(OR(维保合同!$Q128&lt;&gt;"",维保合同!$R128&lt;&gt;""),1,0))</f>
        <v>0</v>
      </c>
      <c r="B128" s="71" t="n">
        <f aca="false">SUM($A$5:$A128)</f>
        <v>5</v>
      </c>
      <c r="D128" s="71" t="n">
        <f aca="false">IF(电梯资料!$C128="",0,IF(OR(电梯资料!$AA128&lt;&gt;"",电梯资料!$AB128&lt;&gt;""),1,0))</f>
        <v>0</v>
      </c>
      <c r="E128" s="71" t="n">
        <f aca="false">SUM($D$5:$D128)</f>
        <v>5</v>
      </c>
      <c r="G128" s="71" t="n">
        <f aca="false">IF(电梯资料!$C128="",0,IF(OR(电梯资料!$Y128="安装免保",电梯资料!$Y128="技术免保",电梯资料!$Y128="质保期内"),1,0))</f>
        <v>0</v>
      </c>
      <c r="H128" s="71" t="n">
        <f aca="false">SUM($G$5:$G128)</f>
        <v>4</v>
      </c>
      <c r="J128" s="71" t="n">
        <f aca="false">IF(应收对账!$Y128="",0,IF(应收对账!$T128&gt;0.01,1,0))</f>
        <v>0</v>
      </c>
      <c r="K128" s="71" t="n">
        <f aca="false">SUM($J$5:$J128)</f>
        <v>8</v>
      </c>
    </row>
    <row r="129" customFormat="false" ht="15" hidden="false" customHeight="false" outlineLevel="0" collapsed="false">
      <c r="A129" s="71" t="n">
        <f aca="false">IF(维保合同!$C129="",0,IF(OR(维保合同!$Q129&lt;&gt;"",维保合同!$R129&lt;&gt;""),1,0))</f>
        <v>0</v>
      </c>
      <c r="B129" s="71" t="n">
        <f aca="false">SUM($A$5:$A129)</f>
        <v>5</v>
      </c>
      <c r="D129" s="71" t="n">
        <f aca="false">IF(电梯资料!$C129="",0,IF(OR(电梯资料!$AA129&lt;&gt;"",电梯资料!$AB129&lt;&gt;""),1,0))</f>
        <v>0</v>
      </c>
      <c r="E129" s="71" t="n">
        <f aca="false">SUM($D$5:$D129)</f>
        <v>5</v>
      </c>
      <c r="G129" s="71" t="n">
        <f aca="false">IF(电梯资料!$C129="",0,IF(OR(电梯资料!$Y129="安装免保",电梯资料!$Y129="技术免保",电梯资料!$Y129="质保期内"),1,0))</f>
        <v>0</v>
      </c>
      <c r="H129" s="71" t="n">
        <f aca="false">SUM($G$5:$G129)</f>
        <v>4</v>
      </c>
      <c r="J129" s="71" t="n">
        <f aca="false">IF(应收对账!$Y129="",0,IF(应收对账!$T129&gt;0.01,1,0))</f>
        <v>0</v>
      </c>
      <c r="K129" s="71" t="n">
        <f aca="false">SUM($J$5:$J129)</f>
        <v>8</v>
      </c>
    </row>
    <row r="130" customFormat="false" ht="15" hidden="false" customHeight="false" outlineLevel="0" collapsed="false">
      <c r="A130" s="71" t="n">
        <f aca="false">IF(维保合同!$C130="",0,IF(OR(维保合同!$Q130&lt;&gt;"",维保合同!$R130&lt;&gt;""),1,0))</f>
        <v>0</v>
      </c>
      <c r="B130" s="71" t="n">
        <f aca="false">SUM($A$5:$A130)</f>
        <v>5</v>
      </c>
      <c r="D130" s="71" t="n">
        <f aca="false">IF(电梯资料!$C130="",0,IF(OR(电梯资料!$AA130&lt;&gt;"",电梯资料!$AB130&lt;&gt;""),1,0))</f>
        <v>0</v>
      </c>
      <c r="E130" s="71" t="n">
        <f aca="false">SUM($D$5:$D130)</f>
        <v>5</v>
      </c>
      <c r="G130" s="71" t="n">
        <f aca="false">IF(电梯资料!$C130="",0,IF(OR(电梯资料!$Y130="安装免保",电梯资料!$Y130="技术免保",电梯资料!$Y130="质保期内"),1,0))</f>
        <v>0</v>
      </c>
      <c r="H130" s="71" t="n">
        <f aca="false">SUM($G$5:$G130)</f>
        <v>4</v>
      </c>
      <c r="J130" s="71" t="n">
        <f aca="false">IF(应收对账!$Y130="",0,IF(应收对账!$T130&gt;0.01,1,0))</f>
        <v>0</v>
      </c>
      <c r="K130" s="71" t="n">
        <f aca="false">SUM($J$5:$J130)</f>
        <v>8</v>
      </c>
    </row>
    <row r="131" customFormat="false" ht="15" hidden="false" customHeight="false" outlineLevel="0" collapsed="false">
      <c r="A131" s="71" t="n">
        <f aca="false">IF(维保合同!$C131="",0,IF(OR(维保合同!$Q131&lt;&gt;"",维保合同!$R131&lt;&gt;""),1,0))</f>
        <v>0</v>
      </c>
      <c r="B131" s="71" t="n">
        <f aca="false">SUM($A$5:$A131)</f>
        <v>5</v>
      </c>
      <c r="D131" s="71" t="n">
        <f aca="false">IF(电梯资料!$C131="",0,IF(OR(电梯资料!$AA131&lt;&gt;"",电梯资料!$AB131&lt;&gt;""),1,0))</f>
        <v>0</v>
      </c>
      <c r="E131" s="71" t="n">
        <f aca="false">SUM($D$5:$D131)</f>
        <v>5</v>
      </c>
      <c r="G131" s="71" t="n">
        <f aca="false">IF(电梯资料!$C131="",0,IF(OR(电梯资料!$Y131="安装免保",电梯资料!$Y131="技术免保",电梯资料!$Y131="质保期内"),1,0))</f>
        <v>0</v>
      </c>
      <c r="H131" s="71" t="n">
        <f aca="false">SUM($G$5:$G131)</f>
        <v>4</v>
      </c>
      <c r="J131" s="71" t="n">
        <f aca="false">IF(应收对账!$Y131="",0,IF(应收对账!$T131&gt;0.01,1,0))</f>
        <v>0</v>
      </c>
      <c r="K131" s="71" t="n">
        <f aca="false">SUM($J$5:$J131)</f>
        <v>8</v>
      </c>
    </row>
    <row r="132" customFormat="false" ht="15" hidden="false" customHeight="false" outlineLevel="0" collapsed="false">
      <c r="A132" s="71" t="n">
        <f aca="false">IF(维保合同!$C132="",0,IF(OR(维保合同!$Q132&lt;&gt;"",维保合同!$R132&lt;&gt;""),1,0))</f>
        <v>0</v>
      </c>
      <c r="B132" s="71" t="n">
        <f aca="false">SUM($A$5:$A132)</f>
        <v>5</v>
      </c>
      <c r="D132" s="71" t="n">
        <f aca="false">IF(电梯资料!$C132="",0,IF(OR(电梯资料!$AA132&lt;&gt;"",电梯资料!$AB132&lt;&gt;""),1,0))</f>
        <v>0</v>
      </c>
      <c r="E132" s="71" t="n">
        <f aca="false">SUM($D$5:$D132)</f>
        <v>5</v>
      </c>
      <c r="G132" s="71" t="n">
        <f aca="false">IF(电梯资料!$C132="",0,IF(OR(电梯资料!$Y132="安装免保",电梯资料!$Y132="技术免保",电梯资料!$Y132="质保期内"),1,0))</f>
        <v>0</v>
      </c>
      <c r="H132" s="71" t="n">
        <f aca="false">SUM($G$5:$G132)</f>
        <v>4</v>
      </c>
      <c r="J132" s="71" t="n">
        <f aca="false">IF(应收对账!$Y132="",0,IF(应收对账!$T132&gt;0.01,1,0))</f>
        <v>0</v>
      </c>
      <c r="K132" s="71" t="n">
        <f aca="false">SUM($J$5:$J132)</f>
        <v>8</v>
      </c>
    </row>
    <row r="133" customFormat="false" ht="15" hidden="false" customHeight="false" outlineLevel="0" collapsed="false">
      <c r="A133" s="71" t="n">
        <f aca="false">IF(维保合同!$C133="",0,IF(OR(维保合同!$Q133&lt;&gt;"",维保合同!$R133&lt;&gt;""),1,0))</f>
        <v>0</v>
      </c>
      <c r="B133" s="71" t="n">
        <f aca="false">SUM($A$5:$A133)</f>
        <v>5</v>
      </c>
      <c r="D133" s="71" t="n">
        <f aca="false">IF(电梯资料!$C133="",0,IF(OR(电梯资料!$AA133&lt;&gt;"",电梯资料!$AB133&lt;&gt;""),1,0))</f>
        <v>0</v>
      </c>
      <c r="E133" s="71" t="n">
        <f aca="false">SUM($D$5:$D133)</f>
        <v>5</v>
      </c>
      <c r="G133" s="71" t="n">
        <f aca="false">IF(电梯资料!$C133="",0,IF(OR(电梯资料!$Y133="安装免保",电梯资料!$Y133="技术免保",电梯资料!$Y133="质保期内"),1,0))</f>
        <v>0</v>
      </c>
      <c r="H133" s="71" t="n">
        <f aca="false">SUM($G$5:$G133)</f>
        <v>4</v>
      </c>
      <c r="J133" s="71" t="n">
        <f aca="false">IF(应收对账!$Y133="",0,IF(应收对账!$T133&gt;0.01,1,0))</f>
        <v>0</v>
      </c>
      <c r="K133" s="71" t="n">
        <f aca="false">SUM($J$5:$J133)</f>
        <v>8</v>
      </c>
    </row>
    <row r="134" customFormat="false" ht="15" hidden="false" customHeight="false" outlineLevel="0" collapsed="false">
      <c r="A134" s="71" t="n">
        <f aca="false">IF(维保合同!$C134="",0,IF(OR(维保合同!$Q134&lt;&gt;"",维保合同!$R134&lt;&gt;""),1,0))</f>
        <v>0</v>
      </c>
      <c r="B134" s="71" t="n">
        <f aca="false">SUM($A$5:$A134)</f>
        <v>5</v>
      </c>
      <c r="D134" s="71" t="n">
        <f aca="false">IF(电梯资料!$C134="",0,IF(OR(电梯资料!$AA134&lt;&gt;"",电梯资料!$AB134&lt;&gt;""),1,0))</f>
        <v>0</v>
      </c>
      <c r="E134" s="71" t="n">
        <f aca="false">SUM($D$5:$D134)</f>
        <v>5</v>
      </c>
      <c r="G134" s="71" t="n">
        <f aca="false">IF(电梯资料!$C134="",0,IF(OR(电梯资料!$Y134="安装免保",电梯资料!$Y134="技术免保",电梯资料!$Y134="质保期内"),1,0))</f>
        <v>0</v>
      </c>
      <c r="H134" s="71" t="n">
        <f aca="false">SUM($G$5:$G134)</f>
        <v>4</v>
      </c>
      <c r="J134" s="71" t="n">
        <f aca="false">IF(应收对账!$Y134="",0,IF(应收对账!$T134&gt;0.01,1,0))</f>
        <v>0</v>
      </c>
      <c r="K134" s="71" t="n">
        <f aca="false">SUM($J$5:$J134)</f>
        <v>8</v>
      </c>
    </row>
    <row r="135" customFormat="false" ht="15" hidden="false" customHeight="false" outlineLevel="0" collapsed="false">
      <c r="A135" s="71" t="n">
        <f aca="false">IF(维保合同!$C135="",0,IF(OR(维保合同!$Q135&lt;&gt;"",维保合同!$R135&lt;&gt;""),1,0))</f>
        <v>0</v>
      </c>
      <c r="B135" s="71" t="n">
        <f aca="false">SUM($A$5:$A135)</f>
        <v>5</v>
      </c>
      <c r="D135" s="71" t="n">
        <f aca="false">IF(电梯资料!$C135="",0,IF(OR(电梯资料!$AA135&lt;&gt;"",电梯资料!$AB135&lt;&gt;""),1,0))</f>
        <v>0</v>
      </c>
      <c r="E135" s="71" t="n">
        <f aca="false">SUM($D$5:$D135)</f>
        <v>5</v>
      </c>
      <c r="G135" s="71" t="n">
        <f aca="false">IF(电梯资料!$C135="",0,IF(OR(电梯资料!$Y135="安装免保",电梯资料!$Y135="技术免保",电梯资料!$Y135="质保期内"),1,0))</f>
        <v>0</v>
      </c>
      <c r="H135" s="71" t="n">
        <f aca="false">SUM($G$5:$G135)</f>
        <v>4</v>
      </c>
      <c r="J135" s="71" t="n">
        <f aca="false">IF(应收对账!$Y135="",0,IF(应收对账!$T135&gt;0.01,1,0))</f>
        <v>0</v>
      </c>
      <c r="K135" s="71" t="n">
        <f aca="false">SUM($J$5:$J135)</f>
        <v>8</v>
      </c>
    </row>
    <row r="136" customFormat="false" ht="15" hidden="false" customHeight="false" outlineLevel="0" collapsed="false">
      <c r="A136" s="71" t="n">
        <f aca="false">IF(维保合同!$C136="",0,IF(OR(维保合同!$Q136&lt;&gt;"",维保合同!$R136&lt;&gt;""),1,0))</f>
        <v>0</v>
      </c>
      <c r="B136" s="71" t="n">
        <f aca="false">SUM($A$5:$A136)</f>
        <v>5</v>
      </c>
      <c r="D136" s="71" t="n">
        <f aca="false">IF(电梯资料!$C136="",0,IF(OR(电梯资料!$AA136&lt;&gt;"",电梯资料!$AB136&lt;&gt;""),1,0))</f>
        <v>0</v>
      </c>
      <c r="E136" s="71" t="n">
        <f aca="false">SUM($D$5:$D136)</f>
        <v>5</v>
      </c>
      <c r="G136" s="71" t="n">
        <f aca="false">IF(电梯资料!$C136="",0,IF(OR(电梯资料!$Y136="安装免保",电梯资料!$Y136="技术免保",电梯资料!$Y136="质保期内"),1,0))</f>
        <v>0</v>
      </c>
      <c r="H136" s="71" t="n">
        <f aca="false">SUM($G$5:$G136)</f>
        <v>4</v>
      </c>
      <c r="J136" s="71" t="n">
        <f aca="false">IF(应收对账!$Y136="",0,IF(应收对账!$T136&gt;0.01,1,0))</f>
        <v>0</v>
      </c>
      <c r="K136" s="71" t="n">
        <f aca="false">SUM($J$5:$J136)</f>
        <v>8</v>
      </c>
    </row>
    <row r="137" customFormat="false" ht="15" hidden="false" customHeight="false" outlineLevel="0" collapsed="false">
      <c r="A137" s="71" t="n">
        <f aca="false">IF(维保合同!$C137="",0,IF(OR(维保合同!$Q137&lt;&gt;"",维保合同!$R137&lt;&gt;""),1,0))</f>
        <v>0</v>
      </c>
      <c r="B137" s="71" t="n">
        <f aca="false">SUM($A$5:$A137)</f>
        <v>5</v>
      </c>
      <c r="D137" s="71" t="n">
        <f aca="false">IF(电梯资料!$C137="",0,IF(OR(电梯资料!$AA137&lt;&gt;"",电梯资料!$AB137&lt;&gt;""),1,0))</f>
        <v>0</v>
      </c>
      <c r="E137" s="71" t="n">
        <f aca="false">SUM($D$5:$D137)</f>
        <v>5</v>
      </c>
      <c r="G137" s="71" t="n">
        <f aca="false">IF(电梯资料!$C137="",0,IF(OR(电梯资料!$Y137="安装免保",电梯资料!$Y137="技术免保",电梯资料!$Y137="质保期内"),1,0))</f>
        <v>0</v>
      </c>
      <c r="H137" s="71" t="n">
        <f aca="false">SUM($G$5:$G137)</f>
        <v>4</v>
      </c>
      <c r="J137" s="71" t="n">
        <f aca="false">IF(应收对账!$Y137="",0,IF(应收对账!$T137&gt;0.01,1,0))</f>
        <v>0</v>
      </c>
      <c r="K137" s="71" t="n">
        <f aca="false">SUM($J$5:$J137)</f>
        <v>8</v>
      </c>
    </row>
    <row r="138" customFormat="false" ht="15" hidden="false" customHeight="false" outlineLevel="0" collapsed="false">
      <c r="A138" s="71" t="n">
        <f aca="false">IF(维保合同!$C138="",0,IF(OR(维保合同!$Q138&lt;&gt;"",维保合同!$R138&lt;&gt;""),1,0))</f>
        <v>0</v>
      </c>
      <c r="B138" s="71" t="n">
        <f aca="false">SUM($A$5:$A138)</f>
        <v>5</v>
      </c>
      <c r="D138" s="71" t="n">
        <f aca="false">IF(电梯资料!$C138="",0,IF(OR(电梯资料!$AA138&lt;&gt;"",电梯资料!$AB138&lt;&gt;""),1,0))</f>
        <v>0</v>
      </c>
      <c r="E138" s="71" t="n">
        <f aca="false">SUM($D$5:$D138)</f>
        <v>5</v>
      </c>
      <c r="G138" s="71" t="n">
        <f aca="false">IF(电梯资料!$C138="",0,IF(OR(电梯资料!$Y138="安装免保",电梯资料!$Y138="技术免保",电梯资料!$Y138="质保期内"),1,0))</f>
        <v>0</v>
      </c>
      <c r="H138" s="71" t="n">
        <f aca="false">SUM($G$5:$G138)</f>
        <v>4</v>
      </c>
      <c r="J138" s="71" t="n">
        <f aca="false">IF(应收对账!$Y138="",0,IF(应收对账!$T138&gt;0.01,1,0))</f>
        <v>0</v>
      </c>
      <c r="K138" s="71" t="n">
        <f aca="false">SUM($J$5:$J138)</f>
        <v>8</v>
      </c>
    </row>
    <row r="139" customFormat="false" ht="15" hidden="false" customHeight="false" outlineLevel="0" collapsed="false">
      <c r="A139" s="71" t="n">
        <f aca="false">IF(维保合同!$C139="",0,IF(OR(维保合同!$Q139&lt;&gt;"",维保合同!$R139&lt;&gt;""),1,0))</f>
        <v>0</v>
      </c>
      <c r="B139" s="71" t="n">
        <f aca="false">SUM($A$5:$A139)</f>
        <v>5</v>
      </c>
      <c r="D139" s="71" t="n">
        <f aca="false">IF(电梯资料!$C139="",0,IF(OR(电梯资料!$AA139&lt;&gt;"",电梯资料!$AB139&lt;&gt;""),1,0))</f>
        <v>0</v>
      </c>
      <c r="E139" s="71" t="n">
        <f aca="false">SUM($D$5:$D139)</f>
        <v>5</v>
      </c>
      <c r="G139" s="71" t="n">
        <f aca="false">IF(电梯资料!$C139="",0,IF(OR(电梯资料!$Y139="安装免保",电梯资料!$Y139="技术免保",电梯资料!$Y139="质保期内"),1,0))</f>
        <v>0</v>
      </c>
      <c r="H139" s="71" t="n">
        <f aca="false">SUM($G$5:$G139)</f>
        <v>4</v>
      </c>
      <c r="J139" s="71" t="n">
        <f aca="false">IF(应收对账!$Y139="",0,IF(应收对账!$T139&gt;0.01,1,0))</f>
        <v>0</v>
      </c>
      <c r="K139" s="71" t="n">
        <f aca="false">SUM($J$5:$J139)</f>
        <v>8</v>
      </c>
    </row>
    <row r="140" customFormat="false" ht="15" hidden="false" customHeight="false" outlineLevel="0" collapsed="false">
      <c r="A140" s="71" t="n">
        <f aca="false">IF(维保合同!$C140="",0,IF(OR(维保合同!$Q140&lt;&gt;"",维保合同!$R140&lt;&gt;""),1,0))</f>
        <v>0</v>
      </c>
      <c r="B140" s="71" t="n">
        <f aca="false">SUM($A$5:$A140)</f>
        <v>5</v>
      </c>
      <c r="D140" s="71" t="n">
        <f aca="false">IF(电梯资料!$C140="",0,IF(OR(电梯资料!$AA140&lt;&gt;"",电梯资料!$AB140&lt;&gt;""),1,0))</f>
        <v>0</v>
      </c>
      <c r="E140" s="71" t="n">
        <f aca="false">SUM($D$5:$D140)</f>
        <v>5</v>
      </c>
      <c r="G140" s="71" t="n">
        <f aca="false">IF(电梯资料!$C140="",0,IF(OR(电梯资料!$Y140="安装免保",电梯资料!$Y140="技术免保",电梯资料!$Y140="质保期内"),1,0))</f>
        <v>0</v>
      </c>
      <c r="H140" s="71" t="n">
        <f aca="false">SUM($G$5:$G140)</f>
        <v>4</v>
      </c>
      <c r="J140" s="71" t="n">
        <f aca="false">IF(应收对账!$Y140="",0,IF(应收对账!$T140&gt;0.01,1,0))</f>
        <v>0</v>
      </c>
      <c r="K140" s="71" t="n">
        <f aca="false">SUM($J$5:$J140)</f>
        <v>8</v>
      </c>
    </row>
    <row r="141" customFormat="false" ht="15" hidden="false" customHeight="false" outlineLevel="0" collapsed="false">
      <c r="A141" s="71" t="n">
        <f aca="false">IF(维保合同!$C141="",0,IF(OR(维保合同!$Q141&lt;&gt;"",维保合同!$R141&lt;&gt;""),1,0))</f>
        <v>0</v>
      </c>
      <c r="B141" s="71" t="n">
        <f aca="false">SUM($A$5:$A141)</f>
        <v>5</v>
      </c>
      <c r="D141" s="71" t="n">
        <f aca="false">IF(电梯资料!$C141="",0,IF(OR(电梯资料!$AA141&lt;&gt;"",电梯资料!$AB141&lt;&gt;""),1,0))</f>
        <v>0</v>
      </c>
      <c r="E141" s="71" t="n">
        <f aca="false">SUM($D$5:$D141)</f>
        <v>5</v>
      </c>
      <c r="G141" s="71" t="n">
        <f aca="false">IF(电梯资料!$C141="",0,IF(OR(电梯资料!$Y141="安装免保",电梯资料!$Y141="技术免保",电梯资料!$Y141="质保期内"),1,0))</f>
        <v>0</v>
      </c>
      <c r="H141" s="71" t="n">
        <f aca="false">SUM($G$5:$G141)</f>
        <v>4</v>
      </c>
      <c r="J141" s="71" t="n">
        <f aca="false">IF(应收对账!$Y141="",0,IF(应收对账!$T141&gt;0.01,1,0))</f>
        <v>0</v>
      </c>
      <c r="K141" s="71" t="n">
        <f aca="false">SUM($J$5:$J141)</f>
        <v>8</v>
      </c>
    </row>
    <row r="142" customFormat="false" ht="15" hidden="false" customHeight="false" outlineLevel="0" collapsed="false">
      <c r="A142" s="71" t="n">
        <f aca="false">IF(维保合同!$C142="",0,IF(OR(维保合同!$Q142&lt;&gt;"",维保合同!$R142&lt;&gt;""),1,0))</f>
        <v>0</v>
      </c>
      <c r="B142" s="71" t="n">
        <f aca="false">SUM($A$5:$A142)</f>
        <v>5</v>
      </c>
      <c r="D142" s="71" t="n">
        <f aca="false">IF(电梯资料!$C142="",0,IF(OR(电梯资料!$AA142&lt;&gt;"",电梯资料!$AB142&lt;&gt;""),1,0))</f>
        <v>0</v>
      </c>
      <c r="E142" s="71" t="n">
        <f aca="false">SUM($D$5:$D142)</f>
        <v>5</v>
      </c>
      <c r="G142" s="71" t="n">
        <f aca="false">IF(电梯资料!$C142="",0,IF(OR(电梯资料!$Y142="安装免保",电梯资料!$Y142="技术免保",电梯资料!$Y142="质保期内"),1,0))</f>
        <v>0</v>
      </c>
      <c r="H142" s="71" t="n">
        <f aca="false">SUM($G$5:$G142)</f>
        <v>4</v>
      </c>
      <c r="J142" s="71" t="n">
        <f aca="false">IF(应收对账!$Y142="",0,IF(应收对账!$T142&gt;0.01,1,0))</f>
        <v>0</v>
      </c>
      <c r="K142" s="71" t="n">
        <f aca="false">SUM($J$5:$J142)</f>
        <v>8</v>
      </c>
    </row>
    <row r="143" customFormat="false" ht="15" hidden="false" customHeight="false" outlineLevel="0" collapsed="false">
      <c r="A143" s="71" t="n">
        <f aca="false">IF(维保合同!$C143="",0,IF(OR(维保合同!$Q143&lt;&gt;"",维保合同!$R143&lt;&gt;""),1,0))</f>
        <v>0</v>
      </c>
      <c r="B143" s="71" t="n">
        <f aca="false">SUM($A$5:$A143)</f>
        <v>5</v>
      </c>
      <c r="D143" s="71" t="n">
        <f aca="false">IF(电梯资料!$C143="",0,IF(OR(电梯资料!$AA143&lt;&gt;"",电梯资料!$AB143&lt;&gt;""),1,0))</f>
        <v>0</v>
      </c>
      <c r="E143" s="71" t="n">
        <f aca="false">SUM($D$5:$D143)</f>
        <v>5</v>
      </c>
      <c r="G143" s="71" t="n">
        <f aca="false">IF(电梯资料!$C143="",0,IF(OR(电梯资料!$Y143="安装免保",电梯资料!$Y143="技术免保",电梯资料!$Y143="质保期内"),1,0))</f>
        <v>0</v>
      </c>
      <c r="H143" s="71" t="n">
        <f aca="false">SUM($G$5:$G143)</f>
        <v>4</v>
      </c>
      <c r="J143" s="71" t="n">
        <f aca="false">IF(应收对账!$Y143="",0,IF(应收对账!$T143&gt;0.01,1,0))</f>
        <v>0</v>
      </c>
      <c r="K143" s="71" t="n">
        <f aca="false">SUM($J$5:$J143)</f>
        <v>8</v>
      </c>
    </row>
    <row r="144" customFormat="false" ht="15" hidden="false" customHeight="false" outlineLevel="0" collapsed="false">
      <c r="A144" s="71" t="n">
        <f aca="false">IF(维保合同!$C144="",0,IF(OR(维保合同!$Q144&lt;&gt;"",维保合同!$R144&lt;&gt;""),1,0))</f>
        <v>0</v>
      </c>
      <c r="B144" s="71" t="n">
        <f aca="false">SUM($A$5:$A144)</f>
        <v>5</v>
      </c>
      <c r="D144" s="71" t="n">
        <f aca="false">IF(电梯资料!$C144="",0,IF(OR(电梯资料!$AA144&lt;&gt;"",电梯资料!$AB144&lt;&gt;""),1,0))</f>
        <v>0</v>
      </c>
      <c r="E144" s="71" t="n">
        <f aca="false">SUM($D$5:$D144)</f>
        <v>5</v>
      </c>
      <c r="G144" s="71" t="n">
        <f aca="false">IF(电梯资料!$C144="",0,IF(OR(电梯资料!$Y144="安装免保",电梯资料!$Y144="技术免保",电梯资料!$Y144="质保期内"),1,0))</f>
        <v>0</v>
      </c>
      <c r="H144" s="71" t="n">
        <f aca="false">SUM($G$5:$G144)</f>
        <v>4</v>
      </c>
      <c r="J144" s="71" t="n">
        <f aca="false">IF(应收对账!$Y144="",0,IF(应收对账!$T144&gt;0.01,1,0))</f>
        <v>0</v>
      </c>
      <c r="K144" s="71" t="n">
        <f aca="false">SUM($J$5:$J144)</f>
        <v>8</v>
      </c>
    </row>
    <row r="145" customFormat="false" ht="15" hidden="false" customHeight="false" outlineLevel="0" collapsed="false">
      <c r="A145" s="71" t="n">
        <f aca="false">IF(维保合同!$C145="",0,IF(OR(维保合同!$Q145&lt;&gt;"",维保合同!$R145&lt;&gt;""),1,0))</f>
        <v>0</v>
      </c>
      <c r="B145" s="71" t="n">
        <f aca="false">SUM($A$5:$A145)</f>
        <v>5</v>
      </c>
      <c r="D145" s="71" t="n">
        <f aca="false">IF(电梯资料!$C145="",0,IF(OR(电梯资料!$AA145&lt;&gt;"",电梯资料!$AB145&lt;&gt;""),1,0))</f>
        <v>0</v>
      </c>
      <c r="E145" s="71" t="n">
        <f aca="false">SUM($D$5:$D145)</f>
        <v>5</v>
      </c>
      <c r="G145" s="71" t="n">
        <f aca="false">IF(电梯资料!$C145="",0,IF(OR(电梯资料!$Y145="安装免保",电梯资料!$Y145="技术免保",电梯资料!$Y145="质保期内"),1,0))</f>
        <v>0</v>
      </c>
      <c r="H145" s="71" t="n">
        <f aca="false">SUM($G$5:$G145)</f>
        <v>4</v>
      </c>
      <c r="J145" s="71" t="n">
        <f aca="false">IF(应收对账!$Y145="",0,IF(应收对账!$T145&gt;0.01,1,0))</f>
        <v>0</v>
      </c>
      <c r="K145" s="71" t="n">
        <f aca="false">SUM($J$5:$J145)</f>
        <v>8</v>
      </c>
    </row>
    <row r="146" customFormat="false" ht="15" hidden="false" customHeight="false" outlineLevel="0" collapsed="false">
      <c r="A146" s="71" t="n">
        <f aca="false">IF(维保合同!$C146="",0,IF(OR(维保合同!$Q146&lt;&gt;"",维保合同!$R146&lt;&gt;""),1,0))</f>
        <v>0</v>
      </c>
      <c r="B146" s="71" t="n">
        <f aca="false">SUM($A$5:$A146)</f>
        <v>5</v>
      </c>
      <c r="D146" s="71" t="n">
        <f aca="false">IF(电梯资料!$C146="",0,IF(OR(电梯资料!$AA146&lt;&gt;"",电梯资料!$AB146&lt;&gt;""),1,0))</f>
        <v>0</v>
      </c>
      <c r="E146" s="71" t="n">
        <f aca="false">SUM($D$5:$D146)</f>
        <v>5</v>
      </c>
      <c r="G146" s="71" t="n">
        <f aca="false">IF(电梯资料!$C146="",0,IF(OR(电梯资料!$Y146="安装免保",电梯资料!$Y146="技术免保",电梯资料!$Y146="质保期内"),1,0))</f>
        <v>0</v>
      </c>
      <c r="H146" s="71" t="n">
        <f aca="false">SUM($G$5:$G146)</f>
        <v>4</v>
      </c>
      <c r="J146" s="71" t="n">
        <f aca="false">IF(应收对账!$Y146="",0,IF(应收对账!$T146&gt;0.01,1,0))</f>
        <v>0</v>
      </c>
      <c r="K146" s="71" t="n">
        <f aca="false">SUM($J$5:$J146)</f>
        <v>8</v>
      </c>
    </row>
    <row r="147" customFormat="false" ht="15" hidden="false" customHeight="false" outlineLevel="0" collapsed="false">
      <c r="A147" s="71" t="n">
        <f aca="false">IF(维保合同!$C147="",0,IF(OR(维保合同!$Q147&lt;&gt;"",维保合同!$R147&lt;&gt;""),1,0))</f>
        <v>0</v>
      </c>
      <c r="B147" s="71" t="n">
        <f aca="false">SUM($A$5:$A147)</f>
        <v>5</v>
      </c>
      <c r="D147" s="71" t="n">
        <f aca="false">IF(电梯资料!$C147="",0,IF(OR(电梯资料!$AA147&lt;&gt;"",电梯资料!$AB147&lt;&gt;""),1,0))</f>
        <v>0</v>
      </c>
      <c r="E147" s="71" t="n">
        <f aca="false">SUM($D$5:$D147)</f>
        <v>5</v>
      </c>
      <c r="G147" s="71" t="n">
        <f aca="false">IF(电梯资料!$C147="",0,IF(OR(电梯资料!$Y147="安装免保",电梯资料!$Y147="技术免保",电梯资料!$Y147="质保期内"),1,0))</f>
        <v>0</v>
      </c>
      <c r="H147" s="71" t="n">
        <f aca="false">SUM($G$5:$G147)</f>
        <v>4</v>
      </c>
      <c r="J147" s="71" t="n">
        <f aca="false">IF(应收对账!$Y147="",0,IF(应收对账!$T147&gt;0.01,1,0))</f>
        <v>0</v>
      </c>
      <c r="K147" s="71" t="n">
        <f aca="false">SUM($J$5:$J147)</f>
        <v>8</v>
      </c>
    </row>
    <row r="148" customFormat="false" ht="15" hidden="false" customHeight="false" outlineLevel="0" collapsed="false">
      <c r="A148" s="71" t="n">
        <f aca="false">IF(维保合同!$C148="",0,IF(OR(维保合同!$Q148&lt;&gt;"",维保合同!$R148&lt;&gt;""),1,0))</f>
        <v>0</v>
      </c>
      <c r="B148" s="71" t="n">
        <f aca="false">SUM($A$5:$A148)</f>
        <v>5</v>
      </c>
      <c r="D148" s="71" t="n">
        <f aca="false">IF(电梯资料!$C148="",0,IF(OR(电梯资料!$AA148&lt;&gt;"",电梯资料!$AB148&lt;&gt;""),1,0))</f>
        <v>0</v>
      </c>
      <c r="E148" s="71" t="n">
        <f aca="false">SUM($D$5:$D148)</f>
        <v>5</v>
      </c>
      <c r="G148" s="71" t="n">
        <f aca="false">IF(电梯资料!$C148="",0,IF(OR(电梯资料!$Y148="安装免保",电梯资料!$Y148="技术免保",电梯资料!$Y148="质保期内"),1,0))</f>
        <v>0</v>
      </c>
      <c r="H148" s="71" t="n">
        <f aca="false">SUM($G$5:$G148)</f>
        <v>4</v>
      </c>
      <c r="J148" s="71" t="n">
        <f aca="false">IF(应收对账!$Y148="",0,IF(应收对账!$T148&gt;0.01,1,0))</f>
        <v>0</v>
      </c>
      <c r="K148" s="71" t="n">
        <f aca="false">SUM($J$5:$J148)</f>
        <v>8</v>
      </c>
    </row>
    <row r="149" customFormat="false" ht="15" hidden="false" customHeight="false" outlineLevel="0" collapsed="false">
      <c r="A149" s="71" t="n">
        <f aca="false">IF(维保合同!$C149="",0,IF(OR(维保合同!$Q149&lt;&gt;"",维保合同!$R149&lt;&gt;""),1,0))</f>
        <v>0</v>
      </c>
      <c r="B149" s="71" t="n">
        <f aca="false">SUM($A$5:$A149)</f>
        <v>5</v>
      </c>
      <c r="D149" s="71" t="n">
        <f aca="false">IF(电梯资料!$C149="",0,IF(OR(电梯资料!$AA149&lt;&gt;"",电梯资料!$AB149&lt;&gt;""),1,0))</f>
        <v>0</v>
      </c>
      <c r="E149" s="71" t="n">
        <f aca="false">SUM($D$5:$D149)</f>
        <v>5</v>
      </c>
      <c r="G149" s="71" t="n">
        <f aca="false">IF(电梯资料!$C149="",0,IF(OR(电梯资料!$Y149="安装免保",电梯资料!$Y149="技术免保",电梯资料!$Y149="质保期内"),1,0))</f>
        <v>0</v>
      </c>
      <c r="H149" s="71" t="n">
        <f aca="false">SUM($G$5:$G149)</f>
        <v>4</v>
      </c>
      <c r="J149" s="71" t="n">
        <f aca="false">IF(应收对账!$Y149="",0,IF(应收对账!$T149&gt;0.01,1,0))</f>
        <v>0</v>
      </c>
      <c r="K149" s="71" t="n">
        <f aca="false">SUM($J$5:$J149)</f>
        <v>8</v>
      </c>
    </row>
    <row r="150" customFormat="false" ht="15" hidden="false" customHeight="false" outlineLevel="0" collapsed="false">
      <c r="A150" s="71" t="n">
        <f aca="false">IF(维保合同!$C150="",0,IF(OR(维保合同!$Q150&lt;&gt;"",维保合同!$R150&lt;&gt;""),1,0))</f>
        <v>0</v>
      </c>
      <c r="B150" s="71" t="n">
        <f aca="false">SUM($A$5:$A150)</f>
        <v>5</v>
      </c>
      <c r="D150" s="71" t="n">
        <f aca="false">IF(电梯资料!$C150="",0,IF(OR(电梯资料!$AA150&lt;&gt;"",电梯资料!$AB150&lt;&gt;""),1,0))</f>
        <v>0</v>
      </c>
      <c r="E150" s="71" t="n">
        <f aca="false">SUM($D$5:$D150)</f>
        <v>5</v>
      </c>
      <c r="G150" s="71" t="n">
        <f aca="false">IF(电梯资料!$C150="",0,IF(OR(电梯资料!$Y150="安装免保",电梯资料!$Y150="技术免保",电梯资料!$Y150="质保期内"),1,0))</f>
        <v>0</v>
      </c>
      <c r="H150" s="71" t="n">
        <f aca="false">SUM($G$5:$G150)</f>
        <v>4</v>
      </c>
      <c r="J150" s="71" t="n">
        <f aca="false">IF(应收对账!$Y150="",0,IF(应收对账!$T150&gt;0.01,1,0))</f>
        <v>0</v>
      </c>
      <c r="K150" s="71" t="n">
        <f aca="false">SUM($J$5:$J150)</f>
        <v>8</v>
      </c>
    </row>
    <row r="151" customFormat="false" ht="15" hidden="false" customHeight="false" outlineLevel="0" collapsed="false">
      <c r="A151" s="71" t="n">
        <f aca="false">IF(维保合同!$C151="",0,IF(OR(维保合同!$Q151&lt;&gt;"",维保合同!$R151&lt;&gt;""),1,0))</f>
        <v>0</v>
      </c>
      <c r="B151" s="71" t="n">
        <f aca="false">SUM($A$5:$A151)</f>
        <v>5</v>
      </c>
      <c r="D151" s="71" t="n">
        <f aca="false">IF(电梯资料!$C151="",0,IF(OR(电梯资料!$AA151&lt;&gt;"",电梯资料!$AB151&lt;&gt;""),1,0))</f>
        <v>0</v>
      </c>
      <c r="E151" s="71" t="n">
        <f aca="false">SUM($D$5:$D151)</f>
        <v>5</v>
      </c>
      <c r="G151" s="71" t="n">
        <f aca="false">IF(电梯资料!$C151="",0,IF(OR(电梯资料!$Y151="安装免保",电梯资料!$Y151="技术免保",电梯资料!$Y151="质保期内"),1,0))</f>
        <v>0</v>
      </c>
      <c r="H151" s="71" t="n">
        <f aca="false">SUM($G$5:$G151)</f>
        <v>4</v>
      </c>
      <c r="J151" s="71" t="n">
        <f aca="false">IF(应收对账!$Y151="",0,IF(应收对账!$T151&gt;0.01,1,0))</f>
        <v>0</v>
      </c>
      <c r="K151" s="71" t="n">
        <f aca="false">SUM($J$5:$J151)</f>
        <v>8</v>
      </c>
    </row>
    <row r="152" customFormat="false" ht="15" hidden="false" customHeight="false" outlineLevel="0" collapsed="false">
      <c r="A152" s="71" t="n">
        <f aca="false">IF(维保合同!$C152="",0,IF(OR(维保合同!$Q152&lt;&gt;"",维保合同!$R152&lt;&gt;""),1,0))</f>
        <v>0</v>
      </c>
      <c r="B152" s="71" t="n">
        <f aca="false">SUM($A$5:$A152)</f>
        <v>5</v>
      </c>
      <c r="D152" s="71" t="n">
        <f aca="false">IF(电梯资料!$C152="",0,IF(OR(电梯资料!$AA152&lt;&gt;"",电梯资料!$AB152&lt;&gt;""),1,0))</f>
        <v>0</v>
      </c>
      <c r="E152" s="71" t="n">
        <f aca="false">SUM($D$5:$D152)</f>
        <v>5</v>
      </c>
      <c r="G152" s="71" t="n">
        <f aca="false">IF(电梯资料!$C152="",0,IF(OR(电梯资料!$Y152="安装免保",电梯资料!$Y152="技术免保",电梯资料!$Y152="质保期内"),1,0))</f>
        <v>0</v>
      </c>
      <c r="H152" s="71" t="n">
        <f aca="false">SUM($G$5:$G152)</f>
        <v>4</v>
      </c>
      <c r="J152" s="71" t="n">
        <f aca="false">IF(应收对账!$Y152="",0,IF(应收对账!$T152&gt;0.01,1,0))</f>
        <v>0</v>
      </c>
      <c r="K152" s="71" t="n">
        <f aca="false">SUM($J$5:$J152)</f>
        <v>8</v>
      </c>
    </row>
    <row r="153" customFormat="false" ht="15" hidden="false" customHeight="false" outlineLevel="0" collapsed="false">
      <c r="A153" s="71" t="n">
        <f aca="false">IF(维保合同!$C153="",0,IF(OR(维保合同!$Q153&lt;&gt;"",维保合同!$R153&lt;&gt;""),1,0))</f>
        <v>0</v>
      </c>
      <c r="B153" s="71" t="n">
        <f aca="false">SUM($A$5:$A153)</f>
        <v>5</v>
      </c>
      <c r="D153" s="71" t="n">
        <f aca="false">IF(电梯资料!$C153="",0,IF(OR(电梯资料!$AA153&lt;&gt;"",电梯资料!$AB153&lt;&gt;""),1,0))</f>
        <v>0</v>
      </c>
      <c r="E153" s="71" t="n">
        <f aca="false">SUM($D$5:$D153)</f>
        <v>5</v>
      </c>
      <c r="G153" s="71" t="n">
        <f aca="false">IF(电梯资料!$C153="",0,IF(OR(电梯资料!$Y153="安装免保",电梯资料!$Y153="技术免保",电梯资料!$Y153="质保期内"),1,0))</f>
        <v>0</v>
      </c>
      <c r="H153" s="71" t="n">
        <f aca="false">SUM($G$5:$G153)</f>
        <v>4</v>
      </c>
      <c r="J153" s="71" t="n">
        <f aca="false">IF(应收对账!$Y153="",0,IF(应收对账!$T153&gt;0.01,1,0))</f>
        <v>0</v>
      </c>
      <c r="K153" s="71" t="n">
        <f aca="false">SUM($J$5:$J153)</f>
        <v>8</v>
      </c>
    </row>
    <row r="154" customFormat="false" ht="15" hidden="false" customHeight="false" outlineLevel="0" collapsed="false">
      <c r="A154" s="71" t="n">
        <f aca="false">IF(维保合同!$C154="",0,IF(OR(维保合同!$Q154&lt;&gt;"",维保合同!$R154&lt;&gt;""),1,0))</f>
        <v>0</v>
      </c>
      <c r="B154" s="71" t="n">
        <f aca="false">SUM($A$5:$A154)</f>
        <v>5</v>
      </c>
      <c r="D154" s="71" t="n">
        <f aca="false">IF(电梯资料!$C154="",0,IF(OR(电梯资料!$AA154&lt;&gt;"",电梯资料!$AB154&lt;&gt;""),1,0))</f>
        <v>0</v>
      </c>
      <c r="E154" s="71" t="n">
        <f aca="false">SUM($D$5:$D154)</f>
        <v>5</v>
      </c>
      <c r="G154" s="71" t="n">
        <f aca="false">IF(电梯资料!$C154="",0,IF(OR(电梯资料!$Y154="安装免保",电梯资料!$Y154="技术免保",电梯资料!$Y154="质保期内"),1,0))</f>
        <v>0</v>
      </c>
      <c r="H154" s="71" t="n">
        <f aca="false">SUM($G$5:$G154)</f>
        <v>4</v>
      </c>
      <c r="J154" s="71" t="n">
        <f aca="false">IF(应收对账!$Y154="",0,IF(应收对账!$T154&gt;0.01,1,0))</f>
        <v>0</v>
      </c>
      <c r="K154" s="71" t="n">
        <f aca="false">SUM($J$5:$J154)</f>
        <v>8</v>
      </c>
    </row>
    <row r="155" customFormat="false" ht="15" hidden="false" customHeight="false" outlineLevel="0" collapsed="false">
      <c r="A155" s="71" t="n">
        <f aca="false">IF(维保合同!$C155="",0,IF(OR(维保合同!$Q155&lt;&gt;"",维保合同!$R155&lt;&gt;""),1,0))</f>
        <v>0</v>
      </c>
      <c r="B155" s="71" t="n">
        <f aca="false">SUM($A$5:$A155)</f>
        <v>5</v>
      </c>
      <c r="D155" s="71" t="n">
        <f aca="false">IF(电梯资料!$C155="",0,IF(OR(电梯资料!$AA155&lt;&gt;"",电梯资料!$AB155&lt;&gt;""),1,0))</f>
        <v>0</v>
      </c>
      <c r="E155" s="71" t="n">
        <f aca="false">SUM($D$5:$D155)</f>
        <v>5</v>
      </c>
      <c r="G155" s="71" t="n">
        <f aca="false">IF(电梯资料!$C155="",0,IF(OR(电梯资料!$Y155="安装免保",电梯资料!$Y155="技术免保",电梯资料!$Y155="质保期内"),1,0))</f>
        <v>0</v>
      </c>
      <c r="H155" s="71" t="n">
        <f aca="false">SUM($G$5:$G155)</f>
        <v>4</v>
      </c>
      <c r="J155" s="71" t="n">
        <f aca="false">IF(应收对账!$Y155="",0,IF(应收对账!$T155&gt;0.01,1,0))</f>
        <v>0</v>
      </c>
      <c r="K155" s="71" t="n">
        <f aca="false">SUM($J$5:$J155)</f>
        <v>8</v>
      </c>
    </row>
    <row r="156" customFormat="false" ht="15" hidden="false" customHeight="false" outlineLevel="0" collapsed="false">
      <c r="A156" s="71" t="n">
        <f aca="false">IF(维保合同!$C156="",0,IF(OR(维保合同!$Q156&lt;&gt;"",维保合同!$R156&lt;&gt;""),1,0))</f>
        <v>0</v>
      </c>
      <c r="B156" s="71" t="n">
        <f aca="false">SUM($A$5:$A156)</f>
        <v>5</v>
      </c>
      <c r="D156" s="71" t="n">
        <f aca="false">IF(电梯资料!$C156="",0,IF(OR(电梯资料!$AA156&lt;&gt;"",电梯资料!$AB156&lt;&gt;""),1,0))</f>
        <v>0</v>
      </c>
      <c r="E156" s="71" t="n">
        <f aca="false">SUM($D$5:$D156)</f>
        <v>5</v>
      </c>
      <c r="G156" s="71" t="n">
        <f aca="false">IF(电梯资料!$C156="",0,IF(OR(电梯资料!$Y156="安装免保",电梯资料!$Y156="技术免保",电梯资料!$Y156="质保期内"),1,0))</f>
        <v>0</v>
      </c>
      <c r="H156" s="71" t="n">
        <f aca="false">SUM($G$5:$G156)</f>
        <v>4</v>
      </c>
      <c r="J156" s="71" t="n">
        <f aca="false">IF(应收对账!$Y156="",0,IF(应收对账!$T156&gt;0.01,1,0))</f>
        <v>0</v>
      </c>
      <c r="K156" s="71" t="n">
        <f aca="false">SUM($J$5:$J156)</f>
        <v>8</v>
      </c>
    </row>
    <row r="157" customFormat="false" ht="15" hidden="false" customHeight="false" outlineLevel="0" collapsed="false">
      <c r="A157" s="71" t="n">
        <f aca="false">IF(维保合同!$C157="",0,IF(OR(维保合同!$Q157&lt;&gt;"",维保合同!$R157&lt;&gt;""),1,0))</f>
        <v>0</v>
      </c>
      <c r="B157" s="71" t="n">
        <f aca="false">SUM($A$5:$A157)</f>
        <v>5</v>
      </c>
      <c r="D157" s="71" t="n">
        <f aca="false">IF(电梯资料!$C157="",0,IF(OR(电梯资料!$AA157&lt;&gt;"",电梯资料!$AB157&lt;&gt;""),1,0))</f>
        <v>0</v>
      </c>
      <c r="E157" s="71" t="n">
        <f aca="false">SUM($D$5:$D157)</f>
        <v>5</v>
      </c>
      <c r="G157" s="71" t="n">
        <f aca="false">IF(电梯资料!$C157="",0,IF(OR(电梯资料!$Y157="安装免保",电梯资料!$Y157="技术免保",电梯资料!$Y157="质保期内"),1,0))</f>
        <v>0</v>
      </c>
      <c r="H157" s="71" t="n">
        <f aca="false">SUM($G$5:$G157)</f>
        <v>4</v>
      </c>
      <c r="J157" s="71" t="n">
        <f aca="false">IF(应收对账!$Y157="",0,IF(应收对账!$T157&gt;0.01,1,0))</f>
        <v>0</v>
      </c>
      <c r="K157" s="71" t="n">
        <f aca="false">SUM($J$5:$J157)</f>
        <v>8</v>
      </c>
    </row>
    <row r="158" customFormat="false" ht="15" hidden="false" customHeight="false" outlineLevel="0" collapsed="false">
      <c r="A158" s="71" t="n">
        <f aca="false">IF(维保合同!$C158="",0,IF(OR(维保合同!$Q158&lt;&gt;"",维保合同!$R158&lt;&gt;""),1,0))</f>
        <v>0</v>
      </c>
      <c r="B158" s="71" t="n">
        <f aca="false">SUM($A$5:$A158)</f>
        <v>5</v>
      </c>
      <c r="D158" s="71" t="n">
        <f aca="false">IF(电梯资料!$C158="",0,IF(OR(电梯资料!$AA158&lt;&gt;"",电梯资料!$AB158&lt;&gt;""),1,0))</f>
        <v>0</v>
      </c>
      <c r="E158" s="71" t="n">
        <f aca="false">SUM($D$5:$D158)</f>
        <v>5</v>
      </c>
      <c r="G158" s="71" t="n">
        <f aca="false">IF(电梯资料!$C158="",0,IF(OR(电梯资料!$Y158="安装免保",电梯资料!$Y158="技术免保",电梯资料!$Y158="质保期内"),1,0))</f>
        <v>0</v>
      </c>
      <c r="H158" s="71" t="n">
        <f aca="false">SUM($G$5:$G158)</f>
        <v>4</v>
      </c>
      <c r="J158" s="71" t="n">
        <f aca="false">IF(应收对账!$Y158="",0,IF(应收对账!$T158&gt;0.01,1,0))</f>
        <v>0</v>
      </c>
      <c r="K158" s="71" t="n">
        <f aca="false">SUM($J$5:$J158)</f>
        <v>8</v>
      </c>
    </row>
    <row r="159" customFormat="false" ht="15" hidden="false" customHeight="false" outlineLevel="0" collapsed="false">
      <c r="A159" s="71" t="n">
        <f aca="false">IF(维保合同!$C159="",0,IF(OR(维保合同!$Q159&lt;&gt;"",维保合同!$R159&lt;&gt;""),1,0))</f>
        <v>0</v>
      </c>
      <c r="B159" s="71" t="n">
        <f aca="false">SUM($A$5:$A159)</f>
        <v>5</v>
      </c>
      <c r="D159" s="71" t="n">
        <f aca="false">IF(电梯资料!$C159="",0,IF(OR(电梯资料!$AA159&lt;&gt;"",电梯资料!$AB159&lt;&gt;""),1,0))</f>
        <v>0</v>
      </c>
      <c r="E159" s="71" t="n">
        <f aca="false">SUM($D$5:$D159)</f>
        <v>5</v>
      </c>
      <c r="G159" s="71" t="n">
        <f aca="false">IF(电梯资料!$C159="",0,IF(OR(电梯资料!$Y159="安装免保",电梯资料!$Y159="技术免保",电梯资料!$Y159="质保期内"),1,0))</f>
        <v>0</v>
      </c>
      <c r="H159" s="71" t="n">
        <f aca="false">SUM($G$5:$G159)</f>
        <v>4</v>
      </c>
      <c r="J159" s="71" t="n">
        <f aca="false">IF(应收对账!$Y159="",0,IF(应收对账!$T159&gt;0.01,1,0))</f>
        <v>0</v>
      </c>
      <c r="K159" s="71" t="n">
        <f aca="false">SUM($J$5:$J159)</f>
        <v>8</v>
      </c>
    </row>
    <row r="160" customFormat="false" ht="15" hidden="false" customHeight="false" outlineLevel="0" collapsed="false">
      <c r="A160" s="71" t="n">
        <f aca="false">IF(维保合同!$C160="",0,IF(OR(维保合同!$Q160&lt;&gt;"",维保合同!$R160&lt;&gt;""),1,0))</f>
        <v>0</v>
      </c>
      <c r="B160" s="71" t="n">
        <f aca="false">SUM($A$5:$A160)</f>
        <v>5</v>
      </c>
      <c r="D160" s="71" t="n">
        <f aca="false">IF(电梯资料!$C160="",0,IF(OR(电梯资料!$AA160&lt;&gt;"",电梯资料!$AB160&lt;&gt;""),1,0))</f>
        <v>0</v>
      </c>
      <c r="E160" s="71" t="n">
        <f aca="false">SUM($D$5:$D160)</f>
        <v>5</v>
      </c>
      <c r="G160" s="71" t="n">
        <f aca="false">IF(电梯资料!$C160="",0,IF(OR(电梯资料!$Y160="安装免保",电梯资料!$Y160="技术免保",电梯资料!$Y160="质保期内"),1,0))</f>
        <v>0</v>
      </c>
      <c r="H160" s="71" t="n">
        <f aca="false">SUM($G$5:$G160)</f>
        <v>4</v>
      </c>
      <c r="J160" s="71" t="n">
        <f aca="false">IF(应收对账!$Y160="",0,IF(应收对账!$T160&gt;0.01,1,0))</f>
        <v>0</v>
      </c>
      <c r="K160" s="71" t="n">
        <f aca="false">SUM($J$5:$J160)</f>
        <v>8</v>
      </c>
    </row>
    <row r="161" customFormat="false" ht="15" hidden="false" customHeight="false" outlineLevel="0" collapsed="false">
      <c r="A161" s="71" t="n">
        <f aca="false">IF(维保合同!$C161="",0,IF(OR(维保合同!$Q161&lt;&gt;"",维保合同!$R161&lt;&gt;""),1,0))</f>
        <v>0</v>
      </c>
      <c r="B161" s="71" t="n">
        <f aca="false">SUM($A$5:$A161)</f>
        <v>5</v>
      </c>
      <c r="D161" s="71" t="n">
        <f aca="false">IF(电梯资料!$C161="",0,IF(OR(电梯资料!$AA161&lt;&gt;"",电梯资料!$AB161&lt;&gt;""),1,0))</f>
        <v>0</v>
      </c>
      <c r="E161" s="71" t="n">
        <f aca="false">SUM($D$5:$D161)</f>
        <v>5</v>
      </c>
      <c r="G161" s="71" t="n">
        <f aca="false">IF(电梯资料!$C161="",0,IF(OR(电梯资料!$Y161="安装免保",电梯资料!$Y161="技术免保",电梯资料!$Y161="质保期内"),1,0))</f>
        <v>0</v>
      </c>
      <c r="H161" s="71" t="n">
        <f aca="false">SUM($G$5:$G161)</f>
        <v>4</v>
      </c>
      <c r="J161" s="71" t="n">
        <f aca="false">IF(应收对账!$Y161="",0,IF(应收对账!$T161&gt;0.01,1,0))</f>
        <v>0</v>
      </c>
      <c r="K161" s="71" t="n">
        <f aca="false">SUM($J$5:$J161)</f>
        <v>8</v>
      </c>
    </row>
    <row r="162" customFormat="false" ht="15" hidden="false" customHeight="false" outlineLevel="0" collapsed="false">
      <c r="A162" s="71" t="n">
        <f aca="false">IF(维保合同!$C162="",0,IF(OR(维保合同!$Q162&lt;&gt;"",维保合同!$R162&lt;&gt;""),1,0))</f>
        <v>0</v>
      </c>
      <c r="B162" s="71" t="n">
        <f aca="false">SUM($A$5:$A162)</f>
        <v>5</v>
      </c>
      <c r="D162" s="71" t="n">
        <f aca="false">IF(电梯资料!$C162="",0,IF(OR(电梯资料!$AA162&lt;&gt;"",电梯资料!$AB162&lt;&gt;""),1,0))</f>
        <v>0</v>
      </c>
      <c r="E162" s="71" t="n">
        <f aca="false">SUM($D$5:$D162)</f>
        <v>5</v>
      </c>
      <c r="G162" s="71" t="n">
        <f aca="false">IF(电梯资料!$C162="",0,IF(OR(电梯资料!$Y162="安装免保",电梯资料!$Y162="技术免保",电梯资料!$Y162="质保期内"),1,0))</f>
        <v>0</v>
      </c>
      <c r="H162" s="71" t="n">
        <f aca="false">SUM($G$5:$G162)</f>
        <v>4</v>
      </c>
      <c r="J162" s="71" t="n">
        <f aca="false">IF(应收对账!$Y162="",0,IF(应收对账!$T162&gt;0.01,1,0))</f>
        <v>0</v>
      </c>
      <c r="K162" s="71" t="n">
        <f aca="false">SUM($J$5:$J162)</f>
        <v>8</v>
      </c>
    </row>
    <row r="163" customFormat="false" ht="15" hidden="false" customHeight="false" outlineLevel="0" collapsed="false">
      <c r="A163" s="71" t="n">
        <f aca="false">IF(维保合同!$C163="",0,IF(OR(维保合同!$Q163&lt;&gt;"",维保合同!$R163&lt;&gt;""),1,0))</f>
        <v>0</v>
      </c>
      <c r="B163" s="71" t="n">
        <f aca="false">SUM($A$5:$A163)</f>
        <v>5</v>
      </c>
      <c r="D163" s="71" t="n">
        <f aca="false">IF(电梯资料!$C163="",0,IF(OR(电梯资料!$AA163&lt;&gt;"",电梯资料!$AB163&lt;&gt;""),1,0))</f>
        <v>0</v>
      </c>
      <c r="E163" s="71" t="n">
        <f aca="false">SUM($D$5:$D163)</f>
        <v>5</v>
      </c>
      <c r="G163" s="71" t="n">
        <f aca="false">IF(电梯资料!$C163="",0,IF(OR(电梯资料!$Y163="安装免保",电梯资料!$Y163="技术免保",电梯资料!$Y163="质保期内"),1,0))</f>
        <v>0</v>
      </c>
      <c r="H163" s="71" t="n">
        <f aca="false">SUM($G$5:$G163)</f>
        <v>4</v>
      </c>
      <c r="J163" s="71" t="n">
        <f aca="false">IF(应收对账!$Y163="",0,IF(应收对账!$T163&gt;0.01,1,0))</f>
        <v>0</v>
      </c>
      <c r="K163" s="71" t="n">
        <f aca="false">SUM($J$5:$J163)</f>
        <v>8</v>
      </c>
    </row>
    <row r="164" customFormat="false" ht="15" hidden="false" customHeight="false" outlineLevel="0" collapsed="false">
      <c r="A164" s="71" t="n">
        <f aca="false">IF(维保合同!$C164="",0,IF(OR(维保合同!$Q164&lt;&gt;"",维保合同!$R164&lt;&gt;""),1,0))</f>
        <v>0</v>
      </c>
      <c r="B164" s="71" t="n">
        <f aca="false">SUM($A$5:$A164)</f>
        <v>5</v>
      </c>
      <c r="D164" s="71" t="n">
        <f aca="false">IF(电梯资料!$C164="",0,IF(OR(电梯资料!$AA164&lt;&gt;"",电梯资料!$AB164&lt;&gt;""),1,0))</f>
        <v>0</v>
      </c>
      <c r="E164" s="71" t="n">
        <f aca="false">SUM($D$5:$D164)</f>
        <v>5</v>
      </c>
      <c r="G164" s="71" t="n">
        <f aca="false">IF(电梯资料!$C164="",0,IF(OR(电梯资料!$Y164="安装免保",电梯资料!$Y164="技术免保",电梯资料!$Y164="质保期内"),1,0))</f>
        <v>0</v>
      </c>
      <c r="H164" s="71" t="n">
        <f aca="false">SUM($G$5:$G164)</f>
        <v>4</v>
      </c>
      <c r="J164" s="71" t="n">
        <f aca="false">IF(应收对账!$Y164="",0,IF(应收对账!$T164&gt;0.01,1,0))</f>
        <v>0</v>
      </c>
      <c r="K164" s="71" t="n">
        <f aca="false">SUM($J$5:$J164)</f>
        <v>8</v>
      </c>
    </row>
    <row r="165" customFormat="false" ht="15" hidden="false" customHeight="false" outlineLevel="0" collapsed="false">
      <c r="A165" s="71" t="n">
        <f aca="false">IF(维保合同!$C165="",0,IF(OR(维保合同!$Q165&lt;&gt;"",维保合同!$R165&lt;&gt;""),1,0))</f>
        <v>0</v>
      </c>
      <c r="B165" s="71" t="n">
        <f aca="false">SUM($A$5:$A165)</f>
        <v>5</v>
      </c>
      <c r="D165" s="71" t="n">
        <f aca="false">IF(电梯资料!$C165="",0,IF(OR(电梯资料!$AA165&lt;&gt;"",电梯资料!$AB165&lt;&gt;""),1,0))</f>
        <v>0</v>
      </c>
      <c r="E165" s="71" t="n">
        <f aca="false">SUM($D$5:$D165)</f>
        <v>5</v>
      </c>
      <c r="G165" s="71" t="n">
        <f aca="false">IF(电梯资料!$C165="",0,IF(OR(电梯资料!$Y165="安装免保",电梯资料!$Y165="技术免保",电梯资料!$Y165="质保期内"),1,0))</f>
        <v>0</v>
      </c>
      <c r="H165" s="71" t="n">
        <f aca="false">SUM($G$5:$G165)</f>
        <v>4</v>
      </c>
      <c r="J165" s="71" t="n">
        <f aca="false">IF(应收对账!$Y165="",0,IF(应收对账!$T165&gt;0.01,1,0))</f>
        <v>0</v>
      </c>
      <c r="K165" s="71" t="n">
        <f aca="false">SUM($J$5:$J165)</f>
        <v>8</v>
      </c>
    </row>
    <row r="166" customFormat="false" ht="15" hidden="false" customHeight="false" outlineLevel="0" collapsed="false">
      <c r="A166" s="71" t="n">
        <f aca="false">IF(维保合同!$C166="",0,IF(OR(维保合同!$Q166&lt;&gt;"",维保合同!$R166&lt;&gt;""),1,0))</f>
        <v>0</v>
      </c>
      <c r="B166" s="71" t="n">
        <f aca="false">SUM($A$5:$A166)</f>
        <v>5</v>
      </c>
      <c r="D166" s="71" t="n">
        <f aca="false">IF(电梯资料!$C166="",0,IF(OR(电梯资料!$AA166&lt;&gt;"",电梯资料!$AB166&lt;&gt;""),1,0))</f>
        <v>0</v>
      </c>
      <c r="E166" s="71" t="n">
        <f aca="false">SUM($D$5:$D166)</f>
        <v>5</v>
      </c>
      <c r="G166" s="71" t="n">
        <f aca="false">IF(电梯资料!$C166="",0,IF(OR(电梯资料!$Y166="安装免保",电梯资料!$Y166="技术免保",电梯资料!$Y166="质保期内"),1,0))</f>
        <v>0</v>
      </c>
      <c r="H166" s="71" t="n">
        <f aca="false">SUM($G$5:$G166)</f>
        <v>4</v>
      </c>
      <c r="J166" s="71" t="n">
        <f aca="false">IF(应收对账!$Y166="",0,IF(应收对账!$T166&gt;0.01,1,0))</f>
        <v>0</v>
      </c>
      <c r="K166" s="71" t="n">
        <f aca="false">SUM($J$5:$J166)</f>
        <v>8</v>
      </c>
    </row>
    <row r="167" customFormat="false" ht="15" hidden="false" customHeight="false" outlineLevel="0" collapsed="false">
      <c r="A167" s="71" t="n">
        <f aca="false">IF(维保合同!$C167="",0,IF(OR(维保合同!$Q167&lt;&gt;"",维保合同!$R167&lt;&gt;""),1,0))</f>
        <v>0</v>
      </c>
      <c r="B167" s="71" t="n">
        <f aca="false">SUM($A$5:$A167)</f>
        <v>5</v>
      </c>
      <c r="D167" s="71" t="n">
        <f aca="false">IF(电梯资料!$C167="",0,IF(OR(电梯资料!$AA167&lt;&gt;"",电梯资料!$AB167&lt;&gt;""),1,0))</f>
        <v>0</v>
      </c>
      <c r="E167" s="71" t="n">
        <f aca="false">SUM($D$5:$D167)</f>
        <v>5</v>
      </c>
      <c r="G167" s="71" t="n">
        <f aca="false">IF(电梯资料!$C167="",0,IF(OR(电梯资料!$Y167="安装免保",电梯资料!$Y167="技术免保",电梯资料!$Y167="质保期内"),1,0))</f>
        <v>0</v>
      </c>
      <c r="H167" s="71" t="n">
        <f aca="false">SUM($G$5:$G167)</f>
        <v>4</v>
      </c>
      <c r="J167" s="71" t="n">
        <f aca="false">IF(应收对账!$Y167="",0,IF(应收对账!$T167&gt;0.01,1,0))</f>
        <v>0</v>
      </c>
      <c r="K167" s="71" t="n">
        <f aca="false">SUM($J$5:$J167)</f>
        <v>8</v>
      </c>
    </row>
    <row r="168" customFormat="false" ht="15" hidden="false" customHeight="false" outlineLevel="0" collapsed="false">
      <c r="A168" s="71" t="n">
        <f aca="false">IF(维保合同!$C168="",0,IF(OR(维保合同!$Q168&lt;&gt;"",维保合同!$R168&lt;&gt;""),1,0))</f>
        <v>0</v>
      </c>
      <c r="B168" s="71" t="n">
        <f aca="false">SUM($A$5:$A168)</f>
        <v>5</v>
      </c>
      <c r="D168" s="71" t="n">
        <f aca="false">IF(电梯资料!$C168="",0,IF(OR(电梯资料!$AA168&lt;&gt;"",电梯资料!$AB168&lt;&gt;""),1,0))</f>
        <v>0</v>
      </c>
      <c r="E168" s="71" t="n">
        <f aca="false">SUM($D$5:$D168)</f>
        <v>5</v>
      </c>
      <c r="G168" s="71" t="n">
        <f aca="false">IF(电梯资料!$C168="",0,IF(OR(电梯资料!$Y168="安装免保",电梯资料!$Y168="技术免保",电梯资料!$Y168="质保期内"),1,0))</f>
        <v>0</v>
      </c>
      <c r="H168" s="71" t="n">
        <f aca="false">SUM($G$5:$G168)</f>
        <v>4</v>
      </c>
      <c r="J168" s="71" t="n">
        <f aca="false">IF(应收对账!$Y168="",0,IF(应收对账!$T168&gt;0.01,1,0))</f>
        <v>0</v>
      </c>
      <c r="K168" s="71" t="n">
        <f aca="false">SUM($J$5:$J168)</f>
        <v>8</v>
      </c>
    </row>
    <row r="169" customFormat="false" ht="15" hidden="false" customHeight="false" outlineLevel="0" collapsed="false">
      <c r="A169" s="71" t="n">
        <f aca="false">IF(维保合同!$C169="",0,IF(OR(维保合同!$Q169&lt;&gt;"",维保合同!$R169&lt;&gt;""),1,0))</f>
        <v>0</v>
      </c>
      <c r="B169" s="71" t="n">
        <f aca="false">SUM($A$5:$A169)</f>
        <v>5</v>
      </c>
      <c r="D169" s="71" t="n">
        <f aca="false">IF(电梯资料!$C169="",0,IF(OR(电梯资料!$AA169&lt;&gt;"",电梯资料!$AB169&lt;&gt;""),1,0))</f>
        <v>0</v>
      </c>
      <c r="E169" s="71" t="n">
        <f aca="false">SUM($D$5:$D169)</f>
        <v>5</v>
      </c>
      <c r="G169" s="71" t="n">
        <f aca="false">IF(电梯资料!$C169="",0,IF(OR(电梯资料!$Y169="安装免保",电梯资料!$Y169="技术免保",电梯资料!$Y169="质保期内"),1,0))</f>
        <v>0</v>
      </c>
      <c r="H169" s="71" t="n">
        <f aca="false">SUM($G$5:$G169)</f>
        <v>4</v>
      </c>
      <c r="J169" s="71" t="n">
        <f aca="false">IF(应收对账!$Y169="",0,IF(应收对账!$T169&gt;0.01,1,0))</f>
        <v>0</v>
      </c>
      <c r="K169" s="71" t="n">
        <f aca="false">SUM($J$5:$J169)</f>
        <v>8</v>
      </c>
    </row>
    <row r="170" customFormat="false" ht="15" hidden="false" customHeight="false" outlineLevel="0" collapsed="false">
      <c r="A170" s="71" t="n">
        <f aca="false">IF(维保合同!$C170="",0,IF(OR(维保合同!$Q170&lt;&gt;"",维保合同!$R170&lt;&gt;""),1,0))</f>
        <v>0</v>
      </c>
      <c r="B170" s="71" t="n">
        <f aca="false">SUM($A$5:$A170)</f>
        <v>5</v>
      </c>
      <c r="D170" s="71" t="n">
        <f aca="false">IF(电梯资料!$C170="",0,IF(OR(电梯资料!$AA170&lt;&gt;"",电梯资料!$AB170&lt;&gt;""),1,0))</f>
        <v>0</v>
      </c>
      <c r="E170" s="71" t="n">
        <f aca="false">SUM($D$5:$D170)</f>
        <v>5</v>
      </c>
      <c r="G170" s="71" t="n">
        <f aca="false">IF(电梯资料!$C170="",0,IF(OR(电梯资料!$Y170="安装免保",电梯资料!$Y170="技术免保",电梯资料!$Y170="质保期内"),1,0))</f>
        <v>0</v>
      </c>
      <c r="H170" s="71" t="n">
        <f aca="false">SUM($G$5:$G170)</f>
        <v>4</v>
      </c>
      <c r="J170" s="71" t="n">
        <f aca="false">IF(应收对账!$Y170="",0,IF(应收对账!$T170&gt;0.01,1,0))</f>
        <v>0</v>
      </c>
      <c r="K170" s="71" t="n">
        <f aca="false">SUM($J$5:$J170)</f>
        <v>8</v>
      </c>
    </row>
    <row r="171" customFormat="false" ht="15" hidden="false" customHeight="false" outlineLevel="0" collapsed="false">
      <c r="A171" s="71" t="n">
        <f aca="false">IF(维保合同!$C171="",0,IF(OR(维保合同!$Q171&lt;&gt;"",维保合同!$R171&lt;&gt;""),1,0))</f>
        <v>0</v>
      </c>
      <c r="B171" s="71" t="n">
        <f aca="false">SUM($A$5:$A171)</f>
        <v>5</v>
      </c>
      <c r="D171" s="71" t="n">
        <f aca="false">IF(电梯资料!$C171="",0,IF(OR(电梯资料!$AA171&lt;&gt;"",电梯资料!$AB171&lt;&gt;""),1,0))</f>
        <v>0</v>
      </c>
      <c r="E171" s="71" t="n">
        <f aca="false">SUM($D$5:$D171)</f>
        <v>5</v>
      </c>
      <c r="G171" s="71" t="n">
        <f aca="false">IF(电梯资料!$C171="",0,IF(OR(电梯资料!$Y171="安装免保",电梯资料!$Y171="技术免保",电梯资料!$Y171="质保期内"),1,0))</f>
        <v>0</v>
      </c>
      <c r="H171" s="71" t="n">
        <f aca="false">SUM($G$5:$G171)</f>
        <v>4</v>
      </c>
      <c r="J171" s="71" t="n">
        <f aca="false">IF(应收对账!$Y171="",0,IF(应收对账!$T171&gt;0.01,1,0))</f>
        <v>0</v>
      </c>
      <c r="K171" s="71" t="n">
        <f aca="false">SUM($J$5:$J171)</f>
        <v>8</v>
      </c>
    </row>
    <row r="172" customFormat="false" ht="15" hidden="false" customHeight="false" outlineLevel="0" collapsed="false">
      <c r="A172" s="71" t="n">
        <f aca="false">IF(维保合同!$C172="",0,IF(OR(维保合同!$Q172&lt;&gt;"",维保合同!$R172&lt;&gt;""),1,0))</f>
        <v>0</v>
      </c>
      <c r="B172" s="71" t="n">
        <f aca="false">SUM($A$5:$A172)</f>
        <v>5</v>
      </c>
      <c r="D172" s="71" t="n">
        <f aca="false">IF(电梯资料!$C172="",0,IF(OR(电梯资料!$AA172&lt;&gt;"",电梯资料!$AB172&lt;&gt;""),1,0))</f>
        <v>0</v>
      </c>
      <c r="E172" s="71" t="n">
        <f aca="false">SUM($D$5:$D172)</f>
        <v>5</v>
      </c>
      <c r="G172" s="71" t="n">
        <f aca="false">IF(电梯资料!$C172="",0,IF(OR(电梯资料!$Y172="安装免保",电梯资料!$Y172="技术免保",电梯资料!$Y172="质保期内"),1,0))</f>
        <v>0</v>
      </c>
      <c r="H172" s="71" t="n">
        <f aca="false">SUM($G$5:$G172)</f>
        <v>4</v>
      </c>
      <c r="J172" s="71" t="n">
        <f aca="false">IF(应收对账!$Y172="",0,IF(应收对账!$T172&gt;0.01,1,0))</f>
        <v>0</v>
      </c>
      <c r="K172" s="71" t="n">
        <f aca="false">SUM($J$5:$J172)</f>
        <v>8</v>
      </c>
    </row>
    <row r="173" customFormat="false" ht="15" hidden="false" customHeight="false" outlineLevel="0" collapsed="false">
      <c r="A173" s="71" t="n">
        <f aca="false">IF(维保合同!$C173="",0,IF(OR(维保合同!$Q173&lt;&gt;"",维保合同!$R173&lt;&gt;""),1,0))</f>
        <v>0</v>
      </c>
      <c r="B173" s="71" t="n">
        <f aca="false">SUM($A$5:$A173)</f>
        <v>5</v>
      </c>
      <c r="D173" s="71" t="n">
        <f aca="false">IF(电梯资料!$C173="",0,IF(OR(电梯资料!$AA173&lt;&gt;"",电梯资料!$AB173&lt;&gt;""),1,0))</f>
        <v>0</v>
      </c>
      <c r="E173" s="71" t="n">
        <f aca="false">SUM($D$5:$D173)</f>
        <v>5</v>
      </c>
      <c r="G173" s="71" t="n">
        <f aca="false">IF(电梯资料!$C173="",0,IF(OR(电梯资料!$Y173="安装免保",电梯资料!$Y173="技术免保",电梯资料!$Y173="质保期内"),1,0))</f>
        <v>0</v>
      </c>
      <c r="H173" s="71" t="n">
        <f aca="false">SUM($G$5:$G173)</f>
        <v>4</v>
      </c>
      <c r="J173" s="71" t="n">
        <f aca="false">IF(应收对账!$Y173="",0,IF(应收对账!$T173&gt;0.01,1,0))</f>
        <v>0</v>
      </c>
      <c r="K173" s="71" t="n">
        <f aca="false">SUM($J$5:$J173)</f>
        <v>8</v>
      </c>
    </row>
    <row r="174" customFormat="false" ht="15" hidden="false" customHeight="false" outlineLevel="0" collapsed="false">
      <c r="A174" s="71" t="n">
        <f aca="false">IF(维保合同!$C174="",0,IF(OR(维保合同!$Q174&lt;&gt;"",维保合同!$R174&lt;&gt;""),1,0))</f>
        <v>0</v>
      </c>
      <c r="B174" s="71" t="n">
        <f aca="false">SUM($A$5:$A174)</f>
        <v>5</v>
      </c>
      <c r="D174" s="71" t="n">
        <f aca="false">IF(电梯资料!$C174="",0,IF(OR(电梯资料!$AA174&lt;&gt;"",电梯资料!$AB174&lt;&gt;""),1,0))</f>
        <v>0</v>
      </c>
      <c r="E174" s="71" t="n">
        <f aca="false">SUM($D$5:$D174)</f>
        <v>5</v>
      </c>
      <c r="G174" s="71" t="n">
        <f aca="false">IF(电梯资料!$C174="",0,IF(OR(电梯资料!$Y174="安装免保",电梯资料!$Y174="技术免保",电梯资料!$Y174="质保期内"),1,0))</f>
        <v>0</v>
      </c>
      <c r="H174" s="71" t="n">
        <f aca="false">SUM($G$5:$G174)</f>
        <v>4</v>
      </c>
      <c r="J174" s="71" t="n">
        <f aca="false">IF(应收对账!$Y174="",0,IF(应收对账!$T174&gt;0.01,1,0))</f>
        <v>0</v>
      </c>
      <c r="K174" s="71" t="n">
        <f aca="false">SUM($J$5:$J174)</f>
        <v>8</v>
      </c>
    </row>
    <row r="175" customFormat="false" ht="15" hidden="false" customHeight="false" outlineLevel="0" collapsed="false">
      <c r="A175" s="71" t="n">
        <f aca="false">IF(维保合同!$C175="",0,IF(OR(维保合同!$Q175&lt;&gt;"",维保合同!$R175&lt;&gt;""),1,0))</f>
        <v>0</v>
      </c>
      <c r="B175" s="71" t="n">
        <f aca="false">SUM($A$5:$A175)</f>
        <v>5</v>
      </c>
      <c r="D175" s="71" t="n">
        <f aca="false">IF(电梯资料!$C175="",0,IF(OR(电梯资料!$AA175&lt;&gt;"",电梯资料!$AB175&lt;&gt;""),1,0))</f>
        <v>0</v>
      </c>
      <c r="E175" s="71" t="n">
        <f aca="false">SUM($D$5:$D175)</f>
        <v>5</v>
      </c>
      <c r="G175" s="71" t="n">
        <f aca="false">IF(电梯资料!$C175="",0,IF(OR(电梯资料!$Y175="安装免保",电梯资料!$Y175="技术免保",电梯资料!$Y175="质保期内"),1,0))</f>
        <v>0</v>
      </c>
      <c r="H175" s="71" t="n">
        <f aca="false">SUM($G$5:$G175)</f>
        <v>4</v>
      </c>
      <c r="J175" s="71" t="n">
        <f aca="false">IF(应收对账!$Y175="",0,IF(应收对账!$T175&gt;0.01,1,0))</f>
        <v>0</v>
      </c>
      <c r="K175" s="71" t="n">
        <f aca="false">SUM($J$5:$J175)</f>
        <v>8</v>
      </c>
    </row>
    <row r="176" customFormat="false" ht="15" hidden="false" customHeight="false" outlineLevel="0" collapsed="false">
      <c r="A176" s="71" t="n">
        <f aca="false">IF(维保合同!$C176="",0,IF(OR(维保合同!$Q176&lt;&gt;"",维保合同!$R176&lt;&gt;""),1,0))</f>
        <v>0</v>
      </c>
      <c r="B176" s="71" t="n">
        <f aca="false">SUM($A$5:$A176)</f>
        <v>5</v>
      </c>
      <c r="D176" s="71" t="n">
        <f aca="false">IF(电梯资料!$C176="",0,IF(OR(电梯资料!$AA176&lt;&gt;"",电梯资料!$AB176&lt;&gt;""),1,0))</f>
        <v>0</v>
      </c>
      <c r="E176" s="71" t="n">
        <f aca="false">SUM($D$5:$D176)</f>
        <v>5</v>
      </c>
      <c r="G176" s="71" t="n">
        <f aca="false">IF(电梯资料!$C176="",0,IF(OR(电梯资料!$Y176="安装免保",电梯资料!$Y176="技术免保",电梯资料!$Y176="质保期内"),1,0))</f>
        <v>0</v>
      </c>
      <c r="H176" s="71" t="n">
        <f aca="false">SUM($G$5:$G176)</f>
        <v>4</v>
      </c>
      <c r="J176" s="71" t="n">
        <f aca="false">IF(应收对账!$Y176="",0,IF(应收对账!$T176&gt;0.01,1,0))</f>
        <v>0</v>
      </c>
      <c r="K176" s="71" t="n">
        <f aca="false">SUM($J$5:$J176)</f>
        <v>8</v>
      </c>
    </row>
    <row r="177" customFormat="false" ht="15" hidden="false" customHeight="false" outlineLevel="0" collapsed="false">
      <c r="A177" s="71" t="n">
        <f aca="false">IF(维保合同!$C177="",0,IF(OR(维保合同!$Q177&lt;&gt;"",维保合同!$R177&lt;&gt;""),1,0))</f>
        <v>0</v>
      </c>
      <c r="B177" s="71" t="n">
        <f aca="false">SUM($A$5:$A177)</f>
        <v>5</v>
      </c>
      <c r="D177" s="71" t="n">
        <f aca="false">IF(电梯资料!$C177="",0,IF(OR(电梯资料!$AA177&lt;&gt;"",电梯资料!$AB177&lt;&gt;""),1,0))</f>
        <v>0</v>
      </c>
      <c r="E177" s="71" t="n">
        <f aca="false">SUM($D$5:$D177)</f>
        <v>5</v>
      </c>
      <c r="G177" s="71" t="n">
        <f aca="false">IF(电梯资料!$C177="",0,IF(OR(电梯资料!$Y177="安装免保",电梯资料!$Y177="技术免保",电梯资料!$Y177="质保期内"),1,0))</f>
        <v>0</v>
      </c>
      <c r="H177" s="71" t="n">
        <f aca="false">SUM($G$5:$G177)</f>
        <v>4</v>
      </c>
      <c r="J177" s="71" t="n">
        <f aca="false">IF(应收对账!$Y177="",0,IF(应收对账!$T177&gt;0.01,1,0))</f>
        <v>0</v>
      </c>
      <c r="K177" s="71" t="n">
        <f aca="false">SUM($J$5:$J177)</f>
        <v>8</v>
      </c>
    </row>
    <row r="178" customFormat="false" ht="15" hidden="false" customHeight="false" outlineLevel="0" collapsed="false">
      <c r="A178" s="71" t="n">
        <f aca="false">IF(维保合同!$C178="",0,IF(OR(维保合同!$Q178&lt;&gt;"",维保合同!$R178&lt;&gt;""),1,0))</f>
        <v>0</v>
      </c>
      <c r="B178" s="71" t="n">
        <f aca="false">SUM($A$5:$A178)</f>
        <v>5</v>
      </c>
      <c r="D178" s="71" t="n">
        <f aca="false">IF(电梯资料!$C178="",0,IF(OR(电梯资料!$AA178&lt;&gt;"",电梯资料!$AB178&lt;&gt;""),1,0))</f>
        <v>0</v>
      </c>
      <c r="E178" s="71" t="n">
        <f aca="false">SUM($D$5:$D178)</f>
        <v>5</v>
      </c>
      <c r="G178" s="71" t="n">
        <f aca="false">IF(电梯资料!$C178="",0,IF(OR(电梯资料!$Y178="安装免保",电梯资料!$Y178="技术免保",电梯资料!$Y178="质保期内"),1,0))</f>
        <v>0</v>
      </c>
      <c r="H178" s="71" t="n">
        <f aca="false">SUM($G$5:$G178)</f>
        <v>4</v>
      </c>
      <c r="J178" s="71" t="n">
        <f aca="false">IF(应收对账!$Y178="",0,IF(应收对账!$T178&gt;0.01,1,0))</f>
        <v>0</v>
      </c>
      <c r="K178" s="71" t="n">
        <f aca="false">SUM($J$5:$J178)</f>
        <v>8</v>
      </c>
    </row>
    <row r="179" customFormat="false" ht="15" hidden="false" customHeight="false" outlineLevel="0" collapsed="false">
      <c r="A179" s="71" t="n">
        <f aca="false">IF(维保合同!$C179="",0,IF(OR(维保合同!$Q179&lt;&gt;"",维保合同!$R179&lt;&gt;""),1,0))</f>
        <v>0</v>
      </c>
      <c r="B179" s="71" t="n">
        <f aca="false">SUM($A$5:$A179)</f>
        <v>5</v>
      </c>
      <c r="D179" s="71" t="n">
        <f aca="false">IF(电梯资料!$C179="",0,IF(OR(电梯资料!$AA179&lt;&gt;"",电梯资料!$AB179&lt;&gt;""),1,0))</f>
        <v>0</v>
      </c>
      <c r="E179" s="71" t="n">
        <f aca="false">SUM($D$5:$D179)</f>
        <v>5</v>
      </c>
      <c r="G179" s="71" t="n">
        <f aca="false">IF(电梯资料!$C179="",0,IF(OR(电梯资料!$Y179="安装免保",电梯资料!$Y179="技术免保",电梯资料!$Y179="质保期内"),1,0))</f>
        <v>0</v>
      </c>
      <c r="H179" s="71" t="n">
        <f aca="false">SUM($G$5:$G179)</f>
        <v>4</v>
      </c>
      <c r="J179" s="71" t="n">
        <f aca="false">IF(应收对账!$Y179="",0,IF(应收对账!$T179&gt;0.01,1,0))</f>
        <v>0</v>
      </c>
      <c r="K179" s="71" t="n">
        <f aca="false">SUM($J$5:$J179)</f>
        <v>8</v>
      </c>
    </row>
    <row r="180" customFormat="false" ht="15" hidden="false" customHeight="false" outlineLevel="0" collapsed="false">
      <c r="A180" s="71" t="n">
        <f aca="false">IF(维保合同!$C180="",0,IF(OR(维保合同!$Q180&lt;&gt;"",维保合同!$R180&lt;&gt;""),1,0))</f>
        <v>0</v>
      </c>
      <c r="B180" s="71" t="n">
        <f aca="false">SUM($A$5:$A180)</f>
        <v>5</v>
      </c>
      <c r="D180" s="71" t="n">
        <f aca="false">IF(电梯资料!$C180="",0,IF(OR(电梯资料!$AA180&lt;&gt;"",电梯资料!$AB180&lt;&gt;""),1,0))</f>
        <v>0</v>
      </c>
      <c r="E180" s="71" t="n">
        <f aca="false">SUM($D$5:$D180)</f>
        <v>5</v>
      </c>
      <c r="G180" s="71" t="n">
        <f aca="false">IF(电梯资料!$C180="",0,IF(OR(电梯资料!$Y180="安装免保",电梯资料!$Y180="技术免保",电梯资料!$Y180="质保期内"),1,0))</f>
        <v>0</v>
      </c>
      <c r="H180" s="71" t="n">
        <f aca="false">SUM($G$5:$G180)</f>
        <v>4</v>
      </c>
      <c r="J180" s="71" t="n">
        <f aca="false">IF(应收对账!$Y180="",0,IF(应收对账!$T180&gt;0.01,1,0))</f>
        <v>0</v>
      </c>
      <c r="K180" s="71" t="n">
        <f aca="false">SUM($J$5:$J180)</f>
        <v>8</v>
      </c>
    </row>
    <row r="181" customFormat="false" ht="15" hidden="false" customHeight="false" outlineLevel="0" collapsed="false">
      <c r="A181" s="71" t="n">
        <f aca="false">IF(维保合同!$C181="",0,IF(OR(维保合同!$Q181&lt;&gt;"",维保合同!$R181&lt;&gt;""),1,0))</f>
        <v>0</v>
      </c>
      <c r="B181" s="71" t="n">
        <f aca="false">SUM($A$5:$A181)</f>
        <v>5</v>
      </c>
      <c r="D181" s="71" t="n">
        <f aca="false">IF(电梯资料!$C181="",0,IF(OR(电梯资料!$AA181&lt;&gt;"",电梯资料!$AB181&lt;&gt;""),1,0))</f>
        <v>0</v>
      </c>
      <c r="E181" s="71" t="n">
        <f aca="false">SUM($D$5:$D181)</f>
        <v>5</v>
      </c>
      <c r="G181" s="71" t="n">
        <f aca="false">IF(电梯资料!$C181="",0,IF(OR(电梯资料!$Y181="安装免保",电梯资料!$Y181="技术免保",电梯资料!$Y181="质保期内"),1,0))</f>
        <v>0</v>
      </c>
      <c r="H181" s="71" t="n">
        <f aca="false">SUM($G$5:$G181)</f>
        <v>4</v>
      </c>
      <c r="J181" s="71" t="n">
        <f aca="false">IF(应收对账!$Y181="",0,IF(应收对账!$T181&gt;0.01,1,0))</f>
        <v>0</v>
      </c>
      <c r="K181" s="71" t="n">
        <f aca="false">SUM($J$5:$J181)</f>
        <v>8</v>
      </c>
    </row>
    <row r="182" customFormat="false" ht="15" hidden="false" customHeight="false" outlineLevel="0" collapsed="false">
      <c r="A182" s="71" t="n">
        <f aca="false">IF(维保合同!$C182="",0,IF(OR(维保合同!$Q182&lt;&gt;"",维保合同!$R182&lt;&gt;""),1,0))</f>
        <v>0</v>
      </c>
      <c r="B182" s="71" t="n">
        <f aca="false">SUM($A$5:$A182)</f>
        <v>5</v>
      </c>
      <c r="D182" s="71" t="n">
        <f aca="false">IF(电梯资料!$C182="",0,IF(OR(电梯资料!$AA182&lt;&gt;"",电梯资料!$AB182&lt;&gt;""),1,0))</f>
        <v>0</v>
      </c>
      <c r="E182" s="71" t="n">
        <f aca="false">SUM($D$5:$D182)</f>
        <v>5</v>
      </c>
      <c r="G182" s="71" t="n">
        <f aca="false">IF(电梯资料!$C182="",0,IF(OR(电梯资料!$Y182="安装免保",电梯资料!$Y182="技术免保",电梯资料!$Y182="质保期内"),1,0))</f>
        <v>0</v>
      </c>
      <c r="H182" s="71" t="n">
        <f aca="false">SUM($G$5:$G182)</f>
        <v>4</v>
      </c>
      <c r="J182" s="71" t="n">
        <f aca="false">IF(应收对账!$Y182="",0,IF(应收对账!$T182&gt;0.01,1,0))</f>
        <v>0</v>
      </c>
      <c r="K182" s="71" t="n">
        <f aca="false">SUM($J$5:$J182)</f>
        <v>8</v>
      </c>
    </row>
    <row r="183" customFormat="false" ht="15" hidden="false" customHeight="false" outlineLevel="0" collapsed="false">
      <c r="A183" s="71" t="n">
        <f aca="false">IF(维保合同!$C183="",0,IF(OR(维保合同!$Q183&lt;&gt;"",维保合同!$R183&lt;&gt;""),1,0))</f>
        <v>0</v>
      </c>
      <c r="B183" s="71" t="n">
        <f aca="false">SUM($A$5:$A183)</f>
        <v>5</v>
      </c>
      <c r="D183" s="71" t="n">
        <f aca="false">IF(电梯资料!$C183="",0,IF(OR(电梯资料!$AA183&lt;&gt;"",电梯资料!$AB183&lt;&gt;""),1,0))</f>
        <v>0</v>
      </c>
      <c r="E183" s="71" t="n">
        <f aca="false">SUM($D$5:$D183)</f>
        <v>5</v>
      </c>
      <c r="G183" s="71" t="n">
        <f aca="false">IF(电梯资料!$C183="",0,IF(OR(电梯资料!$Y183="安装免保",电梯资料!$Y183="技术免保",电梯资料!$Y183="质保期内"),1,0))</f>
        <v>0</v>
      </c>
      <c r="H183" s="71" t="n">
        <f aca="false">SUM($G$5:$G183)</f>
        <v>4</v>
      </c>
      <c r="J183" s="71" t="n">
        <f aca="false">IF(应收对账!$Y183="",0,IF(应收对账!$T183&gt;0.01,1,0))</f>
        <v>0</v>
      </c>
      <c r="K183" s="71" t="n">
        <f aca="false">SUM($J$5:$J183)</f>
        <v>8</v>
      </c>
    </row>
    <row r="184" customFormat="false" ht="15" hidden="false" customHeight="false" outlineLevel="0" collapsed="false">
      <c r="A184" s="71" t="n">
        <f aca="false">IF(维保合同!$C184="",0,IF(OR(维保合同!$Q184&lt;&gt;"",维保合同!$R184&lt;&gt;""),1,0))</f>
        <v>0</v>
      </c>
      <c r="B184" s="71" t="n">
        <f aca="false">SUM($A$5:$A184)</f>
        <v>5</v>
      </c>
      <c r="D184" s="71" t="n">
        <f aca="false">IF(电梯资料!$C184="",0,IF(OR(电梯资料!$AA184&lt;&gt;"",电梯资料!$AB184&lt;&gt;""),1,0))</f>
        <v>0</v>
      </c>
      <c r="E184" s="71" t="n">
        <f aca="false">SUM($D$5:$D184)</f>
        <v>5</v>
      </c>
      <c r="G184" s="71" t="n">
        <f aca="false">IF(电梯资料!$C184="",0,IF(OR(电梯资料!$Y184="安装免保",电梯资料!$Y184="技术免保",电梯资料!$Y184="质保期内"),1,0))</f>
        <v>0</v>
      </c>
      <c r="H184" s="71" t="n">
        <f aca="false">SUM($G$5:$G184)</f>
        <v>4</v>
      </c>
      <c r="J184" s="71" t="n">
        <f aca="false">IF(应收对账!$Y184="",0,IF(应收对账!$T184&gt;0.01,1,0))</f>
        <v>0</v>
      </c>
      <c r="K184" s="71" t="n">
        <f aca="false">SUM($J$5:$J184)</f>
        <v>8</v>
      </c>
    </row>
    <row r="185" customFormat="false" ht="15" hidden="false" customHeight="false" outlineLevel="0" collapsed="false">
      <c r="A185" s="71" t="n">
        <f aca="false">IF(维保合同!$C185="",0,IF(OR(维保合同!$Q185&lt;&gt;"",维保合同!$R185&lt;&gt;""),1,0))</f>
        <v>0</v>
      </c>
      <c r="B185" s="71" t="n">
        <f aca="false">SUM($A$5:$A185)</f>
        <v>5</v>
      </c>
      <c r="D185" s="71" t="n">
        <f aca="false">IF(电梯资料!$C185="",0,IF(OR(电梯资料!$AA185&lt;&gt;"",电梯资料!$AB185&lt;&gt;""),1,0))</f>
        <v>0</v>
      </c>
      <c r="E185" s="71" t="n">
        <f aca="false">SUM($D$5:$D185)</f>
        <v>5</v>
      </c>
      <c r="G185" s="71" t="n">
        <f aca="false">IF(电梯资料!$C185="",0,IF(OR(电梯资料!$Y185="安装免保",电梯资料!$Y185="技术免保",电梯资料!$Y185="质保期内"),1,0))</f>
        <v>0</v>
      </c>
      <c r="H185" s="71" t="n">
        <f aca="false">SUM($G$5:$G185)</f>
        <v>4</v>
      </c>
      <c r="J185" s="71" t="n">
        <f aca="false">IF(应收对账!$Y185="",0,IF(应收对账!$T185&gt;0.01,1,0))</f>
        <v>0</v>
      </c>
      <c r="K185" s="71" t="n">
        <f aca="false">SUM($J$5:$J185)</f>
        <v>8</v>
      </c>
    </row>
    <row r="186" customFormat="false" ht="15" hidden="false" customHeight="false" outlineLevel="0" collapsed="false">
      <c r="A186" s="71" t="n">
        <f aca="false">IF(维保合同!$C186="",0,IF(OR(维保合同!$Q186&lt;&gt;"",维保合同!$R186&lt;&gt;""),1,0))</f>
        <v>0</v>
      </c>
      <c r="B186" s="71" t="n">
        <f aca="false">SUM($A$5:$A186)</f>
        <v>5</v>
      </c>
      <c r="D186" s="71" t="n">
        <f aca="false">IF(电梯资料!$C186="",0,IF(OR(电梯资料!$AA186&lt;&gt;"",电梯资料!$AB186&lt;&gt;""),1,0))</f>
        <v>0</v>
      </c>
      <c r="E186" s="71" t="n">
        <f aca="false">SUM($D$5:$D186)</f>
        <v>5</v>
      </c>
      <c r="G186" s="71" t="n">
        <f aca="false">IF(电梯资料!$C186="",0,IF(OR(电梯资料!$Y186="安装免保",电梯资料!$Y186="技术免保",电梯资料!$Y186="质保期内"),1,0))</f>
        <v>0</v>
      </c>
      <c r="H186" s="71" t="n">
        <f aca="false">SUM($G$5:$G186)</f>
        <v>4</v>
      </c>
      <c r="J186" s="71" t="n">
        <f aca="false">IF(应收对账!$Y186="",0,IF(应收对账!$T186&gt;0.01,1,0))</f>
        <v>0</v>
      </c>
      <c r="K186" s="71" t="n">
        <f aca="false">SUM($J$5:$J186)</f>
        <v>8</v>
      </c>
    </row>
    <row r="187" customFormat="false" ht="15" hidden="false" customHeight="false" outlineLevel="0" collapsed="false">
      <c r="A187" s="71" t="n">
        <f aca="false">IF(维保合同!$C187="",0,IF(OR(维保合同!$Q187&lt;&gt;"",维保合同!$R187&lt;&gt;""),1,0))</f>
        <v>0</v>
      </c>
      <c r="B187" s="71" t="n">
        <f aca="false">SUM($A$5:$A187)</f>
        <v>5</v>
      </c>
      <c r="D187" s="71" t="n">
        <f aca="false">IF(电梯资料!$C187="",0,IF(OR(电梯资料!$AA187&lt;&gt;"",电梯资料!$AB187&lt;&gt;""),1,0))</f>
        <v>0</v>
      </c>
      <c r="E187" s="71" t="n">
        <f aca="false">SUM($D$5:$D187)</f>
        <v>5</v>
      </c>
      <c r="G187" s="71" t="n">
        <f aca="false">IF(电梯资料!$C187="",0,IF(OR(电梯资料!$Y187="安装免保",电梯资料!$Y187="技术免保",电梯资料!$Y187="质保期内"),1,0))</f>
        <v>0</v>
      </c>
      <c r="H187" s="71" t="n">
        <f aca="false">SUM($G$5:$G187)</f>
        <v>4</v>
      </c>
      <c r="J187" s="71" t="n">
        <f aca="false">IF(应收对账!$Y187="",0,IF(应收对账!$T187&gt;0.01,1,0))</f>
        <v>0</v>
      </c>
      <c r="K187" s="71" t="n">
        <f aca="false">SUM($J$5:$J187)</f>
        <v>8</v>
      </c>
    </row>
    <row r="188" customFormat="false" ht="15" hidden="false" customHeight="false" outlineLevel="0" collapsed="false">
      <c r="A188" s="71" t="n">
        <f aca="false">IF(维保合同!$C188="",0,IF(OR(维保合同!$Q188&lt;&gt;"",维保合同!$R188&lt;&gt;""),1,0))</f>
        <v>0</v>
      </c>
      <c r="B188" s="71" t="n">
        <f aca="false">SUM($A$5:$A188)</f>
        <v>5</v>
      </c>
      <c r="D188" s="71" t="n">
        <f aca="false">IF(电梯资料!$C188="",0,IF(OR(电梯资料!$AA188&lt;&gt;"",电梯资料!$AB188&lt;&gt;""),1,0))</f>
        <v>0</v>
      </c>
      <c r="E188" s="71" t="n">
        <f aca="false">SUM($D$5:$D188)</f>
        <v>5</v>
      </c>
      <c r="G188" s="71" t="n">
        <f aca="false">IF(电梯资料!$C188="",0,IF(OR(电梯资料!$Y188="安装免保",电梯资料!$Y188="技术免保",电梯资料!$Y188="质保期内"),1,0))</f>
        <v>0</v>
      </c>
      <c r="H188" s="71" t="n">
        <f aca="false">SUM($G$5:$G188)</f>
        <v>4</v>
      </c>
      <c r="J188" s="71" t="n">
        <f aca="false">IF(应收对账!$Y188="",0,IF(应收对账!$T188&gt;0.01,1,0))</f>
        <v>0</v>
      </c>
      <c r="K188" s="71" t="n">
        <f aca="false">SUM($J$5:$J188)</f>
        <v>8</v>
      </c>
    </row>
    <row r="189" customFormat="false" ht="15" hidden="false" customHeight="false" outlineLevel="0" collapsed="false">
      <c r="A189" s="71" t="n">
        <f aca="false">IF(维保合同!$C189="",0,IF(OR(维保合同!$Q189&lt;&gt;"",维保合同!$R189&lt;&gt;""),1,0))</f>
        <v>0</v>
      </c>
      <c r="B189" s="71" t="n">
        <f aca="false">SUM($A$5:$A189)</f>
        <v>5</v>
      </c>
      <c r="D189" s="71" t="n">
        <f aca="false">IF(电梯资料!$C189="",0,IF(OR(电梯资料!$AA189&lt;&gt;"",电梯资料!$AB189&lt;&gt;""),1,0))</f>
        <v>0</v>
      </c>
      <c r="E189" s="71" t="n">
        <f aca="false">SUM($D$5:$D189)</f>
        <v>5</v>
      </c>
      <c r="G189" s="71" t="n">
        <f aca="false">IF(电梯资料!$C189="",0,IF(OR(电梯资料!$Y189="安装免保",电梯资料!$Y189="技术免保",电梯资料!$Y189="质保期内"),1,0))</f>
        <v>0</v>
      </c>
      <c r="H189" s="71" t="n">
        <f aca="false">SUM($G$5:$G189)</f>
        <v>4</v>
      </c>
      <c r="J189" s="71" t="n">
        <f aca="false">IF(应收对账!$Y189="",0,IF(应收对账!$T189&gt;0.01,1,0))</f>
        <v>0</v>
      </c>
      <c r="K189" s="71" t="n">
        <f aca="false">SUM($J$5:$J189)</f>
        <v>8</v>
      </c>
    </row>
    <row r="190" customFormat="false" ht="15" hidden="false" customHeight="false" outlineLevel="0" collapsed="false">
      <c r="A190" s="71" t="n">
        <f aca="false">IF(维保合同!$C190="",0,IF(OR(维保合同!$Q190&lt;&gt;"",维保合同!$R190&lt;&gt;""),1,0))</f>
        <v>0</v>
      </c>
      <c r="B190" s="71" t="n">
        <f aca="false">SUM($A$5:$A190)</f>
        <v>5</v>
      </c>
      <c r="D190" s="71" t="n">
        <f aca="false">IF(电梯资料!$C190="",0,IF(OR(电梯资料!$AA190&lt;&gt;"",电梯资料!$AB190&lt;&gt;""),1,0))</f>
        <v>0</v>
      </c>
      <c r="E190" s="71" t="n">
        <f aca="false">SUM($D$5:$D190)</f>
        <v>5</v>
      </c>
      <c r="G190" s="71" t="n">
        <f aca="false">IF(电梯资料!$C190="",0,IF(OR(电梯资料!$Y190="安装免保",电梯资料!$Y190="技术免保",电梯资料!$Y190="质保期内"),1,0))</f>
        <v>0</v>
      </c>
      <c r="H190" s="71" t="n">
        <f aca="false">SUM($G$5:$G190)</f>
        <v>4</v>
      </c>
      <c r="J190" s="71" t="n">
        <f aca="false">IF(应收对账!$Y190="",0,IF(应收对账!$T190&gt;0.01,1,0))</f>
        <v>0</v>
      </c>
      <c r="K190" s="71" t="n">
        <f aca="false">SUM($J$5:$J190)</f>
        <v>8</v>
      </c>
    </row>
    <row r="191" customFormat="false" ht="15" hidden="false" customHeight="false" outlineLevel="0" collapsed="false">
      <c r="A191" s="71" t="n">
        <f aca="false">IF(维保合同!$C191="",0,IF(OR(维保合同!$Q191&lt;&gt;"",维保合同!$R191&lt;&gt;""),1,0))</f>
        <v>0</v>
      </c>
      <c r="B191" s="71" t="n">
        <f aca="false">SUM($A$5:$A191)</f>
        <v>5</v>
      </c>
      <c r="D191" s="71" t="n">
        <f aca="false">IF(电梯资料!$C191="",0,IF(OR(电梯资料!$AA191&lt;&gt;"",电梯资料!$AB191&lt;&gt;""),1,0))</f>
        <v>0</v>
      </c>
      <c r="E191" s="71" t="n">
        <f aca="false">SUM($D$5:$D191)</f>
        <v>5</v>
      </c>
      <c r="G191" s="71" t="n">
        <f aca="false">IF(电梯资料!$C191="",0,IF(OR(电梯资料!$Y191="安装免保",电梯资料!$Y191="技术免保",电梯资料!$Y191="质保期内"),1,0))</f>
        <v>0</v>
      </c>
      <c r="H191" s="71" t="n">
        <f aca="false">SUM($G$5:$G191)</f>
        <v>4</v>
      </c>
      <c r="J191" s="71" t="n">
        <f aca="false">IF(应收对账!$Y191="",0,IF(应收对账!$T191&gt;0.01,1,0))</f>
        <v>0</v>
      </c>
      <c r="K191" s="71" t="n">
        <f aca="false">SUM($J$5:$J191)</f>
        <v>8</v>
      </c>
    </row>
    <row r="192" customFormat="false" ht="15" hidden="false" customHeight="false" outlineLevel="0" collapsed="false">
      <c r="A192" s="71" t="n">
        <f aca="false">IF(维保合同!$C192="",0,IF(OR(维保合同!$Q192&lt;&gt;"",维保合同!$R192&lt;&gt;""),1,0))</f>
        <v>0</v>
      </c>
      <c r="B192" s="71" t="n">
        <f aca="false">SUM($A$5:$A192)</f>
        <v>5</v>
      </c>
      <c r="D192" s="71" t="n">
        <f aca="false">IF(电梯资料!$C192="",0,IF(OR(电梯资料!$AA192&lt;&gt;"",电梯资料!$AB192&lt;&gt;""),1,0))</f>
        <v>0</v>
      </c>
      <c r="E192" s="71" t="n">
        <f aca="false">SUM($D$5:$D192)</f>
        <v>5</v>
      </c>
      <c r="G192" s="71" t="n">
        <f aca="false">IF(电梯资料!$C192="",0,IF(OR(电梯资料!$Y192="安装免保",电梯资料!$Y192="技术免保",电梯资料!$Y192="质保期内"),1,0))</f>
        <v>0</v>
      </c>
      <c r="H192" s="71" t="n">
        <f aca="false">SUM($G$5:$G192)</f>
        <v>4</v>
      </c>
      <c r="J192" s="71" t="n">
        <f aca="false">IF(应收对账!$Y192="",0,IF(应收对账!$T192&gt;0.01,1,0))</f>
        <v>0</v>
      </c>
      <c r="K192" s="71" t="n">
        <f aca="false">SUM($J$5:$J192)</f>
        <v>8</v>
      </c>
    </row>
    <row r="193" customFormat="false" ht="15" hidden="false" customHeight="false" outlineLevel="0" collapsed="false">
      <c r="A193" s="71" t="n">
        <f aca="false">IF(维保合同!$C193="",0,IF(OR(维保合同!$Q193&lt;&gt;"",维保合同!$R193&lt;&gt;""),1,0))</f>
        <v>0</v>
      </c>
      <c r="B193" s="71" t="n">
        <f aca="false">SUM($A$5:$A193)</f>
        <v>5</v>
      </c>
      <c r="D193" s="71" t="n">
        <f aca="false">IF(电梯资料!$C193="",0,IF(OR(电梯资料!$AA193&lt;&gt;"",电梯资料!$AB193&lt;&gt;""),1,0))</f>
        <v>0</v>
      </c>
      <c r="E193" s="71" t="n">
        <f aca="false">SUM($D$5:$D193)</f>
        <v>5</v>
      </c>
      <c r="G193" s="71" t="n">
        <f aca="false">IF(电梯资料!$C193="",0,IF(OR(电梯资料!$Y193="安装免保",电梯资料!$Y193="技术免保",电梯资料!$Y193="质保期内"),1,0))</f>
        <v>0</v>
      </c>
      <c r="H193" s="71" t="n">
        <f aca="false">SUM($G$5:$G193)</f>
        <v>4</v>
      </c>
      <c r="J193" s="71" t="n">
        <f aca="false">IF(应收对账!$Y193="",0,IF(应收对账!$T193&gt;0.01,1,0))</f>
        <v>0</v>
      </c>
      <c r="K193" s="71" t="n">
        <f aca="false">SUM($J$5:$J193)</f>
        <v>8</v>
      </c>
    </row>
    <row r="194" customFormat="false" ht="15" hidden="false" customHeight="false" outlineLevel="0" collapsed="false">
      <c r="A194" s="71" t="n">
        <f aca="false">IF(维保合同!$C194="",0,IF(OR(维保合同!$Q194&lt;&gt;"",维保合同!$R194&lt;&gt;""),1,0))</f>
        <v>0</v>
      </c>
      <c r="B194" s="71" t="n">
        <f aca="false">SUM($A$5:$A194)</f>
        <v>5</v>
      </c>
      <c r="D194" s="71" t="n">
        <f aca="false">IF(电梯资料!$C194="",0,IF(OR(电梯资料!$AA194&lt;&gt;"",电梯资料!$AB194&lt;&gt;""),1,0))</f>
        <v>0</v>
      </c>
      <c r="E194" s="71" t="n">
        <f aca="false">SUM($D$5:$D194)</f>
        <v>5</v>
      </c>
      <c r="G194" s="71" t="n">
        <f aca="false">IF(电梯资料!$C194="",0,IF(OR(电梯资料!$Y194="安装免保",电梯资料!$Y194="技术免保",电梯资料!$Y194="质保期内"),1,0))</f>
        <v>0</v>
      </c>
      <c r="H194" s="71" t="n">
        <f aca="false">SUM($G$5:$G194)</f>
        <v>4</v>
      </c>
      <c r="J194" s="71" t="n">
        <f aca="false">IF(应收对账!$Y194="",0,IF(应收对账!$T194&gt;0.01,1,0))</f>
        <v>0</v>
      </c>
      <c r="K194" s="71" t="n">
        <f aca="false">SUM($J$5:$J194)</f>
        <v>8</v>
      </c>
    </row>
    <row r="195" customFormat="false" ht="15" hidden="false" customHeight="false" outlineLevel="0" collapsed="false">
      <c r="A195" s="71" t="n">
        <f aca="false">IF(维保合同!$C195="",0,IF(OR(维保合同!$Q195&lt;&gt;"",维保合同!$R195&lt;&gt;""),1,0))</f>
        <v>0</v>
      </c>
      <c r="B195" s="71" t="n">
        <f aca="false">SUM($A$5:$A195)</f>
        <v>5</v>
      </c>
      <c r="D195" s="71" t="n">
        <f aca="false">IF(电梯资料!$C195="",0,IF(OR(电梯资料!$AA195&lt;&gt;"",电梯资料!$AB195&lt;&gt;""),1,0))</f>
        <v>0</v>
      </c>
      <c r="E195" s="71" t="n">
        <f aca="false">SUM($D$5:$D195)</f>
        <v>5</v>
      </c>
      <c r="G195" s="71" t="n">
        <f aca="false">IF(电梯资料!$C195="",0,IF(OR(电梯资料!$Y195="安装免保",电梯资料!$Y195="技术免保",电梯资料!$Y195="质保期内"),1,0))</f>
        <v>0</v>
      </c>
      <c r="H195" s="71" t="n">
        <f aca="false">SUM($G$5:$G195)</f>
        <v>4</v>
      </c>
      <c r="J195" s="71" t="n">
        <f aca="false">IF(应收对账!$Y195="",0,IF(应收对账!$T195&gt;0.01,1,0))</f>
        <v>0</v>
      </c>
      <c r="K195" s="71" t="n">
        <f aca="false">SUM($J$5:$J195)</f>
        <v>8</v>
      </c>
    </row>
    <row r="196" customFormat="false" ht="15" hidden="false" customHeight="false" outlineLevel="0" collapsed="false">
      <c r="A196" s="71" t="n">
        <f aca="false">IF(维保合同!$C196="",0,IF(OR(维保合同!$Q196&lt;&gt;"",维保合同!$R196&lt;&gt;""),1,0))</f>
        <v>0</v>
      </c>
      <c r="B196" s="71" t="n">
        <f aca="false">SUM($A$5:$A196)</f>
        <v>5</v>
      </c>
      <c r="D196" s="71" t="n">
        <f aca="false">IF(电梯资料!$C196="",0,IF(OR(电梯资料!$AA196&lt;&gt;"",电梯资料!$AB196&lt;&gt;""),1,0))</f>
        <v>0</v>
      </c>
      <c r="E196" s="71" t="n">
        <f aca="false">SUM($D$5:$D196)</f>
        <v>5</v>
      </c>
      <c r="G196" s="71" t="n">
        <f aca="false">IF(电梯资料!$C196="",0,IF(OR(电梯资料!$Y196="安装免保",电梯资料!$Y196="技术免保",电梯资料!$Y196="质保期内"),1,0))</f>
        <v>0</v>
      </c>
      <c r="H196" s="71" t="n">
        <f aca="false">SUM($G$5:$G196)</f>
        <v>4</v>
      </c>
      <c r="J196" s="71" t="n">
        <f aca="false">IF(应收对账!$Y196="",0,IF(应收对账!$T196&gt;0.01,1,0))</f>
        <v>0</v>
      </c>
      <c r="K196" s="71" t="n">
        <f aca="false">SUM($J$5:$J196)</f>
        <v>8</v>
      </c>
    </row>
    <row r="197" customFormat="false" ht="15" hidden="false" customHeight="false" outlineLevel="0" collapsed="false">
      <c r="A197" s="71" t="n">
        <f aca="false">IF(维保合同!$C197="",0,IF(OR(维保合同!$Q197&lt;&gt;"",维保合同!$R197&lt;&gt;""),1,0))</f>
        <v>0</v>
      </c>
      <c r="B197" s="71" t="n">
        <f aca="false">SUM($A$5:$A197)</f>
        <v>5</v>
      </c>
      <c r="D197" s="71" t="n">
        <f aca="false">IF(电梯资料!$C197="",0,IF(OR(电梯资料!$AA197&lt;&gt;"",电梯资料!$AB197&lt;&gt;""),1,0))</f>
        <v>0</v>
      </c>
      <c r="E197" s="71" t="n">
        <f aca="false">SUM($D$5:$D197)</f>
        <v>5</v>
      </c>
      <c r="G197" s="71" t="n">
        <f aca="false">IF(电梯资料!$C197="",0,IF(OR(电梯资料!$Y197="安装免保",电梯资料!$Y197="技术免保",电梯资料!$Y197="质保期内"),1,0))</f>
        <v>0</v>
      </c>
      <c r="H197" s="71" t="n">
        <f aca="false">SUM($G$5:$G197)</f>
        <v>4</v>
      </c>
      <c r="J197" s="71" t="n">
        <f aca="false">IF(应收对账!$Y197="",0,IF(应收对账!$T197&gt;0.01,1,0))</f>
        <v>0</v>
      </c>
      <c r="K197" s="71" t="n">
        <f aca="false">SUM($J$5:$J197)</f>
        <v>8</v>
      </c>
    </row>
    <row r="198" customFormat="false" ht="15" hidden="false" customHeight="false" outlineLevel="0" collapsed="false">
      <c r="A198" s="71" t="n">
        <f aca="false">IF(维保合同!$C198="",0,IF(OR(维保合同!$Q198&lt;&gt;"",维保合同!$R198&lt;&gt;""),1,0))</f>
        <v>0</v>
      </c>
      <c r="B198" s="71" t="n">
        <f aca="false">SUM($A$5:$A198)</f>
        <v>5</v>
      </c>
      <c r="D198" s="71" t="n">
        <f aca="false">IF(电梯资料!$C198="",0,IF(OR(电梯资料!$AA198&lt;&gt;"",电梯资料!$AB198&lt;&gt;""),1,0))</f>
        <v>0</v>
      </c>
      <c r="E198" s="71" t="n">
        <f aca="false">SUM($D$5:$D198)</f>
        <v>5</v>
      </c>
      <c r="G198" s="71" t="n">
        <f aca="false">IF(电梯资料!$C198="",0,IF(OR(电梯资料!$Y198="安装免保",电梯资料!$Y198="技术免保",电梯资料!$Y198="质保期内"),1,0))</f>
        <v>0</v>
      </c>
      <c r="H198" s="71" t="n">
        <f aca="false">SUM($G$5:$G198)</f>
        <v>4</v>
      </c>
      <c r="J198" s="71" t="n">
        <f aca="false">IF(应收对账!$Y198="",0,IF(应收对账!$T198&gt;0.01,1,0))</f>
        <v>0</v>
      </c>
      <c r="K198" s="71" t="n">
        <f aca="false">SUM($J$5:$J198)</f>
        <v>8</v>
      </c>
    </row>
    <row r="199" customFormat="false" ht="15" hidden="false" customHeight="false" outlineLevel="0" collapsed="false">
      <c r="A199" s="71" t="n">
        <f aca="false">IF(维保合同!$C199="",0,IF(OR(维保合同!$Q199&lt;&gt;"",维保合同!$R199&lt;&gt;""),1,0))</f>
        <v>0</v>
      </c>
      <c r="B199" s="71" t="n">
        <f aca="false">SUM($A$5:$A199)</f>
        <v>5</v>
      </c>
      <c r="D199" s="71" t="n">
        <f aca="false">IF(电梯资料!$C199="",0,IF(OR(电梯资料!$AA199&lt;&gt;"",电梯资料!$AB199&lt;&gt;""),1,0))</f>
        <v>0</v>
      </c>
      <c r="E199" s="71" t="n">
        <f aca="false">SUM($D$5:$D199)</f>
        <v>5</v>
      </c>
      <c r="G199" s="71" t="n">
        <f aca="false">IF(电梯资料!$C199="",0,IF(OR(电梯资料!$Y199="安装免保",电梯资料!$Y199="技术免保",电梯资料!$Y199="质保期内"),1,0))</f>
        <v>0</v>
      </c>
      <c r="H199" s="71" t="n">
        <f aca="false">SUM($G$5:$G199)</f>
        <v>4</v>
      </c>
      <c r="J199" s="71" t="n">
        <f aca="false">IF(应收对账!$Y199="",0,IF(应收对账!$T199&gt;0.01,1,0))</f>
        <v>0</v>
      </c>
      <c r="K199" s="71" t="n">
        <f aca="false">SUM($J$5:$J199)</f>
        <v>8</v>
      </c>
    </row>
    <row r="200" customFormat="false" ht="15" hidden="false" customHeight="false" outlineLevel="0" collapsed="false">
      <c r="A200" s="71" t="n">
        <f aca="false">IF(维保合同!$C200="",0,IF(OR(维保合同!$Q200&lt;&gt;"",维保合同!$R200&lt;&gt;""),1,0))</f>
        <v>0</v>
      </c>
      <c r="B200" s="71" t="n">
        <f aca="false">SUM($A$5:$A200)</f>
        <v>5</v>
      </c>
      <c r="D200" s="71" t="n">
        <f aca="false">IF(电梯资料!$C200="",0,IF(OR(电梯资料!$AA200&lt;&gt;"",电梯资料!$AB200&lt;&gt;""),1,0))</f>
        <v>0</v>
      </c>
      <c r="E200" s="71" t="n">
        <f aca="false">SUM($D$5:$D200)</f>
        <v>5</v>
      </c>
      <c r="G200" s="71" t="n">
        <f aca="false">IF(电梯资料!$C200="",0,IF(OR(电梯资料!$Y200="安装免保",电梯资料!$Y200="技术免保",电梯资料!$Y200="质保期内"),1,0))</f>
        <v>0</v>
      </c>
      <c r="H200" s="71" t="n">
        <f aca="false">SUM($G$5:$G200)</f>
        <v>4</v>
      </c>
      <c r="J200" s="71" t="n">
        <f aca="false">IF(应收对账!$Y200="",0,IF(应收对账!$T200&gt;0.01,1,0))</f>
        <v>0</v>
      </c>
      <c r="K200" s="71" t="n">
        <f aca="false">SUM($J$5:$J200)</f>
        <v>8</v>
      </c>
    </row>
    <row r="201" customFormat="false" ht="15" hidden="false" customHeight="false" outlineLevel="0" collapsed="false">
      <c r="A201" s="71" t="n">
        <f aca="false">IF(维保合同!$C201="",0,IF(OR(维保合同!$Q201&lt;&gt;"",维保合同!$R201&lt;&gt;""),1,0))</f>
        <v>0</v>
      </c>
      <c r="B201" s="71" t="n">
        <f aca="false">SUM($A$5:$A201)</f>
        <v>5</v>
      </c>
      <c r="D201" s="71" t="n">
        <f aca="false">IF(电梯资料!$C201="",0,IF(OR(电梯资料!$AA201&lt;&gt;"",电梯资料!$AB201&lt;&gt;""),1,0))</f>
        <v>0</v>
      </c>
      <c r="E201" s="71" t="n">
        <f aca="false">SUM($D$5:$D201)</f>
        <v>5</v>
      </c>
      <c r="G201" s="71" t="n">
        <f aca="false">IF(电梯资料!$C201="",0,IF(OR(电梯资料!$Y201="安装免保",电梯资料!$Y201="技术免保",电梯资料!$Y201="质保期内"),1,0))</f>
        <v>0</v>
      </c>
      <c r="H201" s="71" t="n">
        <f aca="false">SUM($G$5:$G201)</f>
        <v>4</v>
      </c>
      <c r="J201" s="71" t="n">
        <f aca="false">IF(应收对账!$Y201="",0,IF(应收对账!$T201&gt;0.01,1,0))</f>
        <v>0</v>
      </c>
      <c r="K201" s="71" t="n">
        <f aca="false">SUM($J$5:$J201)</f>
        <v>8</v>
      </c>
    </row>
    <row r="202" customFormat="false" ht="15" hidden="false" customHeight="false" outlineLevel="0" collapsed="false">
      <c r="A202" s="71" t="n">
        <f aca="false">IF(维保合同!$C202="",0,IF(OR(维保合同!$Q202&lt;&gt;"",维保合同!$R202&lt;&gt;""),1,0))</f>
        <v>0</v>
      </c>
      <c r="B202" s="71" t="n">
        <f aca="false">SUM($A$5:$A202)</f>
        <v>5</v>
      </c>
      <c r="D202" s="71" t="n">
        <f aca="false">IF(电梯资料!$C202="",0,IF(OR(电梯资料!$AA202&lt;&gt;"",电梯资料!$AB202&lt;&gt;""),1,0))</f>
        <v>0</v>
      </c>
      <c r="E202" s="71" t="n">
        <f aca="false">SUM($D$5:$D202)</f>
        <v>5</v>
      </c>
      <c r="G202" s="71" t="n">
        <f aca="false">IF(电梯资料!$C202="",0,IF(OR(电梯资料!$Y202="安装免保",电梯资料!$Y202="技术免保",电梯资料!$Y202="质保期内"),1,0))</f>
        <v>0</v>
      </c>
      <c r="H202" s="71" t="n">
        <f aca="false">SUM($G$5:$G202)</f>
        <v>4</v>
      </c>
      <c r="J202" s="71" t="n">
        <f aca="false">IF(应收对账!$Y202="",0,IF(应收对账!$T202&gt;0.01,1,0))</f>
        <v>0</v>
      </c>
      <c r="K202" s="71" t="n">
        <f aca="false">SUM($J$5:$J202)</f>
        <v>8</v>
      </c>
    </row>
    <row r="203" customFormat="false" ht="15" hidden="false" customHeight="false" outlineLevel="0" collapsed="false">
      <c r="A203" s="71" t="n">
        <f aca="false">IF(维保合同!$C203="",0,IF(OR(维保合同!$Q203&lt;&gt;"",维保合同!$R203&lt;&gt;""),1,0))</f>
        <v>0</v>
      </c>
      <c r="B203" s="71" t="n">
        <f aca="false">SUM($A$5:$A203)</f>
        <v>5</v>
      </c>
      <c r="D203" s="71" t="n">
        <f aca="false">IF(电梯资料!$C203="",0,IF(OR(电梯资料!$AA203&lt;&gt;"",电梯资料!$AB203&lt;&gt;""),1,0))</f>
        <v>0</v>
      </c>
      <c r="E203" s="71" t="n">
        <f aca="false">SUM($D$5:$D203)</f>
        <v>5</v>
      </c>
      <c r="G203" s="71" t="n">
        <f aca="false">IF(电梯资料!$C203="",0,IF(OR(电梯资料!$Y203="安装免保",电梯资料!$Y203="技术免保",电梯资料!$Y203="质保期内"),1,0))</f>
        <v>0</v>
      </c>
      <c r="H203" s="71" t="n">
        <f aca="false">SUM($G$5:$G203)</f>
        <v>4</v>
      </c>
      <c r="J203" s="71" t="n">
        <f aca="false">IF(应收对账!$Y203="",0,IF(应收对账!$T203&gt;0.01,1,0))</f>
        <v>0</v>
      </c>
      <c r="K203" s="71" t="n">
        <f aca="false">SUM($J$5:$J203)</f>
        <v>8</v>
      </c>
    </row>
    <row r="204" customFormat="false" ht="15" hidden="false" customHeight="false" outlineLevel="0" collapsed="false">
      <c r="A204" s="71" t="n">
        <f aca="false">IF(维保合同!$C204="",0,IF(OR(维保合同!$Q204&lt;&gt;"",维保合同!$R204&lt;&gt;""),1,0))</f>
        <v>0</v>
      </c>
      <c r="B204" s="71" t="n">
        <f aca="false">SUM($A$5:$A204)</f>
        <v>5</v>
      </c>
      <c r="D204" s="71" t="n">
        <f aca="false">IF(电梯资料!$C204="",0,IF(OR(电梯资料!$AA204&lt;&gt;"",电梯资料!$AB204&lt;&gt;""),1,0))</f>
        <v>0</v>
      </c>
      <c r="E204" s="71" t="n">
        <f aca="false">SUM($D$5:$D204)</f>
        <v>5</v>
      </c>
      <c r="G204" s="71" t="n">
        <f aca="false">IF(电梯资料!$C204="",0,IF(OR(电梯资料!$Y204="安装免保",电梯资料!$Y204="技术免保",电梯资料!$Y204="质保期内"),1,0))</f>
        <v>0</v>
      </c>
      <c r="H204" s="71" t="n">
        <f aca="false">SUM($G$5:$G204)</f>
        <v>4</v>
      </c>
      <c r="J204" s="71" t="n">
        <f aca="false">IF(应收对账!$Y204="",0,IF(应收对账!$T204&gt;0.01,1,0))</f>
        <v>0</v>
      </c>
      <c r="K204" s="71" t="n">
        <f aca="false">SUM($J$5:$J204)</f>
        <v>8</v>
      </c>
    </row>
    <row r="205" customFormat="false" ht="15" hidden="false" customHeight="false" outlineLevel="0" collapsed="false">
      <c r="A205" s="71" t="n">
        <f aca="false">IF(维保合同!$C205="",0,IF(OR(维保合同!$Q205&lt;&gt;"",维保合同!$R205&lt;&gt;""),1,0))</f>
        <v>0</v>
      </c>
      <c r="B205" s="71" t="n">
        <f aca="false">SUM($A$5:$A205)</f>
        <v>5</v>
      </c>
      <c r="D205" s="71" t="n">
        <f aca="false">IF(电梯资料!$C205="",0,IF(OR(电梯资料!$AA205&lt;&gt;"",电梯资料!$AB205&lt;&gt;""),1,0))</f>
        <v>0</v>
      </c>
      <c r="E205" s="71" t="n">
        <f aca="false">SUM($D$5:$D205)</f>
        <v>5</v>
      </c>
      <c r="G205" s="71" t="n">
        <f aca="false">IF(电梯资料!$C205="",0,IF(OR(电梯资料!$Y205="安装免保",电梯资料!$Y205="技术免保",电梯资料!$Y205="质保期内"),1,0))</f>
        <v>0</v>
      </c>
      <c r="H205" s="71" t="n">
        <f aca="false">SUM($G$5:$G205)</f>
        <v>4</v>
      </c>
      <c r="J205" s="71" t="n">
        <f aca="false">IF(应收对账!$Y205="",0,IF(应收对账!$T205&gt;0.01,1,0))</f>
        <v>0</v>
      </c>
      <c r="K205" s="71" t="n">
        <f aca="false">SUM($J$5:$J205)</f>
        <v>8</v>
      </c>
    </row>
    <row r="206" customFormat="false" ht="15" hidden="false" customHeight="false" outlineLevel="0" collapsed="false">
      <c r="A206" s="71" t="n">
        <f aca="false">IF(维保合同!$C206="",0,IF(OR(维保合同!$Q206&lt;&gt;"",维保合同!$R206&lt;&gt;""),1,0))</f>
        <v>0</v>
      </c>
      <c r="B206" s="71" t="n">
        <f aca="false">SUM($A$5:$A206)</f>
        <v>5</v>
      </c>
      <c r="D206" s="71" t="n">
        <f aca="false">IF(电梯资料!$C206="",0,IF(OR(电梯资料!$AA206&lt;&gt;"",电梯资料!$AB206&lt;&gt;""),1,0))</f>
        <v>0</v>
      </c>
      <c r="E206" s="71" t="n">
        <f aca="false">SUM($D$5:$D206)</f>
        <v>5</v>
      </c>
      <c r="G206" s="71" t="n">
        <f aca="false">IF(电梯资料!$C206="",0,IF(OR(电梯资料!$Y206="安装免保",电梯资料!$Y206="技术免保",电梯资料!$Y206="质保期内"),1,0))</f>
        <v>0</v>
      </c>
      <c r="H206" s="71" t="n">
        <f aca="false">SUM($G$5:$G206)</f>
        <v>4</v>
      </c>
      <c r="J206" s="71" t="n">
        <f aca="false">IF(应收对账!$Y206="",0,IF(应收对账!$T206&gt;0.01,1,0))</f>
        <v>0</v>
      </c>
      <c r="K206" s="71" t="n">
        <f aca="false">SUM($J$5:$J206)</f>
        <v>8</v>
      </c>
    </row>
    <row r="207" customFormat="false" ht="15" hidden="false" customHeight="false" outlineLevel="0" collapsed="false">
      <c r="A207" s="71" t="n">
        <f aca="false">IF(维保合同!$C207="",0,IF(OR(维保合同!$Q207&lt;&gt;"",维保合同!$R207&lt;&gt;""),1,0))</f>
        <v>0</v>
      </c>
      <c r="B207" s="71" t="n">
        <f aca="false">SUM($A$5:$A207)</f>
        <v>5</v>
      </c>
      <c r="D207" s="71" t="n">
        <f aca="false">IF(电梯资料!$C207="",0,IF(OR(电梯资料!$AA207&lt;&gt;"",电梯资料!$AB207&lt;&gt;""),1,0))</f>
        <v>0</v>
      </c>
      <c r="E207" s="71" t="n">
        <f aca="false">SUM($D$5:$D207)</f>
        <v>5</v>
      </c>
      <c r="G207" s="71" t="n">
        <f aca="false">IF(电梯资料!$C207="",0,IF(OR(电梯资料!$Y207="安装免保",电梯资料!$Y207="技术免保",电梯资料!$Y207="质保期内"),1,0))</f>
        <v>0</v>
      </c>
      <c r="H207" s="71" t="n">
        <f aca="false">SUM($G$5:$G207)</f>
        <v>4</v>
      </c>
      <c r="J207" s="71" t="n">
        <f aca="false">IF(应收对账!$Y207="",0,IF(应收对账!$T207&gt;0.01,1,0))</f>
        <v>0</v>
      </c>
      <c r="K207" s="71" t="n">
        <f aca="false">SUM($J$5:$J207)</f>
        <v>8</v>
      </c>
    </row>
    <row r="208" customFormat="false" ht="15" hidden="false" customHeight="false" outlineLevel="0" collapsed="false">
      <c r="A208" s="71" t="n">
        <f aca="false">IF(维保合同!$C208="",0,IF(OR(维保合同!$Q208&lt;&gt;"",维保合同!$R208&lt;&gt;""),1,0))</f>
        <v>0</v>
      </c>
      <c r="B208" s="71" t="n">
        <f aca="false">SUM($A$5:$A208)</f>
        <v>5</v>
      </c>
      <c r="D208" s="71" t="n">
        <f aca="false">IF(电梯资料!$C208="",0,IF(OR(电梯资料!$AA208&lt;&gt;"",电梯资料!$AB208&lt;&gt;""),1,0))</f>
        <v>0</v>
      </c>
      <c r="E208" s="71" t="n">
        <f aca="false">SUM($D$5:$D208)</f>
        <v>5</v>
      </c>
      <c r="G208" s="71" t="n">
        <f aca="false">IF(电梯资料!$C208="",0,IF(OR(电梯资料!$Y208="安装免保",电梯资料!$Y208="技术免保",电梯资料!$Y208="质保期内"),1,0))</f>
        <v>0</v>
      </c>
      <c r="H208" s="71" t="n">
        <f aca="false">SUM($G$5:$G208)</f>
        <v>4</v>
      </c>
      <c r="J208" s="71" t="n">
        <f aca="false">IF(应收对账!$Y208="",0,IF(应收对账!$T208&gt;0.01,1,0))</f>
        <v>0</v>
      </c>
      <c r="K208" s="71" t="n">
        <f aca="false">SUM($J$5:$J208)</f>
        <v>8</v>
      </c>
    </row>
    <row r="209" customFormat="false" ht="15" hidden="false" customHeight="false" outlineLevel="0" collapsed="false">
      <c r="A209" s="71" t="n">
        <f aca="false">IF(维保合同!$C209="",0,IF(OR(维保合同!$Q209&lt;&gt;"",维保合同!$R209&lt;&gt;""),1,0))</f>
        <v>0</v>
      </c>
      <c r="B209" s="71" t="n">
        <f aca="false">SUM($A$5:$A209)</f>
        <v>5</v>
      </c>
      <c r="D209" s="71" t="n">
        <f aca="false">IF(电梯资料!$C209="",0,IF(OR(电梯资料!$AA209&lt;&gt;"",电梯资料!$AB209&lt;&gt;""),1,0))</f>
        <v>0</v>
      </c>
      <c r="E209" s="71" t="n">
        <f aca="false">SUM($D$5:$D209)</f>
        <v>5</v>
      </c>
      <c r="G209" s="71" t="n">
        <f aca="false">IF(电梯资料!$C209="",0,IF(OR(电梯资料!$Y209="安装免保",电梯资料!$Y209="技术免保",电梯资料!$Y209="质保期内"),1,0))</f>
        <v>0</v>
      </c>
      <c r="H209" s="71" t="n">
        <f aca="false">SUM($G$5:$G209)</f>
        <v>4</v>
      </c>
      <c r="J209" s="71" t="n">
        <f aca="false">IF(应收对账!$Y209="",0,IF(应收对账!$T209&gt;0.01,1,0))</f>
        <v>0</v>
      </c>
      <c r="K209" s="71" t="n">
        <f aca="false">SUM($J$5:$J209)</f>
        <v>8</v>
      </c>
    </row>
    <row r="210" customFormat="false" ht="15" hidden="false" customHeight="false" outlineLevel="0" collapsed="false">
      <c r="A210" s="71" t="n">
        <f aca="false">IF(维保合同!$C210="",0,IF(OR(维保合同!$Q210&lt;&gt;"",维保合同!$R210&lt;&gt;""),1,0))</f>
        <v>0</v>
      </c>
      <c r="B210" s="71" t="n">
        <f aca="false">SUM($A$5:$A210)</f>
        <v>5</v>
      </c>
      <c r="D210" s="71" t="n">
        <f aca="false">IF(电梯资料!$C210="",0,IF(OR(电梯资料!$AA210&lt;&gt;"",电梯资料!$AB210&lt;&gt;""),1,0))</f>
        <v>0</v>
      </c>
      <c r="E210" s="71" t="n">
        <f aca="false">SUM($D$5:$D210)</f>
        <v>5</v>
      </c>
      <c r="G210" s="71" t="n">
        <f aca="false">IF(电梯资料!$C210="",0,IF(OR(电梯资料!$Y210="安装免保",电梯资料!$Y210="技术免保",电梯资料!$Y210="质保期内"),1,0))</f>
        <v>0</v>
      </c>
      <c r="H210" s="71" t="n">
        <f aca="false">SUM($G$5:$G210)</f>
        <v>4</v>
      </c>
      <c r="J210" s="71" t="n">
        <f aca="false">IF(应收对账!$Y210="",0,IF(应收对账!$T210&gt;0.01,1,0))</f>
        <v>0</v>
      </c>
      <c r="K210" s="71" t="n">
        <f aca="false">SUM($J$5:$J210)</f>
        <v>8</v>
      </c>
    </row>
    <row r="211" customFormat="false" ht="15" hidden="false" customHeight="false" outlineLevel="0" collapsed="false">
      <c r="A211" s="71" t="n">
        <f aca="false">IF(维保合同!$C211="",0,IF(OR(维保合同!$Q211&lt;&gt;"",维保合同!$R211&lt;&gt;""),1,0))</f>
        <v>0</v>
      </c>
      <c r="B211" s="71" t="n">
        <f aca="false">SUM($A$5:$A211)</f>
        <v>5</v>
      </c>
      <c r="D211" s="71" t="n">
        <f aca="false">IF(电梯资料!$C211="",0,IF(OR(电梯资料!$AA211&lt;&gt;"",电梯资料!$AB211&lt;&gt;""),1,0))</f>
        <v>0</v>
      </c>
      <c r="E211" s="71" t="n">
        <f aca="false">SUM($D$5:$D211)</f>
        <v>5</v>
      </c>
      <c r="G211" s="71" t="n">
        <f aca="false">IF(电梯资料!$C211="",0,IF(OR(电梯资料!$Y211="安装免保",电梯资料!$Y211="技术免保",电梯资料!$Y211="质保期内"),1,0))</f>
        <v>0</v>
      </c>
      <c r="H211" s="71" t="n">
        <f aca="false">SUM($G$5:$G211)</f>
        <v>4</v>
      </c>
      <c r="J211" s="71" t="n">
        <f aca="false">IF(应收对账!$Y211="",0,IF(应收对账!$T211&gt;0.01,1,0))</f>
        <v>0</v>
      </c>
      <c r="K211" s="71" t="n">
        <f aca="false">SUM($J$5:$J211)</f>
        <v>8</v>
      </c>
    </row>
    <row r="212" customFormat="false" ht="15" hidden="false" customHeight="false" outlineLevel="0" collapsed="false">
      <c r="A212" s="71" t="n">
        <f aca="false">IF(维保合同!$C212="",0,IF(OR(维保合同!$Q212&lt;&gt;"",维保合同!$R212&lt;&gt;""),1,0))</f>
        <v>0</v>
      </c>
      <c r="B212" s="71" t="n">
        <f aca="false">SUM($A$5:$A212)</f>
        <v>5</v>
      </c>
      <c r="D212" s="71" t="n">
        <f aca="false">IF(电梯资料!$C212="",0,IF(OR(电梯资料!$AA212&lt;&gt;"",电梯资料!$AB212&lt;&gt;""),1,0))</f>
        <v>0</v>
      </c>
      <c r="E212" s="71" t="n">
        <f aca="false">SUM($D$5:$D212)</f>
        <v>5</v>
      </c>
      <c r="G212" s="71" t="n">
        <f aca="false">IF(电梯资料!$C212="",0,IF(OR(电梯资料!$Y212="安装免保",电梯资料!$Y212="技术免保",电梯资料!$Y212="质保期内"),1,0))</f>
        <v>0</v>
      </c>
      <c r="H212" s="71" t="n">
        <f aca="false">SUM($G$5:$G212)</f>
        <v>4</v>
      </c>
      <c r="J212" s="71" t="n">
        <f aca="false">IF(应收对账!$Y212="",0,IF(应收对账!$T212&gt;0.01,1,0))</f>
        <v>0</v>
      </c>
      <c r="K212" s="71" t="n">
        <f aca="false">SUM($J$5:$J212)</f>
        <v>8</v>
      </c>
    </row>
    <row r="213" customFormat="false" ht="15" hidden="false" customHeight="false" outlineLevel="0" collapsed="false">
      <c r="A213" s="71" t="n">
        <f aca="false">IF(维保合同!$C213="",0,IF(OR(维保合同!$Q213&lt;&gt;"",维保合同!$R213&lt;&gt;""),1,0))</f>
        <v>0</v>
      </c>
      <c r="B213" s="71" t="n">
        <f aca="false">SUM($A$5:$A213)</f>
        <v>5</v>
      </c>
      <c r="D213" s="71" t="n">
        <f aca="false">IF(电梯资料!$C213="",0,IF(OR(电梯资料!$AA213&lt;&gt;"",电梯资料!$AB213&lt;&gt;""),1,0))</f>
        <v>0</v>
      </c>
      <c r="E213" s="71" t="n">
        <f aca="false">SUM($D$5:$D213)</f>
        <v>5</v>
      </c>
      <c r="G213" s="71" t="n">
        <f aca="false">IF(电梯资料!$C213="",0,IF(OR(电梯资料!$Y213="安装免保",电梯资料!$Y213="技术免保",电梯资料!$Y213="质保期内"),1,0))</f>
        <v>0</v>
      </c>
      <c r="H213" s="71" t="n">
        <f aca="false">SUM($G$5:$G213)</f>
        <v>4</v>
      </c>
      <c r="J213" s="71" t="n">
        <f aca="false">IF(应收对账!$Y213="",0,IF(应收对账!$T213&gt;0.01,1,0))</f>
        <v>0</v>
      </c>
      <c r="K213" s="71" t="n">
        <f aca="false">SUM($J$5:$J213)</f>
        <v>8</v>
      </c>
    </row>
    <row r="214" customFormat="false" ht="15" hidden="false" customHeight="false" outlineLevel="0" collapsed="false">
      <c r="A214" s="71" t="n">
        <f aca="false">IF(维保合同!$C214="",0,IF(OR(维保合同!$Q214&lt;&gt;"",维保合同!$R214&lt;&gt;""),1,0))</f>
        <v>0</v>
      </c>
      <c r="B214" s="71" t="n">
        <f aca="false">SUM($A$5:$A214)</f>
        <v>5</v>
      </c>
      <c r="D214" s="71" t="n">
        <f aca="false">IF(电梯资料!$C214="",0,IF(OR(电梯资料!$AA214&lt;&gt;"",电梯资料!$AB214&lt;&gt;""),1,0))</f>
        <v>0</v>
      </c>
      <c r="E214" s="71" t="n">
        <f aca="false">SUM($D$5:$D214)</f>
        <v>5</v>
      </c>
      <c r="G214" s="71" t="n">
        <f aca="false">IF(电梯资料!$C214="",0,IF(OR(电梯资料!$Y214="安装免保",电梯资料!$Y214="技术免保",电梯资料!$Y214="质保期内"),1,0))</f>
        <v>0</v>
      </c>
      <c r="H214" s="71" t="n">
        <f aca="false">SUM($G$5:$G214)</f>
        <v>4</v>
      </c>
      <c r="J214" s="71" t="n">
        <f aca="false">IF(应收对账!$Y214="",0,IF(应收对账!$T214&gt;0.01,1,0))</f>
        <v>0</v>
      </c>
      <c r="K214" s="71" t="n">
        <f aca="false">SUM($J$5:$J214)</f>
        <v>8</v>
      </c>
    </row>
    <row r="215" customFormat="false" ht="15" hidden="false" customHeight="false" outlineLevel="0" collapsed="false">
      <c r="A215" s="71" t="n">
        <f aca="false">IF(维保合同!$C215="",0,IF(OR(维保合同!$Q215&lt;&gt;"",维保合同!$R215&lt;&gt;""),1,0))</f>
        <v>0</v>
      </c>
      <c r="B215" s="71" t="n">
        <f aca="false">SUM($A$5:$A215)</f>
        <v>5</v>
      </c>
      <c r="D215" s="71" t="n">
        <f aca="false">IF(电梯资料!$C215="",0,IF(OR(电梯资料!$AA215&lt;&gt;"",电梯资料!$AB215&lt;&gt;""),1,0))</f>
        <v>0</v>
      </c>
      <c r="E215" s="71" t="n">
        <f aca="false">SUM($D$5:$D215)</f>
        <v>5</v>
      </c>
      <c r="G215" s="71" t="n">
        <f aca="false">IF(电梯资料!$C215="",0,IF(OR(电梯资料!$Y215="安装免保",电梯资料!$Y215="技术免保",电梯资料!$Y215="质保期内"),1,0))</f>
        <v>0</v>
      </c>
      <c r="H215" s="71" t="n">
        <f aca="false">SUM($G$5:$G215)</f>
        <v>4</v>
      </c>
      <c r="J215" s="71" t="n">
        <f aca="false">IF(应收对账!$Y215="",0,IF(应收对账!$T215&gt;0.01,1,0))</f>
        <v>0</v>
      </c>
      <c r="K215" s="71" t="n">
        <f aca="false">SUM($J$5:$J215)</f>
        <v>8</v>
      </c>
    </row>
    <row r="216" customFormat="false" ht="15" hidden="false" customHeight="false" outlineLevel="0" collapsed="false">
      <c r="A216" s="71" t="n">
        <f aca="false">IF(维保合同!$C216="",0,IF(OR(维保合同!$Q216&lt;&gt;"",维保合同!$R216&lt;&gt;""),1,0))</f>
        <v>0</v>
      </c>
      <c r="B216" s="71" t="n">
        <f aca="false">SUM($A$5:$A216)</f>
        <v>5</v>
      </c>
      <c r="D216" s="71" t="n">
        <f aca="false">IF(电梯资料!$C216="",0,IF(OR(电梯资料!$AA216&lt;&gt;"",电梯资料!$AB216&lt;&gt;""),1,0))</f>
        <v>0</v>
      </c>
      <c r="E216" s="71" t="n">
        <f aca="false">SUM($D$5:$D216)</f>
        <v>5</v>
      </c>
      <c r="G216" s="71" t="n">
        <f aca="false">IF(电梯资料!$C216="",0,IF(OR(电梯资料!$Y216="安装免保",电梯资料!$Y216="技术免保",电梯资料!$Y216="质保期内"),1,0))</f>
        <v>0</v>
      </c>
      <c r="H216" s="71" t="n">
        <f aca="false">SUM($G$5:$G216)</f>
        <v>4</v>
      </c>
      <c r="J216" s="71" t="n">
        <f aca="false">IF(应收对账!$Y216="",0,IF(应收对账!$T216&gt;0.01,1,0))</f>
        <v>0</v>
      </c>
      <c r="K216" s="71" t="n">
        <f aca="false">SUM($J$5:$J216)</f>
        <v>8</v>
      </c>
    </row>
    <row r="217" customFormat="false" ht="15" hidden="false" customHeight="false" outlineLevel="0" collapsed="false">
      <c r="A217" s="71" t="n">
        <f aca="false">IF(维保合同!$C217="",0,IF(OR(维保合同!$Q217&lt;&gt;"",维保合同!$R217&lt;&gt;""),1,0))</f>
        <v>0</v>
      </c>
      <c r="B217" s="71" t="n">
        <f aca="false">SUM($A$5:$A217)</f>
        <v>5</v>
      </c>
      <c r="D217" s="71" t="n">
        <f aca="false">IF(电梯资料!$C217="",0,IF(OR(电梯资料!$AA217&lt;&gt;"",电梯资料!$AB217&lt;&gt;""),1,0))</f>
        <v>0</v>
      </c>
      <c r="E217" s="71" t="n">
        <f aca="false">SUM($D$5:$D217)</f>
        <v>5</v>
      </c>
      <c r="G217" s="71" t="n">
        <f aca="false">IF(电梯资料!$C217="",0,IF(OR(电梯资料!$Y217="安装免保",电梯资料!$Y217="技术免保",电梯资料!$Y217="质保期内"),1,0))</f>
        <v>0</v>
      </c>
      <c r="H217" s="71" t="n">
        <f aca="false">SUM($G$5:$G217)</f>
        <v>4</v>
      </c>
      <c r="J217" s="71" t="n">
        <f aca="false">IF(应收对账!$Y217="",0,IF(应收对账!$T217&gt;0.01,1,0))</f>
        <v>0</v>
      </c>
      <c r="K217" s="71" t="n">
        <f aca="false">SUM($J$5:$J217)</f>
        <v>8</v>
      </c>
    </row>
    <row r="218" customFormat="false" ht="15" hidden="false" customHeight="false" outlineLevel="0" collapsed="false">
      <c r="A218" s="71" t="n">
        <f aca="false">IF(维保合同!$C218="",0,IF(OR(维保合同!$Q218&lt;&gt;"",维保合同!$R218&lt;&gt;""),1,0))</f>
        <v>0</v>
      </c>
      <c r="B218" s="71" t="n">
        <f aca="false">SUM($A$5:$A218)</f>
        <v>5</v>
      </c>
      <c r="D218" s="71" t="n">
        <f aca="false">IF(电梯资料!$C218="",0,IF(OR(电梯资料!$AA218&lt;&gt;"",电梯资料!$AB218&lt;&gt;""),1,0))</f>
        <v>0</v>
      </c>
      <c r="E218" s="71" t="n">
        <f aca="false">SUM($D$5:$D218)</f>
        <v>5</v>
      </c>
      <c r="G218" s="71" t="n">
        <f aca="false">IF(电梯资料!$C218="",0,IF(OR(电梯资料!$Y218="安装免保",电梯资料!$Y218="技术免保",电梯资料!$Y218="质保期内"),1,0))</f>
        <v>0</v>
      </c>
      <c r="H218" s="71" t="n">
        <f aca="false">SUM($G$5:$G218)</f>
        <v>4</v>
      </c>
      <c r="J218" s="71" t="n">
        <f aca="false">IF(应收对账!$Y218="",0,IF(应收对账!$T218&gt;0.01,1,0))</f>
        <v>0</v>
      </c>
      <c r="K218" s="71" t="n">
        <f aca="false">SUM($J$5:$J218)</f>
        <v>8</v>
      </c>
    </row>
    <row r="219" customFormat="false" ht="15" hidden="false" customHeight="false" outlineLevel="0" collapsed="false">
      <c r="A219" s="71" t="n">
        <f aca="false">IF(维保合同!$C219="",0,IF(OR(维保合同!$Q219&lt;&gt;"",维保合同!$R219&lt;&gt;""),1,0))</f>
        <v>0</v>
      </c>
      <c r="B219" s="71" t="n">
        <f aca="false">SUM($A$5:$A219)</f>
        <v>5</v>
      </c>
      <c r="D219" s="71" t="n">
        <f aca="false">IF(电梯资料!$C219="",0,IF(OR(电梯资料!$AA219&lt;&gt;"",电梯资料!$AB219&lt;&gt;""),1,0))</f>
        <v>0</v>
      </c>
      <c r="E219" s="71" t="n">
        <f aca="false">SUM($D$5:$D219)</f>
        <v>5</v>
      </c>
      <c r="G219" s="71" t="n">
        <f aca="false">IF(电梯资料!$C219="",0,IF(OR(电梯资料!$Y219="安装免保",电梯资料!$Y219="技术免保",电梯资料!$Y219="质保期内"),1,0))</f>
        <v>0</v>
      </c>
      <c r="H219" s="71" t="n">
        <f aca="false">SUM($G$5:$G219)</f>
        <v>4</v>
      </c>
      <c r="J219" s="71" t="n">
        <f aca="false">IF(应收对账!$Y219="",0,IF(应收对账!$T219&gt;0.01,1,0))</f>
        <v>0</v>
      </c>
      <c r="K219" s="71" t="n">
        <f aca="false">SUM($J$5:$J219)</f>
        <v>8</v>
      </c>
    </row>
    <row r="220" customFormat="false" ht="15" hidden="false" customHeight="false" outlineLevel="0" collapsed="false">
      <c r="A220" s="71" t="n">
        <f aca="false">IF(维保合同!$C220="",0,IF(OR(维保合同!$Q220&lt;&gt;"",维保合同!$R220&lt;&gt;""),1,0))</f>
        <v>0</v>
      </c>
      <c r="B220" s="71" t="n">
        <f aca="false">SUM($A$5:$A220)</f>
        <v>5</v>
      </c>
      <c r="D220" s="71" t="n">
        <f aca="false">IF(电梯资料!$C220="",0,IF(OR(电梯资料!$AA220&lt;&gt;"",电梯资料!$AB220&lt;&gt;""),1,0))</f>
        <v>0</v>
      </c>
      <c r="E220" s="71" t="n">
        <f aca="false">SUM($D$5:$D220)</f>
        <v>5</v>
      </c>
      <c r="G220" s="71" t="n">
        <f aca="false">IF(电梯资料!$C220="",0,IF(OR(电梯资料!$Y220="安装免保",电梯资料!$Y220="技术免保",电梯资料!$Y220="质保期内"),1,0))</f>
        <v>0</v>
      </c>
      <c r="H220" s="71" t="n">
        <f aca="false">SUM($G$5:$G220)</f>
        <v>4</v>
      </c>
      <c r="J220" s="71" t="n">
        <f aca="false">IF(应收对账!$Y220="",0,IF(应收对账!$T220&gt;0.01,1,0))</f>
        <v>0</v>
      </c>
      <c r="K220" s="71" t="n">
        <f aca="false">SUM($J$5:$J220)</f>
        <v>8</v>
      </c>
    </row>
    <row r="221" customFormat="false" ht="15" hidden="false" customHeight="false" outlineLevel="0" collapsed="false">
      <c r="A221" s="71" t="n">
        <f aca="false">IF(维保合同!$C221="",0,IF(OR(维保合同!$Q221&lt;&gt;"",维保合同!$R221&lt;&gt;""),1,0))</f>
        <v>0</v>
      </c>
      <c r="B221" s="71" t="n">
        <f aca="false">SUM($A$5:$A221)</f>
        <v>5</v>
      </c>
      <c r="D221" s="71" t="n">
        <f aca="false">IF(电梯资料!$C221="",0,IF(OR(电梯资料!$AA221&lt;&gt;"",电梯资料!$AB221&lt;&gt;""),1,0))</f>
        <v>0</v>
      </c>
      <c r="E221" s="71" t="n">
        <f aca="false">SUM($D$5:$D221)</f>
        <v>5</v>
      </c>
      <c r="G221" s="71" t="n">
        <f aca="false">IF(电梯资料!$C221="",0,IF(OR(电梯资料!$Y221="安装免保",电梯资料!$Y221="技术免保",电梯资料!$Y221="质保期内"),1,0))</f>
        <v>0</v>
      </c>
      <c r="H221" s="71" t="n">
        <f aca="false">SUM($G$5:$G221)</f>
        <v>4</v>
      </c>
      <c r="J221" s="71" t="n">
        <f aca="false">IF(应收对账!$Y221="",0,IF(应收对账!$T221&gt;0.01,1,0))</f>
        <v>0</v>
      </c>
      <c r="K221" s="71" t="n">
        <f aca="false">SUM($J$5:$J221)</f>
        <v>8</v>
      </c>
    </row>
    <row r="222" customFormat="false" ht="15" hidden="false" customHeight="false" outlineLevel="0" collapsed="false">
      <c r="A222" s="71" t="n">
        <f aca="false">IF(维保合同!$C222="",0,IF(OR(维保合同!$Q222&lt;&gt;"",维保合同!$R222&lt;&gt;""),1,0))</f>
        <v>0</v>
      </c>
      <c r="B222" s="71" t="n">
        <f aca="false">SUM($A$5:$A222)</f>
        <v>5</v>
      </c>
      <c r="D222" s="71" t="n">
        <f aca="false">IF(电梯资料!$C222="",0,IF(OR(电梯资料!$AA222&lt;&gt;"",电梯资料!$AB222&lt;&gt;""),1,0))</f>
        <v>0</v>
      </c>
      <c r="E222" s="71" t="n">
        <f aca="false">SUM($D$5:$D222)</f>
        <v>5</v>
      </c>
      <c r="G222" s="71" t="n">
        <f aca="false">IF(电梯资料!$C222="",0,IF(OR(电梯资料!$Y222="安装免保",电梯资料!$Y222="技术免保",电梯资料!$Y222="质保期内"),1,0))</f>
        <v>0</v>
      </c>
      <c r="H222" s="71" t="n">
        <f aca="false">SUM($G$5:$G222)</f>
        <v>4</v>
      </c>
      <c r="J222" s="71" t="n">
        <f aca="false">IF(应收对账!$Y222="",0,IF(应收对账!$T222&gt;0.01,1,0))</f>
        <v>0</v>
      </c>
      <c r="K222" s="71" t="n">
        <f aca="false">SUM($J$5:$J222)</f>
        <v>8</v>
      </c>
    </row>
    <row r="223" customFormat="false" ht="15" hidden="false" customHeight="false" outlineLevel="0" collapsed="false">
      <c r="A223" s="71" t="n">
        <f aca="false">IF(维保合同!$C223="",0,IF(OR(维保合同!$Q223&lt;&gt;"",维保合同!$R223&lt;&gt;""),1,0))</f>
        <v>0</v>
      </c>
      <c r="B223" s="71" t="n">
        <f aca="false">SUM($A$5:$A223)</f>
        <v>5</v>
      </c>
      <c r="D223" s="71" t="n">
        <f aca="false">IF(电梯资料!$C223="",0,IF(OR(电梯资料!$AA223&lt;&gt;"",电梯资料!$AB223&lt;&gt;""),1,0))</f>
        <v>0</v>
      </c>
      <c r="E223" s="71" t="n">
        <f aca="false">SUM($D$5:$D223)</f>
        <v>5</v>
      </c>
      <c r="G223" s="71" t="n">
        <f aca="false">IF(电梯资料!$C223="",0,IF(OR(电梯资料!$Y223="安装免保",电梯资料!$Y223="技术免保",电梯资料!$Y223="质保期内"),1,0))</f>
        <v>0</v>
      </c>
      <c r="H223" s="71" t="n">
        <f aca="false">SUM($G$5:$G223)</f>
        <v>4</v>
      </c>
      <c r="J223" s="71" t="n">
        <f aca="false">IF(应收对账!$Y223="",0,IF(应收对账!$T223&gt;0.01,1,0))</f>
        <v>0</v>
      </c>
      <c r="K223" s="71" t="n">
        <f aca="false">SUM($J$5:$J223)</f>
        <v>8</v>
      </c>
    </row>
    <row r="224" customFormat="false" ht="15" hidden="false" customHeight="false" outlineLevel="0" collapsed="false">
      <c r="A224" s="71" t="n">
        <f aca="false">IF(维保合同!$C224="",0,IF(OR(维保合同!$Q224&lt;&gt;"",维保合同!$R224&lt;&gt;""),1,0))</f>
        <v>0</v>
      </c>
      <c r="B224" s="71" t="n">
        <f aca="false">SUM($A$5:$A224)</f>
        <v>5</v>
      </c>
      <c r="D224" s="71" t="n">
        <f aca="false">IF(电梯资料!$C224="",0,IF(OR(电梯资料!$AA224&lt;&gt;"",电梯资料!$AB224&lt;&gt;""),1,0))</f>
        <v>0</v>
      </c>
      <c r="E224" s="71" t="n">
        <f aca="false">SUM($D$5:$D224)</f>
        <v>5</v>
      </c>
      <c r="G224" s="71" t="n">
        <f aca="false">IF(电梯资料!$C224="",0,IF(OR(电梯资料!$Y224="安装免保",电梯资料!$Y224="技术免保",电梯资料!$Y224="质保期内"),1,0))</f>
        <v>0</v>
      </c>
      <c r="H224" s="71" t="n">
        <f aca="false">SUM($G$5:$G224)</f>
        <v>4</v>
      </c>
      <c r="J224" s="71" t="n">
        <f aca="false">IF(应收对账!$Y224="",0,IF(应收对账!$T224&gt;0.01,1,0))</f>
        <v>0</v>
      </c>
      <c r="K224" s="71" t="n">
        <f aca="false">SUM($J$5:$J224)</f>
        <v>8</v>
      </c>
    </row>
    <row r="225" customFormat="false" ht="15" hidden="false" customHeight="false" outlineLevel="0" collapsed="false">
      <c r="A225" s="71" t="n">
        <f aca="false">IF(维保合同!$C225="",0,IF(OR(维保合同!$Q225&lt;&gt;"",维保合同!$R225&lt;&gt;""),1,0))</f>
        <v>0</v>
      </c>
      <c r="B225" s="71" t="n">
        <f aca="false">SUM($A$5:$A225)</f>
        <v>5</v>
      </c>
      <c r="D225" s="71" t="n">
        <f aca="false">IF(电梯资料!$C225="",0,IF(OR(电梯资料!$AA225&lt;&gt;"",电梯资料!$AB225&lt;&gt;""),1,0))</f>
        <v>0</v>
      </c>
      <c r="E225" s="71" t="n">
        <f aca="false">SUM($D$5:$D225)</f>
        <v>5</v>
      </c>
      <c r="G225" s="71" t="n">
        <f aca="false">IF(电梯资料!$C225="",0,IF(OR(电梯资料!$Y225="安装免保",电梯资料!$Y225="技术免保",电梯资料!$Y225="质保期内"),1,0))</f>
        <v>0</v>
      </c>
      <c r="H225" s="71" t="n">
        <f aca="false">SUM($G$5:$G225)</f>
        <v>4</v>
      </c>
      <c r="J225" s="71" t="n">
        <f aca="false">IF(应收对账!$Y225="",0,IF(应收对账!$T225&gt;0.01,1,0))</f>
        <v>0</v>
      </c>
      <c r="K225" s="71" t="n">
        <f aca="false">SUM($J$5:$J225)</f>
        <v>8</v>
      </c>
    </row>
    <row r="226" customFormat="false" ht="15" hidden="false" customHeight="false" outlineLevel="0" collapsed="false">
      <c r="A226" s="71" t="n">
        <f aca="false">IF(维保合同!$C226="",0,IF(OR(维保合同!$Q226&lt;&gt;"",维保合同!$R226&lt;&gt;""),1,0))</f>
        <v>0</v>
      </c>
      <c r="B226" s="71" t="n">
        <f aca="false">SUM($A$5:$A226)</f>
        <v>5</v>
      </c>
      <c r="D226" s="71" t="n">
        <f aca="false">IF(电梯资料!$C226="",0,IF(OR(电梯资料!$AA226&lt;&gt;"",电梯资料!$AB226&lt;&gt;""),1,0))</f>
        <v>0</v>
      </c>
      <c r="E226" s="71" t="n">
        <f aca="false">SUM($D$5:$D226)</f>
        <v>5</v>
      </c>
      <c r="G226" s="71" t="n">
        <f aca="false">IF(电梯资料!$C226="",0,IF(OR(电梯资料!$Y226="安装免保",电梯资料!$Y226="技术免保",电梯资料!$Y226="质保期内"),1,0))</f>
        <v>0</v>
      </c>
      <c r="H226" s="71" t="n">
        <f aca="false">SUM($G$5:$G226)</f>
        <v>4</v>
      </c>
      <c r="J226" s="71" t="n">
        <f aca="false">IF(应收对账!$Y226="",0,IF(应收对账!$T226&gt;0.01,1,0))</f>
        <v>0</v>
      </c>
      <c r="K226" s="71" t="n">
        <f aca="false">SUM($J$5:$J226)</f>
        <v>8</v>
      </c>
    </row>
    <row r="227" customFormat="false" ht="15" hidden="false" customHeight="false" outlineLevel="0" collapsed="false">
      <c r="A227" s="71" t="n">
        <f aca="false">IF(维保合同!$C227="",0,IF(OR(维保合同!$Q227&lt;&gt;"",维保合同!$R227&lt;&gt;""),1,0))</f>
        <v>0</v>
      </c>
      <c r="B227" s="71" t="n">
        <f aca="false">SUM($A$5:$A227)</f>
        <v>5</v>
      </c>
      <c r="D227" s="71" t="n">
        <f aca="false">IF(电梯资料!$C227="",0,IF(OR(电梯资料!$AA227&lt;&gt;"",电梯资料!$AB227&lt;&gt;""),1,0))</f>
        <v>0</v>
      </c>
      <c r="E227" s="71" t="n">
        <f aca="false">SUM($D$5:$D227)</f>
        <v>5</v>
      </c>
      <c r="G227" s="71" t="n">
        <f aca="false">IF(电梯资料!$C227="",0,IF(OR(电梯资料!$Y227="安装免保",电梯资料!$Y227="技术免保",电梯资料!$Y227="质保期内"),1,0))</f>
        <v>0</v>
      </c>
      <c r="H227" s="71" t="n">
        <f aca="false">SUM($G$5:$G227)</f>
        <v>4</v>
      </c>
      <c r="J227" s="71" t="n">
        <f aca="false">IF(应收对账!$Y227="",0,IF(应收对账!$T227&gt;0.01,1,0))</f>
        <v>0</v>
      </c>
      <c r="K227" s="71" t="n">
        <f aca="false">SUM($J$5:$J227)</f>
        <v>8</v>
      </c>
    </row>
    <row r="228" customFormat="false" ht="15" hidden="false" customHeight="false" outlineLevel="0" collapsed="false">
      <c r="A228" s="71" t="n">
        <f aca="false">IF(维保合同!$C228="",0,IF(OR(维保合同!$Q228&lt;&gt;"",维保合同!$R228&lt;&gt;""),1,0))</f>
        <v>0</v>
      </c>
      <c r="B228" s="71" t="n">
        <f aca="false">SUM($A$5:$A228)</f>
        <v>5</v>
      </c>
      <c r="D228" s="71" t="n">
        <f aca="false">IF(电梯资料!$C228="",0,IF(OR(电梯资料!$AA228&lt;&gt;"",电梯资料!$AB228&lt;&gt;""),1,0))</f>
        <v>0</v>
      </c>
      <c r="E228" s="71" t="n">
        <f aca="false">SUM($D$5:$D228)</f>
        <v>5</v>
      </c>
      <c r="G228" s="71" t="n">
        <f aca="false">IF(电梯资料!$C228="",0,IF(OR(电梯资料!$Y228="安装免保",电梯资料!$Y228="技术免保",电梯资料!$Y228="质保期内"),1,0))</f>
        <v>0</v>
      </c>
      <c r="H228" s="71" t="n">
        <f aca="false">SUM($G$5:$G228)</f>
        <v>4</v>
      </c>
      <c r="J228" s="71" t="n">
        <f aca="false">IF(应收对账!$Y228="",0,IF(应收对账!$T228&gt;0.01,1,0))</f>
        <v>0</v>
      </c>
      <c r="K228" s="71" t="n">
        <f aca="false">SUM($J$5:$J228)</f>
        <v>8</v>
      </c>
    </row>
    <row r="229" customFormat="false" ht="15" hidden="false" customHeight="false" outlineLevel="0" collapsed="false">
      <c r="A229" s="71" t="n">
        <f aca="false">IF(维保合同!$C229="",0,IF(OR(维保合同!$Q229&lt;&gt;"",维保合同!$R229&lt;&gt;""),1,0))</f>
        <v>0</v>
      </c>
      <c r="B229" s="71" t="n">
        <f aca="false">SUM($A$5:$A229)</f>
        <v>5</v>
      </c>
      <c r="D229" s="71" t="n">
        <f aca="false">IF(电梯资料!$C229="",0,IF(OR(电梯资料!$AA229&lt;&gt;"",电梯资料!$AB229&lt;&gt;""),1,0))</f>
        <v>0</v>
      </c>
      <c r="E229" s="71" t="n">
        <f aca="false">SUM($D$5:$D229)</f>
        <v>5</v>
      </c>
      <c r="G229" s="71" t="n">
        <f aca="false">IF(电梯资料!$C229="",0,IF(OR(电梯资料!$Y229="安装免保",电梯资料!$Y229="技术免保",电梯资料!$Y229="质保期内"),1,0))</f>
        <v>0</v>
      </c>
      <c r="H229" s="71" t="n">
        <f aca="false">SUM($G$5:$G229)</f>
        <v>4</v>
      </c>
      <c r="J229" s="71" t="n">
        <f aca="false">IF(应收对账!$Y229="",0,IF(应收对账!$T229&gt;0.01,1,0))</f>
        <v>0</v>
      </c>
      <c r="K229" s="71" t="n">
        <f aca="false">SUM($J$5:$J229)</f>
        <v>8</v>
      </c>
    </row>
    <row r="230" customFormat="false" ht="15" hidden="false" customHeight="false" outlineLevel="0" collapsed="false">
      <c r="A230" s="71" t="n">
        <f aca="false">IF(维保合同!$C230="",0,IF(OR(维保合同!$Q230&lt;&gt;"",维保合同!$R230&lt;&gt;""),1,0))</f>
        <v>0</v>
      </c>
      <c r="B230" s="71" t="n">
        <f aca="false">SUM($A$5:$A230)</f>
        <v>5</v>
      </c>
      <c r="D230" s="71" t="n">
        <f aca="false">IF(电梯资料!$C230="",0,IF(OR(电梯资料!$AA230&lt;&gt;"",电梯资料!$AB230&lt;&gt;""),1,0))</f>
        <v>0</v>
      </c>
      <c r="E230" s="71" t="n">
        <f aca="false">SUM($D$5:$D230)</f>
        <v>5</v>
      </c>
      <c r="G230" s="71" t="n">
        <f aca="false">IF(电梯资料!$C230="",0,IF(OR(电梯资料!$Y230="安装免保",电梯资料!$Y230="技术免保",电梯资料!$Y230="质保期内"),1,0))</f>
        <v>0</v>
      </c>
      <c r="H230" s="71" t="n">
        <f aca="false">SUM($G$5:$G230)</f>
        <v>4</v>
      </c>
      <c r="J230" s="71" t="n">
        <f aca="false">IF(应收对账!$Y230="",0,IF(应收对账!$T230&gt;0.01,1,0))</f>
        <v>0</v>
      </c>
      <c r="K230" s="71" t="n">
        <f aca="false">SUM($J$5:$J230)</f>
        <v>8</v>
      </c>
    </row>
    <row r="231" customFormat="false" ht="15" hidden="false" customHeight="false" outlineLevel="0" collapsed="false">
      <c r="A231" s="71" t="n">
        <f aca="false">IF(维保合同!$C231="",0,IF(OR(维保合同!$Q231&lt;&gt;"",维保合同!$R231&lt;&gt;""),1,0))</f>
        <v>0</v>
      </c>
      <c r="B231" s="71" t="n">
        <f aca="false">SUM($A$5:$A231)</f>
        <v>5</v>
      </c>
      <c r="D231" s="71" t="n">
        <f aca="false">IF(电梯资料!$C231="",0,IF(OR(电梯资料!$AA231&lt;&gt;"",电梯资料!$AB231&lt;&gt;""),1,0))</f>
        <v>0</v>
      </c>
      <c r="E231" s="71" t="n">
        <f aca="false">SUM($D$5:$D231)</f>
        <v>5</v>
      </c>
      <c r="G231" s="71" t="n">
        <f aca="false">IF(电梯资料!$C231="",0,IF(OR(电梯资料!$Y231="安装免保",电梯资料!$Y231="技术免保",电梯资料!$Y231="质保期内"),1,0))</f>
        <v>0</v>
      </c>
      <c r="H231" s="71" t="n">
        <f aca="false">SUM($G$5:$G231)</f>
        <v>4</v>
      </c>
      <c r="J231" s="71" t="n">
        <f aca="false">IF(应收对账!$Y231="",0,IF(应收对账!$T231&gt;0.01,1,0))</f>
        <v>0</v>
      </c>
      <c r="K231" s="71" t="n">
        <f aca="false">SUM($J$5:$J231)</f>
        <v>8</v>
      </c>
    </row>
    <row r="232" customFormat="false" ht="15" hidden="false" customHeight="false" outlineLevel="0" collapsed="false">
      <c r="A232" s="71" t="n">
        <f aca="false">IF(维保合同!$C232="",0,IF(OR(维保合同!$Q232&lt;&gt;"",维保合同!$R232&lt;&gt;""),1,0))</f>
        <v>0</v>
      </c>
      <c r="B232" s="71" t="n">
        <f aca="false">SUM($A$5:$A232)</f>
        <v>5</v>
      </c>
      <c r="D232" s="71" t="n">
        <f aca="false">IF(电梯资料!$C232="",0,IF(OR(电梯资料!$AA232&lt;&gt;"",电梯资料!$AB232&lt;&gt;""),1,0))</f>
        <v>0</v>
      </c>
      <c r="E232" s="71" t="n">
        <f aca="false">SUM($D$5:$D232)</f>
        <v>5</v>
      </c>
      <c r="G232" s="71" t="n">
        <f aca="false">IF(电梯资料!$C232="",0,IF(OR(电梯资料!$Y232="安装免保",电梯资料!$Y232="技术免保",电梯资料!$Y232="质保期内"),1,0))</f>
        <v>0</v>
      </c>
      <c r="H232" s="71" t="n">
        <f aca="false">SUM($G$5:$G232)</f>
        <v>4</v>
      </c>
      <c r="J232" s="71" t="n">
        <f aca="false">IF(应收对账!$Y232="",0,IF(应收对账!$T232&gt;0.01,1,0))</f>
        <v>0</v>
      </c>
      <c r="K232" s="71" t="n">
        <f aca="false">SUM($J$5:$J232)</f>
        <v>8</v>
      </c>
    </row>
    <row r="233" customFormat="false" ht="15" hidden="false" customHeight="false" outlineLevel="0" collapsed="false">
      <c r="A233" s="71" t="n">
        <f aca="false">IF(维保合同!$C233="",0,IF(OR(维保合同!$Q233&lt;&gt;"",维保合同!$R233&lt;&gt;""),1,0))</f>
        <v>0</v>
      </c>
      <c r="B233" s="71" t="n">
        <f aca="false">SUM($A$5:$A233)</f>
        <v>5</v>
      </c>
      <c r="D233" s="71" t="n">
        <f aca="false">IF(电梯资料!$C233="",0,IF(OR(电梯资料!$AA233&lt;&gt;"",电梯资料!$AB233&lt;&gt;""),1,0))</f>
        <v>0</v>
      </c>
      <c r="E233" s="71" t="n">
        <f aca="false">SUM($D$5:$D233)</f>
        <v>5</v>
      </c>
      <c r="G233" s="71" t="n">
        <f aca="false">IF(电梯资料!$C233="",0,IF(OR(电梯资料!$Y233="安装免保",电梯资料!$Y233="技术免保",电梯资料!$Y233="质保期内"),1,0))</f>
        <v>0</v>
      </c>
      <c r="H233" s="71" t="n">
        <f aca="false">SUM($G$5:$G233)</f>
        <v>4</v>
      </c>
      <c r="J233" s="71" t="n">
        <f aca="false">IF(应收对账!$Y233="",0,IF(应收对账!$T233&gt;0.01,1,0))</f>
        <v>0</v>
      </c>
      <c r="K233" s="71" t="n">
        <f aca="false">SUM($J$5:$J233)</f>
        <v>8</v>
      </c>
    </row>
    <row r="234" customFormat="false" ht="15" hidden="false" customHeight="false" outlineLevel="0" collapsed="false">
      <c r="A234" s="71" t="n">
        <f aca="false">IF(维保合同!$C234="",0,IF(OR(维保合同!$Q234&lt;&gt;"",维保合同!$R234&lt;&gt;""),1,0))</f>
        <v>0</v>
      </c>
      <c r="B234" s="71" t="n">
        <f aca="false">SUM($A$5:$A234)</f>
        <v>5</v>
      </c>
      <c r="D234" s="71" t="n">
        <f aca="false">IF(电梯资料!$C234="",0,IF(OR(电梯资料!$AA234&lt;&gt;"",电梯资料!$AB234&lt;&gt;""),1,0))</f>
        <v>0</v>
      </c>
      <c r="E234" s="71" t="n">
        <f aca="false">SUM($D$5:$D234)</f>
        <v>5</v>
      </c>
      <c r="G234" s="71" t="n">
        <f aca="false">IF(电梯资料!$C234="",0,IF(OR(电梯资料!$Y234="安装免保",电梯资料!$Y234="技术免保",电梯资料!$Y234="质保期内"),1,0))</f>
        <v>0</v>
      </c>
      <c r="H234" s="71" t="n">
        <f aca="false">SUM($G$5:$G234)</f>
        <v>4</v>
      </c>
      <c r="J234" s="71" t="n">
        <f aca="false">IF(应收对账!$Y234="",0,IF(应收对账!$T234&gt;0.01,1,0))</f>
        <v>0</v>
      </c>
      <c r="K234" s="71" t="n">
        <f aca="false">SUM($J$5:$J234)</f>
        <v>8</v>
      </c>
    </row>
    <row r="235" customFormat="false" ht="15" hidden="false" customHeight="false" outlineLevel="0" collapsed="false">
      <c r="A235" s="71" t="n">
        <f aca="false">IF(维保合同!$C235="",0,IF(OR(维保合同!$Q235&lt;&gt;"",维保合同!$R235&lt;&gt;""),1,0))</f>
        <v>0</v>
      </c>
      <c r="B235" s="71" t="n">
        <f aca="false">SUM($A$5:$A235)</f>
        <v>5</v>
      </c>
      <c r="D235" s="71" t="n">
        <f aca="false">IF(电梯资料!$C235="",0,IF(OR(电梯资料!$AA235&lt;&gt;"",电梯资料!$AB235&lt;&gt;""),1,0))</f>
        <v>0</v>
      </c>
      <c r="E235" s="71" t="n">
        <f aca="false">SUM($D$5:$D235)</f>
        <v>5</v>
      </c>
      <c r="G235" s="71" t="n">
        <f aca="false">IF(电梯资料!$C235="",0,IF(OR(电梯资料!$Y235="安装免保",电梯资料!$Y235="技术免保",电梯资料!$Y235="质保期内"),1,0))</f>
        <v>0</v>
      </c>
      <c r="H235" s="71" t="n">
        <f aca="false">SUM($G$5:$G235)</f>
        <v>4</v>
      </c>
      <c r="J235" s="71" t="n">
        <f aca="false">IF(应收对账!$Y235="",0,IF(应收对账!$T235&gt;0.01,1,0))</f>
        <v>0</v>
      </c>
      <c r="K235" s="71" t="n">
        <f aca="false">SUM($J$5:$J235)</f>
        <v>8</v>
      </c>
    </row>
    <row r="236" customFormat="false" ht="15" hidden="false" customHeight="false" outlineLevel="0" collapsed="false">
      <c r="A236" s="71" t="n">
        <f aca="false">IF(维保合同!$C236="",0,IF(OR(维保合同!$Q236&lt;&gt;"",维保合同!$R236&lt;&gt;""),1,0))</f>
        <v>0</v>
      </c>
      <c r="B236" s="71" t="n">
        <f aca="false">SUM($A$5:$A236)</f>
        <v>5</v>
      </c>
      <c r="D236" s="71" t="n">
        <f aca="false">IF(电梯资料!$C236="",0,IF(OR(电梯资料!$AA236&lt;&gt;"",电梯资料!$AB236&lt;&gt;""),1,0))</f>
        <v>0</v>
      </c>
      <c r="E236" s="71" t="n">
        <f aca="false">SUM($D$5:$D236)</f>
        <v>5</v>
      </c>
      <c r="G236" s="71" t="n">
        <f aca="false">IF(电梯资料!$C236="",0,IF(OR(电梯资料!$Y236="安装免保",电梯资料!$Y236="技术免保",电梯资料!$Y236="质保期内"),1,0))</f>
        <v>0</v>
      </c>
      <c r="H236" s="71" t="n">
        <f aca="false">SUM($G$5:$G236)</f>
        <v>4</v>
      </c>
      <c r="J236" s="71" t="n">
        <f aca="false">IF(应收对账!$Y236="",0,IF(应收对账!$T236&gt;0.01,1,0))</f>
        <v>0</v>
      </c>
      <c r="K236" s="71" t="n">
        <f aca="false">SUM($J$5:$J236)</f>
        <v>8</v>
      </c>
    </row>
    <row r="237" customFormat="false" ht="15" hidden="false" customHeight="false" outlineLevel="0" collapsed="false">
      <c r="A237" s="71" t="n">
        <f aca="false">IF(维保合同!$C237="",0,IF(OR(维保合同!$Q237&lt;&gt;"",维保合同!$R237&lt;&gt;""),1,0))</f>
        <v>0</v>
      </c>
      <c r="B237" s="71" t="n">
        <f aca="false">SUM($A$5:$A237)</f>
        <v>5</v>
      </c>
      <c r="D237" s="71" t="n">
        <f aca="false">IF(电梯资料!$C237="",0,IF(OR(电梯资料!$AA237&lt;&gt;"",电梯资料!$AB237&lt;&gt;""),1,0))</f>
        <v>0</v>
      </c>
      <c r="E237" s="71" t="n">
        <f aca="false">SUM($D$5:$D237)</f>
        <v>5</v>
      </c>
      <c r="G237" s="71" t="n">
        <f aca="false">IF(电梯资料!$C237="",0,IF(OR(电梯资料!$Y237="安装免保",电梯资料!$Y237="技术免保",电梯资料!$Y237="质保期内"),1,0))</f>
        <v>0</v>
      </c>
      <c r="H237" s="71" t="n">
        <f aca="false">SUM($G$5:$G237)</f>
        <v>4</v>
      </c>
      <c r="J237" s="71" t="n">
        <f aca="false">IF(应收对账!$Y237="",0,IF(应收对账!$T237&gt;0.01,1,0))</f>
        <v>0</v>
      </c>
      <c r="K237" s="71" t="n">
        <f aca="false">SUM($J$5:$J237)</f>
        <v>8</v>
      </c>
    </row>
    <row r="238" customFormat="false" ht="15" hidden="false" customHeight="false" outlineLevel="0" collapsed="false">
      <c r="A238" s="71" t="n">
        <f aca="false">IF(维保合同!$C238="",0,IF(OR(维保合同!$Q238&lt;&gt;"",维保合同!$R238&lt;&gt;""),1,0))</f>
        <v>0</v>
      </c>
      <c r="B238" s="71" t="n">
        <f aca="false">SUM($A$5:$A238)</f>
        <v>5</v>
      </c>
      <c r="D238" s="71" t="n">
        <f aca="false">IF(电梯资料!$C238="",0,IF(OR(电梯资料!$AA238&lt;&gt;"",电梯资料!$AB238&lt;&gt;""),1,0))</f>
        <v>0</v>
      </c>
      <c r="E238" s="71" t="n">
        <f aca="false">SUM($D$5:$D238)</f>
        <v>5</v>
      </c>
      <c r="G238" s="71" t="n">
        <f aca="false">IF(电梯资料!$C238="",0,IF(OR(电梯资料!$Y238="安装免保",电梯资料!$Y238="技术免保",电梯资料!$Y238="质保期内"),1,0))</f>
        <v>0</v>
      </c>
      <c r="H238" s="71" t="n">
        <f aca="false">SUM($G$5:$G238)</f>
        <v>4</v>
      </c>
      <c r="J238" s="71" t="n">
        <f aca="false">IF(应收对账!$Y238="",0,IF(应收对账!$T238&gt;0.01,1,0))</f>
        <v>0</v>
      </c>
      <c r="K238" s="71" t="n">
        <f aca="false">SUM($J$5:$J238)</f>
        <v>8</v>
      </c>
    </row>
    <row r="239" customFormat="false" ht="15" hidden="false" customHeight="false" outlineLevel="0" collapsed="false">
      <c r="A239" s="71" t="n">
        <f aca="false">IF(维保合同!$C239="",0,IF(OR(维保合同!$Q239&lt;&gt;"",维保合同!$R239&lt;&gt;""),1,0))</f>
        <v>0</v>
      </c>
      <c r="B239" s="71" t="n">
        <f aca="false">SUM($A$5:$A239)</f>
        <v>5</v>
      </c>
      <c r="D239" s="71" t="n">
        <f aca="false">IF(电梯资料!$C239="",0,IF(OR(电梯资料!$AA239&lt;&gt;"",电梯资料!$AB239&lt;&gt;""),1,0))</f>
        <v>0</v>
      </c>
      <c r="E239" s="71" t="n">
        <f aca="false">SUM($D$5:$D239)</f>
        <v>5</v>
      </c>
      <c r="G239" s="71" t="n">
        <f aca="false">IF(电梯资料!$C239="",0,IF(OR(电梯资料!$Y239="安装免保",电梯资料!$Y239="技术免保",电梯资料!$Y239="质保期内"),1,0))</f>
        <v>0</v>
      </c>
      <c r="H239" s="71" t="n">
        <f aca="false">SUM($G$5:$G239)</f>
        <v>4</v>
      </c>
      <c r="J239" s="71" t="n">
        <f aca="false">IF(应收对账!$Y239="",0,IF(应收对账!$T239&gt;0.01,1,0))</f>
        <v>0</v>
      </c>
      <c r="K239" s="71" t="n">
        <f aca="false">SUM($J$5:$J239)</f>
        <v>8</v>
      </c>
    </row>
    <row r="240" customFormat="false" ht="15" hidden="false" customHeight="false" outlineLevel="0" collapsed="false">
      <c r="A240" s="71" t="n">
        <f aca="false">IF(维保合同!$C240="",0,IF(OR(维保合同!$Q240&lt;&gt;"",维保合同!$R240&lt;&gt;""),1,0))</f>
        <v>0</v>
      </c>
      <c r="B240" s="71" t="n">
        <f aca="false">SUM($A$5:$A240)</f>
        <v>5</v>
      </c>
      <c r="D240" s="71" t="n">
        <f aca="false">IF(电梯资料!$C240="",0,IF(OR(电梯资料!$AA240&lt;&gt;"",电梯资料!$AB240&lt;&gt;""),1,0))</f>
        <v>0</v>
      </c>
      <c r="E240" s="71" t="n">
        <f aca="false">SUM($D$5:$D240)</f>
        <v>5</v>
      </c>
      <c r="G240" s="71" t="n">
        <f aca="false">IF(电梯资料!$C240="",0,IF(OR(电梯资料!$Y240="安装免保",电梯资料!$Y240="技术免保",电梯资料!$Y240="质保期内"),1,0))</f>
        <v>0</v>
      </c>
      <c r="H240" s="71" t="n">
        <f aca="false">SUM($G$5:$G240)</f>
        <v>4</v>
      </c>
      <c r="J240" s="71" t="n">
        <f aca="false">IF(应收对账!$Y240="",0,IF(应收对账!$T240&gt;0.01,1,0))</f>
        <v>0</v>
      </c>
      <c r="K240" s="71" t="n">
        <f aca="false">SUM($J$5:$J240)</f>
        <v>8</v>
      </c>
    </row>
    <row r="241" customFormat="false" ht="15" hidden="false" customHeight="false" outlineLevel="0" collapsed="false">
      <c r="A241" s="71" t="n">
        <f aca="false">IF(维保合同!$C241="",0,IF(OR(维保合同!$Q241&lt;&gt;"",维保合同!$R241&lt;&gt;""),1,0))</f>
        <v>0</v>
      </c>
      <c r="B241" s="71" t="n">
        <f aca="false">SUM($A$5:$A241)</f>
        <v>5</v>
      </c>
      <c r="D241" s="71" t="n">
        <f aca="false">IF(电梯资料!$C241="",0,IF(OR(电梯资料!$AA241&lt;&gt;"",电梯资料!$AB241&lt;&gt;""),1,0))</f>
        <v>0</v>
      </c>
      <c r="E241" s="71" t="n">
        <f aca="false">SUM($D$5:$D241)</f>
        <v>5</v>
      </c>
      <c r="G241" s="71" t="n">
        <f aca="false">IF(电梯资料!$C241="",0,IF(OR(电梯资料!$Y241="安装免保",电梯资料!$Y241="技术免保",电梯资料!$Y241="质保期内"),1,0))</f>
        <v>0</v>
      </c>
      <c r="H241" s="71" t="n">
        <f aca="false">SUM($G$5:$G241)</f>
        <v>4</v>
      </c>
      <c r="J241" s="71" t="n">
        <f aca="false">IF(应收对账!$Y241="",0,IF(应收对账!$T241&gt;0.01,1,0))</f>
        <v>0</v>
      </c>
      <c r="K241" s="71" t="n">
        <f aca="false">SUM($J$5:$J241)</f>
        <v>8</v>
      </c>
    </row>
    <row r="242" customFormat="false" ht="15" hidden="false" customHeight="false" outlineLevel="0" collapsed="false">
      <c r="A242" s="71" t="n">
        <f aca="false">IF(维保合同!$C242="",0,IF(OR(维保合同!$Q242&lt;&gt;"",维保合同!$R242&lt;&gt;""),1,0))</f>
        <v>0</v>
      </c>
      <c r="B242" s="71" t="n">
        <f aca="false">SUM($A$5:$A242)</f>
        <v>5</v>
      </c>
      <c r="D242" s="71" t="n">
        <f aca="false">IF(电梯资料!$C242="",0,IF(OR(电梯资料!$AA242&lt;&gt;"",电梯资料!$AB242&lt;&gt;""),1,0))</f>
        <v>0</v>
      </c>
      <c r="E242" s="71" t="n">
        <f aca="false">SUM($D$5:$D242)</f>
        <v>5</v>
      </c>
      <c r="G242" s="71" t="n">
        <f aca="false">IF(电梯资料!$C242="",0,IF(OR(电梯资料!$Y242="安装免保",电梯资料!$Y242="技术免保",电梯资料!$Y242="质保期内"),1,0))</f>
        <v>0</v>
      </c>
      <c r="H242" s="71" t="n">
        <f aca="false">SUM($G$5:$G242)</f>
        <v>4</v>
      </c>
      <c r="J242" s="71" t="n">
        <f aca="false">IF(应收对账!$Y242="",0,IF(应收对账!$T242&gt;0.01,1,0))</f>
        <v>0</v>
      </c>
      <c r="K242" s="71" t="n">
        <f aca="false">SUM($J$5:$J242)</f>
        <v>8</v>
      </c>
    </row>
    <row r="243" customFormat="false" ht="15" hidden="false" customHeight="false" outlineLevel="0" collapsed="false">
      <c r="A243" s="71" t="n">
        <f aca="false">IF(维保合同!$C243="",0,IF(OR(维保合同!$Q243&lt;&gt;"",维保合同!$R243&lt;&gt;""),1,0))</f>
        <v>0</v>
      </c>
      <c r="B243" s="71" t="n">
        <f aca="false">SUM($A$5:$A243)</f>
        <v>5</v>
      </c>
      <c r="D243" s="71" t="n">
        <f aca="false">IF(电梯资料!$C243="",0,IF(OR(电梯资料!$AA243&lt;&gt;"",电梯资料!$AB243&lt;&gt;""),1,0))</f>
        <v>0</v>
      </c>
      <c r="E243" s="71" t="n">
        <f aca="false">SUM($D$5:$D243)</f>
        <v>5</v>
      </c>
      <c r="G243" s="71" t="n">
        <f aca="false">IF(电梯资料!$C243="",0,IF(OR(电梯资料!$Y243="安装免保",电梯资料!$Y243="技术免保",电梯资料!$Y243="质保期内"),1,0))</f>
        <v>0</v>
      </c>
      <c r="H243" s="71" t="n">
        <f aca="false">SUM($G$5:$G243)</f>
        <v>4</v>
      </c>
      <c r="J243" s="71" t="n">
        <f aca="false">IF(应收对账!$Y243="",0,IF(应收对账!$T243&gt;0.01,1,0))</f>
        <v>0</v>
      </c>
      <c r="K243" s="71" t="n">
        <f aca="false">SUM($J$5:$J243)</f>
        <v>8</v>
      </c>
    </row>
    <row r="244" customFormat="false" ht="15" hidden="false" customHeight="false" outlineLevel="0" collapsed="false">
      <c r="A244" s="71" t="n">
        <f aca="false">IF(维保合同!$C244="",0,IF(OR(维保合同!$Q244&lt;&gt;"",维保合同!$R244&lt;&gt;""),1,0))</f>
        <v>0</v>
      </c>
      <c r="B244" s="71" t="n">
        <f aca="false">SUM($A$5:$A244)</f>
        <v>5</v>
      </c>
      <c r="D244" s="71" t="n">
        <f aca="false">IF(电梯资料!$C244="",0,IF(OR(电梯资料!$AA244&lt;&gt;"",电梯资料!$AB244&lt;&gt;""),1,0))</f>
        <v>0</v>
      </c>
      <c r="E244" s="71" t="n">
        <f aca="false">SUM($D$5:$D244)</f>
        <v>5</v>
      </c>
      <c r="G244" s="71" t="n">
        <f aca="false">IF(电梯资料!$C244="",0,IF(OR(电梯资料!$Y244="安装免保",电梯资料!$Y244="技术免保",电梯资料!$Y244="质保期内"),1,0))</f>
        <v>0</v>
      </c>
      <c r="H244" s="71" t="n">
        <f aca="false">SUM($G$5:$G244)</f>
        <v>4</v>
      </c>
      <c r="J244" s="71" t="n">
        <f aca="false">IF(应收对账!$Y244="",0,IF(应收对账!$T244&gt;0.01,1,0))</f>
        <v>0</v>
      </c>
      <c r="K244" s="71" t="n">
        <f aca="false">SUM($J$5:$J244)</f>
        <v>8</v>
      </c>
    </row>
    <row r="245" customFormat="false" ht="15" hidden="false" customHeight="false" outlineLevel="0" collapsed="false">
      <c r="A245" s="71" t="n">
        <f aca="false">IF(维保合同!$C245="",0,IF(OR(维保合同!$Q245&lt;&gt;"",维保合同!$R245&lt;&gt;""),1,0))</f>
        <v>0</v>
      </c>
      <c r="B245" s="71" t="n">
        <f aca="false">SUM($A$5:$A245)</f>
        <v>5</v>
      </c>
      <c r="D245" s="71" t="n">
        <f aca="false">IF(电梯资料!$C245="",0,IF(OR(电梯资料!$AA245&lt;&gt;"",电梯资料!$AB245&lt;&gt;""),1,0))</f>
        <v>0</v>
      </c>
      <c r="E245" s="71" t="n">
        <f aca="false">SUM($D$5:$D245)</f>
        <v>5</v>
      </c>
      <c r="G245" s="71" t="n">
        <f aca="false">IF(电梯资料!$C245="",0,IF(OR(电梯资料!$Y245="安装免保",电梯资料!$Y245="技术免保",电梯资料!$Y245="质保期内"),1,0))</f>
        <v>0</v>
      </c>
      <c r="H245" s="71" t="n">
        <f aca="false">SUM($G$5:$G245)</f>
        <v>4</v>
      </c>
      <c r="J245" s="71" t="n">
        <f aca="false">IF(应收对账!$Y245="",0,IF(应收对账!$T245&gt;0.01,1,0))</f>
        <v>0</v>
      </c>
      <c r="K245" s="71" t="n">
        <f aca="false">SUM($J$5:$J245)</f>
        <v>8</v>
      </c>
    </row>
    <row r="246" customFormat="false" ht="15" hidden="false" customHeight="false" outlineLevel="0" collapsed="false">
      <c r="A246" s="71" t="n">
        <f aca="false">IF(维保合同!$C246="",0,IF(OR(维保合同!$Q246&lt;&gt;"",维保合同!$R246&lt;&gt;""),1,0))</f>
        <v>0</v>
      </c>
      <c r="B246" s="71" t="n">
        <f aca="false">SUM($A$5:$A246)</f>
        <v>5</v>
      </c>
      <c r="D246" s="71" t="n">
        <f aca="false">IF(电梯资料!$C246="",0,IF(OR(电梯资料!$AA246&lt;&gt;"",电梯资料!$AB246&lt;&gt;""),1,0))</f>
        <v>0</v>
      </c>
      <c r="E246" s="71" t="n">
        <f aca="false">SUM($D$5:$D246)</f>
        <v>5</v>
      </c>
      <c r="G246" s="71" t="n">
        <f aca="false">IF(电梯资料!$C246="",0,IF(OR(电梯资料!$Y246="安装免保",电梯资料!$Y246="技术免保",电梯资料!$Y246="质保期内"),1,0))</f>
        <v>0</v>
      </c>
      <c r="H246" s="71" t="n">
        <f aca="false">SUM($G$5:$G246)</f>
        <v>4</v>
      </c>
      <c r="J246" s="71" t="n">
        <f aca="false">IF(应收对账!$Y246="",0,IF(应收对账!$T246&gt;0.01,1,0))</f>
        <v>0</v>
      </c>
      <c r="K246" s="71" t="n">
        <f aca="false">SUM($J$5:$J246)</f>
        <v>8</v>
      </c>
    </row>
    <row r="247" customFormat="false" ht="15" hidden="false" customHeight="false" outlineLevel="0" collapsed="false">
      <c r="A247" s="71" t="n">
        <f aca="false">IF(维保合同!$C247="",0,IF(OR(维保合同!$Q247&lt;&gt;"",维保合同!$R247&lt;&gt;""),1,0))</f>
        <v>0</v>
      </c>
      <c r="B247" s="71" t="n">
        <f aca="false">SUM($A$5:$A247)</f>
        <v>5</v>
      </c>
      <c r="D247" s="71" t="n">
        <f aca="false">IF(电梯资料!$C247="",0,IF(OR(电梯资料!$AA247&lt;&gt;"",电梯资料!$AB247&lt;&gt;""),1,0))</f>
        <v>0</v>
      </c>
      <c r="E247" s="71" t="n">
        <f aca="false">SUM($D$5:$D247)</f>
        <v>5</v>
      </c>
      <c r="G247" s="71" t="n">
        <f aca="false">IF(电梯资料!$C247="",0,IF(OR(电梯资料!$Y247="安装免保",电梯资料!$Y247="技术免保",电梯资料!$Y247="质保期内"),1,0))</f>
        <v>0</v>
      </c>
      <c r="H247" s="71" t="n">
        <f aca="false">SUM($G$5:$G247)</f>
        <v>4</v>
      </c>
      <c r="J247" s="71" t="n">
        <f aca="false">IF(应收对账!$Y247="",0,IF(应收对账!$T247&gt;0.01,1,0))</f>
        <v>0</v>
      </c>
      <c r="K247" s="71" t="n">
        <f aca="false">SUM($J$5:$J247)</f>
        <v>8</v>
      </c>
    </row>
    <row r="248" customFormat="false" ht="15" hidden="false" customHeight="false" outlineLevel="0" collapsed="false">
      <c r="A248" s="71" t="n">
        <f aca="false">IF(维保合同!$C248="",0,IF(OR(维保合同!$Q248&lt;&gt;"",维保合同!$R248&lt;&gt;""),1,0))</f>
        <v>0</v>
      </c>
      <c r="B248" s="71" t="n">
        <f aca="false">SUM($A$5:$A248)</f>
        <v>5</v>
      </c>
      <c r="D248" s="71" t="n">
        <f aca="false">IF(电梯资料!$C248="",0,IF(OR(电梯资料!$AA248&lt;&gt;"",电梯资料!$AB248&lt;&gt;""),1,0))</f>
        <v>0</v>
      </c>
      <c r="E248" s="71" t="n">
        <f aca="false">SUM($D$5:$D248)</f>
        <v>5</v>
      </c>
      <c r="G248" s="71" t="n">
        <f aca="false">IF(电梯资料!$C248="",0,IF(OR(电梯资料!$Y248="安装免保",电梯资料!$Y248="技术免保",电梯资料!$Y248="质保期内"),1,0))</f>
        <v>0</v>
      </c>
      <c r="H248" s="71" t="n">
        <f aca="false">SUM($G$5:$G248)</f>
        <v>4</v>
      </c>
      <c r="J248" s="71" t="n">
        <f aca="false">IF(应收对账!$Y248="",0,IF(应收对账!$T248&gt;0.01,1,0))</f>
        <v>0</v>
      </c>
      <c r="K248" s="71" t="n">
        <f aca="false">SUM($J$5:$J248)</f>
        <v>8</v>
      </c>
    </row>
    <row r="249" customFormat="false" ht="15" hidden="false" customHeight="false" outlineLevel="0" collapsed="false">
      <c r="A249" s="71" t="n">
        <f aca="false">IF(维保合同!$C249="",0,IF(OR(维保合同!$Q249&lt;&gt;"",维保合同!$R249&lt;&gt;""),1,0))</f>
        <v>0</v>
      </c>
      <c r="B249" s="71" t="n">
        <f aca="false">SUM($A$5:$A249)</f>
        <v>5</v>
      </c>
      <c r="D249" s="71" t="n">
        <f aca="false">IF(电梯资料!$C249="",0,IF(OR(电梯资料!$AA249&lt;&gt;"",电梯资料!$AB249&lt;&gt;""),1,0))</f>
        <v>0</v>
      </c>
      <c r="E249" s="71" t="n">
        <f aca="false">SUM($D$5:$D249)</f>
        <v>5</v>
      </c>
      <c r="G249" s="71" t="n">
        <f aca="false">IF(电梯资料!$C249="",0,IF(OR(电梯资料!$Y249="安装免保",电梯资料!$Y249="技术免保",电梯资料!$Y249="质保期内"),1,0))</f>
        <v>0</v>
      </c>
      <c r="H249" s="71" t="n">
        <f aca="false">SUM($G$5:$G249)</f>
        <v>4</v>
      </c>
      <c r="J249" s="71" t="n">
        <f aca="false">IF(应收对账!$Y249="",0,IF(应收对账!$T249&gt;0.01,1,0))</f>
        <v>0</v>
      </c>
      <c r="K249" s="71" t="n">
        <f aca="false">SUM($J$5:$J249)</f>
        <v>8</v>
      </c>
    </row>
    <row r="250" customFormat="false" ht="15" hidden="false" customHeight="false" outlineLevel="0" collapsed="false">
      <c r="A250" s="71" t="n">
        <f aca="false">IF(维保合同!$C250="",0,IF(OR(维保合同!$Q250&lt;&gt;"",维保合同!$R250&lt;&gt;""),1,0))</f>
        <v>0</v>
      </c>
      <c r="B250" s="71" t="n">
        <f aca="false">SUM($A$5:$A250)</f>
        <v>5</v>
      </c>
      <c r="D250" s="71" t="n">
        <f aca="false">IF(电梯资料!$C250="",0,IF(OR(电梯资料!$AA250&lt;&gt;"",电梯资料!$AB250&lt;&gt;""),1,0))</f>
        <v>0</v>
      </c>
      <c r="E250" s="71" t="n">
        <f aca="false">SUM($D$5:$D250)</f>
        <v>5</v>
      </c>
      <c r="G250" s="71" t="n">
        <f aca="false">IF(电梯资料!$C250="",0,IF(OR(电梯资料!$Y250="安装免保",电梯资料!$Y250="技术免保",电梯资料!$Y250="质保期内"),1,0))</f>
        <v>0</v>
      </c>
      <c r="H250" s="71" t="n">
        <f aca="false">SUM($G$5:$G250)</f>
        <v>4</v>
      </c>
      <c r="J250" s="71" t="n">
        <f aca="false">IF(应收对账!$Y250="",0,IF(应收对账!$T250&gt;0.01,1,0))</f>
        <v>0</v>
      </c>
      <c r="K250" s="71" t="n">
        <f aca="false">SUM($J$5:$J250)</f>
        <v>8</v>
      </c>
    </row>
    <row r="251" customFormat="false" ht="15" hidden="false" customHeight="false" outlineLevel="0" collapsed="false">
      <c r="A251" s="71" t="n">
        <f aca="false">IF(维保合同!$C251="",0,IF(OR(维保合同!$Q251&lt;&gt;"",维保合同!$R251&lt;&gt;""),1,0))</f>
        <v>0</v>
      </c>
      <c r="B251" s="71" t="n">
        <f aca="false">SUM($A$5:$A251)</f>
        <v>5</v>
      </c>
      <c r="D251" s="71" t="n">
        <f aca="false">IF(电梯资料!$C251="",0,IF(OR(电梯资料!$AA251&lt;&gt;"",电梯资料!$AB251&lt;&gt;""),1,0))</f>
        <v>0</v>
      </c>
      <c r="E251" s="71" t="n">
        <f aca="false">SUM($D$5:$D251)</f>
        <v>5</v>
      </c>
      <c r="G251" s="71" t="n">
        <f aca="false">IF(电梯资料!$C251="",0,IF(OR(电梯资料!$Y251="安装免保",电梯资料!$Y251="技术免保",电梯资料!$Y251="质保期内"),1,0))</f>
        <v>0</v>
      </c>
      <c r="H251" s="71" t="n">
        <f aca="false">SUM($G$5:$G251)</f>
        <v>4</v>
      </c>
      <c r="J251" s="71" t="n">
        <f aca="false">IF(应收对账!$Y251="",0,IF(应收对账!$T251&gt;0.01,1,0))</f>
        <v>0</v>
      </c>
      <c r="K251" s="71" t="n">
        <f aca="false">SUM($J$5:$J251)</f>
        <v>8</v>
      </c>
    </row>
    <row r="252" customFormat="false" ht="15" hidden="false" customHeight="false" outlineLevel="0" collapsed="false">
      <c r="A252" s="71" t="n">
        <f aca="false">IF(维保合同!$C252="",0,IF(OR(维保合同!$Q252&lt;&gt;"",维保合同!$R252&lt;&gt;""),1,0))</f>
        <v>0</v>
      </c>
      <c r="B252" s="71" t="n">
        <f aca="false">SUM($A$5:$A252)</f>
        <v>5</v>
      </c>
      <c r="D252" s="71" t="n">
        <f aca="false">IF(电梯资料!$C252="",0,IF(OR(电梯资料!$AA252&lt;&gt;"",电梯资料!$AB252&lt;&gt;""),1,0))</f>
        <v>0</v>
      </c>
      <c r="E252" s="71" t="n">
        <f aca="false">SUM($D$5:$D252)</f>
        <v>5</v>
      </c>
      <c r="G252" s="71" t="n">
        <f aca="false">IF(电梯资料!$C252="",0,IF(OR(电梯资料!$Y252="安装免保",电梯资料!$Y252="技术免保",电梯资料!$Y252="质保期内"),1,0))</f>
        <v>0</v>
      </c>
      <c r="H252" s="71" t="n">
        <f aca="false">SUM($G$5:$G252)</f>
        <v>4</v>
      </c>
      <c r="J252" s="71" t="n">
        <f aca="false">IF(应收对账!$Y252="",0,IF(应收对账!$T252&gt;0.01,1,0))</f>
        <v>0</v>
      </c>
      <c r="K252" s="71" t="n">
        <f aca="false">SUM($J$5:$J252)</f>
        <v>8</v>
      </c>
    </row>
    <row r="253" customFormat="false" ht="15" hidden="false" customHeight="false" outlineLevel="0" collapsed="false">
      <c r="A253" s="71" t="n">
        <f aca="false">IF(维保合同!$C253="",0,IF(OR(维保合同!$Q253&lt;&gt;"",维保合同!$R253&lt;&gt;""),1,0))</f>
        <v>0</v>
      </c>
      <c r="B253" s="71" t="n">
        <f aca="false">SUM($A$5:$A253)</f>
        <v>5</v>
      </c>
      <c r="D253" s="71" t="n">
        <f aca="false">IF(电梯资料!$C253="",0,IF(OR(电梯资料!$AA253&lt;&gt;"",电梯资料!$AB253&lt;&gt;""),1,0))</f>
        <v>0</v>
      </c>
      <c r="E253" s="71" t="n">
        <f aca="false">SUM($D$5:$D253)</f>
        <v>5</v>
      </c>
      <c r="G253" s="71" t="n">
        <f aca="false">IF(电梯资料!$C253="",0,IF(OR(电梯资料!$Y253="安装免保",电梯资料!$Y253="技术免保",电梯资料!$Y253="质保期内"),1,0))</f>
        <v>0</v>
      </c>
      <c r="H253" s="71" t="n">
        <f aca="false">SUM($G$5:$G253)</f>
        <v>4</v>
      </c>
      <c r="J253" s="71" t="n">
        <f aca="false">IF(应收对账!$Y253="",0,IF(应收对账!$T253&gt;0.01,1,0))</f>
        <v>0</v>
      </c>
      <c r="K253" s="71" t="n">
        <f aca="false">SUM($J$5:$J253)</f>
        <v>8</v>
      </c>
    </row>
    <row r="254" customFormat="false" ht="15" hidden="false" customHeight="false" outlineLevel="0" collapsed="false">
      <c r="A254" s="71" t="n">
        <f aca="false">IF(维保合同!$C254="",0,IF(OR(维保合同!$Q254&lt;&gt;"",维保合同!$R254&lt;&gt;""),1,0))</f>
        <v>0</v>
      </c>
      <c r="B254" s="71" t="n">
        <f aca="false">SUM($A$5:$A254)</f>
        <v>5</v>
      </c>
      <c r="D254" s="71" t="n">
        <f aca="false">IF(电梯资料!$C254="",0,IF(OR(电梯资料!$AA254&lt;&gt;"",电梯资料!$AB254&lt;&gt;""),1,0))</f>
        <v>0</v>
      </c>
      <c r="E254" s="71" t="n">
        <f aca="false">SUM($D$5:$D254)</f>
        <v>5</v>
      </c>
      <c r="G254" s="71" t="n">
        <f aca="false">IF(电梯资料!$C254="",0,IF(OR(电梯资料!$Y254="安装免保",电梯资料!$Y254="技术免保",电梯资料!$Y254="质保期内"),1,0))</f>
        <v>0</v>
      </c>
      <c r="H254" s="71" t="n">
        <f aca="false">SUM($G$5:$G254)</f>
        <v>4</v>
      </c>
      <c r="J254" s="71" t="n">
        <f aca="false">IF(应收对账!$Y254="",0,IF(应收对账!$T254&gt;0.01,1,0))</f>
        <v>0</v>
      </c>
      <c r="K254" s="71" t="n">
        <f aca="false">SUM($J$5:$J254)</f>
        <v>8</v>
      </c>
    </row>
    <row r="255" customFormat="false" ht="15" hidden="false" customHeight="false" outlineLevel="0" collapsed="false">
      <c r="A255" s="71" t="n">
        <f aca="false">IF(维保合同!$C255="",0,IF(OR(维保合同!$Q255&lt;&gt;"",维保合同!$R255&lt;&gt;""),1,0))</f>
        <v>0</v>
      </c>
      <c r="B255" s="71" t="n">
        <f aca="false">SUM($A$5:$A255)</f>
        <v>5</v>
      </c>
      <c r="D255" s="71" t="n">
        <f aca="false">IF(电梯资料!$C255="",0,IF(OR(电梯资料!$AA255&lt;&gt;"",电梯资料!$AB255&lt;&gt;""),1,0))</f>
        <v>0</v>
      </c>
      <c r="E255" s="71" t="n">
        <f aca="false">SUM($D$5:$D255)</f>
        <v>5</v>
      </c>
      <c r="G255" s="71" t="n">
        <f aca="false">IF(电梯资料!$C255="",0,IF(OR(电梯资料!$Y255="安装免保",电梯资料!$Y255="技术免保",电梯资料!$Y255="质保期内"),1,0))</f>
        <v>0</v>
      </c>
      <c r="H255" s="71" t="n">
        <f aca="false">SUM($G$5:$G255)</f>
        <v>4</v>
      </c>
      <c r="J255" s="71" t="n">
        <f aca="false">IF(应收对账!$Y255="",0,IF(应收对账!$T255&gt;0.01,1,0))</f>
        <v>0</v>
      </c>
      <c r="K255" s="71" t="n">
        <f aca="false">SUM($J$5:$J255)</f>
        <v>8</v>
      </c>
    </row>
    <row r="256" customFormat="false" ht="15" hidden="false" customHeight="false" outlineLevel="0" collapsed="false">
      <c r="A256" s="71" t="n">
        <f aca="false">IF(维保合同!$C256="",0,IF(OR(维保合同!$Q256&lt;&gt;"",维保合同!$R256&lt;&gt;""),1,0))</f>
        <v>0</v>
      </c>
      <c r="B256" s="71" t="n">
        <f aca="false">SUM($A$5:$A256)</f>
        <v>5</v>
      </c>
      <c r="D256" s="71" t="n">
        <f aca="false">IF(电梯资料!$C256="",0,IF(OR(电梯资料!$AA256&lt;&gt;"",电梯资料!$AB256&lt;&gt;""),1,0))</f>
        <v>0</v>
      </c>
      <c r="E256" s="71" t="n">
        <f aca="false">SUM($D$5:$D256)</f>
        <v>5</v>
      </c>
      <c r="G256" s="71" t="n">
        <f aca="false">IF(电梯资料!$C256="",0,IF(OR(电梯资料!$Y256="安装免保",电梯资料!$Y256="技术免保",电梯资料!$Y256="质保期内"),1,0))</f>
        <v>0</v>
      </c>
      <c r="H256" s="71" t="n">
        <f aca="false">SUM($G$5:$G256)</f>
        <v>4</v>
      </c>
      <c r="J256" s="71" t="n">
        <f aca="false">IF(应收对账!$Y256="",0,IF(应收对账!$T256&gt;0.01,1,0))</f>
        <v>0</v>
      </c>
      <c r="K256" s="71" t="n">
        <f aca="false">SUM($J$5:$J256)</f>
        <v>8</v>
      </c>
    </row>
    <row r="257" customFormat="false" ht="15" hidden="false" customHeight="false" outlineLevel="0" collapsed="false">
      <c r="A257" s="71" t="n">
        <f aca="false">IF(维保合同!$C257="",0,IF(OR(维保合同!$Q257&lt;&gt;"",维保合同!$R257&lt;&gt;""),1,0))</f>
        <v>0</v>
      </c>
      <c r="B257" s="71" t="n">
        <f aca="false">SUM($A$5:$A257)</f>
        <v>5</v>
      </c>
      <c r="D257" s="71" t="n">
        <f aca="false">IF(电梯资料!$C257="",0,IF(OR(电梯资料!$AA257&lt;&gt;"",电梯资料!$AB257&lt;&gt;""),1,0))</f>
        <v>0</v>
      </c>
      <c r="E257" s="71" t="n">
        <f aca="false">SUM($D$5:$D257)</f>
        <v>5</v>
      </c>
      <c r="G257" s="71" t="n">
        <f aca="false">IF(电梯资料!$C257="",0,IF(OR(电梯资料!$Y257="安装免保",电梯资料!$Y257="技术免保",电梯资料!$Y257="质保期内"),1,0))</f>
        <v>0</v>
      </c>
      <c r="H257" s="71" t="n">
        <f aca="false">SUM($G$5:$G257)</f>
        <v>4</v>
      </c>
      <c r="J257" s="71" t="n">
        <f aca="false">IF(应收对账!$Y257="",0,IF(应收对账!$T257&gt;0.01,1,0))</f>
        <v>0</v>
      </c>
      <c r="K257" s="71" t="n">
        <f aca="false">SUM($J$5:$J257)</f>
        <v>8</v>
      </c>
    </row>
    <row r="258" customFormat="false" ht="15" hidden="false" customHeight="false" outlineLevel="0" collapsed="false">
      <c r="A258" s="71" t="n">
        <f aca="false">IF(维保合同!$C258="",0,IF(OR(维保合同!$Q258&lt;&gt;"",维保合同!$R258&lt;&gt;""),1,0))</f>
        <v>0</v>
      </c>
      <c r="B258" s="71" t="n">
        <f aca="false">SUM($A$5:$A258)</f>
        <v>5</v>
      </c>
      <c r="D258" s="71" t="n">
        <f aca="false">IF(电梯资料!$C258="",0,IF(OR(电梯资料!$AA258&lt;&gt;"",电梯资料!$AB258&lt;&gt;""),1,0))</f>
        <v>0</v>
      </c>
      <c r="E258" s="71" t="n">
        <f aca="false">SUM($D$5:$D258)</f>
        <v>5</v>
      </c>
      <c r="G258" s="71" t="n">
        <f aca="false">IF(电梯资料!$C258="",0,IF(OR(电梯资料!$Y258="安装免保",电梯资料!$Y258="技术免保",电梯资料!$Y258="质保期内"),1,0))</f>
        <v>0</v>
      </c>
      <c r="H258" s="71" t="n">
        <f aca="false">SUM($G$5:$G258)</f>
        <v>4</v>
      </c>
      <c r="J258" s="71" t="n">
        <f aca="false">IF(应收对账!$Y258="",0,IF(应收对账!$T258&gt;0.01,1,0))</f>
        <v>0</v>
      </c>
      <c r="K258" s="71" t="n">
        <f aca="false">SUM($J$5:$J258)</f>
        <v>8</v>
      </c>
    </row>
    <row r="259" customFormat="false" ht="15" hidden="false" customHeight="false" outlineLevel="0" collapsed="false">
      <c r="A259" s="71" t="n">
        <f aca="false">IF(维保合同!$C259="",0,IF(OR(维保合同!$Q259&lt;&gt;"",维保合同!$R259&lt;&gt;""),1,0))</f>
        <v>0</v>
      </c>
      <c r="B259" s="71" t="n">
        <f aca="false">SUM($A$5:$A259)</f>
        <v>5</v>
      </c>
      <c r="D259" s="71" t="n">
        <f aca="false">IF(电梯资料!$C259="",0,IF(OR(电梯资料!$AA259&lt;&gt;"",电梯资料!$AB259&lt;&gt;""),1,0))</f>
        <v>0</v>
      </c>
      <c r="E259" s="71" t="n">
        <f aca="false">SUM($D$5:$D259)</f>
        <v>5</v>
      </c>
      <c r="G259" s="71" t="n">
        <f aca="false">IF(电梯资料!$C259="",0,IF(OR(电梯资料!$Y259="安装免保",电梯资料!$Y259="技术免保",电梯资料!$Y259="质保期内"),1,0))</f>
        <v>0</v>
      </c>
      <c r="H259" s="71" t="n">
        <f aca="false">SUM($G$5:$G259)</f>
        <v>4</v>
      </c>
      <c r="J259" s="71" t="n">
        <f aca="false">IF(应收对账!$Y259="",0,IF(应收对账!$T259&gt;0.01,1,0))</f>
        <v>0</v>
      </c>
      <c r="K259" s="71" t="n">
        <f aca="false">SUM($J$5:$J259)</f>
        <v>8</v>
      </c>
    </row>
    <row r="260" customFormat="false" ht="15" hidden="false" customHeight="false" outlineLevel="0" collapsed="false">
      <c r="A260" s="71" t="n">
        <f aca="false">IF(维保合同!$C260="",0,IF(OR(维保合同!$Q260&lt;&gt;"",维保合同!$R260&lt;&gt;""),1,0))</f>
        <v>0</v>
      </c>
      <c r="B260" s="71" t="n">
        <f aca="false">SUM($A$5:$A260)</f>
        <v>5</v>
      </c>
      <c r="D260" s="71" t="n">
        <f aca="false">IF(电梯资料!$C260="",0,IF(OR(电梯资料!$AA260&lt;&gt;"",电梯资料!$AB260&lt;&gt;""),1,0))</f>
        <v>0</v>
      </c>
      <c r="E260" s="71" t="n">
        <f aca="false">SUM($D$5:$D260)</f>
        <v>5</v>
      </c>
      <c r="G260" s="71" t="n">
        <f aca="false">IF(电梯资料!$C260="",0,IF(OR(电梯资料!$Y260="安装免保",电梯资料!$Y260="技术免保",电梯资料!$Y260="质保期内"),1,0))</f>
        <v>0</v>
      </c>
      <c r="H260" s="71" t="n">
        <f aca="false">SUM($G$5:$G260)</f>
        <v>4</v>
      </c>
      <c r="J260" s="71" t="n">
        <f aca="false">IF(应收对账!$Y260="",0,IF(应收对账!$T260&gt;0.01,1,0))</f>
        <v>0</v>
      </c>
      <c r="K260" s="71" t="n">
        <f aca="false">SUM($J$5:$J260)</f>
        <v>8</v>
      </c>
    </row>
    <row r="261" customFormat="false" ht="15" hidden="false" customHeight="false" outlineLevel="0" collapsed="false">
      <c r="A261" s="71" t="n">
        <f aca="false">IF(维保合同!$C261="",0,IF(OR(维保合同!$Q261&lt;&gt;"",维保合同!$R261&lt;&gt;""),1,0))</f>
        <v>0</v>
      </c>
      <c r="B261" s="71" t="n">
        <f aca="false">SUM($A$5:$A261)</f>
        <v>5</v>
      </c>
      <c r="D261" s="71" t="n">
        <f aca="false">IF(电梯资料!$C261="",0,IF(OR(电梯资料!$AA261&lt;&gt;"",电梯资料!$AB261&lt;&gt;""),1,0))</f>
        <v>0</v>
      </c>
      <c r="E261" s="71" t="n">
        <f aca="false">SUM($D$5:$D261)</f>
        <v>5</v>
      </c>
      <c r="G261" s="71" t="n">
        <f aca="false">IF(电梯资料!$C261="",0,IF(OR(电梯资料!$Y261="安装免保",电梯资料!$Y261="技术免保",电梯资料!$Y261="质保期内"),1,0))</f>
        <v>0</v>
      </c>
      <c r="H261" s="71" t="n">
        <f aca="false">SUM($G$5:$G261)</f>
        <v>4</v>
      </c>
      <c r="J261" s="71" t="n">
        <f aca="false">IF(应收对账!$Y261="",0,IF(应收对账!$T261&gt;0.01,1,0))</f>
        <v>0</v>
      </c>
      <c r="K261" s="71" t="n">
        <f aca="false">SUM($J$5:$J261)</f>
        <v>8</v>
      </c>
    </row>
    <row r="262" customFormat="false" ht="15" hidden="false" customHeight="false" outlineLevel="0" collapsed="false">
      <c r="A262" s="71" t="n">
        <f aca="false">IF(维保合同!$C262="",0,IF(OR(维保合同!$Q262&lt;&gt;"",维保合同!$R262&lt;&gt;""),1,0))</f>
        <v>0</v>
      </c>
      <c r="B262" s="71" t="n">
        <f aca="false">SUM($A$5:$A262)</f>
        <v>5</v>
      </c>
      <c r="D262" s="71" t="n">
        <f aca="false">IF(电梯资料!$C262="",0,IF(OR(电梯资料!$AA262&lt;&gt;"",电梯资料!$AB262&lt;&gt;""),1,0))</f>
        <v>0</v>
      </c>
      <c r="E262" s="71" t="n">
        <f aca="false">SUM($D$5:$D262)</f>
        <v>5</v>
      </c>
      <c r="G262" s="71" t="n">
        <f aca="false">IF(电梯资料!$C262="",0,IF(OR(电梯资料!$Y262="安装免保",电梯资料!$Y262="技术免保",电梯资料!$Y262="质保期内"),1,0))</f>
        <v>0</v>
      </c>
      <c r="H262" s="71" t="n">
        <f aca="false">SUM($G$5:$G262)</f>
        <v>4</v>
      </c>
      <c r="J262" s="71" t="n">
        <f aca="false">IF(应收对账!$Y262="",0,IF(应收对账!$T262&gt;0.01,1,0))</f>
        <v>0</v>
      </c>
      <c r="K262" s="71" t="n">
        <f aca="false">SUM($J$5:$J262)</f>
        <v>8</v>
      </c>
    </row>
    <row r="263" customFormat="false" ht="15" hidden="false" customHeight="false" outlineLevel="0" collapsed="false">
      <c r="A263" s="71" t="n">
        <f aca="false">IF(维保合同!$C263="",0,IF(OR(维保合同!$Q263&lt;&gt;"",维保合同!$R263&lt;&gt;""),1,0))</f>
        <v>0</v>
      </c>
      <c r="B263" s="71" t="n">
        <f aca="false">SUM($A$5:$A263)</f>
        <v>5</v>
      </c>
      <c r="D263" s="71" t="n">
        <f aca="false">IF(电梯资料!$C263="",0,IF(OR(电梯资料!$AA263&lt;&gt;"",电梯资料!$AB263&lt;&gt;""),1,0))</f>
        <v>0</v>
      </c>
      <c r="E263" s="71" t="n">
        <f aca="false">SUM($D$5:$D263)</f>
        <v>5</v>
      </c>
      <c r="G263" s="71" t="n">
        <f aca="false">IF(电梯资料!$C263="",0,IF(OR(电梯资料!$Y263="安装免保",电梯资料!$Y263="技术免保",电梯资料!$Y263="质保期内"),1,0))</f>
        <v>0</v>
      </c>
      <c r="H263" s="71" t="n">
        <f aca="false">SUM($G$5:$G263)</f>
        <v>4</v>
      </c>
      <c r="J263" s="71" t="n">
        <f aca="false">IF(应收对账!$Y263="",0,IF(应收对账!$T263&gt;0.01,1,0))</f>
        <v>0</v>
      </c>
      <c r="K263" s="71" t="n">
        <f aca="false">SUM($J$5:$J263)</f>
        <v>8</v>
      </c>
    </row>
    <row r="264" customFormat="false" ht="15" hidden="false" customHeight="false" outlineLevel="0" collapsed="false">
      <c r="A264" s="71" t="n">
        <f aca="false">IF(维保合同!$C264="",0,IF(OR(维保合同!$Q264&lt;&gt;"",维保合同!$R264&lt;&gt;""),1,0))</f>
        <v>0</v>
      </c>
      <c r="B264" s="71" t="n">
        <f aca="false">SUM($A$5:$A264)</f>
        <v>5</v>
      </c>
      <c r="D264" s="71" t="n">
        <f aca="false">IF(电梯资料!$C264="",0,IF(OR(电梯资料!$AA264&lt;&gt;"",电梯资料!$AB264&lt;&gt;""),1,0))</f>
        <v>0</v>
      </c>
      <c r="E264" s="71" t="n">
        <f aca="false">SUM($D$5:$D264)</f>
        <v>5</v>
      </c>
      <c r="G264" s="71" t="n">
        <f aca="false">IF(电梯资料!$C264="",0,IF(OR(电梯资料!$Y264="安装免保",电梯资料!$Y264="技术免保",电梯资料!$Y264="质保期内"),1,0))</f>
        <v>0</v>
      </c>
      <c r="H264" s="71" t="n">
        <f aca="false">SUM($G$5:$G264)</f>
        <v>4</v>
      </c>
      <c r="J264" s="71" t="n">
        <f aca="false">IF(应收对账!$Y264="",0,IF(应收对账!$T264&gt;0.01,1,0))</f>
        <v>0</v>
      </c>
      <c r="K264" s="71" t="n">
        <f aca="false">SUM($J$5:$J264)</f>
        <v>8</v>
      </c>
    </row>
    <row r="265" customFormat="false" ht="15" hidden="false" customHeight="false" outlineLevel="0" collapsed="false">
      <c r="A265" s="71" t="n">
        <f aca="false">IF(维保合同!$C265="",0,IF(OR(维保合同!$Q265&lt;&gt;"",维保合同!$R265&lt;&gt;""),1,0))</f>
        <v>0</v>
      </c>
      <c r="B265" s="71" t="n">
        <f aca="false">SUM($A$5:$A265)</f>
        <v>5</v>
      </c>
      <c r="D265" s="71" t="n">
        <f aca="false">IF(电梯资料!$C265="",0,IF(OR(电梯资料!$AA265&lt;&gt;"",电梯资料!$AB265&lt;&gt;""),1,0))</f>
        <v>0</v>
      </c>
      <c r="E265" s="71" t="n">
        <f aca="false">SUM($D$5:$D265)</f>
        <v>5</v>
      </c>
      <c r="G265" s="71" t="n">
        <f aca="false">IF(电梯资料!$C265="",0,IF(OR(电梯资料!$Y265="安装免保",电梯资料!$Y265="技术免保",电梯资料!$Y265="质保期内"),1,0))</f>
        <v>0</v>
      </c>
      <c r="H265" s="71" t="n">
        <f aca="false">SUM($G$5:$G265)</f>
        <v>4</v>
      </c>
      <c r="J265" s="71" t="n">
        <f aca="false">IF(应收对账!$Y265="",0,IF(应收对账!$T265&gt;0.01,1,0))</f>
        <v>0</v>
      </c>
      <c r="K265" s="71" t="n">
        <f aca="false">SUM($J$5:$J265)</f>
        <v>8</v>
      </c>
    </row>
    <row r="266" customFormat="false" ht="15" hidden="false" customHeight="false" outlineLevel="0" collapsed="false">
      <c r="A266" s="71" t="n">
        <f aca="false">IF(维保合同!$C266="",0,IF(OR(维保合同!$Q266&lt;&gt;"",维保合同!$R266&lt;&gt;""),1,0))</f>
        <v>0</v>
      </c>
      <c r="B266" s="71" t="n">
        <f aca="false">SUM($A$5:$A266)</f>
        <v>5</v>
      </c>
      <c r="D266" s="71" t="n">
        <f aca="false">IF(电梯资料!$C266="",0,IF(OR(电梯资料!$AA266&lt;&gt;"",电梯资料!$AB266&lt;&gt;""),1,0))</f>
        <v>0</v>
      </c>
      <c r="E266" s="71" t="n">
        <f aca="false">SUM($D$5:$D266)</f>
        <v>5</v>
      </c>
      <c r="G266" s="71" t="n">
        <f aca="false">IF(电梯资料!$C266="",0,IF(OR(电梯资料!$Y266="安装免保",电梯资料!$Y266="技术免保",电梯资料!$Y266="质保期内"),1,0))</f>
        <v>0</v>
      </c>
      <c r="H266" s="71" t="n">
        <f aca="false">SUM($G$5:$G266)</f>
        <v>4</v>
      </c>
      <c r="J266" s="71" t="n">
        <f aca="false">IF(应收对账!$Y266="",0,IF(应收对账!$T266&gt;0.01,1,0))</f>
        <v>0</v>
      </c>
      <c r="K266" s="71" t="n">
        <f aca="false">SUM($J$5:$J266)</f>
        <v>8</v>
      </c>
    </row>
    <row r="267" customFormat="false" ht="15" hidden="false" customHeight="false" outlineLevel="0" collapsed="false">
      <c r="A267" s="71" t="n">
        <f aca="false">IF(维保合同!$C267="",0,IF(OR(维保合同!$Q267&lt;&gt;"",维保合同!$R267&lt;&gt;""),1,0))</f>
        <v>0</v>
      </c>
      <c r="B267" s="71" t="n">
        <f aca="false">SUM($A$5:$A267)</f>
        <v>5</v>
      </c>
      <c r="D267" s="71" t="n">
        <f aca="false">IF(电梯资料!$C267="",0,IF(OR(电梯资料!$AA267&lt;&gt;"",电梯资料!$AB267&lt;&gt;""),1,0))</f>
        <v>0</v>
      </c>
      <c r="E267" s="71" t="n">
        <f aca="false">SUM($D$5:$D267)</f>
        <v>5</v>
      </c>
      <c r="G267" s="71" t="n">
        <f aca="false">IF(电梯资料!$C267="",0,IF(OR(电梯资料!$Y267="安装免保",电梯资料!$Y267="技术免保",电梯资料!$Y267="质保期内"),1,0))</f>
        <v>0</v>
      </c>
      <c r="H267" s="71" t="n">
        <f aca="false">SUM($G$5:$G267)</f>
        <v>4</v>
      </c>
      <c r="J267" s="71" t="n">
        <f aca="false">IF(应收对账!$Y267="",0,IF(应收对账!$T267&gt;0.01,1,0))</f>
        <v>0</v>
      </c>
      <c r="K267" s="71" t="n">
        <f aca="false">SUM($J$5:$J267)</f>
        <v>8</v>
      </c>
    </row>
    <row r="268" customFormat="false" ht="15" hidden="false" customHeight="false" outlineLevel="0" collapsed="false">
      <c r="A268" s="71" t="n">
        <f aca="false">IF(维保合同!$C268="",0,IF(OR(维保合同!$Q268&lt;&gt;"",维保合同!$R268&lt;&gt;""),1,0))</f>
        <v>0</v>
      </c>
      <c r="B268" s="71" t="n">
        <f aca="false">SUM($A$5:$A268)</f>
        <v>5</v>
      </c>
      <c r="D268" s="71" t="n">
        <f aca="false">IF(电梯资料!$C268="",0,IF(OR(电梯资料!$AA268&lt;&gt;"",电梯资料!$AB268&lt;&gt;""),1,0))</f>
        <v>0</v>
      </c>
      <c r="E268" s="71" t="n">
        <f aca="false">SUM($D$5:$D268)</f>
        <v>5</v>
      </c>
      <c r="G268" s="71" t="n">
        <f aca="false">IF(电梯资料!$C268="",0,IF(OR(电梯资料!$Y268="安装免保",电梯资料!$Y268="技术免保",电梯资料!$Y268="质保期内"),1,0))</f>
        <v>0</v>
      </c>
      <c r="H268" s="71" t="n">
        <f aca="false">SUM($G$5:$G268)</f>
        <v>4</v>
      </c>
      <c r="J268" s="71" t="n">
        <f aca="false">IF(应收对账!$Y268="",0,IF(应收对账!$T268&gt;0.01,1,0))</f>
        <v>0</v>
      </c>
      <c r="K268" s="71" t="n">
        <f aca="false">SUM($J$5:$J268)</f>
        <v>8</v>
      </c>
    </row>
    <row r="269" customFormat="false" ht="15" hidden="false" customHeight="false" outlineLevel="0" collapsed="false">
      <c r="A269" s="71" t="n">
        <f aca="false">IF(维保合同!$C269="",0,IF(OR(维保合同!$Q269&lt;&gt;"",维保合同!$R269&lt;&gt;""),1,0))</f>
        <v>0</v>
      </c>
      <c r="B269" s="71" t="n">
        <f aca="false">SUM($A$5:$A269)</f>
        <v>5</v>
      </c>
      <c r="D269" s="71" t="n">
        <f aca="false">IF(电梯资料!$C269="",0,IF(OR(电梯资料!$AA269&lt;&gt;"",电梯资料!$AB269&lt;&gt;""),1,0))</f>
        <v>0</v>
      </c>
      <c r="E269" s="71" t="n">
        <f aca="false">SUM($D$5:$D269)</f>
        <v>5</v>
      </c>
      <c r="G269" s="71" t="n">
        <f aca="false">IF(电梯资料!$C269="",0,IF(OR(电梯资料!$Y269="安装免保",电梯资料!$Y269="技术免保",电梯资料!$Y269="质保期内"),1,0))</f>
        <v>0</v>
      </c>
      <c r="H269" s="71" t="n">
        <f aca="false">SUM($G$5:$G269)</f>
        <v>4</v>
      </c>
      <c r="J269" s="71" t="n">
        <f aca="false">IF(应收对账!$Y269="",0,IF(应收对账!$T269&gt;0.01,1,0))</f>
        <v>0</v>
      </c>
      <c r="K269" s="71" t="n">
        <f aca="false">SUM($J$5:$J269)</f>
        <v>8</v>
      </c>
    </row>
    <row r="270" customFormat="false" ht="15" hidden="false" customHeight="false" outlineLevel="0" collapsed="false">
      <c r="A270" s="71" t="n">
        <f aca="false">IF(维保合同!$C270="",0,IF(OR(维保合同!$Q270&lt;&gt;"",维保合同!$R270&lt;&gt;""),1,0))</f>
        <v>0</v>
      </c>
      <c r="B270" s="71" t="n">
        <f aca="false">SUM($A$5:$A270)</f>
        <v>5</v>
      </c>
      <c r="D270" s="71" t="n">
        <f aca="false">IF(电梯资料!$C270="",0,IF(OR(电梯资料!$AA270&lt;&gt;"",电梯资料!$AB270&lt;&gt;""),1,0))</f>
        <v>0</v>
      </c>
      <c r="E270" s="71" t="n">
        <f aca="false">SUM($D$5:$D270)</f>
        <v>5</v>
      </c>
      <c r="G270" s="71" t="n">
        <f aca="false">IF(电梯资料!$C270="",0,IF(OR(电梯资料!$Y270="安装免保",电梯资料!$Y270="技术免保",电梯资料!$Y270="质保期内"),1,0))</f>
        <v>0</v>
      </c>
      <c r="H270" s="71" t="n">
        <f aca="false">SUM($G$5:$G270)</f>
        <v>4</v>
      </c>
      <c r="J270" s="71" t="n">
        <f aca="false">IF(应收对账!$Y270="",0,IF(应收对账!$T270&gt;0.01,1,0))</f>
        <v>0</v>
      </c>
      <c r="K270" s="71" t="n">
        <f aca="false">SUM($J$5:$J270)</f>
        <v>8</v>
      </c>
    </row>
    <row r="271" customFormat="false" ht="15" hidden="false" customHeight="false" outlineLevel="0" collapsed="false">
      <c r="A271" s="71" t="n">
        <f aca="false">IF(维保合同!$C271="",0,IF(OR(维保合同!$Q271&lt;&gt;"",维保合同!$R271&lt;&gt;""),1,0))</f>
        <v>0</v>
      </c>
      <c r="B271" s="71" t="n">
        <f aca="false">SUM($A$5:$A271)</f>
        <v>5</v>
      </c>
      <c r="D271" s="71" t="n">
        <f aca="false">IF(电梯资料!$C271="",0,IF(OR(电梯资料!$AA271&lt;&gt;"",电梯资料!$AB271&lt;&gt;""),1,0))</f>
        <v>0</v>
      </c>
      <c r="E271" s="71" t="n">
        <f aca="false">SUM($D$5:$D271)</f>
        <v>5</v>
      </c>
      <c r="G271" s="71" t="n">
        <f aca="false">IF(电梯资料!$C271="",0,IF(OR(电梯资料!$Y271="安装免保",电梯资料!$Y271="技术免保",电梯资料!$Y271="质保期内"),1,0))</f>
        <v>0</v>
      </c>
      <c r="H271" s="71" t="n">
        <f aca="false">SUM($G$5:$G271)</f>
        <v>4</v>
      </c>
      <c r="J271" s="71" t="n">
        <f aca="false">IF(应收对账!$Y271="",0,IF(应收对账!$T271&gt;0.01,1,0))</f>
        <v>0</v>
      </c>
      <c r="K271" s="71" t="n">
        <f aca="false">SUM($J$5:$J271)</f>
        <v>8</v>
      </c>
    </row>
    <row r="272" customFormat="false" ht="15" hidden="false" customHeight="false" outlineLevel="0" collapsed="false">
      <c r="A272" s="71" t="n">
        <f aca="false">IF(维保合同!$C272="",0,IF(OR(维保合同!$Q272&lt;&gt;"",维保合同!$R272&lt;&gt;""),1,0))</f>
        <v>0</v>
      </c>
      <c r="B272" s="71" t="n">
        <f aca="false">SUM($A$5:$A272)</f>
        <v>5</v>
      </c>
      <c r="D272" s="71" t="n">
        <f aca="false">IF(电梯资料!$C272="",0,IF(OR(电梯资料!$AA272&lt;&gt;"",电梯资料!$AB272&lt;&gt;""),1,0))</f>
        <v>0</v>
      </c>
      <c r="E272" s="71" t="n">
        <f aca="false">SUM($D$5:$D272)</f>
        <v>5</v>
      </c>
      <c r="G272" s="71" t="n">
        <f aca="false">IF(电梯资料!$C272="",0,IF(OR(电梯资料!$Y272="安装免保",电梯资料!$Y272="技术免保",电梯资料!$Y272="质保期内"),1,0))</f>
        <v>0</v>
      </c>
      <c r="H272" s="71" t="n">
        <f aca="false">SUM($G$5:$G272)</f>
        <v>4</v>
      </c>
      <c r="J272" s="71" t="n">
        <f aca="false">IF(应收对账!$Y272="",0,IF(应收对账!$T272&gt;0.01,1,0))</f>
        <v>0</v>
      </c>
      <c r="K272" s="71" t="n">
        <f aca="false">SUM($J$5:$J272)</f>
        <v>8</v>
      </c>
    </row>
    <row r="273" customFormat="false" ht="15" hidden="false" customHeight="false" outlineLevel="0" collapsed="false">
      <c r="A273" s="71" t="n">
        <f aca="false">IF(维保合同!$C273="",0,IF(OR(维保合同!$Q273&lt;&gt;"",维保合同!$R273&lt;&gt;""),1,0))</f>
        <v>0</v>
      </c>
      <c r="B273" s="71" t="n">
        <f aca="false">SUM($A$5:$A273)</f>
        <v>5</v>
      </c>
      <c r="D273" s="71" t="n">
        <f aca="false">IF(电梯资料!$C273="",0,IF(OR(电梯资料!$AA273&lt;&gt;"",电梯资料!$AB273&lt;&gt;""),1,0))</f>
        <v>0</v>
      </c>
      <c r="E273" s="71" t="n">
        <f aca="false">SUM($D$5:$D273)</f>
        <v>5</v>
      </c>
      <c r="G273" s="71" t="n">
        <f aca="false">IF(电梯资料!$C273="",0,IF(OR(电梯资料!$Y273="安装免保",电梯资料!$Y273="技术免保",电梯资料!$Y273="质保期内"),1,0))</f>
        <v>0</v>
      </c>
      <c r="H273" s="71" t="n">
        <f aca="false">SUM($G$5:$G273)</f>
        <v>4</v>
      </c>
      <c r="J273" s="71" t="n">
        <f aca="false">IF(应收对账!$Y273="",0,IF(应收对账!$T273&gt;0.01,1,0))</f>
        <v>0</v>
      </c>
      <c r="K273" s="71" t="n">
        <f aca="false">SUM($J$5:$J273)</f>
        <v>8</v>
      </c>
    </row>
    <row r="274" customFormat="false" ht="15" hidden="false" customHeight="false" outlineLevel="0" collapsed="false">
      <c r="A274" s="71" t="n">
        <f aca="false">IF(维保合同!$C274="",0,IF(OR(维保合同!$Q274&lt;&gt;"",维保合同!$R274&lt;&gt;""),1,0))</f>
        <v>0</v>
      </c>
      <c r="B274" s="71" t="n">
        <f aca="false">SUM($A$5:$A274)</f>
        <v>5</v>
      </c>
      <c r="D274" s="71" t="n">
        <f aca="false">IF(电梯资料!$C274="",0,IF(OR(电梯资料!$AA274&lt;&gt;"",电梯资料!$AB274&lt;&gt;""),1,0))</f>
        <v>0</v>
      </c>
      <c r="E274" s="71" t="n">
        <f aca="false">SUM($D$5:$D274)</f>
        <v>5</v>
      </c>
      <c r="G274" s="71" t="n">
        <f aca="false">IF(电梯资料!$C274="",0,IF(OR(电梯资料!$Y274="安装免保",电梯资料!$Y274="技术免保",电梯资料!$Y274="质保期内"),1,0))</f>
        <v>0</v>
      </c>
      <c r="H274" s="71" t="n">
        <f aca="false">SUM($G$5:$G274)</f>
        <v>4</v>
      </c>
      <c r="J274" s="71" t="n">
        <f aca="false">IF(应收对账!$Y274="",0,IF(应收对账!$T274&gt;0.01,1,0))</f>
        <v>0</v>
      </c>
      <c r="K274" s="71" t="n">
        <f aca="false">SUM($J$5:$J274)</f>
        <v>8</v>
      </c>
    </row>
    <row r="275" customFormat="false" ht="15" hidden="false" customHeight="false" outlineLevel="0" collapsed="false">
      <c r="A275" s="71" t="n">
        <f aca="false">IF(维保合同!$C275="",0,IF(OR(维保合同!$Q275&lt;&gt;"",维保合同!$R275&lt;&gt;""),1,0))</f>
        <v>0</v>
      </c>
      <c r="B275" s="71" t="n">
        <f aca="false">SUM($A$5:$A275)</f>
        <v>5</v>
      </c>
      <c r="D275" s="71" t="n">
        <f aca="false">IF(电梯资料!$C275="",0,IF(OR(电梯资料!$AA275&lt;&gt;"",电梯资料!$AB275&lt;&gt;""),1,0))</f>
        <v>0</v>
      </c>
      <c r="E275" s="71" t="n">
        <f aca="false">SUM($D$5:$D275)</f>
        <v>5</v>
      </c>
      <c r="G275" s="71" t="n">
        <f aca="false">IF(电梯资料!$C275="",0,IF(OR(电梯资料!$Y275="安装免保",电梯资料!$Y275="技术免保",电梯资料!$Y275="质保期内"),1,0))</f>
        <v>0</v>
      </c>
      <c r="H275" s="71" t="n">
        <f aca="false">SUM($G$5:$G275)</f>
        <v>4</v>
      </c>
      <c r="J275" s="71" t="n">
        <f aca="false">IF(应收对账!$Y275="",0,IF(应收对账!$T275&gt;0.01,1,0))</f>
        <v>0</v>
      </c>
      <c r="K275" s="71" t="n">
        <f aca="false">SUM($J$5:$J275)</f>
        <v>8</v>
      </c>
    </row>
    <row r="276" customFormat="false" ht="15" hidden="false" customHeight="false" outlineLevel="0" collapsed="false">
      <c r="A276" s="71" t="n">
        <f aca="false">IF(维保合同!$C276="",0,IF(OR(维保合同!$Q276&lt;&gt;"",维保合同!$R276&lt;&gt;""),1,0))</f>
        <v>0</v>
      </c>
      <c r="B276" s="71" t="n">
        <f aca="false">SUM($A$5:$A276)</f>
        <v>5</v>
      </c>
      <c r="D276" s="71" t="n">
        <f aca="false">IF(电梯资料!$C276="",0,IF(OR(电梯资料!$AA276&lt;&gt;"",电梯资料!$AB276&lt;&gt;""),1,0))</f>
        <v>0</v>
      </c>
      <c r="E276" s="71" t="n">
        <f aca="false">SUM($D$5:$D276)</f>
        <v>5</v>
      </c>
      <c r="G276" s="71" t="n">
        <f aca="false">IF(电梯资料!$C276="",0,IF(OR(电梯资料!$Y276="安装免保",电梯资料!$Y276="技术免保",电梯资料!$Y276="质保期内"),1,0))</f>
        <v>0</v>
      </c>
      <c r="H276" s="71" t="n">
        <f aca="false">SUM($G$5:$G276)</f>
        <v>4</v>
      </c>
      <c r="J276" s="71" t="n">
        <f aca="false">IF(应收对账!$Y276="",0,IF(应收对账!$T276&gt;0.01,1,0))</f>
        <v>0</v>
      </c>
      <c r="K276" s="71" t="n">
        <f aca="false">SUM($J$5:$J276)</f>
        <v>8</v>
      </c>
    </row>
    <row r="277" customFormat="false" ht="15" hidden="false" customHeight="false" outlineLevel="0" collapsed="false">
      <c r="A277" s="71" t="n">
        <f aca="false">IF(维保合同!$C277="",0,IF(OR(维保合同!$Q277&lt;&gt;"",维保合同!$R277&lt;&gt;""),1,0))</f>
        <v>0</v>
      </c>
      <c r="B277" s="71" t="n">
        <f aca="false">SUM($A$5:$A277)</f>
        <v>5</v>
      </c>
      <c r="D277" s="71" t="n">
        <f aca="false">IF(电梯资料!$C277="",0,IF(OR(电梯资料!$AA277&lt;&gt;"",电梯资料!$AB277&lt;&gt;""),1,0))</f>
        <v>0</v>
      </c>
      <c r="E277" s="71" t="n">
        <f aca="false">SUM($D$5:$D277)</f>
        <v>5</v>
      </c>
      <c r="G277" s="71" t="n">
        <f aca="false">IF(电梯资料!$C277="",0,IF(OR(电梯资料!$Y277="安装免保",电梯资料!$Y277="技术免保",电梯资料!$Y277="质保期内"),1,0))</f>
        <v>0</v>
      </c>
      <c r="H277" s="71" t="n">
        <f aca="false">SUM($G$5:$G277)</f>
        <v>4</v>
      </c>
      <c r="J277" s="71" t="n">
        <f aca="false">IF(应收对账!$Y277="",0,IF(应收对账!$T277&gt;0.01,1,0))</f>
        <v>0</v>
      </c>
      <c r="K277" s="71" t="n">
        <f aca="false">SUM($J$5:$J277)</f>
        <v>8</v>
      </c>
    </row>
    <row r="278" customFormat="false" ht="15" hidden="false" customHeight="false" outlineLevel="0" collapsed="false">
      <c r="A278" s="71" t="n">
        <f aca="false">IF(维保合同!$C278="",0,IF(OR(维保合同!$Q278&lt;&gt;"",维保合同!$R278&lt;&gt;""),1,0))</f>
        <v>0</v>
      </c>
      <c r="B278" s="71" t="n">
        <f aca="false">SUM($A$5:$A278)</f>
        <v>5</v>
      </c>
      <c r="D278" s="71" t="n">
        <f aca="false">IF(电梯资料!$C278="",0,IF(OR(电梯资料!$AA278&lt;&gt;"",电梯资料!$AB278&lt;&gt;""),1,0))</f>
        <v>0</v>
      </c>
      <c r="E278" s="71" t="n">
        <f aca="false">SUM($D$5:$D278)</f>
        <v>5</v>
      </c>
      <c r="G278" s="71" t="n">
        <f aca="false">IF(电梯资料!$C278="",0,IF(OR(电梯资料!$Y278="安装免保",电梯资料!$Y278="技术免保",电梯资料!$Y278="质保期内"),1,0))</f>
        <v>0</v>
      </c>
      <c r="H278" s="71" t="n">
        <f aca="false">SUM($G$5:$G278)</f>
        <v>4</v>
      </c>
      <c r="J278" s="71" t="n">
        <f aca="false">IF(应收对账!$Y278="",0,IF(应收对账!$T278&gt;0.01,1,0))</f>
        <v>0</v>
      </c>
      <c r="K278" s="71" t="n">
        <f aca="false">SUM($J$5:$J278)</f>
        <v>8</v>
      </c>
    </row>
    <row r="279" customFormat="false" ht="15" hidden="false" customHeight="false" outlineLevel="0" collapsed="false">
      <c r="A279" s="71" t="n">
        <f aca="false">IF(维保合同!$C279="",0,IF(OR(维保合同!$Q279&lt;&gt;"",维保合同!$R279&lt;&gt;""),1,0))</f>
        <v>0</v>
      </c>
      <c r="B279" s="71" t="n">
        <f aca="false">SUM($A$5:$A279)</f>
        <v>5</v>
      </c>
      <c r="D279" s="71" t="n">
        <f aca="false">IF(电梯资料!$C279="",0,IF(OR(电梯资料!$AA279&lt;&gt;"",电梯资料!$AB279&lt;&gt;""),1,0))</f>
        <v>0</v>
      </c>
      <c r="E279" s="71" t="n">
        <f aca="false">SUM($D$5:$D279)</f>
        <v>5</v>
      </c>
      <c r="G279" s="71" t="n">
        <f aca="false">IF(电梯资料!$C279="",0,IF(OR(电梯资料!$Y279="安装免保",电梯资料!$Y279="技术免保",电梯资料!$Y279="质保期内"),1,0))</f>
        <v>0</v>
      </c>
      <c r="H279" s="71" t="n">
        <f aca="false">SUM($G$5:$G279)</f>
        <v>4</v>
      </c>
      <c r="J279" s="71" t="n">
        <f aca="false">IF(应收对账!$Y279="",0,IF(应收对账!$T279&gt;0.01,1,0))</f>
        <v>0</v>
      </c>
      <c r="K279" s="71" t="n">
        <f aca="false">SUM($J$5:$J279)</f>
        <v>8</v>
      </c>
    </row>
    <row r="280" customFormat="false" ht="15" hidden="false" customHeight="false" outlineLevel="0" collapsed="false">
      <c r="A280" s="71" t="n">
        <f aca="false">IF(维保合同!$C280="",0,IF(OR(维保合同!$Q280&lt;&gt;"",维保合同!$R280&lt;&gt;""),1,0))</f>
        <v>0</v>
      </c>
      <c r="B280" s="71" t="n">
        <f aca="false">SUM($A$5:$A280)</f>
        <v>5</v>
      </c>
      <c r="D280" s="71" t="n">
        <f aca="false">IF(电梯资料!$C280="",0,IF(OR(电梯资料!$AA280&lt;&gt;"",电梯资料!$AB280&lt;&gt;""),1,0))</f>
        <v>0</v>
      </c>
      <c r="E280" s="71" t="n">
        <f aca="false">SUM($D$5:$D280)</f>
        <v>5</v>
      </c>
      <c r="G280" s="71" t="n">
        <f aca="false">IF(电梯资料!$C280="",0,IF(OR(电梯资料!$Y280="安装免保",电梯资料!$Y280="技术免保",电梯资料!$Y280="质保期内"),1,0))</f>
        <v>0</v>
      </c>
      <c r="H280" s="71" t="n">
        <f aca="false">SUM($G$5:$G280)</f>
        <v>4</v>
      </c>
      <c r="J280" s="71" t="n">
        <f aca="false">IF(应收对账!$Y280="",0,IF(应收对账!$T280&gt;0.01,1,0))</f>
        <v>0</v>
      </c>
      <c r="K280" s="71" t="n">
        <f aca="false">SUM($J$5:$J280)</f>
        <v>8</v>
      </c>
    </row>
    <row r="281" customFormat="false" ht="15" hidden="false" customHeight="false" outlineLevel="0" collapsed="false">
      <c r="A281" s="71" t="n">
        <f aca="false">IF(维保合同!$C281="",0,IF(OR(维保合同!$Q281&lt;&gt;"",维保合同!$R281&lt;&gt;""),1,0))</f>
        <v>0</v>
      </c>
      <c r="B281" s="71" t="n">
        <f aca="false">SUM($A$5:$A281)</f>
        <v>5</v>
      </c>
      <c r="D281" s="71" t="n">
        <f aca="false">IF(电梯资料!$C281="",0,IF(OR(电梯资料!$AA281&lt;&gt;"",电梯资料!$AB281&lt;&gt;""),1,0))</f>
        <v>0</v>
      </c>
      <c r="E281" s="71" t="n">
        <f aca="false">SUM($D$5:$D281)</f>
        <v>5</v>
      </c>
      <c r="G281" s="71" t="n">
        <f aca="false">IF(电梯资料!$C281="",0,IF(OR(电梯资料!$Y281="安装免保",电梯资料!$Y281="技术免保",电梯资料!$Y281="质保期内"),1,0))</f>
        <v>0</v>
      </c>
      <c r="H281" s="71" t="n">
        <f aca="false">SUM($G$5:$G281)</f>
        <v>4</v>
      </c>
      <c r="J281" s="71" t="n">
        <f aca="false">IF(应收对账!$Y281="",0,IF(应收对账!$T281&gt;0.01,1,0))</f>
        <v>0</v>
      </c>
      <c r="K281" s="71" t="n">
        <f aca="false">SUM($J$5:$J281)</f>
        <v>8</v>
      </c>
    </row>
    <row r="282" customFormat="false" ht="15" hidden="false" customHeight="false" outlineLevel="0" collapsed="false">
      <c r="A282" s="71" t="n">
        <f aca="false">IF(维保合同!$C282="",0,IF(OR(维保合同!$Q282&lt;&gt;"",维保合同!$R282&lt;&gt;""),1,0))</f>
        <v>0</v>
      </c>
      <c r="B282" s="71" t="n">
        <f aca="false">SUM($A$5:$A282)</f>
        <v>5</v>
      </c>
      <c r="D282" s="71" t="n">
        <f aca="false">IF(电梯资料!$C282="",0,IF(OR(电梯资料!$AA282&lt;&gt;"",电梯资料!$AB282&lt;&gt;""),1,0))</f>
        <v>0</v>
      </c>
      <c r="E282" s="71" t="n">
        <f aca="false">SUM($D$5:$D282)</f>
        <v>5</v>
      </c>
      <c r="G282" s="71" t="n">
        <f aca="false">IF(电梯资料!$C282="",0,IF(OR(电梯资料!$Y282="安装免保",电梯资料!$Y282="技术免保",电梯资料!$Y282="质保期内"),1,0))</f>
        <v>0</v>
      </c>
      <c r="H282" s="71" t="n">
        <f aca="false">SUM($G$5:$G282)</f>
        <v>4</v>
      </c>
      <c r="J282" s="71" t="n">
        <f aca="false">IF(应收对账!$Y282="",0,IF(应收对账!$T282&gt;0.01,1,0))</f>
        <v>0</v>
      </c>
      <c r="K282" s="71" t="n">
        <f aca="false">SUM($J$5:$J282)</f>
        <v>8</v>
      </c>
    </row>
    <row r="283" customFormat="false" ht="15" hidden="false" customHeight="false" outlineLevel="0" collapsed="false">
      <c r="A283" s="71" t="n">
        <f aca="false">IF(维保合同!$C283="",0,IF(OR(维保合同!$Q283&lt;&gt;"",维保合同!$R283&lt;&gt;""),1,0))</f>
        <v>0</v>
      </c>
      <c r="B283" s="71" t="n">
        <f aca="false">SUM($A$5:$A283)</f>
        <v>5</v>
      </c>
      <c r="D283" s="71" t="n">
        <f aca="false">IF(电梯资料!$C283="",0,IF(OR(电梯资料!$AA283&lt;&gt;"",电梯资料!$AB283&lt;&gt;""),1,0))</f>
        <v>0</v>
      </c>
      <c r="E283" s="71" t="n">
        <f aca="false">SUM($D$5:$D283)</f>
        <v>5</v>
      </c>
      <c r="G283" s="71" t="n">
        <f aca="false">IF(电梯资料!$C283="",0,IF(OR(电梯资料!$Y283="安装免保",电梯资料!$Y283="技术免保",电梯资料!$Y283="质保期内"),1,0))</f>
        <v>0</v>
      </c>
      <c r="H283" s="71" t="n">
        <f aca="false">SUM($G$5:$G283)</f>
        <v>4</v>
      </c>
      <c r="J283" s="71" t="n">
        <f aca="false">IF(应收对账!$Y283="",0,IF(应收对账!$T283&gt;0.01,1,0))</f>
        <v>0</v>
      </c>
      <c r="K283" s="71" t="n">
        <f aca="false">SUM($J$5:$J283)</f>
        <v>8</v>
      </c>
    </row>
    <row r="284" customFormat="false" ht="15" hidden="false" customHeight="false" outlineLevel="0" collapsed="false">
      <c r="A284" s="71" t="n">
        <f aca="false">IF(维保合同!$C284="",0,IF(OR(维保合同!$Q284&lt;&gt;"",维保合同!$R284&lt;&gt;""),1,0))</f>
        <v>0</v>
      </c>
      <c r="B284" s="71" t="n">
        <f aca="false">SUM($A$5:$A284)</f>
        <v>5</v>
      </c>
      <c r="D284" s="71" t="n">
        <f aca="false">IF(电梯资料!$C284="",0,IF(OR(电梯资料!$AA284&lt;&gt;"",电梯资料!$AB284&lt;&gt;""),1,0))</f>
        <v>0</v>
      </c>
      <c r="E284" s="71" t="n">
        <f aca="false">SUM($D$5:$D284)</f>
        <v>5</v>
      </c>
      <c r="G284" s="71" t="n">
        <f aca="false">IF(电梯资料!$C284="",0,IF(OR(电梯资料!$Y284="安装免保",电梯资料!$Y284="技术免保",电梯资料!$Y284="质保期内"),1,0))</f>
        <v>0</v>
      </c>
      <c r="H284" s="71" t="n">
        <f aca="false">SUM($G$5:$G284)</f>
        <v>4</v>
      </c>
      <c r="J284" s="71" t="n">
        <f aca="false">IF(应收对账!$Y284="",0,IF(应收对账!$T284&gt;0.01,1,0))</f>
        <v>0</v>
      </c>
      <c r="K284" s="71" t="n">
        <f aca="false">SUM($J$5:$J284)</f>
        <v>8</v>
      </c>
    </row>
    <row r="285" customFormat="false" ht="15" hidden="false" customHeight="false" outlineLevel="0" collapsed="false">
      <c r="A285" s="71" t="n">
        <f aca="false">IF(维保合同!$C285="",0,IF(OR(维保合同!$Q285&lt;&gt;"",维保合同!$R285&lt;&gt;""),1,0))</f>
        <v>0</v>
      </c>
      <c r="B285" s="71" t="n">
        <f aca="false">SUM($A$5:$A285)</f>
        <v>5</v>
      </c>
      <c r="D285" s="71" t="n">
        <f aca="false">IF(电梯资料!$C285="",0,IF(OR(电梯资料!$AA285&lt;&gt;"",电梯资料!$AB285&lt;&gt;""),1,0))</f>
        <v>0</v>
      </c>
      <c r="E285" s="71" t="n">
        <f aca="false">SUM($D$5:$D285)</f>
        <v>5</v>
      </c>
      <c r="G285" s="71" t="n">
        <f aca="false">IF(电梯资料!$C285="",0,IF(OR(电梯资料!$Y285="安装免保",电梯资料!$Y285="技术免保",电梯资料!$Y285="质保期内"),1,0))</f>
        <v>0</v>
      </c>
      <c r="H285" s="71" t="n">
        <f aca="false">SUM($G$5:$G285)</f>
        <v>4</v>
      </c>
      <c r="J285" s="71" t="n">
        <f aca="false">IF(应收对账!$Y285="",0,IF(应收对账!$T285&gt;0.01,1,0))</f>
        <v>0</v>
      </c>
      <c r="K285" s="71" t="n">
        <f aca="false">SUM($J$5:$J285)</f>
        <v>8</v>
      </c>
    </row>
    <row r="286" customFormat="false" ht="15" hidden="false" customHeight="false" outlineLevel="0" collapsed="false">
      <c r="A286" s="71" t="n">
        <f aca="false">IF(维保合同!$C286="",0,IF(OR(维保合同!$Q286&lt;&gt;"",维保合同!$R286&lt;&gt;""),1,0))</f>
        <v>0</v>
      </c>
      <c r="B286" s="71" t="n">
        <f aca="false">SUM($A$5:$A286)</f>
        <v>5</v>
      </c>
      <c r="D286" s="71" t="n">
        <f aca="false">IF(电梯资料!$C286="",0,IF(OR(电梯资料!$AA286&lt;&gt;"",电梯资料!$AB286&lt;&gt;""),1,0))</f>
        <v>0</v>
      </c>
      <c r="E286" s="71" t="n">
        <f aca="false">SUM($D$5:$D286)</f>
        <v>5</v>
      </c>
      <c r="G286" s="71" t="n">
        <f aca="false">IF(电梯资料!$C286="",0,IF(OR(电梯资料!$Y286="安装免保",电梯资料!$Y286="技术免保",电梯资料!$Y286="质保期内"),1,0))</f>
        <v>0</v>
      </c>
      <c r="H286" s="71" t="n">
        <f aca="false">SUM($G$5:$G286)</f>
        <v>4</v>
      </c>
      <c r="J286" s="71" t="n">
        <f aca="false">IF(应收对账!$Y286="",0,IF(应收对账!$T286&gt;0.01,1,0))</f>
        <v>0</v>
      </c>
      <c r="K286" s="71" t="n">
        <f aca="false">SUM($J$5:$J286)</f>
        <v>8</v>
      </c>
    </row>
    <row r="287" customFormat="false" ht="15" hidden="false" customHeight="false" outlineLevel="0" collapsed="false">
      <c r="A287" s="71" t="n">
        <f aca="false">IF(维保合同!$C287="",0,IF(OR(维保合同!$Q287&lt;&gt;"",维保合同!$R287&lt;&gt;""),1,0))</f>
        <v>0</v>
      </c>
      <c r="B287" s="71" t="n">
        <f aca="false">SUM($A$5:$A287)</f>
        <v>5</v>
      </c>
      <c r="D287" s="71" t="n">
        <f aca="false">IF(电梯资料!$C287="",0,IF(OR(电梯资料!$AA287&lt;&gt;"",电梯资料!$AB287&lt;&gt;""),1,0))</f>
        <v>0</v>
      </c>
      <c r="E287" s="71" t="n">
        <f aca="false">SUM($D$5:$D287)</f>
        <v>5</v>
      </c>
      <c r="G287" s="71" t="n">
        <f aca="false">IF(电梯资料!$C287="",0,IF(OR(电梯资料!$Y287="安装免保",电梯资料!$Y287="技术免保",电梯资料!$Y287="质保期内"),1,0))</f>
        <v>0</v>
      </c>
      <c r="H287" s="71" t="n">
        <f aca="false">SUM($G$5:$G287)</f>
        <v>4</v>
      </c>
      <c r="J287" s="71" t="n">
        <f aca="false">IF(应收对账!$Y287="",0,IF(应收对账!$T287&gt;0.01,1,0))</f>
        <v>0</v>
      </c>
      <c r="K287" s="71" t="n">
        <f aca="false">SUM($J$5:$J287)</f>
        <v>8</v>
      </c>
    </row>
    <row r="288" customFormat="false" ht="15" hidden="false" customHeight="false" outlineLevel="0" collapsed="false">
      <c r="A288" s="71" t="n">
        <f aca="false">IF(维保合同!$C288="",0,IF(OR(维保合同!$Q288&lt;&gt;"",维保合同!$R288&lt;&gt;""),1,0))</f>
        <v>0</v>
      </c>
      <c r="B288" s="71" t="n">
        <f aca="false">SUM($A$5:$A288)</f>
        <v>5</v>
      </c>
      <c r="D288" s="71" t="n">
        <f aca="false">IF(电梯资料!$C288="",0,IF(OR(电梯资料!$AA288&lt;&gt;"",电梯资料!$AB288&lt;&gt;""),1,0))</f>
        <v>0</v>
      </c>
      <c r="E288" s="71" t="n">
        <f aca="false">SUM($D$5:$D288)</f>
        <v>5</v>
      </c>
      <c r="G288" s="71" t="n">
        <f aca="false">IF(电梯资料!$C288="",0,IF(OR(电梯资料!$Y288="安装免保",电梯资料!$Y288="技术免保",电梯资料!$Y288="质保期内"),1,0))</f>
        <v>0</v>
      </c>
      <c r="H288" s="71" t="n">
        <f aca="false">SUM($G$5:$G288)</f>
        <v>4</v>
      </c>
      <c r="J288" s="71" t="n">
        <f aca="false">IF(应收对账!$Y288="",0,IF(应收对账!$T288&gt;0.01,1,0))</f>
        <v>0</v>
      </c>
      <c r="K288" s="71" t="n">
        <f aca="false">SUM($J$5:$J288)</f>
        <v>8</v>
      </c>
    </row>
    <row r="289" customFormat="false" ht="15" hidden="false" customHeight="false" outlineLevel="0" collapsed="false">
      <c r="A289" s="71" t="n">
        <f aca="false">IF(维保合同!$C289="",0,IF(OR(维保合同!$Q289&lt;&gt;"",维保合同!$R289&lt;&gt;""),1,0))</f>
        <v>0</v>
      </c>
      <c r="B289" s="71" t="n">
        <f aca="false">SUM($A$5:$A289)</f>
        <v>5</v>
      </c>
      <c r="D289" s="71" t="n">
        <f aca="false">IF(电梯资料!$C289="",0,IF(OR(电梯资料!$AA289&lt;&gt;"",电梯资料!$AB289&lt;&gt;""),1,0))</f>
        <v>0</v>
      </c>
      <c r="E289" s="71" t="n">
        <f aca="false">SUM($D$5:$D289)</f>
        <v>5</v>
      </c>
      <c r="G289" s="71" t="n">
        <f aca="false">IF(电梯资料!$C289="",0,IF(OR(电梯资料!$Y289="安装免保",电梯资料!$Y289="技术免保",电梯资料!$Y289="质保期内"),1,0))</f>
        <v>0</v>
      </c>
      <c r="H289" s="71" t="n">
        <f aca="false">SUM($G$5:$G289)</f>
        <v>4</v>
      </c>
      <c r="J289" s="71" t="n">
        <f aca="false">IF(应收对账!$Y289="",0,IF(应收对账!$T289&gt;0.01,1,0))</f>
        <v>0</v>
      </c>
      <c r="K289" s="71" t="n">
        <f aca="false">SUM($J$5:$J289)</f>
        <v>8</v>
      </c>
    </row>
    <row r="290" customFormat="false" ht="15" hidden="false" customHeight="false" outlineLevel="0" collapsed="false">
      <c r="A290" s="71" t="n">
        <f aca="false">IF(维保合同!$C290="",0,IF(OR(维保合同!$Q290&lt;&gt;"",维保合同!$R290&lt;&gt;""),1,0))</f>
        <v>0</v>
      </c>
      <c r="B290" s="71" t="n">
        <f aca="false">SUM($A$5:$A290)</f>
        <v>5</v>
      </c>
      <c r="D290" s="71" t="n">
        <f aca="false">IF(电梯资料!$C290="",0,IF(OR(电梯资料!$AA290&lt;&gt;"",电梯资料!$AB290&lt;&gt;""),1,0))</f>
        <v>0</v>
      </c>
      <c r="E290" s="71" t="n">
        <f aca="false">SUM($D$5:$D290)</f>
        <v>5</v>
      </c>
      <c r="G290" s="71" t="n">
        <f aca="false">IF(电梯资料!$C290="",0,IF(OR(电梯资料!$Y290="安装免保",电梯资料!$Y290="技术免保",电梯资料!$Y290="质保期内"),1,0))</f>
        <v>0</v>
      </c>
      <c r="H290" s="71" t="n">
        <f aca="false">SUM($G$5:$G290)</f>
        <v>4</v>
      </c>
      <c r="J290" s="71" t="n">
        <f aca="false">IF(应收对账!$Y290="",0,IF(应收对账!$T290&gt;0.01,1,0))</f>
        <v>0</v>
      </c>
      <c r="K290" s="71" t="n">
        <f aca="false">SUM($J$5:$J290)</f>
        <v>8</v>
      </c>
    </row>
    <row r="291" customFormat="false" ht="15" hidden="false" customHeight="false" outlineLevel="0" collapsed="false">
      <c r="A291" s="71" t="n">
        <f aca="false">IF(维保合同!$C291="",0,IF(OR(维保合同!$Q291&lt;&gt;"",维保合同!$R291&lt;&gt;""),1,0))</f>
        <v>0</v>
      </c>
      <c r="B291" s="71" t="n">
        <f aca="false">SUM($A$5:$A291)</f>
        <v>5</v>
      </c>
      <c r="D291" s="71" t="n">
        <f aca="false">IF(电梯资料!$C291="",0,IF(OR(电梯资料!$AA291&lt;&gt;"",电梯资料!$AB291&lt;&gt;""),1,0))</f>
        <v>0</v>
      </c>
      <c r="E291" s="71" t="n">
        <f aca="false">SUM($D$5:$D291)</f>
        <v>5</v>
      </c>
      <c r="G291" s="71" t="n">
        <f aca="false">IF(电梯资料!$C291="",0,IF(OR(电梯资料!$Y291="安装免保",电梯资料!$Y291="技术免保",电梯资料!$Y291="质保期内"),1,0))</f>
        <v>0</v>
      </c>
      <c r="H291" s="71" t="n">
        <f aca="false">SUM($G$5:$G291)</f>
        <v>4</v>
      </c>
      <c r="J291" s="71" t="n">
        <f aca="false">IF(应收对账!$Y291="",0,IF(应收对账!$T291&gt;0.01,1,0))</f>
        <v>0</v>
      </c>
      <c r="K291" s="71" t="n">
        <f aca="false">SUM($J$5:$J291)</f>
        <v>8</v>
      </c>
    </row>
    <row r="292" customFormat="false" ht="15" hidden="false" customHeight="false" outlineLevel="0" collapsed="false">
      <c r="A292" s="71" t="n">
        <f aca="false">IF(维保合同!$C292="",0,IF(OR(维保合同!$Q292&lt;&gt;"",维保合同!$R292&lt;&gt;""),1,0))</f>
        <v>0</v>
      </c>
      <c r="B292" s="71" t="n">
        <f aca="false">SUM($A$5:$A292)</f>
        <v>5</v>
      </c>
      <c r="D292" s="71" t="n">
        <f aca="false">IF(电梯资料!$C292="",0,IF(OR(电梯资料!$AA292&lt;&gt;"",电梯资料!$AB292&lt;&gt;""),1,0))</f>
        <v>0</v>
      </c>
      <c r="E292" s="71" t="n">
        <f aca="false">SUM($D$5:$D292)</f>
        <v>5</v>
      </c>
      <c r="G292" s="71" t="n">
        <f aca="false">IF(电梯资料!$C292="",0,IF(OR(电梯资料!$Y292="安装免保",电梯资料!$Y292="技术免保",电梯资料!$Y292="质保期内"),1,0))</f>
        <v>0</v>
      </c>
      <c r="H292" s="71" t="n">
        <f aca="false">SUM($G$5:$G292)</f>
        <v>4</v>
      </c>
      <c r="J292" s="71" t="n">
        <f aca="false">IF(应收对账!$Y292="",0,IF(应收对账!$T292&gt;0.01,1,0))</f>
        <v>0</v>
      </c>
      <c r="K292" s="71" t="n">
        <f aca="false">SUM($J$5:$J292)</f>
        <v>8</v>
      </c>
    </row>
    <row r="293" customFormat="false" ht="15" hidden="false" customHeight="false" outlineLevel="0" collapsed="false">
      <c r="A293" s="71" t="n">
        <f aca="false">IF(维保合同!$C293="",0,IF(OR(维保合同!$Q293&lt;&gt;"",维保合同!$R293&lt;&gt;""),1,0))</f>
        <v>0</v>
      </c>
      <c r="B293" s="71" t="n">
        <f aca="false">SUM($A$5:$A293)</f>
        <v>5</v>
      </c>
      <c r="D293" s="71" t="n">
        <f aca="false">IF(电梯资料!$C293="",0,IF(OR(电梯资料!$AA293&lt;&gt;"",电梯资料!$AB293&lt;&gt;""),1,0))</f>
        <v>0</v>
      </c>
      <c r="E293" s="71" t="n">
        <f aca="false">SUM($D$5:$D293)</f>
        <v>5</v>
      </c>
      <c r="G293" s="71" t="n">
        <f aca="false">IF(电梯资料!$C293="",0,IF(OR(电梯资料!$Y293="安装免保",电梯资料!$Y293="技术免保",电梯资料!$Y293="质保期内"),1,0))</f>
        <v>0</v>
      </c>
      <c r="H293" s="71" t="n">
        <f aca="false">SUM($G$5:$G293)</f>
        <v>4</v>
      </c>
      <c r="J293" s="71" t="n">
        <f aca="false">IF(应收对账!$Y293="",0,IF(应收对账!$T293&gt;0.01,1,0))</f>
        <v>0</v>
      </c>
      <c r="K293" s="71" t="n">
        <f aca="false">SUM($J$5:$J293)</f>
        <v>8</v>
      </c>
    </row>
    <row r="294" customFormat="false" ht="15" hidden="false" customHeight="false" outlineLevel="0" collapsed="false">
      <c r="A294" s="71" t="n">
        <f aca="false">IF(维保合同!$C294="",0,IF(OR(维保合同!$Q294&lt;&gt;"",维保合同!$R294&lt;&gt;""),1,0))</f>
        <v>0</v>
      </c>
      <c r="B294" s="71" t="n">
        <f aca="false">SUM($A$5:$A294)</f>
        <v>5</v>
      </c>
      <c r="D294" s="71" t="n">
        <f aca="false">IF(电梯资料!$C294="",0,IF(OR(电梯资料!$AA294&lt;&gt;"",电梯资料!$AB294&lt;&gt;""),1,0))</f>
        <v>0</v>
      </c>
      <c r="E294" s="71" t="n">
        <f aca="false">SUM($D$5:$D294)</f>
        <v>5</v>
      </c>
      <c r="G294" s="71" t="n">
        <f aca="false">IF(电梯资料!$C294="",0,IF(OR(电梯资料!$Y294="安装免保",电梯资料!$Y294="技术免保",电梯资料!$Y294="质保期内"),1,0))</f>
        <v>0</v>
      </c>
      <c r="H294" s="71" t="n">
        <f aca="false">SUM($G$5:$G294)</f>
        <v>4</v>
      </c>
      <c r="J294" s="71" t="n">
        <f aca="false">IF(应收对账!$Y294="",0,IF(应收对账!$T294&gt;0.01,1,0))</f>
        <v>0</v>
      </c>
      <c r="K294" s="71" t="n">
        <f aca="false">SUM($J$5:$J294)</f>
        <v>8</v>
      </c>
    </row>
    <row r="295" customFormat="false" ht="15" hidden="false" customHeight="false" outlineLevel="0" collapsed="false">
      <c r="A295" s="71" t="n">
        <f aca="false">IF(维保合同!$C295="",0,IF(OR(维保合同!$Q295&lt;&gt;"",维保合同!$R295&lt;&gt;""),1,0))</f>
        <v>0</v>
      </c>
      <c r="B295" s="71" t="n">
        <f aca="false">SUM($A$5:$A295)</f>
        <v>5</v>
      </c>
      <c r="D295" s="71" t="n">
        <f aca="false">IF(电梯资料!$C295="",0,IF(OR(电梯资料!$AA295&lt;&gt;"",电梯资料!$AB295&lt;&gt;""),1,0))</f>
        <v>0</v>
      </c>
      <c r="E295" s="71" t="n">
        <f aca="false">SUM($D$5:$D295)</f>
        <v>5</v>
      </c>
      <c r="G295" s="71" t="n">
        <f aca="false">IF(电梯资料!$C295="",0,IF(OR(电梯资料!$Y295="安装免保",电梯资料!$Y295="技术免保",电梯资料!$Y295="质保期内"),1,0))</f>
        <v>0</v>
      </c>
      <c r="H295" s="71" t="n">
        <f aca="false">SUM($G$5:$G295)</f>
        <v>4</v>
      </c>
      <c r="J295" s="71" t="n">
        <f aca="false">IF(应收对账!$Y295="",0,IF(应收对账!$T295&gt;0.01,1,0))</f>
        <v>0</v>
      </c>
      <c r="K295" s="71" t="n">
        <f aca="false">SUM($J$5:$J295)</f>
        <v>8</v>
      </c>
    </row>
    <row r="296" customFormat="false" ht="15" hidden="false" customHeight="false" outlineLevel="0" collapsed="false">
      <c r="A296" s="71" t="n">
        <f aca="false">IF(维保合同!$C296="",0,IF(OR(维保合同!$Q296&lt;&gt;"",维保合同!$R296&lt;&gt;""),1,0))</f>
        <v>0</v>
      </c>
      <c r="B296" s="71" t="n">
        <f aca="false">SUM($A$5:$A296)</f>
        <v>5</v>
      </c>
      <c r="D296" s="71" t="n">
        <f aca="false">IF(电梯资料!$C296="",0,IF(OR(电梯资料!$AA296&lt;&gt;"",电梯资料!$AB296&lt;&gt;""),1,0))</f>
        <v>0</v>
      </c>
      <c r="E296" s="71" t="n">
        <f aca="false">SUM($D$5:$D296)</f>
        <v>5</v>
      </c>
      <c r="G296" s="71" t="n">
        <f aca="false">IF(电梯资料!$C296="",0,IF(OR(电梯资料!$Y296="安装免保",电梯资料!$Y296="技术免保",电梯资料!$Y296="质保期内"),1,0))</f>
        <v>0</v>
      </c>
      <c r="H296" s="71" t="n">
        <f aca="false">SUM($G$5:$G296)</f>
        <v>4</v>
      </c>
      <c r="J296" s="71" t="n">
        <f aca="false">IF(应收对账!$Y296="",0,IF(应收对账!$T296&gt;0.01,1,0))</f>
        <v>0</v>
      </c>
      <c r="K296" s="71" t="n">
        <f aca="false">SUM($J$5:$J296)</f>
        <v>8</v>
      </c>
    </row>
    <row r="297" customFormat="false" ht="15" hidden="false" customHeight="false" outlineLevel="0" collapsed="false">
      <c r="A297" s="71" t="n">
        <f aca="false">IF(维保合同!$C297="",0,IF(OR(维保合同!$Q297&lt;&gt;"",维保合同!$R297&lt;&gt;""),1,0))</f>
        <v>0</v>
      </c>
      <c r="B297" s="71" t="n">
        <f aca="false">SUM($A$5:$A297)</f>
        <v>5</v>
      </c>
      <c r="D297" s="71" t="n">
        <f aca="false">IF(电梯资料!$C297="",0,IF(OR(电梯资料!$AA297&lt;&gt;"",电梯资料!$AB297&lt;&gt;""),1,0))</f>
        <v>0</v>
      </c>
      <c r="E297" s="71" t="n">
        <f aca="false">SUM($D$5:$D297)</f>
        <v>5</v>
      </c>
      <c r="G297" s="71" t="n">
        <f aca="false">IF(电梯资料!$C297="",0,IF(OR(电梯资料!$Y297="安装免保",电梯资料!$Y297="技术免保",电梯资料!$Y297="质保期内"),1,0))</f>
        <v>0</v>
      </c>
      <c r="H297" s="71" t="n">
        <f aca="false">SUM($G$5:$G297)</f>
        <v>4</v>
      </c>
      <c r="J297" s="71" t="n">
        <f aca="false">IF(应收对账!$Y297="",0,IF(应收对账!$T297&gt;0.01,1,0))</f>
        <v>0</v>
      </c>
      <c r="K297" s="71" t="n">
        <f aca="false">SUM($J$5:$J297)</f>
        <v>8</v>
      </c>
    </row>
    <row r="298" customFormat="false" ht="15" hidden="false" customHeight="false" outlineLevel="0" collapsed="false">
      <c r="A298" s="71" t="n">
        <f aca="false">IF(维保合同!$C298="",0,IF(OR(维保合同!$Q298&lt;&gt;"",维保合同!$R298&lt;&gt;""),1,0))</f>
        <v>0</v>
      </c>
      <c r="B298" s="71" t="n">
        <f aca="false">SUM($A$5:$A298)</f>
        <v>5</v>
      </c>
      <c r="D298" s="71" t="n">
        <f aca="false">IF(电梯资料!$C298="",0,IF(OR(电梯资料!$AA298&lt;&gt;"",电梯资料!$AB298&lt;&gt;""),1,0))</f>
        <v>0</v>
      </c>
      <c r="E298" s="71" t="n">
        <f aca="false">SUM($D$5:$D298)</f>
        <v>5</v>
      </c>
      <c r="G298" s="71" t="n">
        <f aca="false">IF(电梯资料!$C298="",0,IF(OR(电梯资料!$Y298="安装免保",电梯资料!$Y298="技术免保",电梯资料!$Y298="质保期内"),1,0))</f>
        <v>0</v>
      </c>
      <c r="H298" s="71" t="n">
        <f aca="false">SUM($G$5:$G298)</f>
        <v>4</v>
      </c>
      <c r="J298" s="71" t="n">
        <f aca="false">IF(应收对账!$Y298="",0,IF(应收对账!$T298&gt;0.01,1,0))</f>
        <v>0</v>
      </c>
      <c r="K298" s="71" t="n">
        <f aca="false">SUM($J$5:$J298)</f>
        <v>8</v>
      </c>
    </row>
    <row r="299" customFormat="false" ht="15" hidden="false" customHeight="false" outlineLevel="0" collapsed="false">
      <c r="A299" s="71" t="n">
        <f aca="false">IF(维保合同!$C299="",0,IF(OR(维保合同!$Q299&lt;&gt;"",维保合同!$R299&lt;&gt;""),1,0))</f>
        <v>0</v>
      </c>
      <c r="B299" s="71" t="n">
        <f aca="false">SUM($A$5:$A299)</f>
        <v>5</v>
      </c>
      <c r="D299" s="71" t="n">
        <f aca="false">IF(电梯资料!$C299="",0,IF(OR(电梯资料!$AA299&lt;&gt;"",电梯资料!$AB299&lt;&gt;""),1,0))</f>
        <v>0</v>
      </c>
      <c r="E299" s="71" t="n">
        <f aca="false">SUM($D$5:$D299)</f>
        <v>5</v>
      </c>
      <c r="G299" s="71" t="n">
        <f aca="false">IF(电梯资料!$C299="",0,IF(OR(电梯资料!$Y299="安装免保",电梯资料!$Y299="技术免保",电梯资料!$Y299="质保期内"),1,0))</f>
        <v>0</v>
      </c>
      <c r="H299" s="71" t="n">
        <f aca="false">SUM($G$5:$G299)</f>
        <v>4</v>
      </c>
      <c r="J299" s="71" t="n">
        <f aca="false">IF(应收对账!$Y299="",0,IF(应收对账!$T299&gt;0.01,1,0))</f>
        <v>0</v>
      </c>
      <c r="K299" s="71" t="n">
        <f aca="false">SUM($J$5:$J299)</f>
        <v>8</v>
      </c>
    </row>
    <row r="300" customFormat="false" ht="15" hidden="false" customHeight="false" outlineLevel="0" collapsed="false">
      <c r="A300" s="71" t="n">
        <f aca="false">IF(维保合同!$C300="",0,IF(OR(维保合同!$Q300&lt;&gt;"",维保合同!$R300&lt;&gt;""),1,0))</f>
        <v>0</v>
      </c>
      <c r="B300" s="71" t="n">
        <f aca="false">SUM($A$5:$A300)</f>
        <v>5</v>
      </c>
      <c r="D300" s="71" t="n">
        <f aca="false">IF(电梯资料!$C300="",0,IF(OR(电梯资料!$AA300&lt;&gt;"",电梯资料!$AB300&lt;&gt;""),1,0))</f>
        <v>0</v>
      </c>
      <c r="E300" s="71" t="n">
        <f aca="false">SUM($D$5:$D300)</f>
        <v>5</v>
      </c>
      <c r="G300" s="71" t="n">
        <f aca="false">IF(电梯资料!$C300="",0,IF(OR(电梯资料!$Y300="安装免保",电梯资料!$Y300="技术免保",电梯资料!$Y300="质保期内"),1,0))</f>
        <v>0</v>
      </c>
      <c r="H300" s="71" t="n">
        <f aca="false">SUM($G$5:$G300)</f>
        <v>4</v>
      </c>
      <c r="J300" s="71" t="n">
        <f aca="false">IF(应收对账!$Y300="",0,IF(应收对账!$T300&gt;0.01,1,0))</f>
        <v>0</v>
      </c>
      <c r="K300" s="71" t="n">
        <f aca="false">SUM($J$5:$J300)</f>
        <v>8</v>
      </c>
    </row>
    <row r="301" customFormat="false" ht="15" hidden="false" customHeight="false" outlineLevel="0" collapsed="false">
      <c r="A301" s="71" t="n">
        <f aca="false">IF(维保合同!$C301="",0,IF(OR(维保合同!$Q301&lt;&gt;"",维保合同!$R301&lt;&gt;""),1,0))</f>
        <v>0</v>
      </c>
      <c r="B301" s="71" t="n">
        <f aca="false">SUM($A$5:$A301)</f>
        <v>5</v>
      </c>
      <c r="D301" s="71" t="n">
        <f aca="false">IF(电梯资料!$C301="",0,IF(OR(电梯资料!$AA301&lt;&gt;"",电梯资料!$AB301&lt;&gt;""),1,0))</f>
        <v>0</v>
      </c>
      <c r="E301" s="71" t="n">
        <f aca="false">SUM($D$5:$D301)</f>
        <v>5</v>
      </c>
      <c r="G301" s="71" t="n">
        <f aca="false">IF(电梯资料!$C301="",0,IF(OR(电梯资料!$Y301="安装免保",电梯资料!$Y301="技术免保",电梯资料!$Y301="质保期内"),1,0))</f>
        <v>0</v>
      </c>
      <c r="H301" s="71" t="n">
        <f aca="false">SUM($G$5:$G301)</f>
        <v>4</v>
      </c>
      <c r="J301" s="71" t="n">
        <f aca="false">IF(应收对账!$Y301="",0,IF(应收对账!$T301&gt;0.01,1,0))</f>
        <v>0</v>
      </c>
      <c r="K301" s="71" t="n">
        <f aca="false">SUM($J$5:$J301)</f>
        <v>8</v>
      </c>
    </row>
    <row r="302" customFormat="false" ht="15" hidden="false" customHeight="false" outlineLevel="0" collapsed="false">
      <c r="A302" s="71" t="n">
        <f aca="false">IF(维保合同!$C302="",0,IF(OR(维保合同!$Q302&lt;&gt;"",维保合同!$R302&lt;&gt;""),1,0))</f>
        <v>0</v>
      </c>
      <c r="B302" s="71" t="n">
        <f aca="false">SUM($A$5:$A302)</f>
        <v>5</v>
      </c>
      <c r="D302" s="71" t="n">
        <f aca="false">IF(电梯资料!$C302="",0,IF(OR(电梯资料!$AA302&lt;&gt;"",电梯资料!$AB302&lt;&gt;""),1,0))</f>
        <v>0</v>
      </c>
      <c r="E302" s="71" t="n">
        <f aca="false">SUM($D$5:$D302)</f>
        <v>5</v>
      </c>
      <c r="G302" s="71" t="n">
        <f aca="false">IF(电梯资料!$C302="",0,IF(OR(电梯资料!$Y302="安装免保",电梯资料!$Y302="技术免保",电梯资料!$Y302="质保期内"),1,0))</f>
        <v>0</v>
      </c>
      <c r="H302" s="71" t="n">
        <f aca="false">SUM($G$5:$G302)</f>
        <v>4</v>
      </c>
      <c r="J302" s="71" t="n">
        <f aca="false">IF(应收对账!$Y302="",0,IF(应收对账!$T302&gt;0.01,1,0))</f>
        <v>0</v>
      </c>
      <c r="K302" s="71" t="n">
        <f aca="false">SUM($J$5:$J302)</f>
        <v>8</v>
      </c>
    </row>
    <row r="303" customFormat="false" ht="15" hidden="false" customHeight="false" outlineLevel="0" collapsed="false">
      <c r="A303" s="71" t="n">
        <f aca="false">IF(维保合同!$C303="",0,IF(OR(维保合同!$Q303&lt;&gt;"",维保合同!$R303&lt;&gt;""),1,0))</f>
        <v>0</v>
      </c>
      <c r="B303" s="71" t="n">
        <f aca="false">SUM($A$5:$A303)</f>
        <v>5</v>
      </c>
      <c r="D303" s="71" t="n">
        <f aca="false">IF(电梯资料!$C303="",0,IF(OR(电梯资料!$AA303&lt;&gt;"",电梯资料!$AB303&lt;&gt;""),1,0))</f>
        <v>0</v>
      </c>
      <c r="E303" s="71" t="n">
        <f aca="false">SUM($D$5:$D303)</f>
        <v>5</v>
      </c>
      <c r="G303" s="71" t="n">
        <f aca="false">IF(电梯资料!$C303="",0,IF(OR(电梯资料!$Y303="安装免保",电梯资料!$Y303="技术免保",电梯资料!$Y303="质保期内"),1,0))</f>
        <v>0</v>
      </c>
      <c r="H303" s="71" t="n">
        <f aca="false">SUM($G$5:$G303)</f>
        <v>4</v>
      </c>
      <c r="J303" s="71" t="n">
        <f aca="false">IF(应收对账!$Y303="",0,IF(应收对账!$T303&gt;0.01,1,0))</f>
        <v>0</v>
      </c>
      <c r="K303" s="71" t="n">
        <f aca="false">SUM($J$5:$J303)</f>
        <v>8</v>
      </c>
    </row>
    <row r="304" customFormat="false" ht="15" hidden="false" customHeight="false" outlineLevel="0" collapsed="false">
      <c r="A304" s="71" t="n">
        <f aca="false">IF(维保合同!$C304="",0,IF(OR(维保合同!$Q304&lt;&gt;"",维保合同!$R304&lt;&gt;""),1,0))</f>
        <v>0</v>
      </c>
      <c r="B304" s="71" t="n">
        <f aca="false">SUM($A$5:$A304)</f>
        <v>5</v>
      </c>
      <c r="D304" s="71" t="n">
        <f aca="false">IF(电梯资料!$C304="",0,IF(OR(电梯资料!$AA304&lt;&gt;"",电梯资料!$AB304&lt;&gt;""),1,0))</f>
        <v>0</v>
      </c>
      <c r="E304" s="71" t="n">
        <f aca="false">SUM($D$5:$D304)</f>
        <v>5</v>
      </c>
      <c r="G304" s="71" t="n">
        <f aca="false">IF(电梯资料!$C304="",0,IF(OR(电梯资料!$Y304="安装免保",电梯资料!$Y304="技术免保",电梯资料!$Y304="质保期内"),1,0))</f>
        <v>0</v>
      </c>
      <c r="H304" s="71" t="n">
        <f aca="false">SUM($G$5:$G304)</f>
        <v>4</v>
      </c>
      <c r="J304" s="71" t="n">
        <f aca="false">IF(应收对账!$Y304="",0,IF(应收对账!$T304&gt;0.01,1,0))</f>
        <v>0</v>
      </c>
      <c r="K304" s="71" t="n">
        <f aca="false">SUM($J$5:$J304)</f>
        <v>8</v>
      </c>
    </row>
    <row r="305" customFormat="false" ht="15" hidden="false" customHeight="false" outlineLevel="0" collapsed="false">
      <c r="D305" s="71" t="n">
        <f aca="false">IF(电梯资料!$C305="",0,IF(OR(电梯资料!$AA305&lt;&gt;"",电梯资料!$AB305&lt;&gt;""),1,0))</f>
        <v>0</v>
      </c>
      <c r="E305" s="71" t="n">
        <f aca="false">SUM($D$5:$D305)</f>
        <v>5</v>
      </c>
      <c r="G305" s="71" t="n">
        <f aca="false">IF(电梯资料!$C305="",0,IF(OR(电梯资料!$Y305="安装免保",电梯资料!$Y305="技术免保",电梯资料!$Y305="质保期内"),1,0))</f>
        <v>0</v>
      </c>
      <c r="H305" s="71" t="n">
        <f aca="false">SUM($G$5:$G305)</f>
        <v>4</v>
      </c>
    </row>
    <row r="306" customFormat="false" ht="15" hidden="false" customHeight="false" outlineLevel="0" collapsed="false">
      <c r="D306" s="71" t="n">
        <f aca="false">IF(电梯资料!$C306="",0,IF(OR(电梯资料!$AA306&lt;&gt;"",电梯资料!$AB306&lt;&gt;""),1,0))</f>
        <v>0</v>
      </c>
      <c r="E306" s="71" t="n">
        <f aca="false">SUM($D$5:$D306)</f>
        <v>5</v>
      </c>
      <c r="G306" s="71" t="n">
        <f aca="false">IF(电梯资料!$C306="",0,IF(OR(电梯资料!$Y306="安装免保",电梯资料!$Y306="技术免保",电梯资料!$Y306="质保期内"),1,0))</f>
        <v>0</v>
      </c>
      <c r="H306" s="71" t="n">
        <f aca="false">SUM($G$5:$G306)</f>
        <v>4</v>
      </c>
    </row>
    <row r="307" customFormat="false" ht="15" hidden="false" customHeight="false" outlineLevel="0" collapsed="false">
      <c r="D307" s="71" t="n">
        <f aca="false">IF(电梯资料!$C307="",0,IF(OR(电梯资料!$AA307&lt;&gt;"",电梯资料!$AB307&lt;&gt;""),1,0))</f>
        <v>0</v>
      </c>
      <c r="E307" s="71" t="n">
        <f aca="false">SUM($D$5:$D307)</f>
        <v>5</v>
      </c>
      <c r="G307" s="71" t="n">
        <f aca="false">IF(电梯资料!$C307="",0,IF(OR(电梯资料!$Y307="安装免保",电梯资料!$Y307="技术免保",电梯资料!$Y307="质保期内"),1,0))</f>
        <v>0</v>
      </c>
      <c r="H307" s="71" t="n">
        <f aca="false">SUM($G$5:$G307)</f>
        <v>4</v>
      </c>
    </row>
    <row r="308" customFormat="false" ht="15" hidden="false" customHeight="false" outlineLevel="0" collapsed="false">
      <c r="D308" s="71" t="n">
        <f aca="false">IF(电梯资料!$C308="",0,IF(OR(电梯资料!$AA308&lt;&gt;"",电梯资料!$AB308&lt;&gt;""),1,0))</f>
        <v>0</v>
      </c>
      <c r="E308" s="71" t="n">
        <f aca="false">SUM($D$5:$D308)</f>
        <v>5</v>
      </c>
      <c r="G308" s="71" t="n">
        <f aca="false">IF(电梯资料!$C308="",0,IF(OR(电梯资料!$Y308="安装免保",电梯资料!$Y308="技术免保",电梯资料!$Y308="质保期内"),1,0))</f>
        <v>0</v>
      </c>
      <c r="H308" s="71" t="n">
        <f aca="false">SUM($G$5:$G308)</f>
        <v>4</v>
      </c>
    </row>
    <row r="309" customFormat="false" ht="15" hidden="false" customHeight="false" outlineLevel="0" collapsed="false">
      <c r="D309" s="71" t="n">
        <f aca="false">IF(电梯资料!$C309="",0,IF(OR(电梯资料!$AA309&lt;&gt;"",电梯资料!$AB309&lt;&gt;""),1,0))</f>
        <v>0</v>
      </c>
      <c r="E309" s="71" t="n">
        <f aca="false">SUM($D$5:$D309)</f>
        <v>5</v>
      </c>
      <c r="G309" s="71" t="n">
        <f aca="false">IF(电梯资料!$C309="",0,IF(OR(电梯资料!$Y309="安装免保",电梯资料!$Y309="技术免保",电梯资料!$Y309="质保期内"),1,0))</f>
        <v>0</v>
      </c>
      <c r="H309" s="71" t="n">
        <f aca="false">SUM($G$5:$G309)</f>
        <v>4</v>
      </c>
    </row>
    <row r="310" customFormat="false" ht="15" hidden="false" customHeight="false" outlineLevel="0" collapsed="false">
      <c r="D310" s="71" t="n">
        <f aca="false">IF(电梯资料!$C310="",0,IF(OR(电梯资料!$AA310&lt;&gt;"",电梯资料!$AB310&lt;&gt;""),1,0))</f>
        <v>0</v>
      </c>
      <c r="E310" s="71" t="n">
        <f aca="false">SUM($D$5:$D310)</f>
        <v>5</v>
      </c>
      <c r="G310" s="71" t="n">
        <f aca="false">IF(电梯资料!$C310="",0,IF(OR(电梯资料!$Y310="安装免保",电梯资料!$Y310="技术免保",电梯资料!$Y310="质保期内"),1,0))</f>
        <v>0</v>
      </c>
      <c r="H310" s="71" t="n">
        <f aca="false">SUM($G$5:$G310)</f>
        <v>4</v>
      </c>
    </row>
    <row r="311" customFormat="false" ht="15" hidden="false" customHeight="false" outlineLevel="0" collapsed="false">
      <c r="D311" s="71" t="n">
        <f aca="false">IF(电梯资料!$C311="",0,IF(OR(电梯资料!$AA311&lt;&gt;"",电梯资料!$AB311&lt;&gt;""),1,0))</f>
        <v>0</v>
      </c>
      <c r="E311" s="71" t="n">
        <f aca="false">SUM($D$5:$D311)</f>
        <v>5</v>
      </c>
      <c r="G311" s="71" t="n">
        <f aca="false">IF(电梯资料!$C311="",0,IF(OR(电梯资料!$Y311="安装免保",电梯资料!$Y311="技术免保",电梯资料!$Y311="质保期内"),1,0))</f>
        <v>0</v>
      </c>
      <c r="H311" s="71" t="n">
        <f aca="false">SUM($G$5:$G311)</f>
        <v>4</v>
      </c>
    </row>
    <row r="312" customFormat="false" ht="15" hidden="false" customHeight="false" outlineLevel="0" collapsed="false">
      <c r="D312" s="71" t="n">
        <f aca="false">IF(电梯资料!$C312="",0,IF(OR(电梯资料!$AA312&lt;&gt;"",电梯资料!$AB312&lt;&gt;""),1,0))</f>
        <v>0</v>
      </c>
      <c r="E312" s="71" t="n">
        <f aca="false">SUM($D$5:$D312)</f>
        <v>5</v>
      </c>
      <c r="G312" s="71" t="n">
        <f aca="false">IF(电梯资料!$C312="",0,IF(OR(电梯资料!$Y312="安装免保",电梯资料!$Y312="技术免保",电梯资料!$Y312="质保期内"),1,0))</f>
        <v>0</v>
      </c>
      <c r="H312" s="71" t="n">
        <f aca="false">SUM($G$5:$G312)</f>
        <v>4</v>
      </c>
    </row>
    <row r="313" customFormat="false" ht="15" hidden="false" customHeight="false" outlineLevel="0" collapsed="false">
      <c r="D313" s="71" t="n">
        <f aca="false">IF(电梯资料!$C313="",0,IF(OR(电梯资料!$AA313&lt;&gt;"",电梯资料!$AB313&lt;&gt;""),1,0))</f>
        <v>0</v>
      </c>
      <c r="E313" s="71" t="n">
        <f aca="false">SUM($D$5:$D313)</f>
        <v>5</v>
      </c>
      <c r="G313" s="71" t="n">
        <f aca="false">IF(电梯资料!$C313="",0,IF(OR(电梯资料!$Y313="安装免保",电梯资料!$Y313="技术免保",电梯资料!$Y313="质保期内"),1,0))</f>
        <v>0</v>
      </c>
      <c r="H313" s="71" t="n">
        <f aca="false">SUM($G$5:$G313)</f>
        <v>4</v>
      </c>
    </row>
    <row r="314" customFormat="false" ht="15" hidden="false" customHeight="false" outlineLevel="0" collapsed="false">
      <c r="D314" s="71" t="n">
        <f aca="false">IF(电梯资料!$C314="",0,IF(OR(电梯资料!$AA314&lt;&gt;"",电梯资料!$AB314&lt;&gt;""),1,0))</f>
        <v>0</v>
      </c>
      <c r="E314" s="71" t="n">
        <f aca="false">SUM($D$5:$D314)</f>
        <v>5</v>
      </c>
      <c r="G314" s="71" t="n">
        <f aca="false">IF(电梯资料!$C314="",0,IF(OR(电梯资料!$Y314="安装免保",电梯资料!$Y314="技术免保",电梯资料!$Y314="质保期内"),1,0))</f>
        <v>0</v>
      </c>
      <c r="H314" s="71" t="n">
        <f aca="false">SUM($G$5:$G314)</f>
        <v>4</v>
      </c>
    </row>
    <row r="315" customFormat="false" ht="15" hidden="false" customHeight="false" outlineLevel="0" collapsed="false">
      <c r="D315" s="71" t="n">
        <f aca="false">IF(电梯资料!$C315="",0,IF(OR(电梯资料!$AA315&lt;&gt;"",电梯资料!$AB315&lt;&gt;""),1,0))</f>
        <v>0</v>
      </c>
      <c r="E315" s="71" t="n">
        <f aca="false">SUM($D$5:$D315)</f>
        <v>5</v>
      </c>
      <c r="G315" s="71" t="n">
        <f aca="false">IF(电梯资料!$C315="",0,IF(OR(电梯资料!$Y315="安装免保",电梯资料!$Y315="技术免保",电梯资料!$Y315="质保期内"),1,0))</f>
        <v>0</v>
      </c>
      <c r="H315" s="71" t="n">
        <f aca="false">SUM($G$5:$G315)</f>
        <v>4</v>
      </c>
    </row>
    <row r="316" customFormat="false" ht="15" hidden="false" customHeight="false" outlineLevel="0" collapsed="false">
      <c r="D316" s="71" t="n">
        <f aca="false">IF(电梯资料!$C316="",0,IF(OR(电梯资料!$AA316&lt;&gt;"",电梯资料!$AB316&lt;&gt;""),1,0))</f>
        <v>0</v>
      </c>
      <c r="E316" s="71" t="n">
        <f aca="false">SUM($D$5:$D316)</f>
        <v>5</v>
      </c>
      <c r="G316" s="71" t="n">
        <f aca="false">IF(电梯资料!$C316="",0,IF(OR(电梯资料!$Y316="安装免保",电梯资料!$Y316="技术免保",电梯资料!$Y316="质保期内"),1,0))</f>
        <v>0</v>
      </c>
      <c r="H316" s="71" t="n">
        <f aca="false">SUM($G$5:$G316)</f>
        <v>4</v>
      </c>
    </row>
    <row r="317" customFormat="false" ht="15" hidden="false" customHeight="false" outlineLevel="0" collapsed="false">
      <c r="D317" s="71" t="n">
        <f aca="false">IF(电梯资料!$C317="",0,IF(OR(电梯资料!$AA317&lt;&gt;"",电梯资料!$AB317&lt;&gt;""),1,0))</f>
        <v>0</v>
      </c>
      <c r="E317" s="71" t="n">
        <f aca="false">SUM($D$5:$D317)</f>
        <v>5</v>
      </c>
      <c r="G317" s="71" t="n">
        <f aca="false">IF(电梯资料!$C317="",0,IF(OR(电梯资料!$Y317="安装免保",电梯资料!$Y317="技术免保",电梯资料!$Y317="质保期内"),1,0))</f>
        <v>0</v>
      </c>
      <c r="H317" s="71" t="n">
        <f aca="false">SUM($G$5:$G317)</f>
        <v>4</v>
      </c>
    </row>
    <row r="318" customFormat="false" ht="15" hidden="false" customHeight="false" outlineLevel="0" collapsed="false">
      <c r="D318" s="71" t="n">
        <f aca="false">IF(电梯资料!$C318="",0,IF(OR(电梯资料!$AA318&lt;&gt;"",电梯资料!$AB318&lt;&gt;""),1,0))</f>
        <v>0</v>
      </c>
      <c r="E318" s="71" t="n">
        <f aca="false">SUM($D$5:$D318)</f>
        <v>5</v>
      </c>
      <c r="G318" s="71" t="n">
        <f aca="false">IF(电梯资料!$C318="",0,IF(OR(电梯资料!$Y318="安装免保",电梯资料!$Y318="技术免保",电梯资料!$Y318="质保期内"),1,0))</f>
        <v>0</v>
      </c>
      <c r="H318" s="71" t="n">
        <f aca="false">SUM($G$5:$G318)</f>
        <v>4</v>
      </c>
    </row>
    <row r="319" customFormat="false" ht="15" hidden="false" customHeight="false" outlineLevel="0" collapsed="false">
      <c r="D319" s="71" t="n">
        <f aca="false">IF(电梯资料!$C319="",0,IF(OR(电梯资料!$AA319&lt;&gt;"",电梯资料!$AB319&lt;&gt;""),1,0))</f>
        <v>0</v>
      </c>
      <c r="E319" s="71" t="n">
        <f aca="false">SUM($D$5:$D319)</f>
        <v>5</v>
      </c>
      <c r="G319" s="71" t="n">
        <f aca="false">IF(电梯资料!$C319="",0,IF(OR(电梯资料!$Y319="安装免保",电梯资料!$Y319="技术免保",电梯资料!$Y319="质保期内"),1,0))</f>
        <v>0</v>
      </c>
      <c r="H319" s="71" t="n">
        <f aca="false">SUM($G$5:$G319)</f>
        <v>4</v>
      </c>
    </row>
    <row r="320" customFormat="false" ht="15" hidden="false" customHeight="false" outlineLevel="0" collapsed="false">
      <c r="D320" s="71" t="n">
        <f aca="false">IF(电梯资料!$C320="",0,IF(OR(电梯资料!$AA320&lt;&gt;"",电梯资料!$AB320&lt;&gt;""),1,0))</f>
        <v>0</v>
      </c>
      <c r="E320" s="71" t="n">
        <f aca="false">SUM($D$5:$D320)</f>
        <v>5</v>
      </c>
      <c r="G320" s="71" t="n">
        <f aca="false">IF(电梯资料!$C320="",0,IF(OR(电梯资料!$Y320="安装免保",电梯资料!$Y320="技术免保",电梯资料!$Y320="质保期内"),1,0))</f>
        <v>0</v>
      </c>
      <c r="H320" s="71" t="n">
        <f aca="false">SUM($G$5:$G320)</f>
        <v>4</v>
      </c>
    </row>
    <row r="321" customFormat="false" ht="15" hidden="false" customHeight="false" outlineLevel="0" collapsed="false">
      <c r="D321" s="71" t="n">
        <f aca="false">IF(电梯资料!$C321="",0,IF(OR(电梯资料!$AA321&lt;&gt;"",电梯资料!$AB321&lt;&gt;""),1,0))</f>
        <v>0</v>
      </c>
      <c r="E321" s="71" t="n">
        <f aca="false">SUM($D$5:$D321)</f>
        <v>5</v>
      </c>
      <c r="G321" s="71" t="n">
        <f aca="false">IF(电梯资料!$C321="",0,IF(OR(电梯资料!$Y321="安装免保",电梯资料!$Y321="技术免保",电梯资料!$Y321="质保期内"),1,0))</f>
        <v>0</v>
      </c>
      <c r="H321" s="71" t="n">
        <f aca="false">SUM($G$5:$G321)</f>
        <v>4</v>
      </c>
    </row>
    <row r="322" customFormat="false" ht="15" hidden="false" customHeight="false" outlineLevel="0" collapsed="false">
      <c r="D322" s="71" t="n">
        <f aca="false">IF(电梯资料!$C322="",0,IF(OR(电梯资料!$AA322&lt;&gt;"",电梯资料!$AB322&lt;&gt;""),1,0))</f>
        <v>0</v>
      </c>
      <c r="E322" s="71" t="n">
        <f aca="false">SUM($D$5:$D322)</f>
        <v>5</v>
      </c>
      <c r="G322" s="71" t="n">
        <f aca="false">IF(电梯资料!$C322="",0,IF(OR(电梯资料!$Y322="安装免保",电梯资料!$Y322="技术免保",电梯资料!$Y322="质保期内"),1,0))</f>
        <v>0</v>
      </c>
      <c r="H322" s="71" t="n">
        <f aca="false">SUM($G$5:$G322)</f>
        <v>4</v>
      </c>
    </row>
    <row r="323" customFormat="false" ht="15" hidden="false" customHeight="false" outlineLevel="0" collapsed="false">
      <c r="D323" s="71" t="n">
        <f aca="false">IF(电梯资料!$C323="",0,IF(OR(电梯资料!$AA323&lt;&gt;"",电梯资料!$AB323&lt;&gt;""),1,0))</f>
        <v>0</v>
      </c>
      <c r="E323" s="71" t="n">
        <f aca="false">SUM($D$5:$D323)</f>
        <v>5</v>
      </c>
      <c r="G323" s="71" t="n">
        <f aca="false">IF(电梯资料!$C323="",0,IF(OR(电梯资料!$Y323="安装免保",电梯资料!$Y323="技术免保",电梯资料!$Y323="质保期内"),1,0))</f>
        <v>0</v>
      </c>
      <c r="H323" s="71" t="n">
        <f aca="false">SUM($G$5:$G323)</f>
        <v>4</v>
      </c>
    </row>
    <row r="324" customFormat="false" ht="15" hidden="false" customHeight="false" outlineLevel="0" collapsed="false">
      <c r="D324" s="71" t="n">
        <f aca="false">IF(电梯资料!$C324="",0,IF(OR(电梯资料!$AA324&lt;&gt;"",电梯资料!$AB324&lt;&gt;""),1,0))</f>
        <v>0</v>
      </c>
      <c r="E324" s="71" t="n">
        <f aca="false">SUM($D$5:$D324)</f>
        <v>5</v>
      </c>
      <c r="G324" s="71" t="n">
        <f aca="false">IF(电梯资料!$C324="",0,IF(OR(电梯资料!$Y324="安装免保",电梯资料!$Y324="技术免保",电梯资料!$Y324="质保期内"),1,0))</f>
        <v>0</v>
      </c>
      <c r="H324" s="71" t="n">
        <f aca="false">SUM($G$5:$G324)</f>
        <v>4</v>
      </c>
    </row>
    <row r="325" customFormat="false" ht="15" hidden="false" customHeight="false" outlineLevel="0" collapsed="false">
      <c r="D325" s="71" t="n">
        <f aca="false">IF(电梯资料!$C325="",0,IF(OR(电梯资料!$AA325&lt;&gt;"",电梯资料!$AB325&lt;&gt;""),1,0))</f>
        <v>0</v>
      </c>
      <c r="E325" s="71" t="n">
        <f aca="false">SUM($D$5:$D325)</f>
        <v>5</v>
      </c>
      <c r="G325" s="71" t="n">
        <f aca="false">IF(电梯资料!$C325="",0,IF(OR(电梯资料!$Y325="安装免保",电梯资料!$Y325="技术免保",电梯资料!$Y325="质保期内"),1,0))</f>
        <v>0</v>
      </c>
      <c r="H325" s="71" t="n">
        <f aca="false">SUM($G$5:$G325)</f>
        <v>4</v>
      </c>
    </row>
    <row r="326" customFormat="false" ht="15" hidden="false" customHeight="false" outlineLevel="0" collapsed="false">
      <c r="D326" s="71" t="n">
        <f aca="false">IF(电梯资料!$C326="",0,IF(OR(电梯资料!$AA326&lt;&gt;"",电梯资料!$AB326&lt;&gt;""),1,0))</f>
        <v>0</v>
      </c>
      <c r="E326" s="71" t="n">
        <f aca="false">SUM($D$5:$D326)</f>
        <v>5</v>
      </c>
      <c r="G326" s="71" t="n">
        <f aca="false">IF(电梯资料!$C326="",0,IF(OR(电梯资料!$Y326="安装免保",电梯资料!$Y326="技术免保",电梯资料!$Y326="质保期内"),1,0))</f>
        <v>0</v>
      </c>
      <c r="H326" s="71" t="n">
        <f aca="false">SUM($G$5:$G326)</f>
        <v>4</v>
      </c>
    </row>
    <row r="327" customFormat="false" ht="15" hidden="false" customHeight="false" outlineLevel="0" collapsed="false">
      <c r="D327" s="71" t="n">
        <f aca="false">IF(电梯资料!$C327="",0,IF(OR(电梯资料!$AA327&lt;&gt;"",电梯资料!$AB327&lt;&gt;""),1,0))</f>
        <v>0</v>
      </c>
      <c r="E327" s="71" t="n">
        <f aca="false">SUM($D$5:$D327)</f>
        <v>5</v>
      </c>
      <c r="G327" s="71" t="n">
        <f aca="false">IF(电梯资料!$C327="",0,IF(OR(电梯资料!$Y327="安装免保",电梯资料!$Y327="技术免保",电梯资料!$Y327="质保期内"),1,0))</f>
        <v>0</v>
      </c>
      <c r="H327" s="71" t="n">
        <f aca="false">SUM($G$5:$G327)</f>
        <v>4</v>
      </c>
    </row>
    <row r="328" customFormat="false" ht="15" hidden="false" customHeight="false" outlineLevel="0" collapsed="false">
      <c r="D328" s="71" t="n">
        <f aca="false">IF(电梯资料!$C328="",0,IF(OR(电梯资料!$AA328&lt;&gt;"",电梯资料!$AB328&lt;&gt;""),1,0))</f>
        <v>0</v>
      </c>
      <c r="E328" s="71" t="n">
        <f aca="false">SUM($D$5:$D328)</f>
        <v>5</v>
      </c>
      <c r="G328" s="71" t="n">
        <f aca="false">IF(电梯资料!$C328="",0,IF(OR(电梯资料!$Y328="安装免保",电梯资料!$Y328="技术免保",电梯资料!$Y328="质保期内"),1,0))</f>
        <v>0</v>
      </c>
      <c r="H328" s="71" t="n">
        <f aca="false">SUM($G$5:$G328)</f>
        <v>4</v>
      </c>
    </row>
    <row r="329" customFormat="false" ht="15" hidden="false" customHeight="false" outlineLevel="0" collapsed="false">
      <c r="D329" s="71" t="n">
        <f aca="false">IF(电梯资料!$C329="",0,IF(OR(电梯资料!$AA329&lt;&gt;"",电梯资料!$AB329&lt;&gt;""),1,0))</f>
        <v>0</v>
      </c>
      <c r="E329" s="71" t="n">
        <f aca="false">SUM($D$5:$D329)</f>
        <v>5</v>
      </c>
      <c r="G329" s="71" t="n">
        <f aca="false">IF(电梯资料!$C329="",0,IF(OR(电梯资料!$Y329="安装免保",电梯资料!$Y329="技术免保",电梯资料!$Y329="质保期内"),1,0))</f>
        <v>0</v>
      </c>
      <c r="H329" s="71" t="n">
        <f aca="false">SUM($G$5:$G329)</f>
        <v>4</v>
      </c>
    </row>
    <row r="330" customFormat="false" ht="15" hidden="false" customHeight="false" outlineLevel="0" collapsed="false">
      <c r="D330" s="71" t="n">
        <f aca="false">IF(电梯资料!$C330="",0,IF(OR(电梯资料!$AA330&lt;&gt;"",电梯资料!$AB330&lt;&gt;""),1,0))</f>
        <v>0</v>
      </c>
      <c r="E330" s="71" t="n">
        <f aca="false">SUM($D$5:$D330)</f>
        <v>5</v>
      </c>
      <c r="G330" s="71" t="n">
        <f aca="false">IF(电梯资料!$C330="",0,IF(OR(电梯资料!$Y330="安装免保",电梯资料!$Y330="技术免保",电梯资料!$Y330="质保期内"),1,0))</f>
        <v>0</v>
      </c>
      <c r="H330" s="71" t="n">
        <f aca="false">SUM($G$5:$G330)</f>
        <v>4</v>
      </c>
    </row>
    <row r="331" customFormat="false" ht="15" hidden="false" customHeight="false" outlineLevel="0" collapsed="false">
      <c r="D331" s="71" t="n">
        <f aca="false">IF(电梯资料!$C331="",0,IF(OR(电梯资料!$AA331&lt;&gt;"",电梯资料!$AB331&lt;&gt;""),1,0))</f>
        <v>0</v>
      </c>
      <c r="E331" s="71" t="n">
        <f aca="false">SUM($D$5:$D331)</f>
        <v>5</v>
      </c>
      <c r="G331" s="71" t="n">
        <f aca="false">IF(电梯资料!$C331="",0,IF(OR(电梯资料!$Y331="安装免保",电梯资料!$Y331="技术免保",电梯资料!$Y331="质保期内"),1,0))</f>
        <v>0</v>
      </c>
      <c r="H331" s="71" t="n">
        <f aca="false">SUM($G$5:$G331)</f>
        <v>4</v>
      </c>
    </row>
    <row r="332" customFormat="false" ht="15" hidden="false" customHeight="false" outlineLevel="0" collapsed="false">
      <c r="D332" s="71" t="n">
        <f aca="false">IF(电梯资料!$C332="",0,IF(OR(电梯资料!$AA332&lt;&gt;"",电梯资料!$AB332&lt;&gt;""),1,0))</f>
        <v>0</v>
      </c>
      <c r="E332" s="71" t="n">
        <f aca="false">SUM($D$5:$D332)</f>
        <v>5</v>
      </c>
      <c r="G332" s="71" t="n">
        <f aca="false">IF(电梯资料!$C332="",0,IF(OR(电梯资料!$Y332="安装免保",电梯资料!$Y332="技术免保",电梯资料!$Y332="质保期内"),1,0))</f>
        <v>0</v>
      </c>
      <c r="H332" s="71" t="n">
        <f aca="false">SUM($G$5:$G332)</f>
        <v>4</v>
      </c>
    </row>
    <row r="333" customFormat="false" ht="15" hidden="false" customHeight="false" outlineLevel="0" collapsed="false">
      <c r="D333" s="71" t="n">
        <f aca="false">IF(电梯资料!$C333="",0,IF(OR(电梯资料!$AA333&lt;&gt;"",电梯资料!$AB333&lt;&gt;""),1,0))</f>
        <v>0</v>
      </c>
      <c r="E333" s="71" t="n">
        <f aca="false">SUM($D$5:$D333)</f>
        <v>5</v>
      </c>
      <c r="G333" s="71" t="n">
        <f aca="false">IF(电梯资料!$C333="",0,IF(OR(电梯资料!$Y333="安装免保",电梯资料!$Y333="技术免保",电梯资料!$Y333="质保期内"),1,0))</f>
        <v>0</v>
      </c>
      <c r="H333" s="71" t="n">
        <f aca="false">SUM($G$5:$G333)</f>
        <v>4</v>
      </c>
    </row>
    <row r="334" customFormat="false" ht="15" hidden="false" customHeight="false" outlineLevel="0" collapsed="false">
      <c r="D334" s="71" t="n">
        <f aca="false">IF(电梯资料!$C334="",0,IF(OR(电梯资料!$AA334&lt;&gt;"",电梯资料!$AB334&lt;&gt;""),1,0))</f>
        <v>0</v>
      </c>
      <c r="E334" s="71" t="n">
        <f aca="false">SUM($D$5:$D334)</f>
        <v>5</v>
      </c>
      <c r="G334" s="71" t="n">
        <f aca="false">IF(电梯资料!$C334="",0,IF(OR(电梯资料!$Y334="安装免保",电梯资料!$Y334="技术免保",电梯资料!$Y334="质保期内"),1,0))</f>
        <v>0</v>
      </c>
      <c r="H334" s="71" t="n">
        <f aca="false">SUM($G$5:$G334)</f>
        <v>4</v>
      </c>
    </row>
    <row r="335" customFormat="false" ht="15" hidden="false" customHeight="false" outlineLevel="0" collapsed="false">
      <c r="D335" s="71" t="n">
        <f aca="false">IF(电梯资料!$C335="",0,IF(OR(电梯资料!$AA335&lt;&gt;"",电梯资料!$AB335&lt;&gt;""),1,0))</f>
        <v>0</v>
      </c>
      <c r="E335" s="71" t="n">
        <f aca="false">SUM($D$5:$D335)</f>
        <v>5</v>
      </c>
      <c r="G335" s="71" t="n">
        <f aca="false">IF(电梯资料!$C335="",0,IF(OR(电梯资料!$Y335="安装免保",电梯资料!$Y335="技术免保",电梯资料!$Y335="质保期内"),1,0))</f>
        <v>0</v>
      </c>
      <c r="H335" s="71" t="n">
        <f aca="false">SUM($G$5:$G335)</f>
        <v>4</v>
      </c>
    </row>
    <row r="336" customFormat="false" ht="15" hidden="false" customHeight="false" outlineLevel="0" collapsed="false">
      <c r="D336" s="71" t="n">
        <f aca="false">IF(电梯资料!$C336="",0,IF(OR(电梯资料!$AA336&lt;&gt;"",电梯资料!$AB336&lt;&gt;""),1,0))</f>
        <v>0</v>
      </c>
      <c r="E336" s="71" t="n">
        <f aca="false">SUM($D$5:$D336)</f>
        <v>5</v>
      </c>
      <c r="G336" s="71" t="n">
        <f aca="false">IF(电梯资料!$C336="",0,IF(OR(电梯资料!$Y336="安装免保",电梯资料!$Y336="技术免保",电梯资料!$Y336="质保期内"),1,0))</f>
        <v>0</v>
      </c>
      <c r="H336" s="71" t="n">
        <f aca="false">SUM($G$5:$G336)</f>
        <v>4</v>
      </c>
    </row>
    <row r="337" customFormat="false" ht="15" hidden="false" customHeight="false" outlineLevel="0" collapsed="false">
      <c r="D337" s="71" t="n">
        <f aca="false">IF(电梯资料!$C337="",0,IF(OR(电梯资料!$AA337&lt;&gt;"",电梯资料!$AB337&lt;&gt;""),1,0))</f>
        <v>0</v>
      </c>
      <c r="E337" s="71" t="n">
        <f aca="false">SUM($D$5:$D337)</f>
        <v>5</v>
      </c>
      <c r="G337" s="71" t="n">
        <f aca="false">IF(电梯资料!$C337="",0,IF(OR(电梯资料!$Y337="安装免保",电梯资料!$Y337="技术免保",电梯资料!$Y337="质保期内"),1,0))</f>
        <v>0</v>
      </c>
      <c r="H337" s="71" t="n">
        <f aca="false">SUM($G$5:$G337)</f>
        <v>4</v>
      </c>
    </row>
    <row r="338" customFormat="false" ht="15" hidden="false" customHeight="false" outlineLevel="0" collapsed="false">
      <c r="D338" s="71" t="n">
        <f aca="false">IF(电梯资料!$C338="",0,IF(OR(电梯资料!$AA338&lt;&gt;"",电梯资料!$AB338&lt;&gt;""),1,0))</f>
        <v>0</v>
      </c>
      <c r="E338" s="71" t="n">
        <f aca="false">SUM($D$5:$D338)</f>
        <v>5</v>
      </c>
      <c r="G338" s="71" t="n">
        <f aca="false">IF(电梯资料!$C338="",0,IF(OR(电梯资料!$Y338="安装免保",电梯资料!$Y338="技术免保",电梯资料!$Y338="质保期内"),1,0))</f>
        <v>0</v>
      </c>
      <c r="H338" s="71" t="n">
        <f aca="false">SUM($G$5:$G338)</f>
        <v>4</v>
      </c>
    </row>
    <row r="339" customFormat="false" ht="15" hidden="false" customHeight="false" outlineLevel="0" collapsed="false">
      <c r="D339" s="71" t="n">
        <f aca="false">IF(电梯资料!$C339="",0,IF(OR(电梯资料!$AA339&lt;&gt;"",电梯资料!$AB339&lt;&gt;""),1,0))</f>
        <v>0</v>
      </c>
      <c r="E339" s="71" t="n">
        <f aca="false">SUM($D$5:$D339)</f>
        <v>5</v>
      </c>
      <c r="G339" s="71" t="n">
        <f aca="false">IF(电梯资料!$C339="",0,IF(OR(电梯资料!$Y339="安装免保",电梯资料!$Y339="技术免保",电梯资料!$Y339="质保期内"),1,0))</f>
        <v>0</v>
      </c>
      <c r="H339" s="71" t="n">
        <f aca="false">SUM($G$5:$G339)</f>
        <v>4</v>
      </c>
    </row>
    <row r="340" customFormat="false" ht="15" hidden="false" customHeight="false" outlineLevel="0" collapsed="false">
      <c r="D340" s="71" t="n">
        <f aca="false">IF(电梯资料!$C340="",0,IF(OR(电梯资料!$AA340&lt;&gt;"",电梯资料!$AB340&lt;&gt;""),1,0))</f>
        <v>0</v>
      </c>
      <c r="E340" s="71" t="n">
        <f aca="false">SUM($D$5:$D340)</f>
        <v>5</v>
      </c>
      <c r="G340" s="71" t="n">
        <f aca="false">IF(电梯资料!$C340="",0,IF(OR(电梯资料!$Y340="安装免保",电梯资料!$Y340="技术免保",电梯资料!$Y340="质保期内"),1,0))</f>
        <v>0</v>
      </c>
      <c r="H340" s="71" t="n">
        <f aca="false">SUM($G$5:$G340)</f>
        <v>4</v>
      </c>
    </row>
    <row r="341" customFormat="false" ht="15" hidden="false" customHeight="false" outlineLevel="0" collapsed="false">
      <c r="D341" s="71" t="n">
        <f aca="false">IF(电梯资料!$C341="",0,IF(OR(电梯资料!$AA341&lt;&gt;"",电梯资料!$AB341&lt;&gt;""),1,0))</f>
        <v>0</v>
      </c>
      <c r="E341" s="71" t="n">
        <f aca="false">SUM($D$5:$D341)</f>
        <v>5</v>
      </c>
      <c r="G341" s="71" t="n">
        <f aca="false">IF(电梯资料!$C341="",0,IF(OR(电梯资料!$Y341="安装免保",电梯资料!$Y341="技术免保",电梯资料!$Y341="质保期内"),1,0))</f>
        <v>0</v>
      </c>
      <c r="H341" s="71" t="n">
        <f aca="false">SUM($G$5:$G341)</f>
        <v>4</v>
      </c>
    </row>
    <row r="342" customFormat="false" ht="15" hidden="false" customHeight="false" outlineLevel="0" collapsed="false">
      <c r="D342" s="71" t="n">
        <f aca="false">IF(电梯资料!$C342="",0,IF(OR(电梯资料!$AA342&lt;&gt;"",电梯资料!$AB342&lt;&gt;""),1,0))</f>
        <v>0</v>
      </c>
      <c r="E342" s="71" t="n">
        <f aca="false">SUM($D$5:$D342)</f>
        <v>5</v>
      </c>
      <c r="G342" s="71" t="n">
        <f aca="false">IF(电梯资料!$C342="",0,IF(OR(电梯资料!$Y342="安装免保",电梯资料!$Y342="技术免保",电梯资料!$Y342="质保期内"),1,0))</f>
        <v>0</v>
      </c>
      <c r="H342" s="71" t="n">
        <f aca="false">SUM($G$5:$G342)</f>
        <v>4</v>
      </c>
    </row>
    <row r="343" customFormat="false" ht="15" hidden="false" customHeight="false" outlineLevel="0" collapsed="false">
      <c r="D343" s="71" t="n">
        <f aca="false">IF(电梯资料!$C343="",0,IF(OR(电梯资料!$AA343&lt;&gt;"",电梯资料!$AB343&lt;&gt;""),1,0))</f>
        <v>0</v>
      </c>
      <c r="E343" s="71" t="n">
        <f aca="false">SUM($D$5:$D343)</f>
        <v>5</v>
      </c>
      <c r="G343" s="71" t="n">
        <f aca="false">IF(电梯资料!$C343="",0,IF(OR(电梯资料!$Y343="安装免保",电梯资料!$Y343="技术免保",电梯资料!$Y343="质保期内"),1,0))</f>
        <v>0</v>
      </c>
      <c r="H343" s="71" t="n">
        <f aca="false">SUM($G$5:$G343)</f>
        <v>4</v>
      </c>
    </row>
    <row r="344" customFormat="false" ht="15" hidden="false" customHeight="false" outlineLevel="0" collapsed="false">
      <c r="D344" s="71" t="n">
        <f aca="false">IF(电梯资料!$C344="",0,IF(OR(电梯资料!$AA344&lt;&gt;"",电梯资料!$AB344&lt;&gt;""),1,0))</f>
        <v>0</v>
      </c>
      <c r="E344" s="71" t="n">
        <f aca="false">SUM($D$5:$D344)</f>
        <v>5</v>
      </c>
      <c r="G344" s="71" t="n">
        <f aca="false">IF(电梯资料!$C344="",0,IF(OR(电梯资料!$Y344="安装免保",电梯资料!$Y344="技术免保",电梯资料!$Y344="质保期内"),1,0))</f>
        <v>0</v>
      </c>
      <c r="H344" s="71" t="n">
        <f aca="false">SUM($G$5:$G344)</f>
        <v>4</v>
      </c>
    </row>
    <row r="345" customFormat="false" ht="15" hidden="false" customHeight="false" outlineLevel="0" collapsed="false">
      <c r="D345" s="71" t="n">
        <f aca="false">IF(电梯资料!$C345="",0,IF(OR(电梯资料!$AA345&lt;&gt;"",电梯资料!$AB345&lt;&gt;""),1,0))</f>
        <v>0</v>
      </c>
      <c r="E345" s="71" t="n">
        <f aca="false">SUM($D$5:$D345)</f>
        <v>5</v>
      </c>
      <c r="G345" s="71" t="n">
        <f aca="false">IF(电梯资料!$C345="",0,IF(OR(电梯资料!$Y345="安装免保",电梯资料!$Y345="技术免保",电梯资料!$Y345="质保期内"),1,0))</f>
        <v>0</v>
      </c>
      <c r="H345" s="71" t="n">
        <f aca="false">SUM($G$5:$G345)</f>
        <v>4</v>
      </c>
    </row>
    <row r="346" customFormat="false" ht="15" hidden="false" customHeight="false" outlineLevel="0" collapsed="false">
      <c r="D346" s="71" t="n">
        <f aca="false">IF(电梯资料!$C346="",0,IF(OR(电梯资料!$AA346&lt;&gt;"",电梯资料!$AB346&lt;&gt;""),1,0))</f>
        <v>0</v>
      </c>
      <c r="E346" s="71" t="n">
        <f aca="false">SUM($D$5:$D346)</f>
        <v>5</v>
      </c>
      <c r="G346" s="71" t="n">
        <f aca="false">IF(电梯资料!$C346="",0,IF(OR(电梯资料!$Y346="安装免保",电梯资料!$Y346="技术免保",电梯资料!$Y346="质保期内"),1,0))</f>
        <v>0</v>
      </c>
      <c r="H346" s="71" t="n">
        <f aca="false">SUM($G$5:$G346)</f>
        <v>4</v>
      </c>
    </row>
    <row r="347" customFormat="false" ht="15" hidden="false" customHeight="false" outlineLevel="0" collapsed="false">
      <c r="D347" s="71" t="n">
        <f aca="false">IF(电梯资料!$C347="",0,IF(OR(电梯资料!$AA347&lt;&gt;"",电梯资料!$AB347&lt;&gt;""),1,0))</f>
        <v>0</v>
      </c>
      <c r="E347" s="71" t="n">
        <f aca="false">SUM($D$5:$D347)</f>
        <v>5</v>
      </c>
      <c r="G347" s="71" t="n">
        <f aca="false">IF(电梯资料!$C347="",0,IF(OR(电梯资料!$Y347="安装免保",电梯资料!$Y347="技术免保",电梯资料!$Y347="质保期内"),1,0))</f>
        <v>0</v>
      </c>
      <c r="H347" s="71" t="n">
        <f aca="false">SUM($G$5:$G347)</f>
        <v>4</v>
      </c>
    </row>
    <row r="348" customFormat="false" ht="15" hidden="false" customHeight="false" outlineLevel="0" collapsed="false">
      <c r="D348" s="71" t="n">
        <f aca="false">IF(电梯资料!$C348="",0,IF(OR(电梯资料!$AA348&lt;&gt;"",电梯资料!$AB348&lt;&gt;""),1,0))</f>
        <v>0</v>
      </c>
      <c r="E348" s="71" t="n">
        <f aca="false">SUM($D$5:$D348)</f>
        <v>5</v>
      </c>
      <c r="G348" s="71" t="n">
        <f aca="false">IF(电梯资料!$C348="",0,IF(OR(电梯资料!$Y348="安装免保",电梯资料!$Y348="技术免保",电梯资料!$Y348="质保期内"),1,0))</f>
        <v>0</v>
      </c>
      <c r="H348" s="71" t="n">
        <f aca="false">SUM($G$5:$G348)</f>
        <v>4</v>
      </c>
    </row>
    <row r="349" customFormat="false" ht="15" hidden="false" customHeight="false" outlineLevel="0" collapsed="false">
      <c r="D349" s="71" t="n">
        <f aca="false">IF(电梯资料!$C349="",0,IF(OR(电梯资料!$AA349&lt;&gt;"",电梯资料!$AB349&lt;&gt;""),1,0))</f>
        <v>0</v>
      </c>
      <c r="E349" s="71" t="n">
        <f aca="false">SUM($D$5:$D349)</f>
        <v>5</v>
      </c>
      <c r="G349" s="71" t="n">
        <f aca="false">IF(电梯资料!$C349="",0,IF(OR(电梯资料!$Y349="安装免保",电梯资料!$Y349="技术免保",电梯资料!$Y349="质保期内"),1,0))</f>
        <v>0</v>
      </c>
      <c r="H349" s="71" t="n">
        <f aca="false">SUM($G$5:$G349)</f>
        <v>4</v>
      </c>
    </row>
    <row r="350" customFormat="false" ht="15" hidden="false" customHeight="false" outlineLevel="0" collapsed="false">
      <c r="D350" s="71" t="n">
        <f aca="false">IF(电梯资料!$C350="",0,IF(OR(电梯资料!$AA350&lt;&gt;"",电梯资料!$AB350&lt;&gt;""),1,0))</f>
        <v>0</v>
      </c>
      <c r="E350" s="71" t="n">
        <f aca="false">SUM($D$5:$D350)</f>
        <v>5</v>
      </c>
      <c r="G350" s="71" t="n">
        <f aca="false">IF(电梯资料!$C350="",0,IF(OR(电梯资料!$Y350="安装免保",电梯资料!$Y350="技术免保",电梯资料!$Y350="质保期内"),1,0))</f>
        <v>0</v>
      </c>
      <c r="H350" s="71" t="n">
        <f aca="false">SUM($G$5:$G350)</f>
        <v>4</v>
      </c>
    </row>
    <row r="351" customFormat="false" ht="15" hidden="false" customHeight="false" outlineLevel="0" collapsed="false">
      <c r="D351" s="71" t="n">
        <f aca="false">IF(电梯资料!$C351="",0,IF(OR(电梯资料!$AA351&lt;&gt;"",电梯资料!$AB351&lt;&gt;""),1,0))</f>
        <v>0</v>
      </c>
      <c r="E351" s="71" t="n">
        <f aca="false">SUM($D$5:$D351)</f>
        <v>5</v>
      </c>
      <c r="G351" s="71" t="n">
        <f aca="false">IF(电梯资料!$C351="",0,IF(OR(电梯资料!$Y351="安装免保",电梯资料!$Y351="技术免保",电梯资料!$Y351="质保期内"),1,0))</f>
        <v>0</v>
      </c>
      <c r="H351" s="71" t="n">
        <f aca="false">SUM($G$5:$G351)</f>
        <v>4</v>
      </c>
    </row>
    <row r="352" customFormat="false" ht="15" hidden="false" customHeight="false" outlineLevel="0" collapsed="false">
      <c r="D352" s="71" t="n">
        <f aca="false">IF(电梯资料!$C352="",0,IF(OR(电梯资料!$AA352&lt;&gt;"",电梯资料!$AB352&lt;&gt;""),1,0))</f>
        <v>0</v>
      </c>
      <c r="E352" s="71" t="n">
        <f aca="false">SUM($D$5:$D352)</f>
        <v>5</v>
      </c>
      <c r="G352" s="71" t="n">
        <f aca="false">IF(电梯资料!$C352="",0,IF(OR(电梯资料!$Y352="安装免保",电梯资料!$Y352="技术免保",电梯资料!$Y352="质保期内"),1,0))</f>
        <v>0</v>
      </c>
      <c r="H352" s="71" t="n">
        <f aca="false">SUM($G$5:$G352)</f>
        <v>4</v>
      </c>
    </row>
    <row r="353" customFormat="false" ht="15" hidden="false" customHeight="false" outlineLevel="0" collapsed="false">
      <c r="D353" s="71" t="n">
        <f aca="false">IF(电梯资料!$C353="",0,IF(OR(电梯资料!$AA353&lt;&gt;"",电梯资料!$AB353&lt;&gt;""),1,0))</f>
        <v>0</v>
      </c>
      <c r="E353" s="71" t="n">
        <f aca="false">SUM($D$5:$D353)</f>
        <v>5</v>
      </c>
      <c r="G353" s="71" t="n">
        <f aca="false">IF(电梯资料!$C353="",0,IF(OR(电梯资料!$Y353="安装免保",电梯资料!$Y353="技术免保",电梯资料!$Y353="质保期内"),1,0))</f>
        <v>0</v>
      </c>
      <c r="H353" s="71" t="n">
        <f aca="false">SUM($G$5:$G353)</f>
        <v>4</v>
      </c>
    </row>
    <row r="354" customFormat="false" ht="15" hidden="false" customHeight="false" outlineLevel="0" collapsed="false">
      <c r="D354" s="71" t="n">
        <f aca="false">IF(电梯资料!$C354="",0,IF(OR(电梯资料!$AA354&lt;&gt;"",电梯资料!$AB354&lt;&gt;""),1,0))</f>
        <v>0</v>
      </c>
      <c r="E354" s="71" t="n">
        <f aca="false">SUM($D$5:$D354)</f>
        <v>5</v>
      </c>
      <c r="G354" s="71" t="n">
        <f aca="false">IF(电梯资料!$C354="",0,IF(OR(电梯资料!$Y354="安装免保",电梯资料!$Y354="技术免保",电梯资料!$Y354="质保期内"),1,0))</f>
        <v>0</v>
      </c>
      <c r="H354" s="71" t="n">
        <f aca="false">SUM($G$5:$G354)</f>
        <v>4</v>
      </c>
    </row>
    <row r="355" customFormat="false" ht="15" hidden="false" customHeight="false" outlineLevel="0" collapsed="false">
      <c r="D355" s="71" t="n">
        <f aca="false">IF(电梯资料!$C355="",0,IF(OR(电梯资料!$AA355&lt;&gt;"",电梯资料!$AB355&lt;&gt;""),1,0))</f>
        <v>0</v>
      </c>
      <c r="E355" s="71" t="n">
        <f aca="false">SUM($D$5:$D355)</f>
        <v>5</v>
      </c>
      <c r="G355" s="71" t="n">
        <f aca="false">IF(电梯资料!$C355="",0,IF(OR(电梯资料!$Y355="安装免保",电梯资料!$Y355="技术免保",电梯资料!$Y355="质保期内"),1,0))</f>
        <v>0</v>
      </c>
      <c r="H355" s="71" t="n">
        <f aca="false">SUM($G$5:$G355)</f>
        <v>4</v>
      </c>
    </row>
    <row r="356" customFormat="false" ht="15" hidden="false" customHeight="false" outlineLevel="0" collapsed="false">
      <c r="D356" s="71" t="n">
        <f aca="false">IF(电梯资料!$C356="",0,IF(OR(电梯资料!$AA356&lt;&gt;"",电梯资料!$AB356&lt;&gt;""),1,0))</f>
        <v>0</v>
      </c>
      <c r="E356" s="71" t="n">
        <f aca="false">SUM($D$5:$D356)</f>
        <v>5</v>
      </c>
      <c r="G356" s="71" t="n">
        <f aca="false">IF(电梯资料!$C356="",0,IF(OR(电梯资料!$Y356="安装免保",电梯资料!$Y356="技术免保",电梯资料!$Y356="质保期内"),1,0))</f>
        <v>0</v>
      </c>
      <c r="H356" s="71" t="n">
        <f aca="false">SUM($G$5:$G356)</f>
        <v>4</v>
      </c>
    </row>
    <row r="357" customFormat="false" ht="15" hidden="false" customHeight="false" outlineLevel="0" collapsed="false">
      <c r="D357" s="71" t="n">
        <f aca="false">IF(电梯资料!$C357="",0,IF(OR(电梯资料!$AA357&lt;&gt;"",电梯资料!$AB357&lt;&gt;""),1,0))</f>
        <v>0</v>
      </c>
      <c r="E357" s="71" t="n">
        <f aca="false">SUM($D$5:$D357)</f>
        <v>5</v>
      </c>
      <c r="G357" s="71" t="n">
        <f aca="false">IF(电梯资料!$C357="",0,IF(OR(电梯资料!$Y357="安装免保",电梯资料!$Y357="技术免保",电梯资料!$Y357="质保期内"),1,0))</f>
        <v>0</v>
      </c>
      <c r="H357" s="71" t="n">
        <f aca="false">SUM($G$5:$G357)</f>
        <v>4</v>
      </c>
    </row>
    <row r="358" customFormat="false" ht="15" hidden="false" customHeight="false" outlineLevel="0" collapsed="false">
      <c r="D358" s="71" t="n">
        <f aca="false">IF(电梯资料!$C358="",0,IF(OR(电梯资料!$AA358&lt;&gt;"",电梯资料!$AB358&lt;&gt;""),1,0))</f>
        <v>0</v>
      </c>
      <c r="E358" s="71" t="n">
        <f aca="false">SUM($D$5:$D358)</f>
        <v>5</v>
      </c>
      <c r="G358" s="71" t="n">
        <f aca="false">IF(电梯资料!$C358="",0,IF(OR(电梯资料!$Y358="安装免保",电梯资料!$Y358="技术免保",电梯资料!$Y358="质保期内"),1,0))</f>
        <v>0</v>
      </c>
      <c r="H358" s="71" t="n">
        <f aca="false">SUM($G$5:$G358)</f>
        <v>4</v>
      </c>
    </row>
    <row r="359" customFormat="false" ht="15" hidden="false" customHeight="false" outlineLevel="0" collapsed="false">
      <c r="D359" s="71" t="n">
        <f aca="false">IF(电梯资料!$C359="",0,IF(OR(电梯资料!$AA359&lt;&gt;"",电梯资料!$AB359&lt;&gt;""),1,0))</f>
        <v>0</v>
      </c>
      <c r="E359" s="71" t="n">
        <f aca="false">SUM($D$5:$D359)</f>
        <v>5</v>
      </c>
      <c r="G359" s="71" t="n">
        <f aca="false">IF(电梯资料!$C359="",0,IF(OR(电梯资料!$Y359="安装免保",电梯资料!$Y359="技术免保",电梯资料!$Y359="质保期内"),1,0))</f>
        <v>0</v>
      </c>
      <c r="H359" s="71" t="n">
        <f aca="false">SUM($G$5:$G359)</f>
        <v>4</v>
      </c>
    </row>
    <row r="360" customFormat="false" ht="15" hidden="false" customHeight="false" outlineLevel="0" collapsed="false">
      <c r="D360" s="71" t="n">
        <f aca="false">IF(电梯资料!$C360="",0,IF(OR(电梯资料!$AA360&lt;&gt;"",电梯资料!$AB360&lt;&gt;""),1,0))</f>
        <v>0</v>
      </c>
      <c r="E360" s="71" t="n">
        <f aca="false">SUM($D$5:$D360)</f>
        <v>5</v>
      </c>
      <c r="G360" s="71" t="n">
        <f aca="false">IF(电梯资料!$C360="",0,IF(OR(电梯资料!$Y360="安装免保",电梯资料!$Y360="技术免保",电梯资料!$Y360="质保期内"),1,0))</f>
        <v>0</v>
      </c>
      <c r="H360" s="71" t="n">
        <f aca="false">SUM($G$5:$G360)</f>
        <v>4</v>
      </c>
    </row>
    <row r="361" customFormat="false" ht="15" hidden="false" customHeight="false" outlineLevel="0" collapsed="false">
      <c r="D361" s="71" t="n">
        <f aca="false">IF(电梯资料!$C361="",0,IF(OR(电梯资料!$AA361&lt;&gt;"",电梯资料!$AB361&lt;&gt;""),1,0))</f>
        <v>0</v>
      </c>
      <c r="E361" s="71" t="n">
        <f aca="false">SUM($D$5:$D361)</f>
        <v>5</v>
      </c>
      <c r="G361" s="71" t="n">
        <f aca="false">IF(电梯资料!$C361="",0,IF(OR(电梯资料!$Y361="安装免保",电梯资料!$Y361="技术免保",电梯资料!$Y361="质保期内"),1,0))</f>
        <v>0</v>
      </c>
      <c r="H361" s="71" t="n">
        <f aca="false">SUM($G$5:$G361)</f>
        <v>4</v>
      </c>
    </row>
    <row r="362" customFormat="false" ht="15" hidden="false" customHeight="false" outlineLevel="0" collapsed="false">
      <c r="D362" s="71" t="n">
        <f aca="false">IF(电梯资料!$C362="",0,IF(OR(电梯资料!$AA362&lt;&gt;"",电梯资料!$AB362&lt;&gt;""),1,0))</f>
        <v>0</v>
      </c>
      <c r="E362" s="71" t="n">
        <f aca="false">SUM($D$5:$D362)</f>
        <v>5</v>
      </c>
      <c r="G362" s="71" t="n">
        <f aca="false">IF(电梯资料!$C362="",0,IF(OR(电梯资料!$Y362="安装免保",电梯资料!$Y362="技术免保",电梯资料!$Y362="质保期内"),1,0))</f>
        <v>0</v>
      </c>
      <c r="H362" s="71" t="n">
        <f aca="false">SUM($G$5:$G362)</f>
        <v>4</v>
      </c>
    </row>
    <row r="363" customFormat="false" ht="15" hidden="false" customHeight="false" outlineLevel="0" collapsed="false">
      <c r="D363" s="71" t="n">
        <f aca="false">IF(电梯资料!$C363="",0,IF(OR(电梯资料!$AA363&lt;&gt;"",电梯资料!$AB363&lt;&gt;""),1,0))</f>
        <v>0</v>
      </c>
      <c r="E363" s="71" t="n">
        <f aca="false">SUM($D$5:$D363)</f>
        <v>5</v>
      </c>
      <c r="G363" s="71" t="n">
        <f aca="false">IF(电梯资料!$C363="",0,IF(OR(电梯资料!$Y363="安装免保",电梯资料!$Y363="技术免保",电梯资料!$Y363="质保期内"),1,0))</f>
        <v>0</v>
      </c>
      <c r="H363" s="71" t="n">
        <f aca="false">SUM($G$5:$G363)</f>
        <v>4</v>
      </c>
    </row>
    <row r="364" customFormat="false" ht="15" hidden="false" customHeight="false" outlineLevel="0" collapsed="false">
      <c r="D364" s="71" t="n">
        <f aca="false">IF(电梯资料!$C364="",0,IF(OR(电梯资料!$AA364&lt;&gt;"",电梯资料!$AB364&lt;&gt;""),1,0))</f>
        <v>0</v>
      </c>
      <c r="E364" s="71" t="n">
        <f aca="false">SUM($D$5:$D364)</f>
        <v>5</v>
      </c>
      <c r="G364" s="71" t="n">
        <f aca="false">IF(电梯资料!$C364="",0,IF(OR(电梯资料!$Y364="安装免保",电梯资料!$Y364="技术免保",电梯资料!$Y364="质保期内"),1,0))</f>
        <v>0</v>
      </c>
      <c r="H364" s="71" t="n">
        <f aca="false">SUM($G$5:$G364)</f>
        <v>4</v>
      </c>
    </row>
    <row r="365" customFormat="false" ht="15" hidden="false" customHeight="false" outlineLevel="0" collapsed="false">
      <c r="D365" s="71" t="n">
        <f aca="false">IF(电梯资料!$C365="",0,IF(OR(电梯资料!$AA365&lt;&gt;"",电梯资料!$AB365&lt;&gt;""),1,0))</f>
        <v>0</v>
      </c>
      <c r="E365" s="71" t="n">
        <f aca="false">SUM($D$5:$D365)</f>
        <v>5</v>
      </c>
      <c r="G365" s="71" t="n">
        <f aca="false">IF(电梯资料!$C365="",0,IF(OR(电梯资料!$Y365="安装免保",电梯资料!$Y365="技术免保",电梯资料!$Y365="质保期内"),1,0))</f>
        <v>0</v>
      </c>
      <c r="H365" s="71" t="n">
        <f aca="false">SUM($G$5:$G365)</f>
        <v>4</v>
      </c>
    </row>
    <row r="366" customFormat="false" ht="15" hidden="false" customHeight="false" outlineLevel="0" collapsed="false">
      <c r="D366" s="71" t="n">
        <f aca="false">IF(电梯资料!$C366="",0,IF(OR(电梯资料!$AA366&lt;&gt;"",电梯资料!$AB366&lt;&gt;""),1,0))</f>
        <v>0</v>
      </c>
      <c r="E366" s="71" t="n">
        <f aca="false">SUM($D$5:$D366)</f>
        <v>5</v>
      </c>
      <c r="G366" s="71" t="n">
        <f aca="false">IF(电梯资料!$C366="",0,IF(OR(电梯资料!$Y366="安装免保",电梯资料!$Y366="技术免保",电梯资料!$Y366="质保期内"),1,0))</f>
        <v>0</v>
      </c>
      <c r="H366" s="71" t="n">
        <f aca="false">SUM($G$5:$G366)</f>
        <v>4</v>
      </c>
    </row>
    <row r="367" customFormat="false" ht="15" hidden="false" customHeight="false" outlineLevel="0" collapsed="false">
      <c r="D367" s="71" t="n">
        <f aca="false">IF(电梯资料!$C367="",0,IF(OR(电梯资料!$AA367&lt;&gt;"",电梯资料!$AB367&lt;&gt;""),1,0))</f>
        <v>0</v>
      </c>
      <c r="E367" s="71" t="n">
        <f aca="false">SUM($D$5:$D367)</f>
        <v>5</v>
      </c>
      <c r="G367" s="71" t="n">
        <f aca="false">IF(电梯资料!$C367="",0,IF(OR(电梯资料!$Y367="安装免保",电梯资料!$Y367="技术免保",电梯资料!$Y367="质保期内"),1,0))</f>
        <v>0</v>
      </c>
      <c r="H367" s="71" t="n">
        <f aca="false">SUM($G$5:$G367)</f>
        <v>4</v>
      </c>
    </row>
    <row r="368" customFormat="false" ht="15" hidden="false" customHeight="false" outlineLevel="0" collapsed="false">
      <c r="D368" s="71" t="n">
        <f aca="false">IF(电梯资料!$C368="",0,IF(OR(电梯资料!$AA368&lt;&gt;"",电梯资料!$AB368&lt;&gt;""),1,0))</f>
        <v>0</v>
      </c>
      <c r="E368" s="71" t="n">
        <f aca="false">SUM($D$5:$D368)</f>
        <v>5</v>
      </c>
      <c r="G368" s="71" t="n">
        <f aca="false">IF(电梯资料!$C368="",0,IF(OR(电梯资料!$Y368="安装免保",电梯资料!$Y368="技术免保",电梯资料!$Y368="质保期内"),1,0))</f>
        <v>0</v>
      </c>
      <c r="H368" s="71" t="n">
        <f aca="false">SUM($G$5:$G368)</f>
        <v>4</v>
      </c>
    </row>
    <row r="369" customFormat="false" ht="15" hidden="false" customHeight="false" outlineLevel="0" collapsed="false">
      <c r="D369" s="71" t="n">
        <f aca="false">IF(电梯资料!$C369="",0,IF(OR(电梯资料!$AA369&lt;&gt;"",电梯资料!$AB369&lt;&gt;""),1,0))</f>
        <v>0</v>
      </c>
      <c r="E369" s="71" t="n">
        <f aca="false">SUM($D$5:$D369)</f>
        <v>5</v>
      </c>
      <c r="G369" s="71" t="n">
        <f aca="false">IF(电梯资料!$C369="",0,IF(OR(电梯资料!$Y369="安装免保",电梯资料!$Y369="技术免保",电梯资料!$Y369="质保期内"),1,0))</f>
        <v>0</v>
      </c>
      <c r="H369" s="71" t="n">
        <f aca="false">SUM($G$5:$G369)</f>
        <v>4</v>
      </c>
    </row>
    <row r="370" customFormat="false" ht="15" hidden="false" customHeight="false" outlineLevel="0" collapsed="false">
      <c r="D370" s="71" t="n">
        <f aca="false">IF(电梯资料!$C370="",0,IF(OR(电梯资料!$AA370&lt;&gt;"",电梯资料!$AB370&lt;&gt;""),1,0))</f>
        <v>0</v>
      </c>
      <c r="E370" s="71" t="n">
        <f aca="false">SUM($D$5:$D370)</f>
        <v>5</v>
      </c>
      <c r="G370" s="71" t="n">
        <f aca="false">IF(电梯资料!$C370="",0,IF(OR(电梯资料!$Y370="安装免保",电梯资料!$Y370="技术免保",电梯资料!$Y370="质保期内"),1,0))</f>
        <v>0</v>
      </c>
      <c r="H370" s="71" t="n">
        <f aca="false">SUM($G$5:$G370)</f>
        <v>4</v>
      </c>
    </row>
    <row r="371" customFormat="false" ht="15" hidden="false" customHeight="false" outlineLevel="0" collapsed="false">
      <c r="D371" s="71" t="n">
        <f aca="false">IF(电梯资料!$C371="",0,IF(OR(电梯资料!$AA371&lt;&gt;"",电梯资料!$AB371&lt;&gt;""),1,0))</f>
        <v>0</v>
      </c>
      <c r="E371" s="71" t="n">
        <f aca="false">SUM($D$5:$D371)</f>
        <v>5</v>
      </c>
      <c r="G371" s="71" t="n">
        <f aca="false">IF(电梯资料!$C371="",0,IF(OR(电梯资料!$Y371="安装免保",电梯资料!$Y371="技术免保",电梯资料!$Y371="质保期内"),1,0))</f>
        <v>0</v>
      </c>
      <c r="H371" s="71" t="n">
        <f aca="false">SUM($G$5:$G371)</f>
        <v>4</v>
      </c>
    </row>
    <row r="372" customFormat="false" ht="15" hidden="false" customHeight="false" outlineLevel="0" collapsed="false">
      <c r="D372" s="71" t="n">
        <f aca="false">IF(电梯资料!$C372="",0,IF(OR(电梯资料!$AA372&lt;&gt;"",电梯资料!$AB372&lt;&gt;""),1,0))</f>
        <v>0</v>
      </c>
      <c r="E372" s="71" t="n">
        <f aca="false">SUM($D$5:$D372)</f>
        <v>5</v>
      </c>
      <c r="G372" s="71" t="n">
        <f aca="false">IF(电梯资料!$C372="",0,IF(OR(电梯资料!$Y372="安装免保",电梯资料!$Y372="技术免保",电梯资料!$Y372="质保期内"),1,0))</f>
        <v>0</v>
      </c>
      <c r="H372" s="71" t="n">
        <f aca="false">SUM($G$5:$G372)</f>
        <v>4</v>
      </c>
    </row>
    <row r="373" customFormat="false" ht="15" hidden="false" customHeight="false" outlineLevel="0" collapsed="false">
      <c r="D373" s="71" t="n">
        <f aca="false">IF(电梯资料!$C373="",0,IF(OR(电梯资料!$AA373&lt;&gt;"",电梯资料!$AB373&lt;&gt;""),1,0))</f>
        <v>0</v>
      </c>
      <c r="E373" s="71" t="n">
        <f aca="false">SUM($D$5:$D373)</f>
        <v>5</v>
      </c>
      <c r="G373" s="71" t="n">
        <f aca="false">IF(电梯资料!$C373="",0,IF(OR(电梯资料!$Y373="安装免保",电梯资料!$Y373="技术免保",电梯资料!$Y373="质保期内"),1,0))</f>
        <v>0</v>
      </c>
      <c r="H373" s="71" t="n">
        <f aca="false">SUM($G$5:$G373)</f>
        <v>4</v>
      </c>
    </row>
    <row r="374" customFormat="false" ht="15" hidden="false" customHeight="false" outlineLevel="0" collapsed="false">
      <c r="D374" s="71" t="n">
        <f aca="false">IF(电梯资料!$C374="",0,IF(OR(电梯资料!$AA374&lt;&gt;"",电梯资料!$AB374&lt;&gt;""),1,0))</f>
        <v>0</v>
      </c>
      <c r="E374" s="71" t="n">
        <f aca="false">SUM($D$5:$D374)</f>
        <v>5</v>
      </c>
      <c r="G374" s="71" t="n">
        <f aca="false">IF(电梯资料!$C374="",0,IF(OR(电梯资料!$Y374="安装免保",电梯资料!$Y374="技术免保",电梯资料!$Y374="质保期内"),1,0))</f>
        <v>0</v>
      </c>
      <c r="H374" s="71" t="n">
        <f aca="false">SUM($G$5:$G374)</f>
        <v>4</v>
      </c>
    </row>
    <row r="375" customFormat="false" ht="15" hidden="false" customHeight="false" outlineLevel="0" collapsed="false">
      <c r="D375" s="71" t="n">
        <f aca="false">IF(电梯资料!$C375="",0,IF(OR(电梯资料!$AA375&lt;&gt;"",电梯资料!$AB375&lt;&gt;""),1,0))</f>
        <v>0</v>
      </c>
      <c r="E375" s="71" t="n">
        <f aca="false">SUM($D$5:$D375)</f>
        <v>5</v>
      </c>
      <c r="G375" s="71" t="n">
        <f aca="false">IF(电梯资料!$C375="",0,IF(OR(电梯资料!$Y375="安装免保",电梯资料!$Y375="技术免保",电梯资料!$Y375="质保期内"),1,0))</f>
        <v>0</v>
      </c>
      <c r="H375" s="71" t="n">
        <f aca="false">SUM($G$5:$G375)</f>
        <v>4</v>
      </c>
    </row>
    <row r="376" customFormat="false" ht="15" hidden="false" customHeight="false" outlineLevel="0" collapsed="false">
      <c r="D376" s="71" t="n">
        <f aca="false">IF(电梯资料!$C376="",0,IF(OR(电梯资料!$AA376&lt;&gt;"",电梯资料!$AB376&lt;&gt;""),1,0))</f>
        <v>0</v>
      </c>
      <c r="E376" s="71" t="n">
        <f aca="false">SUM($D$5:$D376)</f>
        <v>5</v>
      </c>
      <c r="G376" s="71" t="n">
        <f aca="false">IF(电梯资料!$C376="",0,IF(OR(电梯资料!$Y376="安装免保",电梯资料!$Y376="技术免保",电梯资料!$Y376="质保期内"),1,0))</f>
        <v>0</v>
      </c>
      <c r="H376" s="71" t="n">
        <f aca="false">SUM($G$5:$G376)</f>
        <v>4</v>
      </c>
    </row>
    <row r="377" customFormat="false" ht="15" hidden="false" customHeight="false" outlineLevel="0" collapsed="false">
      <c r="D377" s="71" t="n">
        <f aca="false">IF(电梯资料!$C377="",0,IF(OR(电梯资料!$AA377&lt;&gt;"",电梯资料!$AB377&lt;&gt;""),1,0))</f>
        <v>0</v>
      </c>
      <c r="E377" s="71" t="n">
        <f aca="false">SUM($D$5:$D377)</f>
        <v>5</v>
      </c>
      <c r="G377" s="71" t="n">
        <f aca="false">IF(电梯资料!$C377="",0,IF(OR(电梯资料!$Y377="安装免保",电梯资料!$Y377="技术免保",电梯资料!$Y377="质保期内"),1,0))</f>
        <v>0</v>
      </c>
      <c r="H377" s="71" t="n">
        <f aca="false">SUM($G$5:$G377)</f>
        <v>4</v>
      </c>
    </row>
    <row r="378" customFormat="false" ht="15" hidden="false" customHeight="false" outlineLevel="0" collapsed="false">
      <c r="D378" s="71" t="n">
        <f aca="false">IF(电梯资料!$C378="",0,IF(OR(电梯资料!$AA378&lt;&gt;"",电梯资料!$AB378&lt;&gt;""),1,0))</f>
        <v>0</v>
      </c>
      <c r="E378" s="71" t="n">
        <f aca="false">SUM($D$5:$D378)</f>
        <v>5</v>
      </c>
      <c r="G378" s="71" t="n">
        <f aca="false">IF(电梯资料!$C378="",0,IF(OR(电梯资料!$Y378="安装免保",电梯资料!$Y378="技术免保",电梯资料!$Y378="质保期内"),1,0))</f>
        <v>0</v>
      </c>
      <c r="H378" s="71" t="n">
        <f aca="false">SUM($G$5:$G378)</f>
        <v>4</v>
      </c>
    </row>
    <row r="379" customFormat="false" ht="15" hidden="false" customHeight="false" outlineLevel="0" collapsed="false">
      <c r="D379" s="71" t="n">
        <f aca="false">IF(电梯资料!$C379="",0,IF(OR(电梯资料!$AA379&lt;&gt;"",电梯资料!$AB379&lt;&gt;""),1,0))</f>
        <v>0</v>
      </c>
      <c r="E379" s="71" t="n">
        <f aca="false">SUM($D$5:$D379)</f>
        <v>5</v>
      </c>
      <c r="G379" s="71" t="n">
        <f aca="false">IF(电梯资料!$C379="",0,IF(OR(电梯资料!$Y379="安装免保",电梯资料!$Y379="技术免保",电梯资料!$Y379="质保期内"),1,0))</f>
        <v>0</v>
      </c>
      <c r="H379" s="71" t="n">
        <f aca="false">SUM($G$5:$G379)</f>
        <v>4</v>
      </c>
    </row>
    <row r="380" customFormat="false" ht="15" hidden="false" customHeight="false" outlineLevel="0" collapsed="false">
      <c r="D380" s="71" t="n">
        <f aca="false">IF(电梯资料!$C380="",0,IF(OR(电梯资料!$AA380&lt;&gt;"",电梯资料!$AB380&lt;&gt;""),1,0))</f>
        <v>0</v>
      </c>
      <c r="E380" s="71" t="n">
        <f aca="false">SUM($D$5:$D380)</f>
        <v>5</v>
      </c>
      <c r="G380" s="71" t="n">
        <f aca="false">IF(电梯资料!$C380="",0,IF(OR(电梯资料!$Y380="安装免保",电梯资料!$Y380="技术免保",电梯资料!$Y380="质保期内"),1,0))</f>
        <v>0</v>
      </c>
      <c r="H380" s="71" t="n">
        <f aca="false">SUM($G$5:$G380)</f>
        <v>4</v>
      </c>
    </row>
    <row r="381" customFormat="false" ht="15" hidden="false" customHeight="false" outlineLevel="0" collapsed="false">
      <c r="D381" s="71" t="n">
        <f aca="false">IF(电梯资料!$C381="",0,IF(OR(电梯资料!$AA381&lt;&gt;"",电梯资料!$AB381&lt;&gt;""),1,0))</f>
        <v>0</v>
      </c>
      <c r="E381" s="71" t="n">
        <f aca="false">SUM($D$5:$D381)</f>
        <v>5</v>
      </c>
      <c r="G381" s="71" t="n">
        <f aca="false">IF(电梯资料!$C381="",0,IF(OR(电梯资料!$Y381="安装免保",电梯资料!$Y381="技术免保",电梯资料!$Y381="质保期内"),1,0))</f>
        <v>0</v>
      </c>
      <c r="H381" s="71" t="n">
        <f aca="false">SUM($G$5:$G381)</f>
        <v>4</v>
      </c>
    </row>
    <row r="382" customFormat="false" ht="15" hidden="false" customHeight="false" outlineLevel="0" collapsed="false">
      <c r="D382" s="71" t="n">
        <f aca="false">IF(电梯资料!$C382="",0,IF(OR(电梯资料!$AA382&lt;&gt;"",电梯资料!$AB382&lt;&gt;""),1,0))</f>
        <v>0</v>
      </c>
      <c r="E382" s="71" t="n">
        <f aca="false">SUM($D$5:$D382)</f>
        <v>5</v>
      </c>
      <c r="G382" s="71" t="n">
        <f aca="false">IF(电梯资料!$C382="",0,IF(OR(电梯资料!$Y382="安装免保",电梯资料!$Y382="技术免保",电梯资料!$Y382="质保期内"),1,0))</f>
        <v>0</v>
      </c>
      <c r="H382" s="71" t="n">
        <f aca="false">SUM($G$5:$G382)</f>
        <v>4</v>
      </c>
    </row>
    <row r="383" customFormat="false" ht="15" hidden="false" customHeight="false" outlineLevel="0" collapsed="false">
      <c r="D383" s="71" t="n">
        <f aca="false">IF(电梯资料!$C383="",0,IF(OR(电梯资料!$AA383&lt;&gt;"",电梯资料!$AB383&lt;&gt;""),1,0))</f>
        <v>0</v>
      </c>
      <c r="E383" s="71" t="n">
        <f aca="false">SUM($D$5:$D383)</f>
        <v>5</v>
      </c>
      <c r="G383" s="71" t="n">
        <f aca="false">IF(电梯资料!$C383="",0,IF(OR(电梯资料!$Y383="安装免保",电梯资料!$Y383="技术免保",电梯资料!$Y383="质保期内"),1,0))</f>
        <v>0</v>
      </c>
      <c r="H383" s="71" t="n">
        <f aca="false">SUM($G$5:$G383)</f>
        <v>4</v>
      </c>
    </row>
    <row r="384" customFormat="false" ht="15" hidden="false" customHeight="false" outlineLevel="0" collapsed="false">
      <c r="D384" s="71" t="n">
        <f aca="false">IF(电梯资料!$C384="",0,IF(OR(电梯资料!$AA384&lt;&gt;"",电梯资料!$AB384&lt;&gt;""),1,0))</f>
        <v>0</v>
      </c>
      <c r="E384" s="71" t="n">
        <f aca="false">SUM($D$5:$D384)</f>
        <v>5</v>
      </c>
      <c r="G384" s="71" t="n">
        <f aca="false">IF(电梯资料!$C384="",0,IF(OR(电梯资料!$Y384="安装免保",电梯资料!$Y384="技术免保",电梯资料!$Y384="质保期内"),1,0))</f>
        <v>0</v>
      </c>
      <c r="H384" s="71" t="n">
        <f aca="false">SUM($G$5:$G384)</f>
        <v>4</v>
      </c>
    </row>
    <row r="385" customFormat="false" ht="15" hidden="false" customHeight="false" outlineLevel="0" collapsed="false">
      <c r="D385" s="71" t="n">
        <f aca="false">IF(电梯资料!$C385="",0,IF(OR(电梯资料!$AA385&lt;&gt;"",电梯资料!$AB385&lt;&gt;""),1,0))</f>
        <v>0</v>
      </c>
      <c r="E385" s="71" t="n">
        <f aca="false">SUM($D$5:$D385)</f>
        <v>5</v>
      </c>
      <c r="G385" s="71" t="n">
        <f aca="false">IF(电梯资料!$C385="",0,IF(OR(电梯资料!$Y385="安装免保",电梯资料!$Y385="技术免保",电梯资料!$Y385="质保期内"),1,0))</f>
        <v>0</v>
      </c>
      <c r="H385" s="71" t="n">
        <f aca="false">SUM($G$5:$G385)</f>
        <v>4</v>
      </c>
    </row>
    <row r="386" customFormat="false" ht="15" hidden="false" customHeight="false" outlineLevel="0" collapsed="false">
      <c r="D386" s="71" t="n">
        <f aca="false">IF(电梯资料!$C386="",0,IF(OR(电梯资料!$AA386&lt;&gt;"",电梯资料!$AB386&lt;&gt;""),1,0))</f>
        <v>0</v>
      </c>
      <c r="E386" s="71" t="n">
        <f aca="false">SUM($D$5:$D386)</f>
        <v>5</v>
      </c>
      <c r="G386" s="71" t="n">
        <f aca="false">IF(电梯资料!$C386="",0,IF(OR(电梯资料!$Y386="安装免保",电梯资料!$Y386="技术免保",电梯资料!$Y386="质保期内"),1,0))</f>
        <v>0</v>
      </c>
      <c r="H386" s="71" t="n">
        <f aca="false">SUM($G$5:$G386)</f>
        <v>4</v>
      </c>
    </row>
    <row r="387" customFormat="false" ht="15" hidden="false" customHeight="false" outlineLevel="0" collapsed="false">
      <c r="D387" s="71" t="n">
        <f aca="false">IF(电梯资料!$C387="",0,IF(OR(电梯资料!$AA387&lt;&gt;"",电梯资料!$AB387&lt;&gt;""),1,0))</f>
        <v>0</v>
      </c>
      <c r="E387" s="71" t="n">
        <f aca="false">SUM($D$5:$D387)</f>
        <v>5</v>
      </c>
      <c r="G387" s="71" t="n">
        <f aca="false">IF(电梯资料!$C387="",0,IF(OR(电梯资料!$Y387="安装免保",电梯资料!$Y387="技术免保",电梯资料!$Y387="质保期内"),1,0))</f>
        <v>0</v>
      </c>
      <c r="H387" s="71" t="n">
        <f aca="false">SUM($G$5:$G387)</f>
        <v>4</v>
      </c>
    </row>
    <row r="388" customFormat="false" ht="15" hidden="false" customHeight="false" outlineLevel="0" collapsed="false">
      <c r="D388" s="71" t="n">
        <f aca="false">IF(电梯资料!$C388="",0,IF(OR(电梯资料!$AA388&lt;&gt;"",电梯资料!$AB388&lt;&gt;""),1,0))</f>
        <v>0</v>
      </c>
      <c r="E388" s="71" t="n">
        <f aca="false">SUM($D$5:$D388)</f>
        <v>5</v>
      </c>
      <c r="G388" s="71" t="n">
        <f aca="false">IF(电梯资料!$C388="",0,IF(OR(电梯资料!$Y388="安装免保",电梯资料!$Y388="技术免保",电梯资料!$Y388="质保期内"),1,0))</f>
        <v>0</v>
      </c>
      <c r="H388" s="71" t="n">
        <f aca="false">SUM($G$5:$G388)</f>
        <v>4</v>
      </c>
    </row>
    <row r="389" customFormat="false" ht="15" hidden="false" customHeight="false" outlineLevel="0" collapsed="false">
      <c r="D389" s="71" t="n">
        <f aca="false">IF(电梯资料!$C389="",0,IF(OR(电梯资料!$AA389&lt;&gt;"",电梯资料!$AB389&lt;&gt;""),1,0))</f>
        <v>0</v>
      </c>
      <c r="E389" s="71" t="n">
        <f aca="false">SUM($D$5:$D389)</f>
        <v>5</v>
      </c>
      <c r="G389" s="71" t="n">
        <f aca="false">IF(电梯资料!$C389="",0,IF(OR(电梯资料!$Y389="安装免保",电梯资料!$Y389="技术免保",电梯资料!$Y389="质保期内"),1,0))</f>
        <v>0</v>
      </c>
      <c r="H389" s="71" t="n">
        <f aca="false">SUM($G$5:$G389)</f>
        <v>4</v>
      </c>
    </row>
    <row r="390" customFormat="false" ht="15" hidden="false" customHeight="false" outlineLevel="0" collapsed="false">
      <c r="D390" s="71" t="n">
        <f aca="false">IF(电梯资料!$C390="",0,IF(OR(电梯资料!$AA390&lt;&gt;"",电梯资料!$AB390&lt;&gt;""),1,0))</f>
        <v>0</v>
      </c>
      <c r="E390" s="71" t="n">
        <f aca="false">SUM($D$5:$D390)</f>
        <v>5</v>
      </c>
      <c r="G390" s="71" t="n">
        <f aca="false">IF(电梯资料!$C390="",0,IF(OR(电梯资料!$Y390="安装免保",电梯资料!$Y390="技术免保",电梯资料!$Y390="质保期内"),1,0))</f>
        <v>0</v>
      </c>
      <c r="H390" s="71" t="n">
        <f aca="false">SUM($G$5:$G390)</f>
        <v>4</v>
      </c>
    </row>
    <row r="391" customFormat="false" ht="15" hidden="false" customHeight="false" outlineLevel="0" collapsed="false">
      <c r="D391" s="71" t="n">
        <f aca="false">IF(电梯资料!$C391="",0,IF(OR(电梯资料!$AA391&lt;&gt;"",电梯资料!$AB391&lt;&gt;""),1,0))</f>
        <v>0</v>
      </c>
      <c r="E391" s="71" t="n">
        <f aca="false">SUM($D$5:$D391)</f>
        <v>5</v>
      </c>
      <c r="G391" s="71" t="n">
        <f aca="false">IF(电梯资料!$C391="",0,IF(OR(电梯资料!$Y391="安装免保",电梯资料!$Y391="技术免保",电梯资料!$Y391="质保期内"),1,0))</f>
        <v>0</v>
      </c>
      <c r="H391" s="71" t="n">
        <f aca="false">SUM($G$5:$G391)</f>
        <v>4</v>
      </c>
    </row>
    <row r="392" customFormat="false" ht="15" hidden="false" customHeight="false" outlineLevel="0" collapsed="false">
      <c r="D392" s="71" t="n">
        <f aca="false">IF(电梯资料!$C392="",0,IF(OR(电梯资料!$AA392&lt;&gt;"",电梯资料!$AB392&lt;&gt;""),1,0))</f>
        <v>0</v>
      </c>
      <c r="E392" s="71" t="n">
        <f aca="false">SUM($D$5:$D392)</f>
        <v>5</v>
      </c>
      <c r="G392" s="71" t="n">
        <f aca="false">IF(电梯资料!$C392="",0,IF(OR(电梯资料!$Y392="安装免保",电梯资料!$Y392="技术免保",电梯资料!$Y392="质保期内"),1,0))</f>
        <v>0</v>
      </c>
      <c r="H392" s="71" t="n">
        <f aca="false">SUM($G$5:$G392)</f>
        <v>4</v>
      </c>
    </row>
    <row r="393" customFormat="false" ht="15" hidden="false" customHeight="false" outlineLevel="0" collapsed="false">
      <c r="D393" s="71" t="n">
        <f aca="false">IF(电梯资料!$C393="",0,IF(OR(电梯资料!$AA393&lt;&gt;"",电梯资料!$AB393&lt;&gt;""),1,0))</f>
        <v>0</v>
      </c>
      <c r="E393" s="71" t="n">
        <f aca="false">SUM($D$5:$D393)</f>
        <v>5</v>
      </c>
      <c r="G393" s="71" t="n">
        <f aca="false">IF(电梯资料!$C393="",0,IF(OR(电梯资料!$Y393="安装免保",电梯资料!$Y393="技术免保",电梯资料!$Y393="质保期内"),1,0))</f>
        <v>0</v>
      </c>
      <c r="H393" s="71" t="n">
        <f aca="false">SUM($G$5:$G393)</f>
        <v>4</v>
      </c>
    </row>
    <row r="394" customFormat="false" ht="15" hidden="false" customHeight="false" outlineLevel="0" collapsed="false">
      <c r="D394" s="71" t="n">
        <f aca="false">IF(电梯资料!$C394="",0,IF(OR(电梯资料!$AA394&lt;&gt;"",电梯资料!$AB394&lt;&gt;""),1,0))</f>
        <v>0</v>
      </c>
      <c r="E394" s="71" t="n">
        <f aca="false">SUM($D$5:$D394)</f>
        <v>5</v>
      </c>
      <c r="G394" s="71" t="n">
        <f aca="false">IF(电梯资料!$C394="",0,IF(OR(电梯资料!$Y394="安装免保",电梯资料!$Y394="技术免保",电梯资料!$Y394="质保期内"),1,0))</f>
        <v>0</v>
      </c>
      <c r="H394" s="71" t="n">
        <f aca="false">SUM($G$5:$G394)</f>
        <v>4</v>
      </c>
    </row>
    <row r="395" customFormat="false" ht="15" hidden="false" customHeight="false" outlineLevel="0" collapsed="false">
      <c r="D395" s="71" t="n">
        <f aca="false">IF(电梯资料!$C395="",0,IF(OR(电梯资料!$AA395&lt;&gt;"",电梯资料!$AB395&lt;&gt;""),1,0))</f>
        <v>0</v>
      </c>
      <c r="E395" s="71" t="n">
        <f aca="false">SUM($D$5:$D395)</f>
        <v>5</v>
      </c>
      <c r="G395" s="71" t="n">
        <f aca="false">IF(电梯资料!$C395="",0,IF(OR(电梯资料!$Y395="安装免保",电梯资料!$Y395="技术免保",电梯资料!$Y395="质保期内"),1,0))</f>
        <v>0</v>
      </c>
      <c r="H395" s="71" t="n">
        <f aca="false">SUM($G$5:$G395)</f>
        <v>4</v>
      </c>
    </row>
    <row r="396" customFormat="false" ht="15" hidden="false" customHeight="false" outlineLevel="0" collapsed="false">
      <c r="D396" s="71" t="n">
        <f aca="false">IF(电梯资料!$C396="",0,IF(OR(电梯资料!$AA396&lt;&gt;"",电梯资料!$AB396&lt;&gt;""),1,0))</f>
        <v>0</v>
      </c>
      <c r="E396" s="71" t="n">
        <f aca="false">SUM($D$5:$D396)</f>
        <v>5</v>
      </c>
      <c r="G396" s="71" t="n">
        <f aca="false">IF(电梯资料!$C396="",0,IF(OR(电梯资料!$Y396="安装免保",电梯资料!$Y396="技术免保",电梯资料!$Y396="质保期内"),1,0))</f>
        <v>0</v>
      </c>
      <c r="H396" s="71" t="n">
        <f aca="false">SUM($G$5:$G396)</f>
        <v>4</v>
      </c>
    </row>
    <row r="397" customFormat="false" ht="15" hidden="false" customHeight="false" outlineLevel="0" collapsed="false">
      <c r="D397" s="71" t="n">
        <f aca="false">IF(电梯资料!$C397="",0,IF(OR(电梯资料!$AA397&lt;&gt;"",电梯资料!$AB397&lt;&gt;""),1,0))</f>
        <v>0</v>
      </c>
      <c r="E397" s="71" t="n">
        <f aca="false">SUM($D$5:$D397)</f>
        <v>5</v>
      </c>
      <c r="G397" s="71" t="n">
        <f aca="false">IF(电梯资料!$C397="",0,IF(OR(电梯资料!$Y397="安装免保",电梯资料!$Y397="技术免保",电梯资料!$Y397="质保期内"),1,0))</f>
        <v>0</v>
      </c>
      <c r="H397" s="71" t="n">
        <f aca="false">SUM($G$5:$G397)</f>
        <v>4</v>
      </c>
    </row>
    <row r="398" customFormat="false" ht="15" hidden="false" customHeight="false" outlineLevel="0" collapsed="false">
      <c r="D398" s="71" t="n">
        <f aca="false">IF(电梯资料!$C398="",0,IF(OR(电梯资料!$AA398&lt;&gt;"",电梯资料!$AB398&lt;&gt;""),1,0))</f>
        <v>0</v>
      </c>
      <c r="E398" s="71" t="n">
        <f aca="false">SUM($D$5:$D398)</f>
        <v>5</v>
      </c>
      <c r="G398" s="71" t="n">
        <f aca="false">IF(电梯资料!$C398="",0,IF(OR(电梯资料!$Y398="安装免保",电梯资料!$Y398="技术免保",电梯资料!$Y398="质保期内"),1,0))</f>
        <v>0</v>
      </c>
      <c r="H398" s="71" t="n">
        <f aca="false">SUM($G$5:$G398)</f>
        <v>4</v>
      </c>
    </row>
    <row r="399" customFormat="false" ht="15" hidden="false" customHeight="false" outlineLevel="0" collapsed="false">
      <c r="D399" s="71" t="n">
        <f aca="false">IF(电梯资料!$C399="",0,IF(OR(电梯资料!$AA399&lt;&gt;"",电梯资料!$AB399&lt;&gt;""),1,0))</f>
        <v>0</v>
      </c>
      <c r="E399" s="71" t="n">
        <f aca="false">SUM($D$5:$D399)</f>
        <v>5</v>
      </c>
      <c r="G399" s="71" t="n">
        <f aca="false">IF(电梯资料!$C399="",0,IF(OR(电梯资料!$Y399="安装免保",电梯资料!$Y399="技术免保",电梯资料!$Y399="质保期内"),1,0))</f>
        <v>0</v>
      </c>
      <c r="H399" s="71" t="n">
        <f aca="false">SUM($G$5:$G399)</f>
        <v>4</v>
      </c>
    </row>
    <row r="400" customFormat="false" ht="15" hidden="false" customHeight="false" outlineLevel="0" collapsed="false">
      <c r="D400" s="71" t="n">
        <f aca="false">IF(电梯资料!$C400="",0,IF(OR(电梯资料!$AA400&lt;&gt;"",电梯资料!$AB400&lt;&gt;""),1,0))</f>
        <v>0</v>
      </c>
      <c r="E400" s="71" t="n">
        <f aca="false">SUM($D$5:$D400)</f>
        <v>5</v>
      </c>
      <c r="G400" s="71" t="n">
        <f aca="false">IF(电梯资料!$C400="",0,IF(OR(电梯资料!$Y400="安装免保",电梯资料!$Y400="技术免保",电梯资料!$Y400="质保期内"),1,0))</f>
        <v>0</v>
      </c>
      <c r="H400" s="71" t="n">
        <f aca="false">SUM($G$5:$G400)</f>
        <v>4</v>
      </c>
    </row>
    <row r="401" customFormat="false" ht="15" hidden="false" customHeight="false" outlineLevel="0" collapsed="false">
      <c r="D401" s="71" t="n">
        <f aca="false">IF(电梯资料!$C401="",0,IF(OR(电梯资料!$AA401&lt;&gt;"",电梯资料!$AB401&lt;&gt;""),1,0))</f>
        <v>0</v>
      </c>
      <c r="E401" s="71" t="n">
        <f aca="false">SUM($D$5:$D401)</f>
        <v>5</v>
      </c>
      <c r="G401" s="71" t="n">
        <f aca="false">IF(电梯资料!$C401="",0,IF(OR(电梯资料!$Y401="安装免保",电梯资料!$Y401="技术免保",电梯资料!$Y401="质保期内"),1,0))</f>
        <v>0</v>
      </c>
      <c r="H401" s="71" t="n">
        <f aca="false">SUM($G$5:$G401)</f>
        <v>4</v>
      </c>
    </row>
    <row r="402" customFormat="false" ht="15" hidden="false" customHeight="false" outlineLevel="0" collapsed="false">
      <c r="D402" s="71" t="n">
        <f aca="false">IF(电梯资料!$C402="",0,IF(OR(电梯资料!$AA402&lt;&gt;"",电梯资料!$AB402&lt;&gt;""),1,0))</f>
        <v>0</v>
      </c>
      <c r="E402" s="71" t="n">
        <f aca="false">SUM($D$5:$D402)</f>
        <v>5</v>
      </c>
      <c r="G402" s="71" t="n">
        <f aca="false">IF(电梯资料!$C402="",0,IF(OR(电梯资料!$Y402="安装免保",电梯资料!$Y402="技术免保",电梯资料!$Y402="质保期内"),1,0))</f>
        <v>0</v>
      </c>
      <c r="H402" s="71" t="n">
        <f aca="false">SUM($G$5:$G402)</f>
        <v>4</v>
      </c>
    </row>
    <row r="403" customFormat="false" ht="15" hidden="false" customHeight="false" outlineLevel="0" collapsed="false">
      <c r="D403" s="71" t="n">
        <f aca="false">IF(电梯资料!$C403="",0,IF(OR(电梯资料!$AA403&lt;&gt;"",电梯资料!$AB403&lt;&gt;""),1,0))</f>
        <v>0</v>
      </c>
      <c r="E403" s="71" t="n">
        <f aca="false">SUM($D$5:$D403)</f>
        <v>5</v>
      </c>
      <c r="G403" s="71" t="n">
        <f aca="false">IF(电梯资料!$C403="",0,IF(OR(电梯资料!$Y403="安装免保",电梯资料!$Y403="技术免保",电梯资料!$Y403="质保期内"),1,0))</f>
        <v>0</v>
      </c>
      <c r="H403" s="71" t="n">
        <f aca="false">SUM($G$5:$G403)</f>
        <v>4</v>
      </c>
    </row>
    <row r="404" customFormat="false" ht="15" hidden="false" customHeight="false" outlineLevel="0" collapsed="false">
      <c r="D404" s="71" t="n">
        <f aca="false">IF(电梯资料!$C404="",0,IF(OR(电梯资料!$AA404&lt;&gt;"",电梯资料!$AB404&lt;&gt;""),1,0))</f>
        <v>0</v>
      </c>
      <c r="E404" s="71" t="n">
        <f aca="false">SUM($D$5:$D404)</f>
        <v>5</v>
      </c>
      <c r="G404" s="71" t="n">
        <f aca="false">IF(电梯资料!$C404="",0,IF(OR(电梯资料!$Y404="安装免保",电梯资料!$Y404="技术免保",电梯资料!$Y404="质保期内"),1,0))</f>
        <v>0</v>
      </c>
      <c r="H404" s="71" t="n">
        <f aca="false">SUM($G$5:$G404)</f>
        <v>4</v>
      </c>
    </row>
    <row r="405" customFormat="false" ht="15" hidden="false" customHeight="false" outlineLevel="0" collapsed="false">
      <c r="D405" s="71" t="n">
        <f aca="false">IF(电梯资料!$C405="",0,IF(OR(电梯资料!$AA405&lt;&gt;"",电梯资料!$AB405&lt;&gt;""),1,0))</f>
        <v>0</v>
      </c>
      <c r="E405" s="71" t="n">
        <f aca="false">SUM($D$5:$D405)</f>
        <v>5</v>
      </c>
      <c r="G405" s="71" t="n">
        <f aca="false">IF(电梯资料!$C405="",0,IF(OR(电梯资料!$Y405="安装免保",电梯资料!$Y405="技术免保",电梯资料!$Y405="质保期内"),1,0))</f>
        <v>0</v>
      </c>
      <c r="H405" s="71" t="n">
        <f aca="false">SUM($G$5:$G405)</f>
        <v>4</v>
      </c>
    </row>
    <row r="406" customFormat="false" ht="15" hidden="false" customHeight="false" outlineLevel="0" collapsed="false">
      <c r="D406" s="71" t="n">
        <f aca="false">IF(电梯资料!$C406="",0,IF(OR(电梯资料!$AA406&lt;&gt;"",电梯资料!$AB406&lt;&gt;""),1,0))</f>
        <v>0</v>
      </c>
      <c r="E406" s="71" t="n">
        <f aca="false">SUM($D$5:$D406)</f>
        <v>5</v>
      </c>
      <c r="G406" s="71" t="n">
        <f aca="false">IF(电梯资料!$C406="",0,IF(OR(电梯资料!$Y406="安装免保",电梯资料!$Y406="技术免保",电梯资料!$Y406="质保期内"),1,0))</f>
        <v>0</v>
      </c>
      <c r="H406" s="71" t="n">
        <f aca="false">SUM($G$5:$G406)</f>
        <v>4</v>
      </c>
    </row>
    <row r="407" customFormat="false" ht="15" hidden="false" customHeight="false" outlineLevel="0" collapsed="false">
      <c r="D407" s="71" t="n">
        <f aca="false">IF(电梯资料!$C407="",0,IF(OR(电梯资料!$AA407&lt;&gt;"",电梯资料!$AB407&lt;&gt;""),1,0))</f>
        <v>0</v>
      </c>
      <c r="E407" s="71" t="n">
        <f aca="false">SUM($D$5:$D407)</f>
        <v>5</v>
      </c>
      <c r="G407" s="71" t="n">
        <f aca="false">IF(电梯资料!$C407="",0,IF(OR(电梯资料!$Y407="安装免保",电梯资料!$Y407="技术免保",电梯资料!$Y407="质保期内"),1,0))</f>
        <v>0</v>
      </c>
      <c r="H407" s="71" t="n">
        <f aca="false">SUM($G$5:$G407)</f>
        <v>4</v>
      </c>
    </row>
    <row r="408" customFormat="false" ht="15" hidden="false" customHeight="false" outlineLevel="0" collapsed="false">
      <c r="D408" s="71" t="n">
        <f aca="false">IF(电梯资料!$C408="",0,IF(OR(电梯资料!$AA408&lt;&gt;"",电梯资料!$AB408&lt;&gt;""),1,0))</f>
        <v>0</v>
      </c>
      <c r="E408" s="71" t="n">
        <f aca="false">SUM($D$5:$D408)</f>
        <v>5</v>
      </c>
      <c r="G408" s="71" t="n">
        <f aca="false">IF(电梯资料!$C408="",0,IF(OR(电梯资料!$Y408="安装免保",电梯资料!$Y408="技术免保",电梯资料!$Y408="质保期内"),1,0))</f>
        <v>0</v>
      </c>
      <c r="H408" s="71" t="n">
        <f aca="false">SUM($G$5:$G408)</f>
        <v>4</v>
      </c>
    </row>
    <row r="409" customFormat="false" ht="15" hidden="false" customHeight="false" outlineLevel="0" collapsed="false">
      <c r="D409" s="71" t="n">
        <f aca="false">IF(电梯资料!$C409="",0,IF(OR(电梯资料!$AA409&lt;&gt;"",电梯资料!$AB409&lt;&gt;""),1,0))</f>
        <v>0</v>
      </c>
      <c r="E409" s="71" t="n">
        <f aca="false">SUM($D$5:$D409)</f>
        <v>5</v>
      </c>
      <c r="G409" s="71" t="n">
        <f aca="false">IF(电梯资料!$C409="",0,IF(OR(电梯资料!$Y409="安装免保",电梯资料!$Y409="技术免保",电梯资料!$Y409="质保期内"),1,0))</f>
        <v>0</v>
      </c>
      <c r="H409" s="71" t="n">
        <f aca="false">SUM($G$5:$G409)</f>
        <v>4</v>
      </c>
    </row>
    <row r="410" customFormat="false" ht="15" hidden="false" customHeight="false" outlineLevel="0" collapsed="false">
      <c r="D410" s="71" t="n">
        <f aca="false">IF(电梯资料!$C410="",0,IF(OR(电梯资料!$AA410&lt;&gt;"",电梯资料!$AB410&lt;&gt;""),1,0))</f>
        <v>0</v>
      </c>
      <c r="E410" s="71" t="n">
        <f aca="false">SUM($D$5:$D410)</f>
        <v>5</v>
      </c>
      <c r="G410" s="71" t="n">
        <f aca="false">IF(电梯资料!$C410="",0,IF(OR(电梯资料!$Y410="安装免保",电梯资料!$Y410="技术免保",电梯资料!$Y410="质保期内"),1,0))</f>
        <v>0</v>
      </c>
      <c r="H410" s="71" t="n">
        <f aca="false">SUM($G$5:$G410)</f>
        <v>4</v>
      </c>
    </row>
    <row r="411" customFormat="false" ht="15" hidden="false" customHeight="false" outlineLevel="0" collapsed="false">
      <c r="D411" s="71" t="n">
        <f aca="false">IF(电梯资料!$C411="",0,IF(OR(电梯资料!$AA411&lt;&gt;"",电梯资料!$AB411&lt;&gt;""),1,0))</f>
        <v>0</v>
      </c>
      <c r="E411" s="71" t="n">
        <f aca="false">SUM($D$5:$D411)</f>
        <v>5</v>
      </c>
      <c r="G411" s="71" t="n">
        <f aca="false">IF(电梯资料!$C411="",0,IF(OR(电梯资料!$Y411="安装免保",电梯资料!$Y411="技术免保",电梯资料!$Y411="质保期内"),1,0))</f>
        <v>0</v>
      </c>
      <c r="H411" s="71" t="n">
        <f aca="false">SUM($G$5:$G411)</f>
        <v>4</v>
      </c>
    </row>
    <row r="412" customFormat="false" ht="15" hidden="false" customHeight="false" outlineLevel="0" collapsed="false">
      <c r="D412" s="71" t="n">
        <f aca="false">IF(电梯资料!$C412="",0,IF(OR(电梯资料!$AA412&lt;&gt;"",电梯资料!$AB412&lt;&gt;""),1,0))</f>
        <v>0</v>
      </c>
      <c r="E412" s="71" t="n">
        <f aca="false">SUM($D$5:$D412)</f>
        <v>5</v>
      </c>
      <c r="G412" s="71" t="n">
        <f aca="false">IF(电梯资料!$C412="",0,IF(OR(电梯资料!$Y412="安装免保",电梯资料!$Y412="技术免保",电梯资料!$Y412="质保期内"),1,0))</f>
        <v>0</v>
      </c>
      <c r="H412" s="71" t="n">
        <f aca="false">SUM($G$5:$G412)</f>
        <v>4</v>
      </c>
    </row>
    <row r="413" customFormat="false" ht="15" hidden="false" customHeight="false" outlineLevel="0" collapsed="false">
      <c r="D413" s="71" t="n">
        <f aca="false">IF(电梯资料!$C413="",0,IF(OR(电梯资料!$AA413&lt;&gt;"",电梯资料!$AB413&lt;&gt;""),1,0))</f>
        <v>0</v>
      </c>
      <c r="E413" s="71" t="n">
        <f aca="false">SUM($D$5:$D413)</f>
        <v>5</v>
      </c>
      <c r="G413" s="71" t="n">
        <f aca="false">IF(电梯资料!$C413="",0,IF(OR(电梯资料!$Y413="安装免保",电梯资料!$Y413="技术免保",电梯资料!$Y413="质保期内"),1,0))</f>
        <v>0</v>
      </c>
      <c r="H413" s="71" t="n">
        <f aca="false">SUM($G$5:$G413)</f>
        <v>4</v>
      </c>
    </row>
    <row r="414" customFormat="false" ht="15" hidden="false" customHeight="false" outlineLevel="0" collapsed="false">
      <c r="D414" s="71" t="n">
        <f aca="false">IF(电梯资料!$C414="",0,IF(OR(电梯资料!$AA414&lt;&gt;"",电梯资料!$AB414&lt;&gt;""),1,0))</f>
        <v>0</v>
      </c>
      <c r="E414" s="71" t="n">
        <f aca="false">SUM($D$5:$D414)</f>
        <v>5</v>
      </c>
      <c r="G414" s="71" t="n">
        <f aca="false">IF(电梯资料!$C414="",0,IF(OR(电梯资料!$Y414="安装免保",电梯资料!$Y414="技术免保",电梯资料!$Y414="质保期内"),1,0))</f>
        <v>0</v>
      </c>
      <c r="H414" s="71" t="n">
        <f aca="false">SUM($G$5:$G414)</f>
        <v>4</v>
      </c>
    </row>
    <row r="415" customFormat="false" ht="15" hidden="false" customHeight="false" outlineLevel="0" collapsed="false">
      <c r="D415" s="71" t="n">
        <f aca="false">IF(电梯资料!$C415="",0,IF(OR(电梯资料!$AA415&lt;&gt;"",电梯资料!$AB415&lt;&gt;""),1,0))</f>
        <v>0</v>
      </c>
      <c r="E415" s="71" t="n">
        <f aca="false">SUM($D$5:$D415)</f>
        <v>5</v>
      </c>
      <c r="G415" s="71" t="n">
        <f aca="false">IF(电梯资料!$C415="",0,IF(OR(电梯资料!$Y415="安装免保",电梯资料!$Y415="技术免保",电梯资料!$Y415="质保期内"),1,0))</f>
        <v>0</v>
      </c>
      <c r="H415" s="71" t="n">
        <f aca="false">SUM($G$5:$G415)</f>
        <v>4</v>
      </c>
    </row>
    <row r="416" customFormat="false" ht="15" hidden="false" customHeight="false" outlineLevel="0" collapsed="false">
      <c r="D416" s="71" t="n">
        <f aca="false">IF(电梯资料!$C416="",0,IF(OR(电梯资料!$AA416&lt;&gt;"",电梯资料!$AB416&lt;&gt;""),1,0))</f>
        <v>0</v>
      </c>
      <c r="E416" s="71" t="n">
        <f aca="false">SUM($D$5:$D416)</f>
        <v>5</v>
      </c>
      <c r="G416" s="71" t="n">
        <f aca="false">IF(电梯资料!$C416="",0,IF(OR(电梯资料!$Y416="安装免保",电梯资料!$Y416="技术免保",电梯资料!$Y416="质保期内"),1,0))</f>
        <v>0</v>
      </c>
      <c r="H416" s="71" t="n">
        <f aca="false">SUM($G$5:$G416)</f>
        <v>4</v>
      </c>
    </row>
    <row r="417" customFormat="false" ht="15" hidden="false" customHeight="false" outlineLevel="0" collapsed="false">
      <c r="D417" s="71" t="n">
        <f aca="false">IF(电梯资料!$C417="",0,IF(OR(电梯资料!$AA417&lt;&gt;"",电梯资料!$AB417&lt;&gt;""),1,0))</f>
        <v>0</v>
      </c>
      <c r="E417" s="71" t="n">
        <f aca="false">SUM($D$5:$D417)</f>
        <v>5</v>
      </c>
      <c r="G417" s="71" t="n">
        <f aca="false">IF(电梯资料!$C417="",0,IF(OR(电梯资料!$Y417="安装免保",电梯资料!$Y417="技术免保",电梯资料!$Y417="质保期内"),1,0))</f>
        <v>0</v>
      </c>
      <c r="H417" s="71" t="n">
        <f aca="false">SUM($G$5:$G417)</f>
        <v>4</v>
      </c>
    </row>
    <row r="418" customFormat="false" ht="15" hidden="false" customHeight="false" outlineLevel="0" collapsed="false">
      <c r="D418" s="71" t="n">
        <f aca="false">IF(电梯资料!$C418="",0,IF(OR(电梯资料!$AA418&lt;&gt;"",电梯资料!$AB418&lt;&gt;""),1,0))</f>
        <v>0</v>
      </c>
      <c r="E418" s="71" t="n">
        <f aca="false">SUM($D$5:$D418)</f>
        <v>5</v>
      </c>
      <c r="G418" s="71" t="n">
        <f aca="false">IF(电梯资料!$C418="",0,IF(OR(电梯资料!$Y418="安装免保",电梯资料!$Y418="技术免保",电梯资料!$Y418="质保期内"),1,0))</f>
        <v>0</v>
      </c>
      <c r="H418" s="71" t="n">
        <f aca="false">SUM($G$5:$G418)</f>
        <v>4</v>
      </c>
    </row>
    <row r="419" customFormat="false" ht="15" hidden="false" customHeight="false" outlineLevel="0" collapsed="false">
      <c r="D419" s="71" t="n">
        <f aca="false">IF(电梯资料!$C419="",0,IF(OR(电梯资料!$AA419&lt;&gt;"",电梯资料!$AB419&lt;&gt;""),1,0))</f>
        <v>0</v>
      </c>
      <c r="E419" s="71" t="n">
        <f aca="false">SUM($D$5:$D419)</f>
        <v>5</v>
      </c>
      <c r="G419" s="71" t="n">
        <f aca="false">IF(电梯资料!$C419="",0,IF(OR(电梯资料!$Y419="安装免保",电梯资料!$Y419="技术免保",电梯资料!$Y419="质保期内"),1,0))</f>
        <v>0</v>
      </c>
      <c r="H419" s="71" t="n">
        <f aca="false">SUM($G$5:$G419)</f>
        <v>4</v>
      </c>
    </row>
    <row r="420" customFormat="false" ht="15" hidden="false" customHeight="false" outlineLevel="0" collapsed="false">
      <c r="D420" s="71" t="n">
        <f aca="false">IF(电梯资料!$C420="",0,IF(OR(电梯资料!$AA420&lt;&gt;"",电梯资料!$AB420&lt;&gt;""),1,0))</f>
        <v>0</v>
      </c>
      <c r="E420" s="71" t="n">
        <f aca="false">SUM($D$5:$D420)</f>
        <v>5</v>
      </c>
      <c r="G420" s="71" t="n">
        <f aca="false">IF(电梯资料!$C420="",0,IF(OR(电梯资料!$Y420="安装免保",电梯资料!$Y420="技术免保",电梯资料!$Y420="质保期内"),1,0))</f>
        <v>0</v>
      </c>
      <c r="H420" s="71" t="n">
        <f aca="false">SUM($G$5:$G420)</f>
        <v>4</v>
      </c>
    </row>
    <row r="421" customFormat="false" ht="15" hidden="false" customHeight="false" outlineLevel="0" collapsed="false">
      <c r="D421" s="71" t="n">
        <f aca="false">IF(电梯资料!$C421="",0,IF(OR(电梯资料!$AA421&lt;&gt;"",电梯资料!$AB421&lt;&gt;""),1,0))</f>
        <v>0</v>
      </c>
      <c r="E421" s="71" t="n">
        <f aca="false">SUM($D$5:$D421)</f>
        <v>5</v>
      </c>
      <c r="G421" s="71" t="n">
        <f aca="false">IF(电梯资料!$C421="",0,IF(OR(电梯资料!$Y421="安装免保",电梯资料!$Y421="技术免保",电梯资料!$Y421="质保期内"),1,0))</f>
        <v>0</v>
      </c>
      <c r="H421" s="71" t="n">
        <f aca="false">SUM($G$5:$G421)</f>
        <v>4</v>
      </c>
    </row>
    <row r="422" customFormat="false" ht="15" hidden="false" customHeight="false" outlineLevel="0" collapsed="false">
      <c r="D422" s="71" t="n">
        <f aca="false">IF(电梯资料!$C422="",0,IF(OR(电梯资料!$AA422&lt;&gt;"",电梯资料!$AB422&lt;&gt;""),1,0))</f>
        <v>0</v>
      </c>
      <c r="E422" s="71" t="n">
        <f aca="false">SUM($D$5:$D422)</f>
        <v>5</v>
      </c>
      <c r="G422" s="71" t="n">
        <f aca="false">IF(电梯资料!$C422="",0,IF(OR(电梯资料!$Y422="安装免保",电梯资料!$Y422="技术免保",电梯资料!$Y422="质保期内"),1,0))</f>
        <v>0</v>
      </c>
      <c r="H422" s="71" t="n">
        <f aca="false">SUM($G$5:$G422)</f>
        <v>4</v>
      </c>
    </row>
    <row r="423" customFormat="false" ht="15" hidden="false" customHeight="false" outlineLevel="0" collapsed="false">
      <c r="D423" s="71" t="n">
        <f aca="false">IF(电梯资料!$C423="",0,IF(OR(电梯资料!$AA423&lt;&gt;"",电梯资料!$AB423&lt;&gt;""),1,0))</f>
        <v>0</v>
      </c>
      <c r="E423" s="71" t="n">
        <f aca="false">SUM($D$5:$D423)</f>
        <v>5</v>
      </c>
      <c r="G423" s="71" t="n">
        <f aca="false">IF(电梯资料!$C423="",0,IF(OR(电梯资料!$Y423="安装免保",电梯资料!$Y423="技术免保",电梯资料!$Y423="质保期内"),1,0))</f>
        <v>0</v>
      </c>
      <c r="H423" s="71" t="n">
        <f aca="false">SUM($G$5:$G423)</f>
        <v>4</v>
      </c>
    </row>
    <row r="424" customFormat="false" ht="15" hidden="false" customHeight="false" outlineLevel="0" collapsed="false">
      <c r="D424" s="71" t="n">
        <f aca="false">IF(电梯资料!$C424="",0,IF(OR(电梯资料!$AA424&lt;&gt;"",电梯资料!$AB424&lt;&gt;""),1,0))</f>
        <v>0</v>
      </c>
      <c r="E424" s="71" t="n">
        <f aca="false">SUM($D$5:$D424)</f>
        <v>5</v>
      </c>
      <c r="G424" s="71" t="n">
        <f aca="false">IF(电梯资料!$C424="",0,IF(OR(电梯资料!$Y424="安装免保",电梯资料!$Y424="技术免保",电梯资料!$Y424="质保期内"),1,0))</f>
        <v>0</v>
      </c>
      <c r="H424" s="71" t="n">
        <f aca="false">SUM($G$5:$G424)</f>
        <v>4</v>
      </c>
    </row>
    <row r="425" customFormat="false" ht="15" hidden="false" customHeight="false" outlineLevel="0" collapsed="false">
      <c r="D425" s="71" t="n">
        <f aca="false">IF(电梯资料!$C425="",0,IF(OR(电梯资料!$AA425&lt;&gt;"",电梯资料!$AB425&lt;&gt;""),1,0))</f>
        <v>0</v>
      </c>
      <c r="E425" s="71" t="n">
        <f aca="false">SUM($D$5:$D425)</f>
        <v>5</v>
      </c>
      <c r="G425" s="71" t="n">
        <f aca="false">IF(电梯资料!$C425="",0,IF(OR(电梯资料!$Y425="安装免保",电梯资料!$Y425="技术免保",电梯资料!$Y425="质保期内"),1,0))</f>
        <v>0</v>
      </c>
      <c r="H425" s="71" t="n">
        <f aca="false">SUM($G$5:$G425)</f>
        <v>4</v>
      </c>
    </row>
    <row r="426" customFormat="false" ht="15" hidden="false" customHeight="false" outlineLevel="0" collapsed="false">
      <c r="D426" s="71" t="n">
        <f aca="false">IF(电梯资料!$C426="",0,IF(OR(电梯资料!$AA426&lt;&gt;"",电梯资料!$AB426&lt;&gt;""),1,0))</f>
        <v>0</v>
      </c>
      <c r="E426" s="71" t="n">
        <f aca="false">SUM($D$5:$D426)</f>
        <v>5</v>
      </c>
      <c r="G426" s="71" t="n">
        <f aca="false">IF(电梯资料!$C426="",0,IF(OR(电梯资料!$Y426="安装免保",电梯资料!$Y426="技术免保",电梯资料!$Y426="质保期内"),1,0))</f>
        <v>0</v>
      </c>
      <c r="H426" s="71" t="n">
        <f aca="false">SUM($G$5:$G426)</f>
        <v>4</v>
      </c>
    </row>
    <row r="427" customFormat="false" ht="15" hidden="false" customHeight="false" outlineLevel="0" collapsed="false">
      <c r="D427" s="71" t="n">
        <f aca="false">IF(电梯资料!$C427="",0,IF(OR(电梯资料!$AA427&lt;&gt;"",电梯资料!$AB427&lt;&gt;""),1,0))</f>
        <v>0</v>
      </c>
      <c r="E427" s="71" t="n">
        <f aca="false">SUM($D$5:$D427)</f>
        <v>5</v>
      </c>
      <c r="G427" s="71" t="n">
        <f aca="false">IF(电梯资料!$C427="",0,IF(OR(电梯资料!$Y427="安装免保",电梯资料!$Y427="技术免保",电梯资料!$Y427="质保期内"),1,0))</f>
        <v>0</v>
      </c>
      <c r="H427" s="71" t="n">
        <f aca="false">SUM($G$5:$G427)</f>
        <v>4</v>
      </c>
    </row>
    <row r="428" customFormat="false" ht="15" hidden="false" customHeight="false" outlineLevel="0" collapsed="false">
      <c r="D428" s="71" t="n">
        <f aca="false">IF(电梯资料!$C428="",0,IF(OR(电梯资料!$AA428&lt;&gt;"",电梯资料!$AB428&lt;&gt;""),1,0))</f>
        <v>0</v>
      </c>
      <c r="E428" s="71" t="n">
        <f aca="false">SUM($D$5:$D428)</f>
        <v>5</v>
      </c>
      <c r="G428" s="71" t="n">
        <f aca="false">IF(电梯资料!$C428="",0,IF(OR(电梯资料!$Y428="安装免保",电梯资料!$Y428="技术免保",电梯资料!$Y428="质保期内"),1,0))</f>
        <v>0</v>
      </c>
      <c r="H428" s="71" t="n">
        <f aca="false">SUM($G$5:$G428)</f>
        <v>4</v>
      </c>
    </row>
    <row r="429" customFormat="false" ht="15" hidden="false" customHeight="false" outlineLevel="0" collapsed="false">
      <c r="D429" s="71" t="n">
        <f aca="false">IF(电梯资料!$C429="",0,IF(OR(电梯资料!$AA429&lt;&gt;"",电梯资料!$AB429&lt;&gt;""),1,0))</f>
        <v>0</v>
      </c>
      <c r="E429" s="71" t="n">
        <f aca="false">SUM($D$5:$D429)</f>
        <v>5</v>
      </c>
      <c r="G429" s="71" t="n">
        <f aca="false">IF(电梯资料!$C429="",0,IF(OR(电梯资料!$Y429="安装免保",电梯资料!$Y429="技术免保",电梯资料!$Y429="质保期内"),1,0))</f>
        <v>0</v>
      </c>
      <c r="H429" s="71" t="n">
        <f aca="false">SUM($G$5:$G429)</f>
        <v>4</v>
      </c>
    </row>
    <row r="430" customFormat="false" ht="15" hidden="false" customHeight="false" outlineLevel="0" collapsed="false">
      <c r="D430" s="71" t="n">
        <f aca="false">IF(电梯资料!$C430="",0,IF(OR(电梯资料!$AA430&lt;&gt;"",电梯资料!$AB430&lt;&gt;""),1,0))</f>
        <v>0</v>
      </c>
      <c r="E430" s="71" t="n">
        <f aca="false">SUM($D$5:$D430)</f>
        <v>5</v>
      </c>
      <c r="G430" s="71" t="n">
        <f aca="false">IF(电梯资料!$C430="",0,IF(OR(电梯资料!$Y430="安装免保",电梯资料!$Y430="技术免保",电梯资料!$Y430="质保期内"),1,0))</f>
        <v>0</v>
      </c>
      <c r="H430" s="71" t="n">
        <f aca="false">SUM($G$5:$G430)</f>
        <v>4</v>
      </c>
    </row>
    <row r="431" customFormat="false" ht="15" hidden="false" customHeight="false" outlineLevel="0" collapsed="false">
      <c r="D431" s="71" t="n">
        <f aca="false">IF(电梯资料!$C431="",0,IF(OR(电梯资料!$AA431&lt;&gt;"",电梯资料!$AB431&lt;&gt;""),1,0))</f>
        <v>0</v>
      </c>
      <c r="E431" s="71" t="n">
        <f aca="false">SUM($D$5:$D431)</f>
        <v>5</v>
      </c>
      <c r="G431" s="71" t="n">
        <f aca="false">IF(电梯资料!$C431="",0,IF(OR(电梯资料!$Y431="安装免保",电梯资料!$Y431="技术免保",电梯资料!$Y431="质保期内"),1,0))</f>
        <v>0</v>
      </c>
      <c r="H431" s="71" t="n">
        <f aca="false">SUM($G$5:$G431)</f>
        <v>4</v>
      </c>
    </row>
    <row r="432" customFormat="false" ht="15" hidden="false" customHeight="false" outlineLevel="0" collapsed="false">
      <c r="D432" s="71" t="n">
        <f aca="false">IF(电梯资料!$C432="",0,IF(OR(电梯资料!$AA432&lt;&gt;"",电梯资料!$AB432&lt;&gt;""),1,0))</f>
        <v>0</v>
      </c>
      <c r="E432" s="71" t="n">
        <f aca="false">SUM($D$5:$D432)</f>
        <v>5</v>
      </c>
      <c r="G432" s="71" t="n">
        <f aca="false">IF(电梯资料!$C432="",0,IF(OR(电梯资料!$Y432="安装免保",电梯资料!$Y432="技术免保",电梯资料!$Y432="质保期内"),1,0))</f>
        <v>0</v>
      </c>
      <c r="H432" s="71" t="n">
        <f aca="false">SUM($G$5:$G432)</f>
        <v>4</v>
      </c>
    </row>
    <row r="433" customFormat="false" ht="15" hidden="false" customHeight="false" outlineLevel="0" collapsed="false">
      <c r="D433" s="71" t="n">
        <f aca="false">IF(电梯资料!$C433="",0,IF(OR(电梯资料!$AA433&lt;&gt;"",电梯资料!$AB433&lt;&gt;""),1,0))</f>
        <v>0</v>
      </c>
      <c r="E433" s="71" t="n">
        <f aca="false">SUM($D$5:$D433)</f>
        <v>5</v>
      </c>
      <c r="G433" s="71" t="n">
        <f aca="false">IF(电梯资料!$C433="",0,IF(OR(电梯资料!$Y433="安装免保",电梯资料!$Y433="技术免保",电梯资料!$Y433="质保期内"),1,0))</f>
        <v>0</v>
      </c>
      <c r="H433" s="71" t="n">
        <f aca="false">SUM($G$5:$G433)</f>
        <v>4</v>
      </c>
    </row>
    <row r="434" customFormat="false" ht="15" hidden="false" customHeight="false" outlineLevel="0" collapsed="false">
      <c r="D434" s="71" t="n">
        <f aca="false">IF(电梯资料!$C434="",0,IF(OR(电梯资料!$AA434&lt;&gt;"",电梯资料!$AB434&lt;&gt;""),1,0))</f>
        <v>0</v>
      </c>
      <c r="E434" s="71" t="n">
        <f aca="false">SUM($D$5:$D434)</f>
        <v>5</v>
      </c>
      <c r="G434" s="71" t="n">
        <f aca="false">IF(电梯资料!$C434="",0,IF(OR(电梯资料!$Y434="安装免保",电梯资料!$Y434="技术免保",电梯资料!$Y434="质保期内"),1,0))</f>
        <v>0</v>
      </c>
      <c r="H434" s="71" t="n">
        <f aca="false">SUM($G$5:$G434)</f>
        <v>4</v>
      </c>
    </row>
    <row r="435" customFormat="false" ht="15" hidden="false" customHeight="false" outlineLevel="0" collapsed="false">
      <c r="D435" s="71" t="n">
        <f aca="false">IF(电梯资料!$C435="",0,IF(OR(电梯资料!$AA435&lt;&gt;"",电梯资料!$AB435&lt;&gt;""),1,0))</f>
        <v>0</v>
      </c>
      <c r="E435" s="71" t="n">
        <f aca="false">SUM($D$5:$D435)</f>
        <v>5</v>
      </c>
      <c r="G435" s="71" t="n">
        <f aca="false">IF(电梯资料!$C435="",0,IF(OR(电梯资料!$Y435="安装免保",电梯资料!$Y435="技术免保",电梯资料!$Y435="质保期内"),1,0))</f>
        <v>0</v>
      </c>
      <c r="H435" s="71" t="n">
        <f aca="false">SUM($G$5:$G435)</f>
        <v>4</v>
      </c>
    </row>
    <row r="436" customFormat="false" ht="15" hidden="false" customHeight="false" outlineLevel="0" collapsed="false">
      <c r="D436" s="71" t="n">
        <f aca="false">IF(电梯资料!$C436="",0,IF(OR(电梯资料!$AA436&lt;&gt;"",电梯资料!$AB436&lt;&gt;""),1,0))</f>
        <v>0</v>
      </c>
      <c r="E436" s="71" t="n">
        <f aca="false">SUM($D$5:$D436)</f>
        <v>5</v>
      </c>
      <c r="G436" s="71" t="n">
        <f aca="false">IF(电梯资料!$C436="",0,IF(OR(电梯资料!$Y436="安装免保",电梯资料!$Y436="技术免保",电梯资料!$Y436="质保期内"),1,0))</f>
        <v>0</v>
      </c>
      <c r="H436" s="71" t="n">
        <f aca="false">SUM($G$5:$G436)</f>
        <v>4</v>
      </c>
    </row>
    <row r="437" customFormat="false" ht="15" hidden="false" customHeight="false" outlineLevel="0" collapsed="false">
      <c r="D437" s="71" t="n">
        <f aca="false">IF(电梯资料!$C437="",0,IF(OR(电梯资料!$AA437&lt;&gt;"",电梯资料!$AB437&lt;&gt;""),1,0))</f>
        <v>0</v>
      </c>
      <c r="E437" s="71" t="n">
        <f aca="false">SUM($D$5:$D437)</f>
        <v>5</v>
      </c>
      <c r="G437" s="71" t="n">
        <f aca="false">IF(电梯资料!$C437="",0,IF(OR(电梯资料!$Y437="安装免保",电梯资料!$Y437="技术免保",电梯资料!$Y437="质保期内"),1,0))</f>
        <v>0</v>
      </c>
      <c r="H437" s="71" t="n">
        <f aca="false">SUM($G$5:$G437)</f>
        <v>4</v>
      </c>
    </row>
    <row r="438" customFormat="false" ht="15" hidden="false" customHeight="false" outlineLevel="0" collapsed="false">
      <c r="D438" s="71" t="n">
        <f aca="false">IF(电梯资料!$C438="",0,IF(OR(电梯资料!$AA438&lt;&gt;"",电梯资料!$AB438&lt;&gt;""),1,0))</f>
        <v>0</v>
      </c>
      <c r="E438" s="71" t="n">
        <f aca="false">SUM($D$5:$D438)</f>
        <v>5</v>
      </c>
      <c r="G438" s="71" t="n">
        <f aca="false">IF(电梯资料!$C438="",0,IF(OR(电梯资料!$Y438="安装免保",电梯资料!$Y438="技术免保",电梯资料!$Y438="质保期内"),1,0))</f>
        <v>0</v>
      </c>
      <c r="H438" s="71" t="n">
        <f aca="false">SUM($G$5:$G438)</f>
        <v>4</v>
      </c>
    </row>
    <row r="439" customFormat="false" ht="15" hidden="false" customHeight="false" outlineLevel="0" collapsed="false">
      <c r="D439" s="71" t="n">
        <f aca="false">IF(电梯资料!$C439="",0,IF(OR(电梯资料!$AA439&lt;&gt;"",电梯资料!$AB439&lt;&gt;""),1,0))</f>
        <v>0</v>
      </c>
      <c r="E439" s="71" t="n">
        <f aca="false">SUM($D$5:$D439)</f>
        <v>5</v>
      </c>
      <c r="G439" s="71" t="n">
        <f aca="false">IF(电梯资料!$C439="",0,IF(OR(电梯资料!$Y439="安装免保",电梯资料!$Y439="技术免保",电梯资料!$Y439="质保期内"),1,0))</f>
        <v>0</v>
      </c>
      <c r="H439" s="71" t="n">
        <f aca="false">SUM($G$5:$G439)</f>
        <v>4</v>
      </c>
    </row>
    <row r="440" customFormat="false" ht="15" hidden="false" customHeight="false" outlineLevel="0" collapsed="false">
      <c r="D440" s="71" t="n">
        <f aca="false">IF(电梯资料!$C440="",0,IF(OR(电梯资料!$AA440&lt;&gt;"",电梯资料!$AB440&lt;&gt;""),1,0))</f>
        <v>0</v>
      </c>
      <c r="E440" s="71" t="n">
        <f aca="false">SUM($D$5:$D440)</f>
        <v>5</v>
      </c>
      <c r="G440" s="71" t="n">
        <f aca="false">IF(电梯资料!$C440="",0,IF(OR(电梯资料!$Y440="安装免保",电梯资料!$Y440="技术免保",电梯资料!$Y440="质保期内"),1,0))</f>
        <v>0</v>
      </c>
      <c r="H440" s="71" t="n">
        <f aca="false">SUM($G$5:$G440)</f>
        <v>4</v>
      </c>
    </row>
    <row r="441" customFormat="false" ht="15" hidden="false" customHeight="false" outlineLevel="0" collapsed="false">
      <c r="D441" s="71" t="n">
        <f aca="false">IF(电梯资料!$C441="",0,IF(OR(电梯资料!$AA441&lt;&gt;"",电梯资料!$AB441&lt;&gt;""),1,0))</f>
        <v>0</v>
      </c>
      <c r="E441" s="71" t="n">
        <f aca="false">SUM($D$5:$D441)</f>
        <v>5</v>
      </c>
      <c r="G441" s="71" t="n">
        <f aca="false">IF(电梯资料!$C441="",0,IF(OR(电梯资料!$Y441="安装免保",电梯资料!$Y441="技术免保",电梯资料!$Y441="质保期内"),1,0))</f>
        <v>0</v>
      </c>
      <c r="H441" s="71" t="n">
        <f aca="false">SUM($G$5:$G441)</f>
        <v>4</v>
      </c>
    </row>
    <row r="442" customFormat="false" ht="15" hidden="false" customHeight="false" outlineLevel="0" collapsed="false">
      <c r="D442" s="71" t="n">
        <f aca="false">IF(电梯资料!$C442="",0,IF(OR(电梯资料!$AA442&lt;&gt;"",电梯资料!$AB442&lt;&gt;""),1,0))</f>
        <v>0</v>
      </c>
      <c r="E442" s="71" t="n">
        <f aca="false">SUM($D$5:$D442)</f>
        <v>5</v>
      </c>
      <c r="G442" s="71" t="n">
        <f aca="false">IF(电梯资料!$C442="",0,IF(OR(电梯资料!$Y442="安装免保",电梯资料!$Y442="技术免保",电梯资料!$Y442="质保期内"),1,0))</f>
        <v>0</v>
      </c>
      <c r="H442" s="71" t="n">
        <f aca="false">SUM($G$5:$G442)</f>
        <v>4</v>
      </c>
    </row>
    <row r="443" customFormat="false" ht="15" hidden="false" customHeight="false" outlineLevel="0" collapsed="false">
      <c r="D443" s="71" t="n">
        <f aca="false">IF(电梯资料!$C443="",0,IF(OR(电梯资料!$AA443&lt;&gt;"",电梯资料!$AB443&lt;&gt;""),1,0))</f>
        <v>0</v>
      </c>
      <c r="E443" s="71" t="n">
        <f aca="false">SUM($D$5:$D443)</f>
        <v>5</v>
      </c>
      <c r="G443" s="71" t="n">
        <f aca="false">IF(电梯资料!$C443="",0,IF(OR(电梯资料!$Y443="安装免保",电梯资料!$Y443="技术免保",电梯资料!$Y443="质保期内"),1,0))</f>
        <v>0</v>
      </c>
      <c r="H443" s="71" t="n">
        <f aca="false">SUM($G$5:$G443)</f>
        <v>4</v>
      </c>
    </row>
    <row r="444" customFormat="false" ht="15" hidden="false" customHeight="false" outlineLevel="0" collapsed="false">
      <c r="D444" s="71" t="n">
        <f aca="false">IF(电梯资料!$C444="",0,IF(OR(电梯资料!$AA444&lt;&gt;"",电梯资料!$AB444&lt;&gt;""),1,0))</f>
        <v>0</v>
      </c>
      <c r="E444" s="71" t="n">
        <f aca="false">SUM($D$5:$D444)</f>
        <v>5</v>
      </c>
      <c r="G444" s="71" t="n">
        <f aca="false">IF(电梯资料!$C444="",0,IF(OR(电梯资料!$Y444="安装免保",电梯资料!$Y444="技术免保",电梯资料!$Y444="质保期内"),1,0))</f>
        <v>0</v>
      </c>
      <c r="H444" s="71" t="n">
        <f aca="false">SUM($G$5:$G444)</f>
        <v>4</v>
      </c>
    </row>
    <row r="445" customFormat="false" ht="15" hidden="false" customHeight="false" outlineLevel="0" collapsed="false">
      <c r="D445" s="71" t="n">
        <f aca="false">IF(电梯资料!$C445="",0,IF(OR(电梯资料!$AA445&lt;&gt;"",电梯资料!$AB445&lt;&gt;""),1,0))</f>
        <v>0</v>
      </c>
      <c r="E445" s="71" t="n">
        <f aca="false">SUM($D$5:$D445)</f>
        <v>5</v>
      </c>
      <c r="G445" s="71" t="n">
        <f aca="false">IF(电梯资料!$C445="",0,IF(OR(电梯资料!$Y445="安装免保",电梯资料!$Y445="技术免保",电梯资料!$Y445="质保期内"),1,0))</f>
        <v>0</v>
      </c>
      <c r="H445" s="71" t="n">
        <f aca="false">SUM($G$5:$G445)</f>
        <v>4</v>
      </c>
    </row>
    <row r="446" customFormat="false" ht="15" hidden="false" customHeight="false" outlineLevel="0" collapsed="false">
      <c r="D446" s="71" t="n">
        <f aca="false">IF(电梯资料!$C446="",0,IF(OR(电梯资料!$AA446&lt;&gt;"",电梯资料!$AB446&lt;&gt;""),1,0))</f>
        <v>0</v>
      </c>
      <c r="E446" s="71" t="n">
        <f aca="false">SUM($D$5:$D446)</f>
        <v>5</v>
      </c>
      <c r="G446" s="71" t="n">
        <f aca="false">IF(电梯资料!$C446="",0,IF(OR(电梯资料!$Y446="安装免保",电梯资料!$Y446="技术免保",电梯资料!$Y446="质保期内"),1,0))</f>
        <v>0</v>
      </c>
      <c r="H446" s="71" t="n">
        <f aca="false">SUM($G$5:$G446)</f>
        <v>4</v>
      </c>
    </row>
    <row r="447" customFormat="false" ht="15" hidden="false" customHeight="false" outlineLevel="0" collapsed="false">
      <c r="D447" s="71" t="n">
        <f aca="false">IF(电梯资料!$C447="",0,IF(OR(电梯资料!$AA447&lt;&gt;"",电梯资料!$AB447&lt;&gt;""),1,0))</f>
        <v>0</v>
      </c>
      <c r="E447" s="71" t="n">
        <f aca="false">SUM($D$5:$D447)</f>
        <v>5</v>
      </c>
      <c r="G447" s="71" t="n">
        <f aca="false">IF(电梯资料!$C447="",0,IF(OR(电梯资料!$Y447="安装免保",电梯资料!$Y447="技术免保",电梯资料!$Y447="质保期内"),1,0))</f>
        <v>0</v>
      </c>
      <c r="H447" s="71" t="n">
        <f aca="false">SUM($G$5:$G447)</f>
        <v>4</v>
      </c>
    </row>
    <row r="448" customFormat="false" ht="15" hidden="false" customHeight="false" outlineLevel="0" collapsed="false">
      <c r="D448" s="71" t="n">
        <f aca="false">IF(电梯资料!$C448="",0,IF(OR(电梯资料!$AA448&lt;&gt;"",电梯资料!$AB448&lt;&gt;""),1,0))</f>
        <v>0</v>
      </c>
      <c r="E448" s="71" t="n">
        <f aca="false">SUM($D$5:$D448)</f>
        <v>5</v>
      </c>
      <c r="G448" s="71" t="n">
        <f aca="false">IF(电梯资料!$C448="",0,IF(OR(电梯资料!$Y448="安装免保",电梯资料!$Y448="技术免保",电梯资料!$Y448="质保期内"),1,0))</f>
        <v>0</v>
      </c>
      <c r="H448" s="71" t="n">
        <f aca="false">SUM($G$5:$G448)</f>
        <v>4</v>
      </c>
    </row>
    <row r="449" customFormat="false" ht="15" hidden="false" customHeight="false" outlineLevel="0" collapsed="false">
      <c r="D449" s="71" t="n">
        <f aca="false">IF(电梯资料!$C449="",0,IF(OR(电梯资料!$AA449&lt;&gt;"",电梯资料!$AB449&lt;&gt;""),1,0))</f>
        <v>0</v>
      </c>
      <c r="E449" s="71" t="n">
        <f aca="false">SUM($D$5:$D449)</f>
        <v>5</v>
      </c>
      <c r="G449" s="71" t="n">
        <f aca="false">IF(电梯资料!$C449="",0,IF(OR(电梯资料!$Y449="安装免保",电梯资料!$Y449="技术免保",电梯资料!$Y449="质保期内"),1,0))</f>
        <v>0</v>
      </c>
      <c r="H449" s="71" t="n">
        <f aca="false">SUM($G$5:$G449)</f>
        <v>4</v>
      </c>
    </row>
    <row r="450" customFormat="false" ht="15" hidden="false" customHeight="false" outlineLevel="0" collapsed="false">
      <c r="D450" s="71" t="n">
        <f aca="false">IF(电梯资料!$C450="",0,IF(OR(电梯资料!$AA450&lt;&gt;"",电梯资料!$AB450&lt;&gt;""),1,0))</f>
        <v>0</v>
      </c>
      <c r="E450" s="71" t="n">
        <f aca="false">SUM($D$5:$D450)</f>
        <v>5</v>
      </c>
      <c r="G450" s="71" t="n">
        <f aca="false">IF(电梯资料!$C450="",0,IF(OR(电梯资料!$Y450="安装免保",电梯资料!$Y450="技术免保",电梯资料!$Y450="质保期内"),1,0))</f>
        <v>0</v>
      </c>
      <c r="H450" s="71" t="n">
        <f aca="false">SUM($G$5:$G450)</f>
        <v>4</v>
      </c>
    </row>
    <row r="451" customFormat="false" ht="15" hidden="false" customHeight="false" outlineLevel="0" collapsed="false">
      <c r="D451" s="71" t="n">
        <f aca="false">IF(电梯资料!$C451="",0,IF(OR(电梯资料!$AA451&lt;&gt;"",电梯资料!$AB451&lt;&gt;""),1,0))</f>
        <v>0</v>
      </c>
      <c r="E451" s="71" t="n">
        <f aca="false">SUM($D$5:$D451)</f>
        <v>5</v>
      </c>
      <c r="G451" s="71" t="n">
        <f aca="false">IF(电梯资料!$C451="",0,IF(OR(电梯资料!$Y451="安装免保",电梯资料!$Y451="技术免保",电梯资料!$Y451="质保期内"),1,0))</f>
        <v>0</v>
      </c>
      <c r="H451" s="71" t="n">
        <f aca="false">SUM($G$5:$G451)</f>
        <v>4</v>
      </c>
    </row>
    <row r="452" customFormat="false" ht="15" hidden="false" customHeight="false" outlineLevel="0" collapsed="false">
      <c r="D452" s="71" t="n">
        <f aca="false">IF(电梯资料!$C452="",0,IF(OR(电梯资料!$AA452&lt;&gt;"",电梯资料!$AB452&lt;&gt;""),1,0))</f>
        <v>0</v>
      </c>
      <c r="E452" s="71" t="n">
        <f aca="false">SUM($D$5:$D452)</f>
        <v>5</v>
      </c>
      <c r="G452" s="71" t="n">
        <f aca="false">IF(电梯资料!$C452="",0,IF(OR(电梯资料!$Y452="安装免保",电梯资料!$Y452="技术免保",电梯资料!$Y452="质保期内"),1,0))</f>
        <v>0</v>
      </c>
      <c r="H452" s="71" t="n">
        <f aca="false">SUM($G$5:$G452)</f>
        <v>4</v>
      </c>
    </row>
    <row r="453" customFormat="false" ht="15" hidden="false" customHeight="false" outlineLevel="0" collapsed="false">
      <c r="D453" s="71" t="n">
        <f aca="false">IF(电梯资料!$C453="",0,IF(OR(电梯资料!$AA453&lt;&gt;"",电梯资料!$AB453&lt;&gt;""),1,0))</f>
        <v>0</v>
      </c>
      <c r="E453" s="71" t="n">
        <f aca="false">SUM($D$5:$D453)</f>
        <v>5</v>
      </c>
      <c r="G453" s="71" t="n">
        <f aca="false">IF(电梯资料!$C453="",0,IF(OR(电梯资料!$Y453="安装免保",电梯资料!$Y453="技术免保",电梯资料!$Y453="质保期内"),1,0))</f>
        <v>0</v>
      </c>
      <c r="H453" s="71" t="n">
        <f aca="false">SUM($G$5:$G453)</f>
        <v>4</v>
      </c>
    </row>
    <row r="454" customFormat="false" ht="15" hidden="false" customHeight="false" outlineLevel="0" collapsed="false">
      <c r="D454" s="71" t="n">
        <f aca="false">IF(电梯资料!$C454="",0,IF(OR(电梯资料!$AA454&lt;&gt;"",电梯资料!$AB454&lt;&gt;""),1,0))</f>
        <v>0</v>
      </c>
      <c r="E454" s="71" t="n">
        <f aca="false">SUM($D$5:$D454)</f>
        <v>5</v>
      </c>
      <c r="G454" s="71" t="n">
        <f aca="false">IF(电梯资料!$C454="",0,IF(OR(电梯资料!$Y454="安装免保",电梯资料!$Y454="技术免保",电梯资料!$Y454="质保期内"),1,0))</f>
        <v>0</v>
      </c>
      <c r="H454" s="71" t="n">
        <f aca="false">SUM($G$5:$G454)</f>
        <v>4</v>
      </c>
    </row>
    <row r="455" customFormat="false" ht="15" hidden="false" customHeight="false" outlineLevel="0" collapsed="false">
      <c r="D455" s="71" t="n">
        <f aca="false">IF(电梯资料!$C455="",0,IF(OR(电梯资料!$AA455&lt;&gt;"",电梯资料!$AB455&lt;&gt;""),1,0))</f>
        <v>0</v>
      </c>
      <c r="E455" s="71" t="n">
        <f aca="false">SUM($D$5:$D455)</f>
        <v>5</v>
      </c>
      <c r="G455" s="71" t="n">
        <f aca="false">IF(电梯资料!$C455="",0,IF(OR(电梯资料!$Y455="安装免保",电梯资料!$Y455="技术免保",电梯资料!$Y455="质保期内"),1,0))</f>
        <v>0</v>
      </c>
      <c r="H455" s="71" t="n">
        <f aca="false">SUM($G$5:$G455)</f>
        <v>4</v>
      </c>
    </row>
    <row r="456" customFormat="false" ht="15" hidden="false" customHeight="false" outlineLevel="0" collapsed="false">
      <c r="D456" s="71" t="n">
        <f aca="false">IF(电梯资料!$C456="",0,IF(OR(电梯资料!$AA456&lt;&gt;"",电梯资料!$AB456&lt;&gt;""),1,0))</f>
        <v>0</v>
      </c>
      <c r="E456" s="71" t="n">
        <f aca="false">SUM($D$5:$D456)</f>
        <v>5</v>
      </c>
      <c r="G456" s="71" t="n">
        <f aca="false">IF(电梯资料!$C456="",0,IF(OR(电梯资料!$Y456="安装免保",电梯资料!$Y456="技术免保",电梯资料!$Y456="质保期内"),1,0))</f>
        <v>0</v>
      </c>
      <c r="H456" s="71" t="n">
        <f aca="false">SUM($G$5:$G456)</f>
        <v>4</v>
      </c>
    </row>
    <row r="457" customFormat="false" ht="15" hidden="false" customHeight="false" outlineLevel="0" collapsed="false">
      <c r="D457" s="71" t="n">
        <f aca="false">IF(电梯资料!$C457="",0,IF(OR(电梯资料!$AA457&lt;&gt;"",电梯资料!$AB457&lt;&gt;""),1,0))</f>
        <v>0</v>
      </c>
      <c r="E457" s="71" t="n">
        <f aca="false">SUM($D$5:$D457)</f>
        <v>5</v>
      </c>
      <c r="G457" s="71" t="n">
        <f aca="false">IF(电梯资料!$C457="",0,IF(OR(电梯资料!$Y457="安装免保",电梯资料!$Y457="技术免保",电梯资料!$Y457="质保期内"),1,0))</f>
        <v>0</v>
      </c>
      <c r="H457" s="71" t="n">
        <f aca="false">SUM($G$5:$G457)</f>
        <v>4</v>
      </c>
    </row>
    <row r="458" customFormat="false" ht="15" hidden="false" customHeight="false" outlineLevel="0" collapsed="false">
      <c r="D458" s="71" t="n">
        <f aca="false">IF(电梯资料!$C458="",0,IF(OR(电梯资料!$AA458&lt;&gt;"",电梯资料!$AB458&lt;&gt;""),1,0))</f>
        <v>0</v>
      </c>
      <c r="E458" s="71" t="n">
        <f aca="false">SUM($D$5:$D458)</f>
        <v>5</v>
      </c>
      <c r="G458" s="71" t="n">
        <f aca="false">IF(电梯资料!$C458="",0,IF(OR(电梯资料!$Y458="安装免保",电梯资料!$Y458="技术免保",电梯资料!$Y458="质保期内"),1,0))</f>
        <v>0</v>
      </c>
      <c r="H458" s="71" t="n">
        <f aca="false">SUM($G$5:$G458)</f>
        <v>4</v>
      </c>
    </row>
    <row r="459" customFormat="false" ht="15" hidden="false" customHeight="false" outlineLevel="0" collapsed="false">
      <c r="D459" s="71" t="n">
        <f aca="false">IF(电梯资料!$C459="",0,IF(OR(电梯资料!$AA459&lt;&gt;"",电梯资料!$AB459&lt;&gt;""),1,0))</f>
        <v>0</v>
      </c>
      <c r="E459" s="71" t="n">
        <f aca="false">SUM($D$5:$D459)</f>
        <v>5</v>
      </c>
      <c r="G459" s="71" t="n">
        <f aca="false">IF(电梯资料!$C459="",0,IF(OR(电梯资料!$Y459="安装免保",电梯资料!$Y459="技术免保",电梯资料!$Y459="质保期内"),1,0))</f>
        <v>0</v>
      </c>
      <c r="H459" s="71" t="n">
        <f aca="false">SUM($G$5:$G459)</f>
        <v>4</v>
      </c>
    </row>
    <row r="460" customFormat="false" ht="15" hidden="false" customHeight="false" outlineLevel="0" collapsed="false">
      <c r="D460" s="71" t="n">
        <f aca="false">IF(电梯资料!$C460="",0,IF(OR(电梯资料!$AA460&lt;&gt;"",电梯资料!$AB460&lt;&gt;""),1,0))</f>
        <v>0</v>
      </c>
      <c r="E460" s="71" t="n">
        <f aca="false">SUM($D$5:$D460)</f>
        <v>5</v>
      </c>
      <c r="G460" s="71" t="n">
        <f aca="false">IF(电梯资料!$C460="",0,IF(OR(电梯资料!$Y460="安装免保",电梯资料!$Y460="技术免保",电梯资料!$Y460="质保期内"),1,0))</f>
        <v>0</v>
      </c>
      <c r="H460" s="71" t="n">
        <f aca="false">SUM($G$5:$G460)</f>
        <v>4</v>
      </c>
    </row>
    <row r="461" customFormat="false" ht="15" hidden="false" customHeight="false" outlineLevel="0" collapsed="false">
      <c r="D461" s="71" t="n">
        <f aca="false">IF(电梯资料!$C461="",0,IF(OR(电梯资料!$AA461&lt;&gt;"",电梯资料!$AB461&lt;&gt;""),1,0))</f>
        <v>0</v>
      </c>
      <c r="E461" s="71" t="n">
        <f aca="false">SUM($D$5:$D461)</f>
        <v>5</v>
      </c>
      <c r="G461" s="71" t="n">
        <f aca="false">IF(电梯资料!$C461="",0,IF(OR(电梯资料!$Y461="安装免保",电梯资料!$Y461="技术免保",电梯资料!$Y461="质保期内"),1,0))</f>
        <v>0</v>
      </c>
      <c r="H461" s="71" t="n">
        <f aca="false">SUM($G$5:$G461)</f>
        <v>4</v>
      </c>
    </row>
    <row r="462" customFormat="false" ht="15" hidden="false" customHeight="false" outlineLevel="0" collapsed="false">
      <c r="D462" s="71" t="n">
        <f aca="false">IF(电梯资料!$C462="",0,IF(OR(电梯资料!$AA462&lt;&gt;"",电梯资料!$AB462&lt;&gt;""),1,0))</f>
        <v>0</v>
      </c>
      <c r="E462" s="71" t="n">
        <f aca="false">SUM($D$5:$D462)</f>
        <v>5</v>
      </c>
      <c r="G462" s="71" t="n">
        <f aca="false">IF(电梯资料!$C462="",0,IF(OR(电梯资料!$Y462="安装免保",电梯资料!$Y462="技术免保",电梯资料!$Y462="质保期内"),1,0))</f>
        <v>0</v>
      </c>
      <c r="H462" s="71" t="n">
        <f aca="false">SUM($G$5:$G462)</f>
        <v>4</v>
      </c>
    </row>
    <row r="463" customFormat="false" ht="15" hidden="false" customHeight="false" outlineLevel="0" collapsed="false">
      <c r="D463" s="71" t="n">
        <f aca="false">IF(电梯资料!$C463="",0,IF(OR(电梯资料!$AA463&lt;&gt;"",电梯资料!$AB463&lt;&gt;""),1,0))</f>
        <v>0</v>
      </c>
      <c r="E463" s="71" t="n">
        <f aca="false">SUM($D$5:$D463)</f>
        <v>5</v>
      </c>
      <c r="G463" s="71" t="n">
        <f aca="false">IF(电梯资料!$C463="",0,IF(OR(电梯资料!$Y463="安装免保",电梯资料!$Y463="技术免保",电梯资料!$Y463="质保期内"),1,0))</f>
        <v>0</v>
      </c>
      <c r="H463" s="71" t="n">
        <f aca="false">SUM($G$5:$G463)</f>
        <v>4</v>
      </c>
    </row>
    <row r="464" customFormat="false" ht="15" hidden="false" customHeight="false" outlineLevel="0" collapsed="false">
      <c r="D464" s="71" t="n">
        <f aca="false">IF(电梯资料!$C464="",0,IF(OR(电梯资料!$AA464&lt;&gt;"",电梯资料!$AB464&lt;&gt;""),1,0))</f>
        <v>0</v>
      </c>
      <c r="E464" s="71" t="n">
        <f aca="false">SUM($D$5:$D464)</f>
        <v>5</v>
      </c>
      <c r="G464" s="71" t="n">
        <f aca="false">IF(电梯资料!$C464="",0,IF(OR(电梯资料!$Y464="安装免保",电梯资料!$Y464="技术免保",电梯资料!$Y464="质保期内"),1,0))</f>
        <v>0</v>
      </c>
      <c r="H464" s="71" t="n">
        <f aca="false">SUM($G$5:$G464)</f>
        <v>4</v>
      </c>
    </row>
    <row r="465" customFormat="false" ht="15" hidden="false" customHeight="false" outlineLevel="0" collapsed="false">
      <c r="D465" s="71" t="n">
        <f aca="false">IF(电梯资料!$C465="",0,IF(OR(电梯资料!$AA465&lt;&gt;"",电梯资料!$AB465&lt;&gt;""),1,0))</f>
        <v>0</v>
      </c>
      <c r="E465" s="71" t="n">
        <f aca="false">SUM($D$5:$D465)</f>
        <v>5</v>
      </c>
      <c r="G465" s="71" t="n">
        <f aca="false">IF(电梯资料!$C465="",0,IF(OR(电梯资料!$Y465="安装免保",电梯资料!$Y465="技术免保",电梯资料!$Y465="质保期内"),1,0))</f>
        <v>0</v>
      </c>
      <c r="H465" s="71" t="n">
        <f aca="false">SUM($G$5:$G465)</f>
        <v>4</v>
      </c>
    </row>
    <row r="466" customFormat="false" ht="15" hidden="false" customHeight="false" outlineLevel="0" collapsed="false">
      <c r="D466" s="71" t="n">
        <f aca="false">IF(电梯资料!$C466="",0,IF(OR(电梯资料!$AA466&lt;&gt;"",电梯资料!$AB466&lt;&gt;""),1,0))</f>
        <v>0</v>
      </c>
      <c r="E466" s="71" t="n">
        <f aca="false">SUM($D$5:$D466)</f>
        <v>5</v>
      </c>
      <c r="G466" s="71" t="n">
        <f aca="false">IF(电梯资料!$C466="",0,IF(OR(电梯资料!$Y466="安装免保",电梯资料!$Y466="技术免保",电梯资料!$Y466="质保期内"),1,0))</f>
        <v>0</v>
      </c>
      <c r="H466" s="71" t="n">
        <f aca="false">SUM($G$5:$G466)</f>
        <v>4</v>
      </c>
    </row>
    <row r="467" customFormat="false" ht="15" hidden="false" customHeight="false" outlineLevel="0" collapsed="false">
      <c r="D467" s="71" t="n">
        <f aca="false">IF(电梯资料!$C467="",0,IF(OR(电梯资料!$AA467&lt;&gt;"",电梯资料!$AB467&lt;&gt;""),1,0))</f>
        <v>0</v>
      </c>
      <c r="E467" s="71" t="n">
        <f aca="false">SUM($D$5:$D467)</f>
        <v>5</v>
      </c>
      <c r="G467" s="71" t="n">
        <f aca="false">IF(电梯资料!$C467="",0,IF(OR(电梯资料!$Y467="安装免保",电梯资料!$Y467="技术免保",电梯资料!$Y467="质保期内"),1,0))</f>
        <v>0</v>
      </c>
      <c r="H467" s="71" t="n">
        <f aca="false">SUM($G$5:$G467)</f>
        <v>4</v>
      </c>
    </row>
    <row r="468" customFormat="false" ht="15" hidden="false" customHeight="false" outlineLevel="0" collapsed="false">
      <c r="D468" s="71" t="n">
        <f aca="false">IF(电梯资料!$C468="",0,IF(OR(电梯资料!$AA468&lt;&gt;"",电梯资料!$AB468&lt;&gt;""),1,0))</f>
        <v>0</v>
      </c>
      <c r="E468" s="71" t="n">
        <f aca="false">SUM($D$5:$D468)</f>
        <v>5</v>
      </c>
      <c r="G468" s="71" t="n">
        <f aca="false">IF(电梯资料!$C468="",0,IF(OR(电梯资料!$Y468="安装免保",电梯资料!$Y468="技术免保",电梯资料!$Y468="质保期内"),1,0))</f>
        <v>0</v>
      </c>
      <c r="H468" s="71" t="n">
        <f aca="false">SUM($G$5:$G468)</f>
        <v>4</v>
      </c>
    </row>
    <row r="469" customFormat="false" ht="15" hidden="false" customHeight="false" outlineLevel="0" collapsed="false">
      <c r="D469" s="71" t="n">
        <f aca="false">IF(电梯资料!$C469="",0,IF(OR(电梯资料!$AA469&lt;&gt;"",电梯资料!$AB469&lt;&gt;""),1,0))</f>
        <v>0</v>
      </c>
      <c r="E469" s="71" t="n">
        <f aca="false">SUM($D$5:$D469)</f>
        <v>5</v>
      </c>
      <c r="G469" s="71" t="n">
        <f aca="false">IF(电梯资料!$C469="",0,IF(OR(电梯资料!$Y469="安装免保",电梯资料!$Y469="技术免保",电梯资料!$Y469="质保期内"),1,0))</f>
        <v>0</v>
      </c>
      <c r="H469" s="71" t="n">
        <f aca="false">SUM($G$5:$G469)</f>
        <v>4</v>
      </c>
    </row>
    <row r="470" customFormat="false" ht="15" hidden="false" customHeight="false" outlineLevel="0" collapsed="false">
      <c r="D470" s="71" t="n">
        <f aca="false">IF(电梯资料!$C470="",0,IF(OR(电梯资料!$AA470&lt;&gt;"",电梯资料!$AB470&lt;&gt;""),1,0))</f>
        <v>0</v>
      </c>
      <c r="E470" s="71" t="n">
        <f aca="false">SUM($D$5:$D470)</f>
        <v>5</v>
      </c>
      <c r="G470" s="71" t="n">
        <f aca="false">IF(电梯资料!$C470="",0,IF(OR(电梯资料!$Y470="安装免保",电梯资料!$Y470="技术免保",电梯资料!$Y470="质保期内"),1,0))</f>
        <v>0</v>
      </c>
      <c r="H470" s="71" t="n">
        <f aca="false">SUM($G$5:$G470)</f>
        <v>4</v>
      </c>
    </row>
    <row r="471" customFormat="false" ht="15" hidden="false" customHeight="false" outlineLevel="0" collapsed="false">
      <c r="D471" s="71" t="n">
        <f aca="false">IF(电梯资料!$C471="",0,IF(OR(电梯资料!$AA471&lt;&gt;"",电梯资料!$AB471&lt;&gt;""),1,0))</f>
        <v>0</v>
      </c>
      <c r="E471" s="71" t="n">
        <f aca="false">SUM($D$5:$D471)</f>
        <v>5</v>
      </c>
      <c r="G471" s="71" t="n">
        <f aca="false">IF(电梯资料!$C471="",0,IF(OR(电梯资料!$Y471="安装免保",电梯资料!$Y471="技术免保",电梯资料!$Y471="质保期内"),1,0))</f>
        <v>0</v>
      </c>
      <c r="H471" s="71" t="n">
        <f aca="false">SUM($G$5:$G471)</f>
        <v>4</v>
      </c>
    </row>
    <row r="472" customFormat="false" ht="15" hidden="false" customHeight="false" outlineLevel="0" collapsed="false">
      <c r="D472" s="71" t="n">
        <f aca="false">IF(电梯资料!$C472="",0,IF(OR(电梯资料!$AA472&lt;&gt;"",电梯资料!$AB472&lt;&gt;""),1,0))</f>
        <v>0</v>
      </c>
      <c r="E472" s="71" t="n">
        <f aca="false">SUM($D$5:$D472)</f>
        <v>5</v>
      </c>
      <c r="G472" s="71" t="n">
        <f aca="false">IF(电梯资料!$C472="",0,IF(OR(电梯资料!$Y472="安装免保",电梯资料!$Y472="技术免保",电梯资料!$Y472="质保期内"),1,0))</f>
        <v>0</v>
      </c>
      <c r="H472" s="71" t="n">
        <f aca="false">SUM($G$5:$G472)</f>
        <v>4</v>
      </c>
    </row>
    <row r="473" customFormat="false" ht="15" hidden="false" customHeight="false" outlineLevel="0" collapsed="false">
      <c r="D473" s="71" t="n">
        <f aca="false">IF(电梯资料!$C473="",0,IF(OR(电梯资料!$AA473&lt;&gt;"",电梯资料!$AB473&lt;&gt;""),1,0))</f>
        <v>0</v>
      </c>
      <c r="E473" s="71" t="n">
        <f aca="false">SUM($D$5:$D473)</f>
        <v>5</v>
      </c>
      <c r="G473" s="71" t="n">
        <f aca="false">IF(电梯资料!$C473="",0,IF(OR(电梯资料!$Y473="安装免保",电梯资料!$Y473="技术免保",电梯资料!$Y473="质保期内"),1,0))</f>
        <v>0</v>
      </c>
      <c r="H473" s="71" t="n">
        <f aca="false">SUM($G$5:$G473)</f>
        <v>4</v>
      </c>
    </row>
    <row r="474" customFormat="false" ht="15" hidden="false" customHeight="false" outlineLevel="0" collapsed="false">
      <c r="D474" s="71" t="n">
        <f aca="false">IF(电梯资料!$C474="",0,IF(OR(电梯资料!$AA474&lt;&gt;"",电梯资料!$AB474&lt;&gt;""),1,0))</f>
        <v>0</v>
      </c>
      <c r="E474" s="71" t="n">
        <f aca="false">SUM($D$5:$D474)</f>
        <v>5</v>
      </c>
      <c r="G474" s="71" t="n">
        <f aca="false">IF(电梯资料!$C474="",0,IF(OR(电梯资料!$Y474="安装免保",电梯资料!$Y474="技术免保",电梯资料!$Y474="质保期内"),1,0))</f>
        <v>0</v>
      </c>
      <c r="H474" s="71" t="n">
        <f aca="false">SUM($G$5:$G474)</f>
        <v>4</v>
      </c>
    </row>
    <row r="475" customFormat="false" ht="15" hidden="false" customHeight="false" outlineLevel="0" collapsed="false">
      <c r="D475" s="71" t="n">
        <f aca="false">IF(电梯资料!$C475="",0,IF(OR(电梯资料!$AA475&lt;&gt;"",电梯资料!$AB475&lt;&gt;""),1,0))</f>
        <v>0</v>
      </c>
      <c r="E475" s="71" t="n">
        <f aca="false">SUM($D$5:$D475)</f>
        <v>5</v>
      </c>
      <c r="G475" s="71" t="n">
        <f aca="false">IF(电梯资料!$C475="",0,IF(OR(电梯资料!$Y475="安装免保",电梯资料!$Y475="技术免保",电梯资料!$Y475="质保期内"),1,0))</f>
        <v>0</v>
      </c>
      <c r="H475" s="71" t="n">
        <f aca="false">SUM($G$5:$G475)</f>
        <v>4</v>
      </c>
    </row>
    <row r="476" customFormat="false" ht="15" hidden="false" customHeight="false" outlineLevel="0" collapsed="false">
      <c r="D476" s="71" t="n">
        <f aca="false">IF(电梯资料!$C476="",0,IF(OR(电梯资料!$AA476&lt;&gt;"",电梯资料!$AB476&lt;&gt;""),1,0))</f>
        <v>0</v>
      </c>
      <c r="E476" s="71" t="n">
        <f aca="false">SUM($D$5:$D476)</f>
        <v>5</v>
      </c>
      <c r="G476" s="71" t="n">
        <f aca="false">IF(电梯资料!$C476="",0,IF(OR(电梯资料!$Y476="安装免保",电梯资料!$Y476="技术免保",电梯资料!$Y476="质保期内"),1,0))</f>
        <v>0</v>
      </c>
      <c r="H476" s="71" t="n">
        <f aca="false">SUM($G$5:$G476)</f>
        <v>4</v>
      </c>
    </row>
    <row r="477" customFormat="false" ht="15" hidden="false" customHeight="false" outlineLevel="0" collapsed="false">
      <c r="D477" s="71" t="n">
        <f aca="false">IF(电梯资料!$C477="",0,IF(OR(电梯资料!$AA477&lt;&gt;"",电梯资料!$AB477&lt;&gt;""),1,0))</f>
        <v>0</v>
      </c>
      <c r="E477" s="71" t="n">
        <f aca="false">SUM($D$5:$D477)</f>
        <v>5</v>
      </c>
      <c r="G477" s="71" t="n">
        <f aca="false">IF(电梯资料!$C477="",0,IF(OR(电梯资料!$Y477="安装免保",电梯资料!$Y477="技术免保",电梯资料!$Y477="质保期内"),1,0))</f>
        <v>0</v>
      </c>
      <c r="H477" s="71" t="n">
        <f aca="false">SUM($G$5:$G477)</f>
        <v>4</v>
      </c>
    </row>
    <row r="478" customFormat="false" ht="15" hidden="false" customHeight="false" outlineLevel="0" collapsed="false">
      <c r="D478" s="71" t="n">
        <f aca="false">IF(电梯资料!$C478="",0,IF(OR(电梯资料!$AA478&lt;&gt;"",电梯资料!$AB478&lt;&gt;""),1,0))</f>
        <v>0</v>
      </c>
      <c r="E478" s="71" t="n">
        <f aca="false">SUM($D$5:$D478)</f>
        <v>5</v>
      </c>
      <c r="G478" s="71" t="n">
        <f aca="false">IF(电梯资料!$C478="",0,IF(OR(电梯资料!$Y478="安装免保",电梯资料!$Y478="技术免保",电梯资料!$Y478="质保期内"),1,0))</f>
        <v>0</v>
      </c>
      <c r="H478" s="71" t="n">
        <f aca="false">SUM($G$5:$G478)</f>
        <v>4</v>
      </c>
    </row>
    <row r="479" customFormat="false" ht="15" hidden="false" customHeight="false" outlineLevel="0" collapsed="false">
      <c r="D479" s="71" t="n">
        <f aca="false">IF(电梯资料!$C479="",0,IF(OR(电梯资料!$AA479&lt;&gt;"",电梯资料!$AB479&lt;&gt;""),1,0))</f>
        <v>0</v>
      </c>
      <c r="E479" s="71" t="n">
        <f aca="false">SUM($D$5:$D479)</f>
        <v>5</v>
      </c>
      <c r="G479" s="71" t="n">
        <f aca="false">IF(电梯资料!$C479="",0,IF(OR(电梯资料!$Y479="安装免保",电梯资料!$Y479="技术免保",电梯资料!$Y479="质保期内"),1,0))</f>
        <v>0</v>
      </c>
      <c r="H479" s="71" t="n">
        <f aca="false">SUM($G$5:$G479)</f>
        <v>4</v>
      </c>
    </row>
    <row r="480" customFormat="false" ht="15" hidden="false" customHeight="false" outlineLevel="0" collapsed="false">
      <c r="D480" s="71" t="n">
        <f aca="false">IF(电梯资料!$C480="",0,IF(OR(电梯资料!$AA480&lt;&gt;"",电梯资料!$AB480&lt;&gt;""),1,0))</f>
        <v>0</v>
      </c>
      <c r="E480" s="71" t="n">
        <f aca="false">SUM($D$5:$D480)</f>
        <v>5</v>
      </c>
      <c r="G480" s="71" t="n">
        <f aca="false">IF(电梯资料!$C480="",0,IF(OR(电梯资料!$Y480="安装免保",电梯资料!$Y480="技术免保",电梯资料!$Y480="质保期内"),1,0))</f>
        <v>0</v>
      </c>
      <c r="H480" s="71" t="n">
        <f aca="false">SUM($G$5:$G480)</f>
        <v>4</v>
      </c>
    </row>
    <row r="481" customFormat="false" ht="15" hidden="false" customHeight="false" outlineLevel="0" collapsed="false">
      <c r="D481" s="71" t="n">
        <f aca="false">IF(电梯资料!$C481="",0,IF(OR(电梯资料!$AA481&lt;&gt;"",电梯资料!$AB481&lt;&gt;""),1,0))</f>
        <v>0</v>
      </c>
      <c r="E481" s="71" t="n">
        <f aca="false">SUM($D$5:$D481)</f>
        <v>5</v>
      </c>
      <c r="G481" s="71" t="n">
        <f aca="false">IF(电梯资料!$C481="",0,IF(OR(电梯资料!$Y481="安装免保",电梯资料!$Y481="技术免保",电梯资料!$Y481="质保期内"),1,0))</f>
        <v>0</v>
      </c>
      <c r="H481" s="71" t="n">
        <f aca="false">SUM($G$5:$G481)</f>
        <v>4</v>
      </c>
    </row>
    <row r="482" customFormat="false" ht="15" hidden="false" customHeight="false" outlineLevel="0" collapsed="false">
      <c r="D482" s="71" t="n">
        <f aca="false">IF(电梯资料!$C482="",0,IF(OR(电梯资料!$AA482&lt;&gt;"",电梯资料!$AB482&lt;&gt;""),1,0))</f>
        <v>0</v>
      </c>
      <c r="E482" s="71" t="n">
        <f aca="false">SUM($D$5:$D482)</f>
        <v>5</v>
      </c>
      <c r="G482" s="71" t="n">
        <f aca="false">IF(电梯资料!$C482="",0,IF(OR(电梯资料!$Y482="安装免保",电梯资料!$Y482="技术免保",电梯资料!$Y482="质保期内"),1,0))</f>
        <v>0</v>
      </c>
      <c r="H482" s="71" t="n">
        <f aca="false">SUM($G$5:$G482)</f>
        <v>4</v>
      </c>
    </row>
    <row r="483" customFormat="false" ht="15" hidden="false" customHeight="false" outlineLevel="0" collapsed="false">
      <c r="D483" s="71" t="n">
        <f aca="false">IF(电梯资料!$C483="",0,IF(OR(电梯资料!$AA483&lt;&gt;"",电梯资料!$AB483&lt;&gt;""),1,0))</f>
        <v>0</v>
      </c>
      <c r="E483" s="71" t="n">
        <f aca="false">SUM($D$5:$D483)</f>
        <v>5</v>
      </c>
      <c r="G483" s="71" t="n">
        <f aca="false">IF(电梯资料!$C483="",0,IF(OR(电梯资料!$Y483="安装免保",电梯资料!$Y483="技术免保",电梯资料!$Y483="质保期内"),1,0))</f>
        <v>0</v>
      </c>
      <c r="H483" s="71" t="n">
        <f aca="false">SUM($G$5:$G483)</f>
        <v>4</v>
      </c>
    </row>
    <row r="484" customFormat="false" ht="15" hidden="false" customHeight="false" outlineLevel="0" collapsed="false">
      <c r="D484" s="71" t="n">
        <f aca="false">IF(电梯资料!$C484="",0,IF(OR(电梯资料!$AA484&lt;&gt;"",电梯资料!$AB484&lt;&gt;""),1,0))</f>
        <v>0</v>
      </c>
      <c r="E484" s="71" t="n">
        <f aca="false">SUM($D$5:$D484)</f>
        <v>5</v>
      </c>
      <c r="G484" s="71" t="n">
        <f aca="false">IF(电梯资料!$C484="",0,IF(OR(电梯资料!$Y484="安装免保",电梯资料!$Y484="技术免保",电梯资料!$Y484="质保期内"),1,0))</f>
        <v>0</v>
      </c>
      <c r="H484" s="71" t="n">
        <f aca="false">SUM($G$5:$G484)</f>
        <v>4</v>
      </c>
    </row>
    <row r="485" customFormat="false" ht="15" hidden="false" customHeight="false" outlineLevel="0" collapsed="false">
      <c r="D485" s="71" t="n">
        <f aca="false">IF(电梯资料!$C485="",0,IF(OR(电梯资料!$AA485&lt;&gt;"",电梯资料!$AB485&lt;&gt;""),1,0))</f>
        <v>0</v>
      </c>
      <c r="E485" s="71" t="n">
        <f aca="false">SUM($D$5:$D485)</f>
        <v>5</v>
      </c>
      <c r="G485" s="71" t="n">
        <f aca="false">IF(电梯资料!$C485="",0,IF(OR(电梯资料!$Y485="安装免保",电梯资料!$Y485="技术免保",电梯资料!$Y485="质保期内"),1,0))</f>
        <v>0</v>
      </c>
      <c r="H485" s="71" t="n">
        <f aca="false">SUM($G$5:$G485)</f>
        <v>4</v>
      </c>
    </row>
    <row r="486" customFormat="false" ht="15" hidden="false" customHeight="false" outlineLevel="0" collapsed="false">
      <c r="D486" s="71" t="n">
        <f aca="false">IF(电梯资料!$C486="",0,IF(OR(电梯资料!$AA486&lt;&gt;"",电梯资料!$AB486&lt;&gt;""),1,0))</f>
        <v>0</v>
      </c>
      <c r="E486" s="71" t="n">
        <f aca="false">SUM($D$5:$D486)</f>
        <v>5</v>
      </c>
      <c r="G486" s="71" t="n">
        <f aca="false">IF(电梯资料!$C486="",0,IF(OR(电梯资料!$Y486="安装免保",电梯资料!$Y486="技术免保",电梯资料!$Y486="质保期内"),1,0))</f>
        <v>0</v>
      </c>
      <c r="H486" s="71" t="n">
        <f aca="false">SUM($G$5:$G486)</f>
        <v>4</v>
      </c>
    </row>
    <row r="487" customFormat="false" ht="15" hidden="false" customHeight="false" outlineLevel="0" collapsed="false">
      <c r="D487" s="71" t="n">
        <f aca="false">IF(电梯资料!$C487="",0,IF(OR(电梯资料!$AA487&lt;&gt;"",电梯资料!$AB487&lt;&gt;""),1,0))</f>
        <v>0</v>
      </c>
      <c r="E487" s="71" t="n">
        <f aca="false">SUM($D$5:$D487)</f>
        <v>5</v>
      </c>
      <c r="G487" s="71" t="n">
        <f aca="false">IF(电梯资料!$C487="",0,IF(OR(电梯资料!$Y487="安装免保",电梯资料!$Y487="技术免保",电梯资料!$Y487="质保期内"),1,0))</f>
        <v>0</v>
      </c>
      <c r="H487" s="71" t="n">
        <f aca="false">SUM($G$5:$G487)</f>
        <v>4</v>
      </c>
    </row>
    <row r="488" customFormat="false" ht="15" hidden="false" customHeight="false" outlineLevel="0" collapsed="false">
      <c r="D488" s="71" t="n">
        <f aca="false">IF(电梯资料!$C488="",0,IF(OR(电梯资料!$AA488&lt;&gt;"",电梯资料!$AB488&lt;&gt;""),1,0))</f>
        <v>0</v>
      </c>
      <c r="E488" s="71" t="n">
        <f aca="false">SUM($D$5:$D488)</f>
        <v>5</v>
      </c>
      <c r="G488" s="71" t="n">
        <f aca="false">IF(电梯资料!$C488="",0,IF(OR(电梯资料!$Y488="安装免保",电梯资料!$Y488="技术免保",电梯资料!$Y488="质保期内"),1,0))</f>
        <v>0</v>
      </c>
      <c r="H488" s="71" t="n">
        <f aca="false">SUM($G$5:$G488)</f>
        <v>4</v>
      </c>
    </row>
    <row r="489" customFormat="false" ht="15" hidden="false" customHeight="false" outlineLevel="0" collapsed="false">
      <c r="D489" s="71" t="n">
        <f aca="false">IF(电梯资料!$C489="",0,IF(OR(电梯资料!$AA489&lt;&gt;"",电梯资料!$AB489&lt;&gt;""),1,0))</f>
        <v>0</v>
      </c>
      <c r="E489" s="71" t="n">
        <f aca="false">SUM($D$5:$D489)</f>
        <v>5</v>
      </c>
      <c r="G489" s="71" t="n">
        <f aca="false">IF(电梯资料!$C489="",0,IF(OR(电梯资料!$Y489="安装免保",电梯资料!$Y489="技术免保",电梯资料!$Y489="质保期内"),1,0))</f>
        <v>0</v>
      </c>
      <c r="H489" s="71" t="n">
        <f aca="false">SUM($G$5:$G489)</f>
        <v>4</v>
      </c>
    </row>
    <row r="490" customFormat="false" ht="15" hidden="false" customHeight="false" outlineLevel="0" collapsed="false">
      <c r="D490" s="71" t="n">
        <f aca="false">IF(电梯资料!$C490="",0,IF(OR(电梯资料!$AA490&lt;&gt;"",电梯资料!$AB490&lt;&gt;""),1,0))</f>
        <v>0</v>
      </c>
      <c r="E490" s="71" t="n">
        <f aca="false">SUM($D$5:$D490)</f>
        <v>5</v>
      </c>
      <c r="G490" s="71" t="n">
        <f aca="false">IF(电梯资料!$C490="",0,IF(OR(电梯资料!$Y490="安装免保",电梯资料!$Y490="技术免保",电梯资料!$Y490="质保期内"),1,0))</f>
        <v>0</v>
      </c>
      <c r="H490" s="71" t="n">
        <f aca="false">SUM($G$5:$G490)</f>
        <v>4</v>
      </c>
    </row>
    <row r="491" customFormat="false" ht="15" hidden="false" customHeight="false" outlineLevel="0" collapsed="false">
      <c r="D491" s="71" t="n">
        <f aca="false">IF(电梯资料!$C491="",0,IF(OR(电梯资料!$AA491&lt;&gt;"",电梯资料!$AB491&lt;&gt;""),1,0))</f>
        <v>0</v>
      </c>
      <c r="E491" s="71" t="n">
        <f aca="false">SUM($D$5:$D491)</f>
        <v>5</v>
      </c>
      <c r="G491" s="71" t="n">
        <f aca="false">IF(电梯资料!$C491="",0,IF(OR(电梯资料!$Y491="安装免保",电梯资料!$Y491="技术免保",电梯资料!$Y491="质保期内"),1,0))</f>
        <v>0</v>
      </c>
      <c r="H491" s="71" t="n">
        <f aca="false">SUM($G$5:$G491)</f>
        <v>4</v>
      </c>
    </row>
    <row r="492" customFormat="false" ht="15" hidden="false" customHeight="false" outlineLevel="0" collapsed="false">
      <c r="D492" s="71" t="n">
        <f aca="false">IF(电梯资料!$C492="",0,IF(OR(电梯资料!$AA492&lt;&gt;"",电梯资料!$AB492&lt;&gt;""),1,0))</f>
        <v>0</v>
      </c>
      <c r="E492" s="71" t="n">
        <f aca="false">SUM($D$5:$D492)</f>
        <v>5</v>
      </c>
      <c r="G492" s="71" t="n">
        <f aca="false">IF(电梯资料!$C492="",0,IF(OR(电梯资料!$Y492="安装免保",电梯资料!$Y492="技术免保",电梯资料!$Y492="质保期内"),1,0))</f>
        <v>0</v>
      </c>
      <c r="H492" s="71" t="n">
        <f aca="false">SUM($G$5:$G492)</f>
        <v>4</v>
      </c>
    </row>
    <row r="493" customFormat="false" ht="15" hidden="false" customHeight="false" outlineLevel="0" collapsed="false">
      <c r="D493" s="71" t="n">
        <f aca="false">IF(电梯资料!$C493="",0,IF(OR(电梯资料!$AA493&lt;&gt;"",电梯资料!$AB493&lt;&gt;""),1,0))</f>
        <v>0</v>
      </c>
      <c r="E493" s="71" t="n">
        <f aca="false">SUM($D$5:$D493)</f>
        <v>5</v>
      </c>
      <c r="G493" s="71" t="n">
        <f aca="false">IF(电梯资料!$C493="",0,IF(OR(电梯资料!$Y493="安装免保",电梯资料!$Y493="技术免保",电梯资料!$Y493="质保期内"),1,0))</f>
        <v>0</v>
      </c>
      <c r="H493" s="71" t="n">
        <f aca="false">SUM($G$5:$G493)</f>
        <v>4</v>
      </c>
    </row>
    <row r="494" customFormat="false" ht="15" hidden="false" customHeight="false" outlineLevel="0" collapsed="false">
      <c r="D494" s="71" t="n">
        <f aca="false">IF(电梯资料!$C494="",0,IF(OR(电梯资料!$AA494&lt;&gt;"",电梯资料!$AB494&lt;&gt;""),1,0))</f>
        <v>0</v>
      </c>
      <c r="E494" s="71" t="n">
        <f aca="false">SUM($D$5:$D494)</f>
        <v>5</v>
      </c>
      <c r="G494" s="71" t="n">
        <f aca="false">IF(电梯资料!$C494="",0,IF(OR(电梯资料!$Y494="安装免保",电梯资料!$Y494="技术免保",电梯资料!$Y494="质保期内"),1,0))</f>
        <v>0</v>
      </c>
      <c r="H494" s="71" t="n">
        <f aca="false">SUM($G$5:$G494)</f>
        <v>4</v>
      </c>
    </row>
    <row r="495" customFormat="false" ht="15" hidden="false" customHeight="false" outlineLevel="0" collapsed="false">
      <c r="D495" s="71" t="n">
        <f aca="false">IF(电梯资料!$C495="",0,IF(OR(电梯资料!$AA495&lt;&gt;"",电梯资料!$AB495&lt;&gt;""),1,0))</f>
        <v>0</v>
      </c>
      <c r="E495" s="71" t="n">
        <f aca="false">SUM($D$5:$D495)</f>
        <v>5</v>
      </c>
      <c r="G495" s="71" t="n">
        <f aca="false">IF(电梯资料!$C495="",0,IF(OR(电梯资料!$Y495="安装免保",电梯资料!$Y495="技术免保",电梯资料!$Y495="质保期内"),1,0))</f>
        <v>0</v>
      </c>
      <c r="H495" s="71" t="n">
        <f aca="false">SUM($G$5:$G495)</f>
        <v>4</v>
      </c>
    </row>
    <row r="496" customFormat="false" ht="15" hidden="false" customHeight="false" outlineLevel="0" collapsed="false">
      <c r="D496" s="71" t="n">
        <f aca="false">IF(电梯资料!$C496="",0,IF(OR(电梯资料!$AA496&lt;&gt;"",电梯资料!$AB496&lt;&gt;""),1,0))</f>
        <v>0</v>
      </c>
      <c r="E496" s="71" t="n">
        <f aca="false">SUM($D$5:$D496)</f>
        <v>5</v>
      </c>
      <c r="G496" s="71" t="n">
        <f aca="false">IF(电梯资料!$C496="",0,IF(OR(电梯资料!$Y496="安装免保",电梯资料!$Y496="技术免保",电梯资料!$Y496="质保期内"),1,0))</f>
        <v>0</v>
      </c>
      <c r="H496" s="71" t="n">
        <f aca="false">SUM($G$5:$G496)</f>
        <v>4</v>
      </c>
    </row>
    <row r="497" customFormat="false" ht="15" hidden="false" customHeight="false" outlineLevel="0" collapsed="false">
      <c r="D497" s="71" t="n">
        <f aca="false">IF(电梯资料!$C497="",0,IF(OR(电梯资料!$AA497&lt;&gt;"",电梯资料!$AB497&lt;&gt;""),1,0))</f>
        <v>0</v>
      </c>
      <c r="E497" s="71" t="n">
        <f aca="false">SUM($D$5:$D497)</f>
        <v>5</v>
      </c>
      <c r="G497" s="71" t="n">
        <f aca="false">IF(电梯资料!$C497="",0,IF(OR(电梯资料!$Y497="安装免保",电梯资料!$Y497="技术免保",电梯资料!$Y497="质保期内"),1,0))</f>
        <v>0</v>
      </c>
      <c r="H497" s="71" t="n">
        <f aca="false">SUM($G$5:$G497)</f>
        <v>4</v>
      </c>
    </row>
    <row r="498" customFormat="false" ht="15" hidden="false" customHeight="false" outlineLevel="0" collapsed="false">
      <c r="D498" s="71" t="n">
        <f aca="false">IF(电梯资料!$C498="",0,IF(OR(电梯资料!$AA498&lt;&gt;"",电梯资料!$AB498&lt;&gt;""),1,0))</f>
        <v>0</v>
      </c>
      <c r="E498" s="71" t="n">
        <f aca="false">SUM($D$5:$D498)</f>
        <v>5</v>
      </c>
      <c r="G498" s="71" t="n">
        <f aca="false">IF(电梯资料!$C498="",0,IF(OR(电梯资料!$Y498="安装免保",电梯资料!$Y498="技术免保",电梯资料!$Y498="质保期内"),1,0))</f>
        <v>0</v>
      </c>
      <c r="H498" s="71" t="n">
        <f aca="false">SUM($G$5:$G498)</f>
        <v>4</v>
      </c>
    </row>
    <row r="499" customFormat="false" ht="15" hidden="false" customHeight="false" outlineLevel="0" collapsed="false">
      <c r="D499" s="71" t="n">
        <f aca="false">IF(电梯资料!$C499="",0,IF(OR(电梯资料!$AA499&lt;&gt;"",电梯资料!$AB499&lt;&gt;""),1,0))</f>
        <v>0</v>
      </c>
      <c r="E499" s="71" t="n">
        <f aca="false">SUM($D$5:$D499)</f>
        <v>5</v>
      </c>
      <c r="G499" s="71" t="n">
        <f aca="false">IF(电梯资料!$C499="",0,IF(OR(电梯资料!$Y499="安装免保",电梯资料!$Y499="技术免保",电梯资料!$Y499="质保期内"),1,0))</f>
        <v>0</v>
      </c>
      <c r="H499" s="71" t="n">
        <f aca="false">SUM($G$5:$G499)</f>
        <v>4</v>
      </c>
    </row>
    <row r="500" customFormat="false" ht="15" hidden="false" customHeight="false" outlineLevel="0" collapsed="false">
      <c r="D500" s="71" t="n">
        <f aca="false">IF(电梯资料!$C500="",0,IF(OR(电梯资料!$AA500&lt;&gt;"",电梯资料!$AB500&lt;&gt;""),1,0))</f>
        <v>0</v>
      </c>
      <c r="E500" s="71" t="n">
        <f aca="false">SUM($D$5:$D500)</f>
        <v>5</v>
      </c>
      <c r="G500" s="71" t="n">
        <f aca="false">IF(电梯资料!$C500="",0,IF(OR(电梯资料!$Y500="安装免保",电梯资料!$Y500="技术免保",电梯资料!$Y500="质保期内"),1,0))</f>
        <v>0</v>
      </c>
      <c r="H500" s="71" t="n">
        <f aca="false">SUM($G$5:$G500)</f>
        <v>4</v>
      </c>
    </row>
    <row r="501" customFormat="false" ht="15" hidden="false" customHeight="false" outlineLevel="0" collapsed="false">
      <c r="D501" s="71" t="n">
        <f aca="false">IF(电梯资料!$C501="",0,IF(OR(电梯资料!$AA501&lt;&gt;"",电梯资料!$AB501&lt;&gt;""),1,0))</f>
        <v>0</v>
      </c>
      <c r="E501" s="71" t="n">
        <f aca="false">SUM($D$5:$D501)</f>
        <v>5</v>
      </c>
      <c r="G501" s="71" t="n">
        <f aca="false">IF(电梯资料!$C501="",0,IF(OR(电梯资料!$Y501="安装免保",电梯资料!$Y501="技术免保",电梯资料!$Y501="质保期内"),1,0))</f>
        <v>0</v>
      </c>
      <c r="H501" s="71" t="n">
        <f aca="false">SUM($G$5:$G501)</f>
        <v>4</v>
      </c>
    </row>
    <row r="502" customFormat="false" ht="15" hidden="false" customHeight="false" outlineLevel="0" collapsed="false">
      <c r="D502" s="71" t="n">
        <f aca="false">IF(电梯资料!$C502="",0,IF(OR(电梯资料!$AA502&lt;&gt;"",电梯资料!$AB502&lt;&gt;""),1,0))</f>
        <v>0</v>
      </c>
      <c r="E502" s="71" t="n">
        <f aca="false">SUM($D$5:$D502)</f>
        <v>5</v>
      </c>
      <c r="G502" s="71" t="n">
        <f aca="false">IF(电梯资料!$C502="",0,IF(OR(电梯资料!$Y502="安装免保",电梯资料!$Y502="技术免保",电梯资料!$Y502="质保期内"),1,0))</f>
        <v>0</v>
      </c>
      <c r="H502" s="71" t="n">
        <f aca="false">SUM($G$5:$G502)</f>
        <v>4</v>
      </c>
    </row>
    <row r="503" customFormat="false" ht="15" hidden="false" customHeight="false" outlineLevel="0" collapsed="false">
      <c r="D503" s="71" t="n">
        <f aca="false">IF(电梯资料!$C503="",0,IF(OR(电梯资料!$AA503&lt;&gt;"",电梯资料!$AB503&lt;&gt;""),1,0))</f>
        <v>0</v>
      </c>
      <c r="E503" s="71" t="n">
        <f aca="false">SUM($D$5:$D503)</f>
        <v>5</v>
      </c>
      <c r="G503" s="71" t="n">
        <f aca="false">IF(电梯资料!$C503="",0,IF(OR(电梯资料!$Y503="安装免保",电梯资料!$Y503="技术免保",电梯资料!$Y503="质保期内"),1,0))</f>
        <v>0</v>
      </c>
      <c r="H503" s="71" t="n">
        <f aca="false">SUM($G$5:$G503)</f>
        <v>4</v>
      </c>
    </row>
    <row r="504" customFormat="false" ht="15" hidden="false" customHeight="false" outlineLevel="0" collapsed="false">
      <c r="D504" s="71" t="n">
        <f aca="false">IF(电梯资料!$C504="",0,IF(OR(电梯资料!$AA504&lt;&gt;"",电梯资料!$AB504&lt;&gt;""),1,0))</f>
        <v>0</v>
      </c>
      <c r="E504" s="71" t="n">
        <f aca="false">SUM($D$5:$D504)</f>
        <v>5</v>
      </c>
      <c r="G504" s="71" t="n">
        <f aca="false">IF(电梯资料!$C504="",0,IF(OR(电梯资料!$Y504="安装免保",电梯资料!$Y504="技术免保",电梯资料!$Y504="质保期内"),1,0))</f>
        <v>0</v>
      </c>
      <c r="H504" s="71" t="n">
        <f aca="false">SUM($G$5:$G504)</f>
        <v>4</v>
      </c>
    </row>
    <row r="505" customFormat="false" ht="15" hidden="false" customHeight="false" outlineLevel="0" collapsed="false">
      <c r="D505" s="71" t="n">
        <f aca="false">IF(电梯资料!$C505="",0,IF(OR(电梯资料!$AA505&lt;&gt;"",电梯资料!$AB505&lt;&gt;""),1,0))</f>
        <v>0</v>
      </c>
      <c r="E505" s="71" t="n">
        <f aca="false">SUM($D$5:$D505)</f>
        <v>5</v>
      </c>
      <c r="G505" s="71" t="n">
        <f aca="false">IF(电梯资料!$C505="",0,IF(OR(电梯资料!$Y505="安装免保",电梯资料!$Y505="技术免保",电梯资料!$Y505="质保期内"),1,0))</f>
        <v>0</v>
      </c>
      <c r="H505" s="71" t="n">
        <f aca="false">SUM($G$5:$G505)</f>
        <v>4</v>
      </c>
    </row>
    <row r="506" customFormat="false" ht="15" hidden="false" customHeight="false" outlineLevel="0" collapsed="false">
      <c r="D506" s="71" t="n">
        <f aca="false">IF(电梯资料!$C506="",0,IF(OR(电梯资料!$AA506&lt;&gt;"",电梯资料!$AB506&lt;&gt;""),1,0))</f>
        <v>0</v>
      </c>
      <c r="E506" s="71" t="n">
        <f aca="false">SUM($D$5:$D506)</f>
        <v>5</v>
      </c>
      <c r="G506" s="71" t="n">
        <f aca="false">IF(电梯资料!$C506="",0,IF(OR(电梯资料!$Y506="安装免保",电梯资料!$Y506="技术免保",电梯资料!$Y506="质保期内"),1,0))</f>
        <v>0</v>
      </c>
      <c r="H506" s="71" t="n">
        <f aca="false">SUM($G$5:$G506)</f>
        <v>4</v>
      </c>
    </row>
    <row r="507" customFormat="false" ht="15" hidden="false" customHeight="false" outlineLevel="0" collapsed="false">
      <c r="D507" s="71" t="n">
        <f aca="false">IF(电梯资料!$C507="",0,IF(OR(电梯资料!$AA507&lt;&gt;"",电梯资料!$AB507&lt;&gt;""),1,0))</f>
        <v>0</v>
      </c>
      <c r="E507" s="71" t="n">
        <f aca="false">SUM($D$5:$D507)</f>
        <v>5</v>
      </c>
      <c r="G507" s="71" t="n">
        <f aca="false">IF(电梯资料!$C507="",0,IF(OR(电梯资料!$Y507="安装免保",电梯资料!$Y507="技术免保",电梯资料!$Y507="质保期内"),1,0))</f>
        <v>0</v>
      </c>
      <c r="H507" s="71" t="n">
        <f aca="false">SUM($G$5:$G507)</f>
        <v>4</v>
      </c>
    </row>
    <row r="508" customFormat="false" ht="15" hidden="false" customHeight="false" outlineLevel="0" collapsed="false">
      <c r="D508" s="71" t="n">
        <f aca="false">IF(电梯资料!$C508="",0,IF(OR(电梯资料!$AA508&lt;&gt;"",电梯资料!$AB508&lt;&gt;""),1,0))</f>
        <v>0</v>
      </c>
      <c r="E508" s="71" t="n">
        <f aca="false">SUM($D$5:$D508)</f>
        <v>5</v>
      </c>
      <c r="G508" s="71" t="n">
        <f aca="false">IF(电梯资料!$C508="",0,IF(OR(电梯资料!$Y508="安装免保",电梯资料!$Y508="技术免保",电梯资料!$Y508="质保期内"),1,0))</f>
        <v>0</v>
      </c>
      <c r="H508" s="71" t="n">
        <f aca="false">SUM($G$5:$G508)</f>
        <v>4</v>
      </c>
    </row>
    <row r="509" customFormat="false" ht="15" hidden="false" customHeight="false" outlineLevel="0" collapsed="false">
      <c r="D509" s="71" t="n">
        <f aca="false">IF(电梯资料!$C509="",0,IF(OR(电梯资料!$AA509&lt;&gt;"",电梯资料!$AB509&lt;&gt;""),1,0))</f>
        <v>0</v>
      </c>
      <c r="E509" s="71" t="n">
        <f aca="false">SUM($D$5:$D509)</f>
        <v>5</v>
      </c>
      <c r="G509" s="71" t="n">
        <f aca="false">IF(电梯资料!$C509="",0,IF(OR(电梯资料!$Y509="安装免保",电梯资料!$Y509="技术免保",电梯资料!$Y509="质保期内"),1,0))</f>
        <v>0</v>
      </c>
      <c r="H509" s="71" t="n">
        <f aca="false">SUM($G$5:$G509)</f>
        <v>4</v>
      </c>
    </row>
    <row r="510" customFormat="false" ht="15" hidden="false" customHeight="false" outlineLevel="0" collapsed="false">
      <c r="D510" s="71" t="n">
        <f aca="false">IF(电梯资料!$C510="",0,IF(OR(电梯资料!$AA510&lt;&gt;"",电梯资料!$AB510&lt;&gt;""),1,0))</f>
        <v>0</v>
      </c>
      <c r="E510" s="71" t="n">
        <f aca="false">SUM($D$5:$D510)</f>
        <v>5</v>
      </c>
      <c r="G510" s="71" t="n">
        <f aca="false">IF(电梯资料!$C510="",0,IF(OR(电梯资料!$Y510="安装免保",电梯资料!$Y510="技术免保",电梯资料!$Y510="质保期内"),1,0))</f>
        <v>0</v>
      </c>
      <c r="H510" s="71" t="n">
        <f aca="false">SUM($G$5:$G510)</f>
        <v>4</v>
      </c>
    </row>
    <row r="511" customFormat="false" ht="15" hidden="false" customHeight="false" outlineLevel="0" collapsed="false">
      <c r="D511" s="71" t="n">
        <f aca="false">IF(电梯资料!$C511="",0,IF(OR(电梯资料!$AA511&lt;&gt;"",电梯资料!$AB511&lt;&gt;""),1,0))</f>
        <v>0</v>
      </c>
      <c r="E511" s="71" t="n">
        <f aca="false">SUM($D$5:$D511)</f>
        <v>5</v>
      </c>
      <c r="G511" s="71" t="n">
        <f aca="false">IF(电梯资料!$C511="",0,IF(OR(电梯资料!$Y511="安装免保",电梯资料!$Y511="技术免保",电梯资料!$Y511="质保期内"),1,0))</f>
        <v>0</v>
      </c>
      <c r="H511" s="71" t="n">
        <f aca="false">SUM($G$5:$G511)</f>
        <v>4</v>
      </c>
    </row>
    <row r="512" customFormat="false" ht="15" hidden="false" customHeight="false" outlineLevel="0" collapsed="false">
      <c r="D512" s="71" t="n">
        <f aca="false">IF(电梯资料!$C512="",0,IF(OR(电梯资料!$AA512&lt;&gt;"",电梯资料!$AB512&lt;&gt;""),1,0))</f>
        <v>0</v>
      </c>
      <c r="E512" s="71" t="n">
        <f aca="false">SUM($D$5:$D512)</f>
        <v>5</v>
      </c>
      <c r="G512" s="71" t="n">
        <f aca="false">IF(电梯资料!$C512="",0,IF(OR(电梯资料!$Y512="安装免保",电梯资料!$Y512="技术免保",电梯资料!$Y512="质保期内"),1,0))</f>
        <v>0</v>
      </c>
      <c r="H512" s="71" t="n">
        <f aca="false">SUM($G$5:$G512)</f>
        <v>4</v>
      </c>
    </row>
    <row r="513" customFormat="false" ht="15" hidden="false" customHeight="false" outlineLevel="0" collapsed="false">
      <c r="D513" s="71" t="n">
        <f aca="false">IF(电梯资料!$C513="",0,IF(OR(电梯资料!$AA513&lt;&gt;"",电梯资料!$AB513&lt;&gt;""),1,0))</f>
        <v>0</v>
      </c>
      <c r="E513" s="71" t="n">
        <f aca="false">SUM($D$5:$D513)</f>
        <v>5</v>
      </c>
      <c r="G513" s="71" t="n">
        <f aca="false">IF(电梯资料!$C513="",0,IF(OR(电梯资料!$Y513="安装免保",电梯资料!$Y513="技术免保",电梯资料!$Y513="质保期内"),1,0))</f>
        <v>0</v>
      </c>
      <c r="H513" s="71" t="n">
        <f aca="false">SUM($G$5:$G513)</f>
        <v>4</v>
      </c>
    </row>
    <row r="514" customFormat="false" ht="15" hidden="false" customHeight="false" outlineLevel="0" collapsed="false">
      <c r="D514" s="71" t="n">
        <f aca="false">IF(电梯资料!$C514="",0,IF(OR(电梯资料!$AA514&lt;&gt;"",电梯资料!$AB514&lt;&gt;""),1,0))</f>
        <v>0</v>
      </c>
      <c r="E514" s="71" t="n">
        <f aca="false">SUM($D$5:$D514)</f>
        <v>5</v>
      </c>
      <c r="G514" s="71" t="n">
        <f aca="false">IF(电梯资料!$C514="",0,IF(OR(电梯资料!$Y514="安装免保",电梯资料!$Y514="技术免保",电梯资料!$Y514="质保期内"),1,0))</f>
        <v>0</v>
      </c>
      <c r="H514" s="71" t="n">
        <f aca="false">SUM($G$5:$G514)</f>
        <v>4</v>
      </c>
    </row>
    <row r="515" customFormat="false" ht="15" hidden="false" customHeight="false" outlineLevel="0" collapsed="false">
      <c r="D515" s="71" t="n">
        <f aca="false">IF(电梯资料!$C515="",0,IF(OR(电梯资料!$AA515&lt;&gt;"",电梯资料!$AB515&lt;&gt;""),1,0))</f>
        <v>0</v>
      </c>
      <c r="E515" s="71" t="n">
        <f aca="false">SUM($D$5:$D515)</f>
        <v>5</v>
      </c>
      <c r="G515" s="71" t="n">
        <f aca="false">IF(电梯资料!$C515="",0,IF(OR(电梯资料!$Y515="安装免保",电梯资料!$Y515="技术免保",电梯资料!$Y515="质保期内"),1,0))</f>
        <v>0</v>
      </c>
      <c r="H515" s="71" t="n">
        <f aca="false">SUM($G$5:$G515)</f>
        <v>4</v>
      </c>
    </row>
    <row r="516" customFormat="false" ht="15" hidden="false" customHeight="false" outlineLevel="0" collapsed="false">
      <c r="D516" s="71" t="n">
        <f aca="false">IF(电梯资料!$C516="",0,IF(OR(电梯资料!$AA516&lt;&gt;"",电梯资料!$AB516&lt;&gt;""),1,0))</f>
        <v>0</v>
      </c>
      <c r="E516" s="71" t="n">
        <f aca="false">SUM($D$5:$D516)</f>
        <v>5</v>
      </c>
      <c r="G516" s="71" t="n">
        <f aca="false">IF(电梯资料!$C516="",0,IF(OR(电梯资料!$Y516="安装免保",电梯资料!$Y516="技术免保",电梯资料!$Y516="质保期内"),1,0))</f>
        <v>0</v>
      </c>
      <c r="H516" s="71" t="n">
        <f aca="false">SUM($G$5:$G516)</f>
        <v>4</v>
      </c>
    </row>
    <row r="517" customFormat="false" ht="15" hidden="false" customHeight="false" outlineLevel="0" collapsed="false">
      <c r="D517" s="71" t="n">
        <f aca="false">IF(电梯资料!$C517="",0,IF(OR(电梯资料!$AA517&lt;&gt;"",电梯资料!$AB517&lt;&gt;""),1,0))</f>
        <v>0</v>
      </c>
      <c r="E517" s="71" t="n">
        <f aca="false">SUM($D$5:$D517)</f>
        <v>5</v>
      </c>
      <c r="G517" s="71" t="n">
        <f aca="false">IF(电梯资料!$C517="",0,IF(OR(电梯资料!$Y517="安装免保",电梯资料!$Y517="技术免保",电梯资料!$Y517="质保期内"),1,0))</f>
        <v>0</v>
      </c>
      <c r="H517" s="71" t="n">
        <f aca="false">SUM($G$5:$G517)</f>
        <v>4</v>
      </c>
    </row>
    <row r="518" customFormat="false" ht="15" hidden="false" customHeight="false" outlineLevel="0" collapsed="false">
      <c r="D518" s="71" t="n">
        <f aca="false">IF(电梯资料!$C518="",0,IF(OR(电梯资料!$AA518&lt;&gt;"",电梯资料!$AB518&lt;&gt;""),1,0))</f>
        <v>0</v>
      </c>
      <c r="E518" s="71" t="n">
        <f aca="false">SUM($D$5:$D518)</f>
        <v>5</v>
      </c>
      <c r="G518" s="71" t="n">
        <f aca="false">IF(电梯资料!$C518="",0,IF(OR(电梯资料!$Y518="安装免保",电梯资料!$Y518="技术免保",电梯资料!$Y518="质保期内"),1,0))</f>
        <v>0</v>
      </c>
      <c r="H518" s="71" t="n">
        <f aca="false">SUM($G$5:$G518)</f>
        <v>4</v>
      </c>
    </row>
    <row r="519" customFormat="false" ht="15" hidden="false" customHeight="false" outlineLevel="0" collapsed="false">
      <c r="D519" s="71" t="n">
        <f aca="false">IF(电梯资料!$C519="",0,IF(OR(电梯资料!$AA519&lt;&gt;"",电梯资料!$AB519&lt;&gt;""),1,0))</f>
        <v>0</v>
      </c>
      <c r="E519" s="71" t="n">
        <f aca="false">SUM($D$5:$D519)</f>
        <v>5</v>
      </c>
      <c r="G519" s="71" t="n">
        <f aca="false">IF(电梯资料!$C519="",0,IF(OR(电梯资料!$Y519="安装免保",电梯资料!$Y519="技术免保",电梯资料!$Y519="质保期内"),1,0))</f>
        <v>0</v>
      </c>
      <c r="H519" s="71" t="n">
        <f aca="false">SUM($G$5:$G519)</f>
        <v>4</v>
      </c>
    </row>
    <row r="520" customFormat="false" ht="15" hidden="false" customHeight="false" outlineLevel="0" collapsed="false">
      <c r="D520" s="71" t="n">
        <f aca="false">IF(电梯资料!$C520="",0,IF(OR(电梯资料!$AA520&lt;&gt;"",电梯资料!$AB520&lt;&gt;""),1,0))</f>
        <v>0</v>
      </c>
      <c r="E520" s="71" t="n">
        <f aca="false">SUM($D$5:$D520)</f>
        <v>5</v>
      </c>
      <c r="G520" s="71" t="n">
        <f aca="false">IF(电梯资料!$C520="",0,IF(OR(电梯资料!$Y520="安装免保",电梯资料!$Y520="技术免保",电梯资料!$Y520="质保期内"),1,0))</f>
        <v>0</v>
      </c>
      <c r="H520" s="71" t="n">
        <f aca="false">SUM($G$5:$G520)</f>
        <v>4</v>
      </c>
    </row>
    <row r="521" customFormat="false" ht="15" hidden="false" customHeight="false" outlineLevel="0" collapsed="false">
      <c r="D521" s="71" t="n">
        <f aca="false">IF(电梯资料!$C521="",0,IF(OR(电梯资料!$AA521&lt;&gt;"",电梯资料!$AB521&lt;&gt;""),1,0))</f>
        <v>0</v>
      </c>
      <c r="E521" s="71" t="n">
        <f aca="false">SUM($D$5:$D521)</f>
        <v>5</v>
      </c>
      <c r="G521" s="71" t="n">
        <f aca="false">IF(电梯资料!$C521="",0,IF(OR(电梯资料!$Y521="安装免保",电梯资料!$Y521="技术免保",电梯资料!$Y521="质保期内"),1,0))</f>
        <v>0</v>
      </c>
      <c r="H521" s="71" t="n">
        <f aca="false">SUM($G$5:$G521)</f>
        <v>4</v>
      </c>
    </row>
    <row r="522" customFormat="false" ht="15" hidden="false" customHeight="false" outlineLevel="0" collapsed="false">
      <c r="D522" s="71" t="n">
        <f aca="false">IF(电梯资料!$C522="",0,IF(OR(电梯资料!$AA522&lt;&gt;"",电梯资料!$AB522&lt;&gt;""),1,0))</f>
        <v>0</v>
      </c>
      <c r="E522" s="71" t="n">
        <f aca="false">SUM($D$5:$D522)</f>
        <v>5</v>
      </c>
      <c r="G522" s="71" t="n">
        <f aca="false">IF(电梯资料!$C522="",0,IF(OR(电梯资料!$Y522="安装免保",电梯资料!$Y522="技术免保",电梯资料!$Y522="质保期内"),1,0))</f>
        <v>0</v>
      </c>
      <c r="H522" s="71" t="n">
        <f aca="false">SUM($G$5:$G522)</f>
        <v>4</v>
      </c>
    </row>
    <row r="523" customFormat="false" ht="15" hidden="false" customHeight="false" outlineLevel="0" collapsed="false">
      <c r="D523" s="71" t="n">
        <f aca="false">IF(电梯资料!$C523="",0,IF(OR(电梯资料!$AA523&lt;&gt;"",电梯资料!$AB523&lt;&gt;""),1,0))</f>
        <v>0</v>
      </c>
      <c r="E523" s="71" t="n">
        <f aca="false">SUM($D$5:$D523)</f>
        <v>5</v>
      </c>
      <c r="G523" s="71" t="n">
        <f aca="false">IF(电梯资料!$C523="",0,IF(OR(电梯资料!$Y523="安装免保",电梯资料!$Y523="技术免保",电梯资料!$Y523="质保期内"),1,0))</f>
        <v>0</v>
      </c>
      <c r="H523" s="71" t="n">
        <f aca="false">SUM($G$5:$G523)</f>
        <v>4</v>
      </c>
    </row>
    <row r="524" customFormat="false" ht="15" hidden="false" customHeight="false" outlineLevel="0" collapsed="false">
      <c r="D524" s="71" t="n">
        <f aca="false">IF(电梯资料!$C524="",0,IF(OR(电梯资料!$AA524&lt;&gt;"",电梯资料!$AB524&lt;&gt;""),1,0))</f>
        <v>0</v>
      </c>
      <c r="E524" s="71" t="n">
        <f aca="false">SUM($D$5:$D524)</f>
        <v>5</v>
      </c>
      <c r="G524" s="71" t="n">
        <f aca="false">IF(电梯资料!$C524="",0,IF(OR(电梯资料!$Y524="安装免保",电梯资料!$Y524="技术免保",电梯资料!$Y524="质保期内"),1,0))</f>
        <v>0</v>
      </c>
      <c r="H524" s="71" t="n">
        <f aca="false">SUM($G$5:$G524)</f>
        <v>4</v>
      </c>
    </row>
    <row r="525" customFormat="false" ht="15" hidden="false" customHeight="false" outlineLevel="0" collapsed="false">
      <c r="D525" s="71" t="n">
        <f aca="false">IF(电梯资料!$C525="",0,IF(OR(电梯资料!$AA525&lt;&gt;"",电梯资料!$AB525&lt;&gt;""),1,0))</f>
        <v>0</v>
      </c>
      <c r="E525" s="71" t="n">
        <f aca="false">SUM($D$5:$D525)</f>
        <v>5</v>
      </c>
      <c r="G525" s="71" t="n">
        <f aca="false">IF(电梯资料!$C525="",0,IF(OR(电梯资料!$Y525="安装免保",电梯资料!$Y525="技术免保",电梯资料!$Y525="质保期内"),1,0))</f>
        <v>0</v>
      </c>
      <c r="H525" s="71" t="n">
        <f aca="false">SUM($G$5:$G525)</f>
        <v>4</v>
      </c>
    </row>
    <row r="526" customFormat="false" ht="15" hidden="false" customHeight="false" outlineLevel="0" collapsed="false">
      <c r="D526" s="71" t="n">
        <f aca="false">IF(电梯资料!$C526="",0,IF(OR(电梯资料!$AA526&lt;&gt;"",电梯资料!$AB526&lt;&gt;""),1,0))</f>
        <v>0</v>
      </c>
      <c r="E526" s="71" t="n">
        <f aca="false">SUM($D$5:$D526)</f>
        <v>5</v>
      </c>
      <c r="G526" s="71" t="n">
        <f aca="false">IF(电梯资料!$C526="",0,IF(OR(电梯资料!$Y526="安装免保",电梯资料!$Y526="技术免保",电梯资料!$Y526="质保期内"),1,0))</f>
        <v>0</v>
      </c>
      <c r="H526" s="71" t="n">
        <f aca="false">SUM($G$5:$G526)</f>
        <v>4</v>
      </c>
    </row>
    <row r="527" customFormat="false" ht="15" hidden="false" customHeight="false" outlineLevel="0" collapsed="false">
      <c r="D527" s="71" t="n">
        <f aca="false">IF(电梯资料!$C527="",0,IF(OR(电梯资料!$AA527&lt;&gt;"",电梯资料!$AB527&lt;&gt;""),1,0))</f>
        <v>0</v>
      </c>
      <c r="E527" s="71" t="n">
        <f aca="false">SUM($D$5:$D527)</f>
        <v>5</v>
      </c>
      <c r="G527" s="71" t="n">
        <f aca="false">IF(电梯资料!$C527="",0,IF(OR(电梯资料!$Y527="安装免保",电梯资料!$Y527="技术免保",电梯资料!$Y527="质保期内"),1,0))</f>
        <v>0</v>
      </c>
      <c r="H527" s="71" t="n">
        <f aca="false">SUM($G$5:$G527)</f>
        <v>4</v>
      </c>
    </row>
    <row r="528" customFormat="false" ht="15" hidden="false" customHeight="false" outlineLevel="0" collapsed="false">
      <c r="D528" s="71" t="n">
        <f aca="false">IF(电梯资料!$C528="",0,IF(OR(电梯资料!$AA528&lt;&gt;"",电梯资料!$AB528&lt;&gt;""),1,0))</f>
        <v>0</v>
      </c>
      <c r="E528" s="71" t="n">
        <f aca="false">SUM($D$5:$D528)</f>
        <v>5</v>
      </c>
      <c r="G528" s="71" t="n">
        <f aca="false">IF(电梯资料!$C528="",0,IF(OR(电梯资料!$Y528="安装免保",电梯资料!$Y528="技术免保",电梯资料!$Y528="质保期内"),1,0))</f>
        <v>0</v>
      </c>
      <c r="H528" s="71" t="n">
        <f aca="false">SUM($G$5:$G528)</f>
        <v>4</v>
      </c>
    </row>
    <row r="529" customFormat="false" ht="15" hidden="false" customHeight="false" outlineLevel="0" collapsed="false">
      <c r="D529" s="71" t="n">
        <f aca="false">IF(电梯资料!$C529="",0,IF(OR(电梯资料!$AA529&lt;&gt;"",电梯资料!$AB529&lt;&gt;""),1,0))</f>
        <v>0</v>
      </c>
      <c r="E529" s="71" t="n">
        <f aca="false">SUM($D$5:$D529)</f>
        <v>5</v>
      </c>
      <c r="G529" s="71" t="n">
        <f aca="false">IF(电梯资料!$C529="",0,IF(OR(电梯资料!$Y529="安装免保",电梯资料!$Y529="技术免保",电梯资料!$Y529="质保期内"),1,0))</f>
        <v>0</v>
      </c>
      <c r="H529" s="71" t="n">
        <f aca="false">SUM($G$5:$G529)</f>
        <v>4</v>
      </c>
    </row>
    <row r="530" customFormat="false" ht="15" hidden="false" customHeight="false" outlineLevel="0" collapsed="false">
      <c r="D530" s="71" t="n">
        <f aca="false">IF(电梯资料!$C530="",0,IF(OR(电梯资料!$AA530&lt;&gt;"",电梯资料!$AB530&lt;&gt;""),1,0))</f>
        <v>0</v>
      </c>
      <c r="E530" s="71" t="n">
        <f aca="false">SUM($D$5:$D530)</f>
        <v>5</v>
      </c>
      <c r="G530" s="71" t="n">
        <f aca="false">IF(电梯资料!$C530="",0,IF(OR(电梯资料!$Y530="安装免保",电梯资料!$Y530="技术免保",电梯资料!$Y530="质保期内"),1,0))</f>
        <v>0</v>
      </c>
      <c r="H530" s="71" t="n">
        <f aca="false">SUM($G$5:$G530)</f>
        <v>4</v>
      </c>
    </row>
    <row r="531" customFormat="false" ht="15" hidden="false" customHeight="false" outlineLevel="0" collapsed="false">
      <c r="D531" s="71" t="n">
        <f aca="false">IF(电梯资料!$C531="",0,IF(OR(电梯资料!$AA531&lt;&gt;"",电梯资料!$AB531&lt;&gt;""),1,0))</f>
        <v>0</v>
      </c>
      <c r="E531" s="71" t="n">
        <f aca="false">SUM($D$5:$D531)</f>
        <v>5</v>
      </c>
      <c r="G531" s="71" t="n">
        <f aca="false">IF(电梯资料!$C531="",0,IF(OR(电梯资料!$Y531="安装免保",电梯资料!$Y531="技术免保",电梯资料!$Y531="质保期内"),1,0))</f>
        <v>0</v>
      </c>
      <c r="H531" s="71" t="n">
        <f aca="false">SUM($G$5:$G531)</f>
        <v>4</v>
      </c>
    </row>
    <row r="532" customFormat="false" ht="15" hidden="false" customHeight="false" outlineLevel="0" collapsed="false">
      <c r="D532" s="71" t="n">
        <f aca="false">IF(电梯资料!$C532="",0,IF(OR(电梯资料!$AA532&lt;&gt;"",电梯资料!$AB532&lt;&gt;""),1,0))</f>
        <v>0</v>
      </c>
      <c r="E532" s="71" t="n">
        <f aca="false">SUM($D$5:$D532)</f>
        <v>5</v>
      </c>
      <c r="G532" s="71" t="n">
        <f aca="false">IF(电梯资料!$C532="",0,IF(OR(电梯资料!$Y532="安装免保",电梯资料!$Y532="技术免保",电梯资料!$Y532="质保期内"),1,0))</f>
        <v>0</v>
      </c>
      <c r="H532" s="71" t="n">
        <f aca="false">SUM($G$5:$G532)</f>
        <v>4</v>
      </c>
    </row>
    <row r="533" customFormat="false" ht="15" hidden="false" customHeight="false" outlineLevel="0" collapsed="false">
      <c r="D533" s="71" t="n">
        <f aca="false">IF(电梯资料!$C533="",0,IF(OR(电梯资料!$AA533&lt;&gt;"",电梯资料!$AB533&lt;&gt;""),1,0))</f>
        <v>0</v>
      </c>
      <c r="E533" s="71" t="n">
        <f aca="false">SUM($D$5:$D533)</f>
        <v>5</v>
      </c>
      <c r="G533" s="71" t="n">
        <f aca="false">IF(电梯资料!$C533="",0,IF(OR(电梯资料!$Y533="安装免保",电梯资料!$Y533="技术免保",电梯资料!$Y533="质保期内"),1,0))</f>
        <v>0</v>
      </c>
      <c r="H533" s="71" t="n">
        <f aca="false">SUM($G$5:$G533)</f>
        <v>4</v>
      </c>
    </row>
    <row r="534" customFormat="false" ht="15" hidden="false" customHeight="false" outlineLevel="0" collapsed="false">
      <c r="D534" s="71" t="n">
        <f aca="false">IF(电梯资料!$C534="",0,IF(OR(电梯资料!$AA534&lt;&gt;"",电梯资料!$AB534&lt;&gt;""),1,0))</f>
        <v>0</v>
      </c>
      <c r="E534" s="71" t="n">
        <f aca="false">SUM($D$5:$D534)</f>
        <v>5</v>
      </c>
      <c r="G534" s="71" t="n">
        <f aca="false">IF(电梯资料!$C534="",0,IF(OR(电梯资料!$Y534="安装免保",电梯资料!$Y534="技术免保",电梯资料!$Y534="质保期内"),1,0))</f>
        <v>0</v>
      </c>
      <c r="H534" s="71" t="n">
        <f aca="false">SUM($G$5:$G534)</f>
        <v>4</v>
      </c>
    </row>
    <row r="535" customFormat="false" ht="15" hidden="false" customHeight="false" outlineLevel="0" collapsed="false">
      <c r="D535" s="71" t="n">
        <f aca="false">IF(电梯资料!$C535="",0,IF(OR(电梯资料!$AA535&lt;&gt;"",电梯资料!$AB535&lt;&gt;""),1,0))</f>
        <v>0</v>
      </c>
      <c r="E535" s="71" t="n">
        <f aca="false">SUM($D$5:$D535)</f>
        <v>5</v>
      </c>
      <c r="G535" s="71" t="n">
        <f aca="false">IF(电梯资料!$C535="",0,IF(OR(电梯资料!$Y535="安装免保",电梯资料!$Y535="技术免保",电梯资料!$Y535="质保期内"),1,0))</f>
        <v>0</v>
      </c>
      <c r="H535" s="71" t="n">
        <f aca="false">SUM($G$5:$G535)</f>
        <v>4</v>
      </c>
    </row>
    <row r="536" customFormat="false" ht="15" hidden="false" customHeight="false" outlineLevel="0" collapsed="false">
      <c r="D536" s="71" t="n">
        <f aca="false">IF(电梯资料!$C536="",0,IF(OR(电梯资料!$AA536&lt;&gt;"",电梯资料!$AB536&lt;&gt;""),1,0))</f>
        <v>0</v>
      </c>
      <c r="E536" s="71" t="n">
        <f aca="false">SUM($D$5:$D536)</f>
        <v>5</v>
      </c>
      <c r="G536" s="71" t="n">
        <f aca="false">IF(电梯资料!$C536="",0,IF(OR(电梯资料!$Y536="安装免保",电梯资料!$Y536="技术免保",电梯资料!$Y536="质保期内"),1,0))</f>
        <v>0</v>
      </c>
      <c r="H536" s="71" t="n">
        <f aca="false">SUM($G$5:$G536)</f>
        <v>4</v>
      </c>
    </row>
    <row r="537" customFormat="false" ht="15" hidden="false" customHeight="false" outlineLevel="0" collapsed="false">
      <c r="D537" s="71" t="n">
        <f aca="false">IF(电梯资料!$C537="",0,IF(OR(电梯资料!$AA537&lt;&gt;"",电梯资料!$AB537&lt;&gt;""),1,0))</f>
        <v>0</v>
      </c>
      <c r="E537" s="71" t="n">
        <f aca="false">SUM($D$5:$D537)</f>
        <v>5</v>
      </c>
      <c r="G537" s="71" t="n">
        <f aca="false">IF(电梯资料!$C537="",0,IF(OR(电梯资料!$Y537="安装免保",电梯资料!$Y537="技术免保",电梯资料!$Y537="质保期内"),1,0))</f>
        <v>0</v>
      </c>
      <c r="H537" s="71" t="n">
        <f aca="false">SUM($G$5:$G537)</f>
        <v>4</v>
      </c>
    </row>
    <row r="538" customFormat="false" ht="15" hidden="false" customHeight="false" outlineLevel="0" collapsed="false">
      <c r="D538" s="71" t="n">
        <f aca="false">IF(电梯资料!$C538="",0,IF(OR(电梯资料!$AA538&lt;&gt;"",电梯资料!$AB538&lt;&gt;""),1,0))</f>
        <v>0</v>
      </c>
      <c r="E538" s="71" t="n">
        <f aca="false">SUM($D$5:$D538)</f>
        <v>5</v>
      </c>
      <c r="G538" s="71" t="n">
        <f aca="false">IF(电梯资料!$C538="",0,IF(OR(电梯资料!$Y538="安装免保",电梯资料!$Y538="技术免保",电梯资料!$Y538="质保期内"),1,0))</f>
        <v>0</v>
      </c>
      <c r="H538" s="71" t="n">
        <f aca="false">SUM($G$5:$G538)</f>
        <v>4</v>
      </c>
    </row>
    <row r="539" customFormat="false" ht="15" hidden="false" customHeight="false" outlineLevel="0" collapsed="false">
      <c r="D539" s="71" t="n">
        <f aca="false">IF(电梯资料!$C539="",0,IF(OR(电梯资料!$AA539&lt;&gt;"",电梯资料!$AB539&lt;&gt;""),1,0))</f>
        <v>0</v>
      </c>
      <c r="E539" s="71" t="n">
        <f aca="false">SUM($D$5:$D539)</f>
        <v>5</v>
      </c>
      <c r="G539" s="71" t="n">
        <f aca="false">IF(电梯资料!$C539="",0,IF(OR(电梯资料!$Y539="安装免保",电梯资料!$Y539="技术免保",电梯资料!$Y539="质保期内"),1,0))</f>
        <v>0</v>
      </c>
      <c r="H539" s="71" t="n">
        <f aca="false">SUM($G$5:$G539)</f>
        <v>4</v>
      </c>
    </row>
    <row r="540" customFormat="false" ht="15" hidden="false" customHeight="false" outlineLevel="0" collapsed="false">
      <c r="D540" s="71" t="n">
        <f aca="false">IF(电梯资料!$C540="",0,IF(OR(电梯资料!$AA540&lt;&gt;"",电梯资料!$AB540&lt;&gt;""),1,0))</f>
        <v>0</v>
      </c>
      <c r="E540" s="71" t="n">
        <f aca="false">SUM($D$5:$D540)</f>
        <v>5</v>
      </c>
      <c r="G540" s="71" t="n">
        <f aca="false">IF(电梯资料!$C540="",0,IF(OR(电梯资料!$Y540="安装免保",电梯资料!$Y540="技术免保",电梯资料!$Y540="质保期内"),1,0))</f>
        <v>0</v>
      </c>
      <c r="H540" s="71" t="n">
        <f aca="false">SUM($G$5:$G540)</f>
        <v>4</v>
      </c>
    </row>
    <row r="541" customFormat="false" ht="15" hidden="false" customHeight="false" outlineLevel="0" collapsed="false">
      <c r="D541" s="71" t="n">
        <f aca="false">IF(电梯资料!$C541="",0,IF(OR(电梯资料!$AA541&lt;&gt;"",电梯资料!$AB541&lt;&gt;""),1,0))</f>
        <v>0</v>
      </c>
      <c r="E541" s="71" t="n">
        <f aca="false">SUM($D$5:$D541)</f>
        <v>5</v>
      </c>
      <c r="G541" s="71" t="n">
        <f aca="false">IF(电梯资料!$C541="",0,IF(OR(电梯资料!$Y541="安装免保",电梯资料!$Y541="技术免保",电梯资料!$Y541="质保期内"),1,0))</f>
        <v>0</v>
      </c>
      <c r="H541" s="71" t="n">
        <f aca="false">SUM($G$5:$G541)</f>
        <v>4</v>
      </c>
    </row>
    <row r="542" customFormat="false" ht="15" hidden="false" customHeight="false" outlineLevel="0" collapsed="false">
      <c r="D542" s="71" t="n">
        <f aca="false">IF(电梯资料!$C542="",0,IF(OR(电梯资料!$AA542&lt;&gt;"",电梯资料!$AB542&lt;&gt;""),1,0))</f>
        <v>0</v>
      </c>
      <c r="E542" s="71" t="n">
        <f aca="false">SUM($D$5:$D542)</f>
        <v>5</v>
      </c>
      <c r="G542" s="71" t="n">
        <f aca="false">IF(电梯资料!$C542="",0,IF(OR(电梯资料!$Y542="安装免保",电梯资料!$Y542="技术免保",电梯资料!$Y542="质保期内"),1,0))</f>
        <v>0</v>
      </c>
      <c r="H542" s="71" t="n">
        <f aca="false">SUM($G$5:$G542)</f>
        <v>4</v>
      </c>
    </row>
    <row r="543" customFormat="false" ht="15" hidden="false" customHeight="false" outlineLevel="0" collapsed="false">
      <c r="D543" s="71" t="n">
        <f aca="false">IF(电梯资料!$C543="",0,IF(OR(电梯资料!$AA543&lt;&gt;"",电梯资料!$AB543&lt;&gt;""),1,0))</f>
        <v>0</v>
      </c>
      <c r="E543" s="71" t="n">
        <f aca="false">SUM($D$5:$D543)</f>
        <v>5</v>
      </c>
      <c r="G543" s="71" t="n">
        <f aca="false">IF(电梯资料!$C543="",0,IF(OR(电梯资料!$Y543="安装免保",电梯资料!$Y543="技术免保",电梯资料!$Y543="质保期内"),1,0))</f>
        <v>0</v>
      </c>
      <c r="H543" s="71" t="n">
        <f aca="false">SUM($G$5:$G543)</f>
        <v>4</v>
      </c>
    </row>
    <row r="544" customFormat="false" ht="15" hidden="false" customHeight="false" outlineLevel="0" collapsed="false">
      <c r="D544" s="71" t="n">
        <f aca="false">IF(电梯资料!$C544="",0,IF(OR(电梯资料!$AA544&lt;&gt;"",电梯资料!$AB544&lt;&gt;""),1,0))</f>
        <v>0</v>
      </c>
      <c r="E544" s="71" t="n">
        <f aca="false">SUM($D$5:$D544)</f>
        <v>5</v>
      </c>
      <c r="G544" s="71" t="n">
        <f aca="false">IF(电梯资料!$C544="",0,IF(OR(电梯资料!$Y544="安装免保",电梯资料!$Y544="技术免保",电梯资料!$Y544="质保期内"),1,0))</f>
        <v>0</v>
      </c>
      <c r="H544" s="71" t="n">
        <f aca="false">SUM($G$5:$G544)</f>
        <v>4</v>
      </c>
    </row>
    <row r="545" customFormat="false" ht="15" hidden="false" customHeight="false" outlineLevel="0" collapsed="false">
      <c r="D545" s="71" t="n">
        <f aca="false">IF(电梯资料!$C545="",0,IF(OR(电梯资料!$AA545&lt;&gt;"",电梯资料!$AB545&lt;&gt;""),1,0))</f>
        <v>0</v>
      </c>
      <c r="E545" s="71" t="n">
        <f aca="false">SUM($D$5:$D545)</f>
        <v>5</v>
      </c>
      <c r="G545" s="71" t="n">
        <f aca="false">IF(电梯资料!$C545="",0,IF(OR(电梯资料!$Y545="安装免保",电梯资料!$Y545="技术免保",电梯资料!$Y545="质保期内"),1,0))</f>
        <v>0</v>
      </c>
      <c r="H545" s="71" t="n">
        <f aca="false">SUM($G$5:$G545)</f>
        <v>4</v>
      </c>
    </row>
    <row r="546" customFormat="false" ht="15" hidden="false" customHeight="false" outlineLevel="0" collapsed="false">
      <c r="D546" s="71" t="n">
        <f aca="false">IF(电梯资料!$C546="",0,IF(OR(电梯资料!$AA546&lt;&gt;"",电梯资料!$AB546&lt;&gt;""),1,0))</f>
        <v>0</v>
      </c>
      <c r="E546" s="71" t="n">
        <f aca="false">SUM($D$5:$D546)</f>
        <v>5</v>
      </c>
      <c r="G546" s="71" t="n">
        <f aca="false">IF(电梯资料!$C546="",0,IF(OR(电梯资料!$Y546="安装免保",电梯资料!$Y546="技术免保",电梯资料!$Y546="质保期内"),1,0))</f>
        <v>0</v>
      </c>
      <c r="H546" s="71" t="n">
        <f aca="false">SUM($G$5:$G546)</f>
        <v>4</v>
      </c>
    </row>
    <row r="547" customFormat="false" ht="15" hidden="false" customHeight="false" outlineLevel="0" collapsed="false">
      <c r="D547" s="71" t="n">
        <f aca="false">IF(电梯资料!$C547="",0,IF(OR(电梯资料!$AA547&lt;&gt;"",电梯资料!$AB547&lt;&gt;""),1,0))</f>
        <v>0</v>
      </c>
      <c r="E547" s="71" t="n">
        <f aca="false">SUM($D$5:$D547)</f>
        <v>5</v>
      </c>
      <c r="G547" s="71" t="n">
        <f aca="false">IF(电梯资料!$C547="",0,IF(OR(电梯资料!$Y547="安装免保",电梯资料!$Y547="技术免保",电梯资料!$Y547="质保期内"),1,0))</f>
        <v>0</v>
      </c>
      <c r="H547" s="71" t="n">
        <f aca="false">SUM($G$5:$G547)</f>
        <v>4</v>
      </c>
    </row>
    <row r="548" customFormat="false" ht="15" hidden="false" customHeight="false" outlineLevel="0" collapsed="false">
      <c r="D548" s="71" t="n">
        <f aca="false">IF(电梯资料!$C548="",0,IF(OR(电梯资料!$AA548&lt;&gt;"",电梯资料!$AB548&lt;&gt;""),1,0))</f>
        <v>0</v>
      </c>
      <c r="E548" s="71" t="n">
        <f aca="false">SUM($D$5:$D548)</f>
        <v>5</v>
      </c>
      <c r="G548" s="71" t="n">
        <f aca="false">IF(电梯资料!$C548="",0,IF(OR(电梯资料!$Y548="安装免保",电梯资料!$Y548="技术免保",电梯资料!$Y548="质保期内"),1,0))</f>
        <v>0</v>
      </c>
      <c r="H548" s="71" t="n">
        <f aca="false">SUM($G$5:$G548)</f>
        <v>4</v>
      </c>
    </row>
    <row r="549" customFormat="false" ht="15" hidden="false" customHeight="false" outlineLevel="0" collapsed="false">
      <c r="D549" s="71" t="n">
        <f aca="false">IF(电梯资料!$C549="",0,IF(OR(电梯资料!$AA549&lt;&gt;"",电梯资料!$AB549&lt;&gt;""),1,0))</f>
        <v>0</v>
      </c>
      <c r="E549" s="71" t="n">
        <f aca="false">SUM($D$5:$D549)</f>
        <v>5</v>
      </c>
      <c r="G549" s="71" t="n">
        <f aca="false">IF(电梯资料!$C549="",0,IF(OR(电梯资料!$Y549="安装免保",电梯资料!$Y549="技术免保",电梯资料!$Y549="质保期内"),1,0))</f>
        <v>0</v>
      </c>
      <c r="H549" s="71" t="n">
        <f aca="false">SUM($G$5:$G549)</f>
        <v>4</v>
      </c>
    </row>
    <row r="550" customFormat="false" ht="15" hidden="false" customHeight="false" outlineLevel="0" collapsed="false">
      <c r="D550" s="71" t="n">
        <f aca="false">IF(电梯资料!$C550="",0,IF(OR(电梯资料!$AA550&lt;&gt;"",电梯资料!$AB550&lt;&gt;""),1,0))</f>
        <v>0</v>
      </c>
      <c r="E550" s="71" t="n">
        <f aca="false">SUM($D$5:$D550)</f>
        <v>5</v>
      </c>
      <c r="G550" s="71" t="n">
        <f aca="false">IF(电梯资料!$C550="",0,IF(OR(电梯资料!$Y550="安装免保",电梯资料!$Y550="技术免保",电梯资料!$Y550="质保期内"),1,0))</f>
        <v>0</v>
      </c>
      <c r="H550" s="71" t="n">
        <f aca="false">SUM($G$5:$G550)</f>
        <v>4</v>
      </c>
    </row>
    <row r="551" customFormat="false" ht="15" hidden="false" customHeight="false" outlineLevel="0" collapsed="false">
      <c r="D551" s="71" t="n">
        <f aca="false">IF(电梯资料!$C551="",0,IF(OR(电梯资料!$AA551&lt;&gt;"",电梯资料!$AB551&lt;&gt;""),1,0))</f>
        <v>0</v>
      </c>
      <c r="E551" s="71" t="n">
        <f aca="false">SUM($D$5:$D551)</f>
        <v>5</v>
      </c>
      <c r="G551" s="71" t="n">
        <f aca="false">IF(电梯资料!$C551="",0,IF(OR(电梯资料!$Y551="安装免保",电梯资料!$Y551="技术免保",电梯资料!$Y551="质保期内"),1,0))</f>
        <v>0</v>
      </c>
      <c r="H551" s="71" t="n">
        <f aca="false">SUM($G$5:$G551)</f>
        <v>4</v>
      </c>
    </row>
    <row r="552" customFormat="false" ht="15" hidden="false" customHeight="false" outlineLevel="0" collapsed="false">
      <c r="D552" s="71" t="n">
        <f aca="false">IF(电梯资料!$C552="",0,IF(OR(电梯资料!$AA552&lt;&gt;"",电梯资料!$AB552&lt;&gt;""),1,0))</f>
        <v>0</v>
      </c>
      <c r="E552" s="71" t="n">
        <f aca="false">SUM($D$5:$D552)</f>
        <v>5</v>
      </c>
      <c r="G552" s="71" t="n">
        <f aca="false">IF(电梯资料!$C552="",0,IF(OR(电梯资料!$Y552="安装免保",电梯资料!$Y552="技术免保",电梯资料!$Y552="质保期内"),1,0))</f>
        <v>0</v>
      </c>
      <c r="H552" s="71" t="n">
        <f aca="false">SUM($G$5:$G552)</f>
        <v>4</v>
      </c>
    </row>
    <row r="553" customFormat="false" ht="15" hidden="false" customHeight="false" outlineLevel="0" collapsed="false">
      <c r="D553" s="71" t="n">
        <f aca="false">IF(电梯资料!$C553="",0,IF(OR(电梯资料!$AA553&lt;&gt;"",电梯资料!$AB553&lt;&gt;""),1,0))</f>
        <v>0</v>
      </c>
      <c r="E553" s="71" t="n">
        <f aca="false">SUM($D$5:$D553)</f>
        <v>5</v>
      </c>
      <c r="G553" s="71" t="n">
        <f aca="false">IF(电梯资料!$C553="",0,IF(OR(电梯资料!$Y553="安装免保",电梯资料!$Y553="技术免保",电梯资料!$Y553="质保期内"),1,0))</f>
        <v>0</v>
      </c>
      <c r="H553" s="71" t="n">
        <f aca="false">SUM($G$5:$G553)</f>
        <v>4</v>
      </c>
    </row>
    <row r="554" customFormat="false" ht="15" hidden="false" customHeight="false" outlineLevel="0" collapsed="false">
      <c r="D554" s="71" t="n">
        <f aca="false">IF(电梯资料!$C554="",0,IF(OR(电梯资料!$AA554&lt;&gt;"",电梯资料!$AB554&lt;&gt;""),1,0))</f>
        <v>0</v>
      </c>
      <c r="E554" s="71" t="n">
        <f aca="false">SUM($D$5:$D554)</f>
        <v>5</v>
      </c>
      <c r="G554" s="71" t="n">
        <f aca="false">IF(电梯资料!$C554="",0,IF(OR(电梯资料!$Y554="安装免保",电梯资料!$Y554="技术免保",电梯资料!$Y554="质保期内"),1,0))</f>
        <v>0</v>
      </c>
      <c r="H554" s="71" t="n">
        <f aca="false">SUM($G$5:$G554)</f>
        <v>4</v>
      </c>
    </row>
    <row r="555" customFormat="false" ht="15" hidden="false" customHeight="false" outlineLevel="0" collapsed="false">
      <c r="D555" s="71" t="n">
        <f aca="false">IF(电梯资料!$C555="",0,IF(OR(电梯资料!$AA555&lt;&gt;"",电梯资料!$AB555&lt;&gt;""),1,0))</f>
        <v>0</v>
      </c>
      <c r="E555" s="71" t="n">
        <f aca="false">SUM($D$5:$D555)</f>
        <v>5</v>
      </c>
      <c r="G555" s="71" t="n">
        <f aca="false">IF(电梯资料!$C555="",0,IF(OR(电梯资料!$Y555="安装免保",电梯资料!$Y555="技术免保",电梯资料!$Y555="质保期内"),1,0))</f>
        <v>0</v>
      </c>
      <c r="H555" s="71" t="n">
        <f aca="false">SUM($G$5:$G555)</f>
        <v>4</v>
      </c>
    </row>
    <row r="556" customFormat="false" ht="15" hidden="false" customHeight="false" outlineLevel="0" collapsed="false">
      <c r="D556" s="71" t="n">
        <f aca="false">IF(电梯资料!$C556="",0,IF(OR(电梯资料!$AA556&lt;&gt;"",电梯资料!$AB556&lt;&gt;""),1,0))</f>
        <v>0</v>
      </c>
      <c r="E556" s="71" t="n">
        <f aca="false">SUM($D$5:$D556)</f>
        <v>5</v>
      </c>
      <c r="G556" s="71" t="n">
        <f aca="false">IF(电梯资料!$C556="",0,IF(OR(电梯资料!$Y556="安装免保",电梯资料!$Y556="技术免保",电梯资料!$Y556="质保期内"),1,0))</f>
        <v>0</v>
      </c>
      <c r="H556" s="71" t="n">
        <f aca="false">SUM($G$5:$G556)</f>
        <v>4</v>
      </c>
    </row>
    <row r="557" customFormat="false" ht="15" hidden="false" customHeight="false" outlineLevel="0" collapsed="false">
      <c r="D557" s="71" t="n">
        <f aca="false">IF(电梯资料!$C557="",0,IF(OR(电梯资料!$AA557&lt;&gt;"",电梯资料!$AB557&lt;&gt;""),1,0))</f>
        <v>0</v>
      </c>
      <c r="E557" s="71" t="n">
        <f aca="false">SUM($D$5:$D557)</f>
        <v>5</v>
      </c>
      <c r="G557" s="71" t="n">
        <f aca="false">IF(电梯资料!$C557="",0,IF(OR(电梯资料!$Y557="安装免保",电梯资料!$Y557="技术免保",电梯资料!$Y557="质保期内"),1,0))</f>
        <v>0</v>
      </c>
      <c r="H557" s="71" t="n">
        <f aca="false">SUM($G$5:$G557)</f>
        <v>4</v>
      </c>
    </row>
    <row r="558" customFormat="false" ht="15" hidden="false" customHeight="false" outlineLevel="0" collapsed="false">
      <c r="D558" s="71" t="n">
        <f aca="false">IF(电梯资料!$C558="",0,IF(OR(电梯资料!$AA558&lt;&gt;"",电梯资料!$AB558&lt;&gt;""),1,0))</f>
        <v>0</v>
      </c>
      <c r="E558" s="71" t="n">
        <f aca="false">SUM($D$5:$D558)</f>
        <v>5</v>
      </c>
      <c r="G558" s="71" t="n">
        <f aca="false">IF(电梯资料!$C558="",0,IF(OR(电梯资料!$Y558="安装免保",电梯资料!$Y558="技术免保",电梯资料!$Y558="质保期内"),1,0))</f>
        <v>0</v>
      </c>
      <c r="H558" s="71" t="n">
        <f aca="false">SUM($G$5:$G558)</f>
        <v>4</v>
      </c>
    </row>
    <row r="559" customFormat="false" ht="15" hidden="false" customHeight="false" outlineLevel="0" collapsed="false">
      <c r="D559" s="71" t="n">
        <f aca="false">IF(电梯资料!$C559="",0,IF(OR(电梯资料!$AA559&lt;&gt;"",电梯资料!$AB559&lt;&gt;""),1,0))</f>
        <v>0</v>
      </c>
      <c r="E559" s="71" t="n">
        <f aca="false">SUM($D$5:$D559)</f>
        <v>5</v>
      </c>
      <c r="G559" s="71" t="n">
        <f aca="false">IF(电梯资料!$C559="",0,IF(OR(电梯资料!$Y559="安装免保",电梯资料!$Y559="技术免保",电梯资料!$Y559="质保期内"),1,0))</f>
        <v>0</v>
      </c>
      <c r="H559" s="71" t="n">
        <f aca="false">SUM($G$5:$G559)</f>
        <v>4</v>
      </c>
    </row>
    <row r="560" customFormat="false" ht="15" hidden="false" customHeight="false" outlineLevel="0" collapsed="false">
      <c r="D560" s="71" t="n">
        <f aca="false">IF(电梯资料!$C560="",0,IF(OR(电梯资料!$AA560&lt;&gt;"",电梯资料!$AB560&lt;&gt;""),1,0))</f>
        <v>0</v>
      </c>
      <c r="E560" s="71" t="n">
        <f aca="false">SUM($D$5:$D560)</f>
        <v>5</v>
      </c>
      <c r="G560" s="71" t="n">
        <f aca="false">IF(电梯资料!$C560="",0,IF(OR(电梯资料!$Y560="安装免保",电梯资料!$Y560="技术免保",电梯资料!$Y560="质保期内"),1,0))</f>
        <v>0</v>
      </c>
      <c r="H560" s="71" t="n">
        <f aca="false">SUM($G$5:$G560)</f>
        <v>4</v>
      </c>
    </row>
    <row r="561" customFormat="false" ht="15" hidden="false" customHeight="false" outlineLevel="0" collapsed="false">
      <c r="D561" s="71" t="n">
        <f aca="false">IF(电梯资料!$C561="",0,IF(OR(电梯资料!$AA561&lt;&gt;"",电梯资料!$AB561&lt;&gt;""),1,0))</f>
        <v>0</v>
      </c>
      <c r="E561" s="71" t="n">
        <f aca="false">SUM($D$5:$D561)</f>
        <v>5</v>
      </c>
      <c r="G561" s="71" t="n">
        <f aca="false">IF(电梯资料!$C561="",0,IF(OR(电梯资料!$Y561="安装免保",电梯资料!$Y561="技术免保",电梯资料!$Y561="质保期内"),1,0))</f>
        <v>0</v>
      </c>
      <c r="H561" s="71" t="n">
        <f aca="false">SUM($G$5:$G561)</f>
        <v>4</v>
      </c>
    </row>
    <row r="562" customFormat="false" ht="15" hidden="false" customHeight="false" outlineLevel="0" collapsed="false">
      <c r="D562" s="71" t="n">
        <f aca="false">IF(电梯资料!$C562="",0,IF(OR(电梯资料!$AA562&lt;&gt;"",电梯资料!$AB562&lt;&gt;""),1,0))</f>
        <v>0</v>
      </c>
      <c r="E562" s="71" t="n">
        <f aca="false">SUM($D$5:$D562)</f>
        <v>5</v>
      </c>
      <c r="G562" s="71" t="n">
        <f aca="false">IF(电梯资料!$C562="",0,IF(OR(电梯资料!$Y562="安装免保",电梯资料!$Y562="技术免保",电梯资料!$Y562="质保期内"),1,0))</f>
        <v>0</v>
      </c>
      <c r="H562" s="71" t="n">
        <f aca="false">SUM($G$5:$G562)</f>
        <v>4</v>
      </c>
    </row>
    <row r="563" customFormat="false" ht="15" hidden="false" customHeight="false" outlineLevel="0" collapsed="false">
      <c r="D563" s="71" t="n">
        <f aca="false">IF(电梯资料!$C563="",0,IF(OR(电梯资料!$AA563&lt;&gt;"",电梯资料!$AB563&lt;&gt;""),1,0))</f>
        <v>0</v>
      </c>
      <c r="E563" s="71" t="n">
        <f aca="false">SUM($D$5:$D563)</f>
        <v>5</v>
      </c>
      <c r="G563" s="71" t="n">
        <f aca="false">IF(电梯资料!$C563="",0,IF(OR(电梯资料!$Y563="安装免保",电梯资料!$Y563="技术免保",电梯资料!$Y563="质保期内"),1,0))</f>
        <v>0</v>
      </c>
      <c r="H563" s="71" t="n">
        <f aca="false">SUM($G$5:$G563)</f>
        <v>4</v>
      </c>
    </row>
    <row r="564" customFormat="false" ht="15" hidden="false" customHeight="false" outlineLevel="0" collapsed="false">
      <c r="D564" s="71" t="n">
        <f aca="false">IF(电梯资料!$C564="",0,IF(OR(电梯资料!$AA564&lt;&gt;"",电梯资料!$AB564&lt;&gt;""),1,0))</f>
        <v>0</v>
      </c>
      <c r="E564" s="71" t="n">
        <f aca="false">SUM($D$5:$D564)</f>
        <v>5</v>
      </c>
      <c r="G564" s="71" t="n">
        <f aca="false">IF(电梯资料!$C564="",0,IF(OR(电梯资料!$Y564="安装免保",电梯资料!$Y564="技术免保",电梯资料!$Y564="质保期内"),1,0))</f>
        <v>0</v>
      </c>
      <c r="H564" s="71" t="n">
        <f aca="false">SUM($G$5:$G564)</f>
        <v>4</v>
      </c>
    </row>
    <row r="565" customFormat="false" ht="15" hidden="false" customHeight="false" outlineLevel="0" collapsed="false">
      <c r="D565" s="71" t="n">
        <f aca="false">IF(电梯资料!$C565="",0,IF(OR(电梯资料!$AA565&lt;&gt;"",电梯资料!$AB565&lt;&gt;""),1,0))</f>
        <v>0</v>
      </c>
      <c r="E565" s="71" t="n">
        <f aca="false">SUM($D$5:$D565)</f>
        <v>5</v>
      </c>
      <c r="G565" s="71" t="n">
        <f aca="false">IF(电梯资料!$C565="",0,IF(OR(电梯资料!$Y565="安装免保",电梯资料!$Y565="技术免保",电梯资料!$Y565="质保期内"),1,0))</f>
        <v>0</v>
      </c>
      <c r="H565" s="71" t="n">
        <f aca="false">SUM($G$5:$G565)</f>
        <v>4</v>
      </c>
    </row>
    <row r="566" customFormat="false" ht="15" hidden="false" customHeight="false" outlineLevel="0" collapsed="false">
      <c r="D566" s="71" t="n">
        <f aca="false">IF(电梯资料!$C566="",0,IF(OR(电梯资料!$AA566&lt;&gt;"",电梯资料!$AB566&lt;&gt;""),1,0))</f>
        <v>0</v>
      </c>
      <c r="E566" s="71" t="n">
        <f aca="false">SUM($D$5:$D566)</f>
        <v>5</v>
      </c>
      <c r="G566" s="71" t="n">
        <f aca="false">IF(电梯资料!$C566="",0,IF(OR(电梯资料!$Y566="安装免保",电梯资料!$Y566="技术免保",电梯资料!$Y566="质保期内"),1,0))</f>
        <v>0</v>
      </c>
      <c r="H566" s="71" t="n">
        <f aca="false">SUM($G$5:$G566)</f>
        <v>4</v>
      </c>
    </row>
    <row r="567" customFormat="false" ht="15" hidden="false" customHeight="false" outlineLevel="0" collapsed="false">
      <c r="D567" s="71" t="n">
        <f aca="false">IF(电梯资料!$C567="",0,IF(OR(电梯资料!$AA567&lt;&gt;"",电梯资料!$AB567&lt;&gt;""),1,0))</f>
        <v>0</v>
      </c>
      <c r="E567" s="71" t="n">
        <f aca="false">SUM($D$5:$D567)</f>
        <v>5</v>
      </c>
      <c r="G567" s="71" t="n">
        <f aca="false">IF(电梯资料!$C567="",0,IF(OR(电梯资料!$Y567="安装免保",电梯资料!$Y567="技术免保",电梯资料!$Y567="质保期内"),1,0))</f>
        <v>0</v>
      </c>
      <c r="H567" s="71" t="n">
        <f aca="false">SUM($G$5:$G567)</f>
        <v>4</v>
      </c>
    </row>
    <row r="568" customFormat="false" ht="15" hidden="false" customHeight="false" outlineLevel="0" collapsed="false">
      <c r="D568" s="71" t="n">
        <f aca="false">IF(电梯资料!$C568="",0,IF(OR(电梯资料!$AA568&lt;&gt;"",电梯资料!$AB568&lt;&gt;""),1,0))</f>
        <v>0</v>
      </c>
      <c r="E568" s="71" t="n">
        <f aca="false">SUM($D$5:$D568)</f>
        <v>5</v>
      </c>
      <c r="G568" s="71" t="n">
        <f aca="false">IF(电梯资料!$C568="",0,IF(OR(电梯资料!$Y568="安装免保",电梯资料!$Y568="技术免保",电梯资料!$Y568="质保期内"),1,0))</f>
        <v>0</v>
      </c>
      <c r="H568" s="71" t="n">
        <f aca="false">SUM($G$5:$G568)</f>
        <v>4</v>
      </c>
    </row>
    <row r="569" customFormat="false" ht="15" hidden="false" customHeight="false" outlineLevel="0" collapsed="false">
      <c r="D569" s="71" t="n">
        <f aca="false">IF(电梯资料!$C569="",0,IF(OR(电梯资料!$AA569&lt;&gt;"",电梯资料!$AB569&lt;&gt;""),1,0))</f>
        <v>0</v>
      </c>
      <c r="E569" s="71" t="n">
        <f aca="false">SUM($D$5:$D569)</f>
        <v>5</v>
      </c>
      <c r="G569" s="71" t="n">
        <f aca="false">IF(电梯资料!$C569="",0,IF(OR(电梯资料!$Y569="安装免保",电梯资料!$Y569="技术免保",电梯资料!$Y569="质保期内"),1,0))</f>
        <v>0</v>
      </c>
      <c r="H569" s="71" t="n">
        <f aca="false">SUM($G$5:$G569)</f>
        <v>4</v>
      </c>
    </row>
    <row r="570" customFormat="false" ht="15" hidden="false" customHeight="false" outlineLevel="0" collapsed="false">
      <c r="D570" s="71" t="n">
        <f aca="false">IF(电梯资料!$C570="",0,IF(OR(电梯资料!$AA570&lt;&gt;"",电梯资料!$AB570&lt;&gt;""),1,0))</f>
        <v>0</v>
      </c>
      <c r="E570" s="71" t="n">
        <f aca="false">SUM($D$5:$D570)</f>
        <v>5</v>
      </c>
      <c r="G570" s="71" t="n">
        <f aca="false">IF(电梯资料!$C570="",0,IF(OR(电梯资料!$Y570="安装免保",电梯资料!$Y570="技术免保",电梯资料!$Y570="质保期内"),1,0))</f>
        <v>0</v>
      </c>
      <c r="H570" s="71" t="n">
        <f aca="false">SUM($G$5:$G570)</f>
        <v>4</v>
      </c>
    </row>
    <row r="571" customFormat="false" ht="15" hidden="false" customHeight="false" outlineLevel="0" collapsed="false">
      <c r="D571" s="71" t="n">
        <f aca="false">IF(电梯资料!$C571="",0,IF(OR(电梯资料!$AA571&lt;&gt;"",电梯资料!$AB571&lt;&gt;""),1,0))</f>
        <v>0</v>
      </c>
      <c r="E571" s="71" t="n">
        <f aca="false">SUM($D$5:$D571)</f>
        <v>5</v>
      </c>
      <c r="G571" s="71" t="n">
        <f aca="false">IF(电梯资料!$C571="",0,IF(OR(电梯资料!$Y571="安装免保",电梯资料!$Y571="技术免保",电梯资料!$Y571="质保期内"),1,0))</f>
        <v>0</v>
      </c>
      <c r="H571" s="71" t="n">
        <f aca="false">SUM($G$5:$G571)</f>
        <v>4</v>
      </c>
    </row>
    <row r="572" customFormat="false" ht="15" hidden="false" customHeight="false" outlineLevel="0" collapsed="false">
      <c r="D572" s="71" t="n">
        <f aca="false">IF(电梯资料!$C572="",0,IF(OR(电梯资料!$AA572&lt;&gt;"",电梯资料!$AB572&lt;&gt;""),1,0))</f>
        <v>0</v>
      </c>
      <c r="E572" s="71" t="n">
        <f aca="false">SUM($D$5:$D572)</f>
        <v>5</v>
      </c>
      <c r="G572" s="71" t="n">
        <f aca="false">IF(电梯资料!$C572="",0,IF(OR(电梯资料!$Y572="安装免保",电梯资料!$Y572="技术免保",电梯资料!$Y572="质保期内"),1,0))</f>
        <v>0</v>
      </c>
      <c r="H572" s="71" t="n">
        <f aca="false">SUM($G$5:$G572)</f>
        <v>4</v>
      </c>
    </row>
    <row r="573" customFormat="false" ht="15" hidden="false" customHeight="false" outlineLevel="0" collapsed="false">
      <c r="D573" s="71" t="n">
        <f aca="false">IF(电梯资料!$C573="",0,IF(OR(电梯资料!$AA573&lt;&gt;"",电梯资料!$AB573&lt;&gt;""),1,0))</f>
        <v>0</v>
      </c>
      <c r="E573" s="71" t="n">
        <f aca="false">SUM($D$5:$D573)</f>
        <v>5</v>
      </c>
      <c r="G573" s="71" t="n">
        <f aca="false">IF(电梯资料!$C573="",0,IF(OR(电梯资料!$Y573="安装免保",电梯资料!$Y573="技术免保",电梯资料!$Y573="质保期内"),1,0))</f>
        <v>0</v>
      </c>
      <c r="H573" s="71" t="n">
        <f aca="false">SUM($G$5:$G573)</f>
        <v>4</v>
      </c>
    </row>
    <row r="574" customFormat="false" ht="15" hidden="false" customHeight="false" outlineLevel="0" collapsed="false">
      <c r="D574" s="71" t="n">
        <f aca="false">IF(电梯资料!$C574="",0,IF(OR(电梯资料!$AA574&lt;&gt;"",电梯资料!$AB574&lt;&gt;""),1,0))</f>
        <v>0</v>
      </c>
      <c r="E574" s="71" t="n">
        <f aca="false">SUM($D$5:$D574)</f>
        <v>5</v>
      </c>
      <c r="G574" s="71" t="n">
        <f aca="false">IF(电梯资料!$C574="",0,IF(OR(电梯资料!$Y574="安装免保",电梯资料!$Y574="技术免保",电梯资料!$Y574="质保期内"),1,0))</f>
        <v>0</v>
      </c>
      <c r="H574" s="71" t="n">
        <f aca="false">SUM($G$5:$G574)</f>
        <v>4</v>
      </c>
    </row>
    <row r="575" customFormat="false" ht="15" hidden="false" customHeight="false" outlineLevel="0" collapsed="false">
      <c r="D575" s="71" t="n">
        <f aca="false">IF(电梯资料!$C575="",0,IF(OR(电梯资料!$AA575&lt;&gt;"",电梯资料!$AB575&lt;&gt;""),1,0))</f>
        <v>0</v>
      </c>
      <c r="E575" s="71" t="n">
        <f aca="false">SUM($D$5:$D575)</f>
        <v>5</v>
      </c>
      <c r="G575" s="71" t="n">
        <f aca="false">IF(电梯资料!$C575="",0,IF(OR(电梯资料!$Y575="安装免保",电梯资料!$Y575="技术免保",电梯资料!$Y575="质保期内"),1,0))</f>
        <v>0</v>
      </c>
      <c r="H575" s="71" t="n">
        <f aca="false">SUM($G$5:$G575)</f>
        <v>4</v>
      </c>
    </row>
    <row r="576" customFormat="false" ht="15" hidden="false" customHeight="false" outlineLevel="0" collapsed="false">
      <c r="D576" s="71" t="n">
        <f aca="false">IF(电梯资料!$C576="",0,IF(OR(电梯资料!$AA576&lt;&gt;"",电梯资料!$AB576&lt;&gt;""),1,0))</f>
        <v>0</v>
      </c>
      <c r="E576" s="71" t="n">
        <f aca="false">SUM($D$5:$D576)</f>
        <v>5</v>
      </c>
      <c r="G576" s="71" t="n">
        <f aca="false">IF(电梯资料!$C576="",0,IF(OR(电梯资料!$Y576="安装免保",电梯资料!$Y576="技术免保",电梯资料!$Y576="质保期内"),1,0))</f>
        <v>0</v>
      </c>
      <c r="H576" s="71" t="n">
        <f aca="false">SUM($G$5:$G576)</f>
        <v>4</v>
      </c>
    </row>
    <row r="577" customFormat="false" ht="15" hidden="false" customHeight="false" outlineLevel="0" collapsed="false">
      <c r="D577" s="71" t="n">
        <f aca="false">IF(电梯资料!$C577="",0,IF(OR(电梯资料!$AA577&lt;&gt;"",电梯资料!$AB577&lt;&gt;""),1,0))</f>
        <v>0</v>
      </c>
      <c r="E577" s="71" t="n">
        <f aca="false">SUM($D$5:$D577)</f>
        <v>5</v>
      </c>
      <c r="G577" s="71" t="n">
        <f aca="false">IF(电梯资料!$C577="",0,IF(OR(电梯资料!$Y577="安装免保",电梯资料!$Y577="技术免保",电梯资料!$Y577="质保期内"),1,0))</f>
        <v>0</v>
      </c>
      <c r="H577" s="71" t="n">
        <f aca="false">SUM($G$5:$G577)</f>
        <v>4</v>
      </c>
    </row>
    <row r="578" customFormat="false" ht="15" hidden="false" customHeight="false" outlineLevel="0" collapsed="false">
      <c r="D578" s="71" t="n">
        <f aca="false">IF(电梯资料!$C578="",0,IF(OR(电梯资料!$AA578&lt;&gt;"",电梯资料!$AB578&lt;&gt;""),1,0))</f>
        <v>0</v>
      </c>
      <c r="E578" s="71" t="n">
        <f aca="false">SUM($D$5:$D578)</f>
        <v>5</v>
      </c>
      <c r="G578" s="71" t="n">
        <f aca="false">IF(电梯资料!$C578="",0,IF(OR(电梯资料!$Y578="安装免保",电梯资料!$Y578="技术免保",电梯资料!$Y578="质保期内"),1,0))</f>
        <v>0</v>
      </c>
      <c r="H578" s="71" t="n">
        <f aca="false">SUM($G$5:$G578)</f>
        <v>4</v>
      </c>
    </row>
    <row r="579" customFormat="false" ht="15" hidden="false" customHeight="false" outlineLevel="0" collapsed="false">
      <c r="D579" s="71" t="n">
        <f aca="false">IF(电梯资料!$C579="",0,IF(OR(电梯资料!$AA579&lt;&gt;"",电梯资料!$AB579&lt;&gt;""),1,0))</f>
        <v>0</v>
      </c>
      <c r="E579" s="71" t="n">
        <f aca="false">SUM($D$5:$D579)</f>
        <v>5</v>
      </c>
      <c r="G579" s="71" t="n">
        <f aca="false">IF(电梯资料!$C579="",0,IF(OR(电梯资料!$Y579="安装免保",电梯资料!$Y579="技术免保",电梯资料!$Y579="质保期内"),1,0))</f>
        <v>0</v>
      </c>
      <c r="H579" s="71" t="n">
        <f aca="false">SUM($G$5:$G579)</f>
        <v>4</v>
      </c>
    </row>
    <row r="580" customFormat="false" ht="15" hidden="false" customHeight="false" outlineLevel="0" collapsed="false">
      <c r="D580" s="71" t="n">
        <f aca="false">IF(电梯资料!$C580="",0,IF(OR(电梯资料!$AA580&lt;&gt;"",电梯资料!$AB580&lt;&gt;""),1,0))</f>
        <v>0</v>
      </c>
      <c r="E580" s="71" t="n">
        <f aca="false">SUM($D$5:$D580)</f>
        <v>5</v>
      </c>
      <c r="G580" s="71" t="n">
        <f aca="false">IF(电梯资料!$C580="",0,IF(OR(电梯资料!$Y580="安装免保",电梯资料!$Y580="技术免保",电梯资料!$Y580="质保期内"),1,0))</f>
        <v>0</v>
      </c>
      <c r="H580" s="71" t="n">
        <f aca="false">SUM($G$5:$G580)</f>
        <v>4</v>
      </c>
    </row>
    <row r="581" customFormat="false" ht="15" hidden="false" customHeight="false" outlineLevel="0" collapsed="false">
      <c r="D581" s="71" t="n">
        <f aca="false">IF(电梯资料!$C581="",0,IF(OR(电梯资料!$AA581&lt;&gt;"",电梯资料!$AB581&lt;&gt;""),1,0))</f>
        <v>0</v>
      </c>
      <c r="E581" s="71" t="n">
        <f aca="false">SUM($D$5:$D581)</f>
        <v>5</v>
      </c>
      <c r="G581" s="71" t="n">
        <f aca="false">IF(电梯资料!$C581="",0,IF(OR(电梯资料!$Y581="安装免保",电梯资料!$Y581="技术免保",电梯资料!$Y581="质保期内"),1,0))</f>
        <v>0</v>
      </c>
      <c r="H581" s="71" t="n">
        <f aca="false">SUM($G$5:$G581)</f>
        <v>4</v>
      </c>
    </row>
    <row r="582" customFormat="false" ht="15" hidden="false" customHeight="false" outlineLevel="0" collapsed="false">
      <c r="D582" s="71" t="n">
        <f aca="false">IF(电梯资料!$C582="",0,IF(OR(电梯资料!$AA582&lt;&gt;"",电梯资料!$AB582&lt;&gt;""),1,0))</f>
        <v>0</v>
      </c>
      <c r="E582" s="71" t="n">
        <f aca="false">SUM($D$5:$D582)</f>
        <v>5</v>
      </c>
      <c r="G582" s="71" t="n">
        <f aca="false">IF(电梯资料!$C582="",0,IF(OR(电梯资料!$Y582="安装免保",电梯资料!$Y582="技术免保",电梯资料!$Y582="质保期内"),1,0))</f>
        <v>0</v>
      </c>
      <c r="H582" s="71" t="n">
        <f aca="false">SUM($G$5:$G582)</f>
        <v>4</v>
      </c>
    </row>
    <row r="583" customFormat="false" ht="15" hidden="false" customHeight="false" outlineLevel="0" collapsed="false">
      <c r="D583" s="71" t="n">
        <f aca="false">IF(电梯资料!$C583="",0,IF(OR(电梯资料!$AA583&lt;&gt;"",电梯资料!$AB583&lt;&gt;""),1,0))</f>
        <v>0</v>
      </c>
      <c r="E583" s="71" t="n">
        <f aca="false">SUM($D$5:$D583)</f>
        <v>5</v>
      </c>
      <c r="G583" s="71" t="n">
        <f aca="false">IF(电梯资料!$C583="",0,IF(OR(电梯资料!$Y583="安装免保",电梯资料!$Y583="技术免保",电梯资料!$Y583="质保期内"),1,0))</f>
        <v>0</v>
      </c>
      <c r="H583" s="71" t="n">
        <f aca="false">SUM($G$5:$G583)</f>
        <v>4</v>
      </c>
    </row>
    <row r="584" customFormat="false" ht="15" hidden="false" customHeight="false" outlineLevel="0" collapsed="false">
      <c r="D584" s="71" t="n">
        <f aca="false">IF(电梯资料!$C584="",0,IF(OR(电梯资料!$AA584&lt;&gt;"",电梯资料!$AB584&lt;&gt;""),1,0))</f>
        <v>0</v>
      </c>
      <c r="E584" s="71" t="n">
        <f aca="false">SUM($D$5:$D584)</f>
        <v>5</v>
      </c>
      <c r="G584" s="71" t="n">
        <f aca="false">IF(电梯资料!$C584="",0,IF(OR(电梯资料!$Y584="安装免保",电梯资料!$Y584="技术免保",电梯资料!$Y584="质保期内"),1,0))</f>
        <v>0</v>
      </c>
      <c r="H584" s="71" t="n">
        <f aca="false">SUM($G$5:$G584)</f>
        <v>4</v>
      </c>
    </row>
    <row r="585" customFormat="false" ht="15" hidden="false" customHeight="false" outlineLevel="0" collapsed="false">
      <c r="D585" s="71" t="n">
        <f aca="false">IF(电梯资料!$C585="",0,IF(OR(电梯资料!$AA585&lt;&gt;"",电梯资料!$AB585&lt;&gt;""),1,0))</f>
        <v>0</v>
      </c>
      <c r="E585" s="71" t="n">
        <f aca="false">SUM($D$5:$D585)</f>
        <v>5</v>
      </c>
      <c r="G585" s="71" t="n">
        <f aca="false">IF(电梯资料!$C585="",0,IF(OR(电梯资料!$Y585="安装免保",电梯资料!$Y585="技术免保",电梯资料!$Y585="质保期内"),1,0))</f>
        <v>0</v>
      </c>
      <c r="H585" s="71" t="n">
        <f aca="false">SUM($G$5:$G585)</f>
        <v>4</v>
      </c>
    </row>
    <row r="586" customFormat="false" ht="15" hidden="false" customHeight="false" outlineLevel="0" collapsed="false">
      <c r="D586" s="71" t="n">
        <f aca="false">IF(电梯资料!$C586="",0,IF(OR(电梯资料!$AA586&lt;&gt;"",电梯资料!$AB586&lt;&gt;""),1,0))</f>
        <v>0</v>
      </c>
      <c r="E586" s="71" t="n">
        <f aca="false">SUM($D$5:$D586)</f>
        <v>5</v>
      </c>
      <c r="G586" s="71" t="n">
        <f aca="false">IF(电梯资料!$C586="",0,IF(OR(电梯资料!$Y586="安装免保",电梯资料!$Y586="技术免保",电梯资料!$Y586="质保期内"),1,0))</f>
        <v>0</v>
      </c>
      <c r="H586" s="71" t="n">
        <f aca="false">SUM($G$5:$G586)</f>
        <v>4</v>
      </c>
    </row>
    <row r="587" customFormat="false" ht="15" hidden="false" customHeight="false" outlineLevel="0" collapsed="false">
      <c r="D587" s="71" t="n">
        <f aca="false">IF(电梯资料!$C587="",0,IF(OR(电梯资料!$AA587&lt;&gt;"",电梯资料!$AB587&lt;&gt;""),1,0))</f>
        <v>0</v>
      </c>
      <c r="E587" s="71" t="n">
        <f aca="false">SUM($D$5:$D587)</f>
        <v>5</v>
      </c>
      <c r="G587" s="71" t="n">
        <f aca="false">IF(电梯资料!$C587="",0,IF(OR(电梯资料!$Y587="安装免保",电梯资料!$Y587="技术免保",电梯资料!$Y587="质保期内"),1,0))</f>
        <v>0</v>
      </c>
      <c r="H587" s="71" t="n">
        <f aca="false">SUM($G$5:$G587)</f>
        <v>4</v>
      </c>
    </row>
    <row r="588" customFormat="false" ht="15" hidden="false" customHeight="false" outlineLevel="0" collapsed="false">
      <c r="D588" s="71" t="n">
        <f aca="false">IF(电梯资料!$C588="",0,IF(OR(电梯资料!$AA588&lt;&gt;"",电梯资料!$AB588&lt;&gt;""),1,0))</f>
        <v>0</v>
      </c>
      <c r="E588" s="71" t="n">
        <f aca="false">SUM($D$5:$D588)</f>
        <v>5</v>
      </c>
      <c r="G588" s="71" t="n">
        <f aca="false">IF(电梯资料!$C588="",0,IF(OR(电梯资料!$Y588="安装免保",电梯资料!$Y588="技术免保",电梯资料!$Y588="质保期内"),1,0))</f>
        <v>0</v>
      </c>
      <c r="H588" s="71" t="n">
        <f aca="false">SUM($G$5:$G588)</f>
        <v>4</v>
      </c>
    </row>
    <row r="589" customFormat="false" ht="15" hidden="false" customHeight="false" outlineLevel="0" collapsed="false">
      <c r="D589" s="71" t="n">
        <f aca="false">IF(电梯资料!$C589="",0,IF(OR(电梯资料!$AA589&lt;&gt;"",电梯资料!$AB589&lt;&gt;""),1,0))</f>
        <v>0</v>
      </c>
      <c r="E589" s="71" t="n">
        <f aca="false">SUM($D$5:$D589)</f>
        <v>5</v>
      </c>
      <c r="G589" s="71" t="n">
        <f aca="false">IF(电梯资料!$C589="",0,IF(OR(电梯资料!$Y589="安装免保",电梯资料!$Y589="技术免保",电梯资料!$Y589="质保期内"),1,0))</f>
        <v>0</v>
      </c>
      <c r="H589" s="71" t="n">
        <f aca="false">SUM($G$5:$G589)</f>
        <v>4</v>
      </c>
    </row>
    <row r="590" customFormat="false" ht="15" hidden="false" customHeight="false" outlineLevel="0" collapsed="false">
      <c r="D590" s="71" t="n">
        <f aca="false">IF(电梯资料!$C590="",0,IF(OR(电梯资料!$AA590&lt;&gt;"",电梯资料!$AB590&lt;&gt;""),1,0))</f>
        <v>0</v>
      </c>
      <c r="E590" s="71" t="n">
        <f aca="false">SUM($D$5:$D590)</f>
        <v>5</v>
      </c>
      <c r="G590" s="71" t="n">
        <f aca="false">IF(电梯资料!$C590="",0,IF(OR(电梯资料!$Y590="安装免保",电梯资料!$Y590="技术免保",电梯资料!$Y590="质保期内"),1,0))</f>
        <v>0</v>
      </c>
      <c r="H590" s="71" t="n">
        <f aca="false">SUM($G$5:$G590)</f>
        <v>4</v>
      </c>
    </row>
    <row r="591" customFormat="false" ht="15" hidden="false" customHeight="false" outlineLevel="0" collapsed="false">
      <c r="D591" s="71" t="n">
        <f aca="false">IF(电梯资料!$C591="",0,IF(OR(电梯资料!$AA591&lt;&gt;"",电梯资料!$AB591&lt;&gt;""),1,0))</f>
        <v>0</v>
      </c>
      <c r="E591" s="71" t="n">
        <f aca="false">SUM($D$5:$D591)</f>
        <v>5</v>
      </c>
      <c r="G591" s="71" t="n">
        <f aca="false">IF(电梯资料!$C591="",0,IF(OR(电梯资料!$Y591="安装免保",电梯资料!$Y591="技术免保",电梯资料!$Y591="质保期内"),1,0))</f>
        <v>0</v>
      </c>
      <c r="H591" s="71" t="n">
        <f aca="false">SUM($G$5:$G591)</f>
        <v>4</v>
      </c>
    </row>
    <row r="592" customFormat="false" ht="15" hidden="false" customHeight="false" outlineLevel="0" collapsed="false">
      <c r="D592" s="71" t="n">
        <f aca="false">IF(电梯资料!$C592="",0,IF(OR(电梯资料!$AA592&lt;&gt;"",电梯资料!$AB592&lt;&gt;""),1,0))</f>
        <v>0</v>
      </c>
      <c r="E592" s="71" t="n">
        <f aca="false">SUM($D$5:$D592)</f>
        <v>5</v>
      </c>
      <c r="G592" s="71" t="n">
        <f aca="false">IF(电梯资料!$C592="",0,IF(OR(电梯资料!$Y592="安装免保",电梯资料!$Y592="技术免保",电梯资料!$Y592="质保期内"),1,0))</f>
        <v>0</v>
      </c>
      <c r="H592" s="71" t="n">
        <f aca="false">SUM($G$5:$G592)</f>
        <v>4</v>
      </c>
    </row>
    <row r="593" customFormat="false" ht="15" hidden="false" customHeight="false" outlineLevel="0" collapsed="false">
      <c r="D593" s="71" t="n">
        <f aca="false">IF(电梯资料!$C593="",0,IF(OR(电梯资料!$AA593&lt;&gt;"",电梯资料!$AB593&lt;&gt;""),1,0))</f>
        <v>0</v>
      </c>
      <c r="E593" s="71" t="n">
        <f aca="false">SUM($D$5:$D593)</f>
        <v>5</v>
      </c>
      <c r="G593" s="71" t="n">
        <f aca="false">IF(电梯资料!$C593="",0,IF(OR(电梯资料!$Y593="安装免保",电梯资料!$Y593="技术免保",电梯资料!$Y593="质保期内"),1,0))</f>
        <v>0</v>
      </c>
      <c r="H593" s="71" t="n">
        <f aca="false">SUM($G$5:$G593)</f>
        <v>4</v>
      </c>
    </row>
    <row r="594" customFormat="false" ht="15" hidden="false" customHeight="false" outlineLevel="0" collapsed="false">
      <c r="D594" s="71" t="n">
        <f aca="false">IF(电梯资料!$C594="",0,IF(OR(电梯资料!$AA594&lt;&gt;"",电梯资料!$AB594&lt;&gt;""),1,0))</f>
        <v>0</v>
      </c>
      <c r="E594" s="71" t="n">
        <f aca="false">SUM($D$5:$D594)</f>
        <v>5</v>
      </c>
      <c r="G594" s="71" t="n">
        <f aca="false">IF(电梯资料!$C594="",0,IF(OR(电梯资料!$Y594="安装免保",电梯资料!$Y594="技术免保",电梯资料!$Y594="质保期内"),1,0))</f>
        <v>0</v>
      </c>
      <c r="H594" s="71" t="n">
        <f aca="false">SUM($G$5:$G594)</f>
        <v>4</v>
      </c>
    </row>
    <row r="595" customFormat="false" ht="15" hidden="false" customHeight="false" outlineLevel="0" collapsed="false">
      <c r="D595" s="71" t="n">
        <f aca="false">IF(电梯资料!$C595="",0,IF(OR(电梯资料!$AA595&lt;&gt;"",电梯资料!$AB595&lt;&gt;""),1,0))</f>
        <v>0</v>
      </c>
      <c r="E595" s="71" t="n">
        <f aca="false">SUM($D$5:$D595)</f>
        <v>5</v>
      </c>
      <c r="G595" s="71" t="n">
        <f aca="false">IF(电梯资料!$C595="",0,IF(OR(电梯资料!$Y595="安装免保",电梯资料!$Y595="技术免保",电梯资料!$Y595="质保期内"),1,0))</f>
        <v>0</v>
      </c>
      <c r="H595" s="71" t="n">
        <f aca="false">SUM($G$5:$G595)</f>
        <v>4</v>
      </c>
    </row>
    <row r="596" customFormat="false" ht="15" hidden="false" customHeight="false" outlineLevel="0" collapsed="false">
      <c r="D596" s="71" t="n">
        <f aca="false">IF(电梯资料!$C596="",0,IF(OR(电梯资料!$AA596&lt;&gt;"",电梯资料!$AB596&lt;&gt;""),1,0))</f>
        <v>0</v>
      </c>
      <c r="E596" s="71" t="n">
        <f aca="false">SUM($D$5:$D596)</f>
        <v>5</v>
      </c>
      <c r="G596" s="71" t="n">
        <f aca="false">IF(电梯资料!$C596="",0,IF(OR(电梯资料!$Y596="安装免保",电梯资料!$Y596="技术免保",电梯资料!$Y596="质保期内"),1,0))</f>
        <v>0</v>
      </c>
      <c r="H596" s="71" t="n">
        <f aca="false">SUM($G$5:$G596)</f>
        <v>4</v>
      </c>
    </row>
    <row r="597" customFormat="false" ht="15" hidden="false" customHeight="false" outlineLevel="0" collapsed="false">
      <c r="D597" s="71" t="n">
        <f aca="false">IF(电梯资料!$C597="",0,IF(OR(电梯资料!$AA597&lt;&gt;"",电梯资料!$AB597&lt;&gt;""),1,0))</f>
        <v>0</v>
      </c>
      <c r="E597" s="71" t="n">
        <f aca="false">SUM($D$5:$D597)</f>
        <v>5</v>
      </c>
      <c r="G597" s="71" t="n">
        <f aca="false">IF(电梯资料!$C597="",0,IF(OR(电梯资料!$Y597="安装免保",电梯资料!$Y597="技术免保",电梯资料!$Y597="质保期内"),1,0))</f>
        <v>0</v>
      </c>
      <c r="H597" s="71" t="n">
        <f aca="false">SUM($G$5:$G597)</f>
        <v>4</v>
      </c>
    </row>
    <row r="598" customFormat="false" ht="15" hidden="false" customHeight="false" outlineLevel="0" collapsed="false">
      <c r="D598" s="71" t="n">
        <f aca="false">IF(电梯资料!$C598="",0,IF(OR(电梯资料!$AA598&lt;&gt;"",电梯资料!$AB598&lt;&gt;""),1,0))</f>
        <v>0</v>
      </c>
      <c r="E598" s="71" t="n">
        <f aca="false">SUM($D$5:$D598)</f>
        <v>5</v>
      </c>
      <c r="G598" s="71" t="n">
        <f aca="false">IF(电梯资料!$C598="",0,IF(OR(电梯资料!$Y598="安装免保",电梯资料!$Y598="技术免保",电梯资料!$Y598="质保期内"),1,0))</f>
        <v>0</v>
      </c>
      <c r="H598" s="71" t="n">
        <f aca="false">SUM($G$5:$G598)</f>
        <v>4</v>
      </c>
    </row>
    <row r="599" customFormat="false" ht="15" hidden="false" customHeight="false" outlineLevel="0" collapsed="false">
      <c r="D599" s="71" t="n">
        <f aca="false">IF(电梯资料!$C599="",0,IF(OR(电梯资料!$AA599&lt;&gt;"",电梯资料!$AB599&lt;&gt;""),1,0))</f>
        <v>0</v>
      </c>
      <c r="E599" s="71" t="n">
        <f aca="false">SUM($D$5:$D599)</f>
        <v>5</v>
      </c>
      <c r="G599" s="71" t="n">
        <f aca="false">IF(电梯资料!$C599="",0,IF(OR(电梯资料!$Y599="安装免保",电梯资料!$Y599="技术免保",电梯资料!$Y599="质保期内"),1,0))</f>
        <v>0</v>
      </c>
      <c r="H599" s="71" t="n">
        <f aca="false">SUM($G$5:$G599)</f>
        <v>4</v>
      </c>
    </row>
    <row r="600" customFormat="false" ht="15" hidden="false" customHeight="false" outlineLevel="0" collapsed="false">
      <c r="D600" s="71" t="n">
        <f aca="false">IF(电梯资料!$C600="",0,IF(OR(电梯资料!$AA600&lt;&gt;"",电梯资料!$AB600&lt;&gt;""),1,0))</f>
        <v>0</v>
      </c>
      <c r="E600" s="71" t="n">
        <f aca="false">SUM($D$5:$D600)</f>
        <v>5</v>
      </c>
      <c r="G600" s="71" t="n">
        <f aca="false">IF(电梯资料!$C600="",0,IF(OR(电梯资料!$Y600="安装免保",电梯资料!$Y600="技术免保",电梯资料!$Y600="质保期内"),1,0))</f>
        <v>0</v>
      </c>
      <c r="H600" s="71" t="n">
        <f aca="false">SUM($G$5:$G600)</f>
        <v>4</v>
      </c>
    </row>
    <row r="601" customFormat="false" ht="15" hidden="false" customHeight="false" outlineLevel="0" collapsed="false">
      <c r="D601" s="71" t="n">
        <f aca="false">IF(电梯资料!$C601="",0,IF(OR(电梯资料!$AA601&lt;&gt;"",电梯资料!$AB601&lt;&gt;""),1,0))</f>
        <v>0</v>
      </c>
      <c r="E601" s="71" t="n">
        <f aca="false">SUM($D$5:$D601)</f>
        <v>5</v>
      </c>
      <c r="G601" s="71" t="n">
        <f aca="false">IF(电梯资料!$C601="",0,IF(OR(电梯资料!$Y601="安装免保",电梯资料!$Y601="技术免保",电梯资料!$Y601="质保期内"),1,0))</f>
        <v>0</v>
      </c>
      <c r="H601" s="71" t="n">
        <f aca="false">SUM($G$5:$G601)</f>
        <v>4</v>
      </c>
    </row>
    <row r="602" customFormat="false" ht="15" hidden="false" customHeight="false" outlineLevel="0" collapsed="false">
      <c r="D602" s="71" t="n">
        <f aca="false">IF(电梯资料!$C602="",0,IF(OR(电梯资料!$AA602&lt;&gt;"",电梯资料!$AB602&lt;&gt;""),1,0))</f>
        <v>0</v>
      </c>
      <c r="E602" s="71" t="n">
        <f aca="false">SUM($D$5:$D602)</f>
        <v>5</v>
      </c>
      <c r="G602" s="71" t="n">
        <f aca="false">IF(电梯资料!$C602="",0,IF(OR(电梯资料!$Y602="安装免保",电梯资料!$Y602="技术免保",电梯资料!$Y602="质保期内"),1,0))</f>
        <v>0</v>
      </c>
      <c r="H602" s="71" t="n">
        <f aca="false">SUM($G$5:$G602)</f>
        <v>4</v>
      </c>
    </row>
    <row r="603" customFormat="false" ht="15" hidden="false" customHeight="false" outlineLevel="0" collapsed="false">
      <c r="D603" s="71" t="n">
        <f aca="false">IF(电梯资料!$C603="",0,IF(OR(电梯资料!$AA603&lt;&gt;"",电梯资料!$AB603&lt;&gt;""),1,0))</f>
        <v>0</v>
      </c>
      <c r="E603" s="71" t="n">
        <f aca="false">SUM($D$5:$D603)</f>
        <v>5</v>
      </c>
      <c r="G603" s="71" t="n">
        <f aca="false">IF(电梯资料!$C603="",0,IF(OR(电梯资料!$Y603="安装免保",电梯资料!$Y603="技术免保",电梯资料!$Y603="质保期内"),1,0))</f>
        <v>0</v>
      </c>
      <c r="H603" s="71" t="n">
        <f aca="false">SUM($G$5:$G603)</f>
        <v>4</v>
      </c>
    </row>
    <row r="604" customFormat="false" ht="15" hidden="false" customHeight="false" outlineLevel="0" collapsed="false">
      <c r="D604" s="71" t="n">
        <f aca="false">IF(电梯资料!$C604="",0,IF(OR(电梯资料!$AA604&lt;&gt;"",电梯资料!$AB604&lt;&gt;""),1,0))</f>
        <v>0</v>
      </c>
      <c r="E604" s="71" t="n">
        <f aca="false">SUM($D$5:$D604)</f>
        <v>5</v>
      </c>
      <c r="G604" s="71" t="n">
        <f aca="false">IF(电梯资料!$C604="",0,IF(OR(电梯资料!$Y604="安装免保",电梯资料!$Y604="技术免保",电梯资料!$Y604="质保期内"),1,0))</f>
        <v>0</v>
      </c>
      <c r="H604" s="71" t="n">
        <f aca="false">SUM($G$5:$G604)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2026-09-21T03:41:07Z</dcterms:created>
  <dc:creator>openpyxl</dc:creator>
  <dc:description/>
  <dc:language>en-US</dc:language>
  <cp:lastModifiedBy/>
  <dcterms:modified xsi:type="dcterms:W3CDTF">2026-09-21T03:41:11Z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